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engin-storage.m.storage.umich.edu\engin-storage\kency\windat.v2\Desktop\"/>
    </mc:Choice>
  </mc:AlternateContent>
  <bookViews>
    <workbookView xWindow="10395" yWindow="-105" windowWidth="14850" windowHeight="12735" activeTab="1"/>
  </bookViews>
  <sheets>
    <sheet name="Municipals" sheetId="2" r:id="rId1"/>
    <sheet name="Sheet1" sheetId="4" r:id="rId2"/>
    <sheet name="Context" sheetId="3" r:id="rId3"/>
  </sheets>
  <calcPr calcId="162913"/>
</workbook>
</file>

<file path=xl/calcChain.xml><?xml version="1.0" encoding="utf-8"?>
<calcChain xmlns="http://schemas.openxmlformats.org/spreadsheetml/2006/main">
  <c r="C2" i="2" l="1"/>
  <c r="D580" i="2"/>
  <c r="F309" i="2"/>
  <c r="N264" i="2"/>
  <c r="G264" i="2"/>
  <c r="E1664" i="2"/>
  <c r="E52" i="2"/>
  <c r="K52" i="2"/>
  <c r="G309" i="2"/>
  <c r="D302" i="2"/>
  <c r="C501" i="2"/>
  <c r="K1664" i="2"/>
  <c r="J580" i="2"/>
  <c r="E1923" i="2"/>
  <c r="Q580" i="2"/>
  <c r="E309" i="2"/>
  <c r="J1664" i="2"/>
  <c r="S52" i="2"/>
  <c r="Q1923" i="2"/>
  <c r="S1664" i="2"/>
  <c r="H1923" i="2"/>
  <c r="C1084" i="2"/>
  <c r="A1664" i="2"/>
  <c r="M1084" i="2"/>
  <c r="E1084" i="2"/>
  <c r="F1084" i="2"/>
  <c r="F1923" i="2"/>
  <c r="P264" i="2"/>
  <c r="F52" i="2"/>
  <c r="Q1084" i="2"/>
  <c r="Q52" i="2"/>
  <c r="P580" i="2"/>
  <c r="R1923" i="2"/>
  <c r="A264" i="2"/>
  <c r="N501" i="2"/>
  <c r="H501" i="2"/>
  <c r="K237" i="2"/>
  <c r="K580" i="2"/>
  <c r="O1084" i="2"/>
  <c r="E580" i="2"/>
  <c r="H52" i="2"/>
  <c r="G501" i="2"/>
  <c r="K264" i="2"/>
  <c r="H580" i="2"/>
  <c r="F1664" i="2"/>
  <c r="R264" i="2"/>
  <c r="S237" i="2"/>
  <c r="F302" i="2"/>
  <c r="S501" i="2"/>
  <c r="M309" i="2"/>
  <c r="Q237" i="2"/>
  <c r="O302" i="2"/>
  <c r="N52" i="2"/>
  <c r="Q1664" i="2"/>
  <c r="P309" i="2"/>
  <c r="A1923" i="2"/>
  <c r="E302" i="2"/>
  <c r="Q302" i="2"/>
  <c r="C1664" i="2"/>
  <c r="K309" i="2"/>
  <c r="N1664" i="2"/>
  <c r="F501" i="2"/>
  <c r="O237" i="2"/>
  <c r="N302" i="2"/>
  <c r="S580" i="2"/>
  <c r="T237" i="2"/>
  <c r="A501" i="2"/>
  <c r="N580" i="2"/>
  <c r="C309" i="2"/>
  <c r="J1923" i="2"/>
  <c r="S309" i="2"/>
  <c r="N1084" i="2"/>
  <c r="O1664" i="2"/>
  <c r="R309" i="2"/>
  <c r="O52" i="2"/>
  <c r="Q501" i="2"/>
  <c r="C264" i="2"/>
  <c r="M1664" i="2"/>
  <c r="J1084" i="2"/>
  <c r="D309" i="2"/>
  <c r="D237" i="2"/>
  <c r="P501" i="2"/>
  <c r="O264" i="2"/>
  <c r="T52" i="2"/>
  <c r="G52" i="2"/>
  <c r="P1923" i="2"/>
  <c r="O1923" i="2"/>
  <c r="D1084" i="2"/>
  <c r="K501" i="2"/>
  <c r="H1084" i="2"/>
  <c r="G1664" i="2"/>
  <c r="T501" i="2"/>
  <c r="E237" i="2"/>
  <c r="F264" i="2"/>
  <c r="N309" i="2"/>
  <c r="T1084" i="2"/>
  <c r="D1923" i="2"/>
  <c r="E501" i="2"/>
  <c r="K1923" i="2"/>
  <c r="R52" i="2"/>
  <c r="D501" i="2"/>
  <c r="A580" i="2"/>
  <c r="T302" i="2"/>
  <c r="J237" i="2"/>
  <c r="G580" i="2"/>
  <c r="S1923" i="2"/>
  <c r="O309" i="2"/>
  <c r="G302" i="2"/>
  <c r="D264" i="2"/>
  <c r="A309" i="2"/>
  <c r="J501" i="2"/>
  <c r="M237" i="2"/>
  <c r="A52" i="2"/>
  <c r="R237" i="2"/>
  <c r="R302" i="2"/>
  <c r="C302" i="2"/>
  <c r="P302" i="2"/>
  <c r="K302" i="2"/>
  <c r="G1923" i="2"/>
  <c r="C52" i="2"/>
  <c r="O501" i="2"/>
  <c r="J302" i="2"/>
  <c r="P237" i="2"/>
  <c r="O580" i="2"/>
  <c r="C580" i="2"/>
  <c r="H302" i="2"/>
  <c r="D52" i="2"/>
  <c r="S302" i="2"/>
  <c r="T580" i="2"/>
  <c r="M52" i="2"/>
  <c r="T1923" i="2"/>
  <c r="H264" i="2"/>
  <c r="Q264" i="2"/>
  <c r="C237" i="2"/>
  <c r="F237" i="2"/>
  <c r="R501" i="2"/>
  <c r="A302" i="2"/>
  <c r="C1923" i="2"/>
  <c r="H1664" i="2"/>
  <c r="N237" i="2"/>
  <c r="D1664" i="2"/>
  <c r="S1084" i="2"/>
  <c r="K1084" i="2"/>
  <c r="H309" i="2"/>
  <c r="T1664" i="2"/>
  <c r="M580" i="2"/>
  <c r="P52" i="2"/>
  <c r="T309" i="2"/>
  <c r="G1084" i="2"/>
  <c r="T264" i="2"/>
  <c r="E264" i="2"/>
  <c r="S264" i="2"/>
  <c r="R1084" i="2"/>
  <c r="R1664" i="2"/>
  <c r="A237" i="2"/>
  <c r="H237" i="2"/>
  <c r="Q309" i="2"/>
  <c r="M264" i="2"/>
  <c r="R580" i="2"/>
  <c r="N1923" i="2"/>
  <c r="A1084" i="2"/>
  <c r="P1084" i="2"/>
  <c r="P1664" i="2"/>
  <c r="F580" i="2"/>
  <c r="G237" i="2"/>
  <c r="M302" i="2"/>
  <c r="J52" i="2"/>
  <c r="M501" i="2"/>
  <c r="J309" i="2"/>
  <c r="M1923" i="2"/>
  <c r="J264" i="2"/>
  <c r="A194" i="2"/>
  <c r="A1006" i="2"/>
  <c r="S1694" i="2"/>
  <c r="T1297" i="2"/>
  <c r="G1022" i="2"/>
  <c r="C1832" i="2"/>
  <c r="T1341" i="2"/>
  <c r="J1341" i="2"/>
  <c r="R1694" i="2"/>
  <c r="A1341" i="2"/>
  <c r="R1022" i="2"/>
  <c r="K1832" i="2"/>
  <c r="C1022" i="2"/>
  <c r="A1694" i="2"/>
  <c r="A1297" i="2"/>
  <c r="H1694" i="2"/>
  <c r="R1395" i="2"/>
  <c r="P194" i="2"/>
  <c r="G1832" i="2"/>
  <c r="O2051" i="2"/>
  <c r="E194" i="2"/>
  <c r="F1341" i="2"/>
  <c r="P2051" i="2"/>
  <c r="N1297" i="2"/>
  <c r="Q1022" i="2"/>
  <c r="F1832" i="2"/>
  <c r="P1006" i="2"/>
  <c r="Q2051" i="2"/>
  <c r="E2051" i="2"/>
  <c r="Q1395" i="2"/>
  <c r="O1694" i="2"/>
  <c r="K1341" i="2"/>
  <c r="M1341" i="2"/>
  <c r="F194" i="2"/>
  <c r="T194" i="2"/>
  <c r="C1297" i="2"/>
  <c r="R2051" i="2"/>
  <c r="S1022" i="2"/>
  <c r="C1006" i="2"/>
  <c r="K1022" i="2"/>
  <c r="R1297" i="2"/>
  <c r="A1832" i="2"/>
  <c r="M194" i="2"/>
  <c r="D1395" i="2"/>
  <c r="F1742" i="2"/>
  <c r="N194" i="2"/>
  <c r="E1395" i="2"/>
  <c r="R1006" i="2"/>
  <c r="D1832" i="2"/>
  <c r="T1742" i="2"/>
  <c r="G194" i="2"/>
  <c r="E1694" i="2"/>
  <c r="D1341" i="2"/>
  <c r="R1742" i="2"/>
  <c r="M1832" i="2"/>
  <c r="Q1742" i="2"/>
  <c r="G2051" i="2"/>
  <c r="S1742" i="2"/>
  <c r="A2051" i="2"/>
  <c r="M2051" i="2"/>
  <c r="J1022" i="2"/>
  <c r="F1694" i="2"/>
  <c r="K1742" i="2"/>
  <c r="S1297" i="2"/>
  <c r="F1006" i="2"/>
  <c r="E1742" i="2"/>
  <c r="T1395" i="2"/>
  <c r="H1742" i="2"/>
  <c r="O1341" i="2"/>
  <c r="Q194" i="2"/>
  <c r="D1006" i="2"/>
  <c r="E1832" i="2"/>
  <c r="T1832" i="2"/>
  <c r="C1694" i="2"/>
  <c r="C1395" i="2"/>
  <c r="J2051" i="2"/>
  <c r="M1297" i="2"/>
  <c r="Q1006" i="2"/>
  <c r="G1742" i="2"/>
  <c r="Q1694" i="2"/>
  <c r="P1832" i="2"/>
  <c r="T1694" i="2"/>
  <c r="P1694" i="2"/>
  <c r="E1006" i="2"/>
  <c r="F1395" i="2"/>
  <c r="A1395" i="2"/>
  <c r="N1742" i="2"/>
  <c r="H194" i="2"/>
  <c r="H1022" i="2"/>
  <c r="N2051" i="2"/>
  <c r="K1297" i="2"/>
  <c r="D1694" i="2"/>
  <c r="P1742" i="2"/>
  <c r="D1022" i="2"/>
  <c r="M1742" i="2"/>
  <c r="J1742" i="2"/>
  <c r="F1297" i="2"/>
  <c r="D2051" i="2"/>
  <c r="P1297" i="2"/>
  <c r="J1694" i="2"/>
  <c r="E1022" i="2"/>
  <c r="M1395" i="2"/>
  <c r="G1395" i="2"/>
  <c r="N1022" i="2"/>
  <c r="T2051" i="2"/>
  <c r="O1395" i="2"/>
  <c r="S1832" i="2"/>
  <c r="H1006" i="2"/>
  <c r="S194" i="2"/>
  <c r="J194" i="2"/>
  <c r="E1341" i="2"/>
  <c r="R194" i="2"/>
  <c r="K194" i="2"/>
  <c r="R1341" i="2"/>
  <c r="P1341" i="2"/>
  <c r="C194" i="2"/>
  <c r="F2051" i="2"/>
  <c r="N1395" i="2"/>
  <c r="A1742" i="2"/>
  <c r="C1341" i="2"/>
  <c r="N1832" i="2"/>
  <c r="N1341" i="2"/>
  <c r="O1022" i="2"/>
  <c r="D1742" i="2"/>
  <c r="O1832" i="2"/>
  <c r="H1395" i="2"/>
  <c r="S1341" i="2"/>
  <c r="G1297" i="2"/>
  <c r="M1694" i="2"/>
  <c r="G1006" i="2"/>
  <c r="J1297" i="2"/>
  <c r="M1022" i="2"/>
  <c r="H2051" i="2"/>
  <c r="J1006" i="2"/>
  <c r="Q1341" i="2"/>
  <c r="P1022" i="2"/>
  <c r="S1006" i="2"/>
  <c r="J1832" i="2"/>
  <c r="T1022" i="2"/>
  <c r="D1297" i="2"/>
  <c r="M1006" i="2"/>
  <c r="Q1297" i="2"/>
  <c r="S1395" i="2"/>
  <c r="O1297" i="2"/>
  <c r="G1341" i="2"/>
  <c r="S2051" i="2"/>
  <c r="A1022" i="2"/>
  <c r="N1694" i="2"/>
  <c r="K1694" i="2"/>
  <c r="T1006" i="2"/>
  <c r="K1395" i="2"/>
  <c r="P1395" i="2"/>
  <c r="K2051" i="2"/>
  <c r="O194" i="2"/>
  <c r="O1006" i="2"/>
  <c r="H1297" i="2"/>
  <c r="R1832" i="2"/>
  <c r="H1832" i="2"/>
  <c r="N1006" i="2"/>
  <c r="O1742" i="2"/>
  <c r="F1022" i="2"/>
  <c r="G1694" i="2"/>
  <c r="J1395" i="2"/>
  <c r="C1742" i="2"/>
  <c r="D194" i="2"/>
  <c r="K1006" i="2"/>
  <c r="E1297" i="2"/>
  <c r="Q1832" i="2"/>
  <c r="H1341" i="2"/>
  <c r="C2051" i="2"/>
  <c r="N1676" i="2"/>
  <c r="O1390" i="2"/>
  <c r="K442" i="2"/>
  <c r="H1795" i="2"/>
  <c r="J1824" i="2"/>
  <c r="S1676" i="2"/>
  <c r="T442" i="2"/>
  <c r="M1896" i="2"/>
  <c r="P2178" i="2"/>
  <c r="O442" i="2"/>
  <c r="C481" i="2"/>
  <c r="M1676" i="2"/>
  <c r="Q1824" i="2"/>
  <c r="G673" i="2"/>
  <c r="J442" i="2"/>
  <c r="J673" i="2"/>
  <c r="M673" i="2"/>
  <c r="G481" i="2"/>
  <c r="J481" i="2"/>
  <c r="A1676" i="2"/>
  <c r="C544" i="2"/>
  <c r="Q1390" i="2"/>
  <c r="E1795" i="2"/>
  <c r="N673" i="2"/>
  <c r="S1390" i="2"/>
  <c r="J2178" i="2"/>
  <c r="F1896" i="2"/>
  <c r="S442" i="2"/>
  <c r="T481" i="2"/>
  <c r="S2178" i="2"/>
  <c r="D481" i="2"/>
  <c r="D1676" i="2"/>
  <c r="T1824" i="2"/>
  <c r="O481" i="2"/>
  <c r="F1676" i="2"/>
  <c r="E544" i="2"/>
  <c r="S1896" i="2"/>
  <c r="K1896" i="2"/>
  <c r="E442" i="2"/>
  <c r="J1896" i="2"/>
  <c r="O1795" i="2"/>
  <c r="M442" i="2"/>
  <c r="K673" i="2"/>
  <c r="M544" i="2"/>
  <c r="K544" i="2"/>
  <c r="A1896" i="2"/>
  <c r="H442" i="2"/>
  <c r="N1824" i="2"/>
  <c r="R481" i="2"/>
  <c r="G1896" i="2"/>
  <c r="C2178" i="2"/>
  <c r="D442" i="2"/>
  <c r="T1390" i="2"/>
  <c r="E1896" i="2"/>
  <c r="F1795" i="2"/>
  <c r="D1824" i="2"/>
  <c r="G1824" i="2"/>
  <c r="O1676" i="2"/>
  <c r="R1824" i="2"/>
  <c r="K481" i="2"/>
  <c r="K2178" i="2"/>
  <c r="P673" i="2"/>
  <c r="D1390" i="2"/>
  <c r="Q2178" i="2"/>
  <c r="K1795" i="2"/>
  <c r="O2178" i="2"/>
  <c r="S1824" i="2"/>
  <c r="S481" i="2"/>
  <c r="D2178" i="2"/>
  <c r="S673" i="2"/>
  <c r="F673" i="2"/>
  <c r="A2178" i="2"/>
  <c r="J1795" i="2"/>
  <c r="P442" i="2"/>
  <c r="H2178" i="2"/>
  <c r="R442" i="2"/>
  <c r="A1390" i="2"/>
  <c r="M481" i="2"/>
  <c r="Q1676" i="2"/>
  <c r="F1824" i="2"/>
  <c r="P544" i="2"/>
  <c r="C1795" i="2"/>
  <c r="R1795" i="2"/>
  <c r="E1824" i="2"/>
  <c r="Q673" i="2"/>
  <c r="O544" i="2"/>
  <c r="N2178" i="2"/>
  <c r="M1795" i="2"/>
  <c r="R2178" i="2"/>
  <c r="N1795" i="2"/>
  <c r="E673" i="2"/>
  <c r="D1896" i="2"/>
  <c r="N1896" i="2"/>
  <c r="D544" i="2"/>
  <c r="T1795" i="2"/>
  <c r="P1390" i="2"/>
  <c r="K1390" i="2"/>
  <c r="A481" i="2"/>
  <c r="R1896" i="2"/>
  <c r="J544" i="2"/>
  <c r="A1795" i="2"/>
  <c r="R544" i="2"/>
  <c r="Q544" i="2"/>
  <c r="R1676" i="2"/>
  <c r="T544" i="2"/>
  <c r="K1824" i="2"/>
  <c r="P481" i="2"/>
  <c r="E481" i="2"/>
  <c r="F2178" i="2"/>
  <c r="T1676" i="2"/>
  <c r="R673" i="2"/>
  <c r="P1676" i="2"/>
  <c r="E1676" i="2"/>
  <c r="E1390" i="2"/>
  <c r="O673" i="2"/>
  <c r="O1896" i="2"/>
  <c r="G1676" i="2"/>
  <c r="T673" i="2"/>
  <c r="N544" i="2"/>
  <c r="O1824" i="2"/>
  <c r="H481" i="2"/>
  <c r="P1795" i="2"/>
  <c r="M1824" i="2"/>
  <c r="H1896" i="2"/>
  <c r="F1390" i="2"/>
  <c r="H544" i="2"/>
  <c r="F544" i="2"/>
  <c r="J1676" i="2"/>
  <c r="S544" i="2"/>
  <c r="T2178" i="2"/>
  <c r="N442" i="2"/>
  <c r="A1824" i="2"/>
  <c r="A544" i="2"/>
  <c r="M1390" i="2"/>
  <c r="F481" i="2"/>
  <c r="N481" i="2"/>
  <c r="D673" i="2"/>
  <c r="K1676" i="2"/>
  <c r="P1896" i="2"/>
  <c r="G442" i="2"/>
  <c r="R1390" i="2"/>
  <c r="J1390" i="2"/>
  <c r="C1676" i="2"/>
  <c r="H673" i="2"/>
  <c r="G2178" i="2"/>
  <c r="Q1795" i="2"/>
  <c r="D1795" i="2"/>
  <c r="A673" i="2"/>
  <c r="H1390" i="2"/>
  <c r="T1896" i="2"/>
  <c r="A442" i="2"/>
  <c r="N1390" i="2"/>
  <c r="F442" i="2"/>
  <c r="S1795" i="2"/>
  <c r="H1824" i="2"/>
  <c r="C1896" i="2"/>
  <c r="C1824" i="2"/>
  <c r="Q442" i="2"/>
  <c r="C1390" i="2"/>
  <c r="E2178" i="2"/>
  <c r="Q1896" i="2"/>
  <c r="G544" i="2"/>
  <c r="P1824" i="2"/>
  <c r="C673" i="2"/>
  <c r="G1795" i="2"/>
  <c r="G1390" i="2"/>
  <c r="H1676" i="2"/>
  <c r="Q481" i="2"/>
  <c r="C442" i="2"/>
  <c r="M2178" i="2"/>
  <c r="P149" i="2"/>
  <c r="H791" i="2"/>
  <c r="Q1934" i="2"/>
  <c r="R2078" i="2"/>
  <c r="K791" i="2"/>
  <c r="Q149" i="2"/>
  <c r="P1934" i="2"/>
  <c r="T1863" i="2"/>
  <c r="P2078" i="2"/>
  <c r="C791" i="2"/>
  <c r="D1863" i="2"/>
  <c r="F1863" i="2"/>
  <c r="J149" i="2"/>
  <c r="F2078" i="2"/>
  <c r="K1898" i="2"/>
  <c r="H149" i="2"/>
  <c r="S968" i="2"/>
  <c r="H1934" i="2"/>
  <c r="T149" i="2"/>
  <c r="H968" i="2"/>
  <c r="J1863" i="2"/>
  <c r="Q1898" i="2"/>
  <c r="K1934" i="2"/>
  <c r="E791" i="2"/>
  <c r="N791" i="2"/>
  <c r="N1898" i="2"/>
  <c r="M2078" i="2"/>
  <c r="T1898" i="2"/>
  <c r="A968" i="2"/>
  <c r="M149" i="2"/>
  <c r="G1863" i="2"/>
  <c r="P968" i="2"/>
  <c r="R1863" i="2"/>
  <c r="T791" i="2"/>
  <c r="R1898" i="2"/>
  <c r="D149" i="2"/>
  <c r="N1863" i="2"/>
  <c r="O2078" i="2"/>
  <c r="T2078" i="2"/>
  <c r="S149" i="2"/>
  <c r="C1934" i="2"/>
  <c r="G1934" i="2"/>
  <c r="Q1863" i="2"/>
  <c r="O1934" i="2"/>
  <c r="K149" i="2"/>
  <c r="E1934" i="2"/>
  <c r="D1934" i="2"/>
  <c r="J2078" i="2"/>
  <c r="K1863" i="2"/>
  <c r="E149" i="2"/>
  <c r="J1934" i="2"/>
  <c r="E968" i="2"/>
  <c r="S791" i="2"/>
  <c r="K968" i="2"/>
  <c r="G2078" i="2"/>
  <c r="C1898" i="2"/>
  <c r="E1863" i="2"/>
  <c r="S1934" i="2"/>
  <c r="C968" i="2"/>
  <c r="M1934" i="2"/>
  <c r="J791" i="2"/>
  <c r="T1934" i="2"/>
  <c r="N968" i="2"/>
  <c r="S2078" i="2"/>
  <c r="D2078" i="2"/>
  <c r="N2078" i="2"/>
  <c r="D1898" i="2"/>
  <c r="R968" i="2"/>
  <c r="M791" i="2"/>
  <c r="R791" i="2"/>
  <c r="N149" i="2"/>
  <c r="Q2078" i="2"/>
  <c r="M1863" i="2"/>
  <c r="P791" i="2"/>
  <c r="R149" i="2"/>
  <c r="H2078" i="2"/>
  <c r="F968" i="2"/>
  <c r="N1934" i="2"/>
  <c r="G791" i="2"/>
  <c r="A1863" i="2"/>
  <c r="K2078" i="2"/>
  <c r="F1898" i="2"/>
  <c r="O791" i="2"/>
  <c r="O968" i="2"/>
  <c r="A1898" i="2"/>
  <c r="P1863" i="2"/>
  <c r="Q968" i="2"/>
  <c r="M1898" i="2"/>
  <c r="D791" i="2"/>
  <c r="C1863" i="2"/>
  <c r="M968" i="2"/>
  <c r="F791" i="2"/>
  <c r="O1898" i="2"/>
  <c r="A1934" i="2"/>
  <c r="R1934" i="2"/>
  <c r="P1898" i="2"/>
  <c r="S1863" i="2"/>
  <c r="D968" i="2"/>
  <c r="A791" i="2"/>
  <c r="C149" i="2"/>
  <c r="A149" i="2"/>
  <c r="J1898" i="2"/>
  <c r="T968" i="2"/>
  <c r="J968" i="2"/>
  <c r="O1863" i="2"/>
  <c r="C2078" i="2"/>
  <c r="F149" i="2"/>
  <c r="S1898" i="2"/>
  <c r="E2078" i="2"/>
  <c r="A2078" i="2"/>
  <c r="G1898" i="2"/>
  <c r="E1898" i="2"/>
  <c r="O149" i="2"/>
  <c r="Q791" i="2"/>
  <c r="H1863" i="2"/>
  <c r="G968" i="2"/>
  <c r="H1898" i="2"/>
  <c r="F1934" i="2"/>
  <c r="G149" i="2"/>
  <c r="P1953" i="2"/>
  <c r="T2076" i="2"/>
  <c r="T1612" i="2"/>
  <c r="H1612" i="2"/>
  <c r="A899" i="2"/>
  <c r="H413" i="2"/>
  <c r="A2076" i="2"/>
  <c r="C523" i="2"/>
  <c r="S2076" i="2"/>
  <c r="K413" i="2"/>
  <c r="G1738" i="2"/>
  <c r="S413" i="2"/>
  <c r="N1738" i="2"/>
  <c r="F2076" i="2"/>
  <c r="Q873" i="2"/>
  <c r="Q685" i="2"/>
  <c r="S899" i="2"/>
  <c r="N899" i="2"/>
  <c r="H899" i="2"/>
  <c r="A873" i="2"/>
  <c r="G873" i="2"/>
  <c r="H681" i="2"/>
  <c r="E1738" i="2"/>
  <c r="R681" i="2"/>
  <c r="A1738" i="2"/>
  <c r="Q1612" i="2"/>
  <c r="H685" i="2"/>
  <c r="T413" i="2"/>
  <c r="J681" i="2"/>
  <c r="O899" i="2"/>
  <c r="A413" i="2"/>
  <c r="A681" i="2"/>
  <c r="C1738" i="2"/>
  <c r="A685" i="2"/>
  <c r="E873" i="2"/>
  <c r="P1738" i="2"/>
  <c r="N523" i="2"/>
  <c r="D2076" i="2"/>
  <c r="O873" i="2"/>
  <c r="R1953" i="2"/>
  <c r="J685" i="2"/>
  <c r="P523" i="2"/>
  <c r="S681" i="2"/>
  <c r="J523" i="2"/>
  <c r="P2076" i="2"/>
  <c r="M873" i="2"/>
  <c r="D685" i="2"/>
  <c r="D413" i="2"/>
  <c r="N413" i="2"/>
  <c r="Q2076" i="2"/>
  <c r="E413" i="2"/>
  <c r="G685" i="2"/>
  <c r="S523" i="2"/>
  <c r="Q1953" i="2"/>
  <c r="O523" i="2"/>
  <c r="Q681" i="2"/>
  <c r="E523" i="2"/>
  <c r="H1738" i="2"/>
  <c r="D523" i="2"/>
  <c r="K2076" i="2"/>
  <c r="J899" i="2"/>
  <c r="R685" i="2"/>
  <c r="S1612" i="2"/>
  <c r="N685" i="2"/>
  <c r="D1738" i="2"/>
  <c r="F685" i="2"/>
  <c r="N681" i="2"/>
  <c r="J873" i="2"/>
  <c r="T523" i="2"/>
  <c r="A1953" i="2"/>
  <c r="J1953" i="2"/>
  <c r="Q523" i="2"/>
  <c r="Q413" i="2"/>
  <c r="O413" i="2"/>
  <c r="C681" i="2"/>
  <c r="R413" i="2"/>
  <c r="D873" i="2"/>
  <c r="P681" i="2"/>
  <c r="O681" i="2"/>
  <c r="M681" i="2"/>
  <c r="O1612" i="2"/>
  <c r="T685" i="2"/>
  <c r="R873" i="2"/>
  <c r="J1738" i="2"/>
  <c r="M899" i="2"/>
  <c r="O1738" i="2"/>
  <c r="F873" i="2"/>
  <c r="R2076" i="2"/>
  <c r="K681" i="2"/>
  <c r="R899" i="2"/>
  <c r="D681" i="2"/>
  <c r="G899" i="2"/>
  <c r="P685" i="2"/>
  <c r="M2076" i="2"/>
  <c r="T1738" i="2"/>
  <c r="C413" i="2"/>
  <c r="G1953" i="2"/>
  <c r="E1612" i="2"/>
  <c r="F1612" i="2"/>
  <c r="T1953" i="2"/>
  <c r="C685" i="2"/>
  <c r="N2076" i="2"/>
  <c r="E681" i="2"/>
  <c r="N1953" i="2"/>
  <c r="T899" i="2"/>
  <c r="O1953" i="2"/>
  <c r="F681" i="2"/>
  <c r="C1953" i="2"/>
  <c r="M413" i="2"/>
  <c r="E2076" i="2"/>
  <c r="R1612" i="2"/>
  <c r="F1953" i="2"/>
  <c r="O2076" i="2"/>
  <c r="S1953" i="2"/>
  <c r="C2076" i="2"/>
  <c r="M1953" i="2"/>
  <c r="C899" i="2"/>
  <c r="H1953" i="2"/>
  <c r="D1953" i="2"/>
  <c r="Q1738" i="2"/>
  <c r="P899" i="2"/>
  <c r="G523" i="2"/>
  <c r="R523" i="2"/>
  <c r="G1612" i="2"/>
  <c r="K899" i="2"/>
  <c r="G413" i="2"/>
  <c r="K1612" i="2"/>
  <c r="J2076" i="2"/>
  <c r="H873" i="2"/>
  <c r="M523" i="2"/>
  <c r="A523" i="2"/>
  <c r="D899" i="2"/>
  <c r="H2076" i="2"/>
  <c r="F1738" i="2"/>
  <c r="C1612" i="2"/>
  <c r="F523" i="2"/>
  <c r="R1738" i="2"/>
  <c r="T681" i="2"/>
  <c r="P873" i="2"/>
  <c r="E899" i="2"/>
  <c r="O685" i="2"/>
  <c r="N1612" i="2"/>
  <c r="K523" i="2"/>
  <c r="Q899" i="2"/>
  <c r="P413" i="2"/>
  <c r="K685" i="2"/>
  <c r="D1612" i="2"/>
  <c r="S1738" i="2"/>
  <c r="M685" i="2"/>
  <c r="T873" i="2"/>
  <c r="P1612" i="2"/>
  <c r="N873" i="2"/>
  <c r="K1953" i="2"/>
  <c r="K873" i="2"/>
  <c r="S873" i="2"/>
  <c r="A1612" i="2"/>
  <c r="E685" i="2"/>
  <c r="J1612" i="2"/>
  <c r="S685" i="2"/>
  <c r="C873" i="2"/>
  <c r="M1612" i="2"/>
  <c r="F899" i="2"/>
  <c r="F413" i="2"/>
  <c r="G681" i="2"/>
  <c r="J413" i="2"/>
  <c r="G2076" i="2"/>
  <c r="E1953" i="2"/>
  <c r="H523" i="2"/>
  <c r="M1738" i="2"/>
  <c r="K1738" i="2"/>
  <c r="K740" i="2"/>
  <c r="G504" i="2"/>
  <c r="O740" i="2"/>
  <c r="D504" i="2"/>
  <c r="N2" i="2"/>
  <c r="M2" i="2"/>
  <c r="O504" i="2"/>
  <c r="G1573" i="2"/>
  <c r="N2088" i="2"/>
  <c r="G2088" i="2"/>
  <c r="O1778" i="2"/>
  <c r="Q740" i="2"/>
  <c r="D1778" i="2"/>
  <c r="K2208" i="2"/>
  <c r="E504" i="2"/>
  <c r="S2208" i="2"/>
  <c r="A1778" i="2"/>
  <c r="P2193" i="2"/>
  <c r="E2208" i="2"/>
  <c r="G2" i="2"/>
  <c r="O772" i="2"/>
  <c r="E2" i="2"/>
  <c r="A2208" i="2"/>
  <c r="T772" i="2"/>
  <c r="C772" i="2"/>
  <c r="D2088" i="2"/>
  <c r="D2" i="2"/>
  <c r="R914" i="2"/>
  <c r="H2208" i="2"/>
  <c r="H1573" i="2"/>
  <c r="S2" i="2"/>
  <c r="O2193" i="2"/>
  <c r="P2" i="2"/>
  <c r="C2088" i="2"/>
  <c r="R740" i="2"/>
  <c r="G772" i="2"/>
  <c r="P2208" i="2"/>
  <c r="R2" i="2"/>
  <c r="F2088" i="2"/>
  <c r="P504" i="2"/>
  <c r="T740" i="2"/>
  <c r="S740" i="2"/>
  <c r="N740" i="2"/>
  <c r="H2088" i="2"/>
  <c r="F1778" i="2"/>
  <c r="O2208" i="2"/>
  <c r="F2193" i="2"/>
  <c r="D772" i="2"/>
  <c r="Q1573" i="2"/>
  <c r="H1778" i="2"/>
  <c r="M772" i="2"/>
  <c r="A772" i="2"/>
  <c r="Q2208" i="2"/>
  <c r="E1573" i="2"/>
  <c r="F772" i="2"/>
  <c r="G914" i="2"/>
  <c r="S504" i="2"/>
  <c r="M1778" i="2"/>
  <c r="K504" i="2"/>
  <c r="R2088" i="2"/>
  <c r="M740" i="2"/>
  <c r="R2208" i="2"/>
  <c r="P1573" i="2"/>
  <c r="J772" i="2"/>
  <c r="O2" i="2"/>
  <c r="J504" i="2"/>
  <c r="T2193" i="2"/>
  <c r="O2088" i="2"/>
  <c r="R772" i="2"/>
  <c r="E740" i="2"/>
  <c r="G740" i="2"/>
  <c r="F2" i="2"/>
  <c r="R504" i="2"/>
  <c r="C1778" i="2"/>
  <c r="E2193" i="2"/>
  <c r="S1778" i="2"/>
  <c r="D2193" i="2"/>
  <c r="D740" i="2"/>
  <c r="H504" i="2"/>
  <c r="O1573" i="2"/>
  <c r="N2208" i="2"/>
  <c r="F914" i="2"/>
  <c r="J2208" i="2"/>
  <c r="F740" i="2"/>
  <c r="C1573" i="2"/>
  <c r="E2088" i="2"/>
  <c r="F504" i="2"/>
  <c r="H914" i="2"/>
  <c r="M914" i="2"/>
  <c r="M2208" i="2"/>
  <c r="F1573" i="2"/>
  <c r="K2088" i="2"/>
  <c r="H772" i="2"/>
  <c r="M2088" i="2"/>
  <c r="T914" i="2"/>
  <c r="E1778" i="2"/>
  <c r="O914" i="2"/>
  <c r="H2193" i="2"/>
  <c r="K772" i="2"/>
  <c r="N914" i="2"/>
  <c r="R1778" i="2"/>
  <c r="N1573" i="2"/>
  <c r="Q914" i="2"/>
  <c r="Q2" i="2"/>
  <c r="J2193" i="2"/>
  <c r="N504" i="2"/>
  <c r="P914" i="2"/>
  <c r="C504" i="2"/>
  <c r="T2208" i="2"/>
  <c r="S2088" i="2"/>
  <c r="Q2193" i="2"/>
  <c r="A914" i="2"/>
  <c r="N1778" i="2"/>
  <c r="J1573" i="2"/>
  <c r="M2193" i="2"/>
  <c r="N2193" i="2"/>
  <c r="S772" i="2"/>
  <c r="S2193" i="2"/>
  <c r="P2088" i="2"/>
  <c r="G2193" i="2"/>
  <c r="G1778" i="2"/>
  <c r="H2" i="2"/>
  <c r="A2088" i="2"/>
  <c r="Q2088" i="2"/>
  <c r="D1573" i="2"/>
  <c r="N772" i="2"/>
  <c r="D2208" i="2"/>
  <c r="K1778" i="2"/>
  <c r="Q1778" i="2"/>
  <c r="M1573" i="2"/>
  <c r="Q504" i="2"/>
  <c r="H740" i="2"/>
  <c r="K2" i="2"/>
  <c r="C914" i="2"/>
  <c r="J914" i="2"/>
  <c r="T2088" i="2"/>
  <c r="K2193" i="2"/>
  <c r="S914" i="2"/>
  <c r="A2" i="2"/>
  <c r="S1573" i="2"/>
  <c r="C2208" i="2"/>
  <c r="E772" i="2"/>
  <c r="D914" i="2"/>
  <c r="T1573" i="2"/>
  <c r="A504" i="2"/>
  <c r="T504" i="2"/>
  <c r="G2208" i="2"/>
  <c r="E914" i="2"/>
  <c r="J740" i="2"/>
  <c r="T2" i="2"/>
  <c r="A1573" i="2"/>
  <c r="J1778" i="2"/>
  <c r="Q772" i="2"/>
  <c r="P1778" i="2"/>
  <c r="P740" i="2"/>
  <c r="C2193" i="2"/>
  <c r="F2208" i="2"/>
  <c r="J2" i="2"/>
  <c r="K914" i="2"/>
  <c r="R1573" i="2"/>
  <c r="A2193" i="2"/>
  <c r="M504" i="2"/>
  <c r="R2193" i="2"/>
  <c r="J2088" i="2"/>
  <c r="T1778" i="2"/>
  <c r="C740" i="2"/>
  <c r="A740" i="2"/>
  <c r="P772" i="2"/>
  <c r="K1573" i="2"/>
  <c r="Q1702" i="2"/>
  <c r="T226" i="2"/>
  <c r="H1603" i="2"/>
  <c r="O600" i="2"/>
  <c r="K1881" i="2"/>
  <c r="D1603" i="2"/>
  <c r="M430" i="2"/>
  <c r="N513" i="2"/>
  <c r="T1702" i="2"/>
  <c r="D585" i="2"/>
  <c r="J1702" i="2"/>
  <c r="K600" i="2"/>
  <c r="O585" i="2"/>
  <c r="Q430" i="2"/>
  <c r="R600" i="2"/>
  <c r="M600" i="2"/>
  <c r="C1702" i="2"/>
  <c r="S600" i="2"/>
  <c r="K585" i="2"/>
  <c r="F311" i="2"/>
  <c r="Q311" i="2"/>
  <c r="A311" i="2"/>
  <c r="F430" i="2"/>
  <c r="C311" i="2"/>
  <c r="A226" i="2"/>
  <c r="T1603" i="2"/>
  <c r="P1691" i="2"/>
  <c r="H1881" i="2"/>
  <c r="R1702" i="2"/>
  <c r="S585" i="2"/>
  <c r="E1603" i="2"/>
  <c r="N600" i="2"/>
  <c r="H311" i="2"/>
  <c r="S1881" i="2"/>
  <c r="A1603" i="2"/>
  <c r="M513" i="2"/>
  <c r="J1691" i="2"/>
  <c r="H226" i="2"/>
  <c r="O1881" i="2"/>
  <c r="F600" i="2"/>
  <c r="A600" i="2"/>
  <c r="T585" i="2"/>
  <c r="K513" i="2"/>
  <c r="G1881" i="2"/>
  <c r="G226" i="2"/>
  <c r="N226" i="2"/>
  <c r="F1691" i="2"/>
  <c r="S311" i="2"/>
  <c r="Q600" i="2"/>
  <c r="Q585" i="2"/>
  <c r="R1691" i="2"/>
  <c r="G1691" i="2"/>
  <c r="N1691" i="2"/>
  <c r="F1881" i="2"/>
  <c r="S1603" i="2"/>
  <c r="N585" i="2"/>
  <c r="D513" i="2"/>
  <c r="J430" i="2"/>
  <c r="E430" i="2"/>
  <c r="C226" i="2"/>
  <c r="C1691" i="2"/>
  <c r="R226" i="2"/>
  <c r="S430" i="2"/>
  <c r="M585" i="2"/>
  <c r="Q1603" i="2"/>
  <c r="Q1691" i="2"/>
  <c r="K1603" i="2"/>
  <c r="T513" i="2"/>
  <c r="P600" i="2"/>
  <c r="P1603" i="2"/>
  <c r="N311" i="2"/>
  <c r="T1881" i="2"/>
  <c r="P311" i="2"/>
  <c r="O430" i="2"/>
  <c r="Q513" i="2"/>
  <c r="P1702" i="2"/>
  <c r="N1702" i="2"/>
  <c r="E226" i="2"/>
  <c r="T311" i="2"/>
  <c r="R430" i="2"/>
  <c r="M1881" i="2"/>
  <c r="D600" i="2"/>
  <c r="M1691" i="2"/>
  <c r="N1603" i="2"/>
  <c r="S513" i="2"/>
  <c r="R513" i="2"/>
  <c r="O513" i="2"/>
  <c r="D1881" i="2"/>
  <c r="O311" i="2"/>
  <c r="R585" i="2"/>
  <c r="C1603" i="2"/>
  <c r="O226" i="2"/>
  <c r="H513" i="2"/>
  <c r="G585" i="2"/>
  <c r="Q1881" i="2"/>
  <c r="M226" i="2"/>
  <c r="H1691" i="2"/>
  <c r="E1691" i="2"/>
  <c r="E585" i="2"/>
  <c r="J226" i="2"/>
  <c r="M311" i="2"/>
  <c r="A1881" i="2"/>
  <c r="J513" i="2"/>
  <c r="E311" i="2"/>
  <c r="K226" i="2"/>
  <c r="C513" i="2"/>
  <c r="D430" i="2"/>
  <c r="T600" i="2"/>
  <c r="J600" i="2"/>
  <c r="S1691" i="2"/>
  <c r="C600" i="2"/>
  <c r="G1603" i="2"/>
  <c r="A1702" i="2"/>
  <c r="J311" i="2"/>
  <c r="G311" i="2"/>
  <c r="G513" i="2"/>
  <c r="T1691" i="2"/>
  <c r="A585" i="2"/>
  <c r="M1702" i="2"/>
  <c r="K1691" i="2"/>
  <c r="E600" i="2"/>
  <c r="D1702" i="2"/>
  <c r="F1603" i="2"/>
  <c r="K1702" i="2"/>
  <c r="C1881" i="2"/>
  <c r="D311" i="2"/>
  <c r="D1691" i="2"/>
  <c r="P585" i="2"/>
  <c r="A513" i="2"/>
  <c r="J585" i="2"/>
  <c r="F226" i="2"/>
  <c r="A430" i="2"/>
  <c r="G1702" i="2"/>
  <c r="N430" i="2"/>
  <c r="H1702" i="2"/>
  <c r="F513" i="2"/>
  <c r="F1702" i="2"/>
  <c r="S226" i="2"/>
  <c r="R1603" i="2"/>
  <c r="A1691" i="2"/>
  <c r="H600" i="2"/>
  <c r="D226" i="2"/>
  <c r="K311" i="2"/>
  <c r="C430" i="2"/>
  <c r="O1702" i="2"/>
  <c r="P430" i="2"/>
  <c r="E513" i="2"/>
  <c r="E1702" i="2"/>
  <c r="C585" i="2"/>
  <c r="K430" i="2"/>
  <c r="N1881" i="2"/>
  <c r="P1881" i="2"/>
  <c r="M1603" i="2"/>
  <c r="T430" i="2"/>
  <c r="E1881" i="2"/>
  <c r="G430" i="2"/>
  <c r="Q226" i="2"/>
  <c r="F585" i="2"/>
  <c r="O1603" i="2"/>
  <c r="R1881" i="2"/>
  <c r="S1702" i="2"/>
  <c r="P226" i="2"/>
  <c r="R311" i="2"/>
  <c r="O1691" i="2"/>
  <c r="P513" i="2"/>
  <c r="J1603" i="2"/>
  <c r="H585" i="2"/>
  <c r="J1881" i="2"/>
  <c r="H430" i="2"/>
  <c r="G600" i="2"/>
  <c r="Q2099" i="2"/>
  <c r="M1427" i="2"/>
  <c r="H1178" i="2"/>
  <c r="K1806" i="2"/>
  <c r="O2099" i="2"/>
  <c r="Q892" i="2"/>
  <c r="R892" i="2"/>
  <c r="H1427" i="2"/>
  <c r="S1427" i="2"/>
  <c r="O991" i="2"/>
  <c r="H991" i="2"/>
  <c r="K2099" i="2"/>
  <c r="S217" i="2"/>
  <c r="T1846" i="2"/>
  <c r="S2099" i="2"/>
  <c r="T483" i="2"/>
  <c r="P1806" i="2"/>
  <c r="P1178" i="2"/>
  <c r="N1846" i="2"/>
  <c r="Q991" i="2"/>
  <c r="F1846" i="2"/>
  <c r="S892" i="2"/>
  <c r="H1846" i="2"/>
  <c r="R217" i="2"/>
  <c r="T2099" i="2"/>
  <c r="D1846" i="2"/>
  <c r="M1806" i="2"/>
  <c r="A2099" i="2"/>
  <c r="S1806" i="2"/>
  <c r="E1178" i="2"/>
  <c r="R1178" i="2"/>
  <c r="A483" i="2"/>
  <c r="K1846" i="2"/>
  <c r="S483" i="2"/>
  <c r="N892" i="2"/>
  <c r="D1360" i="2"/>
  <c r="J1178" i="2"/>
  <c r="S991" i="2"/>
  <c r="J1806" i="2"/>
  <c r="M892" i="2"/>
  <c r="F892" i="2"/>
  <c r="A1360" i="2"/>
  <c r="F2099" i="2"/>
  <c r="M1846" i="2"/>
  <c r="E1360" i="2"/>
  <c r="Q1360" i="2"/>
  <c r="E217" i="2"/>
  <c r="S1360" i="2"/>
  <c r="N1360" i="2"/>
  <c r="T991" i="2"/>
  <c r="R991" i="2"/>
  <c r="F1806" i="2"/>
  <c r="F991" i="2"/>
  <c r="C1178" i="2"/>
  <c r="M1360" i="2"/>
  <c r="J1846" i="2"/>
  <c r="K1360" i="2"/>
  <c r="G1427" i="2"/>
  <c r="K991" i="2"/>
  <c r="J1427" i="2"/>
  <c r="A991" i="2"/>
  <c r="N2099" i="2"/>
  <c r="R1806" i="2"/>
  <c r="R1427" i="2"/>
  <c r="K1178" i="2"/>
  <c r="J892" i="2"/>
  <c r="G1846" i="2"/>
  <c r="O1806" i="2"/>
  <c r="P892" i="2"/>
  <c r="M483" i="2"/>
  <c r="A1846" i="2"/>
  <c r="O1427" i="2"/>
  <c r="N483" i="2"/>
  <c r="G2099" i="2"/>
  <c r="E991" i="2"/>
  <c r="O217" i="2"/>
  <c r="J217" i="2"/>
  <c r="N991" i="2"/>
  <c r="T217" i="2"/>
  <c r="H483" i="2"/>
  <c r="T892" i="2"/>
  <c r="D1806" i="2"/>
  <c r="J1360" i="2"/>
  <c r="C1360" i="2"/>
  <c r="C1846" i="2"/>
  <c r="M991" i="2"/>
  <c r="K892" i="2"/>
  <c r="O1178" i="2"/>
  <c r="G1360" i="2"/>
  <c r="A1806" i="2"/>
  <c r="N1427" i="2"/>
  <c r="G483" i="2"/>
  <c r="C217" i="2"/>
  <c r="N1178" i="2"/>
  <c r="G1806" i="2"/>
  <c r="T1427" i="2"/>
  <c r="C1427" i="2"/>
  <c r="K217" i="2"/>
  <c r="O1846" i="2"/>
  <c r="H892" i="2"/>
  <c r="J991" i="2"/>
  <c r="M2099" i="2"/>
  <c r="H2099" i="2"/>
  <c r="E483" i="2"/>
  <c r="T1806" i="2"/>
  <c r="R1360" i="2"/>
  <c r="H217" i="2"/>
  <c r="P1846" i="2"/>
  <c r="P217" i="2"/>
  <c r="E1427" i="2"/>
  <c r="P991" i="2"/>
  <c r="E892" i="2"/>
  <c r="P483" i="2"/>
  <c r="A217" i="2"/>
  <c r="E1806" i="2"/>
  <c r="F217" i="2"/>
  <c r="C1806" i="2"/>
  <c r="A892" i="2"/>
  <c r="G991" i="2"/>
  <c r="D1178" i="2"/>
  <c r="F483" i="2"/>
  <c r="H1360" i="2"/>
  <c r="P1427" i="2"/>
  <c r="Q217" i="2"/>
  <c r="O483" i="2"/>
  <c r="Q1178" i="2"/>
  <c r="D2099" i="2"/>
  <c r="F1178" i="2"/>
  <c r="S1846" i="2"/>
  <c r="G1178" i="2"/>
  <c r="Q1846" i="2"/>
  <c r="R2099" i="2"/>
  <c r="D1427" i="2"/>
  <c r="T1178" i="2"/>
  <c r="M217" i="2"/>
  <c r="D892" i="2"/>
  <c r="N1806" i="2"/>
  <c r="A1427" i="2"/>
  <c r="K483" i="2"/>
  <c r="J483" i="2"/>
  <c r="D991" i="2"/>
  <c r="J2099" i="2"/>
  <c r="E1846" i="2"/>
  <c r="O892" i="2"/>
  <c r="R483" i="2"/>
  <c r="E2099" i="2"/>
  <c r="F1360" i="2"/>
  <c r="C892" i="2"/>
  <c r="K1427" i="2"/>
  <c r="S1178" i="2"/>
  <c r="A1178" i="2"/>
  <c r="C483" i="2"/>
  <c r="P1360" i="2"/>
  <c r="O1360" i="2"/>
  <c r="D217" i="2"/>
  <c r="Q1427" i="2"/>
  <c r="H1806" i="2"/>
  <c r="R1846" i="2"/>
  <c r="Q483" i="2"/>
  <c r="D483" i="2"/>
  <c r="G892" i="2"/>
  <c r="P2099" i="2"/>
  <c r="C2099" i="2"/>
  <c r="Q1806" i="2"/>
  <c r="T1360" i="2"/>
  <c r="M1178" i="2"/>
  <c r="C991" i="2"/>
  <c r="N217" i="2"/>
  <c r="G217" i="2"/>
  <c r="F1427" i="2"/>
  <c r="T1208" i="2"/>
  <c r="K843" i="2"/>
  <c r="T1805" i="2"/>
  <c r="C843" i="2"/>
  <c r="H843" i="2"/>
  <c r="R2112" i="2"/>
  <c r="D1805" i="2"/>
  <c r="M1208" i="2"/>
  <c r="R1409" i="2"/>
  <c r="P1409" i="2"/>
  <c r="C2121" i="2"/>
  <c r="Q2121" i="2"/>
  <c r="N1421" i="2"/>
  <c r="E2112" i="2"/>
  <c r="F2112" i="2"/>
  <c r="N1179" i="2"/>
  <c r="J2112" i="2"/>
  <c r="N1409" i="2"/>
  <c r="M1409" i="2"/>
  <c r="H1409" i="2"/>
  <c r="H1421" i="2"/>
  <c r="M1421" i="2"/>
  <c r="J747" i="2"/>
  <c r="M1791" i="2"/>
  <c r="E843" i="2"/>
  <c r="R1208" i="2"/>
  <c r="E747" i="2"/>
  <c r="J2121" i="2"/>
  <c r="K1805" i="2"/>
  <c r="H1805" i="2"/>
  <c r="Q747" i="2"/>
  <c r="O843" i="2"/>
  <c r="T1409" i="2"/>
  <c r="J1409" i="2"/>
  <c r="G747" i="2"/>
  <c r="C1179" i="2"/>
  <c r="Q1179" i="2"/>
  <c r="N1791" i="2"/>
  <c r="M1805" i="2"/>
  <c r="H1208" i="2"/>
  <c r="P2121" i="2"/>
  <c r="E2121" i="2"/>
  <c r="N2112" i="2"/>
  <c r="P1421" i="2"/>
  <c r="A1805" i="2"/>
  <c r="C1208" i="2"/>
  <c r="N747" i="2"/>
  <c r="D747" i="2"/>
  <c r="F2121" i="2"/>
  <c r="S1421" i="2"/>
  <c r="Q2112" i="2"/>
  <c r="M747" i="2"/>
  <c r="P1791" i="2"/>
  <c r="P2112" i="2"/>
  <c r="M843" i="2"/>
  <c r="F1805" i="2"/>
  <c r="Q843" i="2"/>
  <c r="H747" i="2"/>
  <c r="O1791" i="2"/>
  <c r="P747" i="2"/>
  <c r="D1791" i="2"/>
  <c r="C2112" i="2"/>
  <c r="D2112" i="2"/>
  <c r="M2121" i="2"/>
  <c r="D843" i="2"/>
  <c r="S1208" i="2"/>
  <c r="N843" i="2"/>
  <c r="P1208" i="2"/>
  <c r="F843" i="2"/>
  <c r="K1208" i="2"/>
  <c r="G1208" i="2"/>
  <c r="E1791" i="2"/>
  <c r="G1805" i="2"/>
  <c r="R1421" i="2"/>
  <c r="A1208" i="2"/>
  <c r="G2121" i="2"/>
  <c r="Q1208" i="2"/>
  <c r="K1409" i="2"/>
  <c r="H1791" i="2"/>
  <c r="G1791" i="2"/>
  <c r="T1791" i="2"/>
  <c r="E1421" i="2"/>
  <c r="A1179" i="2"/>
  <c r="F1421" i="2"/>
  <c r="C747" i="2"/>
  <c r="J843" i="2"/>
  <c r="O1805" i="2"/>
  <c r="T2112" i="2"/>
  <c r="E1409" i="2"/>
  <c r="J1179" i="2"/>
  <c r="K2121" i="2"/>
  <c r="G843" i="2"/>
  <c r="S1791" i="2"/>
  <c r="G1179" i="2"/>
  <c r="J1421" i="2"/>
  <c r="P843" i="2"/>
  <c r="O1421" i="2"/>
  <c r="P1179" i="2"/>
  <c r="D1409" i="2"/>
  <c r="O2121" i="2"/>
  <c r="R1791" i="2"/>
  <c r="F1409" i="2"/>
  <c r="M2112" i="2"/>
  <c r="C1421" i="2"/>
  <c r="N1208" i="2"/>
  <c r="P1805" i="2"/>
  <c r="E1208" i="2"/>
  <c r="S2112" i="2"/>
  <c r="O1208" i="2"/>
  <c r="K1179" i="2"/>
  <c r="J1208" i="2"/>
  <c r="Q1409" i="2"/>
  <c r="T1179" i="2"/>
  <c r="O2112" i="2"/>
  <c r="D2121" i="2"/>
  <c r="J1805" i="2"/>
  <c r="K1791" i="2"/>
  <c r="T747" i="2"/>
  <c r="R2121" i="2"/>
  <c r="A843" i="2"/>
  <c r="O1409" i="2"/>
  <c r="A1791" i="2"/>
  <c r="E1179" i="2"/>
  <c r="Q1791" i="2"/>
  <c r="Q1421" i="2"/>
  <c r="F1179" i="2"/>
  <c r="F1208" i="2"/>
  <c r="R1805" i="2"/>
  <c r="N2121" i="2"/>
  <c r="T2121" i="2"/>
  <c r="G1421" i="2"/>
  <c r="F747" i="2"/>
  <c r="T1421" i="2"/>
  <c r="A747" i="2"/>
  <c r="J1791" i="2"/>
  <c r="S1409" i="2"/>
  <c r="S1179" i="2"/>
  <c r="E1805" i="2"/>
  <c r="G1409" i="2"/>
  <c r="S1805" i="2"/>
  <c r="S747" i="2"/>
  <c r="O1179" i="2"/>
  <c r="S843" i="2"/>
  <c r="R1179" i="2"/>
  <c r="C1805" i="2"/>
  <c r="O747" i="2"/>
  <c r="A1409" i="2"/>
  <c r="C1791" i="2"/>
  <c r="H1179" i="2"/>
  <c r="S2121" i="2"/>
  <c r="A2121" i="2"/>
  <c r="A2112" i="2"/>
  <c r="K2112" i="2"/>
  <c r="N1805" i="2"/>
  <c r="R843" i="2"/>
  <c r="H2112" i="2"/>
  <c r="A1421" i="2"/>
  <c r="D1421" i="2"/>
  <c r="R747" i="2"/>
  <c r="D1179" i="2"/>
  <c r="K1421" i="2"/>
  <c r="F1791" i="2"/>
  <c r="D1208" i="2"/>
  <c r="G2112" i="2"/>
  <c r="K747" i="2"/>
  <c r="M1179" i="2"/>
  <c r="C1409" i="2"/>
  <c r="T843" i="2"/>
  <c r="H2121" i="2"/>
  <c r="Q1805" i="2"/>
  <c r="K1551" i="2"/>
  <c r="K260" i="2"/>
  <c r="E783" i="2"/>
  <c r="T1029" i="2"/>
  <c r="S1637" i="2"/>
  <c r="K1969" i="2"/>
  <c r="R260" i="2"/>
  <c r="D783" i="2"/>
  <c r="J245" i="2"/>
  <c r="G1551" i="2"/>
  <c r="Q1029" i="2"/>
  <c r="C783" i="2"/>
  <c r="T1325" i="2"/>
  <c r="F1325" i="2"/>
  <c r="T328" i="2"/>
  <c r="R328" i="2"/>
  <c r="A1637" i="2"/>
  <c r="G245" i="2"/>
  <c r="D1637" i="2"/>
  <c r="F1029" i="2"/>
  <c r="S328" i="2"/>
  <c r="H260" i="2"/>
  <c r="F260" i="2"/>
  <c r="K328" i="2"/>
  <c r="O1969" i="2"/>
  <c r="G1969" i="2"/>
  <c r="P783" i="2"/>
  <c r="Q328" i="2"/>
  <c r="T1551" i="2"/>
  <c r="D1029" i="2"/>
  <c r="Q1637" i="2"/>
  <c r="H1637" i="2"/>
  <c r="D1325" i="2"/>
  <c r="N245" i="2"/>
  <c r="Q783" i="2"/>
  <c r="R1637" i="2"/>
  <c r="G1029" i="2"/>
  <c r="J1325" i="2"/>
  <c r="T145" i="2"/>
  <c r="E260" i="2"/>
  <c r="O1637" i="2"/>
  <c r="A145" i="2"/>
  <c r="N783" i="2"/>
  <c r="S1969" i="2"/>
  <c r="F1969" i="2"/>
  <c r="O328" i="2"/>
  <c r="H1325" i="2"/>
  <c r="O260" i="2"/>
  <c r="J1637" i="2"/>
  <c r="N260" i="2"/>
  <c r="J783" i="2"/>
  <c r="P145" i="2"/>
  <c r="R1325" i="2"/>
  <c r="S1551" i="2"/>
  <c r="T245" i="2"/>
  <c r="H245" i="2"/>
  <c r="M1969" i="2"/>
  <c r="P328" i="2"/>
  <c r="E1551" i="2"/>
  <c r="E328" i="2"/>
  <c r="T260" i="2"/>
  <c r="N328" i="2"/>
  <c r="A260" i="2"/>
  <c r="K245" i="2"/>
  <c r="Q1325" i="2"/>
  <c r="C1969" i="2"/>
  <c r="Q1551" i="2"/>
  <c r="G783" i="2"/>
  <c r="M783" i="2"/>
  <c r="R1029" i="2"/>
  <c r="Q145" i="2"/>
  <c r="D260" i="2"/>
  <c r="F145" i="2"/>
  <c r="N1325" i="2"/>
  <c r="F245" i="2"/>
  <c r="N145" i="2"/>
  <c r="M1029" i="2"/>
  <c r="M1637" i="2"/>
  <c r="N1029" i="2"/>
  <c r="C260" i="2"/>
  <c r="T1969" i="2"/>
  <c r="R1551" i="2"/>
  <c r="N1637" i="2"/>
  <c r="O1029" i="2"/>
  <c r="C1551" i="2"/>
  <c r="S245" i="2"/>
  <c r="O1551" i="2"/>
  <c r="P245" i="2"/>
  <c r="F1551" i="2"/>
  <c r="A1325" i="2"/>
  <c r="O245" i="2"/>
  <c r="O145" i="2"/>
  <c r="D145" i="2"/>
  <c r="E245" i="2"/>
  <c r="C1325" i="2"/>
  <c r="T1637" i="2"/>
  <c r="F1637" i="2"/>
  <c r="E1637" i="2"/>
  <c r="A1969" i="2"/>
  <c r="P260" i="2"/>
  <c r="D245" i="2"/>
  <c r="F783" i="2"/>
  <c r="H1551" i="2"/>
  <c r="M328" i="2"/>
  <c r="O783" i="2"/>
  <c r="E1325" i="2"/>
  <c r="D1551" i="2"/>
  <c r="N1551" i="2"/>
  <c r="S1029" i="2"/>
  <c r="D328" i="2"/>
  <c r="Q260" i="2"/>
  <c r="J328" i="2"/>
  <c r="K145" i="2"/>
  <c r="M145" i="2"/>
  <c r="K783" i="2"/>
  <c r="M245" i="2"/>
  <c r="C1637" i="2"/>
  <c r="G1325" i="2"/>
  <c r="R145" i="2"/>
  <c r="H328" i="2"/>
  <c r="C145" i="2"/>
  <c r="E1969" i="2"/>
  <c r="A1551" i="2"/>
  <c r="J1029" i="2"/>
  <c r="S1325" i="2"/>
  <c r="R245" i="2"/>
  <c r="G1637" i="2"/>
  <c r="P1029" i="2"/>
  <c r="S145" i="2"/>
  <c r="R1969" i="2"/>
  <c r="P1637" i="2"/>
  <c r="P1325" i="2"/>
  <c r="P1551" i="2"/>
  <c r="D1969" i="2"/>
  <c r="Q1969" i="2"/>
  <c r="A328" i="2"/>
  <c r="C1029" i="2"/>
  <c r="H1969" i="2"/>
  <c r="M1325" i="2"/>
  <c r="J1969" i="2"/>
  <c r="G328" i="2"/>
  <c r="G260" i="2"/>
  <c r="P1969" i="2"/>
  <c r="H1029" i="2"/>
  <c r="K1029" i="2"/>
  <c r="S783" i="2"/>
  <c r="C245" i="2"/>
  <c r="E145" i="2"/>
  <c r="J260" i="2"/>
  <c r="O1325" i="2"/>
  <c r="Q245" i="2"/>
  <c r="F328" i="2"/>
  <c r="A783" i="2"/>
  <c r="R783" i="2"/>
  <c r="A1029" i="2"/>
  <c r="M260" i="2"/>
  <c r="J145" i="2"/>
  <c r="H783" i="2"/>
  <c r="M1551" i="2"/>
  <c r="J1551" i="2"/>
  <c r="E1029" i="2"/>
  <c r="C328" i="2"/>
  <c r="S260" i="2"/>
  <c r="H145" i="2"/>
  <c r="K1637" i="2"/>
  <c r="A245" i="2"/>
  <c r="G145" i="2"/>
  <c r="T783" i="2"/>
  <c r="K1325" i="2"/>
  <c r="N1969" i="2"/>
  <c r="J361" i="2"/>
  <c r="S361" i="2"/>
  <c r="F1518" i="2"/>
  <c r="E1597" i="2"/>
  <c r="K25" i="2"/>
  <c r="F1964" i="2"/>
  <c r="A1518" i="2"/>
  <c r="S1156" i="2"/>
  <c r="R338" i="2"/>
  <c r="F1998" i="2"/>
  <c r="O361" i="2"/>
  <c r="Q361" i="2"/>
  <c r="N338" i="2"/>
  <c r="F1597" i="2"/>
  <c r="J1597" i="2"/>
  <c r="E1736" i="2"/>
  <c r="P1597" i="2"/>
  <c r="O1998" i="2"/>
  <c r="C1518" i="2"/>
  <c r="S1964" i="2"/>
  <c r="C338" i="2"/>
  <c r="R1772" i="2"/>
  <c r="G1772" i="2"/>
  <c r="T1736" i="2"/>
  <c r="M1518" i="2"/>
  <c r="D1964" i="2"/>
  <c r="P1772" i="2"/>
  <c r="T25" i="2"/>
  <c r="P1736" i="2"/>
  <c r="S1736" i="2"/>
  <c r="H1736" i="2"/>
  <c r="F1156" i="2"/>
  <c r="R1736" i="2"/>
  <c r="T1518" i="2"/>
  <c r="R1156" i="2"/>
  <c r="Q1998" i="2"/>
  <c r="G1998" i="2"/>
  <c r="E1156" i="2"/>
  <c r="C1998" i="2"/>
  <c r="R1964" i="2"/>
  <c r="C25" i="2"/>
  <c r="N25" i="2"/>
  <c r="S1518" i="2"/>
  <c r="N1597" i="2"/>
  <c r="M1998" i="2"/>
  <c r="D1772" i="2"/>
  <c r="R25" i="2"/>
  <c r="N361" i="2"/>
  <c r="D361" i="2"/>
  <c r="D1998" i="2"/>
  <c r="T338" i="2"/>
  <c r="Q1772" i="2"/>
  <c r="G1964" i="2"/>
  <c r="J1964" i="2"/>
  <c r="K361" i="2"/>
  <c r="T1597" i="2"/>
  <c r="A1772" i="2"/>
  <c r="E1998" i="2"/>
  <c r="K1736" i="2"/>
  <c r="E1964" i="2"/>
  <c r="K338" i="2"/>
  <c r="R1597" i="2"/>
  <c r="F361" i="2"/>
  <c r="H1998" i="2"/>
  <c r="N1156" i="2"/>
  <c r="J1772" i="2"/>
  <c r="R1518" i="2"/>
  <c r="M1156" i="2"/>
  <c r="A338" i="2"/>
  <c r="T1156" i="2"/>
  <c r="G1736" i="2"/>
  <c r="T1772" i="2"/>
  <c r="S25" i="2"/>
  <c r="J1156" i="2"/>
  <c r="O338" i="2"/>
  <c r="D1736" i="2"/>
  <c r="P1518" i="2"/>
  <c r="G25" i="2"/>
  <c r="O1772" i="2"/>
  <c r="C1156" i="2"/>
  <c r="C1772" i="2"/>
  <c r="M361" i="2"/>
  <c r="M1964" i="2"/>
  <c r="D1597" i="2"/>
  <c r="K1518" i="2"/>
  <c r="C361" i="2"/>
  <c r="S338" i="2"/>
  <c r="G338" i="2"/>
  <c r="H1597" i="2"/>
  <c r="F1772" i="2"/>
  <c r="E25" i="2"/>
  <c r="H1964" i="2"/>
  <c r="Q1518" i="2"/>
  <c r="O25" i="2"/>
  <c r="R1998" i="2"/>
  <c r="S1772" i="2"/>
  <c r="A25" i="2"/>
  <c r="M338" i="2"/>
  <c r="R361" i="2"/>
  <c r="P1964" i="2"/>
  <c r="P1998" i="2"/>
  <c r="H1518" i="2"/>
  <c r="D1156" i="2"/>
  <c r="A1156" i="2"/>
  <c r="C1964" i="2"/>
  <c r="O1156" i="2"/>
  <c r="N1964" i="2"/>
  <c r="M1772" i="2"/>
  <c r="J1998" i="2"/>
  <c r="H361" i="2"/>
  <c r="H25" i="2"/>
  <c r="N1998" i="2"/>
  <c r="A361" i="2"/>
  <c r="T1964" i="2"/>
  <c r="H1156" i="2"/>
  <c r="J1736" i="2"/>
  <c r="Q25" i="2"/>
  <c r="Q1736" i="2"/>
  <c r="O1518" i="2"/>
  <c r="O1736" i="2"/>
  <c r="N1772" i="2"/>
  <c r="H1772" i="2"/>
  <c r="J338" i="2"/>
  <c r="Q1964" i="2"/>
  <c r="P1156" i="2"/>
  <c r="T361" i="2"/>
  <c r="M1597" i="2"/>
  <c r="E1518" i="2"/>
  <c r="F25" i="2"/>
  <c r="C1597" i="2"/>
  <c r="E338" i="2"/>
  <c r="K1597" i="2"/>
  <c r="K1964" i="2"/>
  <c r="A1998" i="2"/>
  <c r="O1597" i="2"/>
  <c r="G1597" i="2"/>
  <c r="S1998" i="2"/>
  <c r="P25" i="2"/>
  <c r="N1736" i="2"/>
  <c r="D1518" i="2"/>
  <c r="G1156" i="2"/>
  <c r="G361" i="2"/>
  <c r="S1597" i="2"/>
  <c r="M25" i="2"/>
  <c r="J1518" i="2"/>
  <c r="F1736" i="2"/>
  <c r="D338" i="2"/>
  <c r="K1156" i="2"/>
  <c r="P361" i="2"/>
  <c r="A1736" i="2"/>
  <c r="M1736" i="2"/>
  <c r="Q338" i="2"/>
  <c r="Q1597" i="2"/>
  <c r="G1518" i="2"/>
  <c r="F338" i="2"/>
  <c r="P338" i="2"/>
  <c r="K1998" i="2"/>
  <c r="D25" i="2"/>
  <c r="A1964" i="2"/>
  <c r="O1964" i="2"/>
  <c r="K1772" i="2"/>
  <c r="T1998" i="2"/>
  <c r="E361" i="2"/>
  <c r="H338" i="2"/>
  <c r="A1597" i="2"/>
  <c r="Q1156" i="2"/>
  <c r="J25" i="2"/>
  <c r="C1736" i="2"/>
  <c r="E1772" i="2"/>
  <c r="N1518" i="2"/>
  <c r="C1598" i="2"/>
  <c r="Q490" i="2"/>
  <c r="E490" i="2"/>
  <c r="P490" i="2"/>
  <c r="P1598" i="2"/>
  <c r="E611" i="2"/>
  <c r="S1251" i="2"/>
  <c r="J1598" i="2"/>
  <c r="O1242" i="2"/>
  <c r="K1242" i="2"/>
  <c r="E595" i="2"/>
  <c r="S1598" i="2"/>
  <c r="H1352" i="2"/>
  <c r="M1598" i="2"/>
  <c r="E1242" i="2"/>
  <c r="T1242" i="2"/>
  <c r="F1575" i="2"/>
  <c r="T1598" i="2"/>
  <c r="H1598" i="2"/>
  <c r="D1251" i="2"/>
  <c r="S56" i="2"/>
  <c r="T2105" i="2"/>
  <c r="F56" i="2"/>
  <c r="D1242" i="2"/>
  <c r="R56" i="2"/>
  <c r="K1251" i="2"/>
  <c r="Q56" i="2"/>
  <c r="O1598" i="2"/>
  <c r="E1251" i="2"/>
  <c r="T595" i="2"/>
  <c r="E2105" i="2"/>
  <c r="M595" i="2"/>
  <c r="T1251" i="2"/>
  <c r="R1352" i="2"/>
  <c r="M1575" i="2"/>
  <c r="N595" i="2"/>
  <c r="T490" i="2"/>
  <c r="F490" i="2"/>
  <c r="O1352" i="2"/>
  <c r="G1575" i="2"/>
  <c r="D611" i="2"/>
  <c r="H56" i="2"/>
  <c r="C2105" i="2"/>
  <c r="C56" i="2"/>
  <c r="T1352" i="2"/>
  <c r="H595" i="2"/>
  <c r="J1575" i="2"/>
  <c r="N611" i="2"/>
  <c r="O595" i="2"/>
  <c r="K1352" i="2"/>
  <c r="A1242" i="2"/>
  <c r="M611" i="2"/>
  <c r="R1575" i="2"/>
  <c r="O56" i="2"/>
  <c r="J2105" i="2"/>
  <c r="K56" i="2"/>
  <c r="K490" i="2"/>
  <c r="K1598" i="2"/>
  <c r="F1251" i="2"/>
  <c r="P1352" i="2"/>
  <c r="Q1575" i="2"/>
  <c r="K1575" i="2"/>
  <c r="S1575" i="2"/>
  <c r="Q595" i="2"/>
  <c r="G1352" i="2"/>
  <c r="O1575" i="2"/>
  <c r="C1242" i="2"/>
  <c r="E56" i="2"/>
  <c r="P1575" i="2"/>
  <c r="J56" i="2"/>
  <c r="A2105" i="2"/>
  <c r="H1251" i="2"/>
  <c r="N2105" i="2"/>
  <c r="T56" i="2"/>
  <c r="H1242" i="2"/>
  <c r="D1598" i="2"/>
  <c r="S595" i="2"/>
  <c r="P56" i="2"/>
  <c r="N1251" i="2"/>
  <c r="N1352" i="2"/>
  <c r="F1242" i="2"/>
  <c r="S1242" i="2"/>
  <c r="R595" i="2"/>
  <c r="J1251" i="2"/>
  <c r="S611" i="2"/>
  <c r="A1352" i="2"/>
  <c r="D595" i="2"/>
  <c r="Q2105" i="2"/>
  <c r="F595" i="2"/>
  <c r="Q1598" i="2"/>
  <c r="C611" i="2"/>
  <c r="C1575" i="2"/>
  <c r="O611" i="2"/>
  <c r="G1251" i="2"/>
  <c r="A490" i="2"/>
  <c r="O2105" i="2"/>
  <c r="H1575" i="2"/>
  <c r="G1242" i="2"/>
  <c r="F1352" i="2"/>
  <c r="R1598" i="2"/>
  <c r="M1251" i="2"/>
  <c r="S1352" i="2"/>
  <c r="M1242" i="2"/>
  <c r="E1598" i="2"/>
  <c r="P595" i="2"/>
  <c r="A1598" i="2"/>
  <c r="J1352" i="2"/>
  <c r="R611" i="2"/>
  <c r="D1575" i="2"/>
  <c r="J1242" i="2"/>
  <c r="E1352" i="2"/>
  <c r="J490" i="2"/>
  <c r="K595" i="2"/>
  <c r="D490" i="2"/>
  <c r="S2105" i="2"/>
  <c r="G2105" i="2"/>
  <c r="O490" i="2"/>
  <c r="R2105" i="2"/>
  <c r="N490" i="2"/>
  <c r="K611" i="2"/>
  <c r="T611" i="2"/>
  <c r="F611" i="2"/>
  <c r="K2105" i="2"/>
  <c r="N1598" i="2"/>
  <c r="Q1242" i="2"/>
  <c r="G1598" i="2"/>
  <c r="H611" i="2"/>
  <c r="Q1251" i="2"/>
  <c r="M2105" i="2"/>
  <c r="P1242" i="2"/>
  <c r="A56" i="2"/>
  <c r="H490" i="2"/>
  <c r="D1352" i="2"/>
  <c r="A1575" i="2"/>
  <c r="M490" i="2"/>
  <c r="C595" i="2"/>
  <c r="R1251" i="2"/>
  <c r="C1251" i="2"/>
  <c r="P2105" i="2"/>
  <c r="Q1352" i="2"/>
  <c r="S490" i="2"/>
  <c r="D2105" i="2"/>
  <c r="J611" i="2"/>
  <c r="C1352" i="2"/>
  <c r="J595" i="2"/>
  <c r="N56" i="2"/>
  <c r="N1575" i="2"/>
  <c r="G56" i="2"/>
  <c r="C490" i="2"/>
  <c r="N1242" i="2"/>
  <c r="H2105" i="2"/>
  <c r="E1575" i="2"/>
  <c r="D56" i="2"/>
  <c r="A595" i="2"/>
  <c r="A611" i="2"/>
  <c r="P1251" i="2"/>
  <c r="Q611" i="2"/>
  <c r="R490" i="2"/>
  <c r="G611" i="2"/>
  <c r="A1251" i="2"/>
  <c r="M1352" i="2"/>
  <c r="T1575" i="2"/>
  <c r="F1598" i="2"/>
  <c r="G595" i="2"/>
  <c r="O1251" i="2"/>
  <c r="F2105" i="2"/>
  <c r="R1242" i="2"/>
  <c r="P611" i="2"/>
  <c r="G490" i="2"/>
  <c r="M56" i="2"/>
  <c r="C1653" i="2"/>
  <c r="F1659" i="2"/>
  <c r="N1985" i="2"/>
  <c r="N1653" i="2"/>
  <c r="J1653" i="2"/>
  <c r="F1446" i="2"/>
  <c r="R1724" i="2"/>
  <c r="F829" i="2"/>
  <c r="G1999" i="2"/>
  <c r="N1858" i="2"/>
  <c r="J1659" i="2"/>
  <c r="P1985" i="2"/>
  <c r="O1436" i="2"/>
  <c r="C1446" i="2"/>
  <c r="Q632" i="2"/>
  <c r="N632" i="2"/>
  <c r="D1653" i="2"/>
  <c r="T1999" i="2"/>
  <c r="Q1446" i="2"/>
  <c r="P1724" i="2"/>
  <c r="E632" i="2"/>
  <c r="H1985" i="2"/>
  <c r="E1858" i="2"/>
  <c r="P1436" i="2"/>
  <c r="Q1724" i="2"/>
  <c r="T829" i="2"/>
  <c r="D1985" i="2"/>
  <c r="O1858" i="2"/>
  <c r="F1436" i="2"/>
  <c r="D1858" i="2"/>
  <c r="S632" i="2"/>
  <c r="Q1436" i="2"/>
  <c r="S1659" i="2"/>
  <c r="H829" i="2"/>
  <c r="E1724" i="2"/>
  <c r="O1985" i="2"/>
  <c r="M829" i="2"/>
  <c r="C632" i="2"/>
  <c r="C1985" i="2"/>
  <c r="K1653" i="2"/>
  <c r="C1999" i="2"/>
  <c r="T1659" i="2"/>
  <c r="A1659" i="2"/>
  <c r="G1724" i="2"/>
  <c r="R1446" i="2"/>
  <c r="T1436" i="2"/>
  <c r="J1858" i="2"/>
  <c r="D1436" i="2"/>
  <c r="S1436" i="2"/>
  <c r="O1724" i="2"/>
  <c r="M1653" i="2"/>
  <c r="F1858" i="2"/>
  <c r="Q1985" i="2"/>
  <c r="S829" i="2"/>
  <c r="R1999" i="2"/>
  <c r="Q1659" i="2"/>
  <c r="R829" i="2"/>
  <c r="C829" i="2"/>
  <c r="N1724" i="2"/>
  <c r="E1985" i="2"/>
  <c r="D1446" i="2"/>
  <c r="R632" i="2"/>
  <c r="T1858" i="2"/>
  <c r="T1446" i="2"/>
  <c r="R1653" i="2"/>
  <c r="M1659" i="2"/>
  <c r="G1446" i="2"/>
  <c r="N1436" i="2"/>
  <c r="P1653" i="2"/>
  <c r="E1446" i="2"/>
  <c r="J632" i="2"/>
  <c r="G829" i="2"/>
  <c r="S1858" i="2"/>
  <c r="K1858" i="2"/>
  <c r="J1724" i="2"/>
  <c r="S1999" i="2"/>
  <c r="N1446" i="2"/>
  <c r="K829" i="2"/>
  <c r="F1999" i="2"/>
  <c r="T1724" i="2"/>
  <c r="A1653" i="2"/>
  <c r="C1436" i="2"/>
  <c r="F1724" i="2"/>
  <c r="H1446" i="2"/>
  <c r="C1659" i="2"/>
  <c r="A1446" i="2"/>
  <c r="Q1858" i="2"/>
  <c r="M1858" i="2"/>
  <c r="C1858" i="2"/>
  <c r="J1446" i="2"/>
  <c r="R1436" i="2"/>
  <c r="K632" i="2"/>
  <c r="R1659" i="2"/>
  <c r="K1659" i="2"/>
  <c r="R1985" i="2"/>
  <c r="E1653" i="2"/>
  <c r="K1436" i="2"/>
  <c r="K1985" i="2"/>
  <c r="A1858" i="2"/>
  <c r="M1999" i="2"/>
  <c r="G632" i="2"/>
  <c r="H1436" i="2"/>
  <c r="F632" i="2"/>
  <c r="N1999" i="2"/>
  <c r="P1659" i="2"/>
  <c r="A1436" i="2"/>
  <c r="R1858" i="2"/>
  <c r="M1724" i="2"/>
  <c r="D1724" i="2"/>
  <c r="E829" i="2"/>
  <c r="P1446" i="2"/>
  <c r="M632" i="2"/>
  <c r="Q829" i="2"/>
  <c r="O829" i="2"/>
  <c r="K1999" i="2"/>
  <c r="H632" i="2"/>
  <c r="F1653" i="2"/>
  <c r="S1653" i="2"/>
  <c r="S1985" i="2"/>
  <c r="P632" i="2"/>
  <c r="G1985" i="2"/>
  <c r="G1436" i="2"/>
  <c r="M1446" i="2"/>
  <c r="H1858" i="2"/>
  <c r="G1858" i="2"/>
  <c r="O1446" i="2"/>
  <c r="A632" i="2"/>
  <c r="S1446" i="2"/>
  <c r="M1436" i="2"/>
  <c r="M1985" i="2"/>
  <c r="N1659" i="2"/>
  <c r="P829" i="2"/>
  <c r="H1724" i="2"/>
  <c r="E1999" i="2"/>
  <c r="O1999" i="2"/>
  <c r="J1999" i="2"/>
  <c r="D1999" i="2"/>
  <c r="S1724" i="2"/>
  <c r="D829" i="2"/>
  <c r="Q1999" i="2"/>
  <c r="O1653" i="2"/>
  <c r="O1659" i="2"/>
  <c r="G1659" i="2"/>
  <c r="J829" i="2"/>
  <c r="O632" i="2"/>
  <c r="P1999" i="2"/>
  <c r="H1659" i="2"/>
  <c r="J1436" i="2"/>
  <c r="H1999" i="2"/>
  <c r="T1653" i="2"/>
  <c r="A1985" i="2"/>
  <c r="F1985" i="2"/>
  <c r="A829" i="2"/>
  <c r="Q1653" i="2"/>
  <c r="H1653" i="2"/>
  <c r="A1724" i="2"/>
  <c r="T1985" i="2"/>
  <c r="K1724" i="2"/>
  <c r="T632" i="2"/>
  <c r="C1724" i="2"/>
  <c r="E1659" i="2"/>
  <c r="N829" i="2"/>
  <c r="K1446" i="2"/>
  <c r="J1985" i="2"/>
  <c r="A1999" i="2"/>
  <c r="D1659" i="2"/>
  <c r="E1436" i="2"/>
  <c r="P1858" i="2"/>
  <c r="G1653" i="2"/>
  <c r="D632" i="2"/>
  <c r="K647" i="2"/>
  <c r="G987" i="2"/>
  <c r="P1938" i="2"/>
  <c r="J2205" i="2"/>
  <c r="J647" i="2"/>
  <c r="R1891" i="2"/>
  <c r="R1938" i="2"/>
  <c r="N1092" i="2"/>
  <c r="A647" i="2"/>
  <c r="E647" i="2"/>
  <c r="C647" i="2"/>
  <c r="N825" i="2"/>
  <c r="E987" i="2"/>
  <c r="P825" i="2"/>
  <c r="R385" i="2"/>
  <c r="K385" i="2"/>
  <c r="R1092" i="2"/>
  <c r="F385" i="2"/>
  <c r="T647" i="2"/>
  <c r="T907" i="2"/>
  <c r="F825" i="2"/>
  <c r="H1092" i="2"/>
  <c r="H647" i="2"/>
  <c r="F1938" i="2"/>
  <c r="A32" i="2"/>
  <c r="A987" i="2"/>
  <c r="O907" i="2"/>
  <c r="J32" i="2"/>
  <c r="G647" i="2"/>
  <c r="M32" i="2"/>
  <c r="H2205" i="2"/>
  <c r="N1938" i="2"/>
  <c r="A1938" i="2"/>
  <c r="K825" i="2"/>
  <c r="N987" i="2"/>
  <c r="Q825" i="2"/>
  <c r="O1092" i="2"/>
  <c r="R32" i="2"/>
  <c r="C1891" i="2"/>
  <c r="C385" i="2"/>
  <c r="C987" i="2"/>
  <c r="M647" i="2"/>
  <c r="J825" i="2"/>
  <c r="S1938" i="2"/>
  <c r="T1938" i="2"/>
  <c r="E1891" i="2"/>
  <c r="S32" i="2"/>
  <c r="Q1891" i="2"/>
  <c r="D1891" i="2"/>
  <c r="T1092" i="2"/>
  <c r="F1092" i="2"/>
  <c r="H1891" i="2"/>
  <c r="O385" i="2"/>
  <c r="K1938" i="2"/>
  <c r="G1891" i="2"/>
  <c r="M1092" i="2"/>
  <c r="H32" i="2"/>
  <c r="D1938" i="2"/>
  <c r="K32" i="2"/>
  <c r="M907" i="2"/>
  <c r="A385" i="2"/>
  <c r="C907" i="2"/>
  <c r="N647" i="2"/>
  <c r="H1938" i="2"/>
  <c r="S647" i="2"/>
  <c r="P647" i="2"/>
  <c r="K1092" i="2"/>
  <c r="O647" i="2"/>
  <c r="G385" i="2"/>
  <c r="J1938" i="2"/>
  <c r="E1092" i="2"/>
  <c r="G907" i="2"/>
  <c r="R2205" i="2"/>
  <c r="D907" i="2"/>
  <c r="E1938" i="2"/>
  <c r="P1092" i="2"/>
  <c r="A825" i="2"/>
  <c r="E907" i="2"/>
  <c r="P32" i="2"/>
  <c r="J987" i="2"/>
  <c r="M1938" i="2"/>
  <c r="C32" i="2"/>
  <c r="C1938" i="2"/>
  <c r="J1891" i="2"/>
  <c r="H825" i="2"/>
  <c r="S385" i="2"/>
  <c r="O2205" i="2"/>
  <c r="T385" i="2"/>
  <c r="N385" i="2"/>
  <c r="C825" i="2"/>
  <c r="F1891" i="2"/>
  <c r="R825" i="2"/>
  <c r="G32" i="2"/>
  <c r="C2205" i="2"/>
  <c r="F987" i="2"/>
  <c r="Q32" i="2"/>
  <c r="Q907" i="2"/>
  <c r="Q1092" i="2"/>
  <c r="S1891" i="2"/>
  <c r="Q987" i="2"/>
  <c r="P987" i="2"/>
  <c r="P2205" i="2"/>
  <c r="D2205" i="2"/>
  <c r="F647" i="2"/>
  <c r="J385" i="2"/>
  <c r="M825" i="2"/>
  <c r="M1891" i="2"/>
  <c r="A1891" i="2"/>
  <c r="E825" i="2"/>
  <c r="J1092" i="2"/>
  <c r="D32" i="2"/>
  <c r="K907" i="2"/>
  <c r="E2205" i="2"/>
  <c r="D1092" i="2"/>
  <c r="T2205" i="2"/>
  <c r="S2205" i="2"/>
  <c r="N907" i="2"/>
  <c r="F32" i="2"/>
  <c r="O32" i="2"/>
  <c r="T987" i="2"/>
  <c r="G1938" i="2"/>
  <c r="E32" i="2"/>
  <c r="Q647" i="2"/>
  <c r="R907" i="2"/>
  <c r="D987" i="2"/>
  <c r="O1891" i="2"/>
  <c r="R987" i="2"/>
  <c r="G2205" i="2"/>
  <c r="G825" i="2"/>
  <c r="H385" i="2"/>
  <c r="Q1938" i="2"/>
  <c r="K2205" i="2"/>
  <c r="D385" i="2"/>
  <c r="Q385" i="2"/>
  <c r="T1891" i="2"/>
  <c r="M2205" i="2"/>
  <c r="P907" i="2"/>
  <c r="F907" i="2"/>
  <c r="A1092" i="2"/>
  <c r="D647" i="2"/>
  <c r="Q2205" i="2"/>
  <c r="S907" i="2"/>
  <c r="F2205" i="2"/>
  <c r="O987" i="2"/>
  <c r="T32" i="2"/>
  <c r="P385" i="2"/>
  <c r="A907" i="2"/>
  <c r="K987" i="2"/>
  <c r="D825" i="2"/>
  <c r="N1891" i="2"/>
  <c r="H987" i="2"/>
  <c r="C1092" i="2"/>
  <c r="M987" i="2"/>
  <c r="H907" i="2"/>
  <c r="A2205" i="2"/>
  <c r="E385" i="2"/>
  <c r="O825" i="2"/>
  <c r="S825" i="2"/>
  <c r="P1891" i="2"/>
  <c r="S1092" i="2"/>
  <c r="T825" i="2"/>
  <c r="M385" i="2"/>
  <c r="O1938" i="2"/>
  <c r="N2205" i="2"/>
  <c r="S987" i="2"/>
  <c r="R647" i="2"/>
  <c r="N32" i="2"/>
  <c r="J907" i="2"/>
  <c r="K1891" i="2"/>
  <c r="G1092" i="2"/>
  <c r="G682" i="2"/>
  <c r="M719" i="2"/>
  <c r="P2186" i="2"/>
  <c r="K719" i="2"/>
  <c r="J719" i="2"/>
  <c r="N257" i="2"/>
  <c r="S1983" i="2"/>
  <c r="R1203" i="2"/>
  <c r="R113" i="2"/>
  <c r="O257" i="2"/>
  <c r="S2186" i="2"/>
  <c r="M1983" i="2"/>
  <c r="M233" i="2"/>
  <c r="F2186" i="2"/>
  <c r="K1871" i="2"/>
  <c r="Q719" i="2"/>
  <c r="A113" i="2"/>
  <c r="T719" i="2"/>
  <c r="O1983" i="2"/>
  <c r="F257" i="2"/>
  <c r="S113" i="2"/>
  <c r="P1871" i="2"/>
  <c r="S682" i="2"/>
  <c r="C1871" i="2"/>
  <c r="A67" i="2"/>
  <c r="P719" i="2"/>
  <c r="K233" i="2"/>
  <c r="Q67" i="2"/>
  <c r="A1871" i="2"/>
  <c r="C113" i="2"/>
  <c r="J67" i="2"/>
  <c r="D1983" i="2"/>
  <c r="E113" i="2"/>
  <c r="P1983" i="2"/>
  <c r="F67" i="2"/>
  <c r="E1871" i="2"/>
  <c r="R2186" i="2"/>
  <c r="N719" i="2"/>
  <c r="C257" i="2"/>
  <c r="E233" i="2"/>
  <c r="R1983" i="2"/>
  <c r="T233" i="2"/>
  <c r="D113" i="2"/>
  <c r="K67" i="2"/>
  <c r="M2186" i="2"/>
  <c r="H682" i="2"/>
  <c r="C682" i="2"/>
  <c r="M67" i="2"/>
  <c r="M1871" i="2"/>
  <c r="O233" i="2"/>
  <c r="R257" i="2"/>
  <c r="T113" i="2"/>
  <c r="K1983" i="2"/>
  <c r="P257" i="2"/>
  <c r="F233" i="2"/>
  <c r="Q2186" i="2"/>
  <c r="A1983" i="2"/>
  <c r="J2186" i="2"/>
  <c r="G67" i="2"/>
  <c r="O2186" i="2"/>
  <c r="O1203" i="2"/>
  <c r="N67" i="2"/>
  <c r="C67" i="2"/>
  <c r="R233" i="2"/>
  <c r="O719" i="2"/>
  <c r="N1203" i="2"/>
  <c r="H1871" i="2"/>
  <c r="G719" i="2"/>
  <c r="O682" i="2"/>
  <c r="H113" i="2"/>
  <c r="O1871" i="2"/>
  <c r="D233" i="2"/>
  <c r="T1983" i="2"/>
  <c r="H2186" i="2"/>
  <c r="T67" i="2"/>
  <c r="R1871" i="2"/>
  <c r="A719" i="2"/>
  <c r="D719" i="2"/>
  <c r="N233" i="2"/>
  <c r="T1871" i="2"/>
  <c r="J233" i="2"/>
  <c r="E682" i="2"/>
  <c r="M682" i="2"/>
  <c r="A682" i="2"/>
  <c r="F1203" i="2"/>
  <c r="Q113" i="2"/>
  <c r="J1983" i="2"/>
  <c r="K113" i="2"/>
  <c r="D67" i="2"/>
  <c r="J682" i="2"/>
  <c r="K2186" i="2"/>
  <c r="S1203" i="2"/>
  <c r="Q1871" i="2"/>
  <c r="H719" i="2"/>
  <c r="G1871" i="2"/>
  <c r="N113" i="2"/>
  <c r="F682" i="2"/>
  <c r="J257" i="2"/>
  <c r="S719" i="2"/>
  <c r="D1203" i="2"/>
  <c r="H1983" i="2"/>
  <c r="G233" i="2"/>
  <c r="K1203" i="2"/>
  <c r="D682" i="2"/>
  <c r="F113" i="2"/>
  <c r="K682" i="2"/>
  <c r="N682" i="2"/>
  <c r="E2186" i="2"/>
  <c r="Q682" i="2"/>
  <c r="T257" i="2"/>
  <c r="H1203" i="2"/>
  <c r="Q233" i="2"/>
  <c r="P67" i="2"/>
  <c r="F1983" i="2"/>
  <c r="M257" i="2"/>
  <c r="J1203" i="2"/>
  <c r="A2186" i="2"/>
  <c r="Q1983" i="2"/>
  <c r="S67" i="2"/>
  <c r="P1203" i="2"/>
  <c r="A1203" i="2"/>
  <c r="N1871" i="2"/>
  <c r="M1203" i="2"/>
  <c r="Q1203" i="2"/>
  <c r="C1203" i="2"/>
  <c r="C1983" i="2"/>
  <c r="D2186" i="2"/>
  <c r="T1203" i="2"/>
  <c r="G1203" i="2"/>
  <c r="E719" i="2"/>
  <c r="G113" i="2"/>
  <c r="T2186" i="2"/>
  <c r="H67" i="2"/>
  <c r="G2186" i="2"/>
  <c r="J113" i="2"/>
  <c r="S233" i="2"/>
  <c r="N2186" i="2"/>
  <c r="R682" i="2"/>
  <c r="O113" i="2"/>
  <c r="D257" i="2"/>
  <c r="R67" i="2"/>
  <c r="E257" i="2"/>
  <c r="C719" i="2"/>
  <c r="M113" i="2"/>
  <c r="J1871" i="2"/>
  <c r="R719" i="2"/>
  <c r="G1983" i="2"/>
  <c r="O67" i="2"/>
  <c r="N1983" i="2"/>
  <c r="F1871" i="2"/>
  <c r="P682" i="2"/>
  <c r="A233" i="2"/>
  <c r="C233" i="2"/>
  <c r="Q257" i="2"/>
  <c r="K257" i="2"/>
  <c r="A257" i="2"/>
  <c r="H257" i="2"/>
  <c r="S257" i="2"/>
  <c r="D1871" i="2"/>
  <c r="P233" i="2"/>
  <c r="C2186" i="2"/>
  <c r="G257" i="2"/>
  <c r="F719" i="2"/>
  <c r="E1983" i="2"/>
  <c r="E1203" i="2"/>
  <c r="E67" i="2"/>
  <c r="S1871" i="2"/>
  <c r="H233" i="2"/>
  <c r="T682" i="2"/>
  <c r="P113" i="2"/>
  <c r="T630" i="2"/>
  <c r="G1620" i="2"/>
  <c r="E915" i="2"/>
  <c r="Q495" i="2"/>
  <c r="T645" i="2"/>
  <c r="C688" i="2"/>
  <c r="C536" i="2"/>
  <c r="O49" i="2"/>
  <c r="Q49" i="2"/>
  <c r="D49" i="2"/>
  <c r="M49" i="2"/>
  <c r="N1855" i="2"/>
  <c r="J507" i="2"/>
  <c r="M915" i="2"/>
  <c r="M2224" i="2"/>
  <c r="N507" i="2"/>
  <c r="G495" i="2"/>
  <c r="J1620" i="2"/>
  <c r="P1128" i="2"/>
  <c r="Q188" i="2"/>
  <c r="H1855" i="2"/>
  <c r="N1620" i="2"/>
  <c r="T105" i="2"/>
  <c r="F1855" i="2"/>
  <c r="O495" i="2"/>
  <c r="O1194" i="2"/>
  <c r="H507" i="2"/>
  <c r="D188" i="2"/>
  <c r="E522" i="2"/>
  <c r="R1194" i="2"/>
  <c r="R1855" i="2"/>
  <c r="F1620" i="2"/>
  <c r="J2224" i="2"/>
  <c r="Q75" i="2"/>
  <c r="R630" i="2"/>
  <c r="M188" i="2"/>
  <c r="R75" i="2"/>
  <c r="E507" i="2"/>
  <c r="R688" i="2"/>
  <c r="Q575" i="2"/>
  <c r="J495" i="2"/>
  <c r="S696" i="2"/>
  <c r="G688" i="2"/>
  <c r="J105" i="2"/>
  <c r="C1855" i="2"/>
  <c r="A1103" i="2"/>
  <c r="M105" i="2"/>
  <c r="G915" i="2"/>
  <c r="J1128" i="2"/>
  <c r="F495" i="2"/>
  <c r="P495" i="2"/>
  <c r="E1103" i="2"/>
  <c r="H688" i="2"/>
  <c r="J522" i="2"/>
  <c r="O575" i="2"/>
  <c r="J630" i="2"/>
  <c r="A1620" i="2"/>
  <c r="G645" i="2"/>
  <c r="T522" i="2"/>
  <c r="G105" i="2"/>
  <c r="E630" i="2"/>
  <c r="N188" i="2"/>
  <c r="G49" i="2"/>
  <c r="E688" i="2"/>
  <c r="Q105" i="2"/>
  <c r="K522" i="2"/>
  <c r="T188" i="2"/>
  <c r="K188" i="2"/>
  <c r="F75" i="2"/>
  <c r="O1620" i="2"/>
  <c r="O105" i="2"/>
  <c r="N1194" i="2"/>
  <c r="P536" i="2"/>
  <c r="N915" i="2"/>
  <c r="M575" i="2"/>
  <c r="G1855" i="2"/>
  <c r="R105" i="2"/>
  <c r="N1128" i="2"/>
  <c r="D495" i="2"/>
  <c r="G507" i="2"/>
  <c r="A49" i="2"/>
  <c r="H1194" i="2"/>
  <c r="G696" i="2"/>
  <c r="R1103" i="2"/>
  <c r="G2224" i="2"/>
  <c r="R696" i="2"/>
  <c r="H696" i="2"/>
  <c r="P49" i="2"/>
  <c r="D105" i="2"/>
  <c r="C1194" i="2"/>
  <c r="R495" i="2"/>
  <c r="E2224" i="2"/>
  <c r="A188" i="2"/>
  <c r="M75" i="2"/>
  <c r="P2224" i="2"/>
  <c r="F696" i="2"/>
  <c r="K915" i="2"/>
  <c r="O522" i="2"/>
  <c r="G536" i="2"/>
  <c r="J915" i="2"/>
  <c r="Q2224" i="2"/>
  <c r="N688" i="2"/>
  <c r="Q1855" i="2"/>
  <c r="T536" i="2"/>
  <c r="M696" i="2"/>
  <c r="Q1620" i="2"/>
  <c r="P1855" i="2"/>
  <c r="F688" i="2"/>
  <c r="F645" i="2"/>
  <c r="S49" i="2"/>
  <c r="G630" i="2"/>
  <c r="K49" i="2"/>
  <c r="S1620" i="2"/>
  <c r="S522" i="2"/>
  <c r="J688" i="2"/>
  <c r="P522" i="2"/>
  <c r="C2224" i="2"/>
  <c r="K105" i="2"/>
  <c r="F507" i="2"/>
  <c r="N645" i="2"/>
  <c r="Q1194" i="2"/>
  <c r="H536" i="2"/>
  <c r="A1128" i="2"/>
  <c r="A507" i="2"/>
  <c r="C1620" i="2"/>
  <c r="T915" i="2"/>
  <c r="R575" i="2"/>
  <c r="Q1128" i="2"/>
  <c r="T1620" i="2"/>
  <c r="M507" i="2"/>
  <c r="M1855" i="2"/>
  <c r="T696" i="2"/>
  <c r="R522" i="2"/>
  <c r="T495" i="2"/>
  <c r="N495" i="2"/>
  <c r="O188" i="2"/>
  <c r="Q522" i="2"/>
  <c r="K1128" i="2"/>
  <c r="K1855" i="2"/>
  <c r="G75" i="2"/>
  <c r="F2224" i="2"/>
  <c r="Q688" i="2"/>
  <c r="E1194" i="2"/>
  <c r="P188" i="2"/>
  <c r="D630" i="2"/>
  <c r="H495" i="2"/>
  <c r="K2224" i="2"/>
  <c r="D75" i="2"/>
  <c r="D1855" i="2"/>
  <c r="P688" i="2"/>
  <c r="E696" i="2"/>
  <c r="N2224" i="2"/>
  <c r="M1128" i="2"/>
  <c r="S915" i="2"/>
  <c r="T575" i="2"/>
  <c r="A2224" i="2"/>
  <c r="O507" i="2"/>
  <c r="M522" i="2"/>
  <c r="C1128" i="2"/>
  <c r="D575" i="2"/>
  <c r="M688" i="2"/>
  <c r="F1194" i="2"/>
  <c r="A105" i="2"/>
  <c r="M645" i="2"/>
  <c r="H2224" i="2"/>
  <c r="S1128" i="2"/>
  <c r="S536" i="2"/>
  <c r="M536" i="2"/>
  <c r="E495" i="2"/>
  <c r="A75" i="2"/>
  <c r="K688" i="2"/>
  <c r="S688" i="2"/>
  <c r="D688" i="2"/>
  <c r="R188" i="2"/>
  <c r="O1855" i="2"/>
  <c r="J536" i="2"/>
  <c r="K75" i="2"/>
  <c r="D915" i="2"/>
  <c r="Q915" i="2"/>
  <c r="G522" i="2"/>
  <c r="H915" i="2"/>
  <c r="F188" i="2"/>
  <c r="S645" i="2"/>
  <c r="C575" i="2"/>
  <c r="Q645" i="2"/>
  <c r="O75" i="2"/>
  <c r="K536" i="2"/>
  <c r="A688" i="2"/>
  <c r="C75" i="2"/>
  <c r="Q630" i="2"/>
  <c r="M1103" i="2"/>
  <c r="S2224" i="2"/>
  <c r="H645" i="2"/>
  <c r="P630" i="2"/>
  <c r="G1194" i="2"/>
  <c r="D522" i="2"/>
  <c r="F522" i="2"/>
  <c r="E105" i="2"/>
  <c r="G575" i="2"/>
  <c r="R1128" i="2"/>
  <c r="S75" i="2"/>
  <c r="T1194" i="2"/>
  <c r="H522" i="2"/>
  <c r="D536" i="2"/>
  <c r="K630" i="2"/>
  <c r="H188" i="2"/>
  <c r="H49" i="2"/>
  <c r="T507" i="2"/>
  <c r="A495" i="2"/>
  <c r="N75" i="2"/>
  <c r="K1103" i="2"/>
  <c r="J49" i="2"/>
  <c r="J645" i="2"/>
  <c r="E536" i="2"/>
  <c r="P575" i="2"/>
  <c r="D645" i="2"/>
  <c r="D1194" i="2"/>
  <c r="K645" i="2"/>
  <c r="H630" i="2"/>
  <c r="N1103" i="2"/>
  <c r="A645" i="2"/>
  <c r="M495" i="2"/>
  <c r="J1194" i="2"/>
  <c r="F1103" i="2"/>
  <c r="E49" i="2"/>
  <c r="H1103" i="2"/>
  <c r="O1128" i="2"/>
  <c r="F49" i="2"/>
  <c r="R536" i="2"/>
  <c r="F1128" i="2"/>
  <c r="Q536" i="2"/>
  <c r="E188" i="2"/>
  <c r="E75" i="2"/>
  <c r="S507" i="2"/>
  <c r="F915" i="2"/>
  <c r="F105" i="2"/>
  <c r="N696" i="2"/>
  <c r="R2224" i="2"/>
  <c r="O630" i="2"/>
  <c r="M630" i="2"/>
  <c r="T49" i="2"/>
  <c r="R49" i="2"/>
  <c r="D507" i="2"/>
  <c r="A696" i="2"/>
  <c r="N575" i="2"/>
  <c r="C1103" i="2"/>
  <c r="P915" i="2"/>
  <c r="J696" i="2"/>
  <c r="N536" i="2"/>
  <c r="C645" i="2"/>
  <c r="C630" i="2"/>
  <c r="D1620" i="2"/>
  <c r="M1194" i="2"/>
  <c r="N105" i="2"/>
  <c r="R645" i="2"/>
  <c r="T1128" i="2"/>
  <c r="N522" i="2"/>
  <c r="D1103" i="2"/>
  <c r="N630" i="2"/>
  <c r="J1855" i="2"/>
  <c r="D696" i="2"/>
  <c r="J1103" i="2"/>
  <c r="T75" i="2"/>
  <c r="S575" i="2"/>
  <c r="K495" i="2"/>
  <c r="H105" i="2"/>
  <c r="E1855" i="2"/>
  <c r="P105" i="2"/>
  <c r="T688" i="2"/>
  <c r="P75" i="2"/>
  <c r="A522" i="2"/>
  <c r="E1128" i="2"/>
  <c r="O2224" i="2"/>
  <c r="K696" i="2"/>
  <c r="F575" i="2"/>
  <c r="C188" i="2"/>
  <c r="H575" i="2"/>
  <c r="P507" i="2"/>
  <c r="A536" i="2"/>
  <c r="R915" i="2"/>
  <c r="C105" i="2"/>
  <c r="E575" i="2"/>
  <c r="K575" i="2"/>
  <c r="F630" i="2"/>
  <c r="O1103" i="2"/>
  <c r="P1194" i="2"/>
  <c r="T1855" i="2"/>
  <c r="S1103" i="2"/>
  <c r="J75" i="2"/>
  <c r="Q1103" i="2"/>
  <c r="Q696" i="2"/>
  <c r="G1128" i="2"/>
  <c r="G188" i="2"/>
  <c r="N49" i="2"/>
  <c r="O696" i="2"/>
  <c r="S630" i="2"/>
  <c r="P696" i="2"/>
  <c r="E645" i="2"/>
  <c r="A1194" i="2"/>
  <c r="O536" i="2"/>
  <c r="A1855" i="2"/>
  <c r="G1103" i="2"/>
  <c r="S495" i="2"/>
  <c r="T2224" i="2"/>
  <c r="R1620" i="2"/>
  <c r="D1128" i="2"/>
  <c r="K1194" i="2"/>
  <c r="O915" i="2"/>
  <c r="C495" i="2"/>
  <c r="C49" i="2"/>
  <c r="O645" i="2"/>
  <c r="F536" i="2"/>
  <c r="H75" i="2"/>
  <c r="A630" i="2"/>
  <c r="H1128" i="2"/>
  <c r="S1194" i="2"/>
  <c r="O688" i="2"/>
  <c r="C696" i="2"/>
  <c r="S1855" i="2"/>
  <c r="P1103" i="2"/>
  <c r="H1620" i="2"/>
  <c r="K1620" i="2"/>
  <c r="A915" i="2"/>
  <c r="J575" i="2"/>
  <c r="E1620" i="2"/>
  <c r="Q507" i="2"/>
  <c r="J188" i="2"/>
  <c r="M1620" i="2"/>
  <c r="C507" i="2"/>
  <c r="K507" i="2"/>
  <c r="S188" i="2"/>
  <c r="C522" i="2"/>
  <c r="P645" i="2"/>
  <c r="A575" i="2"/>
  <c r="S105" i="2"/>
  <c r="R507" i="2"/>
  <c r="C915" i="2"/>
  <c r="D2224" i="2"/>
  <c r="P1620" i="2"/>
  <c r="T1103" i="2"/>
  <c r="O1269" i="2"/>
  <c r="N215" i="2"/>
  <c r="F534" i="2"/>
  <c r="H45" i="2"/>
  <c r="G1408" i="2"/>
  <c r="H534" i="2"/>
  <c r="F152" i="2"/>
  <c r="R534" i="2"/>
  <c r="F45" i="2"/>
  <c r="Q1408" i="2"/>
  <c r="O215" i="2"/>
  <c r="P534" i="2"/>
  <c r="H1473" i="2"/>
  <c r="N1473" i="2"/>
  <c r="C1408" i="2"/>
  <c r="K879" i="2"/>
  <c r="K45" i="2"/>
  <c r="P1473" i="2"/>
  <c r="J1408" i="2"/>
  <c r="P215" i="2"/>
  <c r="D428" i="2"/>
  <c r="D1759" i="2"/>
  <c r="T428" i="2"/>
  <c r="Q1269" i="2"/>
  <c r="R1408" i="2"/>
  <c r="N152" i="2"/>
  <c r="A1408" i="2"/>
  <c r="T534" i="2"/>
  <c r="G1759" i="2"/>
  <c r="M879" i="2"/>
  <c r="J45" i="2"/>
  <c r="H1408" i="2"/>
  <c r="S45" i="2"/>
  <c r="S215" i="2"/>
  <c r="M1473" i="2"/>
  <c r="K1269" i="2"/>
  <c r="Q879" i="2"/>
  <c r="P1269" i="2"/>
  <c r="J152" i="2"/>
  <c r="S879" i="2"/>
  <c r="E152" i="2"/>
  <c r="A534" i="2"/>
  <c r="M215" i="2"/>
  <c r="T1269" i="2"/>
  <c r="Q45" i="2"/>
  <c r="S152" i="2"/>
  <c r="A1759" i="2"/>
  <c r="J1473" i="2"/>
  <c r="M1269" i="2"/>
  <c r="C1759" i="2"/>
  <c r="R152" i="2"/>
  <c r="A215" i="2"/>
  <c r="H428" i="2"/>
  <c r="C152" i="2"/>
  <c r="J1269" i="2"/>
  <c r="N534" i="2"/>
  <c r="P1759" i="2"/>
  <c r="O428" i="2"/>
  <c r="F1759" i="2"/>
  <c r="H1759" i="2"/>
  <c r="E1473" i="2"/>
  <c r="T1473" i="2"/>
  <c r="S534" i="2"/>
  <c r="Q1473" i="2"/>
  <c r="O1473" i="2"/>
  <c r="F879" i="2"/>
  <c r="R428" i="2"/>
  <c r="T215" i="2"/>
  <c r="F215" i="2"/>
  <c r="R1759" i="2"/>
  <c r="K152" i="2"/>
  <c r="P879" i="2"/>
  <c r="G1473" i="2"/>
  <c r="G534" i="2"/>
  <c r="K534" i="2"/>
  <c r="Q152" i="2"/>
  <c r="J879" i="2"/>
  <c r="F1408" i="2"/>
  <c r="G215" i="2"/>
  <c r="C1473" i="2"/>
  <c r="D1473" i="2"/>
  <c r="N1269" i="2"/>
  <c r="C879" i="2"/>
  <c r="E1759" i="2"/>
  <c r="R215" i="2"/>
  <c r="N1759" i="2"/>
  <c r="R879" i="2"/>
  <c r="O152" i="2"/>
  <c r="D534" i="2"/>
  <c r="G879" i="2"/>
  <c r="D152" i="2"/>
  <c r="H879" i="2"/>
  <c r="D45" i="2"/>
  <c r="S428" i="2"/>
  <c r="P428" i="2"/>
  <c r="O879" i="2"/>
  <c r="M1408" i="2"/>
  <c r="A1473" i="2"/>
  <c r="Q215" i="2"/>
  <c r="T1759" i="2"/>
  <c r="E1408" i="2"/>
  <c r="Q428" i="2"/>
  <c r="Q534" i="2"/>
  <c r="P152" i="2"/>
  <c r="P1408" i="2"/>
  <c r="A1269" i="2"/>
  <c r="R1269" i="2"/>
  <c r="D1408" i="2"/>
  <c r="D1269" i="2"/>
  <c r="K428" i="2"/>
  <c r="A879" i="2"/>
  <c r="O1408" i="2"/>
  <c r="A428" i="2"/>
  <c r="N428" i="2"/>
  <c r="J215" i="2"/>
  <c r="E45" i="2"/>
  <c r="E215" i="2"/>
  <c r="E428" i="2"/>
  <c r="F1473" i="2"/>
  <c r="D879" i="2"/>
  <c r="G45" i="2"/>
  <c r="E879" i="2"/>
  <c r="G1269" i="2"/>
  <c r="R1473" i="2"/>
  <c r="A45" i="2"/>
  <c r="R45" i="2"/>
  <c r="G428" i="2"/>
  <c r="F428" i="2"/>
  <c r="E1269" i="2"/>
  <c r="H215" i="2"/>
  <c r="J534" i="2"/>
  <c r="M428" i="2"/>
  <c r="C1269" i="2"/>
  <c r="M534" i="2"/>
  <c r="S1269" i="2"/>
  <c r="M45" i="2"/>
  <c r="F1269" i="2"/>
  <c r="S1759" i="2"/>
  <c r="K1473" i="2"/>
  <c r="T1408" i="2"/>
  <c r="M1759" i="2"/>
  <c r="D215" i="2"/>
  <c r="S1408" i="2"/>
  <c r="P45" i="2"/>
  <c r="N879" i="2"/>
  <c r="K1759" i="2"/>
  <c r="K215" i="2"/>
  <c r="E534" i="2"/>
  <c r="J428" i="2"/>
  <c r="J1759" i="2"/>
  <c r="H152" i="2"/>
  <c r="K1408" i="2"/>
  <c r="T152" i="2"/>
  <c r="C45" i="2"/>
  <c r="N45" i="2"/>
  <c r="M152" i="2"/>
  <c r="O45" i="2"/>
  <c r="Q1759" i="2"/>
  <c r="H1269" i="2"/>
  <c r="C428" i="2"/>
  <c r="A152" i="2"/>
  <c r="C534" i="2"/>
  <c r="O534" i="2"/>
  <c r="N1408" i="2"/>
  <c r="G152" i="2"/>
  <c r="O1759" i="2"/>
  <c r="T45" i="2"/>
  <c r="S1473" i="2"/>
  <c r="T879" i="2"/>
  <c r="C215" i="2"/>
  <c r="O604" i="2"/>
  <c r="T746" i="2"/>
  <c r="R163" i="2"/>
  <c r="K1895" i="2"/>
  <c r="C604" i="2"/>
  <c r="Q686" i="2"/>
  <c r="P686" i="2"/>
  <c r="K746" i="2"/>
  <c r="J604" i="2"/>
  <c r="C202" i="2"/>
  <c r="S163" i="2"/>
  <c r="R604" i="2"/>
  <c r="Q545" i="2"/>
  <c r="E604" i="2"/>
  <c r="M163" i="2"/>
  <c r="E324" i="2"/>
  <c r="H604" i="2"/>
  <c r="H1412" i="2"/>
  <c r="Q202" i="2"/>
  <c r="A1412" i="2"/>
  <c r="Q163" i="2"/>
  <c r="M324" i="2"/>
  <c r="Q746" i="2"/>
  <c r="E545" i="2"/>
  <c r="J110" i="2"/>
  <c r="S746" i="2"/>
  <c r="N1895" i="2"/>
  <c r="M202" i="2"/>
  <c r="H110" i="2"/>
  <c r="K1412" i="2"/>
  <c r="R110" i="2"/>
  <c r="D746" i="2"/>
  <c r="N110" i="2"/>
  <c r="N324" i="2"/>
  <c r="F686" i="2"/>
  <c r="G324" i="2"/>
  <c r="G686" i="2"/>
  <c r="P1895" i="2"/>
  <c r="P746" i="2"/>
  <c r="N686" i="2"/>
  <c r="O1895" i="2"/>
  <c r="G163" i="2"/>
  <c r="T545" i="2"/>
  <c r="N163" i="2"/>
  <c r="T324" i="2"/>
  <c r="P324" i="2"/>
  <c r="C163" i="2"/>
  <c r="E1412" i="2"/>
  <c r="G110" i="2"/>
  <c r="A1895" i="2"/>
  <c r="A746" i="2"/>
  <c r="J324" i="2"/>
  <c r="D604" i="2"/>
  <c r="R324" i="2"/>
  <c r="A163" i="2"/>
  <c r="K202" i="2"/>
  <c r="S1895" i="2"/>
  <c r="C686" i="2"/>
  <c r="O324" i="2"/>
  <c r="O202" i="2"/>
  <c r="R202" i="2"/>
  <c r="P163" i="2"/>
  <c r="H746" i="2"/>
  <c r="M110" i="2"/>
  <c r="K163" i="2"/>
  <c r="M545" i="2"/>
  <c r="O545" i="2"/>
  <c r="A604" i="2"/>
  <c r="R746" i="2"/>
  <c r="C1895" i="2"/>
  <c r="D202" i="2"/>
  <c r="K545" i="2"/>
  <c r="J1895" i="2"/>
  <c r="S545" i="2"/>
  <c r="D1412" i="2"/>
  <c r="F324" i="2"/>
  <c r="F545" i="2"/>
  <c r="F604" i="2"/>
  <c r="M746" i="2"/>
  <c r="P1412" i="2"/>
  <c r="A202" i="2"/>
  <c r="H1895" i="2"/>
  <c r="H545" i="2"/>
  <c r="F163" i="2"/>
  <c r="C1412" i="2"/>
  <c r="J163" i="2"/>
  <c r="S1412" i="2"/>
  <c r="N202" i="2"/>
  <c r="O746" i="2"/>
  <c r="D545" i="2"/>
  <c r="S604" i="2"/>
  <c r="S110" i="2"/>
  <c r="J1412" i="2"/>
  <c r="E686" i="2"/>
  <c r="A324" i="2"/>
  <c r="Q1895" i="2"/>
  <c r="G1895" i="2"/>
  <c r="H202" i="2"/>
  <c r="H163" i="2"/>
  <c r="Q324" i="2"/>
  <c r="Q110" i="2"/>
  <c r="P604" i="2"/>
  <c r="G202" i="2"/>
  <c r="T604" i="2"/>
  <c r="M1412" i="2"/>
  <c r="D324" i="2"/>
  <c r="R686" i="2"/>
  <c r="P202" i="2"/>
  <c r="P110" i="2"/>
  <c r="O1412" i="2"/>
  <c r="E746" i="2"/>
  <c r="N1412" i="2"/>
  <c r="F1895" i="2"/>
  <c r="F746" i="2"/>
  <c r="D163" i="2"/>
  <c r="R1895" i="2"/>
  <c r="J202" i="2"/>
  <c r="G1412" i="2"/>
  <c r="C324" i="2"/>
  <c r="J686" i="2"/>
  <c r="H686" i="2"/>
  <c r="A545" i="2"/>
  <c r="T1895" i="2"/>
  <c r="E1895" i="2"/>
  <c r="D110" i="2"/>
  <c r="T163" i="2"/>
  <c r="O686" i="2"/>
  <c r="J746" i="2"/>
  <c r="M686" i="2"/>
  <c r="T202" i="2"/>
  <c r="C545" i="2"/>
  <c r="G604" i="2"/>
  <c r="C110" i="2"/>
  <c r="S686" i="2"/>
  <c r="K604" i="2"/>
  <c r="D1895" i="2"/>
  <c r="E110" i="2"/>
  <c r="G746" i="2"/>
  <c r="T1412" i="2"/>
  <c r="O163" i="2"/>
  <c r="T686" i="2"/>
  <c r="M604" i="2"/>
  <c r="R1412" i="2"/>
  <c r="F1412" i="2"/>
  <c r="E202" i="2"/>
  <c r="S324" i="2"/>
  <c r="G545" i="2"/>
  <c r="J545" i="2"/>
  <c r="A110" i="2"/>
  <c r="D686" i="2"/>
  <c r="Q604" i="2"/>
  <c r="K110" i="2"/>
  <c r="T110" i="2"/>
  <c r="K324" i="2"/>
  <c r="S202" i="2"/>
  <c r="K686" i="2"/>
  <c r="F110" i="2"/>
  <c r="N746" i="2"/>
  <c r="P545" i="2"/>
  <c r="R545" i="2"/>
  <c r="F202" i="2"/>
  <c r="H324" i="2"/>
  <c r="M1895" i="2"/>
  <c r="Q1412" i="2"/>
  <c r="O110" i="2"/>
  <c r="E163" i="2"/>
  <c r="N604" i="2"/>
  <c r="C746" i="2"/>
  <c r="N545" i="2"/>
  <c r="A686" i="2"/>
  <c r="J398" i="2"/>
  <c r="G303" i="2"/>
  <c r="E303" i="2"/>
  <c r="D1928" i="2"/>
  <c r="N1491" i="2"/>
  <c r="N175" i="2"/>
  <c r="G175" i="2"/>
  <c r="A650" i="2"/>
  <c r="S301" i="2"/>
  <c r="S952" i="2"/>
  <c r="C175" i="2"/>
  <c r="D650" i="2"/>
  <c r="S1928" i="2"/>
  <c r="T303" i="2"/>
  <c r="G952" i="2"/>
  <c r="N650" i="2"/>
  <c r="A175" i="2"/>
  <c r="N301" i="2"/>
  <c r="T301" i="2"/>
  <c r="O1491" i="2"/>
  <c r="G1491" i="2"/>
  <c r="Q1491" i="2"/>
  <c r="P1917" i="2"/>
  <c r="R185" i="2"/>
  <c r="Q398" i="2"/>
  <c r="Q185" i="2"/>
  <c r="A185" i="2"/>
  <c r="S185" i="2"/>
  <c r="H398" i="2"/>
  <c r="N1917" i="2"/>
  <c r="M1917" i="2"/>
  <c r="R952" i="2"/>
  <c r="N398" i="2"/>
  <c r="O301" i="2"/>
  <c r="K185" i="2"/>
  <c r="R1917" i="2"/>
  <c r="A1917" i="2"/>
  <c r="H301" i="2"/>
  <c r="R398" i="2"/>
  <c r="O1928" i="2"/>
  <c r="H175" i="2"/>
  <c r="O650" i="2"/>
  <c r="N303" i="2"/>
  <c r="J1917" i="2"/>
  <c r="P650" i="2"/>
  <c r="D398" i="2"/>
  <c r="G1917" i="2"/>
  <c r="H185" i="2"/>
  <c r="F1928" i="2"/>
  <c r="O185" i="2"/>
  <c r="H1491" i="2"/>
  <c r="A952" i="2"/>
  <c r="R303" i="2"/>
  <c r="C301" i="2"/>
  <c r="C1491" i="2"/>
  <c r="C650" i="2"/>
  <c r="E1928" i="2"/>
  <c r="Q1917" i="2"/>
  <c r="G398" i="2"/>
  <c r="D1917" i="2"/>
  <c r="K1928" i="2"/>
  <c r="G1928" i="2"/>
  <c r="E175" i="2"/>
  <c r="J650" i="2"/>
  <c r="C1917" i="2"/>
  <c r="R1928" i="2"/>
  <c r="N185" i="2"/>
  <c r="A398" i="2"/>
  <c r="G185" i="2"/>
  <c r="K1917" i="2"/>
  <c r="J952" i="2"/>
  <c r="P1491" i="2"/>
  <c r="O952" i="2"/>
  <c r="M1928" i="2"/>
  <c r="P1928" i="2"/>
  <c r="K303" i="2"/>
  <c r="C398" i="2"/>
  <c r="S1491" i="2"/>
  <c r="P303" i="2"/>
  <c r="F1491" i="2"/>
  <c r="C952" i="2"/>
  <c r="A1928" i="2"/>
  <c r="T952" i="2"/>
  <c r="P185" i="2"/>
  <c r="A1491" i="2"/>
  <c r="H303" i="2"/>
  <c r="Q952" i="2"/>
  <c r="E952" i="2"/>
  <c r="M303" i="2"/>
  <c r="H952" i="2"/>
  <c r="M1491" i="2"/>
  <c r="T175" i="2"/>
  <c r="M175" i="2"/>
  <c r="F1917" i="2"/>
  <c r="Q1928" i="2"/>
  <c r="A301" i="2"/>
  <c r="A303" i="2"/>
  <c r="R301" i="2"/>
  <c r="M952" i="2"/>
  <c r="J175" i="2"/>
  <c r="Q175" i="2"/>
  <c r="P952" i="2"/>
  <c r="J1491" i="2"/>
  <c r="E301" i="2"/>
  <c r="S650" i="2"/>
  <c r="E185" i="2"/>
  <c r="T650" i="2"/>
  <c r="F175" i="2"/>
  <c r="D952" i="2"/>
  <c r="J1928" i="2"/>
  <c r="P301" i="2"/>
  <c r="N952" i="2"/>
  <c r="H650" i="2"/>
  <c r="K398" i="2"/>
  <c r="C303" i="2"/>
  <c r="N1928" i="2"/>
  <c r="Q303" i="2"/>
  <c r="T398" i="2"/>
  <c r="F301" i="2"/>
  <c r="D303" i="2"/>
  <c r="J185" i="2"/>
  <c r="F650" i="2"/>
  <c r="R1491" i="2"/>
  <c r="P398" i="2"/>
  <c r="D175" i="2"/>
  <c r="F185" i="2"/>
  <c r="C185" i="2"/>
  <c r="E398" i="2"/>
  <c r="O175" i="2"/>
  <c r="O398" i="2"/>
  <c r="K175" i="2"/>
  <c r="D301" i="2"/>
  <c r="M301" i="2"/>
  <c r="G650" i="2"/>
  <c r="M185" i="2"/>
  <c r="D185" i="2"/>
  <c r="T1928" i="2"/>
  <c r="E650" i="2"/>
  <c r="K650" i="2"/>
  <c r="K952" i="2"/>
  <c r="G301" i="2"/>
  <c r="T1917" i="2"/>
  <c r="P175" i="2"/>
  <c r="R175" i="2"/>
  <c r="S1917" i="2"/>
  <c r="J301" i="2"/>
  <c r="Q650" i="2"/>
  <c r="J303" i="2"/>
  <c r="R650" i="2"/>
  <c r="E1491" i="2"/>
  <c r="T1491" i="2"/>
  <c r="H1917" i="2"/>
  <c r="Q301" i="2"/>
  <c r="O303" i="2"/>
  <c r="K1491" i="2"/>
  <c r="M398" i="2"/>
  <c r="S398" i="2"/>
  <c r="O1917" i="2"/>
  <c r="S303" i="2"/>
  <c r="C1928" i="2"/>
  <c r="H1928" i="2"/>
  <c r="F303" i="2"/>
  <c r="D1491" i="2"/>
  <c r="F952" i="2"/>
  <c r="K301" i="2"/>
  <c r="T185" i="2"/>
  <c r="F398" i="2"/>
  <c r="E1917" i="2"/>
  <c r="S175" i="2"/>
  <c r="M650" i="2"/>
  <c r="G943" i="2"/>
  <c r="T943" i="2"/>
  <c r="T1059" i="2"/>
  <c r="M1059" i="2"/>
  <c r="Q945" i="2"/>
  <c r="Q861" i="2"/>
  <c r="E366" i="2"/>
  <c r="T1920" i="2"/>
  <c r="C334" i="2"/>
  <c r="K945" i="2"/>
  <c r="K334" i="2"/>
  <c r="G378" i="2"/>
  <c r="N378" i="2"/>
  <c r="T2162" i="2"/>
  <c r="F1059" i="2"/>
  <c r="Q334" i="2"/>
  <c r="C945" i="2"/>
  <c r="M334" i="2"/>
  <c r="M1920" i="2"/>
  <c r="R1920" i="2"/>
  <c r="O366" i="2"/>
  <c r="D736" i="2"/>
  <c r="R736" i="2"/>
  <c r="A366" i="2"/>
  <c r="F943" i="2"/>
  <c r="S366" i="2"/>
  <c r="E2162" i="2"/>
  <c r="T736" i="2"/>
  <c r="N334" i="2"/>
  <c r="F736" i="2"/>
  <c r="A861" i="2"/>
  <c r="S1059" i="2"/>
  <c r="S736" i="2"/>
  <c r="M736" i="2"/>
  <c r="K1920" i="2"/>
  <c r="J334" i="2"/>
  <c r="Q943" i="2"/>
  <c r="Q1059" i="2"/>
  <c r="J945" i="2"/>
  <c r="P366" i="2"/>
  <c r="F2162" i="2"/>
  <c r="Q1920" i="2"/>
  <c r="A945" i="2"/>
  <c r="D1059" i="2"/>
  <c r="S378" i="2"/>
  <c r="A736" i="2"/>
  <c r="O861" i="2"/>
  <c r="T945" i="2"/>
  <c r="O378" i="2"/>
  <c r="D334" i="2"/>
  <c r="S1920" i="2"/>
  <c r="S943" i="2"/>
  <c r="M2162" i="2"/>
  <c r="D861" i="2"/>
  <c r="G861" i="2"/>
  <c r="M943" i="2"/>
  <c r="F366" i="2"/>
  <c r="P378" i="2"/>
  <c r="D2162" i="2"/>
  <c r="H2162" i="2"/>
  <c r="P1059" i="2"/>
  <c r="J2162" i="2"/>
  <c r="Q736" i="2"/>
  <c r="S945" i="2"/>
  <c r="G366" i="2"/>
  <c r="D378" i="2"/>
  <c r="E861" i="2"/>
  <c r="O945" i="2"/>
  <c r="F378" i="2"/>
  <c r="R334" i="2"/>
  <c r="N366" i="2"/>
  <c r="G945" i="2"/>
  <c r="E943" i="2"/>
  <c r="N861" i="2"/>
  <c r="R861" i="2"/>
  <c r="K861" i="2"/>
  <c r="D366" i="2"/>
  <c r="C1059" i="2"/>
  <c r="T334" i="2"/>
  <c r="A378" i="2"/>
  <c r="Q366" i="2"/>
  <c r="G736" i="2"/>
  <c r="F334" i="2"/>
  <c r="S334" i="2"/>
  <c r="E1920" i="2"/>
  <c r="R943" i="2"/>
  <c r="H736" i="2"/>
  <c r="C861" i="2"/>
  <c r="K378" i="2"/>
  <c r="G1920" i="2"/>
  <c r="H366" i="2"/>
  <c r="M945" i="2"/>
  <c r="G1059" i="2"/>
  <c r="A1920" i="2"/>
  <c r="R366" i="2"/>
  <c r="H945" i="2"/>
  <c r="K366" i="2"/>
  <c r="J378" i="2"/>
  <c r="H378" i="2"/>
  <c r="F945" i="2"/>
  <c r="T378" i="2"/>
  <c r="R378" i="2"/>
  <c r="N2162" i="2"/>
  <c r="P861" i="2"/>
  <c r="Q2162" i="2"/>
  <c r="P943" i="2"/>
  <c r="E334" i="2"/>
  <c r="N943" i="2"/>
  <c r="O736" i="2"/>
  <c r="F861" i="2"/>
  <c r="P945" i="2"/>
  <c r="F1920" i="2"/>
  <c r="S2162" i="2"/>
  <c r="C2162" i="2"/>
  <c r="C736" i="2"/>
  <c r="N945" i="2"/>
  <c r="M378" i="2"/>
  <c r="H334" i="2"/>
  <c r="H1059" i="2"/>
  <c r="K2162" i="2"/>
  <c r="J943" i="2"/>
  <c r="D945" i="2"/>
  <c r="N1920" i="2"/>
  <c r="O1920" i="2"/>
  <c r="K1059" i="2"/>
  <c r="D943" i="2"/>
  <c r="M861" i="2"/>
  <c r="P334" i="2"/>
  <c r="G2162" i="2"/>
  <c r="J861" i="2"/>
  <c r="O2162" i="2"/>
  <c r="C366" i="2"/>
  <c r="P2162" i="2"/>
  <c r="C943" i="2"/>
  <c r="K736" i="2"/>
  <c r="R2162" i="2"/>
  <c r="A1059" i="2"/>
  <c r="O1059" i="2"/>
  <c r="O943" i="2"/>
  <c r="J366" i="2"/>
  <c r="J736" i="2"/>
  <c r="R1059" i="2"/>
  <c r="H1920" i="2"/>
  <c r="Q378" i="2"/>
  <c r="H943" i="2"/>
  <c r="J1920" i="2"/>
  <c r="P1920" i="2"/>
  <c r="E945" i="2"/>
  <c r="C378" i="2"/>
  <c r="E1059" i="2"/>
  <c r="G334" i="2"/>
  <c r="N736" i="2"/>
  <c r="P736" i="2"/>
  <c r="A943" i="2"/>
  <c r="J1059" i="2"/>
  <c r="A334" i="2"/>
  <c r="T366" i="2"/>
  <c r="C1920" i="2"/>
  <c r="S861" i="2"/>
  <c r="H861" i="2"/>
  <c r="R945" i="2"/>
  <c r="N1059" i="2"/>
  <c r="T861" i="2"/>
  <c r="D1920" i="2"/>
  <c r="K943" i="2"/>
  <c r="O334" i="2"/>
  <c r="M366" i="2"/>
  <c r="A2162" i="2"/>
  <c r="E378" i="2"/>
  <c r="E736" i="2"/>
  <c r="E51" i="2"/>
  <c r="E1254" i="2"/>
  <c r="J1973" i="2"/>
  <c r="J68" i="2"/>
  <c r="M622" i="2"/>
  <c r="J51" i="2"/>
  <c r="G1254" i="2"/>
  <c r="G1124" i="2"/>
  <c r="A1766" i="2"/>
  <c r="S622" i="2"/>
  <c r="A387" i="2"/>
  <c r="F1911" i="2"/>
  <c r="K1973" i="2"/>
  <c r="A1939" i="2"/>
  <c r="D387" i="2"/>
  <c r="H1973" i="2"/>
  <c r="F1254" i="2"/>
  <c r="C622" i="2"/>
  <c r="H387" i="2"/>
  <c r="P51" i="2"/>
  <c r="R51" i="2"/>
  <c r="F68" i="2"/>
  <c r="F1124" i="2"/>
  <c r="K1124" i="2"/>
  <c r="E1766" i="2"/>
  <c r="K387" i="2"/>
  <c r="S1124" i="2"/>
  <c r="O1939" i="2"/>
  <c r="T1124" i="2"/>
  <c r="H1254" i="2"/>
  <c r="S1939" i="2"/>
  <c r="P1766" i="2"/>
  <c r="F622" i="2"/>
  <c r="R387" i="2"/>
  <c r="M1766" i="2"/>
  <c r="P1124" i="2"/>
  <c r="C1911" i="2"/>
  <c r="J1766" i="2"/>
  <c r="R622" i="2"/>
  <c r="S1911" i="2"/>
  <c r="G1766" i="2"/>
  <c r="A1124" i="2"/>
  <c r="T622" i="2"/>
  <c r="P1939" i="2"/>
  <c r="G1973" i="2"/>
  <c r="A1973" i="2"/>
  <c r="R1939" i="2"/>
  <c r="J1939" i="2"/>
  <c r="C1939" i="2"/>
  <c r="T1939" i="2"/>
  <c r="K68" i="2"/>
  <c r="F1939" i="2"/>
  <c r="M1911" i="2"/>
  <c r="G68" i="2"/>
  <c r="M387" i="2"/>
  <c r="T1254" i="2"/>
  <c r="K51" i="2"/>
  <c r="S1254" i="2"/>
  <c r="N1766" i="2"/>
  <c r="Q68" i="2"/>
  <c r="C387" i="2"/>
  <c r="F387" i="2"/>
  <c r="A51" i="2"/>
  <c r="Q1911" i="2"/>
  <c r="E1939" i="2"/>
  <c r="O387" i="2"/>
  <c r="E387" i="2"/>
  <c r="S1973" i="2"/>
  <c r="G1939" i="2"/>
  <c r="F51" i="2"/>
  <c r="H1939" i="2"/>
  <c r="R1973" i="2"/>
  <c r="S51" i="2"/>
  <c r="T1973" i="2"/>
  <c r="E1973" i="2"/>
  <c r="A1254" i="2"/>
  <c r="H1124" i="2"/>
  <c r="R1766" i="2"/>
  <c r="C1124" i="2"/>
  <c r="K1911" i="2"/>
  <c r="H51" i="2"/>
  <c r="C68" i="2"/>
  <c r="A622" i="2"/>
  <c r="D1766" i="2"/>
  <c r="G622" i="2"/>
  <c r="O68" i="2"/>
  <c r="T387" i="2"/>
  <c r="M1254" i="2"/>
  <c r="J1911" i="2"/>
  <c r="F1973" i="2"/>
  <c r="D1124" i="2"/>
  <c r="Q622" i="2"/>
  <c r="D68" i="2"/>
  <c r="P622" i="2"/>
  <c r="Q1973" i="2"/>
  <c r="M68" i="2"/>
  <c r="Q1766" i="2"/>
  <c r="D1911" i="2"/>
  <c r="N1254" i="2"/>
  <c r="H622" i="2"/>
  <c r="Q1124" i="2"/>
  <c r="T68" i="2"/>
  <c r="O1766" i="2"/>
  <c r="T51" i="2"/>
  <c r="E1911" i="2"/>
  <c r="N622" i="2"/>
  <c r="O1911" i="2"/>
  <c r="J1124" i="2"/>
  <c r="N1911" i="2"/>
  <c r="M1124" i="2"/>
  <c r="H1766" i="2"/>
  <c r="Q387" i="2"/>
  <c r="T1911" i="2"/>
  <c r="P68" i="2"/>
  <c r="D1939" i="2"/>
  <c r="E68" i="2"/>
  <c r="G1911" i="2"/>
  <c r="O1124" i="2"/>
  <c r="O622" i="2"/>
  <c r="P1254" i="2"/>
  <c r="P1911" i="2"/>
  <c r="S68" i="2"/>
  <c r="N51" i="2"/>
  <c r="A68" i="2"/>
  <c r="J622" i="2"/>
  <c r="N68" i="2"/>
  <c r="E1124" i="2"/>
  <c r="N1973" i="2"/>
  <c r="R68" i="2"/>
  <c r="Q1939" i="2"/>
  <c r="O51" i="2"/>
  <c r="M51" i="2"/>
  <c r="P1973" i="2"/>
  <c r="D1254" i="2"/>
  <c r="N1939" i="2"/>
  <c r="T1766" i="2"/>
  <c r="G51" i="2"/>
  <c r="R1124" i="2"/>
  <c r="R1911" i="2"/>
  <c r="N387" i="2"/>
  <c r="M1973" i="2"/>
  <c r="K1254" i="2"/>
  <c r="J1254" i="2"/>
  <c r="S387" i="2"/>
  <c r="C1973" i="2"/>
  <c r="O1254" i="2"/>
  <c r="Q1254" i="2"/>
  <c r="C1766" i="2"/>
  <c r="D1973" i="2"/>
  <c r="G387" i="2"/>
  <c r="R1254" i="2"/>
  <c r="S1766" i="2"/>
  <c r="K1766" i="2"/>
  <c r="M1939" i="2"/>
  <c r="A1911" i="2"/>
  <c r="P387" i="2"/>
  <c r="K622" i="2"/>
  <c r="E622" i="2"/>
  <c r="C51" i="2"/>
  <c r="D51" i="2"/>
  <c r="O1973" i="2"/>
  <c r="N1124" i="2"/>
  <c r="H1911" i="2"/>
  <c r="K1939" i="2"/>
  <c r="J387" i="2"/>
  <c r="F1766" i="2"/>
  <c r="H68" i="2"/>
  <c r="D622" i="2"/>
  <c r="C1254" i="2"/>
  <c r="Q51" i="2"/>
  <c r="P323" i="2"/>
  <c r="H1498" i="2"/>
  <c r="H242" i="2"/>
  <c r="S934" i="2"/>
  <c r="R2238" i="2"/>
  <c r="R1498" i="2"/>
  <c r="M323" i="2"/>
  <c r="R242" i="2"/>
  <c r="M737" i="2"/>
  <c r="N242" i="2"/>
  <c r="P1461" i="2"/>
  <c r="T1461" i="2"/>
  <c r="G737" i="2"/>
  <c r="F737" i="2"/>
  <c r="O242" i="2"/>
  <c r="F36" i="2"/>
  <c r="T737" i="2"/>
  <c r="E323" i="2"/>
  <c r="N1017" i="2"/>
  <c r="H1461" i="2"/>
  <c r="M36" i="2"/>
  <c r="O934" i="2"/>
  <c r="Q737" i="2"/>
  <c r="S323" i="2"/>
  <c r="G978" i="2"/>
  <c r="F1461" i="2"/>
  <c r="E737" i="2"/>
  <c r="M934" i="2"/>
  <c r="K737" i="2"/>
  <c r="D323" i="2"/>
  <c r="G242" i="2"/>
  <c r="D934" i="2"/>
  <c r="T36" i="2"/>
  <c r="N1461" i="2"/>
  <c r="O2238" i="2"/>
  <c r="J242" i="2"/>
  <c r="H2238" i="2"/>
  <c r="M1498" i="2"/>
  <c r="G1461" i="2"/>
  <c r="P737" i="2"/>
  <c r="S2238" i="2"/>
  <c r="F934" i="2"/>
  <c r="E1498" i="2"/>
  <c r="A934" i="2"/>
  <c r="M242" i="2"/>
  <c r="O1498" i="2"/>
  <c r="P2238" i="2"/>
  <c r="S1498" i="2"/>
  <c r="G1498" i="2"/>
  <c r="M2238" i="2"/>
  <c r="Q242" i="2"/>
  <c r="F242" i="2"/>
  <c r="C323" i="2"/>
  <c r="J1461" i="2"/>
  <c r="T323" i="2"/>
  <c r="A978" i="2"/>
  <c r="P1017" i="2"/>
  <c r="N1498" i="2"/>
  <c r="R737" i="2"/>
  <c r="C36" i="2"/>
  <c r="H934" i="2"/>
  <c r="P242" i="2"/>
  <c r="E1017" i="2"/>
  <c r="M978" i="2"/>
  <c r="N2238" i="2"/>
  <c r="A2238" i="2"/>
  <c r="D2238" i="2"/>
  <c r="D36" i="2"/>
  <c r="K323" i="2"/>
  <c r="N323" i="2"/>
  <c r="E2238" i="2"/>
  <c r="T978" i="2"/>
  <c r="K978" i="2"/>
  <c r="E242" i="2"/>
  <c r="P978" i="2"/>
  <c r="G1017" i="2"/>
  <c r="Q323" i="2"/>
  <c r="E36" i="2"/>
  <c r="A1461" i="2"/>
  <c r="C242" i="2"/>
  <c r="O1461" i="2"/>
  <c r="H737" i="2"/>
  <c r="J978" i="2"/>
  <c r="D1017" i="2"/>
  <c r="C737" i="2"/>
  <c r="A323" i="2"/>
  <c r="C1498" i="2"/>
  <c r="G323" i="2"/>
  <c r="J934" i="2"/>
  <c r="G2238" i="2"/>
  <c r="D1461" i="2"/>
  <c r="Q934" i="2"/>
  <c r="O978" i="2"/>
  <c r="T934" i="2"/>
  <c r="N737" i="2"/>
  <c r="S36" i="2"/>
  <c r="O1017" i="2"/>
  <c r="E978" i="2"/>
  <c r="N978" i="2"/>
  <c r="Q1498" i="2"/>
  <c r="N36" i="2"/>
  <c r="S978" i="2"/>
  <c r="P36" i="2"/>
  <c r="D737" i="2"/>
  <c r="R36" i="2"/>
  <c r="E1461" i="2"/>
  <c r="M1461" i="2"/>
  <c r="C978" i="2"/>
  <c r="Q1017" i="2"/>
  <c r="T1017" i="2"/>
  <c r="R323" i="2"/>
  <c r="T2238" i="2"/>
  <c r="E934" i="2"/>
  <c r="P1498" i="2"/>
  <c r="C1017" i="2"/>
  <c r="K2238" i="2"/>
  <c r="T242" i="2"/>
  <c r="Q978" i="2"/>
  <c r="R934" i="2"/>
  <c r="O323" i="2"/>
  <c r="F2238" i="2"/>
  <c r="K36" i="2"/>
  <c r="R978" i="2"/>
  <c r="F323" i="2"/>
  <c r="F1498" i="2"/>
  <c r="A36" i="2"/>
  <c r="K1498" i="2"/>
  <c r="J1498" i="2"/>
  <c r="F1017" i="2"/>
  <c r="H978" i="2"/>
  <c r="A1498" i="2"/>
  <c r="S242" i="2"/>
  <c r="P934" i="2"/>
  <c r="H323" i="2"/>
  <c r="K934" i="2"/>
  <c r="J36" i="2"/>
  <c r="S1017" i="2"/>
  <c r="C1461" i="2"/>
  <c r="O36" i="2"/>
  <c r="Q1461" i="2"/>
  <c r="G36" i="2"/>
  <c r="Q36" i="2"/>
  <c r="F978" i="2"/>
  <c r="S1461" i="2"/>
  <c r="J737" i="2"/>
  <c r="R1461" i="2"/>
  <c r="N934" i="2"/>
  <c r="S737" i="2"/>
  <c r="T1498" i="2"/>
  <c r="J2238" i="2"/>
  <c r="H1017" i="2"/>
  <c r="A242" i="2"/>
  <c r="G934" i="2"/>
  <c r="K242" i="2"/>
  <c r="J1017" i="2"/>
  <c r="M1017" i="2"/>
  <c r="K1017" i="2"/>
  <c r="A1017" i="2"/>
  <c r="O737" i="2"/>
  <c r="C2238" i="2"/>
  <c r="H36" i="2"/>
  <c r="D242" i="2"/>
  <c r="Q2238" i="2"/>
  <c r="D1498" i="2"/>
  <c r="C934" i="2"/>
  <c r="K1461" i="2"/>
  <c r="J323" i="2"/>
  <c r="R1017" i="2"/>
  <c r="A737" i="2"/>
  <c r="D978" i="2"/>
  <c r="S1455" i="2"/>
  <c r="R1113" i="2"/>
  <c r="Q153" i="2"/>
  <c r="M1935" i="2"/>
  <c r="S1803" i="2"/>
  <c r="R432" i="2"/>
  <c r="E432" i="2"/>
  <c r="R1455" i="2"/>
  <c r="O1715" i="2"/>
  <c r="T432" i="2"/>
  <c r="K1113" i="2"/>
  <c r="K1935" i="2"/>
  <c r="K1670" i="2"/>
  <c r="A153" i="2"/>
  <c r="A1670" i="2"/>
  <c r="J1675" i="2"/>
  <c r="N1803" i="2"/>
  <c r="T229" i="2"/>
  <c r="A1455" i="2"/>
  <c r="A1675" i="2"/>
  <c r="M153" i="2"/>
  <c r="O1455" i="2"/>
  <c r="K1675" i="2"/>
  <c r="G1675" i="2"/>
  <c r="Q1803" i="2"/>
  <c r="M1803" i="2"/>
  <c r="M1675" i="2"/>
  <c r="O432" i="2"/>
  <c r="D432" i="2"/>
  <c r="H1455" i="2"/>
  <c r="S432" i="2"/>
  <c r="S1113" i="2"/>
  <c r="J153" i="2"/>
  <c r="K432" i="2"/>
  <c r="T1113" i="2"/>
  <c r="P1935" i="2"/>
  <c r="C229" i="2"/>
  <c r="G229" i="2"/>
  <c r="M1715" i="2"/>
  <c r="J1455" i="2"/>
  <c r="C432" i="2"/>
  <c r="O229" i="2"/>
  <c r="H432" i="2"/>
  <c r="G1935" i="2"/>
  <c r="C1113" i="2"/>
  <c r="S153" i="2"/>
  <c r="G1113" i="2"/>
  <c r="R1803" i="2"/>
  <c r="P1803" i="2"/>
  <c r="S1935" i="2"/>
  <c r="T1670" i="2"/>
  <c r="R1715" i="2"/>
  <c r="D229" i="2"/>
  <c r="D153" i="2"/>
  <c r="O1113" i="2"/>
  <c r="R229" i="2"/>
  <c r="F153" i="2"/>
  <c r="M432" i="2"/>
  <c r="E1675" i="2"/>
  <c r="H1715" i="2"/>
  <c r="R1670" i="2"/>
  <c r="J432" i="2"/>
  <c r="P153" i="2"/>
  <c r="P1455" i="2"/>
  <c r="P1670" i="2"/>
  <c r="N1715" i="2"/>
  <c r="O1803" i="2"/>
  <c r="N1935" i="2"/>
  <c r="H1935" i="2"/>
  <c r="C153" i="2"/>
  <c r="O1675" i="2"/>
  <c r="F1113" i="2"/>
  <c r="K1715" i="2"/>
  <c r="J1803" i="2"/>
  <c r="S229" i="2"/>
  <c r="K229" i="2"/>
  <c r="A229" i="2"/>
  <c r="S1670" i="2"/>
  <c r="T1455" i="2"/>
  <c r="F432" i="2"/>
  <c r="K1803" i="2"/>
  <c r="T1803" i="2"/>
  <c r="Q1675" i="2"/>
  <c r="D1455" i="2"/>
  <c r="E1113" i="2"/>
  <c r="A1113" i="2"/>
  <c r="J1670" i="2"/>
  <c r="R1675" i="2"/>
  <c r="Q1113" i="2"/>
  <c r="Q229" i="2"/>
  <c r="J1935" i="2"/>
  <c r="G1455" i="2"/>
  <c r="P1715" i="2"/>
  <c r="Q432" i="2"/>
  <c r="R1935" i="2"/>
  <c r="C1675" i="2"/>
  <c r="J229" i="2"/>
  <c r="P1113" i="2"/>
  <c r="G1803" i="2"/>
  <c r="M1670" i="2"/>
  <c r="N229" i="2"/>
  <c r="K1455" i="2"/>
  <c r="H1670" i="2"/>
  <c r="A1935" i="2"/>
  <c r="E1935" i="2"/>
  <c r="A1715" i="2"/>
  <c r="F1670" i="2"/>
  <c r="Q1715" i="2"/>
  <c r="E229" i="2"/>
  <c r="M1113" i="2"/>
  <c r="M229" i="2"/>
  <c r="F1803" i="2"/>
  <c r="E153" i="2"/>
  <c r="C1715" i="2"/>
  <c r="S1675" i="2"/>
  <c r="P432" i="2"/>
  <c r="T153" i="2"/>
  <c r="Q1935" i="2"/>
  <c r="S1715" i="2"/>
  <c r="C1670" i="2"/>
  <c r="T1675" i="2"/>
  <c r="N1455" i="2"/>
  <c r="C1803" i="2"/>
  <c r="R153" i="2"/>
  <c r="G153" i="2"/>
  <c r="K153" i="2"/>
  <c r="G432" i="2"/>
  <c r="J1715" i="2"/>
  <c r="H153" i="2"/>
  <c r="F229" i="2"/>
  <c r="J1113" i="2"/>
  <c r="C1455" i="2"/>
  <c r="F1675" i="2"/>
  <c r="D1675" i="2"/>
  <c r="T1715" i="2"/>
  <c r="P1675" i="2"/>
  <c r="N153" i="2"/>
  <c r="O1935" i="2"/>
  <c r="E1803" i="2"/>
  <c r="H1803" i="2"/>
  <c r="D1113" i="2"/>
  <c r="N1670" i="2"/>
  <c r="D1715" i="2"/>
  <c r="N1113" i="2"/>
  <c r="A432" i="2"/>
  <c r="F1455" i="2"/>
  <c r="F1715" i="2"/>
  <c r="D1803" i="2"/>
  <c r="E1715" i="2"/>
  <c r="F1935" i="2"/>
  <c r="H1675" i="2"/>
  <c r="G1670" i="2"/>
  <c r="O1670" i="2"/>
  <c r="Q1455" i="2"/>
  <c r="E1670" i="2"/>
  <c r="M1455" i="2"/>
  <c r="H229" i="2"/>
  <c r="T1935" i="2"/>
  <c r="Q1670" i="2"/>
  <c r="D1935" i="2"/>
  <c r="C1935" i="2"/>
  <c r="N1675" i="2"/>
  <c r="D1670" i="2"/>
  <c r="G1715" i="2"/>
  <c r="N432" i="2"/>
  <c r="H1113" i="2"/>
  <c r="P229" i="2"/>
  <c r="A1803" i="2"/>
  <c r="E1455" i="2"/>
  <c r="O153" i="2"/>
  <c r="R818" i="2"/>
  <c r="K891" i="2"/>
  <c r="R1413" i="2"/>
  <c r="G444" i="2"/>
  <c r="O158" i="2"/>
  <c r="K158" i="2"/>
  <c r="N1413" i="2"/>
  <c r="G158" i="2"/>
  <c r="D2012" i="2"/>
  <c r="J1730" i="2"/>
  <c r="D1730" i="2"/>
  <c r="R2243" i="2"/>
  <c r="G2243" i="2"/>
  <c r="R2237" i="2"/>
  <c r="J2012" i="2"/>
  <c r="K444" i="2"/>
  <c r="A2243" i="2"/>
  <c r="S158" i="2"/>
  <c r="K1413" i="2"/>
  <c r="C2237" i="2"/>
  <c r="T891" i="2"/>
  <c r="T1730" i="2"/>
  <c r="R1859" i="2"/>
  <c r="O1413" i="2"/>
  <c r="N444" i="2"/>
  <c r="R444" i="2"/>
  <c r="O2237" i="2"/>
  <c r="E2237" i="2"/>
  <c r="G1413" i="2"/>
  <c r="O1730" i="2"/>
  <c r="E891" i="2"/>
  <c r="E158" i="2"/>
  <c r="R891" i="2"/>
  <c r="P158" i="2"/>
  <c r="M2012" i="2"/>
  <c r="O2243" i="2"/>
  <c r="T1413" i="2"/>
  <c r="D1859" i="2"/>
  <c r="N2012" i="2"/>
  <c r="P1730" i="2"/>
  <c r="F2237" i="2"/>
  <c r="P2243" i="2"/>
  <c r="P891" i="2"/>
  <c r="H2237" i="2"/>
  <c r="P1859" i="2"/>
  <c r="E444" i="2"/>
  <c r="D158" i="2"/>
  <c r="M1730" i="2"/>
  <c r="Q1413" i="2"/>
  <c r="H158" i="2"/>
  <c r="T2243" i="2"/>
  <c r="F444" i="2"/>
  <c r="M818" i="2"/>
  <c r="Q818" i="2"/>
  <c r="C2012" i="2"/>
  <c r="S1413" i="2"/>
  <c r="Q158" i="2"/>
  <c r="C444" i="2"/>
  <c r="T158" i="2"/>
  <c r="T444" i="2"/>
  <c r="H444" i="2"/>
  <c r="H818" i="2"/>
  <c r="O1859" i="2"/>
  <c r="H2243" i="2"/>
  <c r="C891" i="2"/>
  <c r="F1730" i="2"/>
  <c r="F1413" i="2"/>
  <c r="M1413" i="2"/>
  <c r="D818" i="2"/>
  <c r="A2012" i="2"/>
  <c r="S2243" i="2"/>
  <c r="C1859" i="2"/>
  <c r="H1730" i="2"/>
  <c r="S2237" i="2"/>
  <c r="C1730" i="2"/>
  <c r="E2012" i="2"/>
  <c r="A2237" i="2"/>
  <c r="J2243" i="2"/>
  <c r="K2243" i="2"/>
  <c r="A1413" i="2"/>
  <c r="S444" i="2"/>
  <c r="S1730" i="2"/>
  <c r="G2012" i="2"/>
  <c r="D1413" i="2"/>
  <c r="C1413" i="2"/>
  <c r="E1859" i="2"/>
  <c r="M2243" i="2"/>
  <c r="N891" i="2"/>
  <c r="F2243" i="2"/>
  <c r="O818" i="2"/>
  <c r="G818" i="2"/>
  <c r="K1859" i="2"/>
  <c r="Q2237" i="2"/>
  <c r="J1413" i="2"/>
  <c r="A891" i="2"/>
  <c r="P818" i="2"/>
  <c r="A444" i="2"/>
  <c r="J891" i="2"/>
  <c r="N158" i="2"/>
  <c r="F1859" i="2"/>
  <c r="O444" i="2"/>
  <c r="A1859" i="2"/>
  <c r="C158" i="2"/>
  <c r="S2012" i="2"/>
  <c r="C2243" i="2"/>
  <c r="D444" i="2"/>
  <c r="Q444" i="2"/>
  <c r="H1413" i="2"/>
  <c r="G1730" i="2"/>
  <c r="F818" i="2"/>
  <c r="K2012" i="2"/>
  <c r="M158" i="2"/>
  <c r="J1859" i="2"/>
  <c r="Q2012" i="2"/>
  <c r="H1859" i="2"/>
  <c r="T2012" i="2"/>
  <c r="J2237" i="2"/>
  <c r="M1859" i="2"/>
  <c r="J818" i="2"/>
  <c r="H2012" i="2"/>
  <c r="D2243" i="2"/>
  <c r="M891" i="2"/>
  <c r="S891" i="2"/>
  <c r="N2237" i="2"/>
  <c r="Q1730" i="2"/>
  <c r="T818" i="2"/>
  <c r="Q2243" i="2"/>
  <c r="A158" i="2"/>
  <c r="Q1859" i="2"/>
  <c r="K2237" i="2"/>
  <c r="D891" i="2"/>
  <c r="G1859" i="2"/>
  <c r="F891" i="2"/>
  <c r="P2012" i="2"/>
  <c r="Q891" i="2"/>
  <c r="G2237" i="2"/>
  <c r="P1413" i="2"/>
  <c r="N1730" i="2"/>
  <c r="P2237" i="2"/>
  <c r="M2237" i="2"/>
  <c r="N818" i="2"/>
  <c r="N1859" i="2"/>
  <c r="S818" i="2"/>
  <c r="R2012" i="2"/>
  <c r="R1730" i="2"/>
  <c r="J444" i="2"/>
  <c r="G891" i="2"/>
  <c r="F158" i="2"/>
  <c r="C818" i="2"/>
  <c r="P444" i="2"/>
  <c r="S1859" i="2"/>
  <c r="D2237" i="2"/>
  <c r="E818" i="2"/>
  <c r="E1730" i="2"/>
  <c r="F2012" i="2"/>
  <c r="K818" i="2"/>
  <c r="A1730" i="2"/>
  <c r="O891" i="2"/>
  <c r="R158" i="2"/>
  <c r="E2243" i="2"/>
  <c r="J158" i="2"/>
  <c r="K1730" i="2"/>
  <c r="T2237" i="2"/>
  <c r="N2243" i="2"/>
  <c r="T1859" i="2"/>
  <c r="O2012" i="2"/>
  <c r="H891" i="2"/>
  <c r="M444" i="2"/>
  <c r="A818" i="2"/>
  <c r="E1413" i="2"/>
  <c r="F1726" i="2"/>
  <c r="Q355" i="2"/>
  <c r="D99" i="2"/>
  <c r="M742" i="2"/>
  <c r="N99" i="2"/>
  <c r="J355" i="2"/>
  <c r="M658" i="2"/>
  <c r="O1087" i="2"/>
  <c r="K571" i="2"/>
  <c r="Q571" i="2"/>
  <c r="F571" i="2"/>
  <c r="G365" i="2"/>
  <c r="D355" i="2"/>
  <c r="G1087" i="2"/>
  <c r="P1087" i="2"/>
  <c r="T571" i="2"/>
  <c r="N655" i="2"/>
  <c r="T655" i="2"/>
  <c r="J571" i="2"/>
  <c r="D1087" i="2"/>
  <c r="R742" i="2"/>
  <c r="S1733" i="2"/>
  <c r="M571" i="2"/>
  <c r="P655" i="2"/>
  <c r="T658" i="2"/>
  <c r="F658" i="2"/>
  <c r="C1726" i="2"/>
  <c r="O571" i="2"/>
  <c r="K355" i="2"/>
  <c r="S655" i="2"/>
  <c r="H655" i="2"/>
  <c r="Q1733" i="2"/>
  <c r="C355" i="2"/>
  <c r="S658" i="2"/>
  <c r="D365" i="2"/>
  <c r="D742" i="2"/>
  <c r="H742" i="2"/>
  <c r="A365" i="2"/>
  <c r="K1087" i="2"/>
  <c r="S355" i="2"/>
  <c r="D655" i="2"/>
  <c r="P365" i="2"/>
  <c r="P355" i="2"/>
  <c r="H365" i="2"/>
  <c r="R658" i="2"/>
  <c r="P571" i="2"/>
  <c r="E1726" i="2"/>
  <c r="P1733" i="2"/>
  <c r="E365" i="2"/>
  <c r="G99" i="2"/>
  <c r="E99" i="2"/>
  <c r="O742" i="2"/>
  <c r="S1726" i="2"/>
  <c r="G1726" i="2"/>
  <c r="Q365" i="2"/>
  <c r="O1726" i="2"/>
  <c r="H99" i="2"/>
  <c r="C655" i="2"/>
  <c r="E1733" i="2"/>
  <c r="F365" i="2"/>
  <c r="H1726" i="2"/>
  <c r="H658" i="2"/>
  <c r="N1087" i="2"/>
  <c r="R571" i="2"/>
  <c r="R99" i="2"/>
  <c r="T1087" i="2"/>
  <c r="N571" i="2"/>
  <c r="G742" i="2"/>
  <c r="P742" i="2"/>
  <c r="C1087" i="2"/>
  <c r="T365" i="2"/>
  <c r="E658" i="2"/>
  <c r="D1733" i="2"/>
  <c r="S742" i="2"/>
  <c r="M1733" i="2"/>
  <c r="J658" i="2"/>
  <c r="T99" i="2"/>
  <c r="H1087" i="2"/>
  <c r="H355" i="2"/>
  <c r="H1733" i="2"/>
  <c r="E571" i="2"/>
  <c r="R1087" i="2"/>
  <c r="F742" i="2"/>
  <c r="C99" i="2"/>
  <c r="K742" i="2"/>
  <c r="N742" i="2"/>
  <c r="Q658" i="2"/>
  <c r="C571" i="2"/>
  <c r="S365" i="2"/>
  <c r="O658" i="2"/>
  <c r="F655" i="2"/>
  <c r="M1726" i="2"/>
  <c r="J1087" i="2"/>
  <c r="E355" i="2"/>
  <c r="R655" i="2"/>
  <c r="F99" i="2"/>
  <c r="T1726" i="2"/>
  <c r="S99" i="2"/>
  <c r="D658" i="2"/>
  <c r="J1733" i="2"/>
  <c r="A742" i="2"/>
  <c r="Q1087" i="2"/>
  <c r="J365" i="2"/>
  <c r="A99" i="2"/>
  <c r="E655" i="2"/>
  <c r="C742" i="2"/>
  <c r="C1733" i="2"/>
  <c r="R1733" i="2"/>
  <c r="N1726" i="2"/>
  <c r="Q655" i="2"/>
  <c r="F1733" i="2"/>
  <c r="P1726" i="2"/>
  <c r="Q742" i="2"/>
  <c r="J1726" i="2"/>
  <c r="O99" i="2"/>
  <c r="K658" i="2"/>
  <c r="Q1726" i="2"/>
  <c r="C365" i="2"/>
  <c r="R365" i="2"/>
  <c r="N365" i="2"/>
  <c r="H571" i="2"/>
  <c r="K655" i="2"/>
  <c r="T1733" i="2"/>
  <c r="F1087" i="2"/>
  <c r="S1087" i="2"/>
  <c r="J99" i="2"/>
  <c r="Q99" i="2"/>
  <c r="M655" i="2"/>
  <c r="G1733" i="2"/>
  <c r="D1726" i="2"/>
  <c r="O365" i="2"/>
  <c r="T355" i="2"/>
  <c r="F355" i="2"/>
  <c r="M355" i="2"/>
  <c r="M365" i="2"/>
  <c r="O1733" i="2"/>
  <c r="A1733" i="2"/>
  <c r="A355" i="2"/>
  <c r="J655" i="2"/>
  <c r="O355" i="2"/>
  <c r="G658" i="2"/>
  <c r="A571" i="2"/>
  <c r="N658" i="2"/>
  <c r="K1726" i="2"/>
  <c r="E742" i="2"/>
  <c r="G655" i="2"/>
  <c r="N1733" i="2"/>
  <c r="R355" i="2"/>
  <c r="A1726" i="2"/>
  <c r="G571" i="2"/>
  <c r="K99" i="2"/>
  <c r="G355" i="2"/>
  <c r="T742" i="2"/>
  <c r="D571" i="2"/>
  <c r="E1087" i="2"/>
  <c r="M99" i="2"/>
  <c r="P658" i="2"/>
  <c r="C658" i="2"/>
  <c r="M1087" i="2"/>
  <c r="A655" i="2"/>
  <c r="P99" i="2"/>
  <c r="O655" i="2"/>
  <c r="K1733" i="2"/>
  <c r="N355" i="2"/>
  <c r="S571" i="2"/>
  <c r="K365" i="2"/>
  <c r="A1087" i="2"/>
  <c r="A658" i="2"/>
  <c r="R1726" i="2"/>
  <c r="J742" i="2"/>
  <c r="P1565" i="2"/>
  <c r="C1565" i="2"/>
  <c r="C115" i="2"/>
  <c r="D583" i="2"/>
  <c r="O583" i="2"/>
  <c r="F1200" i="2"/>
  <c r="P583" i="2"/>
  <c r="Q583" i="2"/>
  <c r="E640" i="2"/>
  <c r="N640" i="2"/>
  <c r="C2007" i="2"/>
  <c r="P602" i="2"/>
  <c r="S602" i="2"/>
  <c r="O1828" i="2"/>
  <c r="O1796" i="2"/>
  <c r="Q1565" i="2"/>
  <c r="C1200" i="2"/>
  <c r="P1828" i="2"/>
  <c r="R115" i="2"/>
  <c r="N1200" i="2"/>
  <c r="O640" i="2"/>
  <c r="E1796" i="2"/>
  <c r="H640" i="2"/>
  <c r="P115" i="2"/>
  <c r="F1796" i="2"/>
  <c r="Q1828" i="2"/>
  <c r="S640" i="2"/>
  <c r="D28" i="2"/>
  <c r="A1565" i="2"/>
  <c r="D602" i="2"/>
  <c r="A28" i="2"/>
  <c r="S28" i="2"/>
  <c r="K1796" i="2"/>
  <c r="K583" i="2"/>
  <c r="M583" i="2"/>
  <c r="K1200" i="2"/>
  <c r="T640" i="2"/>
  <c r="J28" i="2"/>
  <c r="T115" i="2"/>
  <c r="C583" i="2"/>
  <c r="E1828" i="2"/>
  <c r="G2007" i="2"/>
  <c r="K1828" i="2"/>
  <c r="R2007" i="2"/>
  <c r="A2007" i="2"/>
  <c r="M1796" i="2"/>
  <c r="M115" i="2"/>
  <c r="O1200" i="2"/>
  <c r="Q2007" i="2"/>
  <c r="Q602" i="2"/>
  <c r="N115" i="2"/>
  <c r="T1565" i="2"/>
  <c r="G1828" i="2"/>
  <c r="A602" i="2"/>
  <c r="E115" i="2"/>
  <c r="G583" i="2"/>
  <c r="R1796" i="2"/>
  <c r="D115" i="2"/>
  <c r="G28" i="2"/>
  <c r="J602" i="2"/>
  <c r="H1565" i="2"/>
  <c r="F2007" i="2"/>
  <c r="M640" i="2"/>
  <c r="D1796" i="2"/>
  <c r="N2007" i="2"/>
  <c r="M602" i="2"/>
  <c r="S1796" i="2"/>
  <c r="N28" i="2"/>
  <c r="T602" i="2"/>
  <c r="P640" i="2"/>
  <c r="N583" i="2"/>
  <c r="G602" i="2"/>
  <c r="D1200" i="2"/>
  <c r="Q1200" i="2"/>
  <c r="H115" i="2"/>
  <c r="H2007" i="2"/>
  <c r="R1565" i="2"/>
  <c r="E1565" i="2"/>
  <c r="O602" i="2"/>
  <c r="Q28" i="2"/>
  <c r="P28" i="2"/>
  <c r="P2007" i="2"/>
  <c r="H602" i="2"/>
  <c r="D2007" i="2"/>
  <c r="F583" i="2"/>
  <c r="M2007" i="2"/>
  <c r="A1796" i="2"/>
  <c r="S1828" i="2"/>
  <c r="G115" i="2"/>
  <c r="E2007" i="2"/>
  <c r="R1200" i="2"/>
  <c r="E28" i="2"/>
  <c r="H583" i="2"/>
  <c r="N1796" i="2"/>
  <c r="A1828" i="2"/>
  <c r="R1828" i="2"/>
  <c r="G1200" i="2"/>
  <c r="J1796" i="2"/>
  <c r="J1828" i="2"/>
  <c r="M28" i="2"/>
  <c r="G1565" i="2"/>
  <c r="C28" i="2"/>
  <c r="G640" i="2"/>
  <c r="P1796" i="2"/>
  <c r="K1565" i="2"/>
  <c r="T583" i="2"/>
  <c r="A115" i="2"/>
  <c r="S1565" i="2"/>
  <c r="R602" i="2"/>
  <c r="T28" i="2"/>
  <c r="K2007" i="2"/>
  <c r="Q640" i="2"/>
  <c r="F1565" i="2"/>
  <c r="R28" i="2"/>
  <c r="H1828" i="2"/>
  <c r="C1796" i="2"/>
  <c r="J2007" i="2"/>
  <c r="N1828" i="2"/>
  <c r="C1828" i="2"/>
  <c r="S583" i="2"/>
  <c r="A640" i="2"/>
  <c r="G1796" i="2"/>
  <c r="H1200" i="2"/>
  <c r="J583" i="2"/>
  <c r="F115" i="2"/>
  <c r="M1828" i="2"/>
  <c r="N602" i="2"/>
  <c r="O115" i="2"/>
  <c r="O2007" i="2"/>
  <c r="J640" i="2"/>
  <c r="S115" i="2"/>
  <c r="E583" i="2"/>
  <c r="T2007" i="2"/>
  <c r="M1565" i="2"/>
  <c r="C602" i="2"/>
  <c r="S1200" i="2"/>
  <c r="J1200" i="2"/>
  <c r="D1565" i="2"/>
  <c r="F602" i="2"/>
  <c r="F640" i="2"/>
  <c r="Q115" i="2"/>
  <c r="E1200" i="2"/>
  <c r="O28" i="2"/>
  <c r="J115" i="2"/>
  <c r="K28" i="2"/>
  <c r="C640" i="2"/>
  <c r="E602" i="2"/>
  <c r="N1565" i="2"/>
  <c r="A583" i="2"/>
  <c r="F28" i="2"/>
  <c r="D1828" i="2"/>
  <c r="T1796" i="2"/>
  <c r="F1828" i="2"/>
  <c r="O1565" i="2"/>
  <c r="P1200" i="2"/>
  <c r="D640" i="2"/>
  <c r="R640" i="2"/>
  <c r="A1200" i="2"/>
  <c r="Q1796" i="2"/>
  <c r="M1200" i="2"/>
  <c r="T1200" i="2"/>
  <c r="K640" i="2"/>
  <c r="H28" i="2"/>
  <c r="R583" i="2"/>
  <c r="J1565" i="2"/>
  <c r="S2007" i="2"/>
  <c r="H1796" i="2"/>
  <c r="K115" i="2"/>
  <c r="T1828" i="2"/>
  <c r="K602" i="2"/>
  <c r="P1357" i="2"/>
  <c r="G1399" i="2"/>
  <c r="F1442" i="2"/>
  <c r="A326" i="2"/>
  <c r="T326" i="2"/>
  <c r="N1357" i="2"/>
  <c r="A1357" i="2"/>
  <c r="J326" i="2"/>
  <c r="K1357" i="2"/>
  <c r="M2125" i="2"/>
  <c r="P1399" i="2"/>
  <c r="P1963" i="2"/>
  <c r="C1399" i="2"/>
  <c r="P1330" i="2"/>
  <c r="G1442" i="2"/>
  <c r="Q2125" i="2"/>
  <c r="G1357" i="2"/>
  <c r="Q1428" i="2"/>
  <c r="A1613" i="2"/>
  <c r="T1613" i="2"/>
  <c r="S1428" i="2"/>
  <c r="S1357" i="2"/>
  <c r="C1357" i="2"/>
  <c r="C326" i="2"/>
  <c r="R1399" i="2"/>
  <c r="N1353" i="2"/>
  <c r="Q1613" i="2"/>
  <c r="R1353" i="2"/>
  <c r="M1399" i="2"/>
  <c r="Q1963" i="2"/>
  <c r="F1399" i="2"/>
  <c r="G2125" i="2"/>
  <c r="C1442" i="2"/>
  <c r="D1442" i="2"/>
  <c r="G1353" i="2"/>
  <c r="M1353" i="2"/>
  <c r="R2125" i="2"/>
  <c r="A1963" i="2"/>
  <c r="T1353" i="2"/>
  <c r="N1428" i="2"/>
  <c r="O2125" i="2"/>
  <c r="E1353" i="2"/>
  <c r="P2125" i="2"/>
  <c r="M1357" i="2"/>
  <c r="K1428" i="2"/>
  <c r="E2125" i="2"/>
  <c r="Q326" i="2"/>
  <c r="H1613" i="2"/>
  <c r="D1428" i="2"/>
  <c r="K1330" i="2"/>
  <c r="O1357" i="2"/>
  <c r="R1330" i="2"/>
  <c r="M1330" i="2"/>
  <c r="T2125" i="2"/>
  <c r="O1399" i="2"/>
  <c r="K1442" i="2"/>
  <c r="J1353" i="2"/>
  <c r="E1428" i="2"/>
  <c r="F1330" i="2"/>
  <c r="M1613" i="2"/>
  <c r="H1442" i="2"/>
  <c r="R1613" i="2"/>
  <c r="K1613" i="2"/>
  <c r="E1357" i="2"/>
  <c r="N1330" i="2"/>
  <c r="D1963" i="2"/>
  <c r="E1399" i="2"/>
  <c r="M1963" i="2"/>
  <c r="N326" i="2"/>
  <c r="A1442" i="2"/>
  <c r="J1442" i="2"/>
  <c r="N2125" i="2"/>
  <c r="P1613" i="2"/>
  <c r="O1442" i="2"/>
  <c r="N1963" i="2"/>
  <c r="A2125" i="2"/>
  <c r="E1963" i="2"/>
  <c r="N1442" i="2"/>
  <c r="S1963" i="2"/>
  <c r="F1353" i="2"/>
  <c r="T1963" i="2"/>
  <c r="E1330" i="2"/>
  <c r="K1963" i="2"/>
  <c r="D1353" i="2"/>
  <c r="H1357" i="2"/>
  <c r="G1330" i="2"/>
  <c r="T1399" i="2"/>
  <c r="F1613" i="2"/>
  <c r="K326" i="2"/>
  <c r="S326" i="2"/>
  <c r="S1330" i="2"/>
  <c r="D1357" i="2"/>
  <c r="Q1330" i="2"/>
  <c r="J1330" i="2"/>
  <c r="G1963" i="2"/>
  <c r="S1613" i="2"/>
  <c r="S1353" i="2"/>
  <c r="J2125" i="2"/>
  <c r="H326" i="2"/>
  <c r="O1963" i="2"/>
  <c r="T1357" i="2"/>
  <c r="C1963" i="2"/>
  <c r="C1428" i="2"/>
  <c r="A1428" i="2"/>
  <c r="Q1357" i="2"/>
  <c r="S2125" i="2"/>
  <c r="J1613" i="2"/>
  <c r="H1399" i="2"/>
  <c r="P1353" i="2"/>
  <c r="F2125" i="2"/>
  <c r="H1353" i="2"/>
  <c r="G1613" i="2"/>
  <c r="O1353" i="2"/>
  <c r="C1353" i="2"/>
  <c r="Q1399" i="2"/>
  <c r="D1330" i="2"/>
  <c r="J1399" i="2"/>
  <c r="S1399" i="2"/>
  <c r="C1330" i="2"/>
  <c r="G1428" i="2"/>
  <c r="D1399" i="2"/>
  <c r="F1428" i="2"/>
  <c r="E1442" i="2"/>
  <c r="P1442" i="2"/>
  <c r="P326" i="2"/>
  <c r="C1613" i="2"/>
  <c r="A1330" i="2"/>
  <c r="S1442" i="2"/>
  <c r="R1428" i="2"/>
  <c r="O1330" i="2"/>
  <c r="K1399" i="2"/>
  <c r="F326" i="2"/>
  <c r="N1399" i="2"/>
  <c r="M1428" i="2"/>
  <c r="J1357" i="2"/>
  <c r="K2125" i="2"/>
  <c r="D1613" i="2"/>
  <c r="Q1442" i="2"/>
  <c r="F1963" i="2"/>
  <c r="N1613" i="2"/>
  <c r="E326" i="2"/>
  <c r="T1442" i="2"/>
  <c r="M326" i="2"/>
  <c r="J1963" i="2"/>
  <c r="M1442" i="2"/>
  <c r="A1353" i="2"/>
  <c r="O1613" i="2"/>
  <c r="H2125" i="2"/>
  <c r="R1963" i="2"/>
  <c r="O1428" i="2"/>
  <c r="D326" i="2"/>
  <c r="T1428" i="2"/>
  <c r="R1357" i="2"/>
  <c r="H1428" i="2"/>
  <c r="C2125" i="2"/>
  <c r="G326" i="2"/>
  <c r="R326" i="2"/>
  <c r="Q1353" i="2"/>
  <c r="J1428" i="2"/>
  <c r="H1330" i="2"/>
  <c r="K1353" i="2"/>
  <c r="P1428" i="2"/>
  <c r="A1399" i="2"/>
  <c r="E1613" i="2"/>
  <c r="H1963" i="2"/>
  <c r="F1357" i="2"/>
  <c r="D2125" i="2"/>
  <c r="R1442" i="2"/>
  <c r="O326" i="2"/>
  <c r="T1330" i="2"/>
  <c r="F480" i="2"/>
  <c r="D1984" i="2"/>
  <c r="J1035" i="2"/>
  <c r="C1547" i="2"/>
  <c r="P1035" i="2"/>
  <c r="S1035" i="2"/>
  <c r="H2046" i="2"/>
  <c r="R2046" i="2"/>
  <c r="P2046" i="2"/>
  <c r="N1723" i="2"/>
  <c r="Q236" i="2"/>
  <c r="T1723" i="2"/>
  <c r="H236" i="2"/>
  <c r="M633" i="2"/>
  <c r="T1035" i="2"/>
  <c r="F633" i="2"/>
  <c r="G332" i="2"/>
  <c r="A2046" i="2"/>
  <c r="A236" i="2"/>
  <c r="H332" i="2"/>
  <c r="R1723" i="2"/>
  <c r="H1393" i="2"/>
  <c r="C1984" i="2"/>
  <c r="G236" i="2"/>
  <c r="A1393" i="2"/>
  <c r="C332" i="2"/>
  <c r="G480" i="2"/>
  <c r="M1984" i="2"/>
  <c r="J1393" i="2"/>
  <c r="T1393" i="2"/>
  <c r="C1723" i="2"/>
  <c r="D332" i="2"/>
  <c r="M1723" i="2"/>
  <c r="R1035" i="2"/>
  <c r="K2046" i="2"/>
  <c r="O332" i="2"/>
  <c r="T1984" i="2"/>
  <c r="N2046" i="2"/>
  <c r="Q480" i="2"/>
  <c r="T332" i="2"/>
  <c r="A1547" i="2"/>
  <c r="S1393" i="2"/>
  <c r="M480" i="2"/>
  <c r="P1723" i="2"/>
  <c r="F1984" i="2"/>
  <c r="T2046" i="2"/>
  <c r="E1723" i="2"/>
  <c r="K1035" i="2"/>
  <c r="H1984" i="2"/>
  <c r="J633" i="2"/>
  <c r="M1035" i="2"/>
  <c r="N1393" i="2"/>
  <c r="D1035" i="2"/>
  <c r="D480" i="2"/>
  <c r="S332" i="2"/>
  <c r="Q1984" i="2"/>
  <c r="S480" i="2"/>
  <c r="E480" i="2"/>
  <c r="K1984" i="2"/>
  <c r="O2046" i="2"/>
  <c r="H480" i="2"/>
  <c r="N1984" i="2"/>
  <c r="Q633" i="2"/>
  <c r="P1393" i="2"/>
  <c r="Q1723" i="2"/>
  <c r="C633" i="2"/>
  <c r="R480" i="2"/>
  <c r="N1547" i="2"/>
  <c r="N633" i="2"/>
  <c r="M2046" i="2"/>
  <c r="F236" i="2"/>
  <c r="K1723" i="2"/>
  <c r="M236" i="2"/>
  <c r="T236" i="2"/>
  <c r="C1393" i="2"/>
  <c r="K236" i="2"/>
  <c r="K1393" i="2"/>
  <c r="J1547" i="2"/>
  <c r="Q1035" i="2"/>
  <c r="K332" i="2"/>
  <c r="R332" i="2"/>
  <c r="H1547" i="2"/>
  <c r="D1547" i="2"/>
  <c r="G1035" i="2"/>
  <c r="R236" i="2"/>
  <c r="S633" i="2"/>
  <c r="E1547" i="2"/>
  <c r="P1984" i="2"/>
  <c r="O1393" i="2"/>
  <c r="D633" i="2"/>
  <c r="C480" i="2"/>
  <c r="H633" i="2"/>
  <c r="G1547" i="2"/>
  <c r="O236" i="2"/>
  <c r="A332" i="2"/>
  <c r="S1723" i="2"/>
  <c r="Q1547" i="2"/>
  <c r="M332" i="2"/>
  <c r="D1723" i="2"/>
  <c r="K1547" i="2"/>
  <c r="E1035" i="2"/>
  <c r="T633" i="2"/>
  <c r="N332" i="2"/>
  <c r="T1547" i="2"/>
  <c r="O633" i="2"/>
  <c r="F1393" i="2"/>
  <c r="C2046" i="2"/>
  <c r="F1035" i="2"/>
  <c r="O1984" i="2"/>
  <c r="O480" i="2"/>
  <c r="M1393" i="2"/>
  <c r="D236" i="2"/>
  <c r="P633" i="2"/>
  <c r="F2046" i="2"/>
  <c r="J480" i="2"/>
  <c r="R1547" i="2"/>
  <c r="G633" i="2"/>
  <c r="O1547" i="2"/>
  <c r="S2046" i="2"/>
  <c r="J332" i="2"/>
  <c r="E332" i="2"/>
  <c r="P236" i="2"/>
  <c r="A1035" i="2"/>
  <c r="N1035" i="2"/>
  <c r="M1547" i="2"/>
  <c r="R1984" i="2"/>
  <c r="N236" i="2"/>
  <c r="F1723" i="2"/>
  <c r="E236" i="2"/>
  <c r="O1723" i="2"/>
  <c r="R633" i="2"/>
  <c r="P332" i="2"/>
  <c r="G1393" i="2"/>
  <c r="H1035" i="2"/>
  <c r="E1984" i="2"/>
  <c r="F332" i="2"/>
  <c r="G1984" i="2"/>
  <c r="R1393" i="2"/>
  <c r="N480" i="2"/>
  <c r="J1723" i="2"/>
  <c r="T480" i="2"/>
  <c r="S1984" i="2"/>
  <c r="C236" i="2"/>
  <c r="A480" i="2"/>
  <c r="Q1393" i="2"/>
  <c r="Q2046" i="2"/>
  <c r="A1723" i="2"/>
  <c r="G2046" i="2"/>
  <c r="P1547" i="2"/>
  <c r="A633" i="2"/>
  <c r="K480" i="2"/>
  <c r="J2046" i="2"/>
  <c r="S1547" i="2"/>
  <c r="G1723" i="2"/>
  <c r="D1393" i="2"/>
  <c r="C1035" i="2"/>
  <c r="D2046" i="2"/>
  <c r="K633" i="2"/>
  <c r="J236" i="2"/>
  <c r="S236" i="2"/>
  <c r="P480" i="2"/>
  <c r="J1984" i="2"/>
  <c r="H1723" i="2"/>
  <c r="A1984" i="2"/>
  <c r="F1547" i="2"/>
  <c r="O1035" i="2"/>
  <c r="E2046" i="2"/>
  <c r="E633" i="2"/>
  <c r="E1393" i="2"/>
  <c r="Q332" i="2"/>
  <c r="M2018" i="2"/>
  <c r="N2253" i="2"/>
  <c r="N587" i="2"/>
  <c r="N808" i="2"/>
  <c r="P587" i="2"/>
  <c r="J718" i="2"/>
  <c r="P718" i="2"/>
  <c r="E587" i="2"/>
  <c r="H1566" i="2"/>
  <c r="R33" i="2"/>
  <c r="N2018" i="2"/>
  <c r="K587" i="2"/>
  <c r="O587" i="2"/>
  <c r="F2253" i="2"/>
  <c r="C808" i="2"/>
  <c r="F2246" i="2"/>
  <c r="N33" i="2"/>
  <c r="J2018" i="2"/>
  <c r="P2018" i="2"/>
  <c r="D2018" i="2"/>
  <c r="R2246" i="2"/>
  <c r="A808" i="2"/>
  <c r="Q733" i="2"/>
  <c r="P2253" i="2"/>
  <c r="H718" i="2"/>
  <c r="R733" i="2"/>
  <c r="O733" i="2"/>
  <c r="K2253" i="2"/>
  <c r="O808" i="2"/>
  <c r="R808" i="2"/>
  <c r="A587" i="2"/>
  <c r="K33" i="2"/>
  <c r="F718" i="2"/>
  <c r="M808" i="2"/>
  <c r="T718" i="2"/>
  <c r="H587" i="2"/>
  <c r="D808" i="2"/>
  <c r="P1566" i="2"/>
  <c r="Q2246" i="2"/>
  <c r="T784" i="2"/>
  <c r="D33" i="2"/>
  <c r="E718" i="2"/>
  <c r="G808" i="2"/>
  <c r="S2253" i="2"/>
  <c r="E784" i="2"/>
  <c r="S587" i="2"/>
  <c r="N718" i="2"/>
  <c r="F733" i="2"/>
  <c r="S2246" i="2"/>
  <c r="P808" i="2"/>
  <c r="A784" i="2"/>
  <c r="K1566" i="2"/>
  <c r="R718" i="2"/>
  <c r="R784" i="2"/>
  <c r="A2253" i="2"/>
  <c r="O784" i="2"/>
  <c r="F808" i="2"/>
  <c r="H33" i="2"/>
  <c r="D1566" i="2"/>
  <c r="D733" i="2"/>
  <c r="M784" i="2"/>
  <c r="C718" i="2"/>
  <c r="Q1566" i="2"/>
  <c r="C33" i="2"/>
  <c r="Q587" i="2"/>
  <c r="O1566" i="2"/>
  <c r="A2018" i="2"/>
  <c r="C587" i="2"/>
  <c r="A733" i="2"/>
  <c r="D2246" i="2"/>
  <c r="O718" i="2"/>
  <c r="S33" i="2"/>
  <c r="G718" i="2"/>
  <c r="S1566" i="2"/>
  <c r="T2018" i="2"/>
  <c r="K733" i="2"/>
  <c r="C2246" i="2"/>
  <c r="N2246" i="2"/>
  <c r="M2253" i="2"/>
  <c r="K718" i="2"/>
  <c r="J33" i="2"/>
  <c r="E2253" i="2"/>
  <c r="A1566" i="2"/>
  <c r="H2018" i="2"/>
  <c r="K808" i="2"/>
  <c r="N784" i="2"/>
  <c r="J1566" i="2"/>
  <c r="D587" i="2"/>
  <c r="S718" i="2"/>
  <c r="T587" i="2"/>
  <c r="G2246" i="2"/>
  <c r="R587" i="2"/>
  <c r="R1566" i="2"/>
  <c r="G784" i="2"/>
  <c r="D2253" i="2"/>
  <c r="G1566" i="2"/>
  <c r="E2018" i="2"/>
  <c r="K784" i="2"/>
  <c r="G2018" i="2"/>
  <c r="H2253" i="2"/>
  <c r="D718" i="2"/>
  <c r="M2246" i="2"/>
  <c r="S2018" i="2"/>
  <c r="S808" i="2"/>
  <c r="M33" i="2"/>
  <c r="O2246" i="2"/>
  <c r="S733" i="2"/>
  <c r="T733" i="2"/>
  <c r="R2253" i="2"/>
  <c r="J2253" i="2"/>
  <c r="G733" i="2"/>
  <c r="C2018" i="2"/>
  <c r="P33" i="2"/>
  <c r="G587" i="2"/>
  <c r="T1566" i="2"/>
  <c r="J733" i="2"/>
  <c r="M733" i="2"/>
  <c r="H733" i="2"/>
  <c r="N1566" i="2"/>
  <c r="C1566" i="2"/>
  <c r="Q808" i="2"/>
  <c r="J784" i="2"/>
  <c r="J808" i="2"/>
  <c r="O2018" i="2"/>
  <c r="N733" i="2"/>
  <c r="S784" i="2"/>
  <c r="E1566" i="2"/>
  <c r="H784" i="2"/>
  <c r="E733" i="2"/>
  <c r="T2246" i="2"/>
  <c r="E2246" i="2"/>
  <c r="R2018" i="2"/>
  <c r="A718" i="2"/>
  <c r="P784" i="2"/>
  <c r="O2253" i="2"/>
  <c r="C784" i="2"/>
  <c r="K2018" i="2"/>
  <c r="A33" i="2"/>
  <c r="T2253" i="2"/>
  <c r="E33" i="2"/>
  <c r="Q33" i="2"/>
  <c r="F33" i="2"/>
  <c r="Q784" i="2"/>
  <c r="H808" i="2"/>
  <c r="J587" i="2"/>
  <c r="E808" i="2"/>
  <c r="C2253" i="2"/>
  <c r="F1566" i="2"/>
  <c r="J2246" i="2"/>
  <c r="M587" i="2"/>
  <c r="P2246" i="2"/>
  <c r="A2246" i="2"/>
  <c r="K2246" i="2"/>
  <c r="O33" i="2"/>
  <c r="G33" i="2"/>
  <c r="F2018" i="2"/>
  <c r="G2253" i="2"/>
  <c r="F784" i="2"/>
  <c r="P733" i="2"/>
  <c r="Q718" i="2"/>
  <c r="T33" i="2"/>
  <c r="M718" i="2"/>
  <c r="F587" i="2"/>
  <c r="M1566" i="2"/>
  <c r="T808" i="2"/>
  <c r="Q2253" i="2"/>
  <c r="C733" i="2"/>
  <c r="H2246" i="2"/>
  <c r="D784" i="2"/>
  <c r="Q2018" i="2"/>
  <c r="R881" i="2"/>
  <c r="G121" i="2"/>
  <c r="K949" i="2"/>
  <c r="G2082" i="2"/>
  <c r="T590" i="2"/>
  <c r="E881" i="2"/>
  <c r="Q590" i="2"/>
  <c r="O1310" i="2"/>
  <c r="S121" i="2"/>
  <c r="N121" i="2"/>
  <c r="P652" i="2"/>
  <c r="Q1310" i="2"/>
  <c r="R949" i="2"/>
  <c r="E704" i="2"/>
  <c r="C652" i="2"/>
  <c r="D1310" i="2"/>
  <c r="S1310" i="2"/>
  <c r="H1310" i="2"/>
  <c r="G1310" i="2"/>
  <c r="T704" i="2"/>
  <c r="O652" i="2"/>
  <c r="G2232" i="2"/>
  <c r="N590" i="2"/>
  <c r="S2082" i="2"/>
  <c r="S949" i="2"/>
  <c r="Q121" i="2"/>
  <c r="E652" i="2"/>
  <c r="S2232" i="2"/>
  <c r="E1310" i="2"/>
  <c r="A652" i="2"/>
  <c r="R2232" i="2"/>
  <c r="R121" i="2"/>
  <c r="M2232" i="2"/>
  <c r="R1310" i="2"/>
  <c r="T2082" i="2"/>
  <c r="J949" i="2"/>
  <c r="O949" i="2"/>
  <c r="H121" i="2"/>
  <c r="N1800" i="2"/>
  <c r="O590" i="2"/>
  <c r="C1800" i="2"/>
  <c r="G949" i="2"/>
  <c r="J2082" i="2"/>
  <c r="E2082" i="2"/>
  <c r="S704" i="2"/>
  <c r="K121" i="2"/>
  <c r="D121" i="2"/>
  <c r="C949" i="2"/>
  <c r="H1800" i="2"/>
  <c r="C121" i="2"/>
  <c r="F121" i="2"/>
  <c r="N881" i="2"/>
  <c r="J2232" i="2"/>
  <c r="T652" i="2"/>
  <c r="F652" i="2"/>
  <c r="M652" i="2"/>
  <c r="A1800" i="2"/>
  <c r="D2232" i="2"/>
  <c r="J704" i="2"/>
  <c r="C881" i="2"/>
  <c r="K704" i="2"/>
  <c r="T881" i="2"/>
  <c r="D590" i="2"/>
  <c r="T949" i="2"/>
  <c r="P704" i="2"/>
  <c r="M949" i="2"/>
  <c r="E2232" i="2"/>
  <c r="K2082" i="2"/>
  <c r="H652" i="2"/>
  <c r="J121" i="2"/>
  <c r="N2082" i="2"/>
  <c r="G1800" i="2"/>
  <c r="P2082" i="2"/>
  <c r="M2082" i="2"/>
  <c r="R590" i="2"/>
  <c r="D2082" i="2"/>
  <c r="N652" i="2"/>
  <c r="N949" i="2"/>
  <c r="N704" i="2"/>
  <c r="G652" i="2"/>
  <c r="H704" i="2"/>
  <c r="H881" i="2"/>
  <c r="P1310" i="2"/>
  <c r="A590" i="2"/>
  <c r="Q949" i="2"/>
  <c r="P881" i="2"/>
  <c r="M881" i="2"/>
  <c r="A121" i="2"/>
  <c r="R2082" i="2"/>
  <c r="J590" i="2"/>
  <c r="E121" i="2"/>
  <c r="T2232" i="2"/>
  <c r="P1800" i="2"/>
  <c r="C590" i="2"/>
  <c r="Q1800" i="2"/>
  <c r="S1800" i="2"/>
  <c r="O2082" i="2"/>
  <c r="A949" i="2"/>
  <c r="J652" i="2"/>
  <c r="J1310" i="2"/>
  <c r="R704" i="2"/>
  <c r="F2232" i="2"/>
  <c r="N1310" i="2"/>
  <c r="E590" i="2"/>
  <c r="Q704" i="2"/>
  <c r="D1800" i="2"/>
  <c r="K1310" i="2"/>
  <c r="H2232" i="2"/>
  <c r="M1800" i="2"/>
  <c r="G704" i="2"/>
  <c r="F1310" i="2"/>
  <c r="Q881" i="2"/>
  <c r="N2232" i="2"/>
  <c r="T1800" i="2"/>
  <c r="K1800" i="2"/>
  <c r="O881" i="2"/>
  <c r="D652" i="2"/>
  <c r="D704" i="2"/>
  <c r="C2232" i="2"/>
  <c r="M704" i="2"/>
  <c r="E1800" i="2"/>
  <c r="D881" i="2"/>
  <c r="K652" i="2"/>
  <c r="K2232" i="2"/>
  <c r="Q652" i="2"/>
  <c r="H590" i="2"/>
  <c r="F949" i="2"/>
  <c r="P2232" i="2"/>
  <c r="C1310" i="2"/>
  <c r="O121" i="2"/>
  <c r="S590" i="2"/>
  <c r="D949" i="2"/>
  <c r="K590" i="2"/>
  <c r="H949" i="2"/>
  <c r="A2082" i="2"/>
  <c r="T1310" i="2"/>
  <c r="F704" i="2"/>
  <c r="H2082" i="2"/>
  <c r="Q2082" i="2"/>
  <c r="F2082" i="2"/>
  <c r="M590" i="2"/>
  <c r="J1800" i="2"/>
  <c r="O2232" i="2"/>
  <c r="M1310" i="2"/>
  <c r="M121" i="2"/>
  <c r="A2232" i="2"/>
  <c r="A881" i="2"/>
  <c r="R1800" i="2"/>
  <c r="P949" i="2"/>
  <c r="G590" i="2"/>
  <c r="S652" i="2"/>
  <c r="A704" i="2"/>
  <c r="P590" i="2"/>
  <c r="O704" i="2"/>
  <c r="F1800" i="2"/>
  <c r="J881" i="2"/>
  <c r="S881" i="2"/>
  <c r="K881" i="2"/>
  <c r="F881" i="2"/>
  <c r="P121" i="2"/>
  <c r="R652" i="2"/>
  <c r="A1310" i="2"/>
  <c r="T121" i="2"/>
  <c r="Q2232" i="2"/>
  <c r="E949" i="2"/>
  <c r="G881" i="2"/>
  <c r="O1800" i="2"/>
  <c r="C2082" i="2"/>
  <c r="C704" i="2"/>
  <c r="F590" i="2"/>
  <c r="S1657" i="2"/>
  <c r="N986" i="2"/>
  <c r="E1657" i="2"/>
  <c r="O1519" i="2"/>
  <c r="Q880" i="2"/>
  <c r="R959" i="2"/>
  <c r="H1657" i="2"/>
  <c r="S635" i="2"/>
  <c r="J880" i="2"/>
  <c r="K1004" i="2"/>
  <c r="E29" i="2"/>
  <c r="C1519" i="2"/>
  <c r="C1004" i="2"/>
  <c r="Q1004" i="2"/>
  <c r="S1519" i="2"/>
  <c r="Q1657" i="2"/>
  <c r="F1519" i="2"/>
  <c r="S1699" i="2"/>
  <c r="H1004" i="2"/>
  <c r="E1519" i="2"/>
  <c r="Q959" i="2"/>
  <c r="J1699" i="2"/>
  <c r="F1850" i="2"/>
  <c r="K986" i="2"/>
  <c r="R29" i="2"/>
  <c r="G986" i="2"/>
  <c r="C29" i="2"/>
  <c r="A986" i="2"/>
  <c r="F1004" i="2"/>
  <c r="H986" i="2"/>
  <c r="H29" i="2"/>
  <c r="K1850" i="2"/>
  <c r="J1850" i="2"/>
  <c r="O29" i="2"/>
  <c r="R880" i="2"/>
  <c r="M959" i="2"/>
  <c r="G880" i="2"/>
  <c r="S959" i="2"/>
  <c r="H959" i="2"/>
  <c r="M880" i="2"/>
  <c r="P1657" i="2"/>
  <c r="T1850" i="2"/>
  <c r="G1519" i="2"/>
  <c r="S29" i="2"/>
  <c r="P1850" i="2"/>
  <c r="E1850" i="2"/>
  <c r="M1519" i="2"/>
  <c r="G1004" i="2"/>
  <c r="N1699" i="2"/>
  <c r="Q986" i="2"/>
  <c r="A1657" i="2"/>
  <c r="P880" i="2"/>
  <c r="T1519" i="2"/>
  <c r="T880" i="2"/>
  <c r="G635" i="2"/>
  <c r="F880" i="2"/>
  <c r="R986" i="2"/>
  <c r="K880" i="2"/>
  <c r="D1657" i="2"/>
  <c r="A1699" i="2"/>
  <c r="C635" i="2"/>
  <c r="Q635" i="2"/>
  <c r="F986" i="2"/>
  <c r="R1850" i="2"/>
  <c r="F1657" i="2"/>
  <c r="D1699" i="2"/>
  <c r="J1657" i="2"/>
  <c r="H1519" i="2"/>
  <c r="N29" i="2"/>
  <c r="O1850" i="2"/>
  <c r="D29" i="2"/>
  <c r="C1699" i="2"/>
  <c r="P986" i="2"/>
  <c r="C880" i="2"/>
  <c r="O880" i="2"/>
  <c r="D880" i="2"/>
  <c r="H880" i="2"/>
  <c r="J986" i="2"/>
  <c r="K1699" i="2"/>
  <c r="R1699" i="2"/>
  <c r="J959" i="2"/>
  <c r="P1699" i="2"/>
  <c r="G29" i="2"/>
  <c r="T959" i="2"/>
  <c r="C986" i="2"/>
  <c r="G959" i="2"/>
  <c r="D986" i="2"/>
  <c r="S986" i="2"/>
  <c r="F1699" i="2"/>
  <c r="S1004" i="2"/>
  <c r="F635" i="2"/>
  <c r="E880" i="2"/>
  <c r="E1699" i="2"/>
  <c r="Q1519" i="2"/>
  <c r="Q29" i="2"/>
  <c r="O635" i="2"/>
  <c r="A1519" i="2"/>
  <c r="E635" i="2"/>
  <c r="Q1850" i="2"/>
  <c r="P1519" i="2"/>
  <c r="P635" i="2"/>
  <c r="J1004" i="2"/>
  <c r="J29" i="2"/>
  <c r="Q1699" i="2"/>
  <c r="T986" i="2"/>
  <c r="S880" i="2"/>
  <c r="O1004" i="2"/>
  <c r="C1657" i="2"/>
  <c r="R1004" i="2"/>
  <c r="R1657" i="2"/>
  <c r="H635" i="2"/>
  <c r="T29" i="2"/>
  <c r="O986" i="2"/>
  <c r="D635" i="2"/>
  <c r="D1004" i="2"/>
  <c r="N959" i="2"/>
  <c r="F959" i="2"/>
  <c r="A29" i="2"/>
  <c r="E959" i="2"/>
  <c r="T1657" i="2"/>
  <c r="N1519" i="2"/>
  <c r="N1657" i="2"/>
  <c r="N1004" i="2"/>
  <c r="M1657" i="2"/>
  <c r="C959" i="2"/>
  <c r="T635" i="2"/>
  <c r="J635" i="2"/>
  <c r="O1657" i="2"/>
  <c r="A1850" i="2"/>
  <c r="M635" i="2"/>
  <c r="A635" i="2"/>
  <c r="H1699" i="2"/>
  <c r="D1519" i="2"/>
  <c r="O959" i="2"/>
  <c r="N635" i="2"/>
  <c r="D1850" i="2"/>
  <c r="G1699" i="2"/>
  <c r="D959" i="2"/>
  <c r="C1850" i="2"/>
  <c r="M1850" i="2"/>
  <c r="E1004" i="2"/>
  <c r="R1519" i="2"/>
  <c r="P959" i="2"/>
  <c r="P29" i="2"/>
  <c r="K29" i="2"/>
  <c r="F29" i="2"/>
  <c r="N880" i="2"/>
  <c r="M1004" i="2"/>
  <c r="T1004" i="2"/>
  <c r="M1699" i="2"/>
  <c r="G1657" i="2"/>
  <c r="K959" i="2"/>
  <c r="N1850" i="2"/>
  <c r="M986" i="2"/>
  <c r="J1519" i="2"/>
  <c r="S1850" i="2"/>
  <c r="H1850" i="2"/>
  <c r="T1699" i="2"/>
  <c r="R635" i="2"/>
  <c r="A1004" i="2"/>
  <c r="K635" i="2"/>
  <c r="O1699" i="2"/>
  <c r="A880" i="2"/>
  <c r="P1004" i="2"/>
  <c r="A959" i="2"/>
  <c r="G1850" i="2"/>
  <c r="K1519" i="2"/>
  <c r="K1657" i="2"/>
  <c r="M29" i="2"/>
  <c r="E986" i="2"/>
  <c r="J1154" i="2"/>
  <c r="E1121" i="2"/>
  <c r="D1154" i="2"/>
  <c r="A1468" i="2"/>
  <c r="E1363" i="2"/>
  <c r="Q1380" i="2"/>
  <c r="E1154" i="2"/>
  <c r="N1154" i="2"/>
  <c r="T1941" i="2"/>
  <c r="E239" i="2"/>
  <c r="C11" i="2"/>
  <c r="S1363" i="2"/>
  <c r="R11" i="2"/>
  <c r="A11" i="2"/>
  <c r="M239" i="2"/>
  <c r="J1941" i="2"/>
  <c r="R239" i="2"/>
  <c r="C1941" i="2"/>
  <c r="Q1468" i="2"/>
  <c r="M1121" i="2"/>
  <c r="S549" i="2"/>
  <c r="N1468" i="2"/>
  <c r="M1154" i="2"/>
  <c r="M1363" i="2"/>
  <c r="E11" i="2"/>
  <c r="G2031" i="2"/>
  <c r="Q1154" i="2"/>
  <c r="K11" i="2"/>
  <c r="D239" i="2"/>
  <c r="O239" i="2"/>
  <c r="P239" i="2"/>
  <c r="O1468" i="2"/>
  <c r="S1468" i="2"/>
  <c r="Q1121" i="2"/>
  <c r="C1154" i="2"/>
  <c r="J1363" i="2"/>
  <c r="P2031" i="2"/>
  <c r="O11" i="2"/>
  <c r="P1154" i="2"/>
  <c r="N239" i="2"/>
  <c r="Q1363" i="2"/>
  <c r="H1380" i="2"/>
  <c r="H11" i="2"/>
  <c r="J1380" i="2"/>
  <c r="G1468" i="2"/>
  <c r="J549" i="2"/>
  <c r="G1380" i="2"/>
  <c r="T549" i="2"/>
  <c r="K1941" i="2"/>
  <c r="O1363" i="2"/>
  <c r="C2031" i="2"/>
  <c r="A2031" i="2"/>
  <c r="A1363" i="2"/>
  <c r="N549" i="2"/>
  <c r="K1380" i="2"/>
  <c r="K1154" i="2"/>
  <c r="A549" i="2"/>
  <c r="T1468" i="2"/>
  <c r="O1154" i="2"/>
  <c r="N1363" i="2"/>
  <c r="O1121" i="2"/>
  <c r="N1941" i="2"/>
  <c r="E1941" i="2"/>
  <c r="R1363" i="2"/>
  <c r="J2031" i="2"/>
  <c r="G1941" i="2"/>
  <c r="C1380" i="2"/>
  <c r="Q2031" i="2"/>
  <c r="N2031" i="2"/>
  <c r="F1363" i="2"/>
  <c r="D1363" i="2"/>
  <c r="G1154" i="2"/>
  <c r="Q1941" i="2"/>
  <c r="M2031" i="2"/>
  <c r="F1468" i="2"/>
  <c r="K239" i="2"/>
  <c r="K1121" i="2"/>
  <c r="F11" i="2"/>
  <c r="R2031" i="2"/>
  <c r="H1941" i="2"/>
  <c r="M11" i="2"/>
  <c r="H1363" i="2"/>
  <c r="T2031" i="2"/>
  <c r="C239" i="2"/>
  <c r="D2031" i="2"/>
  <c r="P1380" i="2"/>
  <c r="G239" i="2"/>
  <c r="G549" i="2"/>
  <c r="N1121" i="2"/>
  <c r="O549" i="2"/>
  <c r="A1380" i="2"/>
  <c r="J1121" i="2"/>
  <c r="H1121" i="2"/>
  <c r="S11" i="2"/>
  <c r="H239" i="2"/>
  <c r="G11" i="2"/>
  <c r="F2031" i="2"/>
  <c r="E549" i="2"/>
  <c r="A1121" i="2"/>
  <c r="R1380" i="2"/>
  <c r="S1380" i="2"/>
  <c r="F1380" i="2"/>
  <c r="S1154" i="2"/>
  <c r="K1468" i="2"/>
  <c r="G1121" i="2"/>
  <c r="S2031" i="2"/>
  <c r="H1154" i="2"/>
  <c r="F1941" i="2"/>
  <c r="M549" i="2"/>
  <c r="Q549" i="2"/>
  <c r="T1121" i="2"/>
  <c r="Q11" i="2"/>
  <c r="D549" i="2"/>
  <c r="N1380" i="2"/>
  <c r="D1941" i="2"/>
  <c r="E1468" i="2"/>
  <c r="P549" i="2"/>
  <c r="T1363" i="2"/>
  <c r="A1154" i="2"/>
  <c r="C1363" i="2"/>
  <c r="P11" i="2"/>
  <c r="A1941" i="2"/>
  <c r="E1380" i="2"/>
  <c r="P1363" i="2"/>
  <c r="M1380" i="2"/>
  <c r="S1941" i="2"/>
  <c r="T239" i="2"/>
  <c r="F239" i="2"/>
  <c r="P1468" i="2"/>
  <c r="K1363" i="2"/>
  <c r="M1941" i="2"/>
  <c r="T11" i="2"/>
  <c r="H1468" i="2"/>
  <c r="J1468" i="2"/>
  <c r="A239" i="2"/>
  <c r="R1468" i="2"/>
  <c r="C1121" i="2"/>
  <c r="F549" i="2"/>
  <c r="D1121" i="2"/>
  <c r="R1154" i="2"/>
  <c r="D1468" i="2"/>
  <c r="J11" i="2"/>
  <c r="S239" i="2"/>
  <c r="M1468" i="2"/>
  <c r="N11" i="2"/>
  <c r="S1121" i="2"/>
  <c r="T1380" i="2"/>
  <c r="K2031" i="2"/>
  <c r="E2031" i="2"/>
  <c r="H549" i="2"/>
  <c r="P1941" i="2"/>
  <c r="C549" i="2"/>
  <c r="H2031" i="2"/>
  <c r="R549" i="2"/>
  <c r="F1154" i="2"/>
  <c r="P1121" i="2"/>
  <c r="R1121" i="2"/>
  <c r="Q239" i="2"/>
  <c r="R1941" i="2"/>
  <c r="O1380" i="2"/>
  <c r="T1154" i="2"/>
  <c r="C1468" i="2"/>
  <c r="D11" i="2"/>
  <c r="D1380" i="2"/>
  <c r="F1121" i="2"/>
  <c r="O2031" i="2"/>
  <c r="G1363" i="2"/>
  <c r="O1941" i="2"/>
  <c r="J239" i="2"/>
  <c r="K549" i="2"/>
  <c r="E2047" i="2"/>
  <c r="T1218" i="2"/>
  <c r="T1361" i="2"/>
  <c r="H1361" i="2"/>
  <c r="S1218" i="2"/>
  <c r="Q1218" i="2"/>
  <c r="Q1195" i="2"/>
  <c r="T2047" i="2"/>
  <c r="J1361" i="2"/>
  <c r="K1195" i="2"/>
  <c r="H1175" i="2"/>
  <c r="M1218" i="2"/>
  <c r="T1144" i="2"/>
  <c r="N1218" i="2"/>
  <c r="S1175" i="2"/>
  <c r="A1361" i="2"/>
  <c r="F1195" i="2"/>
  <c r="D2091" i="2"/>
  <c r="F1474" i="2"/>
  <c r="C2091" i="2"/>
  <c r="P1361" i="2"/>
  <c r="E2091" i="2"/>
  <c r="H1085" i="2"/>
  <c r="N2091" i="2"/>
  <c r="C1195" i="2"/>
  <c r="K1085" i="2"/>
  <c r="O1474" i="2"/>
  <c r="T1085" i="2"/>
  <c r="O1175" i="2"/>
  <c r="F1218" i="2"/>
  <c r="P605" i="2"/>
  <c r="S1474" i="2"/>
  <c r="C1218" i="2"/>
  <c r="O1195" i="2"/>
  <c r="F1175" i="2"/>
  <c r="K1361" i="2"/>
  <c r="H1474" i="2"/>
  <c r="G1175" i="2"/>
  <c r="G1361" i="2"/>
  <c r="N1195" i="2"/>
  <c r="A605" i="2"/>
  <c r="R1218" i="2"/>
  <c r="E1195" i="2"/>
  <c r="E1361" i="2"/>
  <c r="O1144" i="2"/>
  <c r="H1218" i="2"/>
  <c r="D1474" i="2"/>
  <c r="O1218" i="2"/>
  <c r="O2047" i="2"/>
  <c r="P1195" i="2"/>
  <c r="G1085" i="2"/>
  <c r="Q1175" i="2"/>
  <c r="O2091" i="2"/>
  <c r="K1144" i="2"/>
  <c r="R1144" i="2"/>
  <c r="S2091" i="2"/>
  <c r="E1175" i="2"/>
  <c r="M1195" i="2"/>
  <c r="K1474" i="2"/>
  <c r="Q1474" i="2"/>
  <c r="D1144" i="2"/>
  <c r="K1218" i="2"/>
  <c r="D1361" i="2"/>
  <c r="M1474" i="2"/>
  <c r="O1085" i="2"/>
  <c r="P2091" i="2"/>
  <c r="C1085" i="2"/>
  <c r="H605" i="2"/>
  <c r="P1085" i="2"/>
  <c r="N1175" i="2"/>
  <c r="K2091" i="2"/>
  <c r="E605" i="2"/>
  <c r="N1361" i="2"/>
  <c r="F2047" i="2"/>
  <c r="H2047" i="2"/>
  <c r="Q605" i="2"/>
  <c r="R2091" i="2"/>
  <c r="O605" i="2"/>
  <c r="R1361" i="2"/>
  <c r="J605" i="2"/>
  <c r="Q1361" i="2"/>
  <c r="J1218" i="2"/>
  <c r="C1144" i="2"/>
  <c r="E1144" i="2"/>
  <c r="C2047" i="2"/>
  <c r="D1195" i="2"/>
  <c r="T2091" i="2"/>
  <c r="A1085" i="2"/>
  <c r="A2091" i="2"/>
  <c r="N1085" i="2"/>
  <c r="S1195" i="2"/>
  <c r="J1474" i="2"/>
  <c r="D605" i="2"/>
  <c r="F1085" i="2"/>
  <c r="P1474" i="2"/>
  <c r="J1175" i="2"/>
  <c r="M1144" i="2"/>
  <c r="R2047" i="2"/>
  <c r="E1474" i="2"/>
  <c r="G1144" i="2"/>
  <c r="G1218" i="2"/>
  <c r="M1085" i="2"/>
  <c r="N1474" i="2"/>
  <c r="E1218" i="2"/>
  <c r="G605" i="2"/>
  <c r="R1195" i="2"/>
  <c r="Q2091" i="2"/>
  <c r="N605" i="2"/>
  <c r="A1474" i="2"/>
  <c r="G1474" i="2"/>
  <c r="S1361" i="2"/>
  <c r="A2047" i="2"/>
  <c r="A1144" i="2"/>
  <c r="T605" i="2"/>
  <c r="J1195" i="2"/>
  <c r="S605" i="2"/>
  <c r="E1085" i="2"/>
  <c r="N1144" i="2"/>
  <c r="R605" i="2"/>
  <c r="J1144" i="2"/>
  <c r="M2091" i="2"/>
  <c r="G1195" i="2"/>
  <c r="H2091" i="2"/>
  <c r="O1361" i="2"/>
  <c r="K1175" i="2"/>
  <c r="J2091" i="2"/>
  <c r="D2047" i="2"/>
  <c r="H1195" i="2"/>
  <c r="J2047" i="2"/>
  <c r="N2047" i="2"/>
  <c r="D1175" i="2"/>
  <c r="P1144" i="2"/>
  <c r="C1175" i="2"/>
  <c r="M605" i="2"/>
  <c r="R1085" i="2"/>
  <c r="S1085" i="2"/>
  <c r="P2047" i="2"/>
  <c r="K605" i="2"/>
  <c r="S2047" i="2"/>
  <c r="K2047" i="2"/>
  <c r="F1361" i="2"/>
  <c r="P1175" i="2"/>
  <c r="A1195" i="2"/>
  <c r="T1474" i="2"/>
  <c r="M1175" i="2"/>
  <c r="H1144" i="2"/>
  <c r="C605" i="2"/>
  <c r="C1361" i="2"/>
  <c r="Q1144" i="2"/>
  <c r="Q2047" i="2"/>
  <c r="A1218" i="2"/>
  <c r="S1144" i="2"/>
  <c r="T1175" i="2"/>
  <c r="Q1085" i="2"/>
  <c r="D1218" i="2"/>
  <c r="J1085" i="2"/>
  <c r="G2047" i="2"/>
  <c r="F2091" i="2"/>
  <c r="C1474" i="2"/>
  <c r="R1175" i="2"/>
  <c r="M1361" i="2"/>
  <c r="A1175" i="2"/>
  <c r="P1218" i="2"/>
  <c r="R1474" i="2"/>
  <c r="G2091" i="2"/>
  <c r="M2047" i="2"/>
  <c r="D1085" i="2"/>
  <c r="F1144" i="2"/>
  <c r="T1195" i="2"/>
  <c r="F605" i="2"/>
  <c r="R1181" i="2"/>
  <c r="S63" i="2"/>
  <c r="H1181" i="2"/>
  <c r="D1840" i="2"/>
  <c r="J1502" i="2"/>
  <c r="F197" i="2"/>
  <c r="G1502" i="2"/>
  <c r="C434" i="2"/>
  <c r="A1931" i="2"/>
  <c r="G63" i="2"/>
  <c r="Q246" i="2"/>
  <c r="T63" i="2"/>
  <c r="D1502" i="2"/>
  <c r="N434" i="2"/>
  <c r="D246" i="2"/>
  <c r="G246" i="2"/>
  <c r="G144" i="2"/>
  <c r="J1931" i="2"/>
  <c r="H1931" i="2"/>
  <c r="D1931" i="2"/>
  <c r="N1936" i="2"/>
  <c r="J144" i="2"/>
  <c r="G1931" i="2"/>
  <c r="S1502" i="2"/>
  <c r="A63" i="2"/>
  <c r="J1181" i="2"/>
  <c r="D197" i="2"/>
  <c r="P1502" i="2"/>
  <c r="F144" i="2"/>
  <c r="R434" i="2"/>
  <c r="K144" i="2"/>
  <c r="R197" i="2"/>
  <c r="T197" i="2"/>
  <c r="R1931" i="2"/>
  <c r="M144" i="2"/>
  <c r="O197" i="2"/>
  <c r="T434" i="2"/>
  <c r="J197" i="2"/>
  <c r="D1181" i="2"/>
  <c r="H1840" i="2"/>
  <c r="F1936" i="2"/>
  <c r="H144" i="2"/>
  <c r="M1931" i="2"/>
  <c r="T1181" i="2"/>
  <c r="M1936" i="2"/>
  <c r="G197" i="2"/>
  <c r="P63" i="2"/>
  <c r="F1931" i="2"/>
  <c r="S197" i="2"/>
  <c r="G434" i="2"/>
  <c r="D144" i="2"/>
  <c r="O434" i="2"/>
  <c r="N1502" i="2"/>
  <c r="P1931" i="2"/>
  <c r="H246" i="2"/>
  <c r="E1931" i="2"/>
  <c r="Q63" i="2"/>
  <c r="Q144" i="2"/>
  <c r="T1936" i="2"/>
  <c r="H1502" i="2"/>
  <c r="D1936" i="2"/>
  <c r="E246" i="2"/>
  <c r="T1502" i="2"/>
  <c r="N63" i="2"/>
  <c r="R1502" i="2"/>
  <c r="R144" i="2"/>
  <c r="K1840" i="2"/>
  <c r="O1840" i="2"/>
  <c r="J246" i="2"/>
  <c r="E1840" i="2"/>
  <c r="J1840" i="2"/>
  <c r="O246" i="2"/>
  <c r="C1936" i="2"/>
  <c r="K246" i="2"/>
  <c r="G1181" i="2"/>
  <c r="J434" i="2"/>
  <c r="M434" i="2"/>
  <c r="O63" i="2"/>
  <c r="M1502" i="2"/>
  <c r="M246" i="2"/>
  <c r="Q1840" i="2"/>
  <c r="F434" i="2"/>
  <c r="N197" i="2"/>
  <c r="H63" i="2"/>
  <c r="N1931" i="2"/>
  <c r="O1931" i="2"/>
  <c r="C1840" i="2"/>
  <c r="A1840" i="2"/>
  <c r="T144" i="2"/>
  <c r="K434" i="2"/>
  <c r="K197" i="2"/>
  <c r="R246" i="2"/>
  <c r="M63" i="2"/>
  <c r="C1931" i="2"/>
  <c r="H434" i="2"/>
  <c r="S1181" i="2"/>
  <c r="C1502" i="2"/>
  <c r="O1502" i="2"/>
  <c r="H1936" i="2"/>
  <c r="N1840" i="2"/>
  <c r="M197" i="2"/>
  <c r="Q197" i="2"/>
  <c r="J63" i="2"/>
  <c r="F1840" i="2"/>
  <c r="T1931" i="2"/>
  <c r="P144" i="2"/>
  <c r="A1181" i="2"/>
  <c r="N1181" i="2"/>
  <c r="R1840" i="2"/>
  <c r="C63" i="2"/>
  <c r="A434" i="2"/>
  <c r="K1502" i="2"/>
  <c r="O144" i="2"/>
  <c r="C246" i="2"/>
  <c r="C1181" i="2"/>
  <c r="S434" i="2"/>
  <c r="Q1502" i="2"/>
  <c r="K63" i="2"/>
  <c r="P1181" i="2"/>
  <c r="E1936" i="2"/>
  <c r="P246" i="2"/>
  <c r="Q1181" i="2"/>
  <c r="O1936" i="2"/>
  <c r="S1840" i="2"/>
  <c r="J1936" i="2"/>
  <c r="Q1931" i="2"/>
  <c r="R1936" i="2"/>
  <c r="E63" i="2"/>
  <c r="T1840" i="2"/>
  <c r="P1840" i="2"/>
  <c r="M1840" i="2"/>
  <c r="S144" i="2"/>
  <c r="G1936" i="2"/>
  <c r="A144" i="2"/>
  <c r="P1936" i="2"/>
  <c r="S1936" i="2"/>
  <c r="H197" i="2"/>
  <c r="E1181" i="2"/>
  <c r="A1502" i="2"/>
  <c r="A197" i="2"/>
  <c r="F1181" i="2"/>
  <c r="P197" i="2"/>
  <c r="E144" i="2"/>
  <c r="D63" i="2"/>
  <c r="S246" i="2"/>
  <c r="E1502" i="2"/>
  <c r="K1936" i="2"/>
  <c r="O1181" i="2"/>
  <c r="N144" i="2"/>
  <c r="Q434" i="2"/>
  <c r="E197" i="2"/>
  <c r="F63" i="2"/>
  <c r="Q1936" i="2"/>
  <c r="P434" i="2"/>
  <c r="T246" i="2"/>
  <c r="N246" i="2"/>
  <c r="M1181" i="2"/>
  <c r="K1931" i="2"/>
  <c r="A246" i="2"/>
  <c r="E434" i="2"/>
  <c r="R63" i="2"/>
  <c r="F246" i="2"/>
  <c r="A1936" i="2"/>
  <c r="C144" i="2"/>
  <c r="G1840" i="2"/>
  <c r="F1502" i="2"/>
  <c r="D434" i="2"/>
  <c r="C197" i="2"/>
  <c r="S1931" i="2"/>
  <c r="K1181" i="2"/>
  <c r="G1417" i="2"/>
  <c r="D411" i="2"/>
  <c r="J519" i="2"/>
  <c r="D354" i="2"/>
  <c r="T1417" i="2"/>
  <c r="O1930" i="2"/>
  <c r="C2217" i="2"/>
  <c r="M354" i="2"/>
  <c r="O196" i="2"/>
  <c r="M1417" i="2"/>
  <c r="E411" i="2"/>
  <c r="H2217" i="2"/>
  <c r="P354" i="2"/>
  <c r="M1930" i="2"/>
  <c r="T1375" i="2"/>
  <c r="A1088" i="2"/>
  <c r="P196" i="2"/>
  <c r="A1375" i="2"/>
  <c r="C1088" i="2"/>
  <c r="M519" i="2"/>
  <c r="D1417" i="2"/>
  <c r="O411" i="2"/>
  <c r="F821" i="2"/>
  <c r="J821" i="2"/>
  <c r="R1930" i="2"/>
  <c r="S519" i="2"/>
  <c r="C519" i="2"/>
  <c r="P821" i="2"/>
  <c r="A1930" i="2"/>
  <c r="T1930" i="2"/>
  <c r="N1088" i="2"/>
  <c r="N1375" i="2"/>
  <c r="D1088" i="2"/>
  <c r="N411" i="2"/>
  <c r="F354" i="2"/>
  <c r="C1417" i="2"/>
  <c r="D196" i="2"/>
  <c r="Q196" i="2"/>
  <c r="N2217" i="2"/>
  <c r="K1088" i="2"/>
  <c r="K1375" i="2"/>
  <c r="A1417" i="2"/>
  <c r="S354" i="2"/>
  <c r="R1375" i="2"/>
  <c r="D2217" i="2"/>
  <c r="Q1417" i="2"/>
  <c r="K354" i="2"/>
  <c r="P519" i="2"/>
  <c r="G519" i="2"/>
  <c r="D1375" i="2"/>
  <c r="N1930" i="2"/>
  <c r="C411" i="2"/>
  <c r="D1930" i="2"/>
  <c r="S2217" i="2"/>
  <c r="H1088" i="2"/>
  <c r="P1930" i="2"/>
  <c r="Q1088" i="2"/>
  <c r="C354" i="2"/>
  <c r="E821" i="2"/>
  <c r="F519" i="2"/>
  <c r="T2217" i="2"/>
  <c r="O1375" i="2"/>
  <c r="N1417" i="2"/>
  <c r="J2217" i="2"/>
  <c r="H1417" i="2"/>
  <c r="P1417" i="2"/>
  <c r="Q411" i="2"/>
  <c r="R354" i="2"/>
  <c r="N196" i="2"/>
  <c r="M1375" i="2"/>
  <c r="H1930" i="2"/>
  <c r="G2217" i="2"/>
  <c r="M2217" i="2"/>
  <c r="R411" i="2"/>
  <c r="E1930" i="2"/>
  <c r="M821" i="2"/>
  <c r="D821" i="2"/>
  <c r="N821" i="2"/>
  <c r="R196" i="2"/>
  <c r="H519" i="2"/>
  <c r="F1375" i="2"/>
  <c r="H1375" i="2"/>
  <c r="S1417" i="2"/>
  <c r="A354" i="2"/>
  <c r="K519" i="2"/>
  <c r="F2217" i="2"/>
  <c r="H821" i="2"/>
  <c r="A411" i="2"/>
  <c r="O1417" i="2"/>
  <c r="H196" i="2"/>
  <c r="K1930" i="2"/>
  <c r="Q1930" i="2"/>
  <c r="O2217" i="2"/>
  <c r="P411" i="2"/>
  <c r="C196" i="2"/>
  <c r="E2217" i="2"/>
  <c r="K1417" i="2"/>
  <c r="F196" i="2"/>
  <c r="M411" i="2"/>
  <c r="G1930" i="2"/>
  <c r="F1088" i="2"/>
  <c r="G821" i="2"/>
  <c r="F1930" i="2"/>
  <c r="J1930" i="2"/>
  <c r="S821" i="2"/>
  <c r="A821" i="2"/>
  <c r="R1417" i="2"/>
  <c r="O1088" i="2"/>
  <c r="R519" i="2"/>
  <c r="J411" i="2"/>
  <c r="T1088" i="2"/>
  <c r="G354" i="2"/>
  <c r="T354" i="2"/>
  <c r="E1417" i="2"/>
  <c r="R2217" i="2"/>
  <c r="S411" i="2"/>
  <c r="J1088" i="2"/>
  <c r="C1375" i="2"/>
  <c r="T519" i="2"/>
  <c r="K2217" i="2"/>
  <c r="E519" i="2"/>
  <c r="Q519" i="2"/>
  <c r="G1088" i="2"/>
  <c r="Q1375" i="2"/>
  <c r="E196" i="2"/>
  <c r="A196" i="2"/>
  <c r="R1088" i="2"/>
  <c r="Q821" i="2"/>
  <c r="J354" i="2"/>
  <c r="A519" i="2"/>
  <c r="G411" i="2"/>
  <c r="H411" i="2"/>
  <c r="N519" i="2"/>
  <c r="E1375" i="2"/>
  <c r="H354" i="2"/>
  <c r="C1930" i="2"/>
  <c r="P1088" i="2"/>
  <c r="F1417" i="2"/>
  <c r="G196" i="2"/>
  <c r="R821" i="2"/>
  <c r="J196" i="2"/>
  <c r="D519" i="2"/>
  <c r="Q354" i="2"/>
  <c r="T196" i="2"/>
  <c r="F411" i="2"/>
  <c r="K821" i="2"/>
  <c r="J1375" i="2"/>
  <c r="S196" i="2"/>
  <c r="O821" i="2"/>
  <c r="K196" i="2"/>
  <c r="A2217" i="2"/>
  <c r="K411" i="2"/>
  <c r="S1088" i="2"/>
  <c r="E354" i="2"/>
  <c r="T821" i="2"/>
  <c r="M1088" i="2"/>
  <c r="G1375" i="2"/>
  <c r="N354" i="2"/>
  <c r="P2217" i="2"/>
  <c r="S1375" i="2"/>
  <c r="C821" i="2"/>
  <c r="O519" i="2"/>
  <c r="J1417" i="2"/>
  <c r="S1930" i="2"/>
  <c r="O354" i="2"/>
  <c r="M196" i="2"/>
  <c r="P1375" i="2"/>
  <c r="T411" i="2"/>
  <c r="Q2217" i="2"/>
  <c r="E1088" i="2"/>
  <c r="T885" i="2"/>
  <c r="D1860" i="2"/>
  <c r="N61" i="2"/>
  <c r="S1874" i="2"/>
  <c r="A1874" i="2"/>
  <c r="O388" i="2"/>
  <c r="O885" i="2"/>
  <c r="E1456" i="2"/>
  <c r="N1874" i="2"/>
  <c r="H1219" i="2"/>
  <c r="D1252" i="2"/>
  <c r="P1874" i="2"/>
  <c r="E885" i="2"/>
  <c r="P1219" i="2"/>
  <c r="K856" i="2"/>
  <c r="N885" i="2"/>
  <c r="T1456" i="2"/>
  <c r="N1219" i="2"/>
  <c r="E1860" i="2"/>
  <c r="K1456" i="2"/>
  <c r="S885" i="2"/>
  <c r="K1860" i="2"/>
  <c r="O1860" i="2"/>
  <c r="K61" i="2"/>
  <c r="O994" i="2"/>
  <c r="P856" i="2"/>
  <c r="F61" i="2"/>
  <c r="Q1219" i="2"/>
  <c r="H61" i="2"/>
  <c r="M388" i="2"/>
  <c r="H1860" i="2"/>
  <c r="J1874" i="2"/>
  <c r="K1219" i="2"/>
  <c r="G61" i="2"/>
  <c r="J1252" i="2"/>
  <c r="M1860" i="2"/>
  <c r="F885" i="2"/>
  <c r="C1252" i="2"/>
  <c r="P61" i="2"/>
  <c r="H1874" i="2"/>
  <c r="J856" i="2"/>
  <c r="M1252" i="2"/>
  <c r="N856" i="2"/>
  <c r="H856" i="2"/>
  <c r="A61" i="2"/>
  <c r="G1456" i="2"/>
  <c r="R1874" i="2"/>
  <c r="E1219" i="2"/>
  <c r="J885" i="2"/>
  <c r="K994" i="2"/>
  <c r="C61" i="2"/>
  <c r="C994" i="2"/>
  <c r="S1456" i="2"/>
  <c r="T61" i="2"/>
  <c r="P885" i="2"/>
  <c r="A1456" i="2"/>
  <c r="O61" i="2"/>
  <c r="N1252" i="2"/>
  <c r="C856" i="2"/>
  <c r="G856" i="2"/>
  <c r="R388" i="2"/>
  <c r="K1874" i="2"/>
  <c r="O1252" i="2"/>
  <c r="K388" i="2"/>
  <c r="T1874" i="2"/>
  <c r="E1874" i="2"/>
  <c r="Q885" i="2"/>
  <c r="D1456" i="2"/>
  <c r="A1252" i="2"/>
  <c r="A994" i="2"/>
  <c r="G1219" i="2"/>
  <c r="C1860" i="2"/>
  <c r="N1456" i="2"/>
  <c r="M61" i="2"/>
  <c r="D994" i="2"/>
  <c r="F1860" i="2"/>
  <c r="T1252" i="2"/>
  <c r="D885" i="2"/>
  <c r="F1219" i="2"/>
  <c r="M994" i="2"/>
  <c r="H994" i="2"/>
  <c r="K1252" i="2"/>
  <c r="M856" i="2"/>
  <c r="M1456" i="2"/>
  <c r="N1860" i="2"/>
  <c r="F856" i="2"/>
  <c r="A856" i="2"/>
  <c r="T388" i="2"/>
  <c r="A1219" i="2"/>
  <c r="S388" i="2"/>
  <c r="O1219" i="2"/>
  <c r="K885" i="2"/>
  <c r="F388" i="2"/>
  <c r="R1456" i="2"/>
  <c r="R885" i="2"/>
  <c r="P994" i="2"/>
  <c r="H388" i="2"/>
  <c r="M885" i="2"/>
  <c r="T1860" i="2"/>
  <c r="R1219" i="2"/>
  <c r="O856" i="2"/>
  <c r="F1252" i="2"/>
  <c r="H1456" i="2"/>
  <c r="M1874" i="2"/>
  <c r="A885" i="2"/>
  <c r="O1874" i="2"/>
  <c r="G1860" i="2"/>
  <c r="E994" i="2"/>
  <c r="S61" i="2"/>
  <c r="H1252" i="2"/>
  <c r="R61" i="2"/>
  <c r="G994" i="2"/>
  <c r="C1874" i="2"/>
  <c r="J61" i="2"/>
  <c r="S1860" i="2"/>
  <c r="J1860" i="2"/>
  <c r="M1219" i="2"/>
  <c r="G1874" i="2"/>
  <c r="F994" i="2"/>
  <c r="Q388" i="2"/>
  <c r="A388" i="2"/>
  <c r="P1252" i="2"/>
  <c r="P388" i="2"/>
  <c r="R1252" i="2"/>
  <c r="P1456" i="2"/>
  <c r="G1252" i="2"/>
  <c r="R856" i="2"/>
  <c r="D1874" i="2"/>
  <c r="Q994" i="2"/>
  <c r="T1219" i="2"/>
  <c r="G388" i="2"/>
  <c r="D1219" i="2"/>
  <c r="Q1874" i="2"/>
  <c r="Q1456" i="2"/>
  <c r="A1860" i="2"/>
  <c r="S1219" i="2"/>
  <c r="N388" i="2"/>
  <c r="C885" i="2"/>
  <c r="E388" i="2"/>
  <c r="E61" i="2"/>
  <c r="J994" i="2"/>
  <c r="J388" i="2"/>
  <c r="C1456" i="2"/>
  <c r="O1456" i="2"/>
  <c r="Q1252" i="2"/>
  <c r="S856" i="2"/>
  <c r="R1860" i="2"/>
  <c r="T994" i="2"/>
  <c r="F1456" i="2"/>
  <c r="Q856" i="2"/>
  <c r="J1219" i="2"/>
  <c r="Q61" i="2"/>
  <c r="R994" i="2"/>
  <c r="P1860" i="2"/>
  <c r="G885" i="2"/>
  <c r="D856" i="2"/>
  <c r="C388" i="2"/>
  <c r="S1252" i="2"/>
  <c r="T856" i="2"/>
  <c r="S994" i="2"/>
  <c r="N994" i="2"/>
  <c r="E856" i="2"/>
  <c r="F1874" i="2"/>
  <c r="D61" i="2"/>
  <c r="D388" i="2"/>
  <c r="E1252" i="2"/>
  <c r="Q1860" i="2"/>
  <c r="J1456" i="2"/>
  <c r="H885" i="2"/>
  <c r="C1219" i="2"/>
  <c r="K2062" i="2"/>
  <c r="E1335" i="2"/>
  <c r="N2062" i="2"/>
  <c r="G623" i="2"/>
  <c r="N462" i="2"/>
  <c r="E623" i="2"/>
  <c r="H2062" i="2"/>
  <c r="M799" i="2"/>
  <c r="J1371" i="2"/>
  <c r="N895" i="2"/>
  <c r="E2067" i="2"/>
  <c r="Q1335" i="2"/>
  <c r="J94" i="2"/>
  <c r="S94" i="2"/>
  <c r="K462" i="2"/>
  <c r="G2067" i="2"/>
  <c r="T1371" i="2"/>
  <c r="P2062" i="2"/>
  <c r="P950" i="2"/>
  <c r="K799" i="2"/>
  <c r="Q623" i="2"/>
  <c r="R895" i="2"/>
  <c r="C462" i="2"/>
  <c r="K1335" i="2"/>
  <c r="S2062" i="2"/>
  <c r="T2062" i="2"/>
  <c r="R462" i="2"/>
  <c r="D1371" i="2"/>
  <c r="C950" i="2"/>
  <c r="Q895" i="2"/>
  <c r="S1335" i="2"/>
  <c r="H895" i="2"/>
  <c r="K94" i="2"/>
  <c r="P2067" i="2"/>
  <c r="P895" i="2"/>
  <c r="G1371" i="2"/>
  <c r="M94" i="2"/>
  <c r="N94" i="2"/>
  <c r="O2062" i="2"/>
  <c r="H950" i="2"/>
  <c r="O895" i="2"/>
  <c r="E462" i="2"/>
  <c r="R2062" i="2"/>
  <c r="K2067" i="2"/>
  <c r="R1335" i="2"/>
  <c r="N1371" i="2"/>
  <c r="G799" i="2"/>
  <c r="F94" i="2"/>
  <c r="M623" i="2"/>
  <c r="D895" i="2"/>
  <c r="O623" i="2"/>
  <c r="A2062" i="2"/>
  <c r="H1335" i="2"/>
  <c r="P1335" i="2"/>
  <c r="J2062" i="2"/>
  <c r="H462" i="2"/>
  <c r="K950" i="2"/>
  <c r="G94" i="2"/>
  <c r="P94" i="2"/>
  <c r="H2067" i="2"/>
  <c r="R623" i="2"/>
  <c r="D2067" i="2"/>
  <c r="O462" i="2"/>
  <c r="G895" i="2"/>
  <c r="D623" i="2"/>
  <c r="F895" i="2"/>
  <c r="O1371" i="2"/>
  <c r="F2062" i="2"/>
  <c r="J799" i="2"/>
  <c r="K1371" i="2"/>
  <c r="R94" i="2"/>
  <c r="P799" i="2"/>
  <c r="D94" i="2"/>
  <c r="E94" i="2"/>
  <c r="M462" i="2"/>
  <c r="K623" i="2"/>
  <c r="T1335" i="2"/>
  <c r="S2067" i="2"/>
  <c r="D462" i="2"/>
  <c r="E2062" i="2"/>
  <c r="Q1371" i="2"/>
  <c r="T895" i="2"/>
  <c r="D1335" i="2"/>
  <c r="M2062" i="2"/>
  <c r="A2067" i="2"/>
  <c r="N1335" i="2"/>
  <c r="F462" i="2"/>
  <c r="A462" i="2"/>
  <c r="H94" i="2"/>
  <c r="J2067" i="2"/>
  <c r="A1335" i="2"/>
  <c r="O799" i="2"/>
  <c r="H623" i="2"/>
  <c r="G1335" i="2"/>
  <c r="R799" i="2"/>
  <c r="A623" i="2"/>
  <c r="M950" i="2"/>
  <c r="A895" i="2"/>
  <c r="K895" i="2"/>
  <c r="E950" i="2"/>
  <c r="Q2067" i="2"/>
  <c r="E895" i="2"/>
  <c r="T799" i="2"/>
  <c r="R2067" i="2"/>
  <c r="F799" i="2"/>
  <c r="C2062" i="2"/>
  <c r="H799" i="2"/>
  <c r="F1371" i="2"/>
  <c r="M1335" i="2"/>
  <c r="C94" i="2"/>
  <c r="S623" i="2"/>
  <c r="C2067" i="2"/>
  <c r="M2067" i="2"/>
  <c r="S462" i="2"/>
  <c r="A1371" i="2"/>
  <c r="T94" i="2"/>
  <c r="M1371" i="2"/>
  <c r="J950" i="2"/>
  <c r="P1371" i="2"/>
  <c r="D2062" i="2"/>
  <c r="N950" i="2"/>
  <c r="Q950" i="2"/>
  <c r="G2062" i="2"/>
  <c r="O950" i="2"/>
  <c r="C895" i="2"/>
  <c r="J623" i="2"/>
  <c r="H1371" i="2"/>
  <c r="J1335" i="2"/>
  <c r="A799" i="2"/>
  <c r="C799" i="2"/>
  <c r="D950" i="2"/>
  <c r="A950" i="2"/>
  <c r="T462" i="2"/>
  <c r="R1371" i="2"/>
  <c r="F1335" i="2"/>
  <c r="T623" i="2"/>
  <c r="T950" i="2"/>
  <c r="R950" i="2"/>
  <c r="S1371" i="2"/>
  <c r="P462" i="2"/>
  <c r="S895" i="2"/>
  <c r="Q94" i="2"/>
  <c r="D799" i="2"/>
  <c r="A94" i="2"/>
  <c r="E1371" i="2"/>
  <c r="N799" i="2"/>
  <c r="S950" i="2"/>
  <c r="G462" i="2"/>
  <c r="Q462" i="2"/>
  <c r="N623" i="2"/>
  <c r="P623" i="2"/>
  <c r="Q799" i="2"/>
  <c r="F950" i="2"/>
  <c r="F2067" i="2"/>
  <c r="M895" i="2"/>
  <c r="C623" i="2"/>
  <c r="S799" i="2"/>
  <c r="O1335" i="2"/>
  <c r="N2067" i="2"/>
  <c r="O2067" i="2"/>
  <c r="J462" i="2"/>
  <c r="E799" i="2"/>
  <c r="Q2062" i="2"/>
  <c r="G950" i="2"/>
  <c r="T2067" i="2"/>
  <c r="O94" i="2"/>
  <c r="F623" i="2"/>
  <c r="C1371" i="2"/>
  <c r="C1335" i="2"/>
  <c r="J895" i="2"/>
  <c r="Q911" i="2"/>
  <c r="A1359" i="2"/>
  <c r="J1687" i="2"/>
  <c r="F1359" i="2"/>
  <c r="A2060" i="2"/>
  <c r="H1359" i="2"/>
  <c r="Q1526" i="2"/>
  <c r="C1687" i="2"/>
  <c r="T1526" i="2"/>
  <c r="D670" i="2"/>
  <c r="Q1687" i="2"/>
  <c r="D1359" i="2"/>
  <c r="E1324" i="2"/>
  <c r="E1142" i="2"/>
  <c r="T471" i="2"/>
  <c r="R1068" i="2"/>
  <c r="H1324" i="2"/>
  <c r="K1324" i="2"/>
  <c r="P1324" i="2"/>
  <c r="J1142" i="2"/>
  <c r="F1142" i="2"/>
  <c r="P1687" i="2"/>
  <c r="J1359" i="2"/>
  <c r="Q1142" i="2"/>
  <c r="M2060" i="2"/>
  <c r="N471" i="2"/>
  <c r="F1068" i="2"/>
  <c r="M1359" i="2"/>
  <c r="J911" i="2"/>
  <c r="T2060" i="2"/>
  <c r="S471" i="2"/>
  <c r="T1687" i="2"/>
  <c r="M670" i="2"/>
  <c r="K1142" i="2"/>
  <c r="J2060" i="2"/>
  <c r="P1068" i="2"/>
  <c r="J670" i="2"/>
  <c r="P471" i="2"/>
  <c r="T670" i="2"/>
  <c r="O911" i="2"/>
  <c r="K670" i="2"/>
  <c r="P670" i="2"/>
  <c r="R1687" i="2"/>
  <c r="H670" i="2"/>
  <c r="P911" i="2"/>
  <c r="D471" i="2"/>
  <c r="P2060" i="2"/>
  <c r="H911" i="2"/>
  <c r="C911" i="2"/>
  <c r="F911" i="2"/>
  <c r="A1526" i="2"/>
  <c r="S1359" i="2"/>
  <c r="G1687" i="2"/>
  <c r="C1324" i="2"/>
  <c r="K1687" i="2"/>
  <c r="A471" i="2"/>
  <c r="M471" i="2"/>
  <c r="M1068" i="2"/>
  <c r="S1526" i="2"/>
  <c r="Q1068" i="2"/>
  <c r="E911" i="2"/>
  <c r="C1142" i="2"/>
  <c r="P1359" i="2"/>
  <c r="E1068" i="2"/>
  <c r="R1324" i="2"/>
  <c r="S1142" i="2"/>
  <c r="C1359" i="2"/>
  <c r="S1068" i="2"/>
  <c r="E1687" i="2"/>
  <c r="C471" i="2"/>
  <c r="J1526" i="2"/>
  <c r="A1324" i="2"/>
  <c r="H2060" i="2"/>
  <c r="R1526" i="2"/>
  <c r="E670" i="2"/>
  <c r="D911" i="2"/>
  <c r="G670" i="2"/>
  <c r="T1068" i="2"/>
  <c r="F471" i="2"/>
  <c r="R670" i="2"/>
  <c r="G1359" i="2"/>
  <c r="O1324" i="2"/>
  <c r="O1068" i="2"/>
  <c r="K1068" i="2"/>
  <c r="C1068" i="2"/>
  <c r="T1142" i="2"/>
  <c r="J1324" i="2"/>
  <c r="R1142" i="2"/>
  <c r="N1526" i="2"/>
  <c r="C2060" i="2"/>
  <c r="K911" i="2"/>
  <c r="H471" i="2"/>
  <c r="O1687" i="2"/>
  <c r="N2060" i="2"/>
  <c r="O1526" i="2"/>
  <c r="F1324" i="2"/>
  <c r="D1687" i="2"/>
  <c r="N1359" i="2"/>
  <c r="G1526" i="2"/>
  <c r="D1526" i="2"/>
  <c r="G1142" i="2"/>
  <c r="H1142" i="2"/>
  <c r="Q2060" i="2"/>
  <c r="N1687" i="2"/>
  <c r="F1687" i="2"/>
  <c r="R2060" i="2"/>
  <c r="S1687" i="2"/>
  <c r="D1324" i="2"/>
  <c r="N1068" i="2"/>
  <c r="S911" i="2"/>
  <c r="M1687" i="2"/>
  <c r="C670" i="2"/>
  <c r="D1142" i="2"/>
  <c r="G471" i="2"/>
  <c r="O471" i="2"/>
  <c r="T1359" i="2"/>
  <c r="O2060" i="2"/>
  <c r="P1142" i="2"/>
  <c r="O670" i="2"/>
  <c r="N1324" i="2"/>
  <c r="K2060" i="2"/>
  <c r="E471" i="2"/>
  <c r="T911" i="2"/>
  <c r="A1068" i="2"/>
  <c r="O1142" i="2"/>
  <c r="F1526" i="2"/>
  <c r="P1526" i="2"/>
  <c r="G1324" i="2"/>
  <c r="E1359" i="2"/>
  <c r="F670" i="2"/>
  <c r="G911" i="2"/>
  <c r="M1142" i="2"/>
  <c r="A670" i="2"/>
  <c r="A1687" i="2"/>
  <c r="A911" i="2"/>
  <c r="R911" i="2"/>
  <c r="M911" i="2"/>
  <c r="Q471" i="2"/>
  <c r="E1526" i="2"/>
  <c r="K1359" i="2"/>
  <c r="J1068" i="2"/>
  <c r="Q670" i="2"/>
  <c r="T1324" i="2"/>
  <c r="H1526" i="2"/>
  <c r="K471" i="2"/>
  <c r="M1526" i="2"/>
  <c r="N1142" i="2"/>
  <c r="G2060" i="2"/>
  <c r="R471" i="2"/>
  <c r="R1359" i="2"/>
  <c r="Q1359" i="2"/>
  <c r="S2060" i="2"/>
  <c r="G1068" i="2"/>
  <c r="C1526" i="2"/>
  <c r="N670" i="2"/>
  <c r="E2060" i="2"/>
  <c r="Q1324" i="2"/>
  <c r="D1068" i="2"/>
  <c r="S1324" i="2"/>
  <c r="D2060" i="2"/>
  <c r="O1359" i="2"/>
  <c r="M1324" i="2"/>
  <c r="J471" i="2"/>
  <c r="K1526" i="2"/>
  <c r="N911" i="2"/>
  <c r="S670" i="2"/>
  <c r="F2060" i="2"/>
  <c r="A1142" i="2"/>
  <c r="H1068" i="2"/>
  <c r="H1687" i="2"/>
  <c r="M2035" i="2"/>
  <c r="K724" i="2"/>
  <c r="F806" i="2"/>
  <c r="D269" i="2"/>
  <c r="R806" i="2"/>
  <c r="S724" i="2"/>
  <c r="G1611" i="2"/>
  <c r="N1611" i="2"/>
  <c r="Q1679" i="2"/>
  <c r="P2097" i="2"/>
  <c r="O269" i="2"/>
  <c r="A2035" i="2"/>
  <c r="K689" i="2"/>
  <c r="C1184" i="2"/>
  <c r="R34" i="2"/>
  <c r="S689" i="2"/>
  <c r="T689" i="2"/>
  <c r="M1184" i="2"/>
  <c r="P1679" i="2"/>
  <c r="H2097" i="2"/>
  <c r="O2097" i="2"/>
  <c r="F2097" i="2"/>
  <c r="Q1611" i="2"/>
  <c r="T1184" i="2"/>
  <c r="H1611" i="2"/>
  <c r="M724" i="2"/>
  <c r="G724" i="2"/>
  <c r="A806" i="2"/>
  <c r="K1611" i="2"/>
  <c r="E1184" i="2"/>
  <c r="N34" i="2"/>
  <c r="G269" i="2"/>
  <c r="Q689" i="2"/>
  <c r="F689" i="2"/>
  <c r="Q806" i="2"/>
  <c r="E724" i="2"/>
  <c r="J2035" i="2"/>
  <c r="J806" i="2"/>
  <c r="P689" i="2"/>
  <c r="M1611" i="2"/>
  <c r="E689" i="2"/>
  <c r="E1679" i="2"/>
  <c r="N689" i="2"/>
  <c r="D1611" i="2"/>
  <c r="P724" i="2"/>
  <c r="A724" i="2"/>
  <c r="O724" i="2"/>
  <c r="T806" i="2"/>
  <c r="M269" i="2"/>
  <c r="Q2097" i="2"/>
  <c r="C1679" i="2"/>
  <c r="J34" i="2"/>
  <c r="T1611" i="2"/>
  <c r="R1611" i="2"/>
  <c r="G1184" i="2"/>
  <c r="E2097" i="2"/>
  <c r="R724" i="2"/>
  <c r="F34" i="2"/>
  <c r="O2035" i="2"/>
  <c r="N2097" i="2"/>
  <c r="F724" i="2"/>
  <c r="J269" i="2"/>
  <c r="O1679" i="2"/>
  <c r="F2035" i="2"/>
  <c r="P34" i="2"/>
  <c r="S2035" i="2"/>
  <c r="O1184" i="2"/>
  <c r="J2097" i="2"/>
  <c r="M34" i="2"/>
  <c r="G1679" i="2"/>
  <c r="M806" i="2"/>
  <c r="C724" i="2"/>
  <c r="S1679" i="2"/>
  <c r="K1184" i="2"/>
  <c r="F269" i="2"/>
  <c r="H1184" i="2"/>
  <c r="S2097" i="2"/>
  <c r="M689" i="2"/>
  <c r="A1679" i="2"/>
  <c r="M1679" i="2"/>
  <c r="D1679" i="2"/>
  <c r="R269" i="2"/>
  <c r="P1611" i="2"/>
  <c r="S806" i="2"/>
  <c r="A689" i="2"/>
  <c r="D2097" i="2"/>
  <c r="N806" i="2"/>
  <c r="P1184" i="2"/>
  <c r="E806" i="2"/>
  <c r="R1679" i="2"/>
  <c r="O34" i="2"/>
  <c r="J724" i="2"/>
  <c r="H2035" i="2"/>
  <c r="T724" i="2"/>
  <c r="O806" i="2"/>
  <c r="S1611" i="2"/>
  <c r="N1679" i="2"/>
  <c r="T269" i="2"/>
  <c r="A1184" i="2"/>
  <c r="R689" i="2"/>
  <c r="N269" i="2"/>
  <c r="C1611" i="2"/>
  <c r="G2097" i="2"/>
  <c r="C806" i="2"/>
  <c r="E34" i="2"/>
  <c r="K269" i="2"/>
  <c r="C2097" i="2"/>
  <c r="J1611" i="2"/>
  <c r="J1679" i="2"/>
  <c r="G806" i="2"/>
  <c r="H269" i="2"/>
  <c r="R2035" i="2"/>
  <c r="D1184" i="2"/>
  <c r="D806" i="2"/>
  <c r="Q2035" i="2"/>
  <c r="A2097" i="2"/>
  <c r="G689" i="2"/>
  <c r="C2035" i="2"/>
  <c r="N1184" i="2"/>
  <c r="D34" i="2"/>
  <c r="Q724" i="2"/>
  <c r="T2097" i="2"/>
  <c r="E1611" i="2"/>
  <c r="F1611" i="2"/>
  <c r="F1679" i="2"/>
  <c r="C34" i="2"/>
  <c r="D2035" i="2"/>
  <c r="K806" i="2"/>
  <c r="H806" i="2"/>
  <c r="T2035" i="2"/>
  <c r="O1611" i="2"/>
  <c r="Q1184" i="2"/>
  <c r="C269" i="2"/>
  <c r="D724" i="2"/>
  <c r="N2035" i="2"/>
  <c r="C689" i="2"/>
  <c r="P2035" i="2"/>
  <c r="E269" i="2"/>
  <c r="J689" i="2"/>
  <c r="R1184" i="2"/>
  <c r="K2097" i="2"/>
  <c r="K2035" i="2"/>
  <c r="S34" i="2"/>
  <c r="G34" i="2"/>
  <c r="P269" i="2"/>
  <c r="E2035" i="2"/>
  <c r="A269" i="2"/>
  <c r="T1679" i="2"/>
  <c r="M2097" i="2"/>
  <c r="H689" i="2"/>
  <c r="Q269" i="2"/>
  <c r="H1679" i="2"/>
  <c r="F1184" i="2"/>
  <c r="K34" i="2"/>
  <c r="N724" i="2"/>
  <c r="Q34" i="2"/>
  <c r="H34" i="2"/>
  <c r="A34" i="2"/>
  <c r="J1184" i="2"/>
  <c r="D689" i="2"/>
  <c r="K1679" i="2"/>
  <c r="T34" i="2"/>
  <c r="S1184" i="2"/>
  <c r="S269" i="2"/>
  <c r="R2097" i="2"/>
  <c r="A1611" i="2"/>
  <c r="P806" i="2"/>
  <c r="H724" i="2"/>
  <c r="O689" i="2"/>
  <c r="G2035" i="2"/>
  <c r="H1345" i="2"/>
  <c r="F70" i="2"/>
  <c r="K2189" i="2"/>
  <c r="D1345" i="2"/>
  <c r="D631" i="2"/>
  <c r="J631" i="2"/>
  <c r="G2250" i="2"/>
  <c r="D1885" i="2"/>
  <c r="Q1540" i="2"/>
  <c r="S2189" i="2"/>
  <c r="O70" i="2"/>
  <c r="M1374" i="2"/>
  <c r="H1374" i="2"/>
  <c r="P2189" i="2"/>
  <c r="M631" i="2"/>
  <c r="R1540" i="2"/>
  <c r="D2189" i="2"/>
  <c r="R2250" i="2"/>
  <c r="R1345" i="2"/>
  <c r="A466" i="2"/>
  <c r="N466" i="2"/>
  <c r="R631" i="2"/>
  <c r="G631" i="2"/>
  <c r="F1540" i="2"/>
  <c r="N1885" i="2"/>
  <c r="G1540" i="2"/>
  <c r="P1374" i="2"/>
  <c r="N2250" i="2"/>
  <c r="K631" i="2"/>
  <c r="J466" i="2"/>
  <c r="D70" i="2"/>
  <c r="E27" i="2"/>
  <c r="Q631" i="2"/>
  <c r="Q466" i="2"/>
  <c r="T27" i="2"/>
  <c r="F631" i="2"/>
  <c r="E2189" i="2"/>
  <c r="E631" i="2"/>
  <c r="M1885" i="2"/>
  <c r="H2189" i="2"/>
  <c r="P466" i="2"/>
  <c r="N27" i="2"/>
  <c r="H631" i="2"/>
  <c r="K466" i="2"/>
  <c r="S1374" i="2"/>
  <c r="O466" i="2"/>
  <c r="E2250" i="2"/>
  <c r="T1885" i="2"/>
  <c r="T70" i="2"/>
  <c r="P70" i="2"/>
  <c r="P631" i="2"/>
  <c r="F466" i="2"/>
  <c r="T1374" i="2"/>
  <c r="C70" i="2"/>
  <c r="F1885" i="2"/>
  <c r="M1540" i="2"/>
  <c r="H27" i="2"/>
  <c r="J27" i="2"/>
  <c r="H2250" i="2"/>
  <c r="S1540" i="2"/>
  <c r="D1540" i="2"/>
  <c r="H1540" i="2"/>
  <c r="Q2189" i="2"/>
  <c r="O1885" i="2"/>
  <c r="A1885" i="2"/>
  <c r="N1345" i="2"/>
  <c r="T466" i="2"/>
  <c r="S27" i="2"/>
  <c r="H70" i="2"/>
  <c r="K1374" i="2"/>
  <c r="P1540" i="2"/>
  <c r="A1540" i="2"/>
  <c r="D466" i="2"/>
  <c r="O1540" i="2"/>
  <c r="T631" i="2"/>
  <c r="Q27" i="2"/>
  <c r="E70" i="2"/>
  <c r="K70" i="2"/>
  <c r="A1374" i="2"/>
  <c r="E1885" i="2"/>
  <c r="O631" i="2"/>
  <c r="D2250" i="2"/>
  <c r="S1885" i="2"/>
  <c r="P2250" i="2"/>
  <c r="A70" i="2"/>
  <c r="F2250" i="2"/>
  <c r="O27" i="2"/>
  <c r="J1885" i="2"/>
  <c r="C1374" i="2"/>
  <c r="Q1345" i="2"/>
  <c r="G1374" i="2"/>
  <c r="S466" i="2"/>
  <c r="J70" i="2"/>
  <c r="S70" i="2"/>
  <c r="E1374" i="2"/>
  <c r="M70" i="2"/>
  <c r="C1540" i="2"/>
  <c r="G1345" i="2"/>
  <c r="Q1374" i="2"/>
  <c r="R1374" i="2"/>
  <c r="O1345" i="2"/>
  <c r="K27" i="2"/>
  <c r="R70" i="2"/>
  <c r="R466" i="2"/>
  <c r="C631" i="2"/>
  <c r="H466" i="2"/>
  <c r="S2250" i="2"/>
  <c r="R27" i="2"/>
  <c r="P27" i="2"/>
  <c r="A2189" i="2"/>
  <c r="N2189" i="2"/>
  <c r="T2250" i="2"/>
  <c r="M466" i="2"/>
  <c r="C466" i="2"/>
  <c r="J2250" i="2"/>
  <c r="R1885" i="2"/>
  <c r="C2250" i="2"/>
  <c r="C27" i="2"/>
  <c r="J1540" i="2"/>
  <c r="K2250" i="2"/>
  <c r="D27" i="2"/>
  <c r="A631" i="2"/>
  <c r="Q70" i="2"/>
  <c r="P1345" i="2"/>
  <c r="F1345" i="2"/>
  <c r="D1374" i="2"/>
  <c r="H1885" i="2"/>
  <c r="F1374" i="2"/>
  <c r="O1374" i="2"/>
  <c r="N631" i="2"/>
  <c r="P1885" i="2"/>
  <c r="N1374" i="2"/>
  <c r="A1345" i="2"/>
  <c r="K1345" i="2"/>
  <c r="C1885" i="2"/>
  <c r="S1345" i="2"/>
  <c r="Q2250" i="2"/>
  <c r="G466" i="2"/>
  <c r="C1345" i="2"/>
  <c r="E1540" i="2"/>
  <c r="M2250" i="2"/>
  <c r="M2189" i="2"/>
  <c r="G70" i="2"/>
  <c r="F2189" i="2"/>
  <c r="M1345" i="2"/>
  <c r="A27" i="2"/>
  <c r="A2250" i="2"/>
  <c r="T1540" i="2"/>
  <c r="E1345" i="2"/>
  <c r="N1540" i="2"/>
  <c r="G27" i="2"/>
  <c r="T1345" i="2"/>
  <c r="R2189" i="2"/>
  <c r="C2189" i="2"/>
  <c r="K1885" i="2"/>
  <c r="T2189" i="2"/>
  <c r="J2189" i="2"/>
  <c r="G2189" i="2"/>
  <c r="M27" i="2"/>
  <c r="Q1885" i="2"/>
  <c r="O2189" i="2"/>
  <c r="J1374" i="2"/>
  <c r="E466" i="2"/>
  <c r="F27" i="2"/>
  <c r="N70" i="2"/>
  <c r="J1345" i="2"/>
  <c r="K1540" i="2"/>
  <c r="O2250" i="2"/>
  <c r="S631" i="2"/>
  <c r="G1885" i="2"/>
  <c r="O177" i="2"/>
  <c r="T1443" i="2"/>
  <c r="K1250" i="2"/>
  <c r="C2156" i="2"/>
  <c r="H1443" i="2"/>
  <c r="O1183" i="2"/>
  <c r="D1245" i="2"/>
  <c r="G2223" i="2"/>
  <c r="J177" i="2"/>
  <c r="M419" i="2"/>
  <c r="H1430" i="2"/>
  <c r="M1183" i="2"/>
  <c r="F1250" i="2"/>
  <c r="O119" i="2"/>
  <c r="H1245" i="2"/>
  <c r="P119" i="2"/>
  <c r="G1183" i="2"/>
  <c r="N1250" i="2"/>
  <c r="P1183" i="2"/>
  <c r="J119" i="2"/>
  <c r="J2223" i="2"/>
  <c r="N1245" i="2"/>
  <c r="H1183" i="2"/>
  <c r="C119" i="2"/>
  <c r="N1183" i="2"/>
  <c r="R1183" i="2"/>
  <c r="T2156" i="2"/>
  <c r="S1250" i="2"/>
  <c r="Q2223" i="2"/>
  <c r="A2156" i="2"/>
  <c r="P1250" i="2"/>
  <c r="T2223" i="2"/>
  <c r="S119" i="2"/>
  <c r="E1183" i="2"/>
  <c r="D1443" i="2"/>
  <c r="F1430" i="2"/>
  <c r="D1250" i="2"/>
  <c r="F1443" i="2"/>
  <c r="R1430" i="2"/>
  <c r="E1430" i="2"/>
  <c r="A1443" i="2"/>
  <c r="C419" i="2"/>
  <c r="O1245" i="2"/>
  <c r="G1430" i="2"/>
  <c r="K2156" i="2"/>
  <c r="F119" i="2"/>
  <c r="H2223" i="2"/>
  <c r="S419" i="2"/>
  <c r="F419" i="2"/>
  <c r="D1183" i="2"/>
  <c r="K119" i="2"/>
  <c r="J2156" i="2"/>
  <c r="D119" i="2"/>
  <c r="D1430" i="2"/>
  <c r="S1245" i="2"/>
  <c r="C2223" i="2"/>
  <c r="N419" i="2"/>
  <c r="M1245" i="2"/>
  <c r="F1245" i="2"/>
  <c r="A1250" i="2"/>
  <c r="Q1245" i="2"/>
  <c r="P1443" i="2"/>
  <c r="C1183" i="2"/>
  <c r="K177" i="2"/>
  <c r="T419" i="2"/>
  <c r="N177" i="2"/>
  <c r="P177" i="2"/>
  <c r="Q177" i="2"/>
  <c r="S2156" i="2"/>
  <c r="Q1443" i="2"/>
  <c r="G1443" i="2"/>
  <c r="A1183" i="2"/>
  <c r="G2156" i="2"/>
  <c r="S1443" i="2"/>
  <c r="E177" i="2"/>
  <c r="E1443" i="2"/>
  <c r="A119" i="2"/>
  <c r="A177" i="2"/>
  <c r="D177" i="2"/>
  <c r="Q419" i="2"/>
  <c r="C1430" i="2"/>
  <c r="G119" i="2"/>
  <c r="S2223" i="2"/>
  <c r="Q1250" i="2"/>
  <c r="E2223" i="2"/>
  <c r="K419" i="2"/>
  <c r="J419" i="2"/>
  <c r="T1250" i="2"/>
  <c r="D2223" i="2"/>
  <c r="A419" i="2"/>
  <c r="K1183" i="2"/>
  <c r="P1245" i="2"/>
  <c r="N1443" i="2"/>
  <c r="A1245" i="2"/>
  <c r="P2223" i="2"/>
  <c r="N1430" i="2"/>
  <c r="K1443" i="2"/>
  <c r="K1430" i="2"/>
  <c r="T119" i="2"/>
  <c r="Q119" i="2"/>
  <c r="D2156" i="2"/>
  <c r="R1245" i="2"/>
  <c r="Q1430" i="2"/>
  <c r="K2223" i="2"/>
  <c r="N2156" i="2"/>
  <c r="G1245" i="2"/>
  <c r="T1245" i="2"/>
  <c r="F2223" i="2"/>
  <c r="R1250" i="2"/>
  <c r="G1250" i="2"/>
  <c r="J1245" i="2"/>
  <c r="N2223" i="2"/>
  <c r="E2156" i="2"/>
  <c r="H2156" i="2"/>
  <c r="F2156" i="2"/>
  <c r="Q1183" i="2"/>
  <c r="S177" i="2"/>
  <c r="M2223" i="2"/>
  <c r="O1250" i="2"/>
  <c r="C177" i="2"/>
  <c r="R2156" i="2"/>
  <c r="P419" i="2"/>
  <c r="O2156" i="2"/>
  <c r="H177" i="2"/>
  <c r="A1430" i="2"/>
  <c r="K1245" i="2"/>
  <c r="G419" i="2"/>
  <c r="H1250" i="2"/>
  <c r="S1430" i="2"/>
  <c r="S1183" i="2"/>
  <c r="T1430" i="2"/>
  <c r="J1183" i="2"/>
  <c r="F1183" i="2"/>
  <c r="G177" i="2"/>
  <c r="R177" i="2"/>
  <c r="C1250" i="2"/>
  <c r="A2223" i="2"/>
  <c r="J1430" i="2"/>
  <c r="R419" i="2"/>
  <c r="T177" i="2"/>
  <c r="E1245" i="2"/>
  <c r="M119" i="2"/>
  <c r="O419" i="2"/>
  <c r="R1443" i="2"/>
  <c r="D419" i="2"/>
  <c r="C1443" i="2"/>
  <c r="O1443" i="2"/>
  <c r="M1430" i="2"/>
  <c r="P2156" i="2"/>
  <c r="O2223" i="2"/>
  <c r="E1250" i="2"/>
  <c r="E119" i="2"/>
  <c r="M1443" i="2"/>
  <c r="J1250" i="2"/>
  <c r="H119" i="2"/>
  <c r="H419" i="2"/>
  <c r="F177" i="2"/>
  <c r="M2156" i="2"/>
  <c r="N119" i="2"/>
  <c r="P1430" i="2"/>
  <c r="M177" i="2"/>
  <c r="Q2156" i="2"/>
  <c r="O1430" i="2"/>
  <c r="R119" i="2"/>
  <c r="R2223" i="2"/>
  <c r="C1245" i="2"/>
  <c r="J1443" i="2"/>
  <c r="E419" i="2"/>
  <c r="M1250" i="2"/>
  <c r="T1183" i="2"/>
  <c r="K2239" i="2"/>
  <c r="R2239" i="2"/>
  <c r="H1241" i="2"/>
  <c r="R2037" i="2"/>
  <c r="H2239" i="2"/>
  <c r="K1120" i="2"/>
  <c r="N1628" i="2"/>
  <c r="M1628" i="2"/>
  <c r="F2037" i="2"/>
  <c r="D612" i="2"/>
  <c r="C2239" i="2"/>
  <c r="A1241" i="2"/>
  <c r="A509" i="2"/>
  <c r="T2239" i="2"/>
  <c r="N612" i="2"/>
  <c r="E612" i="2"/>
  <c r="C1628" i="2"/>
  <c r="Q1120" i="2"/>
  <c r="R1241" i="2"/>
  <c r="O1120" i="2"/>
  <c r="S1162" i="2"/>
  <c r="H1001" i="2"/>
  <c r="P2037" i="2"/>
  <c r="S1241" i="2"/>
  <c r="J1001" i="2"/>
  <c r="S1892" i="2"/>
  <c r="G1120" i="2"/>
  <c r="M1892" i="2"/>
  <c r="A1892" i="2"/>
  <c r="D1162" i="2"/>
  <c r="Q1628" i="2"/>
  <c r="F1162" i="2"/>
  <c r="P2239" i="2"/>
  <c r="C612" i="2"/>
  <c r="G1628" i="2"/>
  <c r="G1001" i="2"/>
  <c r="F1241" i="2"/>
  <c r="J2239" i="2"/>
  <c r="H2037" i="2"/>
  <c r="M509" i="2"/>
  <c r="K1162" i="2"/>
  <c r="M1162" i="2"/>
  <c r="P1120" i="2"/>
  <c r="O1001" i="2"/>
  <c r="J1892" i="2"/>
  <c r="P612" i="2"/>
  <c r="N1001" i="2"/>
  <c r="G612" i="2"/>
  <c r="D1892" i="2"/>
  <c r="K1892" i="2"/>
  <c r="D1628" i="2"/>
  <c r="T1628" i="2"/>
  <c r="E1162" i="2"/>
  <c r="F509" i="2"/>
  <c r="T612" i="2"/>
  <c r="M1001" i="2"/>
  <c r="E1628" i="2"/>
  <c r="C2037" i="2"/>
  <c r="R1120" i="2"/>
  <c r="R509" i="2"/>
  <c r="J2037" i="2"/>
  <c r="F1892" i="2"/>
  <c r="T1120" i="2"/>
  <c r="E1892" i="2"/>
  <c r="Q509" i="2"/>
  <c r="T2037" i="2"/>
  <c r="R1628" i="2"/>
  <c r="G1162" i="2"/>
  <c r="N1241" i="2"/>
  <c r="E1120" i="2"/>
  <c r="F612" i="2"/>
  <c r="S2037" i="2"/>
  <c r="M1241" i="2"/>
  <c r="G509" i="2"/>
  <c r="S1001" i="2"/>
  <c r="C1120" i="2"/>
  <c r="J509" i="2"/>
  <c r="O509" i="2"/>
  <c r="G2239" i="2"/>
  <c r="M2239" i="2"/>
  <c r="H1162" i="2"/>
  <c r="H612" i="2"/>
  <c r="C1162" i="2"/>
  <c r="J1162" i="2"/>
  <c r="N1120" i="2"/>
  <c r="Q1162" i="2"/>
  <c r="D2037" i="2"/>
  <c r="H1120" i="2"/>
  <c r="P1162" i="2"/>
  <c r="N1892" i="2"/>
  <c r="Q1001" i="2"/>
  <c r="O1162" i="2"/>
  <c r="S1628" i="2"/>
  <c r="H509" i="2"/>
  <c r="N2037" i="2"/>
  <c r="A1162" i="2"/>
  <c r="J1241" i="2"/>
  <c r="E1001" i="2"/>
  <c r="C1241" i="2"/>
  <c r="T1001" i="2"/>
  <c r="D2239" i="2"/>
  <c r="S509" i="2"/>
  <c r="A2239" i="2"/>
  <c r="A1628" i="2"/>
  <c r="R612" i="2"/>
  <c r="D1001" i="2"/>
  <c r="K1001" i="2"/>
  <c r="M2037" i="2"/>
  <c r="P509" i="2"/>
  <c r="T1892" i="2"/>
  <c r="T509" i="2"/>
  <c r="F1001" i="2"/>
  <c r="E509" i="2"/>
  <c r="K1241" i="2"/>
  <c r="K612" i="2"/>
  <c r="K1628" i="2"/>
  <c r="O1241" i="2"/>
  <c r="N2239" i="2"/>
  <c r="K2037" i="2"/>
  <c r="R1001" i="2"/>
  <c r="O1628" i="2"/>
  <c r="O612" i="2"/>
  <c r="D1241" i="2"/>
  <c r="Q1892" i="2"/>
  <c r="C1001" i="2"/>
  <c r="P1001" i="2"/>
  <c r="P1892" i="2"/>
  <c r="E2037" i="2"/>
  <c r="Q2037" i="2"/>
  <c r="R1892" i="2"/>
  <c r="O2037" i="2"/>
  <c r="M612" i="2"/>
  <c r="E2239" i="2"/>
  <c r="F1120" i="2"/>
  <c r="O2239" i="2"/>
  <c r="S612" i="2"/>
  <c r="C509" i="2"/>
  <c r="S1120" i="2"/>
  <c r="P1241" i="2"/>
  <c r="S2239" i="2"/>
  <c r="N1162" i="2"/>
  <c r="E1241" i="2"/>
  <c r="H1628" i="2"/>
  <c r="G1892" i="2"/>
  <c r="K509" i="2"/>
  <c r="J1628" i="2"/>
  <c r="M1120" i="2"/>
  <c r="A2037" i="2"/>
  <c r="P1628" i="2"/>
  <c r="H1892" i="2"/>
  <c r="Q612" i="2"/>
  <c r="T1241" i="2"/>
  <c r="D509" i="2"/>
  <c r="J612" i="2"/>
  <c r="G1241" i="2"/>
  <c r="F2239" i="2"/>
  <c r="J1120" i="2"/>
  <c r="R1162" i="2"/>
  <c r="A1120" i="2"/>
  <c r="C1892" i="2"/>
  <c r="O1892" i="2"/>
  <c r="Q1241" i="2"/>
  <c r="N509" i="2"/>
  <c r="A1001" i="2"/>
  <c r="Q2239" i="2"/>
  <c r="G2037" i="2"/>
  <c r="T1162" i="2"/>
  <c r="D1120" i="2"/>
  <c r="A612" i="2"/>
  <c r="F1628" i="2"/>
  <c r="A1921" i="2"/>
  <c r="G1161" i="2"/>
  <c r="R1327" i="2"/>
  <c r="M1327" i="2"/>
  <c r="Q1864" i="2"/>
  <c r="N1864" i="2"/>
  <c r="M280" i="2"/>
  <c r="J277" i="2"/>
  <c r="C1161" i="2"/>
  <c r="R280" i="2"/>
  <c r="F168" i="2"/>
  <c r="D168" i="2"/>
  <c r="R277" i="2"/>
  <c r="M1868" i="2"/>
  <c r="H1921" i="2"/>
  <c r="N154" i="2"/>
  <c r="J1921" i="2"/>
  <c r="P1868" i="2"/>
  <c r="M1864" i="2"/>
  <c r="F1327" i="2"/>
  <c r="A1868" i="2"/>
  <c r="H1327" i="2"/>
  <c r="S154" i="2"/>
  <c r="R154" i="2"/>
  <c r="O168" i="2"/>
  <c r="J154" i="2"/>
  <c r="P1327" i="2"/>
  <c r="S247" i="2"/>
  <c r="H1864" i="2"/>
  <c r="R1864" i="2"/>
  <c r="N1161" i="2"/>
  <c r="N247" i="2"/>
  <c r="K277" i="2"/>
  <c r="G154" i="2"/>
  <c r="A1161" i="2"/>
  <c r="K154" i="2"/>
  <c r="M247" i="2"/>
  <c r="S1868" i="2"/>
  <c r="S1327" i="2"/>
  <c r="S168" i="2"/>
  <c r="H168" i="2"/>
  <c r="S1921" i="2"/>
  <c r="D277" i="2"/>
  <c r="F1161" i="2"/>
  <c r="M154" i="2"/>
  <c r="S280" i="2"/>
  <c r="D1864" i="2"/>
  <c r="N280" i="2"/>
  <c r="E277" i="2"/>
  <c r="E168" i="2"/>
  <c r="F277" i="2"/>
  <c r="A280" i="2"/>
  <c r="T1161" i="2"/>
  <c r="G277" i="2"/>
  <c r="P154" i="2"/>
  <c r="O1864" i="2"/>
  <c r="S277" i="2"/>
  <c r="D1161" i="2"/>
  <c r="D280" i="2"/>
  <c r="N1327" i="2"/>
  <c r="C277" i="2"/>
  <c r="C1327" i="2"/>
  <c r="T277" i="2"/>
  <c r="O280" i="2"/>
  <c r="K1921" i="2"/>
  <c r="J1161" i="2"/>
  <c r="F1864" i="2"/>
  <c r="A277" i="2"/>
  <c r="G1921" i="2"/>
  <c r="Q154" i="2"/>
  <c r="K1868" i="2"/>
  <c r="D154" i="2"/>
  <c r="O247" i="2"/>
  <c r="J1864" i="2"/>
  <c r="A1327" i="2"/>
  <c r="Q1327" i="2"/>
  <c r="N168" i="2"/>
  <c r="K1327" i="2"/>
  <c r="T280" i="2"/>
  <c r="K1864" i="2"/>
  <c r="Q1161" i="2"/>
  <c r="H1868" i="2"/>
  <c r="G1327" i="2"/>
  <c r="C1864" i="2"/>
  <c r="C247" i="2"/>
  <c r="T247" i="2"/>
  <c r="T1327" i="2"/>
  <c r="C280" i="2"/>
  <c r="J247" i="2"/>
  <c r="Q280" i="2"/>
  <c r="K168" i="2"/>
  <c r="O277" i="2"/>
  <c r="H280" i="2"/>
  <c r="G168" i="2"/>
  <c r="J1327" i="2"/>
  <c r="P1921" i="2"/>
  <c r="S1864" i="2"/>
  <c r="M1921" i="2"/>
  <c r="T1868" i="2"/>
  <c r="E1327" i="2"/>
  <c r="T1921" i="2"/>
  <c r="H247" i="2"/>
  <c r="Q247" i="2"/>
  <c r="J280" i="2"/>
  <c r="K1161" i="2"/>
  <c r="E1921" i="2"/>
  <c r="R1868" i="2"/>
  <c r="D1921" i="2"/>
  <c r="T1864" i="2"/>
  <c r="O1868" i="2"/>
  <c r="T168" i="2"/>
  <c r="H1161" i="2"/>
  <c r="J1868" i="2"/>
  <c r="Q277" i="2"/>
  <c r="C154" i="2"/>
  <c r="F280" i="2"/>
  <c r="A168" i="2"/>
  <c r="T154" i="2"/>
  <c r="C168" i="2"/>
  <c r="R247" i="2"/>
  <c r="N277" i="2"/>
  <c r="E247" i="2"/>
  <c r="A247" i="2"/>
  <c r="C1921" i="2"/>
  <c r="G1868" i="2"/>
  <c r="D247" i="2"/>
  <c r="P168" i="2"/>
  <c r="H154" i="2"/>
  <c r="N1921" i="2"/>
  <c r="R1161" i="2"/>
  <c r="R168" i="2"/>
  <c r="G1864" i="2"/>
  <c r="A154" i="2"/>
  <c r="O154" i="2"/>
  <c r="N1868" i="2"/>
  <c r="O1327" i="2"/>
  <c r="E154" i="2"/>
  <c r="E1868" i="2"/>
  <c r="E280" i="2"/>
  <c r="K247" i="2"/>
  <c r="E1161" i="2"/>
  <c r="Q168" i="2"/>
  <c r="D1868" i="2"/>
  <c r="P247" i="2"/>
  <c r="K280" i="2"/>
  <c r="M277" i="2"/>
  <c r="P1161" i="2"/>
  <c r="O1921" i="2"/>
  <c r="M168" i="2"/>
  <c r="A1864" i="2"/>
  <c r="F1868" i="2"/>
  <c r="R1921" i="2"/>
  <c r="P280" i="2"/>
  <c r="G247" i="2"/>
  <c r="P1864" i="2"/>
  <c r="S1161" i="2"/>
  <c r="Q1868" i="2"/>
  <c r="P277" i="2"/>
  <c r="O1161" i="2"/>
  <c r="Q1921" i="2"/>
  <c r="C1868" i="2"/>
  <c r="H277" i="2"/>
  <c r="E1864" i="2"/>
  <c r="F154" i="2"/>
  <c r="F247" i="2"/>
  <c r="M1161" i="2"/>
  <c r="G280" i="2"/>
  <c r="J168" i="2"/>
  <c r="F1921" i="2"/>
  <c r="D1327" i="2"/>
  <c r="K395" i="2"/>
  <c r="F1812" i="2"/>
  <c r="E214" i="2"/>
  <c r="J1812" i="2"/>
  <c r="R1812" i="2"/>
  <c r="R538" i="2"/>
  <c r="D1693" i="2"/>
  <c r="J414" i="2"/>
  <c r="O1812" i="2"/>
  <c r="S1415" i="2"/>
  <c r="Q2029" i="2"/>
  <c r="T395" i="2"/>
  <c r="G214" i="2"/>
  <c r="Q214" i="2"/>
  <c r="D395" i="2"/>
  <c r="O1693" i="2"/>
  <c r="H395" i="2"/>
  <c r="A2029" i="2"/>
  <c r="F1693" i="2"/>
  <c r="F1415" i="2"/>
  <c r="D2029" i="2"/>
  <c r="F2029" i="2"/>
  <c r="M1812" i="2"/>
  <c r="C2029" i="2"/>
  <c r="K649" i="2"/>
  <c r="S538" i="2"/>
  <c r="K214" i="2"/>
  <c r="F1231" i="2"/>
  <c r="G2029" i="2"/>
  <c r="P1231" i="2"/>
  <c r="J649" i="2"/>
  <c r="A214" i="2"/>
  <c r="Q649" i="2"/>
  <c r="J2029" i="2"/>
  <c r="H214" i="2"/>
  <c r="O1415" i="2"/>
  <c r="M1231" i="2"/>
  <c r="H1693" i="2"/>
  <c r="S649" i="2"/>
  <c r="A414" i="2"/>
  <c r="R395" i="2"/>
  <c r="J395" i="2"/>
  <c r="R1231" i="2"/>
  <c r="A1231" i="2"/>
  <c r="A395" i="2"/>
  <c r="S395" i="2"/>
  <c r="D414" i="2"/>
  <c r="T649" i="2"/>
  <c r="R414" i="2"/>
  <c r="S1693" i="2"/>
  <c r="C1415" i="2"/>
  <c r="Q538" i="2"/>
  <c r="A1693" i="2"/>
  <c r="A649" i="2"/>
  <c r="F214" i="2"/>
  <c r="J1231" i="2"/>
  <c r="J214" i="2"/>
  <c r="C538" i="2"/>
  <c r="C1693" i="2"/>
  <c r="M538" i="2"/>
  <c r="A1415" i="2"/>
  <c r="D538" i="2"/>
  <c r="H1415" i="2"/>
  <c r="C1231" i="2"/>
  <c r="Q395" i="2"/>
  <c r="G649" i="2"/>
  <c r="O2029" i="2"/>
  <c r="T1415" i="2"/>
  <c r="P2029" i="2"/>
  <c r="R214" i="2"/>
  <c r="T2029" i="2"/>
  <c r="M1415" i="2"/>
  <c r="P649" i="2"/>
  <c r="E1231" i="2"/>
  <c r="O1231" i="2"/>
  <c r="J538" i="2"/>
  <c r="D214" i="2"/>
  <c r="P1415" i="2"/>
  <c r="M649" i="2"/>
  <c r="Q1693" i="2"/>
  <c r="C1812" i="2"/>
  <c r="D649" i="2"/>
  <c r="C214" i="2"/>
  <c r="S1812" i="2"/>
  <c r="H2029" i="2"/>
  <c r="T414" i="2"/>
  <c r="N395" i="2"/>
  <c r="J1693" i="2"/>
  <c r="P395" i="2"/>
  <c r="F414" i="2"/>
  <c r="J1415" i="2"/>
  <c r="F395" i="2"/>
  <c r="M1693" i="2"/>
  <c r="N538" i="2"/>
  <c r="N214" i="2"/>
  <c r="G395" i="2"/>
  <c r="G1231" i="2"/>
  <c r="N2029" i="2"/>
  <c r="O414" i="2"/>
  <c r="S2029" i="2"/>
  <c r="E1812" i="2"/>
  <c r="F538" i="2"/>
  <c r="Q1812" i="2"/>
  <c r="G1693" i="2"/>
  <c r="G1812" i="2"/>
  <c r="O538" i="2"/>
  <c r="Q1231" i="2"/>
  <c r="P1693" i="2"/>
  <c r="H1812" i="2"/>
  <c r="T214" i="2"/>
  <c r="Q1415" i="2"/>
  <c r="N1812" i="2"/>
  <c r="E538" i="2"/>
  <c r="S414" i="2"/>
  <c r="A538" i="2"/>
  <c r="K538" i="2"/>
  <c r="N1231" i="2"/>
  <c r="N1693" i="2"/>
  <c r="K1693" i="2"/>
  <c r="E395" i="2"/>
  <c r="K1231" i="2"/>
  <c r="M2029" i="2"/>
  <c r="Q414" i="2"/>
  <c r="S1231" i="2"/>
  <c r="P414" i="2"/>
  <c r="K1415" i="2"/>
  <c r="P1812" i="2"/>
  <c r="A1812" i="2"/>
  <c r="O649" i="2"/>
  <c r="O395" i="2"/>
  <c r="C414" i="2"/>
  <c r="O214" i="2"/>
  <c r="S214" i="2"/>
  <c r="N414" i="2"/>
  <c r="H538" i="2"/>
  <c r="N649" i="2"/>
  <c r="R1693" i="2"/>
  <c r="T1812" i="2"/>
  <c r="D1415" i="2"/>
  <c r="R2029" i="2"/>
  <c r="E414" i="2"/>
  <c r="T538" i="2"/>
  <c r="H414" i="2"/>
  <c r="E1415" i="2"/>
  <c r="R649" i="2"/>
  <c r="C649" i="2"/>
  <c r="E2029" i="2"/>
  <c r="F649" i="2"/>
  <c r="M395" i="2"/>
  <c r="T1693" i="2"/>
  <c r="T1231" i="2"/>
  <c r="M214" i="2"/>
  <c r="E649" i="2"/>
  <c r="D1812" i="2"/>
  <c r="K414" i="2"/>
  <c r="D1231" i="2"/>
  <c r="N1415" i="2"/>
  <c r="G538" i="2"/>
  <c r="G1415" i="2"/>
  <c r="G414" i="2"/>
  <c r="P538" i="2"/>
  <c r="K2029" i="2"/>
  <c r="C395" i="2"/>
  <c r="H649" i="2"/>
  <c r="M414" i="2"/>
  <c r="E1693" i="2"/>
  <c r="H1231" i="2"/>
  <c r="P214" i="2"/>
  <c r="R1415" i="2"/>
  <c r="K1812" i="2"/>
  <c r="M1452" i="2"/>
  <c r="A1235" i="2"/>
  <c r="O1445" i="2"/>
  <c r="J1262" i="2"/>
  <c r="M1033" i="2"/>
  <c r="K1262" i="2"/>
  <c r="R1967" i="2"/>
  <c r="H1967" i="2"/>
  <c r="R1452" i="2"/>
  <c r="G1235" i="2"/>
  <c r="O1746" i="2"/>
  <c r="Q1967" i="2"/>
  <c r="A85" i="2"/>
  <c r="H1235" i="2"/>
  <c r="H1445" i="2"/>
  <c r="K123" i="2"/>
  <c r="J1033" i="2"/>
  <c r="T1033" i="2"/>
  <c r="E1235" i="2"/>
  <c r="D123" i="2"/>
  <c r="E1262" i="2"/>
  <c r="N1746" i="2"/>
  <c r="F1235" i="2"/>
  <c r="R929" i="2"/>
  <c r="C1967" i="2"/>
  <c r="T1445" i="2"/>
  <c r="K1033" i="2"/>
  <c r="G929" i="2"/>
  <c r="Q123" i="2"/>
  <c r="F1452" i="2"/>
  <c r="A929" i="2"/>
  <c r="R1445" i="2"/>
  <c r="P1235" i="2"/>
  <c r="M123" i="2"/>
  <c r="P1452" i="2"/>
  <c r="T929" i="2"/>
  <c r="O1967" i="2"/>
  <c r="F1967" i="2"/>
  <c r="D1746" i="2"/>
  <c r="C1235" i="2"/>
  <c r="Q85" i="2"/>
  <c r="O1262" i="2"/>
  <c r="Q1033" i="2"/>
  <c r="J1746" i="2"/>
  <c r="O1033" i="2"/>
  <c r="K1746" i="2"/>
  <c r="J1445" i="2"/>
  <c r="S1746" i="2"/>
  <c r="A123" i="2"/>
  <c r="M929" i="2"/>
  <c r="N929" i="2"/>
  <c r="F1445" i="2"/>
  <c r="F929" i="2"/>
  <c r="M1235" i="2"/>
  <c r="J1452" i="2"/>
  <c r="N85" i="2"/>
  <c r="N1445" i="2"/>
  <c r="Q929" i="2"/>
  <c r="R85" i="2"/>
  <c r="T1452" i="2"/>
  <c r="S1445" i="2"/>
  <c r="G1452" i="2"/>
  <c r="N1235" i="2"/>
  <c r="T1746" i="2"/>
  <c r="S123" i="2"/>
  <c r="H929" i="2"/>
  <c r="G1746" i="2"/>
  <c r="G123" i="2"/>
  <c r="O85" i="2"/>
  <c r="F1262" i="2"/>
  <c r="R1235" i="2"/>
  <c r="P1445" i="2"/>
  <c r="S1452" i="2"/>
  <c r="H1033" i="2"/>
  <c r="S1262" i="2"/>
  <c r="G1033" i="2"/>
  <c r="S1235" i="2"/>
  <c r="Q1262" i="2"/>
  <c r="S1967" i="2"/>
  <c r="K85" i="2"/>
  <c r="P1967" i="2"/>
  <c r="D1033" i="2"/>
  <c r="A1033" i="2"/>
  <c r="N1262" i="2"/>
  <c r="S929" i="2"/>
  <c r="J1967" i="2"/>
  <c r="D85" i="2"/>
  <c r="A1262" i="2"/>
  <c r="J123" i="2"/>
  <c r="E1033" i="2"/>
  <c r="F123" i="2"/>
  <c r="K929" i="2"/>
  <c r="T1262" i="2"/>
  <c r="C1445" i="2"/>
  <c r="E1746" i="2"/>
  <c r="F1746" i="2"/>
  <c r="P1033" i="2"/>
  <c r="Q1452" i="2"/>
  <c r="C1262" i="2"/>
  <c r="R123" i="2"/>
  <c r="E1445" i="2"/>
  <c r="E1967" i="2"/>
  <c r="A1746" i="2"/>
  <c r="S85" i="2"/>
  <c r="M1445" i="2"/>
  <c r="G1445" i="2"/>
  <c r="A1445" i="2"/>
  <c r="H1746" i="2"/>
  <c r="C929" i="2"/>
  <c r="J85" i="2"/>
  <c r="D1235" i="2"/>
  <c r="O123" i="2"/>
  <c r="G1967" i="2"/>
  <c r="E1452" i="2"/>
  <c r="A1452" i="2"/>
  <c r="M85" i="2"/>
  <c r="D1262" i="2"/>
  <c r="N1967" i="2"/>
  <c r="F1033" i="2"/>
  <c r="J1235" i="2"/>
  <c r="H123" i="2"/>
  <c r="K1452" i="2"/>
  <c r="K1445" i="2"/>
  <c r="E123" i="2"/>
  <c r="D1452" i="2"/>
  <c r="T1967" i="2"/>
  <c r="O929" i="2"/>
  <c r="P85" i="2"/>
  <c r="C1452" i="2"/>
  <c r="R1262" i="2"/>
  <c r="C1746" i="2"/>
  <c r="P1262" i="2"/>
  <c r="C85" i="2"/>
  <c r="F85" i="2"/>
  <c r="S1033" i="2"/>
  <c r="A1967" i="2"/>
  <c r="K1235" i="2"/>
  <c r="D1445" i="2"/>
  <c r="K1967" i="2"/>
  <c r="P929" i="2"/>
  <c r="E929" i="2"/>
  <c r="P123" i="2"/>
  <c r="P1746" i="2"/>
  <c r="M1967" i="2"/>
  <c r="Q1235" i="2"/>
  <c r="R1033" i="2"/>
  <c r="H1452" i="2"/>
  <c r="N1033" i="2"/>
  <c r="H1262" i="2"/>
  <c r="G1262" i="2"/>
  <c r="N123" i="2"/>
  <c r="Q1746" i="2"/>
  <c r="H85" i="2"/>
  <c r="J929" i="2"/>
  <c r="T85" i="2"/>
  <c r="E85" i="2"/>
  <c r="N1452" i="2"/>
  <c r="T1235" i="2"/>
  <c r="R1746" i="2"/>
  <c r="T123" i="2"/>
  <c r="Q1445" i="2"/>
  <c r="D929" i="2"/>
  <c r="O1452" i="2"/>
  <c r="C1033" i="2"/>
  <c r="G85" i="2"/>
  <c r="M1746" i="2"/>
  <c r="M1262" i="2"/>
  <c r="D1967" i="2"/>
  <c r="O1235" i="2"/>
  <c r="C123" i="2"/>
  <c r="H989" i="2"/>
  <c r="O389" i="2"/>
  <c r="M2093" i="2"/>
  <c r="F840" i="2"/>
  <c r="T840" i="2"/>
  <c r="K1259" i="2"/>
  <c r="P1570" i="2"/>
  <c r="J2108" i="2"/>
  <c r="S1570" i="2"/>
  <c r="C2093" i="2"/>
  <c r="E1648" i="2"/>
  <c r="K1887" i="2"/>
  <c r="D1259" i="2"/>
  <c r="A1887" i="2"/>
  <c r="P2108" i="2"/>
  <c r="F2108" i="2"/>
  <c r="K1648" i="2"/>
  <c r="G840" i="2"/>
  <c r="P1853" i="2"/>
  <c r="Q1887" i="2"/>
  <c r="R1259" i="2"/>
  <c r="O2093" i="2"/>
  <c r="R1887" i="2"/>
  <c r="J989" i="2"/>
  <c r="D1887" i="2"/>
  <c r="T389" i="2"/>
  <c r="D2093" i="2"/>
  <c r="N1648" i="2"/>
  <c r="S1648" i="2"/>
  <c r="J389" i="2"/>
  <c r="A1259" i="2"/>
  <c r="Q389" i="2"/>
  <c r="P389" i="2"/>
  <c r="R389" i="2"/>
  <c r="O1648" i="2"/>
  <c r="H1853" i="2"/>
  <c r="R1853" i="2"/>
  <c r="M1887" i="2"/>
  <c r="R840" i="2"/>
  <c r="D389" i="2"/>
  <c r="T1570" i="2"/>
  <c r="R1648" i="2"/>
  <c r="H1570" i="2"/>
  <c r="N2093" i="2"/>
  <c r="N1259" i="2"/>
  <c r="E389" i="2"/>
  <c r="P1259" i="2"/>
  <c r="N989" i="2"/>
  <c r="S1259" i="2"/>
  <c r="P989" i="2"/>
  <c r="S2093" i="2"/>
  <c r="O840" i="2"/>
  <c r="F989" i="2"/>
  <c r="M1570" i="2"/>
  <c r="A2108" i="2"/>
  <c r="S2108" i="2"/>
  <c r="R2093" i="2"/>
  <c r="Q2093" i="2"/>
  <c r="E1887" i="2"/>
  <c r="E989" i="2"/>
  <c r="R1570" i="2"/>
  <c r="A389" i="2"/>
  <c r="K2108" i="2"/>
  <c r="O989" i="2"/>
  <c r="G1259" i="2"/>
  <c r="M1853" i="2"/>
  <c r="N2108" i="2"/>
  <c r="G989" i="2"/>
  <c r="E1570" i="2"/>
  <c r="C840" i="2"/>
  <c r="F1648" i="2"/>
  <c r="M1648" i="2"/>
  <c r="J1853" i="2"/>
  <c r="Q1259" i="2"/>
  <c r="H1648" i="2"/>
  <c r="P1887" i="2"/>
  <c r="A1648" i="2"/>
  <c r="S389" i="2"/>
  <c r="A2093" i="2"/>
  <c r="S989" i="2"/>
  <c r="T2108" i="2"/>
  <c r="E840" i="2"/>
  <c r="G2093" i="2"/>
  <c r="A840" i="2"/>
  <c r="O2108" i="2"/>
  <c r="G1887" i="2"/>
  <c r="C1887" i="2"/>
  <c r="R989" i="2"/>
  <c r="F1887" i="2"/>
  <c r="A1853" i="2"/>
  <c r="F1570" i="2"/>
  <c r="Q1648" i="2"/>
  <c r="F2093" i="2"/>
  <c r="G389" i="2"/>
  <c r="E1853" i="2"/>
  <c r="K389" i="2"/>
  <c r="N840" i="2"/>
  <c r="N1570" i="2"/>
  <c r="H840" i="2"/>
  <c r="T1259" i="2"/>
  <c r="D989" i="2"/>
  <c r="H2093" i="2"/>
  <c r="C1648" i="2"/>
  <c r="K1853" i="2"/>
  <c r="G2108" i="2"/>
  <c r="D840" i="2"/>
  <c r="O1259" i="2"/>
  <c r="M989" i="2"/>
  <c r="K1570" i="2"/>
  <c r="C989" i="2"/>
  <c r="C1259" i="2"/>
  <c r="E2093" i="2"/>
  <c r="H1259" i="2"/>
  <c r="T989" i="2"/>
  <c r="O1853" i="2"/>
  <c r="N389" i="2"/>
  <c r="T2093" i="2"/>
  <c r="M1259" i="2"/>
  <c r="E2108" i="2"/>
  <c r="P1648" i="2"/>
  <c r="Q989" i="2"/>
  <c r="J2093" i="2"/>
  <c r="J1259" i="2"/>
  <c r="J1887" i="2"/>
  <c r="K989" i="2"/>
  <c r="S1887" i="2"/>
  <c r="N1853" i="2"/>
  <c r="E1259" i="2"/>
  <c r="D1648" i="2"/>
  <c r="O1887" i="2"/>
  <c r="Q840" i="2"/>
  <c r="H1887" i="2"/>
  <c r="R2108" i="2"/>
  <c r="D1570" i="2"/>
  <c r="H2108" i="2"/>
  <c r="G1853" i="2"/>
  <c r="S840" i="2"/>
  <c r="H389" i="2"/>
  <c r="C1853" i="2"/>
  <c r="T1853" i="2"/>
  <c r="C389" i="2"/>
  <c r="K840" i="2"/>
  <c r="Q1570" i="2"/>
  <c r="T1648" i="2"/>
  <c r="J1570" i="2"/>
  <c r="A1570" i="2"/>
  <c r="D2108" i="2"/>
  <c r="M840" i="2"/>
  <c r="F1853" i="2"/>
  <c r="J1648" i="2"/>
  <c r="K2093" i="2"/>
  <c r="O1570" i="2"/>
  <c r="M2108" i="2"/>
  <c r="D1853" i="2"/>
  <c r="M389" i="2"/>
  <c r="T1887" i="2"/>
  <c r="C2108" i="2"/>
  <c r="P840" i="2"/>
  <c r="S1853" i="2"/>
  <c r="G1570" i="2"/>
  <c r="G1648" i="2"/>
  <c r="P2093" i="2"/>
  <c r="Q2108" i="2"/>
  <c r="J840" i="2"/>
  <c r="A989" i="2"/>
  <c r="C1570" i="2"/>
  <c r="F1259" i="2"/>
  <c r="Q1853" i="2"/>
  <c r="F389" i="2"/>
  <c r="N1887" i="2"/>
  <c r="Q674" i="2"/>
  <c r="A1275" i="2"/>
  <c r="C1774" i="2"/>
  <c r="E1774" i="2"/>
  <c r="M2040" i="2"/>
  <c r="S1774" i="2"/>
  <c r="P664" i="2"/>
  <c r="M805" i="2"/>
  <c r="G805" i="2"/>
  <c r="N1368" i="2"/>
  <c r="O1078" i="2"/>
  <c r="G1466" i="2"/>
  <c r="C180" i="2"/>
  <c r="Q664" i="2"/>
  <c r="C2169" i="2"/>
  <c r="R1774" i="2"/>
  <c r="J1275" i="2"/>
  <c r="C664" i="2"/>
  <c r="M708" i="2"/>
  <c r="M180" i="2"/>
  <c r="K1234" i="2"/>
  <c r="P1368" i="2"/>
  <c r="R1576" i="2"/>
  <c r="H1825" i="2"/>
  <c r="J1368" i="2"/>
  <c r="F692" i="2"/>
  <c r="N805" i="2"/>
  <c r="J1576" i="2"/>
  <c r="R2169" i="2"/>
  <c r="E1078" i="2"/>
  <c r="J766" i="2"/>
  <c r="A769" i="2"/>
  <c r="H180" i="2"/>
  <c r="M1234" i="2"/>
  <c r="F2040" i="2"/>
  <c r="A1576" i="2"/>
  <c r="H1078" i="2"/>
  <c r="N1602" i="2"/>
  <c r="A692" i="2"/>
  <c r="J180" i="2"/>
  <c r="S769" i="2"/>
  <c r="D1078" i="2"/>
  <c r="C1576" i="2"/>
  <c r="G1602" i="2"/>
  <c r="A2040" i="2"/>
  <c r="A1078" i="2"/>
  <c r="P769" i="2"/>
  <c r="O805" i="2"/>
  <c r="A805" i="2"/>
  <c r="Q1507" i="2"/>
  <c r="O2169" i="2"/>
  <c r="G2169" i="2"/>
  <c r="E692" i="2"/>
  <c r="S1466" i="2"/>
  <c r="D1275" i="2"/>
  <c r="E1234" i="2"/>
  <c r="Q1078" i="2"/>
  <c r="M766" i="2"/>
  <c r="E1507" i="2"/>
  <c r="D1234" i="2"/>
  <c r="A708" i="2"/>
  <c r="D180" i="2"/>
  <c r="D1602" i="2"/>
  <c r="K1507" i="2"/>
  <c r="T664" i="2"/>
  <c r="R1368" i="2"/>
  <c r="P1078" i="2"/>
  <c r="E1275" i="2"/>
  <c r="C1234" i="2"/>
  <c r="G1507" i="2"/>
  <c r="R1825" i="2"/>
  <c r="Q1234" i="2"/>
  <c r="G769" i="2"/>
  <c r="C1275" i="2"/>
  <c r="S674" i="2"/>
  <c r="N769" i="2"/>
  <c r="P766" i="2"/>
  <c r="P1825" i="2"/>
  <c r="O1275" i="2"/>
  <c r="T180" i="2"/>
  <c r="Q766" i="2"/>
  <c r="H692" i="2"/>
  <c r="N1078" i="2"/>
  <c r="O180" i="2"/>
  <c r="F1368" i="2"/>
  <c r="T2169" i="2"/>
  <c r="Q769" i="2"/>
  <c r="O692" i="2"/>
  <c r="Q1825" i="2"/>
  <c r="Q1774" i="2"/>
  <c r="K1825" i="2"/>
  <c r="N1825" i="2"/>
  <c r="C674" i="2"/>
  <c r="A766" i="2"/>
  <c r="J1466" i="2"/>
  <c r="E2169" i="2"/>
  <c r="E664" i="2"/>
  <c r="K1078" i="2"/>
  <c r="H1234" i="2"/>
  <c r="M674" i="2"/>
  <c r="S2040" i="2"/>
  <c r="A180" i="2"/>
  <c r="S1576" i="2"/>
  <c r="G1275" i="2"/>
  <c r="S766" i="2"/>
  <c r="H1576" i="2"/>
  <c r="A1825" i="2"/>
  <c r="P805" i="2"/>
  <c r="C769" i="2"/>
  <c r="H1275" i="2"/>
  <c r="G708" i="2"/>
  <c r="P1576" i="2"/>
  <c r="O1825" i="2"/>
  <c r="E1825" i="2"/>
  <c r="M1275" i="2"/>
  <c r="J769" i="2"/>
  <c r="O1466" i="2"/>
  <c r="S1825" i="2"/>
  <c r="F1078" i="2"/>
  <c r="E2040" i="2"/>
  <c r="S2169" i="2"/>
  <c r="P2040" i="2"/>
  <c r="O2040" i="2"/>
  <c r="K1275" i="2"/>
  <c r="F1602" i="2"/>
  <c r="T766" i="2"/>
  <c r="P692" i="2"/>
  <c r="O674" i="2"/>
  <c r="R664" i="2"/>
  <c r="M2169" i="2"/>
  <c r="G1576" i="2"/>
  <c r="R2040" i="2"/>
  <c r="S1602" i="2"/>
  <c r="Q2040" i="2"/>
  <c r="H708" i="2"/>
  <c r="T1234" i="2"/>
  <c r="R766" i="2"/>
  <c r="F1825" i="2"/>
  <c r="N1234" i="2"/>
  <c r="C1078" i="2"/>
  <c r="E1368" i="2"/>
  <c r="G674" i="2"/>
  <c r="P1507" i="2"/>
  <c r="K1466" i="2"/>
  <c r="S1507" i="2"/>
  <c r="O664" i="2"/>
  <c r="Q1368" i="2"/>
  <c r="M1368" i="2"/>
  <c r="O708" i="2"/>
  <c r="R1507" i="2"/>
  <c r="M769" i="2"/>
  <c r="N766" i="2"/>
  <c r="J2040" i="2"/>
  <c r="F180" i="2"/>
  <c r="O1234" i="2"/>
  <c r="J1234" i="2"/>
  <c r="H1602" i="2"/>
  <c r="C1507" i="2"/>
  <c r="F708" i="2"/>
  <c r="T1825" i="2"/>
  <c r="J1825" i="2"/>
  <c r="P180" i="2"/>
  <c r="O1774" i="2"/>
  <c r="T1368" i="2"/>
  <c r="K674" i="2"/>
  <c r="J664" i="2"/>
  <c r="C1825" i="2"/>
  <c r="O1602" i="2"/>
  <c r="P1234" i="2"/>
  <c r="Q805" i="2"/>
  <c r="P1602" i="2"/>
  <c r="H805" i="2"/>
  <c r="N2169" i="2"/>
  <c r="C1466" i="2"/>
  <c r="F1576" i="2"/>
  <c r="R1078" i="2"/>
  <c r="T2040" i="2"/>
  <c r="J1507" i="2"/>
  <c r="A1368" i="2"/>
  <c r="R1234" i="2"/>
  <c r="J1774" i="2"/>
  <c r="E769" i="2"/>
  <c r="H1368" i="2"/>
  <c r="K1368" i="2"/>
  <c r="D766" i="2"/>
  <c r="K2169" i="2"/>
  <c r="D2169" i="2"/>
  <c r="T1078" i="2"/>
  <c r="P1774" i="2"/>
  <c r="A2169" i="2"/>
  <c r="A674" i="2"/>
  <c r="N1774" i="2"/>
  <c r="F1275" i="2"/>
  <c r="H2040" i="2"/>
  <c r="K1602" i="2"/>
  <c r="C692" i="2"/>
  <c r="D692" i="2"/>
  <c r="P1466" i="2"/>
  <c r="A664" i="2"/>
  <c r="Q180" i="2"/>
  <c r="S180" i="2"/>
  <c r="E674" i="2"/>
  <c r="N708" i="2"/>
  <c r="A1507" i="2"/>
  <c r="R674" i="2"/>
  <c r="F2169" i="2"/>
  <c r="M1078" i="2"/>
  <c r="D1774" i="2"/>
  <c r="F1774" i="2"/>
  <c r="G180" i="2"/>
  <c r="N180" i="2"/>
  <c r="P674" i="2"/>
  <c r="Q1576" i="2"/>
  <c r="S664" i="2"/>
  <c r="F769" i="2"/>
  <c r="O769" i="2"/>
  <c r="T1576" i="2"/>
  <c r="H769" i="2"/>
  <c r="Q1275" i="2"/>
  <c r="K692" i="2"/>
  <c r="S1275" i="2"/>
  <c r="T1275" i="2"/>
  <c r="K2040" i="2"/>
  <c r="T1507" i="2"/>
  <c r="E180" i="2"/>
  <c r="S805" i="2"/>
  <c r="R769" i="2"/>
  <c r="J692" i="2"/>
  <c r="T1774" i="2"/>
  <c r="Q1602" i="2"/>
  <c r="P708" i="2"/>
  <c r="A1466" i="2"/>
  <c r="D664" i="2"/>
  <c r="C2040" i="2"/>
  <c r="D805" i="2"/>
  <c r="H1507" i="2"/>
  <c r="D1576" i="2"/>
  <c r="R1466" i="2"/>
  <c r="P2169" i="2"/>
  <c r="F664" i="2"/>
  <c r="P1275" i="2"/>
  <c r="T708" i="2"/>
  <c r="G1078" i="2"/>
  <c r="O766" i="2"/>
  <c r="G692" i="2"/>
  <c r="C805" i="2"/>
  <c r="G664" i="2"/>
  <c r="A1774" i="2"/>
  <c r="M1825" i="2"/>
  <c r="Q2169" i="2"/>
  <c r="H674" i="2"/>
  <c r="S692" i="2"/>
  <c r="M1576" i="2"/>
  <c r="D1368" i="2"/>
  <c r="K708" i="2"/>
  <c r="G1234" i="2"/>
  <c r="M692" i="2"/>
  <c r="E1466" i="2"/>
  <c r="M664" i="2"/>
  <c r="G766" i="2"/>
  <c r="E708" i="2"/>
  <c r="A1602" i="2"/>
  <c r="C766" i="2"/>
  <c r="K1774" i="2"/>
  <c r="N1466" i="2"/>
  <c r="M1507" i="2"/>
  <c r="D1507" i="2"/>
  <c r="E1576" i="2"/>
  <c r="M1774" i="2"/>
  <c r="J2169" i="2"/>
  <c r="T1466" i="2"/>
  <c r="F1507" i="2"/>
  <c r="K805" i="2"/>
  <c r="M1466" i="2"/>
  <c r="D674" i="2"/>
  <c r="Q692" i="2"/>
  <c r="F674" i="2"/>
  <c r="C708" i="2"/>
  <c r="G1825" i="2"/>
  <c r="J1602" i="2"/>
  <c r="J674" i="2"/>
  <c r="N1507" i="2"/>
  <c r="N2040" i="2"/>
  <c r="N674" i="2"/>
  <c r="J708" i="2"/>
  <c r="A1234" i="2"/>
  <c r="M1602" i="2"/>
  <c r="R1602" i="2"/>
  <c r="O1576" i="2"/>
  <c r="N664" i="2"/>
  <c r="D1466" i="2"/>
  <c r="K769" i="2"/>
  <c r="S1368" i="2"/>
  <c r="H766" i="2"/>
  <c r="S708" i="2"/>
  <c r="G2040" i="2"/>
  <c r="T692" i="2"/>
  <c r="N1576" i="2"/>
  <c r="F766" i="2"/>
  <c r="Q708" i="2"/>
  <c r="F1234" i="2"/>
  <c r="R805" i="2"/>
  <c r="N692" i="2"/>
  <c r="Q1466" i="2"/>
  <c r="F1466" i="2"/>
  <c r="E1602" i="2"/>
  <c r="D708" i="2"/>
  <c r="O1368" i="2"/>
  <c r="T1602" i="2"/>
  <c r="G1774" i="2"/>
  <c r="F805" i="2"/>
  <c r="R180" i="2"/>
  <c r="T805" i="2"/>
  <c r="H664" i="2"/>
  <c r="R1275" i="2"/>
  <c r="C1368" i="2"/>
  <c r="S1078" i="2"/>
  <c r="T769" i="2"/>
  <c r="K766" i="2"/>
  <c r="J805" i="2"/>
  <c r="S1234" i="2"/>
  <c r="O1507" i="2"/>
  <c r="G1368" i="2"/>
  <c r="H1774" i="2"/>
  <c r="T674" i="2"/>
  <c r="K1576" i="2"/>
  <c r="J1078" i="2"/>
  <c r="N1275" i="2"/>
  <c r="D1825" i="2"/>
  <c r="E766" i="2"/>
  <c r="R708" i="2"/>
  <c r="H2169" i="2"/>
  <c r="E805" i="2"/>
  <c r="K664" i="2"/>
  <c r="D2040" i="2"/>
  <c r="H1466" i="2"/>
  <c r="R692" i="2"/>
  <c r="D769" i="2"/>
  <c r="C1602" i="2"/>
  <c r="K180" i="2"/>
  <c r="K671" i="2"/>
  <c r="M1151" i="2"/>
  <c r="H306" i="2"/>
  <c r="E846" i="2"/>
  <c r="T306" i="2"/>
  <c r="G306" i="2"/>
  <c r="O1062" i="2"/>
  <c r="N1167" i="2"/>
  <c r="R2248" i="2"/>
  <c r="G1236" i="2"/>
  <c r="F1151" i="2"/>
  <c r="M1961" i="2"/>
  <c r="Q1912" i="2"/>
  <c r="S1616" i="2"/>
  <c r="P62" i="2"/>
  <c r="M671" i="2"/>
  <c r="Q1062" i="2"/>
  <c r="Q1127" i="2"/>
  <c r="J1110" i="2"/>
  <c r="J1151" i="2"/>
  <c r="T1127" i="2"/>
  <c r="S876" i="2"/>
  <c r="N2248" i="2"/>
  <c r="S1912" i="2"/>
  <c r="Q863" i="2"/>
  <c r="F268" i="2"/>
  <c r="G95" i="2"/>
  <c r="K1110" i="2"/>
  <c r="O306" i="2"/>
  <c r="J306" i="2"/>
  <c r="P1127" i="2"/>
  <c r="G671" i="2"/>
  <c r="S671" i="2"/>
  <c r="C306" i="2"/>
  <c r="R1616" i="2"/>
  <c r="T268" i="2"/>
  <c r="D1151" i="2"/>
  <c r="D268" i="2"/>
  <c r="Q268" i="2"/>
  <c r="D1236" i="2"/>
  <c r="N1151" i="2"/>
  <c r="H1912" i="2"/>
  <c r="D95" i="2"/>
  <c r="T1062" i="2"/>
  <c r="E1110" i="2"/>
  <c r="T1912" i="2"/>
  <c r="N1961" i="2"/>
  <c r="P268" i="2"/>
  <c r="R671" i="2"/>
  <c r="Q306" i="2"/>
  <c r="A95" i="2"/>
  <c r="D1062" i="2"/>
  <c r="A1151" i="2"/>
  <c r="E1127" i="2"/>
  <c r="E62" i="2"/>
  <c r="F671" i="2"/>
  <c r="G268" i="2"/>
  <c r="C1127" i="2"/>
  <c r="M268" i="2"/>
  <c r="K306" i="2"/>
  <c r="Q876" i="2"/>
  <c r="A268" i="2"/>
  <c r="P95" i="2"/>
  <c r="M876" i="2"/>
  <c r="C1616" i="2"/>
  <c r="R1110" i="2"/>
  <c r="F1110" i="2"/>
  <c r="R1151" i="2"/>
  <c r="G863" i="2"/>
  <c r="O95" i="2"/>
  <c r="E306" i="2"/>
  <c r="J95" i="2"/>
  <c r="F1961" i="2"/>
  <c r="P863" i="2"/>
  <c r="J1167" i="2"/>
  <c r="E1616" i="2"/>
  <c r="Q95" i="2"/>
  <c r="S1167" i="2"/>
  <c r="R1236" i="2"/>
  <c r="M2252" i="2"/>
  <c r="K1062" i="2"/>
  <c r="S219" i="2"/>
  <c r="R1167" i="2"/>
  <c r="C95" i="2"/>
  <c r="H1062" i="2"/>
  <c r="S2248" i="2"/>
  <c r="H1961" i="2"/>
  <c r="S863" i="2"/>
  <c r="S306" i="2"/>
  <c r="J1961" i="2"/>
  <c r="K2252" i="2"/>
  <c r="N306" i="2"/>
  <c r="S1127" i="2"/>
  <c r="N1062" i="2"/>
  <c r="K1912" i="2"/>
  <c r="Q1167" i="2"/>
  <c r="M1110" i="2"/>
  <c r="R876" i="2"/>
  <c r="A1236" i="2"/>
  <c r="E1151" i="2"/>
  <c r="N846" i="2"/>
  <c r="T95" i="2"/>
  <c r="G1167" i="2"/>
  <c r="N1236" i="2"/>
  <c r="H2248" i="2"/>
  <c r="A1110" i="2"/>
  <c r="N876" i="2"/>
  <c r="O2248" i="2"/>
  <c r="Q2252" i="2"/>
  <c r="P1110" i="2"/>
  <c r="K62" i="2"/>
  <c r="J876" i="2"/>
  <c r="N2252" i="2"/>
  <c r="A219" i="2"/>
  <c r="A1616" i="2"/>
  <c r="A2252" i="2"/>
  <c r="C2252" i="2"/>
  <c r="Q62" i="2"/>
  <c r="J1616" i="2"/>
  <c r="C219" i="2"/>
  <c r="O846" i="2"/>
  <c r="Q1110" i="2"/>
  <c r="G1110" i="2"/>
  <c r="O876" i="2"/>
  <c r="D1961" i="2"/>
  <c r="D2252" i="2"/>
  <c r="H1110" i="2"/>
  <c r="O62" i="2"/>
  <c r="K1167" i="2"/>
  <c r="Q1961" i="2"/>
  <c r="O1616" i="2"/>
  <c r="M1167" i="2"/>
  <c r="C1151" i="2"/>
  <c r="N1616" i="2"/>
  <c r="K268" i="2"/>
  <c r="Q1151" i="2"/>
  <c r="P846" i="2"/>
  <c r="J671" i="2"/>
  <c r="N219" i="2"/>
  <c r="R95" i="2"/>
  <c r="S95" i="2"/>
  <c r="R306" i="2"/>
  <c r="A1062" i="2"/>
  <c r="R1127" i="2"/>
  <c r="P1236" i="2"/>
  <c r="T2252" i="2"/>
  <c r="H1127" i="2"/>
  <c r="R1062" i="2"/>
  <c r="G1127" i="2"/>
  <c r="R268" i="2"/>
  <c r="C62" i="2"/>
  <c r="D219" i="2"/>
  <c r="M219" i="2"/>
  <c r="D863" i="2"/>
  <c r="F1167" i="2"/>
  <c r="E2252" i="2"/>
  <c r="N671" i="2"/>
  <c r="J1062" i="2"/>
  <c r="G62" i="2"/>
  <c r="O1961" i="2"/>
  <c r="G2248" i="2"/>
  <c r="G1912" i="2"/>
  <c r="T1151" i="2"/>
  <c r="C1062" i="2"/>
  <c r="T1616" i="2"/>
  <c r="C1167" i="2"/>
  <c r="K1236" i="2"/>
  <c r="H876" i="2"/>
  <c r="H846" i="2"/>
  <c r="E1167" i="2"/>
  <c r="J1127" i="2"/>
  <c r="C671" i="2"/>
  <c r="G219" i="2"/>
  <c r="R219" i="2"/>
  <c r="N62" i="2"/>
  <c r="F1062" i="2"/>
  <c r="J219" i="2"/>
  <c r="Q219" i="2"/>
  <c r="A1167" i="2"/>
  <c r="G876" i="2"/>
  <c r="Q1616" i="2"/>
  <c r="R1961" i="2"/>
  <c r="Q846" i="2"/>
  <c r="H1151" i="2"/>
  <c r="K219" i="2"/>
  <c r="A671" i="2"/>
  <c r="D62" i="2"/>
  <c r="S1236" i="2"/>
  <c r="M306" i="2"/>
  <c r="E1912" i="2"/>
  <c r="M863" i="2"/>
  <c r="E671" i="2"/>
  <c r="J2252" i="2"/>
  <c r="G846" i="2"/>
  <c r="K876" i="2"/>
  <c r="N1912" i="2"/>
  <c r="J863" i="2"/>
  <c r="O2252" i="2"/>
  <c r="F2252" i="2"/>
  <c r="H671" i="2"/>
  <c r="F1127" i="2"/>
  <c r="C268" i="2"/>
  <c r="R2252" i="2"/>
  <c r="P1616" i="2"/>
  <c r="Q1236" i="2"/>
  <c r="S1961" i="2"/>
  <c r="J62" i="2"/>
  <c r="F62" i="2"/>
  <c r="P1912" i="2"/>
  <c r="D2248" i="2"/>
  <c r="N863" i="2"/>
  <c r="T1961" i="2"/>
  <c r="D1616" i="2"/>
  <c r="D846" i="2"/>
  <c r="R1912" i="2"/>
  <c r="O268" i="2"/>
  <c r="K1961" i="2"/>
  <c r="F2248" i="2"/>
  <c r="O1110" i="2"/>
  <c r="C1912" i="2"/>
  <c r="G2252" i="2"/>
  <c r="Q671" i="2"/>
  <c r="F219" i="2"/>
  <c r="T1236" i="2"/>
  <c r="F1616" i="2"/>
  <c r="H1616" i="2"/>
  <c r="S846" i="2"/>
  <c r="C863" i="2"/>
  <c r="D1110" i="2"/>
  <c r="J1236" i="2"/>
  <c r="M1236" i="2"/>
  <c r="M62" i="2"/>
  <c r="P1961" i="2"/>
  <c r="T846" i="2"/>
  <c r="A846" i="2"/>
  <c r="M1616" i="2"/>
  <c r="K95" i="2"/>
  <c r="F863" i="2"/>
  <c r="A876" i="2"/>
  <c r="H268" i="2"/>
  <c r="G1151" i="2"/>
  <c r="M95" i="2"/>
  <c r="A2248" i="2"/>
  <c r="D876" i="2"/>
  <c r="P2248" i="2"/>
  <c r="E219" i="2"/>
  <c r="T219" i="2"/>
  <c r="A306" i="2"/>
  <c r="T2248" i="2"/>
  <c r="E268" i="2"/>
  <c r="T1110" i="2"/>
  <c r="H219" i="2"/>
  <c r="F846" i="2"/>
  <c r="P1167" i="2"/>
  <c r="H1236" i="2"/>
  <c r="F876" i="2"/>
  <c r="P671" i="2"/>
  <c r="F95" i="2"/>
  <c r="E863" i="2"/>
  <c r="F1912" i="2"/>
  <c r="F1236" i="2"/>
  <c r="G1062" i="2"/>
  <c r="R846" i="2"/>
  <c r="S1062" i="2"/>
  <c r="H2252" i="2"/>
  <c r="N268" i="2"/>
  <c r="O1912" i="2"/>
  <c r="A1912" i="2"/>
  <c r="N95" i="2"/>
  <c r="E2248" i="2"/>
  <c r="C2248" i="2"/>
  <c r="H1167" i="2"/>
  <c r="O863" i="2"/>
  <c r="E1062" i="2"/>
  <c r="K2248" i="2"/>
  <c r="M2248" i="2"/>
  <c r="C876" i="2"/>
  <c r="O671" i="2"/>
  <c r="H863" i="2"/>
  <c r="P1151" i="2"/>
  <c r="T62" i="2"/>
  <c r="S2252" i="2"/>
  <c r="S62" i="2"/>
  <c r="E1236" i="2"/>
  <c r="N1127" i="2"/>
  <c r="A1127" i="2"/>
  <c r="N1110" i="2"/>
  <c r="A1961" i="2"/>
  <c r="D1167" i="2"/>
  <c r="P219" i="2"/>
  <c r="J846" i="2"/>
  <c r="P1062" i="2"/>
  <c r="C1110" i="2"/>
  <c r="C1961" i="2"/>
  <c r="E1961" i="2"/>
  <c r="A62" i="2"/>
  <c r="S1151" i="2"/>
  <c r="K1616" i="2"/>
  <c r="D1127" i="2"/>
  <c r="O1151" i="2"/>
  <c r="R863" i="2"/>
  <c r="T863" i="2"/>
  <c r="P876" i="2"/>
  <c r="H62" i="2"/>
  <c r="C1236" i="2"/>
  <c r="K1127" i="2"/>
  <c r="M1912" i="2"/>
  <c r="E95" i="2"/>
  <c r="P306" i="2"/>
  <c r="S268" i="2"/>
  <c r="T876" i="2"/>
  <c r="Q2248" i="2"/>
  <c r="T671" i="2"/>
  <c r="D306" i="2"/>
  <c r="K846" i="2"/>
  <c r="O1167" i="2"/>
  <c r="A863" i="2"/>
  <c r="M1127" i="2"/>
  <c r="J1912" i="2"/>
  <c r="J268" i="2"/>
  <c r="D1912" i="2"/>
  <c r="K1151" i="2"/>
  <c r="G1616" i="2"/>
  <c r="D671" i="2"/>
  <c r="R62" i="2"/>
  <c r="O1127" i="2"/>
  <c r="K863" i="2"/>
  <c r="O219" i="2"/>
  <c r="J2248" i="2"/>
  <c r="E876" i="2"/>
  <c r="O1236" i="2"/>
  <c r="F306" i="2"/>
  <c r="H95" i="2"/>
  <c r="T1167" i="2"/>
  <c r="M846" i="2"/>
  <c r="P2252" i="2"/>
  <c r="G1961" i="2"/>
  <c r="S1110" i="2"/>
  <c r="M1062" i="2"/>
  <c r="C846" i="2"/>
  <c r="S1922" i="2"/>
  <c r="Q1077" i="2"/>
  <c r="P1922" i="2"/>
  <c r="K19" i="2"/>
  <c r="A19" i="2"/>
  <c r="Q1866" i="2"/>
  <c r="S1464" i="2"/>
  <c r="G135" i="2"/>
  <c r="M1678" i="2"/>
  <c r="C191" i="2"/>
  <c r="D1866" i="2"/>
  <c r="J1922" i="2"/>
  <c r="C1077" i="2"/>
  <c r="M83" i="2"/>
  <c r="E1678" i="2"/>
  <c r="G1866" i="2"/>
  <c r="N83" i="2"/>
  <c r="K191" i="2"/>
  <c r="P1866" i="2"/>
  <c r="C83" i="2"/>
  <c r="E1866" i="2"/>
  <c r="F19" i="2"/>
  <c r="M1077" i="2"/>
  <c r="P1464" i="2"/>
  <c r="A83" i="2"/>
  <c r="R1922" i="2"/>
  <c r="P83" i="2"/>
  <c r="P1678" i="2"/>
  <c r="D1678" i="2"/>
  <c r="H1077" i="2"/>
  <c r="R1077" i="2"/>
  <c r="P191" i="2"/>
  <c r="T1077" i="2"/>
  <c r="D135" i="2"/>
  <c r="S135" i="2"/>
  <c r="T1678" i="2"/>
  <c r="K135" i="2"/>
  <c r="T135" i="2"/>
  <c r="R19" i="2"/>
  <c r="N1866" i="2"/>
  <c r="A191" i="2"/>
  <c r="T191" i="2"/>
  <c r="S1678" i="2"/>
  <c r="J191" i="2"/>
  <c r="E83" i="2"/>
  <c r="H1464" i="2"/>
  <c r="Q1678" i="2"/>
  <c r="O1464" i="2"/>
  <c r="E1464" i="2"/>
  <c r="Q103" i="2"/>
  <c r="N1464" i="2"/>
  <c r="G191" i="2"/>
  <c r="M191" i="2"/>
  <c r="Q135" i="2"/>
  <c r="F1464" i="2"/>
  <c r="D103" i="2"/>
  <c r="O135" i="2"/>
  <c r="D1077" i="2"/>
  <c r="K1077" i="2"/>
  <c r="J1077" i="2"/>
  <c r="S1866" i="2"/>
  <c r="P1077" i="2"/>
  <c r="J103" i="2"/>
  <c r="Q19" i="2"/>
  <c r="M103" i="2"/>
  <c r="C1866" i="2"/>
  <c r="P103" i="2"/>
  <c r="H19" i="2"/>
  <c r="J19" i="2"/>
  <c r="M1866" i="2"/>
  <c r="R1464" i="2"/>
  <c r="A1464" i="2"/>
  <c r="O103" i="2"/>
  <c r="F103" i="2"/>
  <c r="H83" i="2"/>
  <c r="D83" i="2"/>
  <c r="O1077" i="2"/>
  <c r="G1077" i="2"/>
  <c r="G83" i="2"/>
  <c r="G19" i="2"/>
  <c r="C135" i="2"/>
  <c r="G1922" i="2"/>
  <c r="C19" i="2"/>
  <c r="A1077" i="2"/>
  <c r="Q83" i="2"/>
  <c r="S1077" i="2"/>
  <c r="M1922" i="2"/>
  <c r="E135" i="2"/>
  <c r="C103" i="2"/>
  <c r="K1678" i="2"/>
  <c r="F191" i="2"/>
  <c r="P19" i="2"/>
  <c r="O1678" i="2"/>
  <c r="K1922" i="2"/>
  <c r="A1922" i="2"/>
  <c r="E19" i="2"/>
  <c r="E103" i="2"/>
  <c r="N135" i="2"/>
  <c r="J1678" i="2"/>
  <c r="D1922" i="2"/>
  <c r="S191" i="2"/>
  <c r="J1866" i="2"/>
  <c r="K1866" i="2"/>
  <c r="A103" i="2"/>
  <c r="N103" i="2"/>
  <c r="F1866" i="2"/>
  <c r="H1866" i="2"/>
  <c r="F1922" i="2"/>
  <c r="M135" i="2"/>
  <c r="O19" i="2"/>
  <c r="R1866" i="2"/>
  <c r="G1464" i="2"/>
  <c r="D191" i="2"/>
  <c r="N1077" i="2"/>
  <c r="O191" i="2"/>
  <c r="A1866" i="2"/>
  <c r="T19" i="2"/>
  <c r="M19" i="2"/>
  <c r="K103" i="2"/>
  <c r="N1922" i="2"/>
  <c r="H191" i="2"/>
  <c r="H135" i="2"/>
  <c r="O83" i="2"/>
  <c r="C1922" i="2"/>
  <c r="T103" i="2"/>
  <c r="N1678" i="2"/>
  <c r="T1866" i="2"/>
  <c r="R191" i="2"/>
  <c r="O1922" i="2"/>
  <c r="S103" i="2"/>
  <c r="N19" i="2"/>
  <c r="F1678" i="2"/>
  <c r="D1464" i="2"/>
  <c r="A135" i="2"/>
  <c r="R135" i="2"/>
  <c r="C1464" i="2"/>
  <c r="Q191" i="2"/>
  <c r="F1077" i="2"/>
  <c r="T1464" i="2"/>
  <c r="R1678" i="2"/>
  <c r="F83" i="2"/>
  <c r="Q1464" i="2"/>
  <c r="H1678" i="2"/>
  <c r="Q1922" i="2"/>
  <c r="H103" i="2"/>
  <c r="K83" i="2"/>
  <c r="A1678" i="2"/>
  <c r="S83" i="2"/>
  <c r="T83" i="2"/>
  <c r="S19" i="2"/>
  <c r="C1678" i="2"/>
  <c r="F135" i="2"/>
  <c r="K1464" i="2"/>
  <c r="T1922" i="2"/>
  <c r="M1464" i="2"/>
  <c r="P135" i="2"/>
  <c r="J83" i="2"/>
  <c r="N191" i="2"/>
  <c r="E1922" i="2"/>
  <c r="G103" i="2"/>
  <c r="R83" i="2"/>
  <c r="E1077" i="2"/>
  <c r="H1922" i="2"/>
  <c r="D19" i="2"/>
  <c r="E191" i="2"/>
  <c r="J1464" i="2"/>
  <c r="G1678" i="2"/>
  <c r="O1866" i="2"/>
  <c r="R103" i="2"/>
  <c r="J135" i="2"/>
  <c r="P1224" i="2"/>
  <c r="C1075" i="2"/>
  <c r="C317" i="2"/>
  <c r="J317" i="2"/>
  <c r="G362" i="2"/>
  <c r="G1883" i="2"/>
  <c r="Q362" i="2"/>
  <c r="C362" i="2"/>
  <c r="E1075" i="2"/>
  <c r="R1883" i="2"/>
  <c r="S275" i="2"/>
  <c r="K1354" i="2"/>
  <c r="Q2124" i="2"/>
  <c r="S1508" i="2"/>
  <c r="M1354" i="2"/>
  <c r="T1354" i="2"/>
  <c r="E362" i="2"/>
  <c r="O1075" i="2"/>
  <c r="P973" i="2"/>
  <c r="T973" i="2"/>
  <c r="M362" i="2"/>
  <c r="N1883" i="2"/>
  <c r="D275" i="2"/>
  <c r="D1224" i="2"/>
  <c r="H1508" i="2"/>
  <c r="D1075" i="2"/>
  <c r="H1224" i="2"/>
  <c r="T1508" i="2"/>
  <c r="G1224" i="2"/>
  <c r="S317" i="2"/>
  <c r="H2124" i="2"/>
  <c r="P1508" i="2"/>
  <c r="P1075" i="2"/>
  <c r="A1883" i="2"/>
  <c r="S973" i="2"/>
  <c r="R2124" i="2"/>
  <c r="C973" i="2"/>
  <c r="A275" i="2"/>
  <c r="G1354" i="2"/>
  <c r="M1075" i="2"/>
  <c r="G275" i="2"/>
  <c r="Q1354" i="2"/>
  <c r="J973" i="2"/>
  <c r="F1075" i="2"/>
  <c r="C1354" i="2"/>
  <c r="P275" i="2"/>
  <c r="P1883" i="2"/>
  <c r="Q275" i="2"/>
  <c r="R1508" i="2"/>
  <c r="A2124" i="2"/>
  <c r="K317" i="2"/>
  <c r="E1224" i="2"/>
  <c r="H317" i="2"/>
  <c r="F973" i="2"/>
  <c r="R317" i="2"/>
  <c r="N1075" i="2"/>
  <c r="S1224" i="2"/>
  <c r="S2124" i="2"/>
  <c r="Q1075" i="2"/>
  <c r="E1883" i="2"/>
  <c r="Q317" i="2"/>
  <c r="N317" i="2"/>
  <c r="N275" i="2"/>
  <c r="H362" i="2"/>
  <c r="E2124" i="2"/>
  <c r="K275" i="2"/>
  <c r="A973" i="2"/>
  <c r="R973" i="2"/>
  <c r="F275" i="2"/>
  <c r="K1508" i="2"/>
  <c r="N973" i="2"/>
  <c r="J275" i="2"/>
  <c r="C1224" i="2"/>
  <c r="J1354" i="2"/>
  <c r="A1354" i="2"/>
  <c r="T1224" i="2"/>
  <c r="K1224" i="2"/>
  <c r="E1508" i="2"/>
  <c r="R1354" i="2"/>
  <c r="T1883" i="2"/>
  <c r="E317" i="2"/>
  <c r="R1224" i="2"/>
  <c r="A317" i="2"/>
  <c r="M1883" i="2"/>
  <c r="T317" i="2"/>
  <c r="G2124" i="2"/>
  <c r="N1508" i="2"/>
  <c r="O317" i="2"/>
  <c r="J362" i="2"/>
  <c r="E275" i="2"/>
  <c r="H1883" i="2"/>
  <c r="R275" i="2"/>
  <c r="A1508" i="2"/>
  <c r="H1075" i="2"/>
  <c r="G317" i="2"/>
  <c r="H973" i="2"/>
  <c r="N2124" i="2"/>
  <c r="D973" i="2"/>
  <c r="D317" i="2"/>
  <c r="E973" i="2"/>
  <c r="O1508" i="2"/>
  <c r="A1224" i="2"/>
  <c r="K362" i="2"/>
  <c r="S362" i="2"/>
  <c r="D1883" i="2"/>
  <c r="D362" i="2"/>
  <c r="Q973" i="2"/>
  <c r="D1354" i="2"/>
  <c r="C1508" i="2"/>
  <c r="N362" i="2"/>
  <c r="H275" i="2"/>
  <c r="O1224" i="2"/>
  <c r="N1354" i="2"/>
  <c r="R362" i="2"/>
  <c r="D1508" i="2"/>
  <c r="C1883" i="2"/>
  <c r="S1075" i="2"/>
  <c r="H1354" i="2"/>
  <c r="O2124" i="2"/>
  <c r="T2124" i="2"/>
  <c r="M2124" i="2"/>
  <c r="F1508" i="2"/>
  <c r="Q1224" i="2"/>
  <c r="J1883" i="2"/>
  <c r="O1354" i="2"/>
  <c r="J1224" i="2"/>
  <c r="P317" i="2"/>
  <c r="T362" i="2"/>
  <c r="F362" i="2"/>
  <c r="G1508" i="2"/>
  <c r="M317" i="2"/>
  <c r="M1224" i="2"/>
  <c r="J1075" i="2"/>
  <c r="D2124" i="2"/>
  <c r="G1075" i="2"/>
  <c r="P2124" i="2"/>
  <c r="E1354" i="2"/>
  <c r="K2124" i="2"/>
  <c r="T275" i="2"/>
  <c r="J2124" i="2"/>
  <c r="C2124" i="2"/>
  <c r="O1883" i="2"/>
  <c r="J1508" i="2"/>
  <c r="O973" i="2"/>
  <c r="F1354" i="2"/>
  <c r="S1354" i="2"/>
  <c r="T1075" i="2"/>
  <c r="A1075" i="2"/>
  <c r="N1224" i="2"/>
  <c r="K973" i="2"/>
  <c r="K1075" i="2"/>
  <c r="Q1883" i="2"/>
  <c r="O275" i="2"/>
  <c r="G973" i="2"/>
  <c r="C275" i="2"/>
  <c r="O362" i="2"/>
  <c r="M1508" i="2"/>
  <c r="K1883" i="2"/>
  <c r="F1883" i="2"/>
  <c r="A362" i="2"/>
  <c r="M275" i="2"/>
  <c r="P362" i="2"/>
  <c r="M973" i="2"/>
  <c r="F1224" i="2"/>
  <c r="R1075" i="2"/>
  <c r="P1354" i="2"/>
  <c r="S1883" i="2"/>
  <c r="F2124" i="2"/>
  <c r="Q1508" i="2"/>
  <c r="F317" i="2"/>
  <c r="C1202" i="2"/>
  <c r="F1615" i="2"/>
  <c r="S2126" i="2"/>
  <c r="G1202" i="2"/>
  <c r="T694" i="2"/>
  <c r="T1663" i="2"/>
  <c r="P1663" i="2"/>
  <c r="S1451" i="2"/>
  <c r="G883" i="2"/>
  <c r="R1356" i="2"/>
  <c r="C542" i="2"/>
  <c r="Q2126" i="2"/>
  <c r="Q883" i="2"/>
  <c r="N1101" i="2"/>
  <c r="C883" i="2"/>
  <c r="H542" i="2"/>
  <c r="C1615" i="2"/>
  <c r="K1615" i="2"/>
  <c r="N1202" i="2"/>
  <c r="R2126" i="2"/>
  <c r="C2126" i="2"/>
  <c r="A883" i="2"/>
  <c r="C1101" i="2"/>
  <c r="N1615" i="2"/>
  <c r="A1356" i="2"/>
  <c r="H1356" i="2"/>
  <c r="D1663" i="2"/>
  <c r="J1615" i="2"/>
  <c r="J2126" i="2"/>
  <c r="A542" i="2"/>
  <c r="R883" i="2"/>
  <c r="G1101" i="2"/>
  <c r="T1202" i="2"/>
  <c r="H1101" i="2"/>
  <c r="E1202" i="2"/>
  <c r="K694" i="2"/>
  <c r="H1202" i="2"/>
  <c r="D883" i="2"/>
  <c r="J694" i="2"/>
  <c r="Q1451" i="2"/>
  <c r="O694" i="2"/>
  <c r="S1202" i="2"/>
  <c r="O1451" i="2"/>
  <c r="G1451" i="2"/>
  <c r="T1451" i="2"/>
  <c r="O883" i="2"/>
  <c r="M694" i="2"/>
  <c r="F2126" i="2"/>
  <c r="J883" i="2"/>
  <c r="O1615" i="2"/>
  <c r="G1356" i="2"/>
  <c r="O1663" i="2"/>
  <c r="T1615" i="2"/>
  <c r="Q1101" i="2"/>
  <c r="G1663" i="2"/>
  <c r="Q1615" i="2"/>
  <c r="D1101" i="2"/>
  <c r="S1615" i="2"/>
  <c r="E694" i="2"/>
  <c r="Q542" i="2"/>
  <c r="P542" i="2"/>
  <c r="G542" i="2"/>
  <c r="R1615" i="2"/>
  <c r="R1451" i="2"/>
  <c r="P694" i="2"/>
  <c r="Q1202" i="2"/>
  <c r="K1663" i="2"/>
  <c r="F1451" i="2"/>
  <c r="S1663" i="2"/>
  <c r="P1356" i="2"/>
  <c r="H2126" i="2"/>
  <c r="K1451" i="2"/>
  <c r="R694" i="2"/>
  <c r="M1451" i="2"/>
  <c r="G694" i="2"/>
  <c r="T542" i="2"/>
  <c r="M1663" i="2"/>
  <c r="O1101" i="2"/>
  <c r="H883" i="2"/>
  <c r="D2126" i="2"/>
  <c r="S1356" i="2"/>
  <c r="N694" i="2"/>
  <c r="F1202" i="2"/>
  <c r="P1615" i="2"/>
  <c r="A2126" i="2"/>
  <c r="J542" i="2"/>
  <c r="P1101" i="2"/>
  <c r="A694" i="2"/>
  <c r="D694" i="2"/>
  <c r="D1356" i="2"/>
  <c r="M2126" i="2"/>
  <c r="P883" i="2"/>
  <c r="J1356" i="2"/>
  <c r="N1663" i="2"/>
  <c r="F1663" i="2"/>
  <c r="T1101" i="2"/>
  <c r="E1663" i="2"/>
  <c r="N542" i="2"/>
  <c r="O2126" i="2"/>
  <c r="C1663" i="2"/>
  <c r="K1202" i="2"/>
  <c r="O542" i="2"/>
  <c r="F883" i="2"/>
  <c r="Q1663" i="2"/>
  <c r="R1202" i="2"/>
  <c r="J1101" i="2"/>
  <c r="A1101" i="2"/>
  <c r="R1101" i="2"/>
  <c r="F1101" i="2"/>
  <c r="A1451" i="2"/>
  <c r="T2126" i="2"/>
  <c r="A1663" i="2"/>
  <c r="K1356" i="2"/>
  <c r="N1356" i="2"/>
  <c r="H1615" i="2"/>
  <c r="E1615" i="2"/>
  <c r="F1356" i="2"/>
  <c r="E2126" i="2"/>
  <c r="S883" i="2"/>
  <c r="M1356" i="2"/>
  <c r="J1202" i="2"/>
  <c r="N2126" i="2"/>
  <c r="T883" i="2"/>
  <c r="H1451" i="2"/>
  <c r="G2126" i="2"/>
  <c r="C694" i="2"/>
  <c r="J1451" i="2"/>
  <c r="D1615" i="2"/>
  <c r="E1451" i="2"/>
  <c r="P1202" i="2"/>
  <c r="S542" i="2"/>
  <c r="Q1356" i="2"/>
  <c r="M1101" i="2"/>
  <c r="J1663" i="2"/>
  <c r="D1451" i="2"/>
  <c r="E542" i="2"/>
  <c r="E883" i="2"/>
  <c r="O1202" i="2"/>
  <c r="A1615" i="2"/>
  <c r="T1356" i="2"/>
  <c r="C1451" i="2"/>
  <c r="P2126" i="2"/>
  <c r="M883" i="2"/>
  <c r="R542" i="2"/>
  <c r="F694" i="2"/>
  <c r="N1451" i="2"/>
  <c r="G1615" i="2"/>
  <c r="F542" i="2"/>
  <c r="S694" i="2"/>
  <c r="C1356" i="2"/>
  <c r="M542" i="2"/>
  <c r="D542" i="2"/>
  <c r="M1202" i="2"/>
  <c r="A1202" i="2"/>
  <c r="N883" i="2"/>
  <c r="O1356" i="2"/>
  <c r="E1101" i="2"/>
  <c r="R1663" i="2"/>
  <c r="K1101" i="2"/>
  <c r="H694" i="2"/>
  <c r="P1451" i="2"/>
  <c r="K2126" i="2"/>
  <c r="D1202" i="2"/>
  <c r="Q694" i="2"/>
  <c r="K542" i="2"/>
  <c r="H1663" i="2"/>
  <c r="E1356" i="2"/>
  <c r="K883" i="2"/>
  <c r="M1615" i="2"/>
  <c r="S1101" i="2"/>
  <c r="M266" i="2"/>
  <c r="F266" i="2"/>
  <c r="Q470" i="2"/>
  <c r="T1396" i="2"/>
  <c r="Q894" i="2"/>
  <c r="O470" i="2"/>
  <c r="P1968" i="2"/>
  <c r="P1950" i="2"/>
  <c r="T992" i="2"/>
  <c r="C1968" i="2"/>
  <c r="J894" i="2"/>
  <c r="M1950" i="2"/>
  <c r="T266" i="2"/>
  <c r="K1950" i="2"/>
  <c r="F1396" i="2"/>
  <c r="N1396" i="2"/>
  <c r="A470" i="2"/>
  <c r="E1950" i="2"/>
  <c r="R1950" i="2"/>
  <c r="H1396" i="2"/>
  <c r="S1083" i="2"/>
  <c r="G470" i="2"/>
  <c r="A1968" i="2"/>
  <c r="J470" i="2"/>
  <c r="S1968" i="2"/>
  <c r="J992" i="2"/>
  <c r="R1196" i="2"/>
  <c r="M470" i="2"/>
  <c r="N1950" i="2"/>
  <c r="D1196" i="2"/>
  <c r="O1396" i="2"/>
  <c r="O1083" i="2"/>
  <c r="F1196" i="2"/>
  <c r="D992" i="2"/>
  <c r="S470" i="2"/>
  <c r="G1196" i="2"/>
  <c r="R266" i="2"/>
  <c r="R894" i="2"/>
  <c r="H266" i="2"/>
  <c r="O992" i="2"/>
  <c r="A1083" i="2"/>
  <c r="H470" i="2"/>
  <c r="A894" i="2"/>
  <c r="N470" i="2"/>
  <c r="P894" i="2"/>
  <c r="S1396" i="2"/>
  <c r="D266" i="2"/>
  <c r="E515" i="2"/>
  <c r="K1968" i="2"/>
  <c r="M992" i="2"/>
  <c r="F515" i="2"/>
  <c r="M1196" i="2"/>
  <c r="F1950" i="2"/>
  <c r="P992" i="2"/>
  <c r="J1950" i="2"/>
  <c r="H1083" i="2"/>
  <c r="G992" i="2"/>
  <c r="C992" i="2"/>
  <c r="C515" i="2"/>
  <c r="J1968" i="2"/>
  <c r="J1196" i="2"/>
  <c r="H515" i="2"/>
  <c r="N1083" i="2"/>
  <c r="A1950" i="2"/>
  <c r="P266" i="2"/>
  <c r="H1196" i="2"/>
  <c r="E894" i="2"/>
  <c r="H992" i="2"/>
  <c r="C266" i="2"/>
  <c r="G1950" i="2"/>
  <c r="K1396" i="2"/>
  <c r="T1950" i="2"/>
  <c r="E1083" i="2"/>
  <c r="C894" i="2"/>
  <c r="S266" i="2"/>
  <c r="K1196" i="2"/>
  <c r="R992" i="2"/>
  <c r="Q515" i="2"/>
  <c r="F992" i="2"/>
  <c r="N894" i="2"/>
  <c r="K515" i="2"/>
  <c r="O1968" i="2"/>
  <c r="R515" i="2"/>
  <c r="O894" i="2"/>
  <c r="F894" i="2"/>
  <c r="P1083" i="2"/>
  <c r="C1396" i="2"/>
  <c r="T1083" i="2"/>
  <c r="E1968" i="2"/>
  <c r="O266" i="2"/>
  <c r="P470" i="2"/>
  <c r="H894" i="2"/>
  <c r="T470" i="2"/>
  <c r="Q1396" i="2"/>
  <c r="A1396" i="2"/>
  <c r="S515" i="2"/>
  <c r="G894" i="2"/>
  <c r="P1196" i="2"/>
  <c r="R1083" i="2"/>
  <c r="G1083" i="2"/>
  <c r="C1196" i="2"/>
  <c r="F470" i="2"/>
  <c r="J266" i="2"/>
  <c r="Q1968" i="2"/>
  <c r="D1968" i="2"/>
  <c r="E470" i="2"/>
  <c r="C1083" i="2"/>
  <c r="A515" i="2"/>
  <c r="G266" i="2"/>
  <c r="N1196" i="2"/>
  <c r="D1083" i="2"/>
  <c r="N515" i="2"/>
  <c r="S992" i="2"/>
  <c r="A992" i="2"/>
  <c r="D515" i="2"/>
  <c r="P1396" i="2"/>
  <c r="C470" i="2"/>
  <c r="K470" i="2"/>
  <c r="G515" i="2"/>
  <c r="N266" i="2"/>
  <c r="N1968" i="2"/>
  <c r="M894" i="2"/>
  <c r="T515" i="2"/>
  <c r="O515" i="2"/>
  <c r="M1083" i="2"/>
  <c r="F1968" i="2"/>
  <c r="E992" i="2"/>
  <c r="J1083" i="2"/>
  <c r="T1196" i="2"/>
  <c r="C1950" i="2"/>
  <c r="G1968" i="2"/>
  <c r="D1950" i="2"/>
  <c r="N992" i="2"/>
  <c r="D894" i="2"/>
  <c r="J515" i="2"/>
  <c r="S1950" i="2"/>
  <c r="D1396" i="2"/>
  <c r="A1196" i="2"/>
  <c r="E266" i="2"/>
  <c r="T894" i="2"/>
  <c r="D470" i="2"/>
  <c r="R1968" i="2"/>
  <c r="K894" i="2"/>
  <c r="Q266" i="2"/>
  <c r="P515" i="2"/>
  <c r="K1083" i="2"/>
  <c r="E1196" i="2"/>
  <c r="H1968" i="2"/>
  <c r="T1968" i="2"/>
  <c r="G1396" i="2"/>
  <c r="M1396" i="2"/>
  <c r="O1196" i="2"/>
  <c r="Q1196" i="2"/>
  <c r="R1396" i="2"/>
  <c r="H1950" i="2"/>
  <c r="K992" i="2"/>
  <c r="F1083" i="2"/>
  <c r="E1396" i="2"/>
  <c r="A266" i="2"/>
  <c r="Q1950" i="2"/>
  <c r="O1950" i="2"/>
  <c r="S1196" i="2"/>
  <c r="Q992" i="2"/>
  <c r="J1396" i="2"/>
  <c r="R470" i="2"/>
  <c r="M1968" i="2"/>
  <c r="S894" i="2"/>
  <c r="M515" i="2"/>
  <c r="Q1083" i="2"/>
  <c r="K266" i="2"/>
  <c r="H1048" i="2"/>
  <c r="J1956" i="2"/>
  <c r="G224" i="2"/>
  <c r="G1048" i="2"/>
  <c r="M186" i="2"/>
  <c r="J151" i="2"/>
  <c r="D1434" i="2"/>
  <c r="K151" i="2"/>
  <c r="O1728" i="2"/>
  <c r="Q1434" i="2"/>
  <c r="S1567" i="2"/>
  <c r="S151" i="2"/>
  <c r="A1728" i="2"/>
  <c r="C1605" i="2"/>
  <c r="E1728" i="2"/>
  <c r="G1728" i="2"/>
  <c r="J1434" i="2"/>
  <c r="O224" i="2"/>
  <c r="N1956" i="2"/>
  <c r="K1956" i="2"/>
  <c r="R1567" i="2"/>
  <c r="D151" i="2"/>
  <c r="A1605" i="2"/>
  <c r="E1567" i="2"/>
  <c r="K2030" i="2"/>
  <c r="N224" i="2"/>
  <c r="S1434" i="2"/>
  <c r="C2030" i="2"/>
  <c r="T2030" i="2"/>
  <c r="M1956" i="2"/>
  <c r="O1048" i="2"/>
  <c r="T186" i="2"/>
  <c r="T1728" i="2"/>
  <c r="K224" i="2"/>
  <c r="Q151" i="2"/>
  <c r="H1567" i="2"/>
  <c r="J186" i="2"/>
  <c r="O186" i="2"/>
  <c r="M224" i="2"/>
  <c r="G1567" i="2"/>
  <c r="T1605" i="2"/>
  <c r="G2030" i="2"/>
  <c r="K1048" i="2"/>
  <c r="D1048" i="2"/>
  <c r="G1956" i="2"/>
  <c r="A1048" i="2"/>
  <c r="Q2030" i="2"/>
  <c r="T1048" i="2"/>
  <c r="P1567" i="2"/>
  <c r="E1434" i="2"/>
  <c r="M1048" i="2"/>
  <c r="P1605" i="2"/>
  <c r="F1605" i="2"/>
  <c r="R1434" i="2"/>
  <c r="F1048" i="2"/>
  <c r="E1956" i="2"/>
  <c r="S1728" i="2"/>
  <c r="C1956" i="2"/>
  <c r="R2030" i="2"/>
  <c r="N2030" i="2"/>
  <c r="H1956" i="2"/>
  <c r="H1728" i="2"/>
  <c r="P2030" i="2"/>
  <c r="E2030" i="2"/>
  <c r="C151" i="2"/>
  <c r="C1434" i="2"/>
  <c r="Q1728" i="2"/>
  <c r="P151" i="2"/>
  <c r="D1956" i="2"/>
  <c r="K1728" i="2"/>
  <c r="N186" i="2"/>
  <c r="K1567" i="2"/>
  <c r="N1434" i="2"/>
  <c r="H224" i="2"/>
  <c r="J2030" i="2"/>
  <c r="Q224" i="2"/>
  <c r="N1605" i="2"/>
  <c r="K186" i="2"/>
  <c r="R186" i="2"/>
  <c r="F1956" i="2"/>
  <c r="S186" i="2"/>
  <c r="D1567" i="2"/>
  <c r="A151" i="2"/>
  <c r="E186" i="2"/>
  <c r="P1434" i="2"/>
  <c r="G1434" i="2"/>
  <c r="O1567" i="2"/>
  <c r="P186" i="2"/>
  <c r="O1434" i="2"/>
  <c r="E224" i="2"/>
  <c r="E1048" i="2"/>
  <c r="J1567" i="2"/>
  <c r="A1956" i="2"/>
  <c r="R224" i="2"/>
  <c r="M1567" i="2"/>
  <c r="M1728" i="2"/>
  <c r="O2030" i="2"/>
  <c r="S224" i="2"/>
  <c r="K1605" i="2"/>
  <c r="F224" i="2"/>
  <c r="F186" i="2"/>
  <c r="T1567" i="2"/>
  <c r="G1605" i="2"/>
  <c r="Q1605" i="2"/>
  <c r="O151" i="2"/>
  <c r="K1434" i="2"/>
  <c r="P1956" i="2"/>
  <c r="F1434" i="2"/>
  <c r="P1048" i="2"/>
  <c r="C186" i="2"/>
  <c r="Q186" i="2"/>
  <c r="D1728" i="2"/>
  <c r="M2030" i="2"/>
  <c r="H1434" i="2"/>
  <c r="A2030" i="2"/>
  <c r="G151" i="2"/>
  <c r="R1728" i="2"/>
  <c r="Q1956" i="2"/>
  <c r="J1048" i="2"/>
  <c r="S1048" i="2"/>
  <c r="P224" i="2"/>
  <c r="H1605" i="2"/>
  <c r="A1567" i="2"/>
  <c r="D224" i="2"/>
  <c r="T151" i="2"/>
  <c r="Q1048" i="2"/>
  <c r="N1048" i="2"/>
  <c r="A224" i="2"/>
  <c r="H151" i="2"/>
  <c r="D2030" i="2"/>
  <c r="R1048" i="2"/>
  <c r="O1605" i="2"/>
  <c r="A186" i="2"/>
  <c r="M151" i="2"/>
  <c r="D186" i="2"/>
  <c r="E1605" i="2"/>
  <c r="N151" i="2"/>
  <c r="F1567" i="2"/>
  <c r="C1567" i="2"/>
  <c r="Q1567" i="2"/>
  <c r="R1956" i="2"/>
  <c r="S1956" i="2"/>
  <c r="H2030" i="2"/>
  <c r="M1605" i="2"/>
  <c r="T1956" i="2"/>
  <c r="J224" i="2"/>
  <c r="N1728" i="2"/>
  <c r="S2030" i="2"/>
  <c r="A1434" i="2"/>
  <c r="J1728" i="2"/>
  <c r="G186" i="2"/>
  <c r="F1728" i="2"/>
  <c r="R1605" i="2"/>
  <c r="C224" i="2"/>
  <c r="E151" i="2"/>
  <c r="C1728" i="2"/>
  <c r="S1605" i="2"/>
  <c r="J1605" i="2"/>
  <c r="F151" i="2"/>
  <c r="M1434" i="2"/>
  <c r="H186" i="2"/>
  <c r="R151" i="2"/>
  <c r="F2030" i="2"/>
  <c r="P1728" i="2"/>
  <c r="C1048" i="2"/>
  <c r="D1605" i="2"/>
  <c r="O1956" i="2"/>
  <c r="T1434" i="2"/>
  <c r="N1567" i="2"/>
  <c r="T224" i="2"/>
  <c r="J136" i="2"/>
  <c r="A418" i="2"/>
  <c r="N1944" i="2"/>
  <c r="N1688" i="2"/>
  <c r="M1556" i="2"/>
  <c r="D1729" i="2"/>
  <c r="Q487" i="2"/>
  <c r="K1729" i="2"/>
  <c r="Q1725" i="2"/>
  <c r="J1688" i="2"/>
  <c r="J487" i="2"/>
  <c r="E1725" i="2"/>
  <c r="K1725" i="2"/>
  <c r="M1729" i="2"/>
  <c r="J319" i="2"/>
  <c r="G418" i="2"/>
  <c r="S1944" i="2"/>
  <c r="O1944" i="2"/>
  <c r="A1556" i="2"/>
  <c r="P1944" i="2"/>
  <c r="T2195" i="2"/>
  <c r="H1556" i="2"/>
  <c r="M136" i="2"/>
  <c r="M1688" i="2"/>
  <c r="P1688" i="2"/>
  <c r="F1729" i="2"/>
  <c r="Q1688" i="2"/>
  <c r="D1944" i="2"/>
  <c r="E1729" i="2"/>
  <c r="R2195" i="2"/>
  <c r="M319" i="2"/>
  <c r="G319" i="2"/>
  <c r="G1729" i="2"/>
  <c r="J2195" i="2"/>
  <c r="S1688" i="2"/>
  <c r="O319" i="2"/>
  <c r="H1944" i="2"/>
  <c r="N319" i="2"/>
  <c r="N2195" i="2"/>
  <c r="H487" i="2"/>
  <c r="E2195" i="2"/>
  <c r="D1688" i="2"/>
  <c r="R319" i="2"/>
  <c r="H1729" i="2"/>
  <c r="N136" i="2"/>
  <c r="G2195" i="2"/>
  <c r="C319" i="2"/>
  <c r="J418" i="2"/>
  <c r="Q319" i="2"/>
  <c r="D1725" i="2"/>
  <c r="R418" i="2"/>
  <c r="H1688" i="2"/>
  <c r="P1556" i="2"/>
  <c r="Q1729" i="2"/>
  <c r="Q136" i="2"/>
  <c r="T1729" i="2"/>
  <c r="S319" i="2"/>
  <c r="T1556" i="2"/>
  <c r="E1556" i="2"/>
  <c r="E136" i="2"/>
  <c r="C1688" i="2"/>
  <c r="H1725" i="2"/>
  <c r="T319" i="2"/>
  <c r="E1944" i="2"/>
  <c r="O487" i="2"/>
  <c r="G487" i="2"/>
  <c r="P2195" i="2"/>
  <c r="O136" i="2"/>
  <c r="D319" i="2"/>
  <c r="T1725" i="2"/>
  <c r="S1729" i="2"/>
  <c r="R1729" i="2"/>
  <c r="R1556" i="2"/>
  <c r="T1944" i="2"/>
  <c r="N1556" i="2"/>
  <c r="K418" i="2"/>
  <c r="D487" i="2"/>
  <c r="N1729" i="2"/>
  <c r="K136" i="2"/>
  <c r="T487" i="2"/>
  <c r="J1725" i="2"/>
  <c r="R1688" i="2"/>
  <c r="G136" i="2"/>
  <c r="D2195" i="2"/>
  <c r="P418" i="2"/>
  <c r="K1556" i="2"/>
  <c r="N487" i="2"/>
  <c r="R1944" i="2"/>
  <c r="A487" i="2"/>
  <c r="J1729" i="2"/>
  <c r="A1729" i="2"/>
  <c r="A319" i="2"/>
  <c r="N1725" i="2"/>
  <c r="P1729" i="2"/>
  <c r="K487" i="2"/>
  <c r="C2195" i="2"/>
  <c r="C1944" i="2"/>
  <c r="E418" i="2"/>
  <c r="D1556" i="2"/>
  <c r="O1725" i="2"/>
  <c r="J1556" i="2"/>
  <c r="F418" i="2"/>
  <c r="K1944" i="2"/>
  <c r="Q2195" i="2"/>
  <c r="G1725" i="2"/>
  <c r="M487" i="2"/>
  <c r="K2195" i="2"/>
  <c r="P487" i="2"/>
  <c r="E487" i="2"/>
  <c r="T136" i="2"/>
  <c r="F319" i="2"/>
  <c r="T1688" i="2"/>
  <c r="O1729" i="2"/>
  <c r="A1688" i="2"/>
  <c r="R136" i="2"/>
  <c r="K319" i="2"/>
  <c r="D418" i="2"/>
  <c r="Q418" i="2"/>
  <c r="H418" i="2"/>
  <c r="O1556" i="2"/>
  <c r="C1725" i="2"/>
  <c r="S1556" i="2"/>
  <c r="A1944" i="2"/>
  <c r="S2195" i="2"/>
  <c r="M1725" i="2"/>
  <c r="A1725" i="2"/>
  <c r="D136" i="2"/>
  <c r="O1688" i="2"/>
  <c r="A2195" i="2"/>
  <c r="Q1944" i="2"/>
  <c r="C136" i="2"/>
  <c r="G1944" i="2"/>
  <c r="F2195" i="2"/>
  <c r="S1725" i="2"/>
  <c r="J1944" i="2"/>
  <c r="F136" i="2"/>
  <c r="T418" i="2"/>
  <c r="G1556" i="2"/>
  <c r="H319" i="2"/>
  <c r="C487" i="2"/>
  <c r="C418" i="2"/>
  <c r="M418" i="2"/>
  <c r="K1688" i="2"/>
  <c r="R1725" i="2"/>
  <c r="P136" i="2"/>
  <c r="E1688" i="2"/>
  <c r="F1725" i="2"/>
  <c r="F487" i="2"/>
  <c r="F1944" i="2"/>
  <c r="H136" i="2"/>
  <c r="C1556" i="2"/>
  <c r="G1688" i="2"/>
  <c r="O418" i="2"/>
  <c r="Q1556" i="2"/>
  <c r="H2195" i="2"/>
  <c r="S136" i="2"/>
  <c r="N418" i="2"/>
  <c r="P319" i="2"/>
  <c r="R487" i="2"/>
  <c r="M2195" i="2"/>
  <c r="P1725" i="2"/>
  <c r="S418" i="2"/>
  <c r="F1556" i="2"/>
  <c r="O2195" i="2"/>
  <c r="A136" i="2"/>
  <c r="E319" i="2"/>
  <c r="M1944" i="2"/>
  <c r="C1729" i="2"/>
  <c r="S487" i="2"/>
  <c r="F1688" i="2"/>
  <c r="F865" i="2"/>
  <c r="J865" i="2"/>
  <c r="O961" i="2"/>
  <c r="F2079" i="2"/>
  <c r="R407" i="2"/>
  <c r="N407" i="2"/>
  <c r="S690" i="2"/>
  <c r="E2079" i="2"/>
  <c r="C1600" i="2"/>
  <c r="O727" i="2"/>
  <c r="E810" i="2"/>
  <c r="O2077" i="2"/>
  <c r="S407" i="2"/>
  <c r="O316" i="2"/>
  <c r="J727" i="2"/>
  <c r="O540" i="2"/>
  <c r="F540" i="2"/>
  <c r="F727" i="2"/>
  <c r="R1952" i="2"/>
  <c r="T727" i="2"/>
  <c r="D146" i="2"/>
  <c r="O1300" i="2"/>
  <c r="O690" i="2"/>
  <c r="G865" i="2"/>
  <c r="A727" i="2"/>
  <c r="O407" i="2"/>
  <c r="K1291" i="2"/>
  <c r="P1037" i="2"/>
  <c r="H316" i="2"/>
  <c r="R1563" i="2"/>
  <c r="H2079" i="2"/>
  <c r="E1952" i="2"/>
  <c r="A1563" i="2"/>
  <c r="S865" i="2"/>
  <c r="H540" i="2"/>
  <c r="P1563" i="2"/>
  <c r="O146" i="2"/>
  <c r="T540" i="2"/>
  <c r="G407" i="2"/>
  <c r="J146" i="2"/>
  <c r="Q2079" i="2"/>
  <c r="H146" i="2"/>
  <c r="G1037" i="2"/>
  <c r="K1600" i="2"/>
  <c r="P98" i="2"/>
  <c r="O2079" i="2"/>
  <c r="C2079" i="2"/>
  <c r="S1952" i="2"/>
  <c r="C146" i="2"/>
  <c r="A961" i="2"/>
  <c r="Q98" i="2"/>
  <c r="P316" i="2"/>
  <c r="P727" i="2"/>
  <c r="E146" i="2"/>
  <c r="T2077" i="2"/>
  <c r="K865" i="2"/>
  <c r="P690" i="2"/>
  <c r="T1483" i="2"/>
  <c r="S1291" i="2"/>
  <c r="C727" i="2"/>
  <c r="C1291" i="2"/>
  <c r="F1483" i="2"/>
  <c r="J810" i="2"/>
  <c r="P1300" i="2"/>
  <c r="H1291" i="2"/>
  <c r="K1483" i="2"/>
  <c r="Q316" i="2"/>
  <c r="N1291" i="2"/>
  <c r="T2079" i="2"/>
  <c r="M865" i="2"/>
  <c r="Q961" i="2"/>
  <c r="E98" i="2"/>
  <c r="M146" i="2"/>
  <c r="S1563" i="2"/>
  <c r="N2147" i="2"/>
  <c r="N727" i="2"/>
  <c r="G961" i="2"/>
  <c r="C690" i="2"/>
  <c r="J2079" i="2"/>
  <c r="E407" i="2"/>
  <c r="H1037" i="2"/>
  <c r="D961" i="2"/>
  <c r="K316" i="2"/>
  <c r="R540" i="2"/>
  <c r="H865" i="2"/>
  <c r="A810" i="2"/>
  <c r="H407" i="2"/>
  <c r="K1952" i="2"/>
  <c r="R1300" i="2"/>
  <c r="E540" i="2"/>
  <c r="R98" i="2"/>
  <c r="E2147" i="2"/>
  <c r="O1037" i="2"/>
  <c r="J2077" i="2"/>
  <c r="F407" i="2"/>
  <c r="J2147" i="2"/>
  <c r="Q2077" i="2"/>
  <c r="D2079" i="2"/>
  <c r="M2147" i="2"/>
  <c r="F1037" i="2"/>
  <c r="G2079" i="2"/>
  <c r="S2147" i="2"/>
  <c r="S146" i="2"/>
  <c r="E1483" i="2"/>
  <c r="T865" i="2"/>
  <c r="N1563" i="2"/>
  <c r="J1952" i="2"/>
  <c r="D2077" i="2"/>
  <c r="A865" i="2"/>
  <c r="O1600" i="2"/>
  <c r="O1563" i="2"/>
  <c r="M1300" i="2"/>
  <c r="C961" i="2"/>
  <c r="N1300" i="2"/>
  <c r="P961" i="2"/>
  <c r="G1291" i="2"/>
  <c r="F1952" i="2"/>
  <c r="H1563" i="2"/>
  <c r="A146" i="2"/>
  <c r="M2077" i="2"/>
  <c r="E1563" i="2"/>
  <c r="Q1563" i="2"/>
  <c r="Q407" i="2"/>
  <c r="T810" i="2"/>
  <c r="N2077" i="2"/>
  <c r="G690" i="2"/>
  <c r="H98" i="2"/>
  <c r="M407" i="2"/>
  <c r="K1037" i="2"/>
  <c r="C407" i="2"/>
  <c r="M961" i="2"/>
  <c r="R865" i="2"/>
  <c r="Q727" i="2"/>
  <c r="C98" i="2"/>
  <c r="P1483" i="2"/>
  <c r="T1600" i="2"/>
  <c r="A1600" i="2"/>
  <c r="N1037" i="2"/>
  <c r="T1300" i="2"/>
  <c r="E727" i="2"/>
  <c r="C1037" i="2"/>
  <c r="G1952" i="2"/>
  <c r="A1291" i="2"/>
  <c r="H1483" i="2"/>
  <c r="K810" i="2"/>
  <c r="M2079" i="2"/>
  <c r="A407" i="2"/>
  <c r="A1037" i="2"/>
  <c r="R810" i="2"/>
  <c r="Q1291" i="2"/>
  <c r="T1563" i="2"/>
  <c r="K2077" i="2"/>
  <c r="C2077" i="2"/>
  <c r="F2147" i="2"/>
  <c r="Q2147" i="2"/>
  <c r="K540" i="2"/>
  <c r="O865" i="2"/>
  <c r="K1300" i="2"/>
  <c r="J1300" i="2"/>
  <c r="R1483" i="2"/>
  <c r="D1291" i="2"/>
  <c r="K407" i="2"/>
  <c r="F1300" i="2"/>
  <c r="A2077" i="2"/>
  <c r="G316" i="2"/>
  <c r="H810" i="2"/>
  <c r="C810" i="2"/>
  <c r="N1600" i="2"/>
  <c r="A540" i="2"/>
  <c r="G1300" i="2"/>
  <c r="G2077" i="2"/>
  <c r="S2079" i="2"/>
  <c r="J407" i="2"/>
  <c r="D316" i="2"/>
  <c r="C316" i="2"/>
  <c r="M727" i="2"/>
  <c r="P146" i="2"/>
  <c r="Q690" i="2"/>
  <c r="G2147" i="2"/>
  <c r="M316" i="2"/>
  <c r="F1563" i="2"/>
  <c r="P865" i="2"/>
  <c r="N2079" i="2"/>
  <c r="M540" i="2"/>
  <c r="F690" i="2"/>
  <c r="H1600" i="2"/>
  <c r="N146" i="2"/>
  <c r="N961" i="2"/>
  <c r="P540" i="2"/>
  <c r="K690" i="2"/>
  <c r="D690" i="2"/>
  <c r="Q1952" i="2"/>
  <c r="D407" i="2"/>
  <c r="M1037" i="2"/>
  <c r="R727" i="2"/>
  <c r="N810" i="2"/>
  <c r="S810" i="2"/>
  <c r="R2079" i="2"/>
  <c r="D1952" i="2"/>
  <c r="M1291" i="2"/>
  <c r="N865" i="2"/>
  <c r="C2147" i="2"/>
  <c r="R961" i="2"/>
  <c r="G146" i="2"/>
  <c r="K2147" i="2"/>
  <c r="G540" i="2"/>
  <c r="P1952" i="2"/>
  <c r="E690" i="2"/>
  <c r="T1037" i="2"/>
  <c r="Q146" i="2"/>
  <c r="D1563" i="2"/>
  <c r="S727" i="2"/>
  <c r="O2147" i="2"/>
  <c r="H2147" i="2"/>
  <c r="E1037" i="2"/>
  <c r="M1952" i="2"/>
  <c r="N540" i="2"/>
  <c r="T1291" i="2"/>
  <c r="Q865" i="2"/>
  <c r="K727" i="2"/>
  <c r="J1563" i="2"/>
  <c r="J961" i="2"/>
  <c r="E1600" i="2"/>
  <c r="F2077" i="2"/>
  <c r="E316" i="2"/>
  <c r="P2147" i="2"/>
  <c r="R316" i="2"/>
  <c r="M98" i="2"/>
  <c r="H2077" i="2"/>
  <c r="J690" i="2"/>
  <c r="G810" i="2"/>
  <c r="T1952" i="2"/>
  <c r="H690" i="2"/>
  <c r="O1291" i="2"/>
  <c r="A316" i="2"/>
  <c r="R2147" i="2"/>
  <c r="E1291" i="2"/>
  <c r="S1483" i="2"/>
  <c r="D540" i="2"/>
  <c r="G98" i="2"/>
  <c r="H1300" i="2"/>
  <c r="A2147" i="2"/>
  <c r="M810" i="2"/>
  <c r="O98" i="2"/>
  <c r="O1483" i="2"/>
  <c r="P2077" i="2"/>
  <c r="T407" i="2"/>
  <c r="K961" i="2"/>
  <c r="E961" i="2"/>
  <c r="T316" i="2"/>
  <c r="K2079" i="2"/>
  <c r="D1600" i="2"/>
  <c r="F98" i="2"/>
  <c r="M690" i="2"/>
  <c r="Q1300" i="2"/>
  <c r="S961" i="2"/>
  <c r="A2079" i="2"/>
  <c r="A690" i="2"/>
  <c r="E1300" i="2"/>
  <c r="Q1483" i="2"/>
  <c r="J1037" i="2"/>
  <c r="F961" i="2"/>
  <c r="Q1037" i="2"/>
  <c r="H727" i="2"/>
  <c r="S2077" i="2"/>
  <c r="C540" i="2"/>
  <c r="F316" i="2"/>
  <c r="J316" i="2"/>
  <c r="J98" i="2"/>
  <c r="T690" i="2"/>
  <c r="C1483" i="2"/>
  <c r="H961" i="2"/>
  <c r="K98" i="2"/>
  <c r="G1563" i="2"/>
  <c r="G1483" i="2"/>
  <c r="S1037" i="2"/>
  <c r="J1483" i="2"/>
  <c r="F1600" i="2"/>
  <c r="N1952" i="2"/>
  <c r="F146" i="2"/>
  <c r="D98" i="2"/>
  <c r="O1952" i="2"/>
  <c r="N1483" i="2"/>
  <c r="T98" i="2"/>
  <c r="S540" i="2"/>
  <c r="R146" i="2"/>
  <c r="D1483" i="2"/>
  <c r="R1291" i="2"/>
  <c r="M1600" i="2"/>
  <c r="R2077" i="2"/>
  <c r="S316" i="2"/>
  <c r="F1291" i="2"/>
  <c r="F810" i="2"/>
  <c r="C1563" i="2"/>
  <c r="R690" i="2"/>
  <c r="Q810" i="2"/>
  <c r="D1037" i="2"/>
  <c r="T146" i="2"/>
  <c r="T2147" i="2"/>
  <c r="H1952" i="2"/>
  <c r="C1300" i="2"/>
  <c r="K1563" i="2"/>
  <c r="G1600" i="2"/>
  <c r="D810" i="2"/>
  <c r="J540" i="2"/>
  <c r="R1600" i="2"/>
  <c r="S1300" i="2"/>
  <c r="A98" i="2"/>
  <c r="J1600" i="2"/>
  <c r="P810" i="2"/>
  <c r="C865" i="2"/>
  <c r="S1600" i="2"/>
  <c r="A1952" i="2"/>
  <c r="N98" i="2"/>
  <c r="A1300" i="2"/>
  <c r="E865" i="2"/>
  <c r="J1291" i="2"/>
  <c r="G727" i="2"/>
  <c r="P1600" i="2"/>
  <c r="D1300" i="2"/>
  <c r="M1563" i="2"/>
  <c r="R1037" i="2"/>
  <c r="C1952" i="2"/>
  <c r="Q540" i="2"/>
  <c r="O810" i="2"/>
  <c r="P407" i="2"/>
  <c r="D2147" i="2"/>
  <c r="N690" i="2"/>
  <c r="N316" i="2"/>
  <c r="M1483" i="2"/>
  <c r="P1291" i="2"/>
  <c r="D865" i="2"/>
  <c r="Q1600" i="2"/>
  <c r="K146" i="2"/>
  <c r="S98" i="2"/>
  <c r="P2079" i="2"/>
  <c r="T961" i="2"/>
  <c r="A1483" i="2"/>
  <c r="D727" i="2"/>
  <c r="E2077" i="2"/>
  <c r="J1270" i="2"/>
  <c r="A438" i="2"/>
  <c r="M1270" i="2"/>
  <c r="T438" i="2"/>
  <c r="A884" i="2"/>
  <c r="H884" i="2"/>
  <c r="H6" i="2"/>
  <c r="J659" i="2"/>
  <c r="J221" i="2"/>
  <c r="M221" i="2"/>
  <c r="P659" i="2"/>
  <c r="S297" i="2"/>
  <c r="K659" i="2"/>
  <c r="F1270" i="2"/>
  <c r="F698" i="2"/>
  <c r="F659" i="2"/>
  <c r="N438" i="2"/>
  <c r="T221" i="2"/>
  <c r="C1150" i="2"/>
  <c r="C345" i="2"/>
  <c r="H345" i="2"/>
  <c r="Q221" i="2"/>
  <c r="G438" i="2"/>
  <c r="G1150" i="2"/>
  <c r="N345" i="2"/>
  <c r="E297" i="2"/>
  <c r="D698" i="2"/>
  <c r="Q659" i="2"/>
  <c r="O345" i="2"/>
  <c r="Q1150" i="2"/>
  <c r="E6" i="2"/>
  <c r="S659" i="2"/>
  <c r="C659" i="2"/>
  <c r="H221" i="2"/>
  <c r="E1270" i="2"/>
  <c r="M297" i="2"/>
  <c r="S6" i="2"/>
  <c r="D6" i="2"/>
  <c r="J345" i="2"/>
  <c r="Q698" i="2"/>
  <c r="G659" i="2"/>
  <c r="N221" i="2"/>
  <c r="K884" i="2"/>
  <c r="A698" i="2"/>
  <c r="E1150" i="2"/>
  <c r="H698" i="2"/>
  <c r="D1270" i="2"/>
  <c r="S221" i="2"/>
  <c r="E345" i="2"/>
  <c r="H297" i="2"/>
  <c r="A6" i="2"/>
  <c r="P1270" i="2"/>
  <c r="P6" i="2"/>
  <c r="R438" i="2"/>
  <c r="D221" i="2"/>
  <c r="D345" i="2"/>
  <c r="O1150" i="2"/>
  <c r="C297" i="2"/>
  <c r="T698" i="2"/>
  <c r="R698" i="2"/>
  <c r="K1270" i="2"/>
  <c r="H438" i="2"/>
  <c r="H1270" i="2"/>
  <c r="P698" i="2"/>
  <c r="J698" i="2"/>
  <c r="M698" i="2"/>
  <c r="P221" i="2"/>
  <c r="G6" i="2"/>
  <c r="S1270" i="2"/>
  <c r="T6" i="2"/>
  <c r="N884" i="2"/>
  <c r="Q1270" i="2"/>
  <c r="N698" i="2"/>
  <c r="S345" i="2"/>
  <c r="O297" i="2"/>
  <c r="R6" i="2"/>
  <c r="J297" i="2"/>
  <c r="R221" i="2"/>
  <c r="J1150" i="2"/>
  <c r="T345" i="2"/>
  <c r="P345" i="2"/>
  <c r="G297" i="2"/>
  <c r="J438" i="2"/>
  <c r="N659" i="2"/>
  <c r="F438" i="2"/>
  <c r="C698" i="2"/>
  <c r="F884" i="2"/>
  <c r="C884" i="2"/>
  <c r="R884" i="2"/>
  <c r="Q297" i="2"/>
  <c r="T884" i="2"/>
  <c r="O1270" i="2"/>
  <c r="G884" i="2"/>
  <c r="N1270" i="2"/>
  <c r="T1270" i="2"/>
  <c r="E884" i="2"/>
  <c r="T659" i="2"/>
  <c r="G698" i="2"/>
  <c r="Q884" i="2"/>
  <c r="E659" i="2"/>
  <c r="D884" i="2"/>
  <c r="A1150" i="2"/>
  <c r="M438" i="2"/>
  <c r="J884" i="2"/>
  <c r="G345" i="2"/>
  <c r="O6" i="2"/>
  <c r="D659" i="2"/>
  <c r="K345" i="2"/>
  <c r="R1150" i="2"/>
  <c r="R659" i="2"/>
  <c r="K6" i="2"/>
  <c r="H659" i="2"/>
  <c r="N1150" i="2"/>
  <c r="S1150" i="2"/>
  <c r="Q438" i="2"/>
  <c r="K438" i="2"/>
  <c r="D438" i="2"/>
  <c r="C6" i="2"/>
  <c r="C1270" i="2"/>
  <c r="P297" i="2"/>
  <c r="S884" i="2"/>
  <c r="R297" i="2"/>
  <c r="R345" i="2"/>
  <c r="E221" i="2"/>
  <c r="A659" i="2"/>
  <c r="P1150" i="2"/>
  <c r="A297" i="2"/>
  <c r="C221" i="2"/>
  <c r="E698" i="2"/>
  <c r="P438" i="2"/>
  <c r="D1150" i="2"/>
  <c r="S438" i="2"/>
  <c r="A1270" i="2"/>
  <c r="O659" i="2"/>
  <c r="M1150" i="2"/>
  <c r="T297" i="2"/>
  <c r="A345" i="2"/>
  <c r="J6" i="2"/>
  <c r="D297" i="2"/>
  <c r="R1270" i="2"/>
  <c r="C438" i="2"/>
  <c r="K1150" i="2"/>
  <c r="G221" i="2"/>
  <c r="Q345" i="2"/>
  <c r="K221" i="2"/>
  <c r="S698" i="2"/>
  <c r="N6" i="2"/>
  <c r="A221" i="2"/>
  <c r="H1150" i="2"/>
  <c r="P884" i="2"/>
  <c r="K297" i="2"/>
  <c r="O438" i="2"/>
  <c r="T1150" i="2"/>
  <c r="N297" i="2"/>
  <c r="M345" i="2"/>
  <c r="K698" i="2"/>
  <c r="F221" i="2"/>
  <c r="M884" i="2"/>
  <c r="M6" i="2"/>
  <c r="Q6" i="2"/>
  <c r="F1150" i="2"/>
  <c r="G1270" i="2"/>
  <c r="E438" i="2"/>
  <c r="M659" i="2"/>
  <c r="O884" i="2"/>
  <c r="F297" i="2"/>
  <c r="F345" i="2"/>
  <c r="O698" i="2"/>
  <c r="O221" i="2"/>
  <c r="F6" i="2"/>
  <c r="K996" i="2"/>
  <c r="S2213" i="2"/>
  <c r="A1889" i="2"/>
  <c r="A795" i="2"/>
  <c r="F996" i="2"/>
  <c r="R795" i="2"/>
  <c r="T1174" i="2"/>
  <c r="P2213" i="2"/>
  <c r="S710" i="2"/>
  <c r="E1388" i="2"/>
  <c r="G43" i="2"/>
  <c r="K1174" i="2"/>
  <c r="E710" i="2"/>
  <c r="M1174" i="2"/>
  <c r="H2213" i="2"/>
  <c r="P2200" i="2"/>
  <c r="R2200" i="2"/>
  <c r="H1174" i="2"/>
  <c r="K710" i="2"/>
  <c r="H795" i="2"/>
  <c r="O996" i="2"/>
  <c r="M795" i="2"/>
  <c r="N710" i="2"/>
  <c r="Q710" i="2"/>
  <c r="T2200" i="2"/>
  <c r="J1889" i="2"/>
  <c r="T2213" i="2"/>
  <c r="D996" i="2"/>
  <c r="H1388" i="2"/>
  <c r="N996" i="2"/>
  <c r="D300" i="2"/>
  <c r="C996" i="2"/>
  <c r="O43" i="2"/>
  <c r="M1889" i="2"/>
  <c r="A710" i="2"/>
  <c r="O1388" i="2"/>
  <c r="N1889" i="2"/>
  <c r="C300" i="2"/>
  <c r="T1388" i="2"/>
  <c r="T43" i="2"/>
  <c r="T300" i="2"/>
  <c r="F710" i="2"/>
  <c r="S1388" i="2"/>
  <c r="C43" i="2"/>
  <c r="H2200" i="2"/>
  <c r="D1388" i="2"/>
  <c r="H710" i="2"/>
  <c r="G996" i="2"/>
  <c r="Q1174" i="2"/>
  <c r="D710" i="2"/>
  <c r="G1174" i="2"/>
  <c r="D795" i="2"/>
  <c r="M710" i="2"/>
  <c r="P710" i="2"/>
  <c r="F1889" i="2"/>
  <c r="K1889" i="2"/>
  <c r="A300" i="2"/>
  <c r="A1174" i="2"/>
  <c r="E2200" i="2"/>
  <c r="R1388" i="2"/>
  <c r="N1388" i="2"/>
  <c r="O1174" i="2"/>
  <c r="T996" i="2"/>
  <c r="Q43" i="2"/>
  <c r="M300" i="2"/>
  <c r="S43" i="2"/>
  <c r="J710" i="2"/>
  <c r="T710" i="2"/>
  <c r="M2200" i="2"/>
  <c r="A2200" i="2"/>
  <c r="F43" i="2"/>
  <c r="E300" i="2"/>
  <c r="F795" i="2"/>
  <c r="C2213" i="2"/>
  <c r="N43" i="2"/>
  <c r="M43" i="2"/>
  <c r="E2213" i="2"/>
  <c r="C710" i="2"/>
  <c r="K1388" i="2"/>
  <c r="K43" i="2"/>
  <c r="R996" i="2"/>
  <c r="P996" i="2"/>
  <c r="J795" i="2"/>
  <c r="N300" i="2"/>
  <c r="D2200" i="2"/>
  <c r="P300" i="2"/>
  <c r="Q1388" i="2"/>
  <c r="Q795" i="2"/>
  <c r="F300" i="2"/>
  <c r="A996" i="2"/>
  <c r="P1174" i="2"/>
  <c r="S300" i="2"/>
  <c r="N1174" i="2"/>
  <c r="G1388" i="2"/>
  <c r="D2213" i="2"/>
  <c r="E1174" i="2"/>
  <c r="G1889" i="2"/>
  <c r="D43" i="2"/>
  <c r="G795" i="2"/>
  <c r="J2213" i="2"/>
  <c r="J1174" i="2"/>
  <c r="R1889" i="2"/>
  <c r="N795" i="2"/>
  <c r="G300" i="2"/>
  <c r="F2200" i="2"/>
  <c r="J43" i="2"/>
  <c r="R43" i="2"/>
  <c r="R2213" i="2"/>
  <c r="Q300" i="2"/>
  <c r="Q996" i="2"/>
  <c r="N2200" i="2"/>
  <c r="J1388" i="2"/>
  <c r="E43" i="2"/>
  <c r="M1388" i="2"/>
  <c r="P1388" i="2"/>
  <c r="R1174" i="2"/>
  <c r="O300" i="2"/>
  <c r="O710" i="2"/>
  <c r="N2213" i="2"/>
  <c r="K2200" i="2"/>
  <c r="T1889" i="2"/>
  <c r="S1174" i="2"/>
  <c r="P1889" i="2"/>
  <c r="H300" i="2"/>
  <c r="K795" i="2"/>
  <c r="O795" i="2"/>
  <c r="Q2213" i="2"/>
  <c r="M2213" i="2"/>
  <c r="S1889" i="2"/>
  <c r="A2213" i="2"/>
  <c r="S2200" i="2"/>
  <c r="H43" i="2"/>
  <c r="O2213" i="2"/>
  <c r="A1388" i="2"/>
  <c r="E996" i="2"/>
  <c r="E1889" i="2"/>
  <c r="D1889" i="2"/>
  <c r="K2213" i="2"/>
  <c r="H996" i="2"/>
  <c r="Q1889" i="2"/>
  <c r="F1174" i="2"/>
  <c r="P43" i="2"/>
  <c r="T795" i="2"/>
  <c r="G710" i="2"/>
  <c r="E795" i="2"/>
  <c r="K300" i="2"/>
  <c r="Q2200" i="2"/>
  <c r="O1889" i="2"/>
  <c r="O2200" i="2"/>
  <c r="M996" i="2"/>
  <c r="C1889" i="2"/>
  <c r="S795" i="2"/>
  <c r="G2200" i="2"/>
  <c r="P795" i="2"/>
  <c r="J2200" i="2"/>
  <c r="S996" i="2"/>
  <c r="R300" i="2"/>
  <c r="C1174" i="2"/>
  <c r="C1388" i="2"/>
  <c r="F2213" i="2"/>
  <c r="G2213" i="2"/>
  <c r="C795" i="2"/>
  <c r="R710" i="2"/>
  <c r="D1174" i="2"/>
  <c r="F1388" i="2"/>
  <c r="J300" i="2"/>
  <c r="J996" i="2"/>
  <c r="A43" i="2"/>
  <c r="C2200" i="2"/>
  <c r="H1889" i="2"/>
  <c r="Q349" i="2"/>
  <c r="C979" i="2"/>
  <c r="Q2199" i="2"/>
  <c r="A1225" i="2"/>
  <c r="G551" i="2"/>
  <c r="S21" i="2"/>
  <c r="E1074" i="2"/>
  <c r="J979" i="2"/>
  <c r="J349" i="2"/>
  <c r="F349" i="2"/>
  <c r="P2026" i="2"/>
  <c r="Q2115" i="2"/>
  <c r="D2115" i="2"/>
  <c r="N2181" i="2"/>
  <c r="C517" i="2"/>
  <c r="T629" i="2"/>
  <c r="N551" i="2"/>
  <c r="H1047" i="2"/>
  <c r="N517" i="2"/>
  <c r="K26" i="2"/>
  <c r="K1225" i="2"/>
  <c r="E2181" i="2"/>
  <c r="O629" i="2"/>
  <c r="N763" i="2"/>
  <c r="K1047" i="2"/>
  <c r="K629" i="2"/>
  <c r="C2199" i="2"/>
  <c r="G2196" i="2"/>
  <c r="A349" i="2"/>
  <c r="T2026" i="2"/>
  <c r="M629" i="2"/>
  <c r="R1047" i="2"/>
  <c r="D811" i="2"/>
  <c r="R2196" i="2"/>
  <c r="R1429" i="2"/>
  <c r="T2181" i="2"/>
  <c r="D2199" i="2"/>
  <c r="F2194" i="2"/>
  <c r="R1074" i="2"/>
  <c r="P1429" i="2"/>
  <c r="N2196" i="2"/>
  <c r="Q2196" i="2"/>
  <c r="D1225" i="2"/>
  <c r="T979" i="2"/>
  <c r="O1225" i="2"/>
  <c r="Q1225" i="2"/>
  <c r="S1047" i="2"/>
  <c r="N1047" i="2"/>
  <c r="S517" i="2"/>
  <c r="S1429" i="2"/>
  <c r="O2194" i="2"/>
  <c r="H2199" i="2"/>
  <c r="P26" i="2"/>
  <c r="S258" i="2"/>
  <c r="R258" i="2"/>
  <c r="H1074" i="2"/>
  <c r="J811" i="2"/>
  <c r="K21" i="2"/>
  <c r="Q763" i="2"/>
  <c r="J2026" i="2"/>
  <c r="J1047" i="2"/>
  <c r="R2181" i="2"/>
  <c r="P2194" i="2"/>
  <c r="C2196" i="2"/>
  <c r="G517" i="2"/>
  <c r="M763" i="2"/>
  <c r="A2181" i="2"/>
  <c r="R517" i="2"/>
  <c r="A2199" i="2"/>
  <c r="J2196" i="2"/>
  <c r="J629" i="2"/>
  <c r="G258" i="2"/>
  <c r="H979" i="2"/>
  <c r="M2115" i="2"/>
  <c r="A979" i="2"/>
  <c r="K763" i="2"/>
  <c r="J2115" i="2"/>
  <c r="A551" i="2"/>
  <c r="G1074" i="2"/>
  <c r="M1047" i="2"/>
  <c r="C763" i="2"/>
  <c r="M26" i="2"/>
  <c r="N26" i="2"/>
  <c r="D2181" i="2"/>
  <c r="S2199" i="2"/>
  <c r="E2115" i="2"/>
  <c r="P763" i="2"/>
  <c r="T349" i="2"/>
  <c r="S2194" i="2"/>
  <c r="A629" i="2"/>
  <c r="E629" i="2"/>
  <c r="M2194" i="2"/>
  <c r="T1047" i="2"/>
  <c r="O979" i="2"/>
  <c r="T1074" i="2"/>
  <c r="G2194" i="2"/>
  <c r="T21" i="2"/>
  <c r="A1429" i="2"/>
  <c r="F2199" i="2"/>
  <c r="P21" i="2"/>
  <c r="A763" i="2"/>
  <c r="E551" i="2"/>
  <c r="C2194" i="2"/>
  <c r="M1074" i="2"/>
  <c r="A517" i="2"/>
  <c r="F258" i="2"/>
  <c r="R763" i="2"/>
  <c r="Q629" i="2"/>
  <c r="R349" i="2"/>
  <c r="F2115" i="2"/>
  <c r="G2026" i="2"/>
  <c r="H258" i="2"/>
  <c r="C2181" i="2"/>
  <c r="M21" i="2"/>
  <c r="E349" i="2"/>
  <c r="H2026" i="2"/>
  <c r="E1429" i="2"/>
  <c r="S2026" i="2"/>
  <c r="M2026" i="2"/>
  <c r="O349" i="2"/>
  <c r="O811" i="2"/>
  <c r="C1429" i="2"/>
  <c r="J1429" i="2"/>
  <c r="T1225" i="2"/>
  <c r="Q979" i="2"/>
  <c r="C258" i="2"/>
  <c r="C1225" i="2"/>
  <c r="C1047" i="2"/>
  <c r="S551" i="2"/>
  <c r="R629" i="2"/>
  <c r="P517" i="2"/>
  <c r="J258" i="2"/>
  <c r="K1429" i="2"/>
  <c r="J2199" i="2"/>
  <c r="T258" i="2"/>
  <c r="H551" i="2"/>
  <c r="O2026" i="2"/>
  <c r="E763" i="2"/>
  <c r="O26" i="2"/>
  <c r="K979" i="2"/>
  <c r="P629" i="2"/>
  <c r="J763" i="2"/>
  <c r="J1074" i="2"/>
  <c r="E2026" i="2"/>
  <c r="D763" i="2"/>
  <c r="K2194" i="2"/>
  <c r="K258" i="2"/>
  <c r="G629" i="2"/>
  <c r="K1074" i="2"/>
  <c r="P1074" i="2"/>
  <c r="E258" i="2"/>
  <c r="H811" i="2"/>
  <c r="A2115" i="2"/>
  <c r="P979" i="2"/>
  <c r="A811" i="2"/>
  <c r="M979" i="2"/>
  <c r="F1225" i="2"/>
  <c r="D2196" i="2"/>
  <c r="E1225" i="2"/>
  <c r="Q811" i="2"/>
  <c r="D629" i="2"/>
  <c r="H21" i="2"/>
  <c r="F1429" i="2"/>
  <c r="P1225" i="2"/>
  <c r="F2181" i="2"/>
  <c r="C2115" i="2"/>
  <c r="G2199" i="2"/>
  <c r="M1225" i="2"/>
  <c r="O517" i="2"/>
  <c r="Q26" i="2"/>
  <c r="E21" i="2"/>
  <c r="R26" i="2"/>
  <c r="P551" i="2"/>
  <c r="F1074" i="2"/>
  <c r="N811" i="2"/>
  <c r="F2196" i="2"/>
  <c r="K2026" i="2"/>
  <c r="C349" i="2"/>
  <c r="S1225" i="2"/>
  <c r="S629" i="2"/>
  <c r="G2115" i="2"/>
  <c r="Q2181" i="2"/>
  <c r="K349" i="2"/>
  <c r="M2196" i="2"/>
  <c r="J21" i="2"/>
  <c r="C551" i="2"/>
  <c r="G2181" i="2"/>
  <c r="P2199" i="2"/>
  <c r="O2199" i="2"/>
  <c r="F763" i="2"/>
  <c r="H2181" i="2"/>
  <c r="Q517" i="2"/>
  <c r="C811" i="2"/>
  <c r="E1047" i="2"/>
  <c r="F517" i="2"/>
  <c r="D1047" i="2"/>
  <c r="H517" i="2"/>
  <c r="H2196" i="2"/>
  <c r="O1074" i="2"/>
  <c r="M811" i="2"/>
  <c r="E517" i="2"/>
  <c r="R979" i="2"/>
  <c r="S349" i="2"/>
  <c r="A2026" i="2"/>
  <c r="A26" i="2"/>
  <c r="R811" i="2"/>
  <c r="D26" i="2"/>
  <c r="S811" i="2"/>
  <c r="O1047" i="2"/>
  <c r="R2026" i="2"/>
  <c r="H629" i="2"/>
  <c r="J1225" i="2"/>
  <c r="K2196" i="2"/>
  <c r="K2181" i="2"/>
  <c r="S1074" i="2"/>
  <c r="H349" i="2"/>
  <c r="F2026" i="2"/>
  <c r="D2194" i="2"/>
  <c r="K551" i="2"/>
  <c r="C21" i="2"/>
  <c r="C26" i="2"/>
  <c r="H26" i="2"/>
  <c r="R551" i="2"/>
  <c r="G26" i="2"/>
  <c r="H1429" i="2"/>
  <c r="S2196" i="2"/>
  <c r="P2115" i="2"/>
  <c r="P258" i="2"/>
  <c r="O551" i="2"/>
  <c r="A2196" i="2"/>
  <c r="N21" i="2"/>
  <c r="P1047" i="2"/>
  <c r="F979" i="2"/>
  <c r="E2199" i="2"/>
  <c r="M551" i="2"/>
  <c r="Q2026" i="2"/>
  <c r="A258" i="2"/>
  <c r="G811" i="2"/>
  <c r="J2194" i="2"/>
  <c r="N1225" i="2"/>
  <c r="F1047" i="2"/>
  <c r="E979" i="2"/>
  <c r="P349" i="2"/>
  <c r="Q21" i="2"/>
  <c r="P811" i="2"/>
  <c r="Q2194" i="2"/>
  <c r="O2181" i="2"/>
  <c r="H763" i="2"/>
  <c r="D2026" i="2"/>
  <c r="G1047" i="2"/>
  <c r="H1225" i="2"/>
  <c r="C629" i="2"/>
  <c r="Q1047" i="2"/>
  <c r="M2199" i="2"/>
  <c r="O2196" i="2"/>
  <c r="T26" i="2"/>
  <c r="Q1074" i="2"/>
  <c r="T811" i="2"/>
  <c r="N1074" i="2"/>
  <c r="G349" i="2"/>
  <c r="A2194" i="2"/>
  <c r="M349" i="2"/>
  <c r="P2196" i="2"/>
  <c r="T551" i="2"/>
  <c r="E811" i="2"/>
  <c r="S2181" i="2"/>
  <c r="T2115" i="2"/>
  <c r="N258" i="2"/>
  <c r="R21" i="2"/>
  <c r="O258" i="2"/>
  <c r="S26" i="2"/>
  <c r="Q551" i="2"/>
  <c r="M258" i="2"/>
  <c r="O763" i="2"/>
  <c r="A21" i="2"/>
  <c r="F629" i="2"/>
  <c r="H2115" i="2"/>
  <c r="K517" i="2"/>
  <c r="M517" i="2"/>
  <c r="N1429" i="2"/>
  <c r="E2194" i="2"/>
  <c r="C1074" i="2"/>
  <c r="G763" i="2"/>
  <c r="F551" i="2"/>
  <c r="J517" i="2"/>
  <c r="S763" i="2"/>
  <c r="N2199" i="2"/>
  <c r="D517" i="2"/>
  <c r="D349" i="2"/>
  <c r="D979" i="2"/>
  <c r="H2194" i="2"/>
  <c r="T2199" i="2"/>
  <c r="J2181" i="2"/>
  <c r="R2194" i="2"/>
  <c r="D1429" i="2"/>
  <c r="K2199" i="2"/>
  <c r="K2115" i="2"/>
  <c r="J26" i="2"/>
  <c r="O21" i="2"/>
  <c r="P2181" i="2"/>
  <c r="O2115" i="2"/>
  <c r="T2196" i="2"/>
  <c r="S2115" i="2"/>
  <c r="D21" i="2"/>
  <c r="Q258" i="2"/>
  <c r="F26" i="2"/>
  <c r="K811" i="2"/>
  <c r="N979" i="2"/>
  <c r="O1429" i="2"/>
  <c r="A1074" i="2"/>
  <c r="S979" i="2"/>
  <c r="N2026" i="2"/>
  <c r="N2194" i="2"/>
  <c r="F21" i="2"/>
  <c r="M1429" i="2"/>
  <c r="R2115" i="2"/>
  <c r="G1429" i="2"/>
  <c r="G21" i="2"/>
  <c r="N629" i="2"/>
  <c r="N2115" i="2"/>
  <c r="C2026" i="2"/>
  <c r="T1429" i="2"/>
  <c r="N349" i="2"/>
  <c r="A1047" i="2"/>
  <c r="T517" i="2"/>
  <c r="R2199" i="2"/>
  <c r="T2194" i="2"/>
  <c r="D258" i="2"/>
  <c r="J551" i="2"/>
  <c r="D551" i="2"/>
  <c r="G979" i="2"/>
  <c r="G1225" i="2"/>
  <c r="F811" i="2"/>
  <c r="R1225" i="2"/>
  <c r="E2196" i="2"/>
  <c r="T763" i="2"/>
  <c r="Q1429" i="2"/>
  <c r="M2181" i="2"/>
  <c r="D1074" i="2"/>
  <c r="E26" i="2"/>
  <c r="D1273" i="2"/>
  <c r="D1276" i="2"/>
  <c r="J1273" i="2"/>
  <c r="D458" i="2"/>
  <c r="K529" i="2"/>
  <c r="T1273" i="2"/>
  <c r="E852" i="2"/>
  <c r="C1276" i="2"/>
  <c r="F2133" i="2"/>
  <c r="T1820" i="2"/>
  <c r="J458" i="2"/>
  <c r="N2133" i="2"/>
  <c r="S1082" i="2"/>
  <c r="N1273" i="2"/>
  <c r="Q1082" i="2"/>
  <c r="F1164" i="2"/>
  <c r="A458" i="2"/>
  <c r="K852" i="2"/>
  <c r="M2133" i="2"/>
  <c r="P1273" i="2"/>
  <c r="T852" i="2"/>
  <c r="G529" i="2"/>
  <c r="G1710" i="2"/>
  <c r="O852" i="2"/>
  <c r="E1710" i="2"/>
  <c r="T1710" i="2"/>
  <c r="K1710" i="2"/>
  <c r="S1820" i="2"/>
  <c r="A529" i="2"/>
  <c r="R1273" i="2"/>
  <c r="C1820" i="2"/>
  <c r="S458" i="2"/>
  <c r="A1710" i="2"/>
  <c r="F1710" i="2"/>
  <c r="S1164" i="2"/>
  <c r="M1276" i="2"/>
  <c r="C1082" i="2"/>
  <c r="K1082" i="2"/>
  <c r="C1273" i="2"/>
  <c r="K1276" i="2"/>
  <c r="Q2133" i="2"/>
  <c r="A1082" i="2"/>
  <c r="F1820" i="2"/>
  <c r="H529" i="2"/>
  <c r="S852" i="2"/>
  <c r="H1710" i="2"/>
  <c r="J529" i="2"/>
  <c r="H1164" i="2"/>
  <c r="O529" i="2"/>
  <c r="M458" i="2"/>
  <c r="J1276" i="2"/>
  <c r="A2133" i="2"/>
  <c r="O1164" i="2"/>
  <c r="A1164" i="2"/>
  <c r="F852" i="2"/>
  <c r="N529" i="2"/>
  <c r="P1082" i="2"/>
  <c r="E1164" i="2"/>
  <c r="N1164" i="2"/>
  <c r="D852" i="2"/>
  <c r="R2133" i="2"/>
  <c r="K1820" i="2"/>
  <c r="R458" i="2"/>
  <c r="E2133" i="2"/>
  <c r="R852" i="2"/>
  <c r="G458" i="2"/>
  <c r="R1710" i="2"/>
  <c r="G1082" i="2"/>
  <c r="O458" i="2"/>
  <c r="D1164" i="2"/>
  <c r="S529" i="2"/>
  <c r="M1164" i="2"/>
  <c r="G1276" i="2"/>
  <c r="O1276" i="2"/>
  <c r="K1273" i="2"/>
  <c r="O1820" i="2"/>
  <c r="P1164" i="2"/>
  <c r="K1164" i="2"/>
  <c r="Q1820" i="2"/>
  <c r="S2133" i="2"/>
  <c r="Q1164" i="2"/>
  <c r="M529" i="2"/>
  <c r="R1082" i="2"/>
  <c r="P1820" i="2"/>
  <c r="P529" i="2"/>
  <c r="N1082" i="2"/>
  <c r="N1820" i="2"/>
  <c r="Q458" i="2"/>
  <c r="C1710" i="2"/>
  <c r="F1082" i="2"/>
  <c r="F1273" i="2"/>
  <c r="E1276" i="2"/>
  <c r="Q1710" i="2"/>
  <c r="T529" i="2"/>
  <c r="F1276" i="2"/>
  <c r="J1082" i="2"/>
  <c r="H1273" i="2"/>
  <c r="C2133" i="2"/>
  <c r="P852" i="2"/>
  <c r="N852" i="2"/>
  <c r="F458" i="2"/>
  <c r="M852" i="2"/>
  <c r="G1273" i="2"/>
  <c r="T458" i="2"/>
  <c r="O1082" i="2"/>
  <c r="G1820" i="2"/>
  <c r="G852" i="2"/>
  <c r="T2133" i="2"/>
  <c r="H1082" i="2"/>
  <c r="D1082" i="2"/>
  <c r="G1164" i="2"/>
  <c r="M1820" i="2"/>
  <c r="R1276" i="2"/>
  <c r="Q1273" i="2"/>
  <c r="D1710" i="2"/>
  <c r="E458" i="2"/>
  <c r="R1820" i="2"/>
  <c r="O1710" i="2"/>
  <c r="N1710" i="2"/>
  <c r="A1273" i="2"/>
  <c r="H458" i="2"/>
  <c r="Q852" i="2"/>
  <c r="G2133" i="2"/>
  <c r="F529" i="2"/>
  <c r="Q529" i="2"/>
  <c r="N1276" i="2"/>
  <c r="C458" i="2"/>
  <c r="J2133" i="2"/>
  <c r="Q1276" i="2"/>
  <c r="J1820" i="2"/>
  <c r="D1820" i="2"/>
  <c r="M1710" i="2"/>
  <c r="K458" i="2"/>
  <c r="J1164" i="2"/>
  <c r="H1820" i="2"/>
  <c r="A852" i="2"/>
  <c r="P1276" i="2"/>
  <c r="S1276" i="2"/>
  <c r="E1082" i="2"/>
  <c r="H852" i="2"/>
  <c r="C529" i="2"/>
  <c r="P2133" i="2"/>
  <c r="O1273" i="2"/>
  <c r="P1710" i="2"/>
  <c r="O2133" i="2"/>
  <c r="K2133" i="2"/>
  <c r="C852" i="2"/>
  <c r="T1276" i="2"/>
  <c r="E1273" i="2"/>
  <c r="M1273" i="2"/>
  <c r="H1276" i="2"/>
  <c r="P458" i="2"/>
  <c r="R1164" i="2"/>
  <c r="D2133" i="2"/>
  <c r="E529" i="2"/>
  <c r="C1164" i="2"/>
  <c r="M1082" i="2"/>
  <c r="A1820" i="2"/>
  <c r="D529" i="2"/>
  <c r="S1710" i="2"/>
  <c r="E1820" i="2"/>
  <c r="H2133" i="2"/>
  <c r="J852" i="2"/>
  <c r="T1082" i="2"/>
  <c r="A1276" i="2"/>
  <c r="N458" i="2"/>
  <c r="R529" i="2"/>
  <c r="S1273" i="2"/>
  <c r="J1710" i="2"/>
  <c r="T1164" i="2"/>
  <c r="F1435" i="2"/>
  <c r="A100" i="2"/>
  <c r="P1010" i="2"/>
  <c r="E730" i="2"/>
  <c r="T100" i="2"/>
  <c r="J958" i="2"/>
  <c r="N730" i="2"/>
  <c r="S1753" i="2"/>
  <c r="E1753" i="2"/>
  <c r="R614" i="2"/>
  <c r="K1066" i="2"/>
  <c r="C1010" i="2"/>
  <c r="J548" i="2"/>
  <c r="S1435" i="2"/>
  <c r="H1753" i="2"/>
  <c r="P100" i="2"/>
  <c r="N614" i="2"/>
  <c r="C730" i="2"/>
  <c r="Q730" i="2"/>
  <c r="A614" i="2"/>
  <c r="N548" i="2"/>
  <c r="Q100" i="2"/>
  <c r="T1066" i="2"/>
  <c r="G614" i="2"/>
  <c r="R1435" i="2"/>
  <c r="O1010" i="2"/>
  <c r="R1066" i="2"/>
  <c r="M614" i="2"/>
  <c r="N100" i="2"/>
  <c r="C958" i="2"/>
  <c r="J100" i="2"/>
  <c r="D614" i="2"/>
  <c r="E1010" i="2"/>
  <c r="H1010" i="2"/>
  <c r="K443" i="2"/>
  <c r="J1010" i="2"/>
  <c r="R548" i="2"/>
  <c r="C1066" i="2"/>
  <c r="F548" i="2"/>
  <c r="T614" i="2"/>
  <c r="G443" i="2"/>
  <c r="O1435" i="2"/>
  <c r="J1435" i="2"/>
  <c r="C1435" i="2"/>
  <c r="G1753" i="2"/>
  <c r="E958" i="2"/>
  <c r="Q614" i="2"/>
  <c r="T1010" i="2"/>
  <c r="D1435" i="2"/>
  <c r="R1010" i="2"/>
  <c r="O958" i="2"/>
  <c r="P548" i="2"/>
  <c r="M1066" i="2"/>
  <c r="T958" i="2"/>
  <c r="C614" i="2"/>
  <c r="R958" i="2"/>
  <c r="A443" i="2"/>
  <c r="F730" i="2"/>
  <c r="E1066" i="2"/>
  <c r="O1753" i="2"/>
  <c r="O548" i="2"/>
  <c r="M730" i="2"/>
  <c r="M443" i="2"/>
  <c r="Q1066" i="2"/>
  <c r="S443" i="2"/>
  <c r="N1435" i="2"/>
  <c r="S730" i="2"/>
  <c r="A548" i="2"/>
  <c r="G1066" i="2"/>
  <c r="T730" i="2"/>
  <c r="M1010" i="2"/>
  <c r="P730" i="2"/>
  <c r="G1435" i="2"/>
  <c r="E100" i="2"/>
  <c r="J1066" i="2"/>
  <c r="H1435" i="2"/>
  <c r="R100" i="2"/>
  <c r="J614" i="2"/>
  <c r="M1435" i="2"/>
  <c r="N1010" i="2"/>
  <c r="Q958" i="2"/>
  <c r="J443" i="2"/>
  <c r="N1753" i="2"/>
  <c r="P1066" i="2"/>
  <c r="S1066" i="2"/>
  <c r="A958" i="2"/>
  <c r="F100" i="2"/>
  <c r="J730" i="2"/>
  <c r="F614" i="2"/>
  <c r="O1066" i="2"/>
  <c r="J1753" i="2"/>
  <c r="F1066" i="2"/>
  <c r="F958" i="2"/>
  <c r="P1435" i="2"/>
  <c r="F1010" i="2"/>
  <c r="O614" i="2"/>
  <c r="F1753" i="2"/>
  <c r="D730" i="2"/>
  <c r="M958" i="2"/>
  <c r="H548" i="2"/>
  <c r="A1753" i="2"/>
  <c r="D958" i="2"/>
  <c r="K614" i="2"/>
  <c r="K1435" i="2"/>
  <c r="Q1753" i="2"/>
  <c r="M100" i="2"/>
  <c r="O730" i="2"/>
  <c r="C100" i="2"/>
  <c r="T1435" i="2"/>
  <c r="S614" i="2"/>
  <c r="T1753" i="2"/>
  <c r="D1010" i="2"/>
  <c r="K958" i="2"/>
  <c r="Q1435" i="2"/>
  <c r="D100" i="2"/>
  <c r="A730" i="2"/>
  <c r="K730" i="2"/>
  <c r="C443" i="2"/>
  <c r="S100" i="2"/>
  <c r="C1753" i="2"/>
  <c r="R730" i="2"/>
  <c r="N958" i="2"/>
  <c r="D548" i="2"/>
  <c r="A1010" i="2"/>
  <c r="O443" i="2"/>
  <c r="O100" i="2"/>
  <c r="K1753" i="2"/>
  <c r="Q548" i="2"/>
  <c r="T443" i="2"/>
  <c r="G100" i="2"/>
  <c r="N1066" i="2"/>
  <c r="F443" i="2"/>
  <c r="D443" i="2"/>
  <c r="G730" i="2"/>
  <c r="C548" i="2"/>
  <c r="R443" i="2"/>
  <c r="P958" i="2"/>
  <c r="S958" i="2"/>
  <c r="P443" i="2"/>
  <c r="A1066" i="2"/>
  <c r="H100" i="2"/>
  <c r="M548" i="2"/>
  <c r="N443" i="2"/>
  <c r="E443" i="2"/>
  <c r="R1753" i="2"/>
  <c r="P614" i="2"/>
  <c r="M1753" i="2"/>
  <c r="K548" i="2"/>
  <c r="H443" i="2"/>
  <c r="D1066" i="2"/>
  <c r="T548" i="2"/>
  <c r="S548" i="2"/>
  <c r="Q1010" i="2"/>
  <c r="K1010" i="2"/>
  <c r="H614" i="2"/>
  <c r="P1753" i="2"/>
  <c r="G1010" i="2"/>
  <c r="A1435" i="2"/>
  <c r="H958" i="2"/>
  <c r="G548" i="2"/>
  <c r="D1753" i="2"/>
  <c r="H1066" i="2"/>
  <c r="K100" i="2"/>
  <c r="E614" i="2"/>
  <c r="E1435" i="2"/>
  <c r="G958" i="2"/>
  <c r="E548" i="2"/>
  <c r="S1010" i="2"/>
  <c r="H730" i="2"/>
  <c r="Q443" i="2"/>
  <c r="F1407" i="2"/>
  <c r="F2019" i="2"/>
  <c r="E1222" i="2"/>
  <c r="S1222" i="2"/>
  <c r="N1277" i="2"/>
  <c r="A1793" i="2"/>
  <c r="H1793" i="2"/>
  <c r="C988" i="2"/>
  <c r="O1277" i="2"/>
  <c r="E771" i="2"/>
  <c r="N2019" i="2"/>
  <c r="K1222" i="2"/>
  <c r="D1155" i="2"/>
  <c r="P2019" i="2"/>
  <c r="A1407" i="2"/>
  <c r="C771" i="2"/>
  <c r="M1222" i="2"/>
  <c r="O1407" i="2"/>
  <c r="S1407" i="2"/>
  <c r="M1155" i="2"/>
  <c r="D1407" i="2"/>
  <c r="N1793" i="2"/>
  <c r="F1222" i="2"/>
  <c r="C2019" i="2"/>
  <c r="P1155" i="2"/>
  <c r="A1844" i="2"/>
  <c r="J771" i="2"/>
  <c r="D988" i="2"/>
  <c r="J2019" i="2"/>
  <c r="C1793" i="2"/>
  <c r="N1222" i="2"/>
  <c r="M1844" i="2"/>
  <c r="M771" i="2"/>
  <c r="R771" i="2"/>
  <c r="J1793" i="2"/>
  <c r="T1793" i="2"/>
  <c r="F988" i="2"/>
  <c r="K1277" i="2"/>
  <c r="P1407" i="2"/>
  <c r="H1277" i="2"/>
  <c r="C1277" i="2"/>
  <c r="S279" i="2"/>
  <c r="N1407" i="2"/>
  <c r="F1277" i="2"/>
  <c r="E1407" i="2"/>
  <c r="K279" i="2"/>
  <c r="P1222" i="2"/>
  <c r="G1155" i="2"/>
  <c r="E988" i="2"/>
  <c r="C1155" i="2"/>
  <c r="G279" i="2"/>
  <c r="J1407" i="2"/>
  <c r="A1155" i="2"/>
  <c r="R1277" i="2"/>
  <c r="P771" i="2"/>
  <c r="E1277" i="2"/>
  <c r="O988" i="2"/>
  <c r="Q771" i="2"/>
  <c r="F1793" i="2"/>
  <c r="H771" i="2"/>
  <c r="Q1155" i="2"/>
  <c r="O1155" i="2"/>
  <c r="F279" i="2"/>
  <c r="S2019" i="2"/>
  <c r="T279" i="2"/>
  <c r="O2019" i="2"/>
  <c r="M988" i="2"/>
  <c r="R1222" i="2"/>
  <c r="D1844" i="2"/>
  <c r="H1407" i="2"/>
  <c r="N279" i="2"/>
  <c r="A771" i="2"/>
  <c r="S1155" i="2"/>
  <c r="A2019" i="2"/>
  <c r="J1222" i="2"/>
  <c r="C279" i="2"/>
  <c r="D771" i="2"/>
  <c r="H279" i="2"/>
  <c r="T1222" i="2"/>
  <c r="J1277" i="2"/>
  <c r="D2019" i="2"/>
  <c r="T1844" i="2"/>
  <c r="C1222" i="2"/>
  <c r="A1277" i="2"/>
  <c r="N1155" i="2"/>
  <c r="M1793" i="2"/>
  <c r="C1844" i="2"/>
  <c r="G771" i="2"/>
  <c r="A1222" i="2"/>
  <c r="D1793" i="2"/>
  <c r="P1793" i="2"/>
  <c r="K2019" i="2"/>
  <c r="R1155" i="2"/>
  <c r="T771" i="2"/>
  <c r="S1793" i="2"/>
  <c r="R1407" i="2"/>
  <c r="C1407" i="2"/>
  <c r="D279" i="2"/>
  <c r="K1407" i="2"/>
  <c r="Q279" i="2"/>
  <c r="Q1793" i="2"/>
  <c r="H1155" i="2"/>
  <c r="E279" i="2"/>
  <c r="D1277" i="2"/>
  <c r="E2019" i="2"/>
  <c r="A279" i="2"/>
  <c r="G1844" i="2"/>
  <c r="Q2019" i="2"/>
  <c r="K771" i="2"/>
  <c r="G1277" i="2"/>
  <c r="H2019" i="2"/>
  <c r="N988" i="2"/>
  <c r="E1155" i="2"/>
  <c r="R279" i="2"/>
  <c r="O279" i="2"/>
  <c r="K988" i="2"/>
  <c r="H1222" i="2"/>
  <c r="K1793" i="2"/>
  <c r="F1155" i="2"/>
  <c r="S988" i="2"/>
  <c r="E1844" i="2"/>
  <c r="Q1222" i="2"/>
  <c r="N771" i="2"/>
  <c r="R1844" i="2"/>
  <c r="S1277" i="2"/>
  <c r="T1155" i="2"/>
  <c r="K1844" i="2"/>
  <c r="Q1277" i="2"/>
  <c r="K1155" i="2"/>
  <c r="H1844" i="2"/>
  <c r="J279" i="2"/>
  <c r="H988" i="2"/>
  <c r="Q988" i="2"/>
  <c r="S1844" i="2"/>
  <c r="O1793" i="2"/>
  <c r="P1844" i="2"/>
  <c r="Q1407" i="2"/>
  <c r="F771" i="2"/>
  <c r="O1222" i="2"/>
  <c r="R1793" i="2"/>
  <c r="M1407" i="2"/>
  <c r="P1277" i="2"/>
  <c r="M279" i="2"/>
  <c r="Q1844" i="2"/>
  <c r="J988" i="2"/>
  <c r="A988" i="2"/>
  <c r="N1844" i="2"/>
  <c r="R988" i="2"/>
  <c r="G2019" i="2"/>
  <c r="E1793" i="2"/>
  <c r="O771" i="2"/>
  <c r="M1277" i="2"/>
  <c r="F1844" i="2"/>
  <c r="P988" i="2"/>
  <c r="T2019" i="2"/>
  <c r="D1222" i="2"/>
  <c r="O1844" i="2"/>
  <c r="M2019" i="2"/>
  <c r="G1407" i="2"/>
  <c r="T988" i="2"/>
  <c r="S771" i="2"/>
  <c r="T1277" i="2"/>
  <c r="R2019" i="2"/>
  <c r="J1844" i="2"/>
  <c r="T1407" i="2"/>
  <c r="P279" i="2"/>
  <c r="G1793" i="2"/>
  <c r="G1222" i="2"/>
  <c r="G988" i="2"/>
  <c r="J1155" i="2"/>
  <c r="D1007" i="2"/>
  <c r="K1804" i="2"/>
  <c r="C1646" i="2"/>
  <c r="Q230" i="2"/>
  <c r="F1847" i="2"/>
  <c r="E230" i="2"/>
  <c r="C1804" i="2"/>
  <c r="H1847" i="2"/>
  <c r="M1646" i="2"/>
  <c r="M1583" i="2"/>
  <c r="J1267" i="2"/>
  <c r="J1583" i="2"/>
  <c r="O476" i="2"/>
  <c r="Q1804" i="2"/>
  <c r="D476" i="2"/>
  <c r="O1847" i="2"/>
  <c r="G1007" i="2"/>
  <c r="A1847" i="2"/>
  <c r="N505" i="2"/>
  <c r="M230" i="2"/>
  <c r="S476" i="2"/>
  <c r="T1007" i="2"/>
  <c r="D505" i="2"/>
  <c r="T1267" i="2"/>
  <c r="A1267" i="2"/>
  <c r="J1847" i="2"/>
  <c r="R1267" i="2"/>
  <c r="T1646" i="2"/>
  <c r="O1007" i="2"/>
  <c r="E1847" i="2"/>
  <c r="E1469" i="2"/>
  <c r="T1583" i="2"/>
  <c r="R1804" i="2"/>
  <c r="S1804" i="2"/>
  <c r="C1007" i="2"/>
  <c r="G1469" i="2"/>
  <c r="G505" i="2"/>
  <c r="S1469" i="2"/>
  <c r="J1646" i="2"/>
  <c r="A1007" i="2"/>
  <c r="H1267" i="2"/>
  <c r="F230" i="2"/>
  <c r="K476" i="2"/>
  <c r="K1646" i="2"/>
  <c r="A505" i="2"/>
  <c r="M505" i="2"/>
  <c r="O1469" i="2"/>
  <c r="P1007" i="2"/>
  <c r="H1646" i="2"/>
  <c r="Q1646" i="2"/>
  <c r="M1847" i="2"/>
  <c r="K1007" i="2"/>
  <c r="D1267" i="2"/>
  <c r="O1267" i="2"/>
  <c r="R1847" i="2"/>
  <c r="C230" i="2"/>
  <c r="N1847" i="2"/>
  <c r="G1804" i="2"/>
  <c r="Q476" i="2"/>
  <c r="M476" i="2"/>
  <c r="G1646" i="2"/>
  <c r="K1847" i="2"/>
  <c r="J476" i="2"/>
  <c r="P1804" i="2"/>
  <c r="A1469" i="2"/>
  <c r="M1804" i="2"/>
  <c r="J1469" i="2"/>
  <c r="E1646" i="2"/>
  <c r="S230" i="2"/>
  <c r="R1646" i="2"/>
  <c r="F505" i="2"/>
  <c r="Q505" i="2"/>
  <c r="G1583" i="2"/>
  <c r="E1007" i="2"/>
  <c r="K505" i="2"/>
  <c r="T230" i="2"/>
  <c r="K1267" i="2"/>
  <c r="J1007" i="2"/>
  <c r="N1469" i="2"/>
  <c r="H476" i="2"/>
  <c r="P1646" i="2"/>
  <c r="T476" i="2"/>
  <c r="S1007" i="2"/>
  <c r="C1847" i="2"/>
  <c r="P1469" i="2"/>
  <c r="N1804" i="2"/>
  <c r="F1804" i="2"/>
  <c r="Q1583" i="2"/>
  <c r="R1007" i="2"/>
  <c r="N1007" i="2"/>
  <c r="E505" i="2"/>
  <c r="A230" i="2"/>
  <c r="C1469" i="2"/>
  <c r="O505" i="2"/>
  <c r="P1583" i="2"/>
  <c r="F1646" i="2"/>
  <c r="N476" i="2"/>
  <c r="R1469" i="2"/>
  <c r="F1007" i="2"/>
  <c r="T505" i="2"/>
  <c r="D230" i="2"/>
  <c r="M1267" i="2"/>
  <c r="F1267" i="2"/>
  <c r="O1583" i="2"/>
  <c r="H230" i="2"/>
  <c r="N1267" i="2"/>
  <c r="A1646" i="2"/>
  <c r="O1804" i="2"/>
  <c r="H1007" i="2"/>
  <c r="S1267" i="2"/>
  <c r="C1583" i="2"/>
  <c r="C505" i="2"/>
  <c r="Q1847" i="2"/>
  <c r="N1646" i="2"/>
  <c r="Q1007" i="2"/>
  <c r="J230" i="2"/>
  <c r="P505" i="2"/>
  <c r="R505" i="2"/>
  <c r="J505" i="2"/>
  <c r="T1469" i="2"/>
  <c r="G1267" i="2"/>
  <c r="F1469" i="2"/>
  <c r="A1583" i="2"/>
  <c r="E1267" i="2"/>
  <c r="N230" i="2"/>
  <c r="R230" i="2"/>
  <c r="E476" i="2"/>
  <c r="T1804" i="2"/>
  <c r="S1847" i="2"/>
  <c r="H1469" i="2"/>
  <c r="R1583" i="2"/>
  <c r="P230" i="2"/>
  <c r="R476" i="2"/>
  <c r="H505" i="2"/>
  <c r="J1804" i="2"/>
  <c r="G1847" i="2"/>
  <c r="E1583" i="2"/>
  <c r="D1847" i="2"/>
  <c r="F1583" i="2"/>
  <c r="C476" i="2"/>
  <c r="P476" i="2"/>
  <c r="A1804" i="2"/>
  <c r="G476" i="2"/>
  <c r="D1646" i="2"/>
  <c r="D1469" i="2"/>
  <c r="H1583" i="2"/>
  <c r="E1804" i="2"/>
  <c r="Q1469" i="2"/>
  <c r="H1804" i="2"/>
  <c r="K230" i="2"/>
  <c r="N1583" i="2"/>
  <c r="D1583" i="2"/>
  <c r="S1583" i="2"/>
  <c r="O230" i="2"/>
  <c r="F476" i="2"/>
  <c r="P1267" i="2"/>
  <c r="C1267" i="2"/>
  <c r="K1469" i="2"/>
  <c r="S1646" i="2"/>
  <c r="T1847" i="2"/>
  <c r="Q1267" i="2"/>
  <c r="M1007" i="2"/>
  <c r="M1469" i="2"/>
  <c r="O1646" i="2"/>
  <c r="K1583" i="2"/>
  <c r="P1847" i="2"/>
  <c r="G230" i="2"/>
  <c r="D1804" i="2"/>
  <c r="S505" i="2"/>
  <c r="A476" i="2"/>
  <c r="F1171" i="2"/>
  <c r="T1621" i="2"/>
  <c r="Q1599" i="2"/>
  <c r="D252" i="2"/>
  <c r="P1171" i="2"/>
  <c r="P917" i="2"/>
  <c r="C1171" i="2"/>
  <c r="H1171" i="2"/>
  <c r="E252" i="2"/>
  <c r="P252" i="2"/>
  <c r="P448" i="2"/>
  <c r="T917" i="2"/>
  <c r="P1480" i="2"/>
  <c r="N905" i="2"/>
  <c r="M1171" i="2"/>
  <c r="A905" i="2"/>
  <c r="M2005" i="2"/>
  <c r="S2005" i="2"/>
  <c r="N340" i="2"/>
  <c r="T905" i="2"/>
  <c r="Q1621" i="2"/>
  <c r="G905" i="2"/>
  <c r="R1599" i="2"/>
  <c r="A252" i="2"/>
  <c r="R1171" i="2"/>
  <c r="S448" i="2"/>
  <c r="F2005" i="2"/>
  <c r="N917" i="2"/>
  <c r="N252" i="2"/>
  <c r="A1599" i="2"/>
  <c r="G917" i="2"/>
  <c r="S1171" i="2"/>
  <c r="O1480" i="2"/>
  <c r="G340" i="2"/>
  <c r="H252" i="2"/>
  <c r="K905" i="2"/>
  <c r="M1599" i="2"/>
  <c r="K2005" i="2"/>
  <c r="Q1480" i="2"/>
  <c r="J917" i="2"/>
  <c r="S252" i="2"/>
  <c r="N2005" i="2"/>
  <c r="C252" i="2"/>
  <c r="N448" i="2"/>
  <c r="Q1171" i="2"/>
  <c r="H1480" i="2"/>
  <c r="R340" i="2"/>
  <c r="O1171" i="2"/>
  <c r="G252" i="2"/>
  <c r="E917" i="2"/>
  <c r="J1599" i="2"/>
  <c r="D448" i="2"/>
  <c r="D1621" i="2"/>
  <c r="S1480" i="2"/>
  <c r="D917" i="2"/>
  <c r="G2005" i="2"/>
  <c r="R905" i="2"/>
  <c r="O252" i="2"/>
  <c r="A1480" i="2"/>
  <c r="N1480" i="2"/>
  <c r="T1599" i="2"/>
  <c r="Q905" i="2"/>
  <c r="M340" i="2"/>
  <c r="H340" i="2"/>
  <c r="Q252" i="2"/>
  <c r="S1621" i="2"/>
  <c r="D1171" i="2"/>
  <c r="K340" i="2"/>
  <c r="O2005" i="2"/>
  <c r="E2005" i="2"/>
  <c r="O340" i="2"/>
  <c r="P1621" i="2"/>
  <c r="H905" i="2"/>
  <c r="F917" i="2"/>
  <c r="T2005" i="2"/>
  <c r="C1621" i="2"/>
  <c r="M905" i="2"/>
  <c r="K917" i="2"/>
  <c r="F340" i="2"/>
  <c r="H1621" i="2"/>
  <c r="J448" i="2"/>
  <c r="K252" i="2"/>
  <c r="N1171" i="2"/>
  <c r="R252" i="2"/>
  <c r="E1599" i="2"/>
  <c r="J1171" i="2"/>
  <c r="S917" i="2"/>
  <c r="Q2005" i="2"/>
  <c r="J252" i="2"/>
  <c r="O917" i="2"/>
  <c r="A1171" i="2"/>
  <c r="C448" i="2"/>
  <c r="P2005" i="2"/>
  <c r="C917" i="2"/>
  <c r="M1621" i="2"/>
  <c r="T252" i="2"/>
  <c r="E1621" i="2"/>
  <c r="R1480" i="2"/>
  <c r="T340" i="2"/>
  <c r="H2005" i="2"/>
  <c r="N1621" i="2"/>
  <c r="E340" i="2"/>
  <c r="K1599" i="2"/>
  <c r="E905" i="2"/>
  <c r="J905" i="2"/>
  <c r="R2005" i="2"/>
  <c r="F448" i="2"/>
  <c r="C2005" i="2"/>
  <c r="A448" i="2"/>
  <c r="Q448" i="2"/>
  <c r="O1599" i="2"/>
  <c r="C340" i="2"/>
  <c r="F905" i="2"/>
  <c r="R917" i="2"/>
  <c r="C905" i="2"/>
  <c r="T1480" i="2"/>
  <c r="J340" i="2"/>
  <c r="Q340" i="2"/>
  <c r="J1621" i="2"/>
  <c r="K448" i="2"/>
  <c r="P1599" i="2"/>
  <c r="D1599" i="2"/>
  <c r="P905" i="2"/>
  <c r="G1480" i="2"/>
  <c r="G448" i="2"/>
  <c r="K1480" i="2"/>
  <c r="K1621" i="2"/>
  <c r="A2005" i="2"/>
  <c r="R1621" i="2"/>
  <c r="K1171" i="2"/>
  <c r="H1599" i="2"/>
  <c r="G1171" i="2"/>
  <c r="F252" i="2"/>
  <c r="A340" i="2"/>
  <c r="O905" i="2"/>
  <c r="H917" i="2"/>
  <c r="O448" i="2"/>
  <c r="D1480" i="2"/>
  <c r="D905" i="2"/>
  <c r="O1621" i="2"/>
  <c r="T448" i="2"/>
  <c r="A917" i="2"/>
  <c r="S340" i="2"/>
  <c r="C1480" i="2"/>
  <c r="J1480" i="2"/>
  <c r="E1171" i="2"/>
  <c r="M448" i="2"/>
  <c r="P340" i="2"/>
  <c r="D2005" i="2"/>
  <c r="S1599" i="2"/>
  <c r="F1621" i="2"/>
  <c r="M1480" i="2"/>
  <c r="G1621" i="2"/>
  <c r="C1599" i="2"/>
  <c r="N1599" i="2"/>
  <c r="E448" i="2"/>
  <c r="E1480" i="2"/>
  <c r="M917" i="2"/>
  <c r="G1599" i="2"/>
  <c r="H448" i="2"/>
  <c r="F1599" i="2"/>
  <c r="Q917" i="2"/>
  <c r="F1480" i="2"/>
  <c r="R448" i="2"/>
  <c r="M252" i="2"/>
  <c r="D340" i="2"/>
  <c r="J2005" i="2"/>
  <c r="A1621" i="2"/>
  <c r="S905" i="2"/>
  <c r="T1171" i="2"/>
  <c r="A493" i="2"/>
  <c r="S16" i="2"/>
  <c r="J493" i="2"/>
  <c r="T493" i="2"/>
  <c r="O493" i="2"/>
  <c r="M1402" i="2"/>
  <c r="M312" i="2"/>
  <c r="C1402" i="2"/>
  <c r="J1402" i="2"/>
  <c r="R493" i="2"/>
  <c r="F687" i="2"/>
  <c r="S312" i="2"/>
  <c r="E687" i="2"/>
  <c r="M2123" i="2"/>
  <c r="T16" i="2"/>
  <c r="G2123" i="2"/>
  <c r="A2150" i="2"/>
  <c r="D2123" i="2"/>
  <c r="F2150" i="2"/>
  <c r="Q591" i="2"/>
  <c r="K2150" i="2"/>
  <c r="N1402" i="2"/>
  <c r="G1666" i="2"/>
  <c r="H520" i="2"/>
  <c r="R312" i="2"/>
  <c r="F2123" i="2"/>
  <c r="F520" i="2"/>
  <c r="R591" i="2"/>
  <c r="Q687" i="2"/>
  <c r="H1666" i="2"/>
  <c r="H591" i="2"/>
  <c r="F591" i="2"/>
  <c r="T1666" i="2"/>
  <c r="N520" i="2"/>
  <c r="P312" i="2"/>
  <c r="O1402" i="2"/>
  <c r="F1666" i="2"/>
  <c r="C493" i="2"/>
  <c r="D16" i="2"/>
  <c r="D687" i="2"/>
  <c r="G312" i="2"/>
  <c r="G493" i="2"/>
  <c r="O1666" i="2"/>
  <c r="H16" i="2"/>
  <c r="D520" i="2"/>
  <c r="E520" i="2"/>
  <c r="N687" i="2"/>
  <c r="J16" i="2"/>
  <c r="N493" i="2"/>
  <c r="Q1402" i="2"/>
  <c r="O591" i="2"/>
  <c r="N591" i="2"/>
  <c r="C591" i="2"/>
  <c r="P1666" i="2"/>
  <c r="R2150" i="2"/>
  <c r="M2150" i="2"/>
  <c r="C687" i="2"/>
  <c r="D591" i="2"/>
  <c r="E312" i="2"/>
  <c r="P687" i="2"/>
  <c r="F493" i="2"/>
  <c r="K1666" i="2"/>
  <c r="H312" i="2"/>
  <c r="M520" i="2"/>
  <c r="O687" i="2"/>
  <c r="R2123" i="2"/>
  <c r="G1402" i="2"/>
  <c r="J2123" i="2"/>
  <c r="N16" i="2"/>
  <c r="G687" i="2"/>
  <c r="T1402" i="2"/>
  <c r="T591" i="2"/>
  <c r="C16" i="2"/>
  <c r="S493" i="2"/>
  <c r="N2150" i="2"/>
  <c r="J520" i="2"/>
  <c r="A687" i="2"/>
  <c r="N2123" i="2"/>
  <c r="J687" i="2"/>
  <c r="E591" i="2"/>
  <c r="O520" i="2"/>
  <c r="E1666" i="2"/>
  <c r="A2123" i="2"/>
  <c r="K312" i="2"/>
  <c r="P493" i="2"/>
  <c r="S1402" i="2"/>
  <c r="Q1666" i="2"/>
  <c r="K520" i="2"/>
  <c r="Q2150" i="2"/>
  <c r="H2123" i="2"/>
  <c r="A312" i="2"/>
  <c r="S2123" i="2"/>
  <c r="T312" i="2"/>
  <c r="E2123" i="2"/>
  <c r="N312" i="2"/>
  <c r="K687" i="2"/>
  <c r="S591" i="2"/>
  <c r="C312" i="2"/>
  <c r="M687" i="2"/>
  <c r="D312" i="2"/>
  <c r="O2123" i="2"/>
  <c r="R1666" i="2"/>
  <c r="K1402" i="2"/>
  <c r="M1666" i="2"/>
  <c r="J312" i="2"/>
  <c r="K2123" i="2"/>
  <c r="K493" i="2"/>
  <c r="R520" i="2"/>
  <c r="G520" i="2"/>
  <c r="F16" i="2"/>
  <c r="P16" i="2"/>
  <c r="J591" i="2"/>
  <c r="H2150" i="2"/>
  <c r="E2150" i="2"/>
  <c r="D1402" i="2"/>
  <c r="O2150" i="2"/>
  <c r="H1402" i="2"/>
  <c r="Q312" i="2"/>
  <c r="J1666" i="2"/>
  <c r="C1666" i="2"/>
  <c r="M591" i="2"/>
  <c r="K16" i="2"/>
  <c r="A16" i="2"/>
  <c r="T2150" i="2"/>
  <c r="Q520" i="2"/>
  <c r="P591" i="2"/>
  <c r="Q2123" i="2"/>
  <c r="N1666" i="2"/>
  <c r="P2150" i="2"/>
  <c r="J2150" i="2"/>
  <c r="M16" i="2"/>
  <c r="R16" i="2"/>
  <c r="D493" i="2"/>
  <c r="F1402" i="2"/>
  <c r="G591" i="2"/>
  <c r="A1402" i="2"/>
  <c r="G2150" i="2"/>
  <c r="P2123" i="2"/>
  <c r="H687" i="2"/>
  <c r="Q493" i="2"/>
  <c r="Q16" i="2"/>
  <c r="A1666" i="2"/>
  <c r="T687" i="2"/>
  <c r="E493" i="2"/>
  <c r="M493" i="2"/>
  <c r="P520" i="2"/>
  <c r="D2150" i="2"/>
  <c r="A520" i="2"/>
  <c r="P1402" i="2"/>
  <c r="G16" i="2"/>
  <c r="K591" i="2"/>
  <c r="R1402" i="2"/>
  <c r="S2150" i="2"/>
  <c r="D1666" i="2"/>
  <c r="T520" i="2"/>
  <c r="S687" i="2"/>
  <c r="O312" i="2"/>
  <c r="S520" i="2"/>
  <c r="T2123" i="2"/>
  <c r="E16" i="2"/>
  <c r="S1666" i="2"/>
  <c r="C520" i="2"/>
  <c r="O16" i="2"/>
  <c r="E1402" i="2"/>
  <c r="H493" i="2"/>
  <c r="R687" i="2"/>
  <c r="C2123" i="2"/>
  <c r="A591" i="2"/>
  <c r="C2150" i="2"/>
  <c r="F312" i="2"/>
  <c r="J1622" i="2"/>
  <c r="J1681" i="2"/>
  <c r="G1070" i="2"/>
  <c r="F1065" i="2"/>
  <c r="C1818" i="2"/>
  <c r="G1630" i="2"/>
  <c r="O1622" i="2"/>
  <c r="H1065" i="2"/>
  <c r="P1070" i="2"/>
  <c r="E1818" i="2"/>
  <c r="M253" i="2"/>
  <c r="Q1065" i="2"/>
  <c r="O1818" i="2"/>
  <c r="A939" i="2"/>
  <c r="F253" i="2"/>
  <c r="M939" i="2"/>
  <c r="K1681" i="2"/>
  <c r="T1681" i="2"/>
  <c r="D253" i="2"/>
  <c r="O1630" i="2"/>
  <c r="H939" i="2"/>
  <c r="G939" i="2"/>
  <c r="R939" i="2"/>
  <c r="M1630" i="2"/>
  <c r="D939" i="2"/>
  <c r="C1065" i="2"/>
  <c r="E253" i="2"/>
  <c r="A1622" i="2"/>
  <c r="F1818" i="2"/>
  <c r="N721" i="2"/>
  <c r="G1497" i="2"/>
  <c r="S1630" i="2"/>
  <c r="P1630" i="2"/>
  <c r="K1070" i="2"/>
  <c r="E721" i="2"/>
  <c r="Q1630" i="2"/>
  <c r="J721" i="2"/>
  <c r="G1681" i="2"/>
  <c r="G1065" i="2"/>
  <c r="E1065" i="2"/>
  <c r="K939" i="2"/>
  <c r="S1497" i="2"/>
  <c r="R1630" i="2"/>
  <c r="A1818" i="2"/>
  <c r="K1065" i="2"/>
  <c r="K1630" i="2"/>
  <c r="D1818" i="2"/>
  <c r="S939" i="2"/>
  <c r="A1630" i="2"/>
  <c r="T721" i="2"/>
  <c r="D1070" i="2"/>
  <c r="H1630" i="2"/>
  <c r="P1681" i="2"/>
  <c r="A1497" i="2"/>
  <c r="P939" i="2"/>
  <c r="Q721" i="2"/>
  <c r="H1818" i="2"/>
  <c r="F1630" i="2"/>
  <c r="M1070" i="2"/>
  <c r="C1630" i="2"/>
  <c r="T1818" i="2"/>
  <c r="Q1681" i="2"/>
  <c r="H1070" i="2"/>
  <c r="J1065" i="2"/>
  <c r="O253" i="2"/>
  <c r="R1681" i="2"/>
  <c r="J1497" i="2"/>
  <c r="J1630" i="2"/>
  <c r="O721" i="2"/>
  <c r="H1497" i="2"/>
  <c r="R253" i="2"/>
  <c r="E1630" i="2"/>
  <c r="T1070" i="2"/>
  <c r="C1070" i="2"/>
  <c r="O1497" i="2"/>
  <c r="P1818" i="2"/>
  <c r="Q1070" i="2"/>
  <c r="K1818" i="2"/>
  <c r="P253" i="2"/>
  <c r="Q253" i="2"/>
  <c r="T939" i="2"/>
  <c r="C721" i="2"/>
  <c r="N1818" i="2"/>
  <c r="N1070" i="2"/>
  <c r="E1070" i="2"/>
  <c r="R1497" i="2"/>
  <c r="J253" i="2"/>
  <c r="H253" i="2"/>
  <c r="G721" i="2"/>
  <c r="R1070" i="2"/>
  <c r="P721" i="2"/>
  <c r="F939" i="2"/>
  <c r="R721" i="2"/>
  <c r="J939" i="2"/>
  <c r="P1065" i="2"/>
  <c r="Q939" i="2"/>
  <c r="N1065" i="2"/>
  <c r="C1681" i="2"/>
  <c r="P1497" i="2"/>
  <c r="N253" i="2"/>
  <c r="F1497" i="2"/>
  <c r="F1070" i="2"/>
  <c r="D1681" i="2"/>
  <c r="E939" i="2"/>
  <c r="M1622" i="2"/>
  <c r="K253" i="2"/>
  <c r="T1497" i="2"/>
  <c r="N1681" i="2"/>
  <c r="A1070" i="2"/>
  <c r="S1070" i="2"/>
  <c r="A1681" i="2"/>
  <c r="J1070" i="2"/>
  <c r="S1622" i="2"/>
  <c r="F721" i="2"/>
  <c r="F1681" i="2"/>
  <c r="Q1818" i="2"/>
  <c r="M721" i="2"/>
  <c r="T253" i="2"/>
  <c r="D1622" i="2"/>
  <c r="T1630" i="2"/>
  <c r="F1622" i="2"/>
  <c r="D1630" i="2"/>
  <c r="J1818" i="2"/>
  <c r="S1681" i="2"/>
  <c r="C939" i="2"/>
  <c r="K1622" i="2"/>
  <c r="O1681" i="2"/>
  <c r="K721" i="2"/>
  <c r="E1622" i="2"/>
  <c r="H1681" i="2"/>
  <c r="S1065" i="2"/>
  <c r="M1681" i="2"/>
  <c r="P1622" i="2"/>
  <c r="C1622" i="2"/>
  <c r="D721" i="2"/>
  <c r="Q1622" i="2"/>
  <c r="N1622" i="2"/>
  <c r="A721" i="2"/>
  <c r="D1497" i="2"/>
  <c r="A1065" i="2"/>
  <c r="G253" i="2"/>
  <c r="O939" i="2"/>
  <c r="T1622" i="2"/>
  <c r="N1497" i="2"/>
  <c r="S253" i="2"/>
  <c r="Q1497" i="2"/>
  <c r="R1818" i="2"/>
  <c r="D1065" i="2"/>
  <c r="S721" i="2"/>
  <c r="M1065" i="2"/>
  <c r="G1622" i="2"/>
  <c r="R1622" i="2"/>
  <c r="O1065" i="2"/>
  <c r="R1065" i="2"/>
  <c r="M1497" i="2"/>
  <c r="E1497" i="2"/>
  <c r="K1497" i="2"/>
  <c r="A253" i="2"/>
  <c r="G1818" i="2"/>
  <c r="M1818" i="2"/>
  <c r="C253" i="2"/>
  <c r="S1818" i="2"/>
  <c r="C1497" i="2"/>
  <c r="H721" i="2"/>
  <c r="O1070" i="2"/>
  <c r="N1630" i="2"/>
  <c r="H1622" i="2"/>
  <c r="E1681" i="2"/>
  <c r="T1065" i="2"/>
  <c r="N939" i="2"/>
  <c r="Q1051" i="2"/>
  <c r="D1975" i="2"/>
  <c r="H5" i="2"/>
  <c r="T1140" i="2"/>
  <c r="Q1091" i="2"/>
  <c r="M981" i="2"/>
  <c r="C2182" i="2"/>
  <c r="R1091" i="2"/>
  <c r="G1091" i="2"/>
  <c r="R1355" i="2"/>
  <c r="F981" i="2"/>
  <c r="C1051" i="2"/>
  <c r="E1975" i="2"/>
  <c r="P2182" i="2"/>
  <c r="G87" i="2"/>
  <c r="J5" i="2"/>
  <c r="G593" i="2"/>
  <c r="E1140" i="2"/>
  <c r="J2176" i="2"/>
  <c r="F65" i="2"/>
  <c r="G1146" i="2"/>
  <c r="M465" i="2"/>
  <c r="T38" i="2"/>
  <c r="O5" i="2"/>
  <c r="K238" i="2"/>
  <c r="R465" i="2"/>
  <c r="M238" i="2"/>
  <c r="G1051" i="2"/>
  <c r="D238" i="2"/>
  <c r="Q238" i="2"/>
  <c r="F1146" i="2"/>
  <c r="K1705" i="2"/>
  <c r="P2197" i="2"/>
  <c r="D981" i="2"/>
  <c r="K38" i="2"/>
  <c r="A65" i="2"/>
  <c r="N1091" i="2"/>
  <c r="O2182" i="2"/>
  <c r="J2182" i="2"/>
  <c r="F593" i="2"/>
  <c r="A1051" i="2"/>
  <c r="J65" i="2"/>
  <c r="J2197" i="2"/>
  <c r="P42" i="2"/>
  <c r="T981" i="2"/>
  <c r="D1051" i="2"/>
  <c r="J981" i="2"/>
  <c r="S1975" i="2"/>
  <c r="D2182" i="2"/>
  <c r="H2182" i="2"/>
  <c r="G5" i="2"/>
  <c r="O1975" i="2"/>
  <c r="E593" i="2"/>
  <c r="S593" i="2"/>
  <c r="D87" i="2"/>
  <c r="K1146" i="2"/>
  <c r="A87" i="2"/>
  <c r="F465" i="2"/>
  <c r="O1355" i="2"/>
  <c r="R1146" i="2"/>
  <c r="E465" i="2"/>
  <c r="S1051" i="2"/>
  <c r="H38" i="2"/>
  <c r="O465" i="2"/>
  <c r="M2176" i="2"/>
  <c r="N1355" i="2"/>
  <c r="A981" i="2"/>
  <c r="H65" i="2"/>
  <c r="G65" i="2"/>
  <c r="H1140" i="2"/>
  <c r="Q981" i="2"/>
  <c r="K2182" i="2"/>
  <c r="D42" i="2"/>
  <c r="Q65" i="2"/>
  <c r="N1975" i="2"/>
  <c r="Q38" i="2"/>
  <c r="J238" i="2"/>
  <c r="N593" i="2"/>
  <c r="G2176" i="2"/>
  <c r="T87" i="2"/>
  <c r="S1091" i="2"/>
  <c r="K2197" i="2"/>
  <c r="E2197" i="2"/>
  <c r="C1140" i="2"/>
  <c r="S1140" i="2"/>
  <c r="A1140" i="2"/>
  <c r="R981" i="2"/>
  <c r="H1705" i="2"/>
  <c r="T1355" i="2"/>
  <c r="M2182" i="2"/>
  <c r="M87" i="2"/>
  <c r="H1002" i="2"/>
  <c r="T1091" i="2"/>
  <c r="D1002" i="2"/>
  <c r="O238" i="2"/>
  <c r="F1051" i="2"/>
  <c r="R65" i="2"/>
  <c r="C2197" i="2"/>
  <c r="M1705" i="2"/>
  <c r="N38" i="2"/>
  <c r="E1146" i="2"/>
  <c r="J1140" i="2"/>
  <c r="R1002" i="2"/>
  <c r="O42" i="2"/>
  <c r="A42" i="2"/>
  <c r="K1002" i="2"/>
  <c r="F38" i="2"/>
  <c r="C593" i="2"/>
  <c r="P981" i="2"/>
  <c r="S1705" i="2"/>
  <c r="E5" i="2"/>
  <c r="F2176" i="2"/>
  <c r="D1146" i="2"/>
  <c r="N1705" i="2"/>
  <c r="C1146" i="2"/>
  <c r="R1975" i="2"/>
  <c r="P38" i="2"/>
  <c r="S2197" i="2"/>
  <c r="P465" i="2"/>
  <c r="R2197" i="2"/>
  <c r="D465" i="2"/>
  <c r="J42" i="2"/>
  <c r="C238" i="2"/>
  <c r="E1705" i="2"/>
  <c r="R5" i="2"/>
  <c r="D65" i="2"/>
  <c r="A1091" i="2"/>
  <c r="J1355" i="2"/>
  <c r="N2176" i="2"/>
  <c r="E65" i="2"/>
  <c r="E2176" i="2"/>
  <c r="T593" i="2"/>
  <c r="M1355" i="2"/>
  <c r="Q87" i="2"/>
  <c r="G1355" i="2"/>
  <c r="T1002" i="2"/>
  <c r="O2176" i="2"/>
  <c r="F1140" i="2"/>
  <c r="C1705" i="2"/>
  <c r="M2197" i="2"/>
  <c r="T65" i="2"/>
  <c r="O1091" i="2"/>
  <c r="K593" i="2"/>
  <c r="O65" i="2"/>
  <c r="S5" i="2"/>
  <c r="T2182" i="2"/>
  <c r="F2182" i="2"/>
  <c r="S238" i="2"/>
  <c r="M593" i="2"/>
  <c r="A2182" i="2"/>
  <c r="N1140" i="2"/>
  <c r="P87" i="2"/>
  <c r="E238" i="2"/>
  <c r="J1091" i="2"/>
  <c r="N465" i="2"/>
  <c r="E2182" i="2"/>
  <c r="Q2182" i="2"/>
  <c r="Q1975" i="2"/>
  <c r="P1091" i="2"/>
  <c r="P1140" i="2"/>
  <c r="A465" i="2"/>
  <c r="K2176" i="2"/>
  <c r="M42" i="2"/>
  <c r="C1975" i="2"/>
  <c r="K465" i="2"/>
  <c r="J1975" i="2"/>
  <c r="O2197" i="2"/>
  <c r="F1705" i="2"/>
  <c r="S38" i="2"/>
  <c r="Q1002" i="2"/>
  <c r="J1705" i="2"/>
  <c r="N981" i="2"/>
  <c r="N1146" i="2"/>
  <c r="F5" i="2"/>
  <c r="A1705" i="2"/>
  <c r="J593" i="2"/>
  <c r="P238" i="2"/>
  <c r="H1091" i="2"/>
  <c r="R1051" i="2"/>
  <c r="E1002" i="2"/>
  <c r="A1355" i="2"/>
  <c r="N5" i="2"/>
  <c r="O87" i="2"/>
  <c r="O38" i="2"/>
  <c r="S2176" i="2"/>
  <c r="J1146" i="2"/>
  <c r="K981" i="2"/>
  <c r="D1705" i="2"/>
  <c r="G1975" i="2"/>
  <c r="S65" i="2"/>
  <c r="P1051" i="2"/>
  <c r="K1355" i="2"/>
  <c r="K1140" i="2"/>
  <c r="N65" i="2"/>
  <c r="A2197" i="2"/>
  <c r="K1091" i="2"/>
  <c r="K1975" i="2"/>
  <c r="K5" i="2"/>
  <c r="M1002" i="2"/>
  <c r="M65" i="2"/>
  <c r="Q2197" i="2"/>
  <c r="H593" i="2"/>
  <c r="G238" i="2"/>
  <c r="Q593" i="2"/>
  <c r="T1705" i="2"/>
  <c r="D1091" i="2"/>
  <c r="K42" i="2"/>
  <c r="D2176" i="2"/>
  <c r="J87" i="2"/>
  <c r="S1355" i="2"/>
  <c r="F42" i="2"/>
  <c r="Q42" i="2"/>
  <c r="E38" i="2"/>
  <c r="G42" i="2"/>
  <c r="J465" i="2"/>
  <c r="F2197" i="2"/>
  <c r="E1355" i="2"/>
  <c r="G2197" i="2"/>
  <c r="Q465" i="2"/>
  <c r="N1002" i="2"/>
  <c r="C87" i="2"/>
  <c r="P593" i="2"/>
  <c r="N1051" i="2"/>
  <c r="R42" i="2"/>
  <c r="R1140" i="2"/>
  <c r="P1705" i="2"/>
  <c r="N2197" i="2"/>
  <c r="D2197" i="2"/>
  <c r="O1140" i="2"/>
  <c r="R38" i="2"/>
  <c r="T465" i="2"/>
  <c r="T2176" i="2"/>
  <c r="F1355" i="2"/>
  <c r="N238" i="2"/>
  <c r="F1002" i="2"/>
  <c r="Q1140" i="2"/>
  <c r="G1705" i="2"/>
  <c r="R2176" i="2"/>
  <c r="S42" i="2"/>
  <c r="K1051" i="2"/>
  <c r="M5" i="2"/>
  <c r="K87" i="2"/>
  <c r="F1975" i="2"/>
  <c r="Q1705" i="2"/>
  <c r="M1975" i="2"/>
  <c r="P1002" i="2"/>
  <c r="D5" i="2"/>
  <c r="R2182" i="2"/>
  <c r="F1091" i="2"/>
  <c r="T1051" i="2"/>
  <c r="H1051" i="2"/>
  <c r="A5" i="2"/>
  <c r="C981" i="2"/>
  <c r="J38" i="2"/>
  <c r="Q5" i="2"/>
  <c r="T5" i="2"/>
  <c r="G981" i="2"/>
  <c r="R593" i="2"/>
  <c r="J1002" i="2"/>
  <c r="D1355" i="2"/>
  <c r="G2182" i="2"/>
  <c r="A38" i="2"/>
  <c r="R1705" i="2"/>
  <c r="G465" i="2"/>
  <c r="C1355" i="2"/>
  <c r="N2182" i="2"/>
  <c r="R87" i="2"/>
  <c r="C465" i="2"/>
  <c r="P65" i="2"/>
  <c r="M1146" i="2"/>
  <c r="G38" i="2"/>
  <c r="H981" i="2"/>
  <c r="O1051" i="2"/>
  <c r="Q1355" i="2"/>
  <c r="T1975" i="2"/>
  <c r="M1140" i="2"/>
  <c r="H465" i="2"/>
  <c r="F87" i="2"/>
  <c r="O593" i="2"/>
  <c r="M1091" i="2"/>
  <c r="P5" i="2"/>
  <c r="H1355" i="2"/>
  <c r="T1146" i="2"/>
  <c r="G1140" i="2"/>
  <c r="P1355" i="2"/>
  <c r="H1146" i="2"/>
  <c r="C1002" i="2"/>
  <c r="C38" i="2"/>
  <c r="T2197" i="2"/>
  <c r="H2176" i="2"/>
  <c r="P1975" i="2"/>
  <c r="D38" i="2"/>
  <c r="N87" i="2"/>
  <c r="C1091" i="2"/>
  <c r="S1146" i="2"/>
  <c r="D593" i="2"/>
  <c r="E1051" i="2"/>
  <c r="A1146" i="2"/>
  <c r="M1051" i="2"/>
  <c r="T238" i="2"/>
  <c r="H42" i="2"/>
  <c r="E87" i="2"/>
  <c r="O1146" i="2"/>
  <c r="H1975" i="2"/>
  <c r="A1975" i="2"/>
  <c r="D1140" i="2"/>
  <c r="A1002" i="2"/>
  <c r="K65" i="2"/>
  <c r="N42" i="2"/>
  <c r="Q2176" i="2"/>
  <c r="H87" i="2"/>
  <c r="R238" i="2"/>
  <c r="Q1146" i="2"/>
  <c r="S2182" i="2"/>
  <c r="A238" i="2"/>
  <c r="C5" i="2"/>
  <c r="E981" i="2"/>
  <c r="A593" i="2"/>
  <c r="S981" i="2"/>
  <c r="J1051" i="2"/>
  <c r="G1002" i="2"/>
  <c r="E1091" i="2"/>
  <c r="O981" i="2"/>
  <c r="E42" i="2"/>
  <c r="S1002" i="2"/>
  <c r="F238" i="2"/>
  <c r="P2176" i="2"/>
  <c r="S87" i="2"/>
  <c r="T42" i="2"/>
  <c r="C2176" i="2"/>
  <c r="H238" i="2"/>
  <c r="M38" i="2"/>
  <c r="A2176" i="2"/>
  <c r="C42" i="2"/>
  <c r="S465" i="2"/>
  <c r="O1002" i="2"/>
  <c r="H2197" i="2"/>
  <c r="C65" i="2"/>
  <c r="P1146" i="2"/>
  <c r="O1705" i="2"/>
  <c r="D1586" i="2"/>
  <c r="G1869" i="2"/>
  <c r="M893" i="2"/>
  <c r="D1869" i="2"/>
  <c r="N648" i="2"/>
  <c r="R1869" i="2"/>
  <c r="H1261" i="2"/>
  <c r="T212" i="2"/>
  <c r="N69" i="2"/>
  <c r="S1586" i="2"/>
  <c r="R1261" i="2"/>
  <c r="H212" i="2"/>
  <c r="O1586" i="2"/>
  <c r="M69" i="2"/>
  <c r="C1869" i="2"/>
  <c r="P1261" i="2"/>
  <c r="P893" i="2"/>
  <c r="D69" i="2"/>
  <c r="T693" i="2"/>
  <c r="T537" i="2"/>
  <c r="D648" i="2"/>
  <c r="H648" i="2"/>
  <c r="O69" i="2"/>
  <c r="S893" i="2"/>
  <c r="R1586" i="2"/>
  <c r="M648" i="2"/>
  <c r="M1586" i="2"/>
  <c r="O1869" i="2"/>
  <c r="F212" i="2"/>
  <c r="E858" i="2"/>
  <c r="D893" i="2"/>
  <c r="N212" i="2"/>
  <c r="F69" i="2"/>
  <c r="O893" i="2"/>
  <c r="H693" i="2"/>
  <c r="A648" i="2"/>
  <c r="A893" i="2"/>
  <c r="G537" i="2"/>
  <c r="S537" i="2"/>
  <c r="T648" i="2"/>
  <c r="T1261" i="2"/>
  <c r="F858" i="2"/>
  <c r="G69" i="2"/>
  <c r="G893" i="2"/>
  <c r="G1261" i="2"/>
  <c r="S858" i="2"/>
  <c r="C537" i="2"/>
  <c r="C893" i="2"/>
  <c r="P69" i="2"/>
  <c r="M1869" i="2"/>
  <c r="J69" i="2"/>
  <c r="E1869" i="2"/>
  <c r="E212" i="2"/>
  <c r="C69" i="2"/>
  <c r="F537" i="2"/>
  <c r="R648" i="2"/>
  <c r="N537" i="2"/>
  <c r="F693" i="2"/>
  <c r="R693" i="2"/>
  <c r="N1586" i="2"/>
  <c r="A212" i="2"/>
  <c r="S1869" i="2"/>
  <c r="O212" i="2"/>
  <c r="O1261" i="2"/>
  <c r="P693" i="2"/>
  <c r="N1261" i="2"/>
  <c r="E693" i="2"/>
  <c r="J693" i="2"/>
  <c r="G212" i="2"/>
  <c r="R212" i="2"/>
  <c r="J1869" i="2"/>
  <c r="E893" i="2"/>
  <c r="N893" i="2"/>
  <c r="C1586" i="2"/>
  <c r="K1869" i="2"/>
  <c r="A858" i="2"/>
  <c r="G858" i="2"/>
  <c r="G648" i="2"/>
  <c r="K1586" i="2"/>
  <c r="R537" i="2"/>
  <c r="F1869" i="2"/>
  <c r="P858" i="2"/>
  <c r="H1869" i="2"/>
  <c r="D693" i="2"/>
  <c r="K858" i="2"/>
  <c r="S693" i="2"/>
  <c r="M693" i="2"/>
  <c r="M537" i="2"/>
  <c r="E1586" i="2"/>
  <c r="C693" i="2"/>
  <c r="S69" i="2"/>
  <c r="J212" i="2"/>
  <c r="S648" i="2"/>
  <c r="Q1586" i="2"/>
  <c r="C212" i="2"/>
  <c r="N1869" i="2"/>
  <c r="M1261" i="2"/>
  <c r="K69" i="2"/>
  <c r="H537" i="2"/>
  <c r="F1586" i="2"/>
  <c r="T1586" i="2"/>
  <c r="N858" i="2"/>
  <c r="G1586" i="2"/>
  <c r="J1586" i="2"/>
  <c r="O858" i="2"/>
  <c r="A69" i="2"/>
  <c r="K212" i="2"/>
  <c r="Q537" i="2"/>
  <c r="T69" i="2"/>
  <c r="K537" i="2"/>
  <c r="A537" i="2"/>
  <c r="Q212" i="2"/>
  <c r="Q693" i="2"/>
  <c r="N693" i="2"/>
  <c r="A1586" i="2"/>
  <c r="F1261" i="2"/>
  <c r="M858" i="2"/>
  <c r="T893" i="2"/>
  <c r="F893" i="2"/>
  <c r="O537" i="2"/>
  <c r="C1261" i="2"/>
  <c r="D537" i="2"/>
  <c r="Q1869" i="2"/>
  <c r="J893" i="2"/>
  <c r="A693" i="2"/>
  <c r="M212" i="2"/>
  <c r="P212" i="2"/>
  <c r="T1869" i="2"/>
  <c r="P1586" i="2"/>
  <c r="S212" i="2"/>
  <c r="D858" i="2"/>
  <c r="Q1261" i="2"/>
  <c r="R893" i="2"/>
  <c r="K893" i="2"/>
  <c r="H69" i="2"/>
  <c r="C648" i="2"/>
  <c r="O648" i="2"/>
  <c r="D1261" i="2"/>
  <c r="Q858" i="2"/>
  <c r="E1261" i="2"/>
  <c r="K1261" i="2"/>
  <c r="Q893" i="2"/>
  <c r="J1261" i="2"/>
  <c r="J537" i="2"/>
  <c r="T858" i="2"/>
  <c r="S1261" i="2"/>
  <c r="F648" i="2"/>
  <c r="R69" i="2"/>
  <c r="H858" i="2"/>
  <c r="O693" i="2"/>
  <c r="J858" i="2"/>
  <c r="K648" i="2"/>
  <c r="K693" i="2"/>
  <c r="Q648" i="2"/>
  <c r="A1869" i="2"/>
  <c r="E69" i="2"/>
  <c r="R858" i="2"/>
  <c r="J648" i="2"/>
  <c r="P648" i="2"/>
  <c r="P537" i="2"/>
  <c r="E648" i="2"/>
  <c r="A1261" i="2"/>
  <c r="H1586" i="2"/>
  <c r="C858" i="2"/>
  <c r="G693" i="2"/>
  <c r="H893" i="2"/>
  <c r="D212" i="2"/>
  <c r="P1869" i="2"/>
  <c r="E537" i="2"/>
  <c r="Q69" i="2"/>
  <c r="P1166" i="2"/>
  <c r="N184" i="2"/>
  <c r="S2164" i="2"/>
  <c r="P261" i="2"/>
  <c r="K1166" i="2"/>
  <c r="R669" i="2"/>
  <c r="Q1667" i="2"/>
  <c r="K2164" i="2"/>
  <c r="A261" i="2"/>
  <c r="R2214" i="2"/>
  <c r="T2164" i="2"/>
  <c r="M2164" i="2"/>
  <c r="J1247" i="2"/>
  <c r="C60" i="2"/>
  <c r="J2164" i="2"/>
  <c r="Q2164" i="2"/>
  <c r="Q2214" i="2"/>
  <c r="D2164" i="2"/>
  <c r="H2214" i="2"/>
  <c r="E2164" i="2"/>
  <c r="D669" i="2"/>
  <c r="D1667" i="2"/>
  <c r="A2164" i="2"/>
  <c r="K2214" i="2"/>
  <c r="K1987" i="2"/>
  <c r="O2164" i="2"/>
  <c r="P184" i="2"/>
  <c r="Q1987" i="2"/>
  <c r="C669" i="2"/>
  <c r="C1247" i="2"/>
  <c r="G2164" i="2"/>
  <c r="F1667" i="2"/>
  <c r="E1667" i="2"/>
  <c r="A669" i="2"/>
  <c r="A2214" i="2"/>
  <c r="E1987" i="2"/>
  <c r="T60" i="2"/>
  <c r="T1166" i="2"/>
  <c r="H1667" i="2"/>
  <c r="P1247" i="2"/>
  <c r="H261" i="2"/>
  <c r="M1987" i="2"/>
  <c r="A184" i="2"/>
  <c r="O1667" i="2"/>
  <c r="D184" i="2"/>
  <c r="M1166" i="2"/>
  <c r="F1166" i="2"/>
  <c r="T2214" i="2"/>
  <c r="S1667" i="2"/>
  <c r="Q184" i="2"/>
  <c r="J1987" i="2"/>
  <c r="N60" i="2"/>
  <c r="F669" i="2"/>
  <c r="N1987" i="2"/>
  <c r="M1667" i="2"/>
  <c r="N1667" i="2"/>
  <c r="H184" i="2"/>
  <c r="H60" i="2"/>
  <c r="O60" i="2"/>
  <c r="M669" i="2"/>
  <c r="S60" i="2"/>
  <c r="M60" i="2"/>
  <c r="D1166" i="2"/>
  <c r="F60" i="2"/>
  <c r="O261" i="2"/>
  <c r="J184" i="2"/>
  <c r="C261" i="2"/>
  <c r="R1987" i="2"/>
  <c r="K1247" i="2"/>
  <c r="P2214" i="2"/>
  <c r="D1247" i="2"/>
  <c r="O2214" i="2"/>
  <c r="A1166" i="2"/>
  <c r="D2214" i="2"/>
  <c r="G1166" i="2"/>
  <c r="G669" i="2"/>
  <c r="E2214" i="2"/>
  <c r="T261" i="2"/>
  <c r="J60" i="2"/>
  <c r="C1667" i="2"/>
  <c r="G1247" i="2"/>
  <c r="G1987" i="2"/>
  <c r="J669" i="2"/>
  <c r="S261" i="2"/>
  <c r="T669" i="2"/>
  <c r="C2214" i="2"/>
  <c r="T184" i="2"/>
  <c r="R1247" i="2"/>
  <c r="T1987" i="2"/>
  <c r="D60" i="2"/>
  <c r="E1247" i="2"/>
  <c r="R1667" i="2"/>
  <c r="Q669" i="2"/>
  <c r="P1987" i="2"/>
  <c r="G184" i="2"/>
  <c r="E184" i="2"/>
  <c r="N261" i="2"/>
  <c r="D261" i="2"/>
  <c r="O1166" i="2"/>
  <c r="P1667" i="2"/>
  <c r="O669" i="2"/>
  <c r="G2214" i="2"/>
  <c r="M1247" i="2"/>
  <c r="R184" i="2"/>
  <c r="S1166" i="2"/>
  <c r="H1247" i="2"/>
  <c r="R1166" i="2"/>
  <c r="K1667" i="2"/>
  <c r="D1987" i="2"/>
  <c r="P2164" i="2"/>
  <c r="A1667" i="2"/>
  <c r="O184" i="2"/>
  <c r="R2164" i="2"/>
  <c r="P669" i="2"/>
  <c r="P60" i="2"/>
  <c r="K184" i="2"/>
  <c r="F1247" i="2"/>
  <c r="H669" i="2"/>
  <c r="S184" i="2"/>
  <c r="K60" i="2"/>
  <c r="H1987" i="2"/>
  <c r="G1667" i="2"/>
  <c r="J261" i="2"/>
  <c r="F1987" i="2"/>
  <c r="N1247" i="2"/>
  <c r="C1987" i="2"/>
  <c r="N669" i="2"/>
  <c r="S1987" i="2"/>
  <c r="Q261" i="2"/>
  <c r="S2214" i="2"/>
  <c r="E261" i="2"/>
  <c r="C184" i="2"/>
  <c r="R261" i="2"/>
  <c r="O1987" i="2"/>
  <c r="Q60" i="2"/>
  <c r="J1166" i="2"/>
  <c r="R60" i="2"/>
  <c r="E669" i="2"/>
  <c r="F2214" i="2"/>
  <c r="C2164" i="2"/>
  <c r="J2214" i="2"/>
  <c r="O1247" i="2"/>
  <c r="M184" i="2"/>
  <c r="N1166" i="2"/>
  <c r="M261" i="2"/>
  <c r="K261" i="2"/>
  <c r="Q1247" i="2"/>
  <c r="E1166" i="2"/>
  <c r="S669" i="2"/>
  <c r="Q1166" i="2"/>
  <c r="F2164" i="2"/>
  <c r="G261" i="2"/>
  <c r="A1247" i="2"/>
  <c r="H2164" i="2"/>
  <c r="A60" i="2"/>
  <c r="G60" i="2"/>
  <c r="C1166" i="2"/>
  <c r="J1667" i="2"/>
  <c r="M2214" i="2"/>
  <c r="T1247" i="2"/>
  <c r="H1166" i="2"/>
  <c r="A1987" i="2"/>
  <c r="K669" i="2"/>
  <c r="N2214" i="2"/>
  <c r="T1667" i="2"/>
  <c r="E60" i="2"/>
  <c r="N2164" i="2"/>
  <c r="F184" i="2"/>
  <c r="F261" i="2"/>
  <c r="S1247" i="2"/>
  <c r="N1418" i="2"/>
  <c r="P396" i="2"/>
  <c r="C1492" i="2"/>
  <c r="O396" i="2"/>
  <c r="G946" i="2"/>
  <c r="O946" i="2"/>
  <c r="Q1313" i="2"/>
  <c r="R802" i="2"/>
  <c r="R330" i="2"/>
  <c r="H2168" i="2"/>
  <c r="D1418" i="2"/>
  <c r="Q1899" i="2"/>
  <c r="Q160" i="2"/>
  <c r="G2168" i="2"/>
  <c r="J1492" i="2"/>
  <c r="G802" i="2"/>
  <c r="H946" i="2"/>
  <c r="M1313" i="2"/>
  <c r="F1313" i="2"/>
  <c r="D2168" i="2"/>
  <c r="P160" i="2"/>
  <c r="E1418" i="2"/>
  <c r="P946" i="2"/>
  <c r="G1492" i="2"/>
  <c r="O1899" i="2"/>
  <c r="T946" i="2"/>
  <c r="F2168" i="2"/>
  <c r="K1313" i="2"/>
  <c r="E396" i="2"/>
  <c r="A1899" i="2"/>
  <c r="H160" i="2"/>
  <c r="F946" i="2"/>
  <c r="E160" i="2"/>
  <c r="J1899" i="2"/>
  <c r="T1418" i="2"/>
  <c r="G160" i="2"/>
  <c r="G330" i="2"/>
  <c r="T1313" i="2"/>
  <c r="P1492" i="2"/>
  <c r="J946" i="2"/>
  <c r="J2168" i="2"/>
  <c r="S2168" i="2"/>
  <c r="Q396" i="2"/>
  <c r="G1313" i="2"/>
  <c r="P330" i="2"/>
  <c r="G1899" i="2"/>
  <c r="E2168" i="2"/>
  <c r="C396" i="2"/>
  <c r="H1899" i="2"/>
  <c r="D160" i="2"/>
  <c r="K1899" i="2"/>
  <c r="T1492" i="2"/>
  <c r="C2168" i="2"/>
  <c r="H1492" i="2"/>
  <c r="J396" i="2"/>
  <c r="O330" i="2"/>
  <c r="R1899" i="2"/>
  <c r="C330" i="2"/>
  <c r="K1492" i="2"/>
  <c r="A330" i="2"/>
  <c r="Q330" i="2"/>
  <c r="J1313" i="2"/>
  <c r="S1899" i="2"/>
  <c r="F802" i="2"/>
  <c r="P2168" i="2"/>
  <c r="H1313" i="2"/>
  <c r="R1492" i="2"/>
  <c r="S1492" i="2"/>
  <c r="K802" i="2"/>
  <c r="T160" i="2"/>
  <c r="R946" i="2"/>
  <c r="C802" i="2"/>
  <c r="A946" i="2"/>
  <c r="K1418" i="2"/>
  <c r="G1418" i="2"/>
  <c r="D1313" i="2"/>
  <c r="N396" i="2"/>
  <c r="M1492" i="2"/>
  <c r="D802" i="2"/>
  <c r="N946" i="2"/>
  <c r="E802" i="2"/>
  <c r="M946" i="2"/>
  <c r="N802" i="2"/>
  <c r="O802" i="2"/>
  <c r="S946" i="2"/>
  <c r="J802" i="2"/>
  <c r="R160" i="2"/>
  <c r="K2168" i="2"/>
  <c r="P1418" i="2"/>
  <c r="F1492" i="2"/>
  <c r="C1313" i="2"/>
  <c r="N160" i="2"/>
  <c r="N1899" i="2"/>
  <c r="K946" i="2"/>
  <c r="O1418" i="2"/>
  <c r="C160" i="2"/>
  <c r="A396" i="2"/>
  <c r="K396" i="2"/>
  <c r="N2168" i="2"/>
  <c r="M802" i="2"/>
  <c r="O1492" i="2"/>
  <c r="N330" i="2"/>
  <c r="Q946" i="2"/>
  <c r="R1418" i="2"/>
  <c r="C946" i="2"/>
  <c r="S160" i="2"/>
  <c r="S396" i="2"/>
  <c r="S802" i="2"/>
  <c r="M1899" i="2"/>
  <c r="E1899" i="2"/>
  <c r="A2168" i="2"/>
  <c r="N1313" i="2"/>
  <c r="G396" i="2"/>
  <c r="T1899" i="2"/>
  <c r="O160" i="2"/>
  <c r="Q2168" i="2"/>
  <c r="H396" i="2"/>
  <c r="R2168" i="2"/>
  <c r="H802" i="2"/>
  <c r="A1313" i="2"/>
  <c r="Q802" i="2"/>
  <c r="F330" i="2"/>
  <c r="A1492" i="2"/>
  <c r="F396" i="2"/>
  <c r="F1899" i="2"/>
  <c r="R396" i="2"/>
  <c r="S1418" i="2"/>
  <c r="J1418" i="2"/>
  <c r="A802" i="2"/>
  <c r="H330" i="2"/>
  <c r="D396" i="2"/>
  <c r="M160" i="2"/>
  <c r="P1313" i="2"/>
  <c r="M330" i="2"/>
  <c r="E330" i="2"/>
  <c r="J160" i="2"/>
  <c r="D1492" i="2"/>
  <c r="H1418" i="2"/>
  <c r="M396" i="2"/>
  <c r="J330" i="2"/>
  <c r="Q1492" i="2"/>
  <c r="M1418" i="2"/>
  <c r="D330" i="2"/>
  <c r="E946" i="2"/>
  <c r="E1313" i="2"/>
  <c r="Q1418" i="2"/>
  <c r="K330" i="2"/>
  <c r="S1313" i="2"/>
  <c r="F160" i="2"/>
  <c r="P1899" i="2"/>
  <c r="T330" i="2"/>
  <c r="M2168" i="2"/>
  <c r="A160" i="2"/>
  <c r="P802" i="2"/>
  <c r="C1899" i="2"/>
  <c r="T2168" i="2"/>
  <c r="C1418" i="2"/>
  <c r="E1492" i="2"/>
  <c r="F1418" i="2"/>
  <c r="O1313" i="2"/>
  <c r="K160" i="2"/>
  <c r="D1899" i="2"/>
  <c r="D946" i="2"/>
  <c r="N1492" i="2"/>
  <c r="T802" i="2"/>
  <c r="T396" i="2"/>
  <c r="O2168" i="2"/>
  <c r="A1418" i="2"/>
  <c r="S330" i="2"/>
  <c r="R1313" i="2"/>
  <c r="G1539" i="2"/>
  <c r="F381" i="2"/>
  <c r="Q1539" i="2"/>
  <c r="O792" i="2"/>
  <c r="E1673" i="2"/>
  <c r="F1978" i="2"/>
  <c r="F2023" i="2"/>
  <c r="N792" i="2"/>
  <c r="J2023" i="2"/>
  <c r="O1978" i="2"/>
  <c r="R792" i="2"/>
  <c r="Q1673" i="2"/>
  <c r="O2023" i="2"/>
  <c r="J898" i="2"/>
  <c r="T712" i="2"/>
  <c r="J363" i="2"/>
  <c r="N363" i="2"/>
  <c r="H792" i="2"/>
  <c r="K792" i="2"/>
  <c r="O381" i="2"/>
  <c r="D712" i="2"/>
  <c r="E792" i="2"/>
  <c r="R381" i="2"/>
  <c r="R920" i="2"/>
  <c r="H1673" i="2"/>
  <c r="F792" i="2"/>
  <c r="J920" i="2"/>
  <c r="H920" i="2"/>
  <c r="C1539" i="2"/>
  <c r="C792" i="2"/>
  <c r="R2023" i="2"/>
  <c r="N1539" i="2"/>
  <c r="N920" i="2"/>
  <c r="G2023" i="2"/>
  <c r="S1673" i="2"/>
  <c r="C1673" i="2"/>
  <c r="M920" i="2"/>
  <c r="M792" i="2"/>
  <c r="O898" i="2"/>
  <c r="C712" i="2"/>
  <c r="D381" i="2"/>
  <c r="K1673" i="2"/>
  <c r="E1978" i="2"/>
  <c r="M2023" i="2"/>
  <c r="R712" i="2"/>
  <c r="M1978" i="2"/>
  <c r="K1539" i="2"/>
  <c r="T1539" i="2"/>
  <c r="R1978" i="2"/>
  <c r="S1978" i="2"/>
  <c r="A1673" i="2"/>
  <c r="O1673" i="2"/>
  <c r="N1673" i="2"/>
  <c r="K898" i="2"/>
  <c r="F920" i="2"/>
  <c r="A1978" i="2"/>
  <c r="P792" i="2"/>
  <c r="F363" i="2"/>
  <c r="H712" i="2"/>
  <c r="P898" i="2"/>
  <c r="H1978" i="2"/>
  <c r="A792" i="2"/>
  <c r="J1539" i="2"/>
  <c r="H1539" i="2"/>
  <c r="K712" i="2"/>
  <c r="D920" i="2"/>
  <c r="E381" i="2"/>
  <c r="N1978" i="2"/>
  <c r="K381" i="2"/>
  <c r="F1539" i="2"/>
  <c r="F898" i="2"/>
  <c r="A898" i="2"/>
  <c r="E363" i="2"/>
  <c r="C1978" i="2"/>
  <c r="P920" i="2"/>
  <c r="M712" i="2"/>
  <c r="E712" i="2"/>
  <c r="C2023" i="2"/>
  <c r="H898" i="2"/>
  <c r="J1673" i="2"/>
  <c r="C381" i="2"/>
  <c r="F712" i="2"/>
  <c r="K363" i="2"/>
  <c r="T1673" i="2"/>
  <c r="N712" i="2"/>
  <c r="A363" i="2"/>
  <c r="O1539" i="2"/>
  <c r="S898" i="2"/>
  <c r="D363" i="2"/>
  <c r="M898" i="2"/>
  <c r="S920" i="2"/>
  <c r="D1539" i="2"/>
  <c r="Q381" i="2"/>
  <c r="P363" i="2"/>
  <c r="R898" i="2"/>
  <c r="D1673" i="2"/>
  <c r="N2023" i="2"/>
  <c r="S1539" i="2"/>
  <c r="A2023" i="2"/>
  <c r="T363" i="2"/>
  <c r="H363" i="2"/>
  <c r="J381" i="2"/>
  <c r="A381" i="2"/>
  <c r="Q2023" i="2"/>
  <c r="T920" i="2"/>
  <c r="P381" i="2"/>
  <c r="Q920" i="2"/>
  <c r="D2023" i="2"/>
  <c r="M381" i="2"/>
  <c r="O920" i="2"/>
  <c r="G1673" i="2"/>
  <c r="G363" i="2"/>
  <c r="G920" i="2"/>
  <c r="T1978" i="2"/>
  <c r="R1673" i="2"/>
  <c r="E2023" i="2"/>
  <c r="D898" i="2"/>
  <c r="M363" i="2"/>
  <c r="G712" i="2"/>
  <c r="O363" i="2"/>
  <c r="K920" i="2"/>
  <c r="O712" i="2"/>
  <c r="P2023" i="2"/>
  <c r="G1978" i="2"/>
  <c r="M1539" i="2"/>
  <c r="Q1978" i="2"/>
  <c r="S712" i="2"/>
  <c r="J792" i="2"/>
  <c r="K2023" i="2"/>
  <c r="P712" i="2"/>
  <c r="N381" i="2"/>
  <c r="H381" i="2"/>
  <c r="E898" i="2"/>
  <c r="S2023" i="2"/>
  <c r="R363" i="2"/>
  <c r="S363" i="2"/>
  <c r="S792" i="2"/>
  <c r="R1539" i="2"/>
  <c r="G898" i="2"/>
  <c r="Q792" i="2"/>
  <c r="H2023" i="2"/>
  <c r="C898" i="2"/>
  <c r="F1673" i="2"/>
  <c r="A920" i="2"/>
  <c r="N898" i="2"/>
  <c r="G792" i="2"/>
  <c r="G381" i="2"/>
  <c r="E1539" i="2"/>
  <c r="P1978" i="2"/>
  <c r="M1673" i="2"/>
  <c r="J712" i="2"/>
  <c r="P1539" i="2"/>
  <c r="T792" i="2"/>
  <c r="S381" i="2"/>
  <c r="E920" i="2"/>
  <c r="T898" i="2"/>
  <c r="C363" i="2"/>
  <c r="D1978" i="2"/>
  <c r="K1978" i="2"/>
  <c r="Q712" i="2"/>
  <c r="A712" i="2"/>
  <c r="C920" i="2"/>
  <c r="Q363" i="2"/>
  <c r="P1673" i="2"/>
  <c r="D792" i="2"/>
  <c r="Q898" i="2"/>
  <c r="J1978" i="2"/>
  <c r="T2023" i="2"/>
  <c r="T381" i="2"/>
  <c r="A1539" i="2"/>
  <c r="O1379" i="2"/>
  <c r="N2249" i="2"/>
  <c r="F2032" i="2"/>
  <c r="N557" i="2"/>
  <c r="C176" i="2"/>
  <c r="J926" i="2"/>
  <c r="G926" i="2"/>
  <c r="S2032" i="2"/>
  <c r="G2249" i="2"/>
  <c r="Q926" i="2"/>
  <c r="E2249" i="2"/>
  <c r="R176" i="2"/>
  <c r="A391" i="2"/>
  <c r="J2249" i="2"/>
  <c r="O2032" i="2"/>
  <c r="S391" i="2"/>
  <c r="N176" i="2"/>
  <c r="Q1379" i="2"/>
  <c r="N1827" i="2"/>
  <c r="H1379" i="2"/>
  <c r="K926" i="2"/>
  <c r="O2249" i="2"/>
  <c r="R1379" i="2"/>
  <c r="K1500" i="2"/>
  <c r="O391" i="2"/>
  <c r="N1379" i="2"/>
  <c r="F1334" i="2"/>
  <c r="S1827" i="2"/>
  <c r="D176" i="2"/>
  <c r="N391" i="2"/>
  <c r="E926" i="2"/>
  <c r="G1379" i="2"/>
  <c r="G176" i="2"/>
  <c r="Q176" i="2"/>
  <c r="K1379" i="2"/>
  <c r="J391" i="2"/>
  <c r="F176" i="2"/>
  <c r="J1827" i="2"/>
  <c r="A557" i="2"/>
  <c r="F1500" i="2"/>
  <c r="T1334" i="2"/>
  <c r="K557" i="2"/>
  <c r="C1500" i="2"/>
  <c r="N1334" i="2"/>
  <c r="E1379" i="2"/>
  <c r="A926" i="2"/>
  <c r="S557" i="2"/>
  <c r="H926" i="2"/>
  <c r="P391" i="2"/>
  <c r="S1500" i="2"/>
  <c r="J1500" i="2"/>
  <c r="Q1827" i="2"/>
  <c r="N1500" i="2"/>
  <c r="Q1500" i="2"/>
  <c r="K391" i="2"/>
  <c r="D557" i="2"/>
  <c r="R926" i="2"/>
  <c r="J1379" i="2"/>
  <c r="G1334" i="2"/>
  <c r="M1379" i="2"/>
  <c r="P2249" i="2"/>
  <c r="E1827" i="2"/>
  <c r="P1827" i="2"/>
  <c r="K176" i="2"/>
  <c r="S176" i="2"/>
  <c r="G1500" i="2"/>
  <c r="G2032" i="2"/>
  <c r="R1500" i="2"/>
  <c r="M2249" i="2"/>
  <c r="D1827" i="2"/>
  <c r="C1827" i="2"/>
  <c r="F1379" i="2"/>
  <c r="C2032" i="2"/>
  <c r="E1500" i="2"/>
  <c r="T1827" i="2"/>
  <c r="H1500" i="2"/>
  <c r="Q2032" i="2"/>
  <c r="G391" i="2"/>
  <c r="Q391" i="2"/>
  <c r="M391" i="2"/>
  <c r="S2249" i="2"/>
  <c r="F557" i="2"/>
  <c r="E2032" i="2"/>
  <c r="J2032" i="2"/>
  <c r="H176" i="2"/>
  <c r="R557" i="2"/>
  <c r="A2249" i="2"/>
  <c r="M2032" i="2"/>
  <c r="S926" i="2"/>
  <c r="E391" i="2"/>
  <c r="H1334" i="2"/>
  <c r="D1334" i="2"/>
  <c r="D391" i="2"/>
  <c r="R391" i="2"/>
  <c r="O557" i="2"/>
  <c r="H557" i="2"/>
  <c r="S1334" i="2"/>
  <c r="F926" i="2"/>
  <c r="R1334" i="2"/>
  <c r="C1334" i="2"/>
  <c r="A1500" i="2"/>
  <c r="R2032" i="2"/>
  <c r="O926" i="2"/>
  <c r="P2032" i="2"/>
  <c r="A176" i="2"/>
  <c r="D2032" i="2"/>
  <c r="F391" i="2"/>
  <c r="T926" i="2"/>
  <c r="P557" i="2"/>
  <c r="C391" i="2"/>
  <c r="P1334" i="2"/>
  <c r="C557" i="2"/>
  <c r="C926" i="2"/>
  <c r="F1827" i="2"/>
  <c r="M176" i="2"/>
  <c r="O1334" i="2"/>
  <c r="A2032" i="2"/>
  <c r="J557" i="2"/>
  <c r="J176" i="2"/>
  <c r="A1827" i="2"/>
  <c r="Q2249" i="2"/>
  <c r="D926" i="2"/>
  <c r="Q557" i="2"/>
  <c r="K1827" i="2"/>
  <c r="S1379" i="2"/>
  <c r="G1827" i="2"/>
  <c r="O1500" i="2"/>
  <c r="N2032" i="2"/>
  <c r="T1500" i="2"/>
  <c r="E176" i="2"/>
  <c r="P176" i="2"/>
  <c r="K1334" i="2"/>
  <c r="N926" i="2"/>
  <c r="P1500" i="2"/>
  <c r="D1379" i="2"/>
  <c r="T2249" i="2"/>
  <c r="C1379" i="2"/>
  <c r="A1334" i="2"/>
  <c r="E1334" i="2"/>
  <c r="P1379" i="2"/>
  <c r="T2032" i="2"/>
  <c r="K2032" i="2"/>
  <c r="M1500" i="2"/>
  <c r="O176" i="2"/>
  <c r="T1379" i="2"/>
  <c r="H391" i="2"/>
  <c r="K2249" i="2"/>
  <c r="O1827" i="2"/>
  <c r="H1827" i="2"/>
  <c r="M1827" i="2"/>
  <c r="J1334" i="2"/>
  <c r="M1334" i="2"/>
  <c r="M926" i="2"/>
  <c r="D2249" i="2"/>
  <c r="E557" i="2"/>
  <c r="T557" i="2"/>
  <c r="R2249" i="2"/>
  <c r="C2249" i="2"/>
  <c r="F2249" i="2"/>
  <c r="G557" i="2"/>
  <c r="A1379" i="2"/>
  <c r="T391" i="2"/>
  <c r="D1500" i="2"/>
  <c r="T176" i="2"/>
  <c r="Q1334" i="2"/>
  <c r="H2249" i="2"/>
  <c r="P926" i="2"/>
  <c r="R1827" i="2"/>
  <c r="H2032" i="2"/>
  <c r="M557" i="2"/>
  <c r="E1769" i="2"/>
  <c r="P2226" i="2"/>
  <c r="P1769" i="2"/>
  <c r="P474" i="2"/>
  <c r="O474" i="2"/>
  <c r="M1769" i="2"/>
  <c r="Q1011" i="2"/>
  <c r="K314" i="2"/>
  <c r="E582" i="2"/>
  <c r="M496" i="2"/>
  <c r="N2226" i="2"/>
  <c r="F582" i="2"/>
  <c r="A1058" i="2"/>
  <c r="R582" i="2"/>
  <c r="C1011" i="2"/>
  <c r="A474" i="2"/>
  <c r="P1055" i="2"/>
  <c r="N496" i="2"/>
  <c r="G314" i="2"/>
  <c r="H1055" i="2"/>
  <c r="Q474" i="2"/>
  <c r="J2226" i="2"/>
  <c r="K2048" i="2"/>
  <c r="C496" i="2"/>
  <c r="K496" i="2"/>
  <c r="J1058" i="2"/>
  <c r="O2048" i="2"/>
  <c r="P1011" i="2"/>
  <c r="R1011" i="2"/>
  <c r="N582" i="2"/>
  <c r="Q2048" i="2"/>
  <c r="E2226" i="2"/>
  <c r="D1011" i="2"/>
  <c r="S1058" i="2"/>
  <c r="J1769" i="2"/>
  <c r="H1058" i="2"/>
  <c r="S2226" i="2"/>
  <c r="H1769" i="2"/>
  <c r="O496" i="2"/>
  <c r="C1058" i="2"/>
  <c r="R2226" i="2"/>
  <c r="G1769" i="2"/>
  <c r="F1769" i="2"/>
  <c r="T1769" i="2"/>
  <c r="R1769" i="2"/>
  <c r="M1055" i="2"/>
  <c r="O582" i="2"/>
  <c r="C1055" i="2"/>
  <c r="F2226" i="2"/>
  <c r="E496" i="2"/>
  <c r="A1769" i="2"/>
  <c r="E1055" i="2"/>
  <c r="M2048" i="2"/>
  <c r="H314" i="2"/>
  <c r="J2048" i="2"/>
  <c r="Q1769" i="2"/>
  <c r="S314" i="2"/>
  <c r="P496" i="2"/>
  <c r="P2048" i="2"/>
  <c r="K1058" i="2"/>
  <c r="N2048" i="2"/>
  <c r="N474" i="2"/>
  <c r="H582" i="2"/>
  <c r="G1011" i="2"/>
  <c r="O1011" i="2"/>
  <c r="J1055" i="2"/>
  <c r="C1769" i="2"/>
  <c r="K1769" i="2"/>
  <c r="O2226" i="2"/>
  <c r="D582" i="2"/>
  <c r="S1011" i="2"/>
  <c r="D314" i="2"/>
  <c r="T474" i="2"/>
  <c r="G474" i="2"/>
  <c r="O1058" i="2"/>
  <c r="S1769" i="2"/>
  <c r="D496" i="2"/>
  <c r="R1055" i="2"/>
  <c r="M1011" i="2"/>
  <c r="H1011" i="2"/>
  <c r="D1055" i="2"/>
  <c r="E314" i="2"/>
  <c r="K1011" i="2"/>
  <c r="R474" i="2"/>
  <c r="O1055" i="2"/>
  <c r="H2048" i="2"/>
  <c r="P582" i="2"/>
  <c r="S1055" i="2"/>
  <c r="D2226" i="2"/>
  <c r="A1011" i="2"/>
  <c r="G1058" i="2"/>
  <c r="F496" i="2"/>
  <c r="T1055" i="2"/>
  <c r="D2048" i="2"/>
  <c r="M1058" i="2"/>
  <c r="T496" i="2"/>
  <c r="D1058" i="2"/>
  <c r="C2048" i="2"/>
  <c r="F2048" i="2"/>
  <c r="F314" i="2"/>
  <c r="M314" i="2"/>
  <c r="J474" i="2"/>
  <c r="N1011" i="2"/>
  <c r="H496" i="2"/>
  <c r="G2048" i="2"/>
  <c r="Q582" i="2"/>
  <c r="S2048" i="2"/>
  <c r="T582" i="2"/>
  <c r="C2226" i="2"/>
  <c r="E2048" i="2"/>
  <c r="N1769" i="2"/>
  <c r="J314" i="2"/>
  <c r="Q1055" i="2"/>
  <c r="T1058" i="2"/>
  <c r="H2226" i="2"/>
  <c r="J1011" i="2"/>
  <c r="C314" i="2"/>
  <c r="Q1058" i="2"/>
  <c r="J582" i="2"/>
  <c r="S496" i="2"/>
  <c r="O314" i="2"/>
  <c r="M474" i="2"/>
  <c r="H474" i="2"/>
  <c r="Q314" i="2"/>
  <c r="T1011" i="2"/>
  <c r="K582" i="2"/>
  <c r="A2048" i="2"/>
  <c r="D474" i="2"/>
  <c r="G496" i="2"/>
  <c r="G582" i="2"/>
  <c r="E474" i="2"/>
  <c r="R314" i="2"/>
  <c r="R1058" i="2"/>
  <c r="A314" i="2"/>
  <c r="A582" i="2"/>
  <c r="A2226" i="2"/>
  <c r="G2226" i="2"/>
  <c r="O1769" i="2"/>
  <c r="F1058" i="2"/>
  <c r="A496" i="2"/>
  <c r="M2226" i="2"/>
  <c r="Q2226" i="2"/>
  <c r="T2226" i="2"/>
  <c r="N1058" i="2"/>
  <c r="E1011" i="2"/>
  <c r="J496" i="2"/>
  <c r="S474" i="2"/>
  <c r="F474" i="2"/>
  <c r="R2048" i="2"/>
  <c r="A1055" i="2"/>
  <c r="E1058" i="2"/>
  <c r="C582" i="2"/>
  <c r="M582" i="2"/>
  <c r="F1055" i="2"/>
  <c r="Q496" i="2"/>
  <c r="N314" i="2"/>
  <c r="K474" i="2"/>
  <c r="N1055" i="2"/>
  <c r="P314" i="2"/>
  <c r="K1055" i="2"/>
  <c r="C474" i="2"/>
  <c r="S582" i="2"/>
  <c r="T2048" i="2"/>
  <c r="D1769" i="2"/>
  <c r="T314" i="2"/>
  <c r="R496" i="2"/>
  <c r="P1058" i="2"/>
  <c r="G1055" i="2"/>
  <c r="K2226" i="2"/>
  <c r="F1011" i="2"/>
  <c r="F2183" i="2"/>
  <c r="H1214" i="2"/>
  <c r="R1914" i="2"/>
  <c r="O1914" i="2"/>
  <c r="P2183" i="2"/>
  <c r="N1799" i="2"/>
  <c r="P429" i="2"/>
  <c r="O1214" i="2"/>
  <c r="S1228" i="2"/>
  <c r="J1697" i="2"/>
  <c r="A116" i="2"/>
  <c r="E429" i="2"/>
  <c r="T1152" i="2"/>
  <c r="Q1152" i="2"/>
  <c r="A2183" i="2"/>
  <c r="O429" i="2"/>
  <c r="A1799" i="2"/>
  <c r="D1228" i="2"/>
  <c r="N429" i="2"/>
  <c r="N116" i="2"/>
  <c r="E1152" i="2"/>
  <c r="C2183" i="2"/>
  <c r="F429" i="2"/>
  <c r="G1697" i="2"/>
  <c r="K1214" i="2"/>
  <c r="P1697" i="2"/>
  <c r="K1152" i="2"/>
  <c r="T1214" i="2"/>
  <c r="F1697" i="2"/>
  <c r="O1152" i="2"/>
  <c r="A1914" i="2"/>
  <c r="S1152" i="2"/>
  <c r="E1214" i="2"/>
  <c r="R1214" i="2"/>
  <c r="T1228" i="2"/>
  <c r="C1799" i="2"/>
  <c r="O1228" i="2"/>
  <c r="D1697" i="2"/>
  <c r="F2135" i="2"/>
  <c r="M1152" i="2"/>
  <c r="Q1914" i="2"/>
  <c r="R116" i="2"/>
  <c r="C1914" i="2"/>
  <c r="Q116" i="2"/>
  <c r="O2183" i="2"/>
  <c r="A1228" i="2"/>
  <c r="A1697" i="2"/>
  <c r="S2183" i="2"/>
  <c r="D1914" i="2"/>
  <c r="J1214" i="2"/>
  <c r="S429" i="2"/>
  <c r="D429" i="2"/>
  <c r="R1799" i="2"/>
  <c r="R429" i="2"/>
  <c r="D2135" i="2"/>
  <c r="S2135" i="2"/>
  <c r="H1914" i="2"/>
  <c r="R1228" i="2"/>
  <c r="M2135" i="2"/>
  <c r="R2135" i="2"/>
  <c r="K429" i="2"/>
  <c r="F1228" i="2"/>
  <c r="J2183" i="2"/>
  <c r="E2183" i="2"/>
  <c r="Q429" i="2"/>
  <c r="T2135" i="2"/>
  <c r="P2135" i="2"/>
  <c r="D116" i="2"/>
  <c r="F1799" i="2"/>
  <c r="C116" i="2"/>
  <c r="N1697" i="2"/>
  <c r="Q1799" i="2"/>
  <c r="G1152" i="2"/>
  <c r="O1799" i="2"/>
  <c r="E1914" i="2"/>
  <c r="P1152" i="2"/>
  <c r="Q1214" i="2"/>
  <c r="G116" i="2"/>
  <c r="E1697" i="2"/>
  <c r="N1228" i="2"/>
  <c r="A2135" i="2"/>
  <c r="J1799" i="2"/>
  <c r="T1697" i="2"/>
  <c r="P116" i="2"/>
  <c r="M429" i="2"/>
  <c r="E2135" i="2"/>
  <c r="H2135" i="2"/>
  <c r="M116" i="2"/>
  <c r="M1228" i="2"/>
  <c r="D2183" i="2"/>
  <c r="A429" i="2"/>
  <c r="E1799" i="2"/>
  <c r="Q2135" i="2"/>
  <c r="O1697" i="2"/>
  <c r="D1214" i="2"/>
  <c r="Q1697" i="2"/>
  <c r="J1152" i="2"/>
  <c r="G1228" i="2"/>
  <c r="D1152" i="2"/>
  <c r="J1914" i="2"/>
  <c r="K1799" i="2"/>
  <c r="E116" i="2"/>
  <c r="G1799" i="2"/>
  <c r="K116" i="2"/>
  <c r="H1799" i="2"/>
  <c r="H1228" i="2"/>
  <c r="A1214" i="2"/>
  <c r="S116" i="2"/>
  <c r="T1914" i="2"/>
  <c r="G2135" i="2"/>
  <c r="E1228" i="2"/>
  <c r="J1228" i="2"/>
  <c r="K1228" i="2"/>
  <c r="M1214" i="2"/>
  <c r="T2183" i="2"/>
  <c r="M1914" i="2"/>
  <c r="M1799" i="2"/>
  <c r="G1214" i="2"/>
  <c r="S1214" i="2"/>
  <c r="C1228" i="2"/>
  <c r="H1697" i="2"/>
  <c r="T429" i="2"/>
  <c r="N1914" i="2"/>
  <c r="M2183" i="2"/>
  <c r="K2135" i="2"/>
  <c r="G1914" i="2"/>
  <c r="F1152" i="2"/>
  <c r="S1799" i="2"/>
  <c r="H116" i="2"/>
  <c r="J116" i="2"/>
  <c r="N1152" i="2"/>
  <c r="S1697" i="2"/>
  <c r="P1914" i="2"/>
  <c r="H1152" i="2"/>
  <c r="S1914" i="2"/>
  <c r="Q2183" i="2"/>
  <c r="J429" i="2"/>
  <c r="P1214" i="2"/>
  <c r="T1799" i="2"/>
  <c r="C2135" i="2"/>
  <c r="G2183" i="2"/>
  <c r="F1914" i="2"/>
  <c r="N2183" i="2"/>
  <c r="R1152" i="2"/>
  <c r="P1799" i="2"/>
  <c r="T116" i="2"/>
  <c r="K2183" i="2"/>
  <c r="O2135" i="2"/>
  <c r="R1697" i="2"/>
  <c r="M1697" i="2"/>
  <c r="G429" i="2"/>
  <c r="Q1228" i="2"/>
  <c r="R2183" i="2"/>
  <c r="F116" i="2"/>
  <c r="C1152" i="2"/>
  <c r="K1697" i="2"/>
  <c r="C429" i="2"/>
  <c r="C1214" i="2"/>
  <c r="N1214" i="2"/>
  <c r="J2135" i="2"/>
  <c r="H429" i="2"/>
  <c r="D1799" i="2"/>
  <c r="F1214" i="2"/>
  <c r="O116" i="2"/>
  <c r="H2183" i="2"/>
  <c r="K1914" i="2"/>
  <c r="N2135" i="2"/>
  <c r="P1228" i="2"/>
  <c r="C1697" i="2"/>
  <c r="A1152" i="2"/>
  <c r="H1487" i="2"/>
  <c r="P728" i="2"/>
  <c r="H1090" i="2"/>
  <c r="C1232" i="2"/>
  <c r="N836" i="2"/>
  <c r="T1532" i="2"/>
  <c r="R1876" i="2"/>
  <c r="M887" i="2"/>
  <c r="O24" i="2"/>
  <c r="D728" i="2"/>
  <c r="T1232" i="2"/>
  <c r="P1532" i="2"/>
  <c r="T1876" i="2"/>
  <c r="C1876" i="2"/>
  <c r="G1532" i="2"/>
  <c r="R1090" i="2"/>
  <c r="F1786" i="2"/>
  <c r="F1876" i="2"/>
  <c r="G1786" i="2"/>
  <c r="S1232" i="2"/>
  <c r="S728" i="2"/>
  <c r="R1232" i="2"/>
  <c r="S1786" i="2"/>
  <c r="N1232" i="2"/>
  <c r="C1090" i="2"/>
  <c r="F728" i="2"/>
  <c r="E836" i="2"/>
  <c r="F24" i="2"/>
  <c r="R24" i="2"/>
  <c r="N1876" i="2"/>
  <c r="Q1487" i="2"/>
  <c r="J1532" i="2"/>
  <c r="J1487" i="2"/>
  <c r="N887" i="2"/>
  <c r="J728" i="2"/>
  <c r="F836" i="2"/>
  <c r="M1786" i="2"/>
  <c r="S1090" i="2"/>
  <c r="M1532" i="2"/>
  <c r="G24" i="2"/>
  <c r="K1532" i="2"/>
  <c r="N728" i="2"/>
  <c r="T1090" i="2"/>
  <c r="C836" i="2"/>
  <c r="D24" i="2"/>
  <c r="H728" i="2"/>
  <c r="T1786" i="2"/>
  <c r="T836" i="2"/>
  <c r="K728" i="2"/>
  <c r="D1532" i="2"/>
  <c r="A24" i="2"/>
  <c r="C1487" i="2"/>
  <c r="O1232" i="2"/>
  <c r="E1876" i="2"/>
  <c r="D1786" i="2"/>
  <c r="O836" i="2"/>
  <c r="K1487" i="2"/>
  <c r="J836" i="2"/>
  <c r="M24" i="2"/>
  <c r="Q1876" i="2"/>
  <c r="E1786" i="2"/>
  <c r="E24" i="2"/>
  <c r="P1876" i="2"/>
  <c r="S1876" i="2"/>
  <c r="E1232" i="2"/>
  <c r="G1232" i="2"/>
  <c r="F887" i="2"/>
  <c r="R728" i="2"/>
  <c r="G887" i="2"/>
  <c r="C728" i="2"/>
  <c r="M728" i="2"/>
  <c r="E1532" i="2"/>
  <c r="H887" i="2"/>
  <c r="E887" i="2"/>
  <c r="Q1232" i="2"/>
  <c r="M1090" i="2"/>
  <c r="E1090" i="2"/>
  <c r="J887" i="2"/>
  <c r="F1090" i="2"/>
  <c r="C1532" i="2"/>
  <c r="O728" i="2"/>
  <c r="J1786" i="2"/>
  <c r="O1090" i="2"/>
  <c r="C24" i="2"/>
  <c r="K1876" i="2"/>
  <c r="K887" i="2"/>
  <c r="M1876" i="2"/>
  <c r="E728" i="2"/>
  <c r="G1090" i="2"/>
  <c r="N1090" i="2"/>
  <c r="E1487" i="2"/>
  <c r="F1532" i="2"/>
  <c r="A728" i="2"/>
  <c r="D1232" i="2"/>
  <c r="O1876" i="2"/>
  <c r="O1487" i="2"/>
  <c r="O887" i="2"/>
  <c r="F1487" i="2"/>
  <c r="H1876" i="2"/>
  <c r="N1532" i="2"/>
  <c r="T887" i="2"/>
  <c r="P1090" i="2"/>
  <c r="R1786" i="2"/>
  <c r="H1532" i="2"/>
  <c r="D1090" i="2"/>
  <c r="J24" i="2"/>
  <c r="O1532" i="2"/>
  <c r="A836" i="2"/>
  <c r="A1487" i="2"/>
  <c r="N1786" i="2"/>
  <c r="S1487" i="2"/>
  <c r="Q1786" i="2"/>
  <c r="T728" i="2"/>
  <c r="N24" i="2"/>
  <c r="S887" i="2"/>
  <c r="Q1090" i="2"/>
  <c r="P836" i="2"/>
  <c r="Q836" i="2"/>
  <c r="G728" i="2"/>
  <c r="R1532" i="2"/>
  <c r="J1232" i="2"/>
  <c r="O1786" i="2"/>
  <c r="H24" i="2"/>
  <c r="G1876" i="2"/>
  <c r="M1232" i="2"/>
  <c r="T1487" i="2"/>
  <c r="M1487" i="2"/>
  <c r="J1090" i="2"/>
  <c r="S1532" i="2"/>
  <c r="A1876" i="2"/>
  <c r="H1232" i="2"/>
  <c r="D836" i="2"/>
  <c r="R1487" i="2"/>
  <c r="F1232" i="2"/>
  <c r="A1786" i="2"/>
  <c r="J1876" i="2"/>
  <c r="A1090" i="2"/>
  <c r="C887" i="2"/>
  <c r="P1232" i="2"/>
  <c r="P1786" i="2"/>
  <c r="S24" i="2"/>
  <c r="T24" i="2"/>
  <c r="R836" i="2"/>
  <c r="Q887" i="2"/>
  <c r="M836" i="2"/>
  <c r="K1786" i="2"/>
  <c r="N1487" i="2"/>
  <c r="Q24" i="2"/>
  <c r="G1487" i="2"/>
  <c r="G836" i="2"/>
  <c r="K836" i="2"/>
  <c r="P887" i="2"/>
  <c r="P1487" i="2"/>
  <c r="D887" i="2"/>
  <c r="C1786" i="2"/>
  <c r="A887" i="2"/>
  <c r="K24" i="2"/>
  <c r="A1232" i="2"/>
  <c r="Q1532" i="2"/>
  <c r="S836" i="2"/>
  <c r="R887" i="2"/>
  <c r="P24" i="2"/>
  <c r="H1786" i="2"/>
  <c r="K1090" i="2"/>
  <c r="D1487" i="2"/>
  <c r="K1232" i="2"/>
  <c r="H836" i="2"/>
  <c r="Q728" i="2"/>
  <c r="D1876" i="2"/>
  <c r="A1532" i="2"/>
  <c r="K1115" i="2"/>
  <c r="D1470" i="2"/>
  <c r="O1115" i="2"/>
  <c r="H2180" i="2"/>
  <c r="H1115" i="2"/>
  <c r="R2180" i="2"/>
  <c r="D192" i="2"/>
  <c r="K420" i="2"/>
  <c r="C446" i="2"/>
  <c r="G446" i="2"/>
  <c r="G913" i="2"/>
  <c r="F1115" i="2"/>
  <c r="E913" i="2"/>
  <c r="C1115" i="2"/>
  <c r="K1470" i="2"/>
  <c r="T1115" i="2"/>
  <c r="A112" i="2"/>
  <c r="Q1115" i="2"/>
  <c r="N112" i="2"/>
  <c r="T446" i="2"/>
  <c r="R446" i="2"/>
  <c r="G2180" i="2"/>
  <c r="G420" i="2"/>
  <c r="Q913" i="2"/>
  <c r="J192" i="2"/>
  <c r="P1958" i="2"/>
  <c r="F446" i="2"/>
  <c r="S1574" i="2"/>
  <c r="M112" i="2"/>
  <c r="E1470" i="2"/>
  <c r="K1958" i="2"/>
  <c r="N1958" i="2"/>
  <c r="O913" i="2"/>
  <c r="K913" i="2"/>
  <c r="G112" i="2"/>
  <c r="M1115" i="2"/>
  <c r="P192" i="2"/>
  <c r="J112" i="2"/>
  <c r="K446" i="2"/>
  <c r="E1958" i="2"/>
  <c r="K1574" i="2"/>
  <c r="P1115" i="2"/>
  <c r="H1470" i="2"/>
  <c r="D446" i="2"/>
  <c r="O446" i="2"/>
  <c r="D420" i="2"/>
  <c r="T192" i="2"/>
  <c r="N913" i="2"/>
  <c r="H1958" i="2"/>
  <c r="Q2180" i="2"/>
  <c r="F913" i="2"/>
  <c r="C913" i="2"/>
  <c r="H420" i="2"/>
  <c r="C1574" i="2"/>
  <c r="C1470" i="2"/>
  <c r="R1574" i="2"/>
  <c r="J1574" i="2"/>
  <c r="E446" i="2"/>
  <c r="S2180" i="2"/>
  <c r="O1574" i="2"/>
  <c r="E112" i="2"/>
  <c r="N2180" i="2"/>
  <c r="P112" i="2"/>
  <c r="K192" i="2"/>
  <c r="F2180" i="2"/>
  <c r="J1958" i="2"/>
  <c r="G1958" i="2"/>
  <c r="R1958" i="2"/>
  <c r="F112" i="2"/>
  <c r="G1470" i="2"/>
  <c r="Q112" i="2"/>
  <c r="E1115" i="2"/>
  <c r="D913" i="2"/>
  <c r="P2180" i="2"/>
  <c r="R913" i="2"/>
  <c r="R1470" i="2"/>
  <c r="J913" i="2"/>
  <c r="O1958" i="2"/>
  <c r="M192" i="2"/>
  <c r="A446" i="2"/>
  <c r="O420" i="2"/>
  <c r="F1958" i="2"/>
  <c r="M1574" i="2"/>
  <c r="M1470" i="2"/>
  <c r="D1115" i="2"/>
  <c r="J420" i="2"/>
  <c r="H446" i="2"/>
  <c r="F420" i="2"/>
  <c r="C2180" i="2"/>
  <c r="D1574" i="2"/>
  <c r="D2180" i="2"/>
  <c r="A2180" i="2"/>
  <c r="J1470" i="2"/>
  <c r="P1470" i="2"/>
  <c r="A1470" i="2"/>
  <c r="M1958" i="2"/>
  <c r="T1470" i="2"/>
  <c r="Q446" i="2"/>
  <c r="G1574" i="2"/>
  <c r="Q192" i="2"/>
  <c r="E2180" i="2"/>
  <c r="D1958" i="2"/>
  <c r="A192" i="2"/>
  <c r="R1115" i="2"/>
  <c r="H913" i="2"/>
  <c r="K2180" i="2"/>
  <c r="S913" i="2"/>
  <c r="N192" i="2"/>
  <c r="E192" i="2"/>
  <c r="T913" i="2"/>
  <c r="C420" i="2"/>
  <c r="N446" i="2"/>
  <c r="G192" i="2"/>
  <c r="Q1470" i="2"/>
  <c r="S1958" i="2"/>
  <c r="N1115" i="2"/>
  <c r="O112" i="2"/>
  <c r="C112" i="2"/>
  <c r="C1958" i="2"/>
  <c r="S192" i="2"/>
  <c r="H192" i="2"/>
  <c r="F1470" i="2"/>
  <c r="R112" i="2"/>
  <c r="O192" i="2"/>
  <c r="M420" i="2"/>
  <c r="E1574" i="2"/>
  <c r="T1574" i="2"/>
  <c r="P913" i="2"/>
  <c r="N1574" i="2"/>
  <c r="S1115" i="2"/>
  <c r="S112" i="2"/>
  <c r="T1958" i="2"/>
  <c r="M446" i="2"/>
  <c r="G1115" i="2"/>
  <c r="P446" i="2"/>
  <c r="O1470" i="2"/>
  <c r="A1958" i="2"/>
  <c r="C192" i="2"/>
  <c r="Q1574" i="2"/>
  <c r="T420" i="2"/>
  <c r="N420" i="2"/>
  <c r="A420" i="2"/>
  <c r="E420" i="2"/>
  <c r="S446" i="2"/>
  <c r="A1574" i="2"/>
  <c r="T2180" i="2"/>
  <c r="K112" i="2"/>
  <c r="R420" i="2"/>
  <c r="N1470" i="2"/>
  <c r="M2180" i="2"/>
  <c r="Q420" i="2"/>
  <c r="F1574" i="2"/>
  <c r="H1574" i="2"/>
  <c r="H112" i="2"/>
  <c r="J2180" i="2"/>
  <c r="J1115" i="2"/>
  <c r="S420" i="2"/>
  <c r="R192" i="2"/>
  <c r="T112" i="2"/>
  <c r="M913" i="2"/>
  <c r="O2180" i="2"/>
  <c r="A1115" i="2"/>
  <c r="P420" i="2"/>
  <c r="D112" i="2"/>
  <c r="J446" i="2"/>
  <c r="A913" i="2"/>
  <c r="P1574" i="2"/>
  <c r="S1470" i="2"/>
  <c r="Q1958" i="2"/>
  <c r="F192" i="2"/>
  <c r="F972" i="2"/>
  <c r="T972" i="2"/>
  <c r="E953" i="2"/>
  <c r="D318" i="2"/>
  <c r="R1647" i="2"/>
  <c r="N1708" i="2"/>
  <c r="J918" i="2"/>
  <c r="R912" i="2"/>
  <c r="K912" i="2"/>
  <c r="J1708" i="2"/>
  <c r="S1708" i="2"/>
  <c r="Q380" i="2"/>
  <c r="T770" i="2"/>
  <c r="A972" i="2"/>
  <c r="C912" i="2"/>
  <c r="S918" i="2"/>
  <c r="O380" i="2"/>
  <c r="C953" i="2"/>
  <c r="C1708" i="2"/>
  <c r="F918" i="2"/>
  <c r="N1737" i="2"/>
  <c r="Q953" i="2"/>
  <c r="N380" i="2"/>
  <c r="M770" i="2"/>
  <c r="C770" i="2"/>
  <c r="H380" i="2"/>
  <c r="F1737" i="2"/>
  <c r="G1708" i="2"/>
  <c r="M1708" i="2"/>
  <c r="A380" i="2"/>
  <c r="M1737" i="2"/>
  <c r="C1737" i="2"/>
  <c r="R1737" i="2"/>
  <c r="O1737" i="2"/>
  <c r="N1647" i="2"/>
  <c r="J318" i="2"/>
  <c r="C380" i="2"/>
  <c r="O953" i="2"/>
  <c r="O770" i="2"/>
  <c r="M380" i="2"/>
  <c r="Q1737" i="2"/>
  <c r="S380" i="2"/>
  <c r="P953" i="2"/>
  <c r="H1708" i="2"/>
  <c r="Q318" i="2"/>
  <c r="G953" i="2"/>
  <c r="F912" i="2"/>
  <c r="R953" i="2"/>
  <c r="S972" i="2"/>
  <c r="F770" i="2"/>
  <c r="O972" i="2"/>
  <c r="P1737" i="2"/>
  <c r="D918" i="2"/>
  <c r="G972" i="2"/>
  <c r="N972" i="2"/>
  <c r="J953" i="2"/>
  <c r="C1647" i="2"/>
  <c r="J380" i="2"/>
  <c r="D1647" i="2"/>
  <c r="O1647" i="2"/>
  <c r="E918" i="2"/>
  <c r="P1647" i="2"/>
  <c r="A912" i="2"/>
  <c r="E1708" i="2"/>
  <c r="D1737" i="2"/>
  <c r="H770" i="2"/>
  <c r="Q912" i="2"/>
  <c r="E972" i="2"/>
  <c r="M918" i="2"/>
  <c r="E1647" i="2"/>
  <c r="D972" i="2"/>
  <c r="R770" i="2"/>
  <c r="J1737" i="2"/>
  <c r="S1647" i="2"/>
  <c r="S912" i="2"/>
  <c r="H1647" i="2"/>
  <c r="P912" i="2"/>
  <c r="F1647" i="2"/>
  <c r="D380" i="2"/>
  <c r="P918" i="2"/>
  <c r="A1647" i="2"/>
  <c r="O1708" i="2"/>
  <c r="G912" i="2"/>
  <c r="H972" i="2"/>
  <c r="H953" i="2"/>
  <c r="O318" i="2"/>
  <c r="J1647" i="2"/>
  <c r="F953" i="2"/>
  <c r="Q770" i="2"/>
  <c r="K380" i="2"/>
  <c r="K318" i="2"/>
  <c r="K770" i="2"/>
  <c r="A318" i="2"/>
  <c r="G918" i="2"/>
  <c r="H918" i="2"/>
  <c r="G318" i="2"/>
  <c r="R918" i="2"/>
  <c r="A1708" i="2"/>
  <c r="A770" i="2"/>
  <c r="Q972" i="2"/>
  <c r="S1737" i="2"/>
  <c r="T912" i="2"/>
  <c r="E770" i="2"/>
  <c r="G380" i="2"/>
  <c r="G1737" i="2"/>
  <c r="K1708" i="2"/>
  <c r="H912" i="2"/>
  <c r="A953" i="2"/>
  <c r="S953" i="2"/>
  <c r="M318" i="2"/>
  <c r="P380" i="2"/>
  <c r="J912" i="2"/>
  <c r="G770" i="2"/>
  <c r="Q918" i="2"/>
  <c r="N912" i="2"/>
  <c r="M912" i="2"/>
  <c r="E318" i="2"/>
  <c r="T1737" i="2"/>
  <c r="C918" i="2"/>
  <c r="T318" i="2"/>
  <c r="H318" i="2"/>
  <c r="R1708" i="2"/>
  <c r="N318" i="2"/>
  <c r="N770" i="2"/>
  <c r="J972" i="2"/>
  <c r="C318" i="2"/>
  <c r="S770" i="2"/>
  <c r="F318" i="2"/>
  <c r="D770" i="2"/>
  <c r="R972" i="2"/>
  <c r="R318" i="2"/>
  <c r="P972" i="2"/>
  <c r="K1647" i="2"/>
  <c r="H1737" i="2"/>
  <c r="Q1708" i="2"/>
  <c r="M972" i="2"/>
  <c r="T1708" i="2"/>
  <c r="S318" i="2"/>
  <c r="D953" i="2"/>
  <c r="K953" i="2"/>
  <c r="T1647" i="2"/>
  <c r="K1737" i="2"/>
  <c r="P770" i="2"/>
  <c r="O918" i="2"/>
  <c r="M953" i="2"/>
  <c r="P1708" i="2"/>
  <c r="G1647" i="2"/>
  <c r="E380" i="2"/>
  <c r="A918" i="2"/>
  <c r="E912" i="2"/>
  <c r="T918" i="2"/>
  <c r="K972" i="2"/>
  <c r="R380" i="2"/>
  <c r="K918" i="2"/>
  <c r="D912" i="2"/>
  <c r="A1737" i="2"/>
  <c r="D1708" i="2"/>
  <c r="F380" i="2"/>
  <c r="M1647" i="2"/>
  <c r="N953" i="2"/>
  <c r="E1737" i="2"/>
  <c r="O912" i="2"/>
  <c r="F1708" i="2"/>
  <c r="J770" i="2"/>
  <c r="T380" i="2"/>
  <c r="N918" i="2"/>
  <c r="C972" i="2"/>
  <c r="Q1647" i="2"/>
  <c r="P318" i="2"/>
  <c r="T953" i="2"/>
  <c r="G1851" i="2"/>
  <c r="H1851" i="2"/>
  <c r="R13" i="2"/>
  <c r="A1025" i="2"/>
  <c r="N1025" i="2"/>
  <c r="M2001" i="2"/>
  <c r="T1350" i="2"/>
  <c r="P1036" i="2"/>
  <c r="N295" i="2"/>
  <c r="S956" i="2"/>
  <c r="F1343" i="2"/>
  <c r="E2001" i="2"/>
  <c r="R956" i="2"/>
  <c r="C1618" i="2"/>
  <c r="F1350" i="2"/>
  <c r="D1851" i="2"/>
  <c r="E295" i="2"/>
  <c r="O1350" i="2"/>
  <c r="M1343" i="2"/>
  <c r="D1618" i="2"/>
  <c r="R1618" i="2"/>
  <c r="F1036" i="2"/>
  <c r="J1025" i="2"/>
  <c r="Q1618" i="2"/>
  <c r="G13" i="2"/>
  <c r="M1851" i="2"/>
  <c r="R1350" i="2"/>
  <c r="Q1350" i="2"/>
  <c r="S1350" i="2"/>
  <c r="D956" i="2"/>
  <c r="F13" i="2"/>
  <c r="P13" i="2"/>
  <c r="D1036" i="2"/>
  <c r="M13" i="2"/>
  <c r="G295" i="2"/>
  <c r="M1025" i="2"/>
  <c r="N1618" i="2"/>
  <c r="P2001" i="2"/>
  <c r="D295" i="2"/>
  <c r="O295" i="2"/>
  <c r="J295" i="2"/>
  <c r="R295" i="2"/>
  <c r="H2001" i="2"/>
  <c r="G1618" i="2"/>
  <c r="T1851" i="2"/>
  <c r="Q1343" i="2"/>
  <c r="S1343" i="2"/>
  <c r="T2001" i="2"/>
  <c r="K1618" i="2"/>
  <c r="F1618" i="2"/>
  <c r="S1025" i="2"/>
  <c r="F1025" i="2"/>
  <c r="O13" i="2"/>
  <c r="S2001" i="2"/>
  <c r="A2001" i="2"/>
  <c r="R1851" i="2"/>
  <c r="Q1851" i="2"/>
  <c r="C1851" i="2"/>
  <c r="P295" i="2"/>
  <c r="O2001" i="2"/>
  <c r="H1618" i="2"/>
  <c r="K956" i="2"/>
  <c r="T1025" i="2"/>
  <c r="G1036" i="2"/>
  <c r="H1036" i="2"/>
  <c r="O1036" i="2"/>
  <c r="F1851" i="2"/>
  <c r="T1036" i="2"/>
  <c r="E1350" i="2"/>
  <c r="Q295" i="2"/>
  <c r="N13" i="2"/>
  <c r="H1350" i="2"/>
  <c r="A1036" i="2"/>
  <c r="P1025" i="2"/>
  <c r="J1618" i="2"/>
  <c r="P956" i="2"/>
  <c r="D13" i="2"/>
  <c r="C13" i="2"/>
  <c r="G2001" i="2"/>
  <c r="N1036" i="2"/>
  <c r="D1025" i="2"/>
  <c r="A956" i="2"/>
  <c r="S1851" i="2"/>
  <c r="A1618" i="2"/>
  <c r="A1851" i="2"/>
  <c r="G1343" i="2"/>
  <c r="N2001" i="2"/>
  <c r="A295" i="2"/>
  <c r="O1343" i="2"/>
  <c r="Q13" i="2"/>
  <c r="T956" i="2"/>
  <c r="G1025" i="2"/>
  <c r="N1851" i="2"/>
  <c r="F956" i="2"/>
  <c r="N1350" i="2"/>
  <c r="K13" i="2"/>
  <c r="C1343" i="2"/>
  <c r="K1036" i="2"/>
  <c r="Q1025" i="2"/>
  <c r="M1036" i="2"/>
  <c r="K1350" i="2"/>
  <c r="P1343" i="2"/>
  <c r="Q1036" i="2"/>
  <c r="N1343" i="2"/>
  <c r="O1025" i="2"/>
  <c r="H1025" i="2"/>
  <c r="S13" i="2"/>
  <c r="G1350" i="2"/>
  <c r="F2001" i="2"/>
  <c r="R2001" i="2"/>
  <c r="P1350" i="2"/>
  <c r="D2001" i="2"/>
  <c r="J1350" i="2"/>
  <c r="J956" i="2"/>
  <c r="K1025" i="2"/>
  <c r="E1618" i="2"/>
  <c r="H956" i="2"/>
  <c r="J1036" i="2"/>
  <c r="J13" i="2"/>
  <c r="M1350" i="2"/>
  <c r="C295" i="2"/>
  <c r="T13" i="2"/>
  <c r="S295" i="2"/>
  <c r="E13" i="2"/>
  <c r="M295" i="2"/>
  <c r="O1618" i="2"/>
  <c r="A1343" i="2"/>
  <c r="H295" i="2"/>
  <c r="E1343" i="2"/>
  <c r="O1851" i="2"/>
  <c r="A1350" i="2"/>
  <c r="T295" i="2"/>
  <c r="K2001" i="2"/>
  <c r="K1343" i="2"/>
  <c r="S1036" i="2"/>
  <c r="N956" i="2"/>
  <c r="R1025" i="2"/>
  <c r="K295" i="2"/>
  <c r="T1618" i="2"/>
  <c r="M956" i="2"/>
  <c r="J2001" i="2"/>
  <c r="G956" i="2"/>
  <c r="Q2001" i="2"/>
  <c r="D1350" i="2"/>
  <c r="H1343" i="2"/>
  <c r="R1036" i="2"/>
  <c r="R1343" i="2"/>
  <c r="P1618" i="2"/>
  <c r="E956" i="2"/>
  <c r="J1851" i="2"/>
  <c r="E1036" i="2"/>
  <c r="E1851" i="2"/>
  <c r="H13" i="2"/>
  <c r="M1618" i="2"/>
  <c r="T1343" i="2"/>
  <c r="E1025" i="2"/>
  <c r="D1343" i="2"/>
  <c r="C956" i="2"/>
  <c r="Q956" i="2"/>
  <c r="K1851" i="2"/>
  <c r="S1618" i="2"/>
  <c r="C2001" i="2"/>
  <c r="P1851" i="2"/>
  <c r="F295" i="2"/>
  <c r="C1350" i="2"/>
  <c r="C1036" i="2"/>
  <c r="O956" i="2"/>
  <c r="C1025" i="2"/>
  <c r="A13" i="2"/>
  <c r="J1343" i="2"/>
  <c r="A924" i="2"/>
  <c r="F1588" i="2"/>
  <c r="S392" i="2"/>
  <c r="G1294" i="2"/>
  <c r="M1185" i="2"/>
  <c r="E942" i="2"/>
  <c r="N864" i="2"/>
  <c r="K864" i="2"/>
  <c r="T392" i="2"/>
  <c r="G392" i="2"/>
  <c r="P924" i="2"/>
  <c r="H677" i="2"/>
  <c r="Q1294" i="2"/>
  <c r="J924" i="2"/>
  <c r="T864" i="2"/>
  <c r="J1294" i="2"/>
  <c r="J1185" i="2"/>
  <c r="M1367" i="2"/>
  <c r="S864" i="2"/>
  <c r="O392" i="2"/>
  <c r="T942" i="2"/>
  <c r="N942" i="2"/>
  <c r="J392" i="2"/>
  <c r="D1294" i="2"/>
  <c r="C1185" i="2"/>
  <c r="M942" i="2"/>
  <c r="R1367" i="2"/>
  <c r="T1185" i="2"/>
  <c r="D1367" i="2"/>
  <c r="C1294" i="2"/>
  <c r="K1588" i="2"/>
  <c r="Q1367" i="2"/>
  <c r="O1294" i="2"/>
  <c r="A8" i="2"/>
  <c r="Q942" i="2"/>
  <c r="Q677" i="2"/>
  <c r="P942" i="2"/>
  <c r="N1294" i="2"/>
  <c r="G1185" i="2"/>
  <c r="M1588" i="2"/>
  <c r="Q1185" i="2"/>
  <c r="A1367" i="2"/>
  <c r="F924" i="2"/>
  <c r="O924" i="2"/>
  <c r="N677" i="2"/>
  <c r="P1588" i="2"/>
  <c r="H1294" i="2"/>
  <c r="R1185" i="2"/>
  <c r="E8" i="2"/>
  <c r="E677" i="2"/>
  <c r="S8" i="2"/>
  <c r="S1588" i="2"/>
  <c r="Q1588" i="2"/>
  <c r="M864" i="2"/>
  <c r="M677" i="2"/>
  <c r="D677" i="2"/>
  <c r="F392" i="2"/>
  <c r="E392" i="2"/>
  <c r="O1367" i="2"/>
  <c r="S942" i="2"/>
  <c r="R8" i="2"/>
  <c r="F1294" i="2"/>
  <c r="Q864" i="2"/>
  <c r="A942" i="2"/>
  <c r="E924" i="2"/>
  <c r="J942" i="2"/>
  <c r="F8" i="2"/>
  <c r="C392" i="2"/>
  <c r="A1588" i="2"/>
  <c r="A392" i="2"/>
  <c r="K1185" i="2"/>
  <c r="S1185" i="2"/>
  <c r="R1588" i="2"/>
  <c r="J8" i="2"/>
  <c r="M924" i="2"/>
  <c r="Q8" i="2"/>
  <c r="Q924" i="2"/>
  <c r="N1588" i="2"/>
  <c r="T1294" i="2"/>
  <c r="H942" i="2"/>
  <c r="K677" i="2"/>
  <c r="S677" i="2"/>
  <c r="K8" i="2"/>
  <c r="G924" i="2"/>
  <c r="G1588" i="2"/>
  <c r="D1588" i="2"/>
  <c r="G8" i="2"/>
  <c r="F864" i="2"/>
  <c r="P1367" i="2"/>
  <c r="G677" i="2"/>
  <c r="E1588" i="2"/>
  <c r="N1367" i="2"/>
  <c r="K1367" i="2"/>
  <c r="C864" i="2"/>
  <c r="P1185" i="2"/>
  <c r="H1367" i="2"/>
  <c r="D392" i="2"/>
  <c r="K924" i="2"/>
  <c r="J864" i="2"/>
  <c r="G864" i="2"/>
  <c r="F677" i="2"/>
  <c r="R1294" i="2"/>
  <c r="S924" i="2"/>
  <c r="J677" i="2"/>
  <c r="E1367" i="2"/>
  <c r="O677" i="2"/>
  <c r="H924" i="2"/>
  <c r="O1588" i="2"/>
  <c r="E1185" i="2"/>
  <c r="F942" i="2"/>
  <c r="O864" i="2"/>
  <c r="K1294" i="2"/>
  <c r="D8" i="2"/>
  <c r="G1367" i="2"/>
  <c r="N1185" i="2"/>
  <c r="P8" i="2"/>
  <c r="H392" i="2"/>
  <c r="T1588" i="2"/>
  <c r="H1185" i="2"/>
  <c r="R864" i="2"/>
  <c r="M8" i="2"/>
  <c r="A677" i="2"/>
  <c r="J1588" i="2"/>
  <c r="O8" i="2"/>
  <c r="D1185" i="2"/>
  <c r="P1294" i="2"/>
  <c r="G942" i="2"/>
  <c r="S1367" i="2"/>
  <c r="A1294" i="2"/>
  <c r="R392" i="2"/>
  <c r="Q392" i="2"/>
  <c r="N392" i="2"/>
  <c r="M1294" i="2"/>
  <c r="R924" i="2"/>
  <c r="A864" i="2"/>
  <c r="N924" i="2"/>
  <c r="T677" i="2"/>
  <c r="C942" i="2"/>
  <c r="K942" i="2"/>
  <c r="O942" i="2"/>
  <c r="H864" i="2"/>
  <c r="D864" i="2"/>
  <c r="T8" i="2"/>
  <c r="P864" i="2"/>
  <c r="C677" i="2"/>
  <c r="K392" i="2"/>
  <c r="F1367" i="2"/>
  <c r="F1185" i="2"/>
  <c r="S1294" i="2"/>
  <c r="N8" i="2"/>
  <c r="P392" i="2"/>
  <c r="D942" i="2"/>
  <c r="A1185" i="2"/>
  <c r="R677" i="2"/>
  <c r="T1367" i="2"/>
  <c r="H1588" i="2"/>
  <c r="C8" i="2"/>
  <c r="C924" i="2"/>
  <c r="D924" i="2"/>
  <c r="J1367" i="2"/>
  <c r="T924" i="2"/>
  <c r="R942" i="2"/>
  <c r="O1185" i="2"/>
  <c r="P677" i="2"/>
  <c r="E864" i="2"/>
  <c r="C1367" i="2"/>
  <c r="C1588" i="2"/>
  <c r="M392" i="2"/>
  <c r="E1294" i="2"/>
  <c r="H8" i="2"/>
  <c r="A1419" i="2"/>
  <c r="P1454" i="2"/>
  <c r="A1814" i="2"/>
  <c r="G1750" i="2"/>
  <c r="O1049" i="2"/>
  <c r="E1454" i="2"/>
  <c r="H127" i="2"/>
  <c r="A1587" i="2"/>
  <c r="S1587" i="2"/>
  <c r="Q1587" i="2"/>
  <c r="C76" i="2"/>
  <c r="H1419" i="2"/>
  <c r="K1814" i="2"/>
  <c r="Q1339" i="2"/>
  <c r="N1750" i="2"/>
  <c r="J1339" i="2"/>
  <c r="T1339" i="2"/>
  <c r="D1750" i="2"/>
  <c r="G1587" i="2"/>
  <c r="T1587" i="2"/>
  <c r="D1339" i="2"/>
  <c r="G1454" i="2"/>
  <c r="E1049" i="2"/>
  <c r="N1454" i="2"/>
  <c r="R1049" i="2"/>
  <c r="O1587" i="2"/>
  <c r="J1042" i="2"/>
  <c r="S1750" i="2"/>
  <c r="P76" i="2"/>
  <c r="F1419" i="2"/>
  <c r="S1042" i="2"/>
  <c r="M1750" i="2"/>
  <c r="N127" i="2"/>
  <c r="C1049" i="2"/>
  <c r="D1042" i="2"/>
  <c r="S76" i="2"/>
  <c r="J1454" i="2"/>
  <c r="N1049" i="2"/>
  <c r="R1419" i="2"/>
  <c r="T1454" i="2"/>
  <c r="O1454" i="2"/>
  <c r="T1750" i="2"/>
  <c r="F1049" i="2"/>
  <c r="E1814" i="2"/>
  <c r="O1339" i="2"/>
  <c r="H1587" i="2"/>
  <c r="F127" i="2"/>
  <c r="E1750" i="2"/>
  <c r="K1750" i="2"/>
  <c r="T1042" i="2"/>
  <c r="P1049" i="2"/>
  <c r="M1049" i="2"/>
  <c r="C1814" i="2"/>
  <c r="C1454" i="2"/>
  <c r="G1042" i="2"/>
  <c r="D127" i="2"/>
  <c r="T1814" i="2"/>
  <c r="G1419" i="2"/>
  <c r="G1049" i="2"/>
  <c r="P1042" i="2"/>
  <c r="J76" i="2"/>
  <c r="N1042" i="2"/>
  <c r="F1454" i="2"/>
  <c r="R127" i="2"/>
  <c r="H1750" i="2"/>
  <c r="M76" i="2"/>
  <c r="O1042" i="2"/>
  <c r="T127" i="2"/>
  <c r="P127" i="2"/>
  <c r="N1587" i="2"/>
  <c r="M1042" i="2"/>
  <c r="E127" i="2"/>
  <c r="G1339" i="2"/>
  <c r="C1750" i="2"/>
  <c r="O76" i="2"/>
  <c r="G127" i="2"/>
  <c r="H1454" i="2"/>
  <c r="N76" i="2"/>
  <c r="P1750" i="2"/>
  <c r="T1419" i="2"/>
  <c r="D76" i="2"/>
  <c r="T1049" i="2"/>
  <c r="H1049" i="2"/>
  <c r="J1814" i="2"/>
  <c r="D1587" i="2"/>
  <c r="A1339" i="2"/>
  <c r="H1042" i="2"/>
  <c r="D1814" i="2"/>
  <c r="M1814" i="2"/>
  <c r="M1339" i="2"/>
  <c r="A76" i="2"/>
  <c r="J1049" i="2"/>
  <c r="N1339" i="2"/>
  <c r="J1419" i="2"/>
  <c r="R1042" i="2"/>
  <c r="R1750" i="2"/>
  <c r="C127" i="2"/>
  <c r="R1339" i="2"/>
  <c r="A1049" i="2"/>
  <c r="M1454" i="2"/>
  <c r="S1419" i="2"/>
  <c r="G1814" i="2"/>
  <c r="P1419" i="2"/>
  <c r="O1750" i="2"/>
  <c r="P1814" i="2"/>
  <c r="E76" i="2"/>
  <c r="R1587" i="2"/>
  <c r="D1049" i="2"/>
  <c r="S1814" i="2"/>
  <c r="M127" i="2"/>
  <c r="C1339" i="2"/>
  <c r="T76" i="2"/>
  <c r="K1042" i="2"/>
  <c r="S127" i="2"/>
  <c r="O127" i="2"/>
  <c r="A1042" i="2"/>
  <c r="P1587" i="2"/>
  <c r="K1339" i="2"/>
  <c r="K1454" i="2"/>
  <c r="A127" i="2"/>
  <c r="M1419" i="2"/>
  <c r="D1454" i="2"/>
  <c r="C1419" i="2"/>
  <c r="C1587" i="2"/>
  <c r="G76" i="2"/>
  <c r="C1042" i="2"/>
  <c r="K1419" i="2"/>
  <c r="E1042" i="2"/>
  <c r="K76" i="2"/>
  <c r="E1419" i="2"/>
  <c r="Q1454" i="2"/>
  <c r="Q1814" i="2"/>
  <c r="H76" i="2"/>
  <c r="Q1750" i="2"/>
  <c r="F1339" i="2"/>
  <c r="E1339" i="2"/>
  <c r="J1750" i="2"/>
  <c r="F1814" i="2"/>
  <c r="F1587" i="2"/>
  <c r="S1339" i="2"/>
  <c r="H1339" i="2"/>
  <c r="N1814" i="2"/>
  <c r="O1419" i="2"/>
  <c r="M1587" i="2"/>
  <c r="R76" i="2"/>
  <c r="D1419" i="2"/>
  <c r="K127" i="2"/>
  <c r="J1587" i="2"/>
  <c r="Q76" i="2"/>
  <c r="A1454" i="2"/>
  <c r="A1750" i="2"/>
  <c r="H1814" i="2"/>
  <c r="Q1049" i="2"/>
  <c r="K1587" i="2"/>
  <c r="Q127" i="2"/>
  <c r="Q1042" i="2"/>
  <c r="N1419" i="2"/>
  <c r="O1814" i="2"/>
  <c r="K1049" i="2"/>
  <c r="S1454" i="2"/>
  <c r="F1750" i="2"/>
  <c r="P1339" i="2"/>
  <c r="S1049" i="2"/>
  <c r="R1814" i="2"/>
  <c r="J127" i="2"/>
  <c r="F76" i="2"/>
  <c r="F1042" i="2"/>
  <c r="E1587" i="2"/>
  <c r="Q1419" i="2"/>
  <c r="R1454" i="2"/>
  <c r="P1441" i="2"/>
  <c r="A1515" i="2"/>
  <c r="K2234" i="2"/>
  <c r="M170" i="2"/>
  <c r="F1625" i="2"/>
  <c r="D170" i="2"/>
  <c r="A478" i="2"/>
  <c r="J506" i="2"/>
  <c r="P1625" i="2"/>
  <c r="N170" i="2"/>
  <c r="D1700" i="2"/>
  <c r="M1700" i="2"/>
  <c r="E1700" i="2"/>
  <c r="H506" i="2"/>
  <c r="O506" i="2"/>
  <c r="Q170" i="2"/>
  <c r="R2234" i="2"/>
  <c r="T1700" i="2"/>
  <c r="C506" i="2"/>
  <c r="A170" i="2"/>
  <c r="K1625" i="2"/>
  <c r="Q1625" i="2"/>
  <c r="G506" i="2"/>
  <c r="T506" i="2"/>
  <c r="E478" i="2"/>
  <c r="A1441" i="2"/>
  <c r="J1441" i="2"/>
  <c r="R170" i="2"/>
  <c r="N1515" i="2"/>
  <c r="K982" i="2"/>
  <c r="C1700" i="2"/>
  <c r="J2089" i="2"/>
  <c r="E2089" i="2"/>
  <c r="S478" i="2"/>
  <c r="M478" i="2"/>
  <c r="J170" i="2"/>
  <c r="O982" i="2"/>
  <c r="J2234" i="2"/>
  <c r="D1515" i="2"/>
  <c r="F506" i="2"/>
  <c r="P1700" i="2"/>
  <c r="K478" i="2"/>
  <c r="S506" i="2"/>
  <c r="G170" i="2"/>
  <c r="R982" i="2"/>
  <c r="G1515" i="2"/>
  <c r="D2089" i="2"/>
  <c r="N1700" i="2"/>
  <c r="J1515" i="2"/>
  <c r="H1441" i="2"/>
  <c r="N1441" i="2"/>
  <c r="D1625" i="2"/>
  <c r="E1441" i="2"/>
  <c r="R1515" i="2"/>
  <c r="S1515" i="2"/>
  <c r="S1441" i="2"/>
  <c r="T1625" i="2"/>
  <c r="D982" i="2"/>
  <c r="S1625" i="2"/>
  <c r="P170" i="2"/>
  <c r="N478" i="2"/>
  <c r="C1625" i="2"/>
  <c r="S2234" i="2"/>
  <c r="N2089" i="2"/>
  <c r="F1700" i="2"/>
  <c r="C478" i="2"/>
  <c r="G982" i="2"/>
  <c r="Q1441" i="2"/>
  <c r="C1515" i="2"/>
  <c r="O478" i="2"/>
  <c r="P478" i="2"/>
  <c r="A2234" i="2"/>
  <c r="S170" i="2"/>
  <c r="R1700" i="2"/>
  <c r="O2089" i="2"/>
  <c r="T2234" i="2"/>
  <c r="M982" i="2"/>
  <c r="N506" i="2"/>
  <c r="F1441" i="2"/>
  <c r="P506" i="2"/>
  <c r="M1441" i="2"/>
  <c r="Q478" i="2"/>
  <c r="S1700" i="2"/>
  <c r="E982" i="2"/>
  <c r="K170" i="2"/>
  <c r="C982" i="2"/>
  <c r="T2089" i="2"/>
  <c r="R478" i="2"/>
  <c r="G2234" i="2"/>
  <c r="Q1515" i="2"/>
  <c r="G1700" i="2"/>
  <c r="F170" i="2"/>
  <c r="R1625" i="2"/>
  <c r="K1441" i="2"/>
  <c r="N1625" i="2"/>
  <c r="P2234" i="2"/>
  <c r="M2089" i="2"/>
  <c r="N982" i="2"/>
  <c r="E170" i="2"/>
  <c r="F478" i="2"/>
  <c r="Q2234" i="2"/>
  <c r="O2234" i="2"/>
  <c r="J1700" i="2"/>
  <c r="F982" i="2"/>
  <c r="H2089" i="2"/>
  <c r="D506" i="2"/>
  <c r="O1441" i="2"/>
  <c r="H170" i="2"/>
  <c r="H1700" i="2"/>
  <c r="M1515" i="2"/>
  <c r="O1700" i="2"/>
  <c r="K506" i="2"/>
  <c r="H982" i="2"/>
  <c r="E1625" i="2"/>
  <c r="S982" i="2"/>
  <c r="T982" i="2"/>
  <c r="E2234" i="2"/>
  <c r="A2089" i="2"/>
  <c r="G1441" i="2"/>
  <c r="F2234" i="2"/>
  <c r="A982" i="2"/>
  <c r="T478" i="2"/>
  <c r="Q506" i="2"/>
  <c r="P982" i="2"/>
  <c r="E506" i="2"/>
  <c r="K1700" i="2"/>
  <c r="O1515" i="2"/>
  <c r="J1625" i="2"/>
  <c r="C170" i="2"/>
  <c r="F1515" i="2"/>
  <c r="M506" i="2"/>
  <c r="P2089" i="2"/>
  <c r="M1625" i="2"/>
  <c r="G1625" i="2"/>
  <c r="H2234" i="2"/>
  <c r="H478" i="2"/>
  <c r="C1441" i="2"/>
  <c r="E1515" i="2"/>
  <c r="P1515" i="2"/>
  <c r="R2089" i="2"/>
  <c r="T170" i="2"/>
  <c r="R1441" i="2"/>
  <c r="D2234" i="2"/>
  <c r="Q2089" i="2"/>
  <c r="C2089" i="2"/>
  <c r="J478" i="2"/>
  <c r="M2234" i="2"/>
  <c r="J982" i="2"/>
  <c r="Q1700" i="2"/>
  <c r="R506" i="2"/>
  <c r="G478" i="2"/>
  <c r="S2089" i="2"/>
  <c r="F2089" i="2"/>
  <c r="T1441" i="2"/>
  <c r="H1625" i="2"/>
  <c r="T1515" i="2"/>
  <c r="A1625" i="2"/>
  <c r="K2089" i="2"/>
  <c r="K1515" i="2"/>
  <c r="C2234" i="2"/>
  <c r="N2234" i="2"/>
  <c r="O170" i="2"/>
  <c r="D1441" i="2"/>
  <c r="H1515" i="2"/>
  <c r="A506" i="2"/>
  <c r="Q982" i="2"/>
  <c r="O1625" i="2"/>
  <c r="D478" i="2"/>
  <c r="G2089" i="2"/>
  <c r="A1700" i="2"/>
  <c r="P1023" i="2"/>
  <c r="S1314" i="2"/>
  <c r="T1063" i="2"/>
  <c r="J1063" i="2"/>
  <c r="C875" i="2"/>
  <c r="F1927" i="2"/>
  <c r="D1248" i="2"/>
  <c r="G1927" i="2"/>
  <c r="R1248" i="2"/>
  <c r="J1023" i="2"/>
  <c r="G855" i="2"/>
  <c r="H1662" i="2"/>
  <c r="N855" i="2"/>
  <c r="D1063" i="2"/>
  <c r="E1063" i="2"/>
  <c r="S1927" i="2"/>
  <c r="N1731" i="2"/>
  <c r="R1662" i="2"/>
  <c r="A2153" i="2"/>
  <c r="O1731" i="2"/>
  <c r="F1314" i="2"/>
  <c r="G1248" i="2"/>
  <c r="P1662" i="2"/>
  <c r="G1023" i="2"/>
  <c r="Q2153" i="2"/>
  <c r="Q1023" i="2"/>
  <c r="J1662" i="2"/>
  <c r="M1662" i="2"/>
  <c r="H1023" i="2"/>
  <c r="K1063" i="2"/>
  <c r="J1927" i="2"/>
  <c r="T875" i="2"/>
  <c r="P875" i="2"/>
  <c r="G1314" i="2"/>
  <c r="D1314" i="2"/>
  <c r="E1314" i="2"/>
  <c r="H875" i="2"/>
  <c r="E855" i="2"/>
  <c r="T1023" i="2"/>
  <c r="Q1662" i="2"/>
  <c r="A1248" i="2"/>
  <c r="S1731" i="2"/>
  <c r="H1248" i="2"/>
  <c r="C1314" i="2"/>
  <c r="R1927" i="2"/>
  <c r="E1731" i="2"/>
  <c r="Q1927" i="2"/>
  <c r="S2153" i="2"/>
  <c r="H1731" i="2"/>
  <c r="G2153" i="2"/>
  <c r="A875" i="2"/>
  <c r="P1731" i="2"/>
  <c r="J1731" i="2"/>
  <c r="T855" i="2"/>
  <c r="H1314" i="2"/>
  <c r="R1063" i="2"/>
  <c r="G875" i="2"/>
  <c r="R1731" i="2"/>
  <c r="S1662" i="2"/>
  <c r="F1731" i="2"/>
  <c r="M1731" i="2"/>
  <c r="K2153" i="2"/>
  <c r="O1023" i="2"/>
  <c r="R2153" i="2"/>
  <c r="A1063" i="2"/>
  <c r="F875" i="2"/>
  <c r="O1927" i="2"/>
  <c r="A1662" i="2"/>
  <c r="J875" i="2"/>
  <c r="J855" i="2"/>
  <c r="O1314" i="2"/>
  <c r="F1662" i="2"/>
  <c r="A855" i="2"/>
  <c r="Q1731" i="2"/>
  <c r="P1314" i="2"/>
  <c r="G1731" i="2"/>
  <c r="K1023" i="2"/>
  <c r="N1662" i="2"/>
  <c r="T1662" i="2"/>
  <c r="A1927" i="2"/>
  <c r="O1063" i="2"/>
  <c r="K1248" i="2"/>
  <c r="K1731" i="2"/>
  <c r="N875" i="2"/>
  <c r="Q1063" i="2"/>
  <c r="N2153" i="2"/>
  <c r="Q855" i="2"/>
  <c r="A1314" i="2"/>
  <c r="K855" i="2"/>
  <c r="N1248" i="2"/>
  <c r="D1662" i="2"/>
  <c r="K1314" i="2"/>
  <c r="Q875" i="2"/>
  <c r="F1248" i="2"/>
  <c r="K875" i="2"/>
  <c r="P1248" i="2"/>
  <c r="T1314" i="2"/>
  <c r="J1248" i="2"/>
  <c r="G1063" i="2"/>
  <c r="A1023" i="2"/>
  <c r="S1248" i="2"/>
  <c r="E2153" i="2"/>
  <c r="D875" i="2"/>
  <c r="O855" i="2"/>
  <c r="M1927" i="2"/>
  <c r="P2153" i="2"/>
  <c r="T1927" i="2"/>
  <c r="O875" i="2"/>
  <c r="C1927" i="2"/>
  <c r="N1314" i="2"/>
  <c r="K1662" i="2"/>
  <c r="T2153" i="2"/>
  <c r="E1927" i="2"/>
  <c r="C2153" i="2"/>
  <c r="C1063" i="2"/>
  <c r="G1662" i="2"/>
  <c r="F1063" i="2"/>
  <c r="M1023" i="2"/>
  <c r="H2153" i="2"/>
  <c r="E1248" i="2"/>
  <c r="A1731" i="2"/>
  <c r="F855" i="2"/>
  <c r="H855" i="2"/>
  <c r="S855" i="2"/>
  <c r="N1023" i="2"/>
  <c r="P1063" i="2"/>
  <c r="D1927" i="2"/>
  <c r="K1927" i="2"/>
  <c r="S1023" i="2"/>
  <c r="S875" i="2"/>
  <c r="F2153" i="2"/>
  <c r="T1731" i="2"/>
  <c r="J1314" i="2"/>
  <c r="D1023" i="2"/>
  <c r="T1248" i="2"/>
  <c r="N1927" i="2"/>
  <c r="F1023" i="2"/>
  <c r="M1063" i="2"/>
  <c r="J2153" i="2"/>
  <c r="R1023" i="2"/>
  <c r="M875" i="2"/>
  <c r="O2153" i="2"/>
  <c r="R855" i="2"/>
  <c r="C1662" i="2"/>
  <c r="O1248" i="2"/>
  <c r="S1063" i="2"/>
  <c r="N1063" i="2"/>
  <c r="E875" i="2"/>
  <c r="E1023" i="2"/>
  <c r="M855" i="2"/>
  <c r="C1731" i="2"/>
  <c r="D855" i="2"/>
  <c r="O1662" i="2"/>
  <c r="C1248" i="2"/>
  <c r="P855" i="2"/>
  <c r="Q1248" i="2"/>
  <c r="M1314" i="2"/>
  <c r="R1314" i="2"/>
  <c r="M2153" i="2"/>
  <c r="H1927" i="2"/>
  <c r="E1662" i="2"/>
  <c r="Q1314" i="2"/>
  <c r="C855" i="2"/>
  <c r="R875" i="2"/>
  <c r="P1927" i="2"/>
  <c r="M1248" i="2"/>
  <c r="D1731" i="2"/>
  <c r="D2153" i="2"/>
  <c r="H1063" i="2"/>
  <c r="C1023" i="2"/>
  <c r="A1878" i="2"/>
  <c r="E1517" i="2"/>
  <c r="T1878" i="2"/>
  <c r="F1882" i="2"/>
  <c r="P1882" i="2"/>
  <c r="F2175" i="2"/>
  <c r="J77" i="2"/>
  <c r="R1517" i="2"/>
  <c r="M2132" i="2"/>
  <c r="M77" i="2"/>
  <c r="F559" i="2"/>
  <c r="N2132" i="2"/>
  <c r="J107" i="2"/>
  <c r="K1882" i="2"/>
  <c r="C2175" i="2"/>
  <c r="G1517" i="2"/>
  <c r="M1882" i="2"/>
  <c r="C2132" i="2"/>
  <c r="M1517" i="2"/>
  <c r="N559" i="2"/>
  <c r="H77" i="2"/>
  <c r="N1882" i="2"/>
  <c r="A1517" i="2"/>
  <c r="C850" i="2"/>
  <c r="C559" i="2"/>
  <c r="G2132" i="2"/>
  <c r="G850" i="2"/>
  <c r="A761" i="2"/>
  <c r="N1517" i="2"/>
  <c r="H761" i="2"/>
  <c r="O1517" i="2"/>
  <c r="H850" i="2"/>
  <c r="S1878" i="2"/>
  <c r="K850" i="2"/>
  <c r="C761" i="2"/>
  <c r="M850" i="2"/>
  <c r="T77" i="2"/>
  <c r="E559" i="2"/>
  <c r="C107" i="2"/>
  <c r="S1517" i="2"/>
  <c r="E1878" i="2"/>
  <c r="F761" i="2"/>
  <c r="H1517" i="2"/>
  <c r="J1882" i="2"/>
  <c r="J850" i="2"/>
  <c r="P2175" i="2"/>
  <c r="A77" i="2"/>
  <c r="N1878" i="2"/>
  <c r="S559" i="2"/>
  <c r="H1882" i="2"/>
  <c r="G761" i="2"/>
  <c r="E107" i="2"/>
  <c r="C1882" i="2"/>
  <c r="O1878" i="2"/>
  <c r="Q850" i="2"/>
  <c r="O107" i="2"/>
  <c r="P107" i="2"/>
  <c r="O2132" i="2"/>
  <c r="S761" i="2"/>
  <c r="A107" i="2"/>
  <c r="Q2132" i="2"/>
  <c r="M761" i="2"/>
  <c r="M107" i="2"/>
  <c r="R850" i="2"/>
  <c r="K1517" i="2"/>
  <c r="T559" i="2"/>
  <c r="P2132" i="2"/>
  <c r="N761" i="2"/>
  <c r="J1517" i="2"/>
  <c r="D1882" i="2"/>
  <c r="T107" i="2"/>
  <c r="R2175" i="2"/>
  <c r="S850" i="2"/>
  <c r="H2175" i="2"/>
  <c r="T1882" i="2"/>
  <c r="K2132" i="2"/>
  <c r="J2132" i="2"/>
  <c r="P559" i="2"/>
  <c r="D2132" i="2"/>
  <c r="N2175" i="2"/>
  <c r="A850" i="2"/>
  <c r="D559" i="2"/>
  <c r="R2132" i="2"/>
  <c r="A559" i="2"/>
  <c r="Q2175" i="2"/>
  <c r="T850" i="2"/>
  <c r="K77" i="2"/>
  <c r="H107" i="2"/>
  <c r="O559" i="2"/>
  <c r="N850" i="2"/>
  <c r="E2132" i="2"/>
  <c r="E77" i="2"/>
  <c r="G1882" i="2"/>
  <c r="T1517" i="2"/>
  <c r="F1517" i="2"/>
  <c r="P77" i="2"/>
  <c r="R107" i="2"/>
  <c r="G1878" i="2"/>
  <c r="M1878" i="2"/>
  <c r="T2175" i="2"/>
  <c r="Q107" i="2"/>
  <c r="D107" i="2"/>
  <c r="G2175" i="2"/>
  <c r="P1878" i="2"/>
  <c r="O2175" i="2"/>
  <c r="F850" i="2"/>
  <c r="R77" i="2"/>
  <c r="D1517" i="2"/>
  <c r="J2175" i="2"/>
  <c r="D761" i="2"/>
  <c r="K761" i="2"/>
  <c r="F107" i="2"/>
  <c r="S1882" i="2"/>
  <c r="R761" i="2"/>
  <c r="R559" i="2"/>
  <c r="D1878" i="2"/>
  <c r="A2175" i="2"/>
  <c r="P850" i="2"/>
  <c r="G559" i="2"/>
  <c r="P761" i="2"/>
  <c r="P1517" i="2"/>
  <c r="F2132" i="2"/>
  <c r="J1878" i="2"/>
  <c r="H2132" i="2"/>
  <c r="A1882" i="2"/>
  <c r="Q761" i="2"/>
  <c r="K2175" i="2"/>
  <c r="D2175" i="2"/>
  <c r="Q77" i="2"/>
  <c r="K107" i="2"/>
  <c r="O761" i="2"/>
  <c r="A2132" i="2"/>
  <c r="O77" i="2"/>
  <c r="R1882" i="2"/>
  <c r="C1878" i="2"/>
  <c r="H1878" i="2"/>
  <c r="S2132" i="2"/>
  <c r="Q1882" i="2"/>
  <c r="M559" i="2"/>
  <c r="K559" i="2"/>
  <c r="Q1517" i="2"/>
  <c r="G107" i="2"/>
  <c r="E850" i="2"/>
  <c r="Q559" i="2"/>
  <c r="T761" i="2"/>
  <c r="J761" i="2"/>
  <c r="S2175" i="2"/>
  <c r="S77" i="2"/>
  <c r="F1878" i="2"/>
  <c r="O1882" i="2"/>
  <c r="E2175" i="2"/>
  <c r="N77" i="2"/>
  <c r="K1878" i="2"/>
  <c r="H559" i="2"/>
  <c r="G77" i="2"/>
  <c r="D77" i="2"/>
  <c r="N107" i="2"/>
  <c r="D850" i="2"/>
  <c r="F77" i="2"/>
  <c r="Q1878" i="2"/>
  <c r="C1517" i="2"/>
  <c r="E761" i="2"/>
  <c r="S107" i="2"/>
  <c r="R1878" i="2"/>
  <c r="O850" i="2"/>
  <c r="E1882" i="2"/>
  <c r="T2132" i="2"/>
  <c r="C77" i="2"/>
  <c r="J559" i="2"/>
  <c r="M2175" i="2"/>
  <c r="F379" i="2"/>
  <c r="A271" i="2"/>
  <c r="O271" i="2"/>
  <c r="M379" i="2"/>
  <c r="T1067" i="2"/>
  <c r="H1870" i="2"/>
  <c r="Q271" i="2"/>
  <c r="S1067" i="2"/>
  <c r="Q1282" i="2"/>
  <c r="A1626" i="2"/>
  <c r="A1282" i="2"/>
  <c r="A908" i="2"/>
  <c r="K1333" i="2"/>
  <c r="E1333" i="2"/>
  <c r="C271" i="2"/>
  <c r="E1870" i="2"/>
  <c r="H1333" i="2"/>
  <c r="D379" i="2"/>
  <c r="M1870" i="2"/>
  <c r="P1493" i="2"/>
  <c r="J379" i="2"/>
  <c r="T1870" i="2"/>
  <c r="S1870" i="2"/>
  <c r="R1493" i="2"/>
  <c r="P271" i="2"/>
  <c r="D360" i="2"/>
  <c r="F908" i="2"/>
  <c r="K1493" i="2"/>
  <c r="H360" i="2"/>
  <c r="O1870" i="2"/>
  <c r="O360" i="2"/>
  <c r="G908" i="2"/>
  <c r="N271" i="2"/>
  <c r="N1067" i="2"/>
  <c r="N1333" i="2"/>
  <c r="J1282" i="2"/>
  <c r="P1626" i="2"/>
  <c r="O1282" i="2"/>
  <c r="H379" i="2"/>
  <c r="T360" i="2"/>
  <c r="J1493" i="2"/>
  <c r="E1493" i="2"/>
  <c r="M1333" i="2"/>
  <c r="T271" i="2"/>
  <c r="R379" i="2"/>
  <c r="N908" i="2"/>
  <c r="A360" i="2"/>
  <c r="C1067" i="2"/>
  <c r="A379" i="2"/>
  <c r="H1067" i="2"/>
  <c r="F271" i="2"/>
  <c r="K1067" i="2"/>
  <c r="D1626" i="2"/>
  <c r="G1493" i="2"/>
  <c r="P1067" i="2"/>
  <c r="N1493" i="2"/>
  <c r="F360" i="2"/>
  <c r="Q379" i="2"/>
  <c r="T1282" i="2"/>
  <c r="H908" i="2"/>
  <c r="P1870" i="2"/>
  <c r="D908" i="2"/>
  <c r="H1493" i="2"/>
  <c r="F1282" i="2"/>
  <c r="K908" i="2"/>
  <c r="C379" i="2"/>
  <c r="N379" i="2"/>
  <c r="E1282" i="2"/>
  <c r="N1870" i="2"/>
  <c r="J1870" i="2"/>
  <c r="S1333" i="2"/>
  <c r="C1626" i="2"/>
  <c r="F1626" i="2"/>
  <c r="O908" i="2"/>
  <c r="D271" i="2"/>
  <c r="P1333" i="2"/>
  <c r="J1626" i="2"/>
  <c r="O379" i="2"/>
  <c r="O1626" i="2"/>
  <c r="F1870" i="2"/>
  <c r="Q908" i="2"/>
  <c r="G1626" i="2"/>
  <c r="K1626" i="2"/>
  <c r="G379" i="2"/>
  <c r="O1333" i="2"/>
  <c r="R271" i="2"/>
  <c r="C1333" i="2"/>
  <c r="J1067" i="2"/>
  <c r="E908" i="2"/>
  <c r="C1870" i="2"/>
  <c r="S1282" i="2"/>
  <c r="D1067" i="2"/>
  <c r="Q1493" i="2"/>
  <c r="E379" i="2"/>
  <c r="D1333" i="2"/>
  <c r="Q1067" i="2"/>
  <c r="F1067" i="2"/>
  <c r="O1067" i="2"/>
  <c r="M271" i="2"/>
  <c r="H271" i="2"/>
  <c r="R908" i="2"/>
  <c r="E1626" i="2"/>
  <c r="G360" i="2"/>
  <c r="F1493" i="2"/>
  <c r="D1870" i="2"/>
  <c r="F1333" i="2"/>
  <c r="T1626" i="2"/>
  <c r="J271" i="2"/>
  <c r="G1333" i="2"/>
  <c r="D1493" i="2"/>
  <c r="A1333" i="2"/>
  <c r="K1870" i="2"/>
  <c r="M360" i="2"/>
  <c r="S360" i="2"/>
  <c r="Q1333" i="2"/>
  <c r="J908" i="2"/>
  <c r="C1493" i="2"/>
  <c r="J1333" i="2"/>
  <c r="P379" i="2"/>
  <c r="A1870" i="2"/>
  <c r="P908" i="2"/>
  <c r="J360" i="2"/>
  <c r="M1282" i="2"/>
  <c r="R1333" i="2"/>
  <c r="R1067" i="2"/>
  <c r="O1493" i="2"/>
  <c r="M1626" i="2"/>
  <c r="P360" i="2"/>
  <c r="A1493" i="2"/>
  <c r="R1282" i="2"/>
  <c r="R1870" i="2"/>
  <c r="K271" i="2"/>
  <c r="S379" i="2"/>
  <c r="E1067" i="2"/>
  <c r="C1282" i="2"/>
  <c r="D1282" i="2"/>
  <c r="G1282" i="2"/>
  <c r="R1626" i="2"/>
  <c r="N1626" i="2"/>
  <c r="M1067" i="2"/>
  <c r="T908" i="2"/>
  <c r="S1493" i="2"/>
  <c r="K360" i="2"/>
  <c r="H1282" i="2"/>
  <c r="T379" i="2"/>
  <c r="Q360" i="2"/>
  <c r="K1282" i="2"/>
  <c r="G271" i="2"/>
  <c r="Q1870" i="2"/>
  <c r="E360" i="2"/>
  <c r="G1067" i="2"/>
  <c r="C908" i="2"/>
  <c r="P1282" i="2"/>
  <c r="Q1626" i="2"/>
  <c r="M1493" i="2"/>
  <c r="M908" i="2"/>
  <c r="C360" i="2"/>
  <c r="E271" i="2"/>
  <c r="S1626" i="2"/>
  <c r="R360" i="2"/>
  <c r="S908" i="2"/>
  <c r="T1493" i="2"/>
  <c r="S271" i="2"/>
  <c r="K379" i="2"/>
  <c r="N360" i="2"/>
  <c r="T1333" i="2"/>
  <c r="N1282" i="2"/>
  <c r="A1067" i="2"/>
  <c r="G1870" i="2"/>
  <c r="H1626" i="2"/>
  <c r="A668" i="2"/>
  <c r="F101" i="2"/>
  <c r="G1776" i="2"/>
  <c r="H1714" i="2"/>
  <c r="S1406" i="2"/>
  <c r="O1776" i="2"/>
  <c r="Q461" i="2"/>
  <c r="P1102" i="2"/>
  <c r="C1808" i="2"/>
  <c r="A101" i="2"/>
  <c r="H1776" i="2"/>
  <c r="O1714" i="2"/>
  <c r="K1138" i="2"/>
  <c r="G668" i="2"/>
  <c r="O1102" i="2"/>
  <c r="R1406" i="2"/>
  <c r="K461" i="2"/>
  <c r="J101" i="2"/>
  <c r="J668" i="2"/>
  <c r="P101" i="2"/>
  <c r="F1714" i="2"/>
  <c r="S1138" i="2"/>
  <c r="R1776" i="2"/>
  <c r="P1776" i="2"/>
  <c r="Q1406" i="2"/>
  <c r="T1102" i="2"/>
  <c r="Q579" i="2"/>
  <c r="A579" i="2"/>
  <c r="N101" i="2"/>
  <c r="A461" i="2"/>
  <c r="O1808" i="2"/>
  <c r="G1406" i="2"/>
  <c r="O1138" i="2"/>
  <c r="K1102" i="2"/>
  <c r="D1406" i="2"/>
  <c r="K1776" i="2"/>
  <c r="M101" i="2"/>
  <c r="R1714" i="2"/>
  <c r="G1714" i="2"/>
  <c r="M1102" i="2"/>
  <c r="T1138" i="2"/>
  <c r="M1714" i="2"/>
  <c r="S1714" i="2"/>
  <c r="R101" i="2"/>
  <c r="T461" i="2"/>
  <c r="S1776" i="2"/>
  <c r="J1102" i="2"/>
  <c r="G579" i="2"/>
  <c r="O579" i="2"/>
  <c r="Q668" i="2"/>
  <c r="Q101" i="2"/>
  <c r="C1776" i="2"/>
  <c r="A1138" i="2"/>
  <c r="R579" i="2"/>
  <c r="O461" i="2"/>
  <c r="F1102" i="2"/>
  <c r="G461" i="2"/>
  <c r="M1776" i="2"/>
  <c r="F1808" i="2"/>
  <c r="E1714" i="2"/>
  <c r="F668" i="2"/>
  <c r="H1808" i="2"/>
  <c r="G1102" i="2"/>
  <c r="C101" i="2"/>
  <c r="C668" i="2"/>
  <c r="F1138" i="2"/>
  <c r="F1406" i="2"/>
  <c r="N461" i="2"/>
  <c r="S668" i="2"/>
  <c r="C1406" i="2"/>
  <c r="M1406" i="2"/>
  <c r="A1714" i="2"/>
  <c r="K101" i="2"/>
  <c r="P1714" i="2"/>
  <c r="O101" i="2"/>
  <c r="T1714" i="2"/>
  <c r="J579" i="2"/>
  <c r="D101" i="2"/>
  <c r="K1714" i="2"/>
  <c r="R1138" i="2"/>
  <c r="T1808" i="2"/>
  <c r="R668" i="2"/>
  <c r="H1102" i="2"/>
  <c r="E1102" i="2"/>
  <c r="R1808" i="2"/>
  <c r="J1138" i="2"/>
  <c r="E668" i="2"/>
  <c r="K668" i="2"/>
  <c r="K579" i="2"/>
  <c r="F1776" i="2"/>
  <c r="N1714" i="2"/>
  <c r="J1406" i="2"/>
  <c r="E1808" i="2"/>
  <c r="P579" i="2"/>
  <c r="M1138" i="2"/>
  <c r="G1138" i="2"/>
  <c r="D1102" i="2"/>
  <c r="Q1138" i="2"/>
  <c r="N1102" i="2"/>
  <c r="D461" i="2"/>
  <c r="H579" i="2"/>
  <c r="S101" i="2"/>
  <c r="T579" i="2"/>
  <c r="A1776" i="2"/>
  <c r="N1776" i="2"/>
  <c r="J461" i="2"/>
  <c r="C1102" i="2"/>
  <c r="D1808" i="2"/>
  <c r="C461" i="2"/>
  <c r="O668" i="2"/>
  <c r="J1714" i="2"/>
  <c r="J1776" i="2"/>
  <c r="T101" i="2"/>
  <c r="T1776" i="2"/>
  <c r="S579" i="2"/>
  <c r="Q1102" i="2"/>
  <c r="D579" i="2"/>
  <c r="Q1808" i="2"/>
  <c r="H668" i="2"/>
  <c r="D1138" i="2"/>
  <c r="O1406" i="2"/>
  <c r="A1406" i="2"/>
  <c r="A1102" i="2"/>
  <c r="A1808" i="2"/>
  <c r="G1808" i="2"/>
  <c r="C579" i="2"/>
  <c r="H101" i="2"/>
  <c r="P668" i="2"/>
  <c r="N668" i="2"/>
  <c r="M1808" i="2"/>
  <c r="K1406" i="2"/>
  <c r="J1808" i="2"/>
  <c r="F461" i="2"/>
  <c r="P1808" i="2"/>
  <c r="N1808" i="2"/>
  <c r="C1714" i="2"/>
  <c r="E461" i="2"/>
  <c r="H461" i="2"/>
  <c r="S461" i="2"/>
  <c r="E579" i="2"/>
  <c r="P1406" i="2"/>
  <c r="D1776" i="2"/>
  <c r="F579" i="2"/>
  <c r="K1808" i="2"/>
  <c r="H1138" i="2"/>
  <c r="D668" i="2"/>
  <c r="N1406" i="2"/>
  <c r="E1776" i="2"/>
  <c r="M461" i="2"/>
  <c r="C1138" i="2"/>
  <c r="N1138" i="2"/>
  <c r="G101" i="2"/>
  <c r="D1714" i="2"/>
  <c r="H1406" i="2"/>
  <c r="T1406" i="2"/>
  <c r="N579" i="2"/>
  <c r="S1102" i="2"/>
  <c r="T668" i="2"/>
  <c r="R461" i="2"/>
  <c r="P1138" i="2"/>
  <c r="E101" i="2"/>
  <c r="R1102" i="2"/>
  <c r="P461" i="2"/>
  <c r="M579" i="2"/>
  <c r="M668" i="2"/>
  <c r="Q1776" i="2"/>
  <c r="E1138" i="2"/>
  <c r="S1808" i="2"/>
  <c r="Q1714" i="2"/>
  <c r="E1406" i="2"/>
  <c r="G510" i="2"/>
  <c r="R572" i="2"/>
  <c r="A1528" i="2"/>
  <c r="D613" i="2"/>
  <c r="E1050" i="2"/>
  <c r="J1272" i="2"/>
  <c r="H572" i="2"/>
  <c r="K1272" i="2"/>
  <c r="J572" i="2"/>
  <c r="Q613" i="2"/>
  <c r="R960" i="2"/>
  <c r="J703" i="2"/>
  <c r="R1763" i="2"/>
  <c r="H1050" i="2"/>
  <c r="J1763" i="2"/>
  <c r="T613" i="2"/>
  <c r="D1050" i="2"/>
  <c r="F613" i="2"/>
  <c r="R510" i="2"/>
  <c r="K510" i="2"/>
  <c r="F285" i="2"/>
  <c r="Q1763" i="2"/>
  <c r="C1272" i="2"/>
  <c r="T703" i="2"/>
  <c r="E703" i="2"/>
  <c r="K960" i="2"/>
  <c r="J1050" i="2"/>
  <c r="M510" i="2"/>
  <c r="G572" i="2"/>
  <c r="Q1272" i="2"/>
  <c r="P510" i="2"/>
  <c r="K1763" i="2"/>
  <c r="N1272" i="2"/>
  <c r="K1050" i="2"/>
  <c r="E1272" i="2"/>
  <c r="E960" i="2"/>
  <c r="G703" i="2"/>
  <c r="H613" i="2"/>
  <c r="P285" i="2"/>
  <c r="C285" i="2"/>
  <c r="S960" i="2"/>
  <c r="C613" i="2"/>
  <c r="C960" i="2"/>
  <c r="J960" i="2"/>
  <c r="C703" i="2"/>
  <c r="Q960" i="2"/>
  <c r="O285" i="2"/>
  <c r="A703" i="2"/>
  <c r="A960" i="2"/>
  <c r="N1528" i="2"/>
  <c r="P703" i="2"/>
  <c r="D285" i="2"/>
  <c r="A510" i="2"/>
  <c r="E572" i="2"/>
  <c r="F960" i="2"/>
  <c r="N703" i="2"/>
  <c r="J285" i="2"/>
  <c r="H703" i="2"/>
  <c r="S703" i="2"/>
  <c r="P960" i="2"/>
  <c r="C572" i="2"/>
  <c r="N1050" i="2"/>
  <c r="G1050" i="2"/>
  <c r="T1272" i="2"/>
  <c r="F1050" i="2"/>
  <c r="R1272" i="2"/>
  <c r="D1272" i="2"/>
  <c r="O703" i="2"/>
  <c r="H1763" i="2"/>
  <c r="A285" i="2"/>
  <c r="P1272" i="2"/>
  <c r="M960" i="2"/>
  <c r="H1272" i="2"/>
  <c r="F572" i="2"/>
  <c r="R1050" i="2"/>
  <c r="S572" i="2"/>
  <c r="D1763" i="2"/>
  <c r="J613" i="2"/>
  <c r="E613" i="2"/>
  <c r="D960" i="2"/>
  <c r="O1763" i="2"/>
  <c r="C1763" i="2"/>
  <c r="R285" i="2"/>
  <c r="Q285" i="2"/>
  <c r="T1528" i="2"/>
  <c r="T510" i="2"/>
  <c r="P1050" i="2"/>
  <c r="R613" i="2"/>
  <c r="S510" i="2"/>
  <c r="C1050" i="2"/>
  <c r="Q572" i="2"/>
  <c r="S285" i="2"/>
  <c r="O960" i="2"/>
  <c r="A613" i="2"/>
  <c r="H960" i="2"/>
  <c r="D572" i="2"/>
  <c r="E285" i="2"/>
  <c r="D510" i="2"/>
  <c r="Q1050" i="2"/>
  <c r="N1763" i="2"/>
  <c r="F703" i="2"/>
  <c r="D1528" i="2"/>
  <c r="M1272" i="2"/>
  <c r="M1763" i="2"/>
  <c r="M285" i="2"/>
  <c r="D703" i="2"/>
  <c r="A1272" i="2"/>
  <c r="Q510" i="2"/>
  <c r="P1528" i="2"/>
  <c r="N572" i="2"/>
  <c r="G1272" i="2"/>
  <c r="H510" i="2"/>
  <c r="Q703" i="2"/>
  <c r="M703" i="2"/>
  <c r="N510" i="2"/>
  <c r="M1050" i="2"/>
  <c r="M613" i="2"/>
  <c r="G613" i="2"/>
  <c r="T285" i="2"/>
  <c r="S613" i="2"/>
  <c r="K572" i="2"/>
  <c r="F1528" i="2"/>
  <c r="P1763" i="2"/>
  <c r="T960" i="2"/>
  <c r="T1050" i="2"/>
  <c r="E1763" i="2"/>
  <c r="H1528" i="2"/>
  <c r="H285" i="2"/>
  <c r="T572" i="2"/>
  <c r="S1272" i="2"/>
  <c r="K613" i="2"/>
  <c r="S1763" i="2"/>
  <c r="E510" i="2"/>
  <c r="A572" i="2"/>
  <c r="K1528" i="2"/>
  <c r="O510" i="2"/>
  <c r="G1528" i="2"/>
  <c r="N613" i="2"/>
  <c r="C510" i="2"/>
  <c r="N960" i="2"/>
  <c r="J1528" i="2"/>
  <c r="A1050" i="2"/>
  <c r="Q1528" i="2"/>
  <c r="S1050" i="2"/>
  <c r="G1763" i="2"/>
  <c r="N285" i="2"/>
  <c r="E1528" i="2"/>
  <c r="T1763" i="2"/>
  <c r="K285" i="2"/>
  <c r="F1272" i="2"/>
  <c r="R703" i="2"/>
  <c r="R1528" i="2"/>
  <c r="A1763" i="2"/>
  <c r="P613" i="2"/>
  <c r="O1528" i="2"/>
  <c r="P572" i="2"/>
  <c r="S1528" i="2"/>
  <c r="M572" i="2"/>
  <c r="C1528" i="2"/>
  <c r="J510" i="2"/>
  <c r="G285" i="2"/>
  <c r="K703" i="2"/>
  <c r="F510" i="2"/>
  <c r="M1528" i="2"/>
  <c r="O613" i="2"/>
  <c r="O1272" i="2"/>
  <c r="O572" i="2"/>
  <c r="F1763" i="2"/>
  <c r="O1050" i="2"/>
  <c r="G960" i="2"/>
  <c r="O255" i="2"/>
  <c r="M743" i="2"/>
  <c r="C1308" i="2"/>
  <c r="D351" i="2"/>
  <c r="J794" i="2"/>
  <c r="C259" i="2"/>
  <c r="R1802" i="2"/>
  <c r="O1308" i="2"/>
  <c r="E1308" i="2"/>
  <c r="P351" i="2"/>
  <c r="T255" i="2"/>
  <c r="G1265" i="2"/>
  <c r="P794" i="2"/>
  <c r="D1135" i="2"/>
  <c r="F1135" i="2"/>
  <c r="E255" i="2"/>
  <c r="A743" i="2"/>
  <c r="O1135" i="2"/>
  <c r="N1802" i="2"/>
  <c r="K1135" i="2"/>
  <c r="C794" i="2"/>
  <c r="F1265" i="2"/>
  <c r="C793" i="2"/>
  <c r="J1308" i="2"/>
  <c r="A794" i="2"/>
  <c r="A1135" i="2"/>
  <c r="G351" i="2"/>
  <c r="F351" i="2"/>
  <c r="C351" i="2"/>
  <c r="H794" i="2"/>
  <c r="G255" i="2"/>
  <c r="D1308" i="2"/>
  <c r="T793" i="2"/>
  <c r="M793" i="2"/>
  <c r="R1135" i="2"/>
  <c r="N794" i="2"/>
  <c r="P259" i="2"/>
  <c r="N743" i="2"/>
  <c r="Q1308" i="2"/>
  <c r="E259" i="2"/>
  <c r="P1135" i="2"/>
  <c r="E793" i="2"/>
  <c r="J743" i="2"/>
  <c r="J1265" i="2"/>
  <c r="T743" i="2"/>
  <c r="J255" i="2"/>
  <c r="R1265" i="2"/>
  <c r="P1308" i="2"/>
  <c r="Q1265" i="2"/>
  <c r="Q351" i="2"/>
  <c r="E743" i="2"/>
  <c r="K1308" i="2"/>
  <c r="E351" i="2"/>
  <c r="E1802" i="2"/>
  <c r="Q1802" i="2"/>
  <c r="A793" i="2"/>
  <c r="N259" i="2"/>
  <c r="F1802" i="2"/>
  <c r="O1265" i="2"/>
  <c r="O351" i="2"/>
  <c r="A259" i="2"/>
  <c r="E794" i="2"/>
  <c r="M794" i="2"/>
  <c r="R351" i="2"/>
  <c r="G794" i="2"/>
  <c r="J351" i="2"/>
  <c r="N793" i="2"/>
  <c r="E1135" i="2"/>
  <c r="R743" i="2"/>
  <c r="F255" i="2"/>
  <c r="K351" i="2"/>
  <c r="C1802" i="2"/>
  <c r="S794" i="2"/>
  <c r="S1135" i="2"/>
  <c r="S1308" i="2"/>
  <c r="K743" i="2"/>
  <c r="H1308" i="2"/>
  <c r="D1802" i="2"/>
  <c r="P255" i="2"/>
  <c r="M1135" i="2"/>
  <c r="C255" i="2"/>
  <c r="F794" i="2"/>
  <c r="R793" i="2"/>
  <c r="D794" i="2"/>
  <c r="C1135" i="2"/>
  <c r="D255" i="2"/>
  <c r="A1802" i="2"/>
  <c r="Q259" i="2"/>
  <c r="D1265" i="2"/>
  <c r="P1265" i="2"/>
  <c r="Q1135" i="2"/>
  <c r="A1308" i="2"/>
  <c r="H743" i="2"/>
  <c r="D743" i="2"/>
  <c r="S259" i="2"/>
  <c r="G259" i="2"/>
  <c r="M259" i="2"/>
  <c r="N1265" i="2"/>
  <c r="N1308" i="2"/>
  <c r="T259" i="2"/>
  <c r="K1802" i="2"/>
  <c r="T1135" i="2"/>
  <c r="O794" i="2"/>
  <c r="P743" i="2"/>
  <c r="O743" i="2"/>
  <c r="F259" i="2"/>
  <c r="S1802" i="2"/>
  <c r="C743" i="2"/>
  <c r="T1802" i="2"/>
  <c r="Q794" i="2"/>
  <c r="K793" i="2"/>
  <c r="A351" i="2"/>
  <c r="K255" i="2"/>
  <c r="H1265" i="2"/>
  <c r="J793" i="2"/>
  <c r="H255" i="2"/>
  <c r="H793" i="2"/>
  <c r="D793" i="2"/>
  <c r="S1265" i="2"/>
  <c r="O259" i="2"/>
  <c r="P1802" i="2"/>
  <c r="M255" i="2"/>
  <c r="C1265" i="2"/>
  <c r="F1308" i="2"/>
  <c r="J259" i="2"/>
  <c r="S743" i="2"/>
  <c r="R794" i="2"/>
  <c r="T794" i="2"/>
  <c r="M1802" i="2"/>
  <c r="N1135" i="2"/>
  <c r="R1308" i="2"/>
  <c r="H351" i="2"/>
  <c r="M351" i="2"/>
  <c r="Q255" i="2"/>
  <c r="S351" i="2"/>
  <c r="G1802" i="2"/>
  <c r="O793" i="2"/>
  <c r="D259" i="2"/>
  <c r="T351" i="2"/>
  <c r="H1802" i="2"/>
  <c r="P793" i="2"/>
  <c r="Q793" i="2"/>
  <c r="A255" i="2"/>
  <c r="K259" i="2"/>
  <c r="E1265" i="2"/>
  <c r="Q743" i="2"/>
  <c r="A1265" i="2"/>
  <c r="G1308" i="2"/>
  <c r="H259" i="2"/>
  <c r="G1135" i="2"/>
  <c r="N255" i="2"/>
  <c r="K1265" i="2"/>
  <c r="F743" i="2"/>
  <c r="R255" i="2"/>
  <c r="F793" i="2"/>
  <c r="G793" i="2"/>
  <c r="M1265" i="2"/>
  <c r="M1308" i="2"/>
  <c r="O1802" i="2"/>
  <c r="J1135" i="2"/>
  <c r="J1802" i="2"/>
  <c r="K794" i="2"/>
  <c r="N351" i="2"/>
  <c r="T1308" i="2"/>
  <c r="H1135" i="2"/>
  <c r="S793" i="2"/>
  <c r="T1265" i="2"/>
  <c r="G743" i="2"/>
  <c r="R259" i="2"/>
  <c r="S255" i="2"/>
  <c r="H1173" i="2"/>
  <c r="T678" i="2"/>
  <c r="S1288" i="2"/>
  <c r="N1176" i="2"/>
  <c r="N1982" i="2"/>
  <c r="N672" i="2"/>
  <c r="J672" i="2"/>
  <c r="D1982" i="2"/>
  <c r="O455" i="2"/>
  <c r="S2138" i="2"/>
  <c r="H1176" i="2"/>
  <c r="A455" i="2"/>
  <c r="K1288" i="2"/>
  <c r="S171" i="2"/>
  <c r="C1288" i="2"/>
  <c r="T672" i="2"/>
  <c r="E672" i="2"/>
  <c r="M707" i="2"/>
  <c r="H672" i="2"/>
  <c r="A2138" i="2"/>
  <c r="A171" i="2"/>
  <c r="F1176" i="2"/>
  <c r="F707" i="2"/>
  <c r="K672" i="2"/>
  <c r="Q707" i="2"/>
  <c r="D455" i="2"/>
  <c r="N707" i="2"/>
  <c r="P678" i="2"/>
  <c r="M1288" i="2"/>
  <c r="A707" i="2"/>
  <c r="S678" i="2"/>
  <c r="T1288" i="2"/>
  <c r="H1982" i="2"/>
  <c r="O672" i="2"/>
  <c r="P455" i="2"/>
  <c r="F1288" i="2"/>
  <c r="H1288" i="2"/>
  <c r="P1173" i="2"/>
  <c r="G1176" i="2"/>
  <c r="H707" i="2"/>
  <c r="P672" i="2"/>
  <c r="T1982" i="2"/>
  <c r="P707" i="2"/>
  <c r="Q455" i="2"/>
  <c r="G1288" i="2"/>
  <c r="C171" i="2"/>
  <c r="A1176" i="2"/>
  <c r="N2138" i="2"/>
  <c r="H171" i="2"/>
  <c r="J455" i="2"/>
  <c r="T1176" i="2"/>
  <c r="O707" i="2"/>
  <c r="G672" i="2"/>
  <c r="J2138" i="2"/>
  <c r="E2138" i="2"/>
  <c r="G1173" i="2"/>
  <c r="G1982" i="2"/>
  <c r="C672" i="2"/>
  <c r="D1176" i="2"/>
  <c r="R1288" i="2"/>
  <c r="C1176" i="2"/>
  <c r="J1982" i="2"/>
  <c r="D672" i="2"/>
  <c r="S455" i="2"/>
  <c r="C1173" i="2"/>
  <c r="K2138" i="2"/>
  <c r="T1173" i="2"/>
  <c r="F171" i="2"/>
  <c r="E1982" i="2"/>
  <c r="D1288" i="2"/>
  <c r="F2138" i="2"/>
  <c r="K171" i="2"/>
  <c r="D1173" i="2"/>
  <c r="F1982" i="2"/>
  <c r="C707" i="2"/>
  <c r="K678" i="2"/>
  <c r="P1176" i="2"/>
  <c r="Q1176" i="2"/>
  <c r="D678" i="2"/>
  <c r="J678" i="2"/>
  <c r="D171" i="2"/>
  <c r="K1982" i="2"/>
  <c r="P2138" i="2"/>
  <c r="S1176" i="2"/>
  <c r="N678" i="2"/>
  <c r="S1982" i="2"/>
  <c r="M455" i="2"/>
  <c r="F672" i="2"/>
  <c r="E455" i="2"/>
  <c r="N1288" i="2"/>
  <c r="T2138" i="2"/>
  <c r="F678" i="2"/>
  <c r="O1173" i="2"/>
  <c r="N171" i="2"/>
  <c r="A1173" i="2"/>
  <c r="O2138" i="2"/>
  <c r="E1288" i="2"/>
  <c r="C2138" i="2"/>
  <c r="G171" i="2"/>
  <c r="T171" i="2"/>
  <c r="J1288" i="2"/>
  <c r="Q1173" i="2"/>
  <c r="P171" i="2"/>
  <c r="A1288" i="2"/>
  <c r="M171" i="2"/>
  <c r="C455" i="2"/>
  <c r="N1173" i="2"/>
  <c r="G2138" i="2"/>
  <c r="R455" i="2"/>
  <c r="J1176" i="2"/>
  <c r="P1288" i="2"/>
  <c r="R678" i="2"/>
  <c r="E678" i="2"/>
  <c r="M1176" i="2"/>
  <c r="S672" i="2"/>
  <c r="D707" i="2"/>
  <c r="J1173" i="2"/>
  <c r="A678" i="2"/>
  <c r="E707" i="2"/>
  <c r="E1173" i="2"/>
  <c r="M672" i="2"/>
  <c r="R1982" i="2"/>
  <c r="F455" i="2"/>
  <c r="R1176" i="2"/>
  <c r="S1173" i="2"/>
  <c r="M1982" i="2"/>
  <c r="H455" i="2"/>
  <c r="T455" i="2"/>
  <c r="K455" i="2"/>
  <c r="F1173" i="2"/>
  <c r="S707" i="2"/>
  <c r="C678" i="2"/>
  <c r="T707" i="2"/>
  <c r="J171" i="2"/>
  <c r="R707" i="2"/>
  <c r="E1176" i="2"/>
  <c r="K1173" i="2"/>
  <c r="O1176" i="2"/>
  <c r="K707" i="2"/>
  <c r="P1982" i="2"/>
  <c r="Q2138" i="2"/>
  <c r="Q672" i="2"/>
  <c r="G455" i="2"/>
  <c r="H2138" i="2"/>
  <c r="Q1982" i="2"/>
  <c r="Q1288" i="2"/>
  <c r="Q678" i="2"/>
  <c r="O171" i="2"/>
  <c r="M2138" i="2"/>
  <c r="G707" i="2"/>
  <c r="H678" i="2"/>
  <c r="O678" i="2"/>
  <c r="A1982" i="2"/>
  <c r="G678" i="2"/>
  <c r="A672" i="2"/>
  <c r="R171" i="2"/>
  <c r="C1982" i="2"/>
  <c r="R1173" i="2"/>
  <c r="Q171" i="2"/>
  <c r="R2138" i="2"/>
  <c r="D2138" i="2"/>
  <c r="J707" i="2"/>
  <c r="M678" i="2"/>
  <c r="O1288" i="2"/>
  <c r="M1173" i="2"/>
  <c r="K1176" i="2"/>
  <c r="N455" i="2"/>
  <c r="R672" i="2"/>
  <c r="O1982" i="2"/>
  <c r="E171" i="2"/>
  <c r="Q91" i="2"/>
  <c r="T150" i="2"/>
  <c r="F91" i="2"/>
  <c r="C531" i="2"/>
  <c r="J1019" i="2"/>
  <c r="S150" i="2"/>
  <c r="K813" i="2"/>
  <c r="G597" i="2"/>
  <c r="A1019" i="2"/>
  <c r="C729" i="2"/>
  <c r="O150" i="2"/>
  <c r="D1019" i="2"/>
  <c r="T91" i="2"/>
  <c r="M243" i="2"/>
  <c r="K729" i="2"/>
  <c r="O729" i="2"/>
  <c r="M1425" i="2"/>
  <c r="H150" i="2"/>
  <c r="H531" i="2"/>
  <c r="R1019" i="2"/>
  <c r="N597" i="2"/>
  <c r="R1139" i="2"/>
  <c r="D243" i="2"/>
  <c r="O1139" i="2"/>
  <c r="M1019" i="2"/>
  <c r="T1425" i="2"/>
  <c r="J1425" i="2"/>
  <c r="R1425" i="2"/>
  <c r="J531" i="2"/>
  <c r="N1425" i="2"/>
  <c r="G1019" i="2"/>
  <c r="S243" i="2"/>
  <c r="A597" i="2"/>
  <c r="G1139" i="2"/>
  <c r="A1425" i="2"/>
  <c r="R243" i="2"/>
  <c r="H1019" i="2"/>
  <c r="F531" i="2"/>
  <c r="T1019" i="2"/>
  <c r="P150" i="2"/>
  <c r="O813" i="2"/>
  <c r="N1139" i="2"/>
  <c r="C1425" i="2"/>
  <c r="O1019" i="2"/>
  <c r="K91" i="2"/>
  <c r="R531" i="2"/>
  <c r="F813" i="2"/>
  <c r="J91" i="2"/>
  <c r="T813" i="2"/>
  <c r="P1019" i="2"/>
  <c r="A91" i="2"/>
  <c r="G243" i="2"/>
  <c r="K1425" i="2"/>
  <c r="G729" i="2"/>
  <c r="H243" i="2"/>
  <c r="C1019" i="2"/>
  <c r="M150" i="2"/>
  <c r="O597" i="2"/>
  <c r="C813" i="2"/>
  <c r="F150" i="2"/>
  <c r="J813" i="2"/>
  <c r="S91" i="2"/>
  <c r="P531" i="2"/>
  <c r="P813" i="2"/>
  <c r="M813" i="2"/>
  <c r="T729" i="2"/>
  <c r="Q1139" i="2"/>
  <c r="M91" i="2"/>
  <c r="M1139" i="2"/>
  <c r="F729" i="2"/>
  <c r="H1425" i="2"/>
  <c r="A1139" i="2"/>
  <c r="S597" i="2"/>
  <c r="M597" i="2"/>
  <c r="J729" i="2"/>
  <c r="F1425" i="2"/>
  <c r="C243" i="2"/>
  <c r="E243" i="2"/>
  <c r="R597" i="2"/>
  <c r="J597" i="2"/>
  <c r="O243" i="2"/>
  <c r="N813" i="2"/>
  <c r="T531" i="2"/>
  <c r="K1019" i="2"/>
  <c r="D1139" i="2"/>
  <c r="N729" i="2"/>
  <c r="N531" i="2"/>
  <c r="A531" i="2"/>
  <c r="Q531" i="2"/>
  <c r="G150" i="2"/>
  <c r="P91" i="2"/>
  <c r="S729" i="2"/>
  <c r="O531" i="2"/>
  <c r="D531" i="2"/>
  <c r="P1139" i="2"/>
  <c r="M531" i="2"/>
  <c r="J243" i="2"/>
  <c r="C150" i="2"/>
  <c r="Q1019" i="2"/>
  <c r="G1425" i="2"/>
  <c r="E597" i="2"/>
  <c r="P597" i="2"/>
  <c r="C91" i="2"/>
  <c r="R729" i="2"/>
  <c r="M729" i="2"/>
  <c r="H91" i="2"/>
  <c r="G91" i="2"/>
  <c r="R150" i="2"/>
  <c r="S1019" i="2"/>
  <c r="S813" i="2"/>
  <c r="D729" i="2"/>
  <c r="H1139" i="2"/>
  <c r="J1139" i="2"/>
  <c r="Q813" i="2"/>
  <c r="Q729" i="2"/>
  <c r="E91" i="2"/>
  <c r="K597" i="2"/>
  <c r="H729" i="2"/>
  <c r="A729" i="2"/>
  <c r="E729" i="2"/>
  <c r="T243" i="2"/>
  <c r="R91" i="2"/>
  <c r="G813" i="2"/>
  <c r="N243" i="2"/>
  <c r="K150" i="2"/>
  <c r="A243" i="2"/>
  <c r="H813" i="2"/>
  <c r="Q1425" i="2"/>
  <c r="N150" i="2"/>
  <c r="N91" i="2"/>
  <c r="K243" i="2"/>
  <c r="O1425" i="2"/>
  <c r="A150" i="2"/>
  <c r="D597" i="2"/>
  <c r="C597" i="2"/>
  <c r="E531" i="2"/>
  <c r="R813" i="2"/>
  <c r="E1139" i="2"/>
  <c r="C1139" i="2"/>
  <c r="E150" i="2"/>
  <c r="H597" i="2"/>
  <c r="Q597" i="2"/>
  <c r="E1019" i="2"/>
  <c r="E1425" i="2"/>
  <c r="S1139" i="2"/>
  <c r="D91" i="2"/>
  <c r="Q243" i="2"/>
  <c r="E813" i="2"/>
  <c r="D150" i="2"/>
  <c r="D1425" i="2"/>
  <c r="F597" i="2"/>
  <c r="N1019" i="2"/>
  <c r="K1139" i="2"/>
  <c r="P243" i="2"/>
  <c r="P1425" i="2"/>
  <c r="K531" i="2"/>
  <c r="J150" i="2"/>
  <c r="G531" i="2"/>
  <c r="A813" i="2"/>
  <c r="F1139" i="2"/>
  <c r="D813" i="2"/>
  <c r="S1425" i="2"/>
  <c r="Q150" i="2"/>
  <c r="T597" i="2"/>
  <c r="S531" i="2"/>
  <c r="F1019" i="2"/>
  <c r="T1139" i="2"/>
  <c r="P729" i="2"/>
  <c r="F243" i="2"/>
  <c r="O91" i="2"/>
  <c r="M1591" i="2"/>
  <c r="S2191" i="2"/>
  <c r="T457" i="2"/>
  <c r="F2191" i="2"/>
  <c r="A2120" i="2"/>
  <c r="N684" i="2"/>
  <c r="Q684" i="2"/>
  <c r="C1221" i="2"/>
  <c r="G2191" i="2"/>
  <c r="H1591" i="2"/>
  <c r="G1829" i="2"/>
  <c r="E1485" i="2"/>
  <c r="A457" i="2"/>
  <c r="F1485" i="2"/>
  <c r="S1344" i="2"/>
  <c r="C1591" i="2"/>
  <c r="M1344" i="2"/>
  <c r="C684" i="2"/>
  <c r="R1591" i="2"/>
  <c r="O2120" i="2"/>
  <c r="M2120" i="2"/>
  <c r="T1485" i="2"/>
  <c r="H1344" i="2"/>
  <c r="D1485" i="2"/>
  <c r="R1221" i="2"/>
  <c r="C2191" i="2"/>
  <c r="D1221" i="2"/>
  <c r="K1591" i="2"/>
  <c r="R2191" i="2"/>
  <c r="J1591" i="2"/>
  <c r="F1829" i="2"/>
  <c r="E1591" i="2"/>
  <c r="C928" i="2"/>
  <c r="M2191" i="2"/>
  <c r="Q1485" i="2"/>
  <c r="G1591" i="2"/>
  <c r="T1221" i="2"/>
  <c r="K1829" i="2"/>
  <c r="N457" i="2"/>
  <c r="R928" i="2"/>
  <c r="F2120" i="2"/>
  <c r="O1829" i="2"/>
  <c r="E2191" i="2"/>
  <c r="F1591" i="2"/>
  <c r="F1344" i="2"/>
  <c r="A928" i="2"/>
  <c r="O1221" i="2"/>
  <c r="S1485" i="2"/>
  <c r="P1485" i="2"/>
  <c r="M457" i="2"/>
  <c r="K684" i="2"/>
  <c r="N1344" i="2"/>
  <c r="J1344" i="2"/>
  <c r="P684" i="2"/>
  <c r="J684" i="2"/>
  <c r="M1485" i="2"/>
  <c r="N928" i="2"/>
  <c r="P1344" i="2"/>
  <c r="A1485" i="2"/>
  <c r="H1485" i="2"/>
  <c r="P928" i="2"/>
  <c r="O684" i="2"/>
  <c r="C2120" i="2"/>
  <c r="D1591" i="2"/>
  <c r="R1829" i="2"/>
  <c r="N1221" i="2"/>
  <c r="J1829" i="2"/>
  <c r="J928" i="2"/>
  <c r="K1485" i="2"/>
  <c r="E1344" i="2"/>
  <c r="E1829" i="2"/>
  <c r="T684" i="2"/>
  <c r="R457" i="2"/>
  <c r="K1221" i="2"/>
  <c r="C457" i="2"/>
  <c r="J1485" i="2"/>
  <c r="N1829" i="2"/>
  <c r="G2120" i="2"/>
  <c r="N1591" i="2"/>
  <c r="E928" i="2"/>
  <c r="S1829" i="2"/>
  <c r="E1221" i="2"/>
  <c r="O1344" i="2"/>
  <c r="S1221" i="2"/>
  <c r="D457" i="2"/>
  <c r="A1344" i="2"/>
  <c r="F928" i="2"/>
  <c r="J1221" i="2"/>
  <c r="E2120" i="2"/>
  <c r="P2191" i="2"/>
  <c r="M928" i="2"/>
  <c r="O928" i="2"/>
  <c r="G928" i="2"/>
  <c r="F1221" i="2"/>
  <c r="Q2191" i="2"/>
  <c r="G684" i="2"/>
  <c r="D684" i="2"/>
  <c r="K928" i="2"/>
  <c r="H1829" i="2"/>
  <c r="T2191" i="2"/>
  <c r="G1221" i="2"/>
  <c r="J2120" i="2"/>
  <c r="F457" i="2"/>
  <c r="N2120" i="2"/>
  <c r="K2191" i="2"/>
  <c r="P1591" i="2"/>
  <c r="R684" i="2"/>
  <c r="E684" i="2"/>
  <c r="K457" i="2"/>
  <c r="T1344" i="2"/>
  <c r="A1221" i="2"/>
  <c r="G1344" i="2"/>
  <c r="R1485" i="2"/>
  <c r="S2120" i="2"/>
  <c r="A1591" i="2"/>
  <c r="K2120" i="2"/>
  <c r="G457" i="2"/>
  <c r="S457" i="2"/>
  <c r="Q1591" i="2"/>
  <c r="T928" i="2"/>
  <c r="T2120" i="2"/>
  <c r="M1221" i="2"/>
  <c r="T1829" i="2"/>
  <c r="D928" i="2"/>
  <c r="A1829" i="2"/>
  <c r="F684" i="2"/>
  <c r="P457" i="2"/>
  <c r="H2120" i="2"/>
  <c r="S1591" i="2"/>
  <c r="D2191" i="2"/>
  <c r="C1485" i="2"/>
  <c r="H2191" i="2"/>
  <c r="J2191" i="2"/>
  <c r="A2191" i="2"/>
  <c r="H457" i="2"/>
  <c r="Q1829" i="2"/>
  <c r="C1829" i="2"/>
  <c r="A684" i="2"/>
  <c r="D1344" i="2"/>
  <c r="M1829" i="2"/>
  <c r="C1344" i="2"/>
  <c r="S928" i="2"/>
  <c r="R2120" i="2"/>
  <c r="J457" i="2"/>
  <c r="O2191" i="2"/>
  <c r="O1591" i="2"/>
  <c r="O457" i="2"/>
  <c r="M684" i="2"/>
  <c r="P1829" i="2"/>
  <c r="H1221" i="2"/>
  <c r="G1485" i="2"/>
  <c r="Q457" i="2"/>
  <c r="R1344" i="2"/>
  <c r="D2120" i="2"/>
  <c r="Q1344" i="2"/>
  <c r="P1221" i="2"/>
  <c r="P2120" i="2"/>
  <c r="K1344" i="2"/>
  <c r="O1485" i="2"/>
  <c r="Q928" i="2"/>
  <c r="H684" i="2"/>
  <c r="T1591" i="2"/>
  <c r="H928" i="2"/>
  <c r="E457" i="2"/>
  <c r="Q2120" i="2"/>
  <c r="S684" i="2"/>
  <c r="Q1221" i="2"/>
  <c r="N2191" i="2"/>
  <c r="D1829" i="2"/>
  <c r="N1485" i="2"/>
  <c r="T1358" i="2"/>
  <c r="M352" i="2"/>
  <c r="Q1112" i="2"/>
  <c r="A449" i="2"/>
  <c r="C352" i="2"/>
  <c r="R331" i="2"/>
  <c r="K473" i="2"/>
  <c r="N1112" i="2"/>
  <c r="T473" i="2"/>
  <c r="J449" i="2"/>
  <c r="G2229" i="2"/>
  <c r="K1358" i="2"/>
  <c r="E331" i="2"/>
  <c r="S860" i="2"/>
  <c r="F331" i="2"/>
  <c r="Q1358" i="2"/>
  <c r="N860" i="2"/>
  <c r="J2229" i="2"/>
  <c r="N1819" i="2"/>
  <c r="D352" i="2"/>
  <c r="G1112" i="2"/>
  <c r="C1819" i="2"/>
  <c r="E449" i="2"/>
  <c r="J860" i="2"/>
  <c r="A2229" i="2"/>
  <c r="S574" i="2"/>
  <c r="J1358" i="2"/>
  <c r="O352" i="2"/>
  <c r="G1358" i="2"/>
  <c r="E2229" i="2"/>
  <c r="D1358" i="2"/>
  <c r="T449" i="2"/>
  <c r="K331" i="2"/>
  <c r="J1112" i="2"/>
  <c r="D473" i="2"/>
  <c r="D449" i="2"/>
  <c r="Q449" i="2"/>
  <c r="T1112" i="2"/>
  <c r="C449" i="2"/>
  <c r="F352" i="2"/>
  <c r="S473" i="2"/>
  <c r="O1358" i="2"/>
  <c r="F2229" i="2"/>
  <c r="P1112" i="2"/>
  <c r="K2229" i="2"/>
  <c r="C1112" i="2"/>
  <c r="H352" i="2"/>
  <c r="E352" i="2"/>
  <c r="C1358" i="2"/>
  <c r="T331" i="2"/>
  <c r="A473" i="2"/>
  <c r="F1819" i="2"/>
  <c r="N574" i="2"/>
  <c r="P352" i="2"/>
  <c r="M860" i="2"/>
  <c r="D860" i="2"/>
  <c r="P449" i="2"/>
  <c r="O860" i="2"/>
  <c r="K352" i="2"/>
  <c r="H449" i="2"/>
  <c r="N473" i="2"/>
  <c r="C2229" i="2"/>
  <c r="H473" i="2"/>
  <c r="J352" i="2"/>
  <c r="H2229" i="2"/>
  <c r="E473" i="2"/>
  <c r="H574" i="2"/>
  <c r="A331" i="2"/>
  <c r="E1358" i="2"/>
  <c r="P1358" i="2"/>
  <c r="A1358" i="2"/>
  <c r="F860" i="2"/>
  <c r="C331" i="2"/>
  <c r="T1819" i="2"/>
  <c r="D1819" i="2"/>
  <c r="G473" i="2"/>
  <c r="E1112" i="2"/>
  <c r="O2229" i="2"/>
  <c r="O449" i="2"/>
  <c r="P331" i="2"/>
  <c r="F574" i="2"/>
  <c r="E574" i="2"/>
  <c r="G574" i="2"/>
  <c r="C860" i="2"/>
  <c r="S331" i="2"/>
  <c r="A574" i="2"/>
  <c r="M2229" i="2"/>
  <c r="O574" i="2"/>
  <c r="G352" i="2"/>
  <c r="O1112" i="2"/>
  <c r="T574" i="2"/>
  <c r="S1819" i="2"/>
  <c r="N1358" i="2"/>
  <c r="Q473" i="2"/>
  <c r="Q574" i="2"/>
  <c r="S2229" i="2"/>
  <c r="K574" i="2"/>
  <c r="Q860" i="2"/>
  <c r="R449" i="2"/>
  <c r="A1819" i="2"/>
  <c r="G860" i="2"/>
  <c r="A352" i="2"/>
  <c r="Q331" i="2"/>
  <c r="R860" i="2"/>
  <c r="T2229" i="2"/>
  <c r="F449" i="2"/>
  <c r="C473" i="2"/>
  <c r="S449" i="2"/>
  <c r="F1112" i="2"/>
  <c r="R574" i="2"/>
  <c r="E1819" i="2"/>
  <c r="J331" i="2"/>
  <c r="K1112" i="2"/>
  <c r="R473" i="2"/>
  <c r="K860" i="2"/>
  <c r="P1819" i="2"/>
  <c r="K449" i="2"/>
  <c r="G449" i="2"/>
  <c r="P574" i="2"/>
  <c r="D1112" i="2"/>
  <c r="E860" i="2"/>
  <c r="R1358" i="2"/>
  <c r="M1358" i="2"/>
  <c r="M331" i="2"/>
  <c r="N449" i="2"/>
  <c r="D2229" i="2"/>
  <c r="N331" i="2"/>
  <c r="G331" i="2"/>
  <c r="N352" i="2"/>
  <c r="K1819" i="2"/>
  <c r="F473" i="2"/>
  <c r="J1819" i="2"/>
  <c r="H331" i="2"/>
  <c r="M1112" i="2"/>
  <c r="M1819" i="2"/>
  <c r="P860" i="2"/>
  <c r="O473" i="2"/>
  <c r="P473" i="2"/>
  <c r="N2229" i="2"/>
  <c r="J574" i="2"/>
  <c r="G1819" i="2"/>
  <c r="Q352" i="2"/>
  <c r="R1112" i="2"/>
  <c r="F1358" i="2"/>
  <c r="M574" i="2"/>
  <c r="A860" i="2"/>
  <c r="Q2229" i="2"/>
  <c r="D574" i="2"/>
  <c r="O1819" i="2"/>
  <c r="R1819" i="2"/>
  <c r="H860" i="2"/>
  <c r="P2229" i="2"/>
  <c r="T352" i="2"/>
  <c r="S1112" i="2"/>
  <c r="O331" i="2"/>
  <c r="H1358" i="2"/>
  <c r="M473" i="2"/>
  <c r="H1819" i="2"/>
  <c r="R352" i="2"/>
  <c r="H1112" i="2"/>
  <c r="S352" i="2"/>
  <c r="M449" i="2"/>
  <c r="J473" i="2"/>
  <c r="T860" i="2"/>
  <c r="C574" i="2"/>
  <c r="D331" i="2"/>
  <c r="R2229" i="2"/>
  <c r="Q1819" i="2"/>
  <c r="A1112" i="2"/>
  <c r="S1358" i="2"/>
  <c r="R1848" i="2"/>
  <c r="K1401" i="2"/>
  <c r="F1848" i="2"/>
  <c r="P1848" i="2"/>
  <c r="K296" i="2"/>
  <c r="H1813" i="2"/>
  <c r="F1813" i="2"/>
  <c r="F1332" i="2"/>
  <c r="S1401" i="2"/>
  <c r="P182" i="2"/>
  <c r="D296" i="2"/>
  <c r="C1848" i="2"/>
  <c r="G296" i="2"/>
  <c r="Q2096" i="2"/>
  <c r="F182" i="2"/>
  <c r="K1674" i="2"/>
  <c r="G1401" i="2"/>
  <c r="M1848" i="2"/>
  <c r="P1674" i="2"/>
  <c r="H296" i="2"/>
  <c r="C1401" i="2"/>
  <c r="K37" i="2"/>
  <c r="R1813" i="2"/>
  <c r="C37" i="2"/>
  <c r="M1332" i="2"/>
  <c r="J37" i="2"/>
  <c r="O1332" i="2"/>
  <c r="P1813" i="2"/>
  <c r="Q1848" i="2"/>
  <c r="J1848" i="2"/>
  <c r="A1848" i="2"/>
  <c r="E541" i="2"/>
  <c r="N182" i="2"/>
  <c r="F541" i="2"/>
  <c r="O37" i="2"/>
  <c r="T1401" i="2"/>
  <c r="Q1401" i="2"/>
  <c r="K182" i="2"/>
  <c r="S1813" i="2"/>
  <c r="T1848" i="2"/>
  <c r="M37" i="2"/>
  <c r="R296" i="2"/>
  <c r="J182" i="2"/>
  <c r="E37" i="2"/>
  <c r="N1401" i="2"/>
  <c r="O182" i="2"/>
  <c r="O1848" i="2"/>
  <c r="N37" i="2"/>
  <c r="H541" i="2"/>
  <c r="A1332" i="2"/>
  <c r="G1813" i="2"/>
  <c r="Q296" i="2"/>
  <c r="R2096" i="2"/>
  <c r="P37" i="2"/>
  <c r="G182" i="2"/>
  <c r="P2096" i="2"/>
  <c r="D37" i="2"/>
  <c r="A1674" i="2"/>
  <c r="K541" i="2"/>
  <c r="Q541" i="2"/>
  <c r="E2096" i="2"/>
  <c r="P541" i="2"/>
  <c r="F296" i="2"/>
  <c r="J1401" i="2"/>
  <c r="N2096" i="2"/>
  <c r="R1401" i="2"/>
  <c r="M1674" i="2"/>
  <c r="S1848" i="2"/>
  <c r="M296" i="2"/>
  <c r="C541" i="2"/>
  <c r="Q1332" i="2"/>
  <c r="R1674" i="2"/>
  <c r="O1674" i="2"/>
  <c r="T37" i="2"/>
  <c r="F1674" i="2"/>
  <c r="D182" i="2"/>
  <c r="D1674" i="2"/>
  <c r="O541" i="2"/>
  <c r="M1401" i="2"/>
  <c r="S1674" i="2"/>
  <c r="R1332" i="2"/>
  <c r="A541" i="2"/>
  <c r="A182" i="2"/>
  <c r="J2096" i="2"/>
  <c r="E1401" i="2"/>
  <c r="O296" i="2"/>
  <c r="A1813" i="2"/>
  <c r="H37" i="2"/>
  <c r="J1813" i="2"/>
  <c r="T1813" i="2"/>
  <c r="D1401" i="2"/>
  <c r="P296" i="2"/>
  <c r="A1401" i="2"/>
  <c r="J1332" i="2"/>
  <c r="G37" i="2"/>
  <c r="K1813" i="2"/>
  <c r="H1674" i="2"/>
  <c r="E182" i="2"/>
  <c r="T1332" i="2"/>
  <c r="S296" i="2"/>
  <c r="D541" i="2"/>
  <c r="H1848" i="2"/>
  <c r="F37" i="2"/>
  <c r="H1332" i="2"/>
  <c r="H2096" i="2"/>
  <c r="A37" i="2"/>
  <c r="N296" i="2"/>
  <c r="T2096" i="2"/>
  <c r="D1813" i="2"/>
  <c r="E1674" i="2"/>
  <c r="F1401" i="2"/>
  <c r="G541" i="2"/>
  <c r="E296" i="2"/>
  <c r="C1813" i="2"/>
  <c r="D2096" i="2"/>
  <c r="N1848" i="2"/>
  <c r="K2096" i="2"/>
  <c r="Q37" i="2"/>
  <c r="K1848" i="2"/>
  <c r="R541" i="2"/>
  <c r="M1813" i="2"/>
  <c r="S182" i="2"/>
  <c r="T296" i="2"/>
  <c r="H182" i="2"/>
  <c r="N1813" i="2"/>
  <c r="G1332" i="2"/>
  <c r="P1401" i="2"/>
  <c r="C296" i="2"/>
  <c r="E1813" i="2"/>
  <c r="E1848" i="2"/>
  <c r="J541" i="2"/>
  <c r="K1332" i="2"/>
  <c r="T1674" i="2"/>
  <c r="S2096" i="2"/>
  <c r="E1332" i="2"/>
  <c r="Q182" i="2"/>
  <c r="P1332" i="2"/>
  <c r="Q1674" i="2"/>
  <c r="D1332" i="2"/>
  <c r="M541" i="2"/>
  <c r="C1332" i="2"/>
  <c r="G2096" i="2"/>
  <c r="S1332" i="2"/>
  <c r="F2096" i="2"/>
  <c r="T541" i="2"/>
  <c r="C2096" i="2"/>
  <c r="N541" i="2"/>
  <c r="J1674" i="2"/>
  <c r="O1813" i="2"/>
  <c r="M182" i="2"/>
  <c r="M2096" i="2"/>
  <c r="S37" i="2"/>
  <c r="T182" i="2"/>
  <c r="D1848" i="2"/>
  <c r="H1401" i="2"/>
  <c r="A2096" i="2"/>
  <c r="G1674" i="2"/>
  <c r="R182" i="2"/>
  <c r="N1674" i="2"/>
  <c r="A296" i="2"/>
  <c r="S541" i="2"/>
  <c r="C182" i="2"/>
  <c r="R37" i="2"/>
  <c r="G1848" i="2"/>
  <c r="O2096" i="2"/>
  <c r="O1401" i="2"/>
  <c r="N1332" i="2"/>
  <c r="C1674" i="2"/>
  <c r="J296" i="2"/>
  <c r="Q1813" i="2"/>
  <c r="C1046" i="2"/>
  <c r="O1654" i="2"/>
  <c r="K1501" i="2"/>
  <c r="O1069" i="2"/>
  <c r="Q1654" i="2"/>
  <c r="G109" i="2"/>
  <c r="E2154" i="2"/>
  <c r="D2154" i="2"/>
  <c r="M1501" i="2"/>
  <c r="P1069" i="2"/>
  <c r="K1069" i="2"/>
  <c r="N1069" i="2"/>
  <c r="S1658" i="2"/>
  <c r="S1069" i="2"/>
  <c r="G2154" i="2"/>
  <c r="A1658" i="2"/>
  <c r="F1654" i="2"/>
  <c r="R2154" i="2"/>
  <c r="C1875" i="2"/>
  <c r="A866" i="2"/>
  <c r="R1069" i="2"/>
  <c r="A1046" i="2"/>
  <c r="O866" i="2"/>
  <c r="D1658" i="2"/>
  <c r="R1658" i="2"/>
  <c r="J1875" i="2"/>
  <c r="S109" i="2"/>
  <c r="G1069" i="2"/>
  <c r="O1303" i="2"/>
  <c r="F1501" i="2"/>
  <c r="H1658" i="2"/>
  <c r="J1501" i="2"/>
  <c r="D109" i="2"/>
  <c r="J1046" i="2"/>
  <c r="G1501" i="2"/>
  <c r="G1303" i="2"/>
  <c r="A1069" i="2"/>
  <c r="A2154" i="2"/>
  <c r="E109" i="2"/>
  <c r="R1303" i="2"/>
  <c r="C1501" i="2"/>
  <c r="K1875" i="2"/>
  <c r="Q1046" i="2"/>
  <c r="Q1069" i="2"/>
  <c r="H1069" i="2"/>
  <c r="T1501" i="2"/>
  <c r="E1046" i="2"/>
  <c r="T1658" i="2"/>
  <c r="J2154" i="2"/>
  <c r="S1501" i="2"/>
  <c r="Q1658" i="2"/>
  <c r="P1875" i="2"/>
  <c r="F109" i="2"/>
  <c r="K2154" i="2"/>
  <c r="P866" i="2"/>
  <c r="P1046" i="2"/>
  <c r="N1501" i="2"/>
  <c r="F1303" i="2"/>
  <c r="C1658" i="2"/>
  <c r="D1069" i="2"/>
  <c r="G1046" i="2"/>
  <c r="F1875" i="2"/>
  <c r="H109" i="2"/>
  <c r="S1303" i="2"/>
  <c r="E1875" i="2"/>
  <c r="K1303" i="2"/>
  <c r="M2154" i="2"/>
  <c r="M109" i="2"/>
  <c r="D1875" i="2"/>
  <c r="J1069" i="2"/>
  <c r="M1658" i="2"/>
  <c r="J866" i="2"/>
  <c r="H1875" i="2"/>
  <c r="K1046" i="2"/>
  <c r="C1303" i="2"/>
  <c r="G1875" i="2"/>
  <c r="D1046" i="2"/>
  <c r="S1875" i="2"/>
  <c r="F1069" i="2"/>
  <c r="G1654" i="2"/>
  <c r="R1875" i="2"/>
  <c r="P1658" i="2"/>
  <c r="C109" i="2"/>
  <c r="T1303" i="2"/>
  <c r="O109" i="2"/>
  <c r="T1875" i="2"/>
  <c r="N109" i="2"/>
  <c r="H1654" i="2"/>
  <c r="S1654" i="2"/>
  <c r="D866" i="2"/>
  <c r="P1501" i="2"/>
  <c r="S2154" i="2"/>
  <c r="K109" i="2"/>
  <c r="E1303" i="2"/>
  <c r="R1501" i="2"/>
  <c r="Q2154" i="2"/>
  <c r="E1658" i="2"/>
  <c r="R866" i="2"/>
  <c r="O2154" i="2"/>
  <c r="Q1303" i="2"/>
  <c r="P2154" i="2"/>
  <c r="M866" i="2"/>
  <c r="P1654" i="2"/>
  <c r="S1046" i="2"/>
  <c r="O1875" i="2"/>
  <c r="E1069" i="2"/>
  <c r="H1303" i="2"/>
  <c r="E1501" i="2"/>
  <c r="R109" i="2"/>
  <c r="T109" i="2"/>
  <c r="K866" i="2"/>
  <c r="F1658" i="2"/>
  <c r="Q1501" i="2"/>
  <c r="Q1875" i="2"/>
  <c r="F866" i="2"/>
  <c r="E866" i="2"/>
  <c r="A1303" i="2"/>
  <c r="H1501" i="2"/>
  <c r="Q109" i="2"/>
  <c r="T866" i="2"/>
  <c r="T1654" i="2"/>
  <c r="C1654" i="2"/>
  <c r="P1303" i="2"/>
  <c r="E1654" i="2"/>
  <c r="C1069" i="2"/>
  <c r="M1654" i="2"/>
  <c r="N1658" i="2"/>
  <c r="N1046" i="2"/>
  <c r="D1303" i="2"/>
  <c r="T1069" i="2"/>
  <c r="F1046" i="2"/>
  <c r="T2154" i="2"/>
  <c r="O1658" i="2"/>
  <c r="N866" i="2"/>
  <c r="J109" i="2"/>
  <c r="J1658" i="2"/>
  <c r="K1654" i="2"/>
  <c r="R1654" i="2"/>
  <c r="G866" i="2"/>
  <c r="R1046" i="2"/>
  <c r="T1046" i="2"/>
  <c r="H866" i="2"/>
  <c r="A1875" i="2"/>
  <c r="N1875" i="2"/>
  <c r="H2154" i="2"/>
  <c r="M1303" i="2"/>
  <c r="J1654" i="2"/>
  <c r="O1501" i="2"/>
  <c r="H1046" i="2"/>
  <c r="N2154" i="2"/>
  <c r="N1654" i="2"/>
  <c r="G1658" i="2"/>
  <c r="N1303" i="2"/>
  <c r="A1501" i="2"/>
  <c r="Q866" i="2"/>
  <c r="C2154" i="2"/>
  <c r="P109" i="2"/>
  <c r="D1654" i="2"/>
  <c r="C866" i="2"/>
  <c r="O1046" i="2"/>
  <c r="J1303" i="2"/>
  <c r="A109" i="2"/>
  <c r="M1875" i="2"/>
  <c r="A1654" i="2"/>
  <c r="M1069" i="2"/>
  <c r="D1501" i="2"/>
  <c r="F2154" i="2"/>
  <c r="K1658" i="2"/>
  <c r="M1046" i="2"/>
  <c r="S866" i="2"/>
  <c r="R695" i="2"/>
  <c r="N1554" i="2"/>
  <c r="F2139" i="2"/>
  <c r="N2139" i="2"/>
  <c r="M935" i="2"/>
  <c r="H1145" i="2"/>
  <c r="N695" i="2"/>
  <c r="K394" i="2"/>
  <c r="G1554" i="2"/>
  <c r="O2139" i="2"/>
  <c r="T1649" i="2"/>
  <c r="D1145" i="2"/>
  <c r="P1145" i="2"/>
  <c r="P2139" i="2"/>
  <c r="K2139" i="2"/>
  <c r="C1649" i="2"/>
  <c r="F695" i="2"/>
  <c r="E695" i="2"/>
  <c r="A1111" i="2"/>
  <c r="M1554" i="2"/>
  <c r="A935" i="2"/>
  <c r="E293" i="2"/>
  <c r="J1373" i="2"/>
  <c r="H1111" i="2"/>
  <c r="T935" i="2"/>
  <c r="P394" i="2"/>
  <c r="S394" i="2"/>
  <c r="S1145" i="2"/>
  <c r="C935" i="2"/>
  <c r="G1373" i="2"/>
  <c r="S1373" i="2"/>
  <c r="G394" i="2"/>
  <c r="T2139" i="2"/>
  <c r="D1554" i="2"/>
  <c r="R1145" i="2"/>
  <c r="R935" i="2"/>
  <c r="J1111" i="2"/>
  <c r="N1373" i="2"/>
  <c r="D1373" i="2"/>
  <c r="K1111" i="2"/>
  <c r="M2139" i="2"/>
  <c r="H695" i="2"/>
  <c r="R293" i="2"/>
  <c r="C1554" i="2"/>
  <c r="O1554" i="2"/>
  <c r="Q1111" i="2"/>
  <c r="M695" i="2"/>
  <c r="M1373" i="2"/>
  <c r="H1554" i="2"/>
  <c r="F1111" i="2"/>
  <c r="A1554" i="2"/>
  <c r="C293" i="2"/>
  <c r="A695" i="2"/>
  <c r="K695" i="2"/>
  <c r="T1111" i="2"/>
  <c r="A2139" i="2"/>
  <c r="N1111" i="2"/>
  <c r="C695" i="2"/>
  <c r="R2139" i="2"/>
  <c r="N1145" i="2"/>
  <c r="Q1145" i="2"/>
  <c r="A1145" i="2"/>
  <c r="G293" i="2"/>
  <c r="J1145" i="2"/>
  <c r="H293" i="2"/>
  <c r="C1373" i="2"/>
  <c r="Q1554" i="2"/>
  <c r="A1649" i="2"/>
  <c r="R1111" i="2"/>
  <c r="C1145" i="2"/>
  <c r="D695" i="2"/>
  <c r="J695" i="2"/>
  <c r="Q293" i="2"/>
  <c r="Q695" i="2"/>
  <c r="T695" i="2"/>
  <c r="F1554" i="2"/>
  <c r="S695" i="2"/>
  <c r="G2139" i="2"/>
  <c r="P293" i="2"/>
  <c r="T1373" i="2"/>
  <c r="Q2139" i="2"/>
  <c r="F1649" i="2"/>
  <c r="H1649" i="2"/>
  <c r="N293" i="2"/>
  <c r="T394" i="2"/>
  <c r="J1649" i="2"/>
  <c r="O1145" i="2"/>
  <c r="D1111" i="2"/>
  <c r="D1649" i="2"/>
  <c r="D2139" i="2"/>
  <c r="H394" i="2"/>
  <c r="O1373" i="2"/>
  <c r="H1373" i="2"/>
  <c r="P1111" i="2"/>
  <c r="F293" i="2"/>
  <c r="G1145" i="2"/>
  <c r="K1649" i="2"/>
  <c r="O394" i="2"/>
  <c r="J935" i="2"/>
  <c r="F1145" i="2"/>
  <c r="E394" i="2"/>
  <c r="P935" i="2"/>
  <c r="M1145" i="2"/>
  <c r="M293" i="2"/>
  <c r="R394" i="2"/>
  <c r="C394" i="2"/>
  <c r="R1649" i="2"/>
  <c r="D293" i="2"/>
  <c r="J2139" i="2"/>
  <c r="P1373" i="2"/>
  <c r="H935" i="2"/>
  <c r="S293" i="2"/>
  <c r="E1554" i="2"/>
  <c r="G1649" i="2"/>
  <c r="S1649" i="2"/>
  <c r="T1145" i="2"/>
  <c r="O935" i="2"/>
  <c r="D935" i="2"/>
  <c r="F394" i="2"/>
  <c r="S2139" i="2"/>
  <c r="K293" i="2"/>
  <c r="K1145" i="2"/>
  <c r="E1649" i="2"/>
  <c r="S1554" i="2"/>
  <c r="S1111" i="2"/>
  <c r="T293" i="2"/>
  <c r="K1554" i="2"/>
  <c r="J293" i="2"/>
  <c r="G935" i="2"/>
  <c r="C1111" i="2"/>
  <c r="E1111" i="2"/>
  <c r="S935" i="2"/>
  <c r="N935" i="2"/>
  <c r="P695" i="2"/>
  <c r="E935" i="2"/>
  <c r="D394" i="2"/>
  <c r="P1649" i="2"/>
  <c r="A293" i="2"/>
  <c r="N394" i="2"/>
  <c r="O1111" i="2"/>
  <c r="R1373" i="2"/>
  <c r="M1649" i="2"/>
  <c r="A394" i="2"/>
  <c r="Q1649" i="2"/>
  <c r="K1373" i="2"/>
  <c r="H2139" i="2"/>
  <c r="A1373" i="2"/>
  <c r="C2139" i="2"/>
  <c r="K935" i="2"/>
  <c r="G1111" i="2"/>
  <c r="J1554" i="2"/>
  <c r="O695" i="2"/>
  <c r="P1554" i="2"/>
  <c r="J394" i="2"/>
  <c r="F935" i="2"/>
  <c r="O1649" i="2"/>
  <c r="T1554" i="2"/>
  <c r="F1373" i="2"/>
  <c r="Q394" i="2"/>
  <c r="E1373" i="2"/>
  <c r="M1111" i="2"/>
  <c r="N1649" i="2"/>
  <c r="O293" i="2"/>
  <c r="E2139" i="2"/>
  <c r="M394" i="2"/>
  <c r="G695" i="2"/>
  <c r="Q1373" i="2"/>
  <c r="E1145" i="2"/>
  <c r="Q935" i="2"/>
  <c r="R1554" i="2"/>
  <c r="K1919" i="2"/>
  <c r="H40" i="2"/>
  <c r="N124" i="2"/>
  <c r="P1206" i="2"/>
  <c r="H1555" i="2"/>
  <c r="N40" i="2"/>
  <c r="S1486" i="2"/>
  <c r="M1486" i="2"/>
  <c r="T1486" i="2"/>
  <c r="D292" i="2"/>
  <c r="N1290" i="2"/>
  <c r="P1555" i="2"/>
  <c r="M40" i="2"/>
  <c r="N292" i="2"/>
  <c r="E40" i="2"/>
  <c r="J1555" i="2"/>
  <c r="P292" i="2"/>
  <c r="H1919" i="2"/>
  <c r="F1555" i="2"/>
  <c r="M292" i="2"/>
  <c r="C40" i="2"/>
  <c r="K292" i="2"/>
  <c r="T1919" i="2"/>
  <c r="K40" i="2"/>
  <c r="S1555" i="2"/>
  <c r="S1290" i="2"/>
  <c r="S479" i="2"/>
  <c r="T1337" i="2"/>
  <c r="O40" i="2"/>
  <c r="D1206" i="2"/>
  <c r="J479" i="2"/>
  <c r="F1206" i="2"/>
  <c r="K1337" i="2"/>
  <c r="Q1555" i="2"/>
  <c r="G1337" i="2"/>
  <c r="M1206" i="2"/>
  <c r="S1919" i="2"/>
  <c r="J1290" i="2"/>
  <c r="H1206" i="2"/>
  <c r="P40" i="2"/>
  <c r="A40" i="2"/>
  <c r="C1337" i="2"/>
  <c r="D1337" i="2"/>
  <c r="G1486" i="2"/>
  <c r="J1337" i="2"/>
  <c r="H124" i="2"/>
  <c r="Q1290" i="2"/>
  <c r="S1337" i="2"/>
  <c r="D124" i="2"/>
  <c r="N1206" i="2"/>
  <c r="S292" i="2"/>
  <c r="K1486" i="2"/>
  <c r="C1206" i="2"/>
  <c r="M1290" i="2"/>
  <c r="A1290" i="2"/>
  <c r="F1290" i="2"/>
  <c r="A479" i="2"/>
  <c r="O1337" i="2"/>
  <c r="O1206" i="2"/>
  <c r="D1290" i="2"/>
  <c r="P479" i="2"/>
  <c r="M479" i="2"/>
  <c r="G1555" i="2"/>
  <c r="C292" i="2"/>
  <c r="F292" i="2"/>
  <c r="O292" i="2"/>
  <c r="Q1486" i="2"/>
  <c r="T124" i="2"/>
  <c r="N479" i="2"/>
  <c r="E1290" i="2"/>
  <c r="O1555" i="2"/>
  <c r="S1206" i="2"/>
  <c r="R1290" i="2"/>
  <c r="E1337" i="2"/>
  <c r="R1337" i="2"/>
  <c r="P1290" i="2"/>
  <c r="O1919" i="2"/>
  <c r="K479" i="2"/>
  <c r="E1486" i="2"/>
  <c r="H1290" i="2"/>
  <c r="C479" i="2"/>
  <c r="R292" i="2"/>
  <c r="F124" i="2"/>
  <c r="K1555" i="2"/>
  <c r="R1555" i="2"/>
  <c r="J1486" i="2"/>
  <c r="E479" i="2"/>
  <c r="H479" i="2"/>
  <c r="G292" i="2"/>
  <c r="J40" i="2"/>
  <c r="C1486" i="2"/>
  <c r="R124" i="2"/>
  <c r="A1919" i="2"/>
  <c r="A1555" i="2"/>
  <c r="A1486" i="2"/>
  <c r="G1290" i="2"/>
  <c r="E124" i="2"/>
  <c r="S124" i="2"/>
  <c r="N1486" i="2"/>
  <c r="R1486" i="2"/>
  <c r="A1337" i="2"/>
  <c r="J1206" i="2"/>
  <c r="Q1337" i="2"/>
  <c r="E1206" i="2"/>
  <c r="C1555" i="2"/>
  <c r="E292" i="2"/>
  <c r="A124" i="2"/>
  <c r="D40" i="2"/>
  <c r="H1337" i="2"/>
  <c r="D1486" i="2"/>
  <c r="Q1919" i="2"/>
  <c r="C1290" i="2"/>
  <c r="O1486" i="2"/>
  <c r="P1919" i="2"/>
  <c r="M1919" i="2"/>
  <c r="P1486" i="2"/>
  <c r="T1555" i="2"/>
  <c r="G1206" i="2"/>
  <c r="K1290" i="2"/>
  <c r="J292" i="2"/>
  <c r="K1206" i="2"/>
  <c r="F1486" i="2"/>
  <c r="T292" i="2"/>
  <c r="D1555" i="2"/>
  <c r="E1919" i="2"/>
  <c r="T1206" i="2"/>
  <c r="T40" i="2"/>
  <c r="C124" i="2"/>
  <c r="M1555" i="2"/>
  <c r="R40" i="2"/>
  <c r="J124" i="2"/>
  <c r="T479" i="2"/>
  <c r="G479" i="2"/>
  <c r="Q40" i="2"/>
  <c r="H292" i="2"/>
  <c r="N1919" i="2"/>
  <c r="R1919" i="2"/>
  <c r="A1206" i="2"/>
  <c r="Q1206" i="2"/>
  <c r="J1919" i="2"/>
  <c r="P1337" i="2"/>
  <c r="K124" i="2"/>
  <c r="N1555" i="2"/>
  <c r="F1919" i="2"/>
  <c r="Q124" i="2"/>
  <c r="G40" i="2"/>
  <c r="Q479" i="2"/>
  <c r="O479" i="2"/>
  <c r="P124" i="2"/>
  <c r="Q292" i="2"/>
  <c r="D479" i="2"/>
  <c r="M124" i="2"/>
  <c r="S40" i="2"/>
  <c r="O124" i="2"/>
  <c r="M1337" i="2"/>
  <c r="F1337" i="2"/>
  <c r="C1919" i="2"/>
  <c r="R479" i="2"/>
  <c r="G1919" i="2"/>
  <c r="F479" i="2"/>
  <c r="O1290" i="2"/>
  <c r="H1486" i="2"/>
  <c r="G124" i="2"/>
  <c r="D1919" i="2"/>
  <c r="T1290" i="2"/>
  <c r="R1206" i="2"/>
  <c r="N1337" i="2"/>
  <c r="A292" i="2"/>
  <c r="F40" i="2"/>
  <c r="E1555" i="2"/>
  <c r="K1053" i="2"/>
  <c r="D1053" i="2"/>
  <c r="A1213" i="2"/>
  <c r="K1213" i="2"/>
  <c r="J2179" i="2"/>
  <c r="T1801" i="2"/>
  <c r="J1589" i="2"/>
  <c r="E1720" i="2"/>
  <c r="H1053" i="2"/>
  <c r="D1801" i="2"/>
  <c r="C2179" i="2"/>
  <c r="H524" i="2"/>
  <c r="Q1801" i="2"/>
  <c r="C524" i="2"/>
  <c r="H1589" i="2"/>
  <c r="E2179" i="2"/>
  <c r="Q2179" i="2"/>
  <c r="G2063" i="2"/>
  <c r="M524" i="2"/>
  <c r="E2063" i="2"/>
  <c r="O1757" i="2"/>
  <c r="C1720" i="2"/>
  <c r="P2063" i="2"/>
  <c r="R2179" i="2"/>
  <c r="J2063" i="2"/>
  <c r="M2063" i="2"/>
  <c r="G1720" i="2"/>
  <c r="O1801" i="2"/>
  <c r="J1720" i="2"/>
  <c r="O1053" i="2"/>
  <c r="P2179" i="2"/>
  <c r="G1801" i="2"/>
  <c r="F1589" i="2"/>
  <c r="A1589" i="2"/>
  <c r="T1720" i="2"/>
  <c r="P1053" i="2"/>
  <c r="Q1589" i="2"/>
  <c r="M1757" i="2"/>
  <c r="M1720" i="2"/>
  <c r="D1213" i="2"/>
  <c r="S1589" i="2"/>
  <c r="G1053" i="2"/>
  <c r="D2179" i="2"/>
  <c r="R2063" i="2"/>
  <c r="C1757" i="2"/>
  <c r="S1099" i="2"/>
  <c r="S1720" i="2"/>
  <c r="D1720" i="2"/>
  <c r="D1099" i="2"/>
  <c r="O2179" i="2"/>
  <c r="O2063" i="2"/>
  <c r="N2063" i="2"/>
  <c r="O1213" i="2"/>
  <c r="P1801" i="2"/>
  <c r="P1213" i="2"/>
  <c r="S1053" i="2"/>
  <c r="Q1099" i="2"/>
  <c r="T1589" i="2"/>
  <c r="G1589" i="2"/>
  <c r="F1053" i="2"/>
  <c r="K1757" i="2"/>
  <c r="C2063" i="2"/>
  <c r="A2179" i="2"/>
  <c r="E1757" i="2"/>
  <c r="P524" i="2"/>
  <c r="T524" i="2"/>
  <c r="C1053" i="2"/>
  <c r="A524" i="2"/>
  <c r="S2179" i="2"/>
  <c r="S524" i="2"/>
  <c r="R1720" i="2"/>
  <c r="A1801" i="2"/>
  <c r="K1589" i="2"/>
  <c r="E1801" i="2"/>
  <c r="Q1757" i="2"/>
  <c r="N1099" i="2"/>
  <c r="J1801" i="2"/>
  <c r="R1099" i="2"/>
  <c r="F1720" i="2"/>
  <c r="J1053" i="2"/>
  <c r="M1801" i="2"/>
  <c r="F1213" i="2"/>
  <c r="A1053" i="2"/>
  <c r="N1720" i="2"/>
  <c r="H1757" i="2"/>
  <c r="P1589" i="2"/>
  <c r="E1099" i="2"/>
  <c r="F524" i="2"/>
  <c r="K1801" i="2"/>
  <c r="J1213" i="2"/>
  <c r="R1801" i="2"/>
  <c r="D2063" i="2"/>
  <c r="H1801" i="2"/>
  <c r="O1720" i="2"/>
  <c r="F2179" i="2"/>
  <c r="R1053" i="2"/>
  <c r="K524" i="2"/>
  <c r="R1213" i="2"/>
  <c r="S1801" i="2"/>
  <c r="Q1053" i="2"/>
  <c r="N1589" i="2"/>
  <c r="O1589" i="2"/>
  <c r="M1213" i="2"/>
  <c r="G2179" i="2"/>
  <c r="T1213" i="2"/>
  <c r="D1589" i="2"/>
  <c r="H2063" i="2"/>
  <c r="A1757" i="2"/>
  <c r="Q2063" i="2"/>
  <c r="T2063" i="2"/>
  <c r="P1099" i="2"/>
  <c r="N1757" i="2"/>
  <c r="D1757" i="2"/>
  <c r="A1720" i="2"/>
  <c r="C1589" i="2"/>
  <c r="A2063" i="2"/>
  <c r="M1099" i="2"/>
  <c r="H1720" i="2"/>
  <c r="P1720" i="2"/>
  <c r="N524" i="2"/>
  <c r="K2179" i="2"/>
  <c r="R524" i="2"/>
  <c r="M2179" i="2"/>
  <c r="F1099" i="2"/>
  <c r="E1213" i="2"/>
  <c r="J1757" i="2"/>
  <c r="G1213" i="2"/>
  <c r="K1099" i="2"/>
  <c r="S1213" i="2"/>
  <c r="N1801" i="2"/>
  <c r="M1053" i="2"/>
  <c r="M1589" i="2"/>
  <c r="K2063" i="2"/>
  <c r="A1099" i="2"/>
  <c r="H1213" i="2"/>
  <c r="E524" i="2"/>
  <c r="Q1720" i="2"/>
  <c r="Q524" i="2"/>
  <c r="G1099" i="2"/>
  <c r="G524" i="2"/>
  <c r="C1099" i="2"/>
  <c r="J1099" i="2"/>
  <c r="Q1213" i="2"/>
  <c r="H2179" i="2"/>
  <c r="S1757" i="2"/>
  <c r="H1099" i="2"/>
  <c r="P1757" i="2"/>
  <c r="G1757" i="2"/>
  <c r="F2063" i="2"/>
  <c r="C1213" i="2"/>
  <c r="R1589" i="2"/>
  <c r="D524" i="2"/>
  <c r="O1099" i="2"/>
  <c r="J524" i="2"/>
  <c r="F1757" i="2"/>
  <c r="N2179" i="2"/>
  <c r="F1801" i="2"/>
  <c r="E1053" i="2"/>
  <c r="T1053" i="2"/>
  <c r="R1757" i="2"/>
  <c r="O524" i="2"/>
  <c r="C1801" i="2"/>
  <c r="T1099" i="2"/>
  <c r="K1720" i="2"/>
  <c r="S2063" i="2"/>
  <c r="N1053" i="2"/>
  <c r="T1757" i="2"/>
  <c r="E1589" i="2"/>
  <c r="T2179" i="2"/>
  <c r="N1213" i="2"/>
  <c r="C909" i="2"/>
  <c r="P827" i="2"/>
  <c r="F15" i="2"/>
  <c r="P999" i="2"/>
  <c r="A15" i="2"/>
  <c r="D827" i="2"/>
  <c r="T1463" i="2"/>
  <c r="A999" i="2"/>
  <c r="R375" i="2"/>
  <c r="H1329" i="2"/>
  <c r="S1463" i="2"/>
  <c r="E909" i="2"/>
  <c r="S1701" i="2"/>
  <c r="O1701" i="2"/>
  <c r="Q1329" i="2"/>
  <c r="S827" i="2"/>
  <c r="Q1463" i="2"/>
  <c r="G1463" i="2"/>
  <c r="D1880" i="2"/>
  <c r="N909" i="2"/>
  <c r="G15" i="2"/>
  <c r="D1701" i="2"/>
  <c r="O827" i="2"/>
  <c r="O15" i="2"/>
  <c r="E15" i="2"/>
  <c r="D15" i="2"/>
  <c r="M909" i="2"/>
  <c r="K999" i="2"/>
  <c r="C1552" i="2"/>
  <c r="M1701" i="2"/>
  <c r="C999" i="2"/>
  <c r="C827" i="2"/>
  <c r="P1552" i="2"/>
  <c r="E1552" i="2"/>
  <c r="K15" i="2"/>
  <c r="J1880" i="2"/>
  <c r="H1552" i="2"/>
  <c r="S1329" i="2"/>
  <c r="T909" i="2"/>
  <c r="C1701" i="2"/>
  <c r="F375" i="2"/>
  <c r="H375" i="2"/>
  <c r="N1463" i="2"/>
  <c r="C1329" i="2"/>
  <c r="K827" i="2"/>
  <c r="O909" i="2"/>
  <c r="A827" i="2"/>
  <c r="H1880" i="2"/>
  <c r="P1329" i="2"/>
  <c r="E1880" i="2"/>
  <c r="R827" i="2"/>
  <c r="C1880" i="2"/>
  <c r="A909" i="2"/>
  <c r="J999" i="2"/>
  <c r="K1329" i="2"/>
  <c r="G1880" i="2"/>
  <c r="O375" i="2"/>
  <c r="T15" i="2"/>
  <c r="C375" i="2"/>
  <c r="C15" i="2"/>
  <c r="Q1880" i="2"/>
  <c r="R1552" i="2"/>
  <c r="J827" i="2"/>
  <c r="Q827" i="2"/>
  <c r="M1552" i="2"/>
  <c r="Q909" i="2"/>
  <c r="F1463" i="2"/>
  <c r="D999" i="2"/>
  <c r="C1463" i="2"/>
  <c r="T1552" i="2"/>
  <c r="S15" i="2"/>
  <c r="J909" i="2"/>
  <c r="K375" i="2"/>
  <c r="F827" i="2"/>
  <c r="M1329" i="2"/>
  <c r="P909" i="2"/>
  <c r="H999" i="2"/>
  <c r="G375" i="2"/>
  <c r="M375" i="2"/>
  <c r="T375" i="2"/>
  <c r="N1701" i="2"/>
  <c r="H909" i="2"/>
  <c r="A375" i="2"/>
  <c r="F1701" i="2"/>
  <c r="M1880" i="2"/>
  <c r="A1701" i="2"/>
  <c r="K909" i="2"/>
  <c r="O1552" i="2"/>
  <c r="F1880" i="2"/>
  <c r="P1463" i="2"/>
  <c r="D909" i="2"/>
  <c r="G909" i="2"/>
  <c r="K1463" i="2"/>
  <c r="H15" i="2"/>
  <c r="T1701" i="2"/>
  <c r="G999" i="2"/>
  <c r="K1552" i="2"/>
  <c r="S1880" i="2"/>
  <c r="K1701" i="2"/>
  <c r="A1463" i="2"/>
  <c r="E1701" i="2"/>
  <c r="H1701" i="2"/>
  <c r="H1463" i="2"/>
  <c r="E827" i="2"/>
  <c r="S375" i="2"/>
  <c r="G1552" i="2"/>
  <c r="R999" i="2"/>
  <c r="Q999" i="2"/>
  <c r="E1463" i="2"/>
  <c r="P1880" i="2"/>
  <c r="R1329" i="2"/>
  <c r="P15" i="2"/>
  <c r="F1329" i="2"/>
  <c r="N827" i="2"/>
  <c r="N375" i="2"/>
  <c r="S909" i="2"/>
  <c r="R1701" i="2"/>
  <c r="J1463" i="2"/>
  <c r="K1880" i="2"/>
  <c r="F1552" i="2"/>
  <c r="T1880" i="2"/>
  <c r="E375" i="2"/>
  <c r="G1701" i="2"/>
  <c r="R1463" i="2"/>
  <c r="E1329" i="2"/>
  <c r="R15" i="2"/>
  <c r="F909" i="2"/>
  <c r="S1552" i="2"/>
  <c r="T999" i="2"/>
  <c r="O1880" i="2"/>
  <c r="O1463" i="2"/>
  <c r="D1463" i="2"/>
  <c r="N999" i="2"/>
  <c r="Q1701" i="2"/>
  <c r="M999" i="2"/>
  <c r="M15" i="2"/>
  <c r="O999" i="2"/>
  <c r="A1880" i="2"/>
  <c r="M827" i="2"/>
  <c r="D1329" i="2"/>
  <c r="N1329" i="2"/>
  <c r="S999" i="2"/>
  <c r="G1329" i="2"/>
  <c r="P375" i="2"/>
  <c r="D375" i="2"/>
  <c r="J375" i="2"/>
  <c r="J1329" i="2"/>
  <c r="H827" i="2"/>
  <c r="N1552" i="2"/>
  <c r="T1329" i="2"/>
  <c r="G827" i="2"/>
  <c r="R1880" i="2"/>
  <c r="J1701" i="2"/>
  <c r="D1552" i="2"/>
  <c r="N15" i="2"/>
  <c r="A1552" i="2"/>
  <c r="F999" i="2"/>
  <c r="Q15" i="2"/>
  <c r="O1329" i="2"/>
  <c r="J1552" i="2"/>
  <c r="N1880" i="2"/>
  <c r="A1329" i="2"/>
  <c r="Q375" i="2"/>
  <c r="P1701" i="2"/>
  <c r="J15" i="2"/>
  <c r="R909" i="2"/>
  <c r="M1463" i="2"/>
  <c r="Q1552" i="2"/>
  <c r="T827" i="2"/>
  <c r="E999" i="2"/>
  <c r="R2137" i="2"/>
  <c r="Q350" i="2"/>
  <c r="E350" i="2"/>
  <c r="O118" i="2"/>
  <c r="A350" i="2"/>
  <c r="J118" i="2"/>
  <c r="D118" i="2"/>
  <c r="A1527" i="2"/>
  <c r="O364" i="2"/>
  <c r="M2137" i="2"/>
  <c r="F2177" i="2"/>
  <c r="T1580" i="2"/>
  <c r="A364" i="2"/>
  <c r="G364" i="2"/>
  <c r="K1580" i="2"/>
  <c r="P1580" i="2"/>
  <c r="S118" i="2"/>
  <c r="J2177" i="2"/>
  <c r="R679" i="2"/>
  <c r="F364" i="2"/>
  <c r="R998" i="2"/>
  <c r="G998" i="2"/>
  <c r="R1527" i="2"/>
  <c r="N118" i="2"/>
  <c r="A118" i="2"/>
  <c r="P998" i="2"/>
  <c r="O1527" i="2"/>
  <c r="S350" i="2"/>
  <c r="A1849" i="2"/>
  <c r="O998" i="2"/>
  <c r="G1849" i="2"/>
  <c r="H1849" i="2"/>
  <c r="K998" i="2"/>
  <c r="Q364" i="2"/>
  <c r="J350" i="2"/>
  <c r="J364" i="2"/>
  <c r="K1849" i="2"/>
  <c r="M998" i="2"/>
  <c r="C998" i="2"/>
  <c r="N1580" i="2"/>
  <c r="R364" i="2"/>
  <c r="C2177" i="2"/>
  <c r="D2137" i="2"/>
  <c r="C2137" i="2"/>
  <c r="H1527" i="2"/>
  <c r="S998" i="2"/>
  <c r="H679" i="2"/>
  <c r="F1580" i="2"/>
  <c r="F998" i="2"/>
  <c r="M1580" i="2"/>
  <c r="G1527" i="2"/>
  <c r="Q2177" i="2"/>
  <c r="Q1580" i="2"/>
  <c r="S364" i="2"/>
  <c r="T350" i="2"/>
  <c r="J1849" i="2"/>
  <c r="K1527" i="2"/>
  <c r="P1849" i="2"/>
  <c r="Q679" i="2"/>
  <c r="A2137" i="2"/>
  <c r="S1849" i="2"/>
  <c r="F1849" i="2"/>
  <c r="R1580" i="2"/>
  <c r="D998" i="2"/>
  <c r="C679" i="2"/>
  <c r="C350" i="2"/>
  <c r="K2137" i="2"/>
  <c r="E118" i="2"/>
  <c r="K364" i="2"/>
  <c r="H364" i="2"/>
  <c r="G2177" i="2"/>
  <c r="M679" i="2"/>
  <c r="F350" i="2"/>
  <c r="H1580" i="2"/>
  <c r="P350" i="2"/>
  <c r="E679" i="2"/>
  <c r="C1580" i="2"/>
  <c r="P679" i="2"/>
  <c r="F1527" i="2"/>
  <c r="D2177" i="2"/>
  <c r="T679" i="2"/>
  <c r="O2177" i="2"/>
  <c r="O1580" i="2"/>
  <c r="M2177" i="2"/>
  <c r="E364" i="2"/>
  <c r="T2137" i="2"/>
  <c r="C1527" i="2"/>
  <c r="H2177" i="2"/>
  <c r="S1527" i="2"/>
  <c r="N998" i="2"/>
  <c r="A1580" i="2"/>
  <c r="J998" i="2"/>
  <c r="F118" i="2"/>
  <c r="F679" i="2"/>
  <c r="E2137" i="2"/>
  <c r="N1527" i="2"/>
  <c r="K350" i="2"/>
  <c r="G118" i="2"/>
  <c r="S1580" i="2"/>
  <c r="N364" i="2"/>
  <c r="J2137" i="2"/>
  <c r="E2177" i="2"/>
  <c r="A679" i="2"/>
  <c r="N2177" i="2"/>
  <c r="S2177" i="2"/>
  <c r="D1527" i="2"/>
  <c r="J679" i="2"/>
  <c r="Q1527" i="2"/>
  <c r="F2137" i="2"/>
  <c r="O1849" i="2"/>
  <c r="S2137" i="2"/>
  <c r="T364" i="2"/>
  <c r="G1580" i="2"/>
  <c r="R118" i="2"/>
  <c r="T118" i="2"/>
  <c r="M350" i="2"/>
  <c r="R2177" i="2"/>
  <c r="A998" i="2"/>
  <c r="D364" i="2"/>
  <c r="T1849" i="2"/>
  <c r="N2137" i="2"/>
  <c r="S679" i="2"/>
  <c r="N1849" i="2"/>
  <c r="D350" i="2"/>
  <c r="H998" i="2"/>
  <c r="T2177" i="2"/>
  <c r="J1580" i="2"/>
  <c r="A2177" i="2"/>
  <c r="Q2137" i="2"/>
  <c r="Q118" i="2"/>
  <c r="H2137" i="2"/>
  <c r="D1580" i="2"/>
  <c r="N679" i="2"/>
  <c r="P2137" i="2"/>
  <c r="M118" i="2"/>
  <c r="O350" i="2"/>
  <c r="H118" i="2"/>
  <c r="T998" i="2"/>
  <c r="G679" i="2"/>
  <c r="T1527" i="2"/>
  <c r="R350" i="2"/>
  <c r="O679" i="2"/>
  <c r="C1849" i="2"/>
  <c r="M1527" i="2"/>
  <c r="E1527" i="2"/>
  <c r="D1849" i="2"/>
  <c r="J1527" i="2"/>
  <c r="G2137" i="2"/>
  <c r="C364" i="2"/>
  <c r="N350" i="2"/>
  <c r="Q1849" i="2"/>
  <c r="D679" i="2"/>
  <c r="P2177" i="2"/>
  <c r="G350" i="2"/>
  <c r="E998" i="2"/>
  <c r="K118" i="2"/>
  <c r="C118" i="2"/>
  <c r="M1849" i="2"/>
  <c r="E1849" i="2"/>
  <c r="P364" i="2"/>
  <c r="P118" i="2"/>
  <c r="E1580" i="2"/>
  <c r="O2137" i="2"/>
  <c r="R1849" i="2"/>
  <c r="M364" i="2"/>
  <c r="P1527" i="2"/>
  <c r="Q998" i="2"/>
  <c r="H350" i="2"/>
  <c r="K679" i="2"/>
  <c r="K2177" i="2"/>
  <c r="A1974" i="2"/>
  <c r="K416" i="2"/>
  <c r="K751" i="2"/>
  <c r="Q732" i="2"/>
  <c r="J1292" i="2"/>
  <c r="N1346" i="2"/>
  <c r="N416" i="2"/>
  <c r="K661" i="2"/>
  <c r="N896" i="2"/>
  <c r="A416" i="2"/>
  <c r="T1512" i="2"/>
  <c r="F1974" i="2"/>
  <c r="N1292" i="2"/>
  <c r="F751" i="2"/>
  <c r="C732" i="2"/>
  <c r="E1346" i="2"/>
  <c r="A661" i="2"/>
  <c r="S751" i="2"/>
  <c r="F2015" i="2"/>
  <c r="D1974" i="2"/>
  <c r="O416" i="2"/>
  <c r="P732" i="2"/>
  <c r="J1512" i="2"/>
  <c r="P2015" i="2"/>
  <c r="P751" i="2"/>
  <c r="T1292" i="2"/>
  <c r="P416" i="2"/>
  <c r="P1346" i="2"/>
  <c r="P1512" i="2"/>
  <c r="S1512" i="2"/>
  <c r="N1974" i="2"/>
  <c r="O896" i="2"/>
  <c r="J416" i="2"/>
  <c r="M661" i="2"/>
  <c r="M732" i="2"/>
  <c r="T416" i="2"/>
  <c r="G1346" i="2"/>
  <c r="C1512" i="2"/>
  <c r="G732" i="2"/>
  <c r="T2015" i="2"/>
  <c r="T896" i="2"/>
  <c r="F1346" i="2"/>
  <c r="D1292" i="2"/>
  <c r="E416" i="2"/>
  <c r="Q1346" i="2"/>
  <c r="R1974" i="2"/>
  <c r="R416" i="2"/>
  <c r="E896" i="2"/>
  <c r="J732" i="2"/>
  <c r="E2015" i="2"/>
  <c r="Q1512" i="2"/>
  <c r="C1346" i="2"/>
  <c r="K1974" i="2"/>
  <c r="J661" i="2"/>
  <c r="M896" i="2"/>
  <c r="H2015" i="2"/>
  <c r="S732" i="2"/>
  <c r="D2015" i="2"/>
  <c r="H896" i="2"/>
  <c r="D1512" i="2"/>
  <c r="Q2015" i="2"/>
  <c r="J751" i="2"/>
  <c r="H1346" i="2"/>
  <c r="C1292" i="2"/>
  <c r="G661" i="2"/>
  <c r="A751" i="2"/>
  <c r="P1292" i="2"/>
  <c r="O2015" i="2"/>
  <c r="D751" i="2"/>
  <c r="S1346" i="2"/>
  <c r="C2015" i="2"/>
  <c r="M1346" i="2"/>
  <c r="D661" i="2"/>
  <c r="S1292" i="2"/>
  <c r="M1512" i="2"/>
  <c r="R896" i="2"/>
  <c r="F416" i="2"/>
  <c r="A896" i="2"/>
  <c r="G1292" i="2"/>
  <c r="G896" i="2"/>
  <c r="M751" i="2"/>
  <c r="J1346" i="2"/>
  <c r="S1974" i="2"/>
  <c r="H1512" i="2"/>
  <c r="Q751" i="2"/>
  <c r="M1974" i="2"/>
  <c r="F732" i="2"/>
  <c r="D732" i="2"/>
  <c r="K1346" i="2"/>
  <c r="O1346" i="2"/>
  <c r="C416" i="2"/>
  <c r="M2015" i="2"/>
  <c r="N732" i="2"/>
  <c r="G2015" i="2"/>
  <c r="F896" i="2"/>
  <c r="H661" i="2"/>
  <c r="K732" i="2"/>
  <c r="E661" i="2"/>
  <c r="P896" i="2"/>
  <c r="N751" i="2"/>
  <c r="G416" i="2"/>
  <c r="R751" i="2"/>
  <c r="E1974" i="2"/>
  <c r="H732" i="2"/>
  <c r="R2015" i="2"/>
  <c r="S661" i="2"/>
  <c r="E1292" i="2"/>
  <c r="G1974" i="2"/>
  <c r="C661" i="2"/>
  <c r="K896" i="2"/>
  <c r="J1974" i="2"/>
  <c r="J896" i="2"/>
  <c r="T751" i="2"/>
  <c r="M1292" i="2"/>
  <c r="O1974" i="2"/>
  <c r="F661" i="2"/>
  <c r="O1512" i="2"/>
  <c r="O1292" i="2"/>
  <c r="Q1292" i="2"/>
  <c r="S896" i="2"/>
  <c r="N2015" i="2"/>
  <c r="D896" i="2"/>
  <c r="H1974" i="2"/>
  <c r="O751" i="2"/>
  <c r="O661" i="2"/>
  <c r="C751" i="2"/>
  <c r="R732" i="2"/>
  <c r="A2015" i="2"/>
  <c r="R661" i="2"/>
  <c r="T732" i="2"/>
  <c r="T661" i="2"/>
  <c r="S416" i="2"/>
  <c r="R1292" i="2"/>
  <c r="A732" i="2"/>
  <c r="D1346" i="2"/>
  <c r="H416" i="2"/>
  <c r="H1292" i="2"/>
  <c r="N661" i="2"/>
  <c r="Q661" i="2"/>
  <c r="E751" i="2"/>
  <c r="G1512" i="2"/>
  <c r="D416" i="2"/>
  <c r="A1346" i="2"/>
  <c r="P1974" i="2"/>
  <c r="K1512" i="2"/>
  <c r="R1512" i="2"/>
  <c r="A1292" i="2"/>
  <c r="R1346" i="2"/>
  <c r="H751" i="2"/>
  <c r="K1292" i="2"/>
  <c r="O732" i="2"/>
  <c r="C1974" i="2"/>
  <c r="M416" i="2"/>
  <c r="E1512" i="2"/>
  <c r="K2015" i="2"/>
  <c r="J2015" i="2"/>
  <c r="A1512" i="2"/>
  <c r="N1512" i="2"/>
  <c r="Q896" i="2"/>
  <c r="T1974" i="2"/>
  <c r="G751" i="2"/>
  <c r="P661" i="2"/>
  <c r="E732" i="2"/>
  <c r="C896" i="2"/>
  <c r="S2015" i="2"/>
  <c r="T1346" i="2"/>
  <c r="Q1974" i="2"/>
  <c r="F1292" i="2"/>
  <c r="F1512" i="2"/>
  <c r="Q416" i="2"/>
  <c r="Q702" i="2"/>
  <c r="P878" i="2"/>
  <c r="F499" i="2"/>
  <c r="G610" i="2"/>
  <c r="H610" i="2"/>
  <c r="J1948" i="2"/>
  <c r="S1948" i="2"/>
  <c r="P705" i="2"/>
  <c r="T499" i="2"/>
  <c r="F610" i="2"/>
  <c r="E499" i="2"/>
  <c r="J610" i="2"/>
  <c r="D705" i="2"/>
  <c r="N2118" i="2"/>
  <c r="O610" i="2"/>
  <c r="K610" i="2"/>
  <c r="J702" i="2"/>
  <c r="O817" i="2"/>
  <c r="O705" i="2"/>
  <c r="H1948" i="2"/>
  <c r="P702" i="2"/>
  <c r="D610" i="2"/>
  <c r="F2118" i="2"/>
  <c r="F817" i="2"/>
  <c r="H702" i="2"/>
  <c r="N1764" i="2"/>
  <c r="G702" i="2"/>
  <c r="F1764" i="2"/>
  <c r="M817" i="2"/>
  <c r="F1948" i="2"/>
  <c r="J817" i="2"/>
  <c r="N499" i="2"/>
  <c r="J878" i="2"/>
  <c r="R610" i="2"/>
  <c r="N878" i="2"/>
  <c r="K565" i="2"/>
  <c r="K705" i="2"/>
  <c r="C1764" i="2"/>
  <c r="M2118" i="2"/>
  <c r="K1948" i="2"/>
  <c r="D2118" i="2"/>
  <c r="P565" i="2"/>
  <c r="R705" i="2"/>
  <c r="P610" i="2"/>
  <c r="A705" i="2"/>
  <c r="K817" i="2"/>
  <c r="K1764" i="2"/>
  <c r="G817" i="2"/>
  <c r="G2118" i="2"/>
  <c r="M565" i="2"/>
  <c r="O499" i="2"/>
  <c r="M1948" i="2"/>
  <c r="E610" i="2"/>
  <c r="T878" i="2"/>
  <c r="G705" i="2"/>
  <c r="R499" i="2"/>
  <c r="S610" i="2"/>
  <c r="H817" i="2"/>
  <c r="A610" i="2"/>
  <c r="E1764" i="2"/>
  <c r="O565" i="2"/>
  <c r="G1948" i="2"/>
  <c r="A1764" i="2"/>
  <c r="Q817" i="2"/>
  <c r="D565" i="2"/>
  <c r="O2118" i="2"/>
  <c r="N610" i="2"/>
  <c r="J565" i="2"/>
  <c r="T610" i="2"/>
  <c r="S1764" i="2"/>
  <c r="G1764" i="2"/>
  <c r="T1948" i="2"/>
  <c r="T817" i="2"/>
  <c r="D878" i="2"/>
  <c r="D1948" i="2"/>
  <c r="T565" i="2"/>
  <c r="D702" i="2"/>
  <c r="J499" i="2"/>
  <c r="D817" i="2"/>
  <c r="E702" i="2"/>
  <c r="E705" i="2"/>
  <c r="P1948" i="2"/>
  <c r="H1764" i="2"/>
  <c r="N817" i="2"/>
  <c r="R2118" i="2"/>
  <c r="E878" i="2"/>
  <c r="K2118" i="2"/>
  <c r="T2118" i="2"/>
  <c r="A2118" i="2"/>
  <c r="C565" i="2"/>
  <c r="T705" i="2"/>
  <c r="E2118" i="2"/>
  <c r="E817" i="2"/>
  <c r="M499" i="2"/>
  <c r="C1948" i="2"/>
  <c r="R817" i="2"/>
  <c r="H2118" i="2"/>
  <c r="T1764" i="2"/>
  <c r="T702" i="2"/>
  <c r="E1948" i="2"/>
  <c r="J705" i="2"/>
  <c r="J1764" i="2"/>
  <c r="H878" i="2"/>
  <c r="G565" i="2"/>
  <c r="O1764" i="2"/>
  <c r="H705" i="2"/>
  <c r="P499" i="2"/>
  <c r="Q565" i="2"/>
  <c r="S705" i="2"/>
  <c r="D499" i="2"/>
  <c r="F565" i="2"/>
  <c r="R878" i="2"/>
  <c r="M610" i="2"/>
  <c r="S817" i="2"/>
  <c r="A1948" i="2"/>
  <c r="K702" i="2"/>
  <c r="Q705" i="2"/>
  <c r="Q499" i="2"/>
  <c r="S878" i="2"/>
  <c r="A499" i="2"/>
  <c r="Q878" i="2"/>
  <c r="Q1764" i="2"/>
  <c r="Q2118" i="2"/>
  <c r="N705" i="2"/>
  <c r="C878" i="2"/>
  <c r="P817" i="2"/>
  <c r="M878" i="2"/>
  <c r="G878" i="2"/>
  <c r="K499" i="2"/>
  <c r="M702" i="2"/>
  <c r="A817" i="2"/>
  <c r="S565" i="2"/>
  <c r="H565" i="2"/>
  <c r="J2118" i="2"/>
  <c r="S499" i="2"/>
  <c r="C2118" i="2"/>
  <c r="D1764" i="2"/>
  <c r="A565" i="2"/>
  <c r="S2118" i="2"/>
  <c r="F878" i="2"/>
  <c r="N1948" i="2"/>
  <c r="S702" i="2"/>
  <c r="O878" i="2"/>
  <c r="K878" i="2"/>
  <c r="C702" i="2"/>
  <c r="C705" i="2"/>
  <c r="M1764" i="2"/>
  <c r="R702" i="2"/>
  <c r="C499" i="2"/>
  <c r="E565" i="2"/>
  <c r="G499" i="2"/>
  <c r="N565" i="2"/>
  <c r="N702" i="2"/>
  <c r="A702" i="2"/>
  <c r="C610" i="2"/>
  <c r="R1948" i="2"/>
  <c r="O1948" i="2"/>
  <c r="O702" i="2"/>
  <c r="F705" i="2"/>
  <c r="P1764" i="2"/>
  <c r="R565" i="2"/>
  <c r="P2118" i="2"/>
  <c r="A878" i="2"/>
  <c r="Q1948" i="2"/>
  <c r="C817" i="2"/>
  <c r="R1764" i="2"/>
  <c r="H499" i="2"/>
  <c r="F702" i="2"/>
  <c r="J1768" i="2"/>
  <c r="M705" i="2"/>
  <c r="Q610" i="2"/>
  <c r="H1188" i="2"/>
  <c r="H223" i="2"/>
  <c r="T1188" i="2"/>
  <c r="O1133" i="2"/>
  <c r="P1133" i="2"/>
  <c r="M1826" i="2"/>
  <c r="G1188" i="2"/>
  <c r="F211" i="2"/>
  <c r="N223" i="2"/>
  <c r="T1768" i="2"/>
  <c r="G1133" i="2"/>
  <c r="E211" i="2"/>
  <c r="S172" i="2"/>
  <c r="G1826" i="2"/>
  <c r="N1837" i="2"/>
  <c r="N1191" i="2"/>
  <c r="N1768" i="2"/>
  <c r="Q211" i="2"/>
  <c r="C1768" i="2"/>
  <c r="N211" i="2"/>
  <c r="A1188" i="2"/>
  <c r="O1837" i="2"/>
  <c r="K1188" i="2"/>
  <c r="R1837" i="2"/>
  <c r="H1837" i="2"/>
  <c r="T1826" i="2"/>
  <c r="E1826" i="2"/>
  <c r="M654" i="2"/>
  <c r="A1133" i="2"/>
  <c r="O1826" i="2"/>
  <c r="G223" i="2"/>
  <c r="P223" i="2"/>
  <c r="H1191" i="2"/>
  <c r="T172" i="2"/>
  <c r="K1837" i="2"/>
  <c r="M172" i="2"/>
  <c r="C654" i="2"/>
  <c r="T1191" i="2"/>
  <c r="H1826" i="2"/>
  <c r="J1837" i="2"/>
  <c r="E654" i="2"/>
  <c r="D223" i="2"/>
  <c r="Q1826" i="2"/>
  <c r="D1837" i="2"/>
  <c r="J172" i="2"/>
  <c r="E1768" i="2"/>
  <c r="G1768" i="2"/>
  <c r="F1837" i="2"/>
  <c r="S654" i="2"/>
  <c r="H211" i="2"/>
  <c r="Q223" i="2"/>
  <c r="A211" i="2"/>
  <c r="A1768" i="2"/>
  <c r="N1188" i="2"/>
  <c r="D654" i="2"/>
  <c r="G172" i="2"/>
  <c r="H654" i="2"/>
  <c r="J1191" i="2"/>
  <c r="C223" i="2"/>
  <c r="A223" i="2"/>
  <c r="M1188" i="2"/>
  <c r="R172" i="2"/>
  <c r="K223" i="2"/>
  <c r="F1768" i="2"/>
  <c r="D1191" i="2"/>
  <c r="S1768" i="2"/>
  <c r="N1133" i="2"/>
  <c r="A1191" i="2"/>
  <c r="Q1837" i="2"/>
  <c r="K172" i="2"/>
  <c r="M1191" i="2"/>
  <c r="D1768" i="2"/>
  <c r="T1133" i="2"/>
  <c r="E223" i="2"/>
  <c r="H1133" i="2"/>
  <c r="K211" i="2"/>
  <c r="M1133" i="2"/>
  <c r="P172" i="2"/>
  <c r="H172" i="2"/>
  <c r="C1133" i="2"/>
  <c r="C211" i="2"/>
  <c r="O223" i="2"/>
  <c r="P1826" i="2"/>
  <c r="C172" i="2"/>
  <c r="F654" i="2"/>
  <c r="E1188" i="2"/>
  <c r="N172" i="2"/>
  <c r="F223" i="2"/>
  <c r="R654" i="2"/>
  <c r="K1768" i="2"/>
  <c r="T211" i="2"/>
  <c r="J223" i="2"/>
  <c r="A172" i="2"/>
  <c r="R1188" i="2"/>
  <c r="F1826" i="2"/>
  <c r="O1768" i="2"/>
  <c r="R1191" i="2"/>
  <c r="Q654" i="2"/>
  <c r="A1837" i="2"/>
  <c r="P1768" i="2"/>
  <c r="T223" i="2"/>
  <c r="C1826" i="2"/>
  <c r="G211" i="2"/>
  <c r="S1133" i="2"/>
  <c r="D1826" i="2"/>
  <c r="D172" i="2"/>
  <c r="P1188" i="2"/>
  <c r="F1133" i="2"/>
  <c r="P211" i="2"/>
  <c r="R1768" i="2"/>
  <c r="Q1133" i="2"/>
  <c r="S1188" i="2"/>
  <c r="O1188" i="2"/>
  <c r="F1191" i="2"/>
  <c r="T654" i="2"/>
  <c r="P654" i="2"/>
  <c r="J1826" i="2"/>
  <c r="H1768" i="2"/>
  <c r="Q1188" i="2"/>
  <c r="S1826" i="2"/>
  <c r="J211" i="2"/>
  <c r="R1826" i="2"/>
  <c r="F172" i="2"/>
  <c r="R223" i="2"/>
  <c r="G1191" i="2"/>
  <c r="K1191" i="2"/>
  <c r="R211" i="2"/>
  <c r="F1188" i="2"/>
  <c r="P1837" i="2"/>
  <c r="Q1191" i="2"/>
  <c r="S1191" i="2"/>
  <c r="E172" i="2"/>
  <c r="M223" i="2"/>
  <c r="E1191" i="2"/>
  <c r="T1837" i="2"/>
  <c r="S1837" i="2"/>
  <c r="M1837" i="2"/>
  <c r="E1133" i="2"/>
  <c r="M211" i="2"/>
  <c r="K654" i="2"/>
  <c r="O172" i="2"/>
  <c r="M1768" i="2"/>
  <c r="J654" i="2"/>
  <c r="C1188" i="2"/>
  <c r="N1826" i="2"/>
  <c r="R1133" i="2"/>
  <c r="C1837" i="2"/>
  <c r="O654" i="2"/>
  <c r="P1191" i="2"/>
  <c r="N654" i="2"/>
  <c r="D211" i="2"/>
  <c r="D1188" i="2"/>
  <c r="E1837" i="2"/>
  <c r="D1133" i="2"/>
  <c r="G654" i="2"/>
  <c r="A1826" i="2"/>
  <c r="K1133" i="2"/>
  <c r="O211" i="2"/>
  <c r="C1191" i="2"/>
  <c r="J1133" i="2"/>
  <c r="G1837" i="2"/>
  <c r="S211" i="2"/>
  <c r="Q1768" i="2"/>
  <c r="J1188" i="2"/>
  <c r="K1826" i="2"/>
  <c r="A654" i="2"/>
  <c r="O1191" i="2"/>
  <c r="Q172" i="2"/>
  <c r="S223" i="2"/>
  <c r="A1323" i="2"/>
  <c r="C500" i="2"/>
  <c r="N592" i="2"/>
  <c r="E2242" i="2"/>
  <c r="O1709" i="2"/>
  <c r="M1709" i="2"/>
  <c r="M1323" i="2"/>
  <c r="E841" i="2"/>
  <c r="F841" i="2"/>
  <c r="O44" i="2"/>
  <c r="P1709" i="2"/>
  <c r="S841" i="2"/>
  <c r="G1696" i="2"/>
  <c r="K2242" i="2"/>
  <c r="F1187" i="2"/>
  <c r="R1323" i="2"/>
  <c r="O592" i="2"/>
  <c r="A1709" i="2"/>
  <c r="C2242" i="2"/>
  <c r="N1709" i="2"/>
  <c r="H500" i="2"/>
  <c r="S44" i="2"/>
  <c r="E273" i="2"/>
  <c r="Q1696" i="2"/>
  <c r="G500" i="2"/>
  <c r="J1187" i="2"/>
  <c r="M592" i="2"/>
  <c r="P1323" i="2"/>
  <c r="K1187" i="2"/>
  <c r="M500" i="2"/>
  <c r="C1709" i="2"/>
  <c r="D841" i="2"/>
  <c r="T1323" i="2"/>
  <c r="T592" i="2"/>
  <c r="K500" i="2"/>
  <c r="E1187" i="2"/>
  <c r="E1696" i="2"/>
  <c r="R1696" i="2"/>
  <c r="J1696" i="2"/>
  <c r="M44" i="2"/>
  <c r="G273" i="2"/>
  <c r="D2242" i="2"/>
  <c r="P500" i="2"/>
  <c r="R1187" i="2"/>
  <c r="A500" i="2"/>
  <c r="Q841" i="2"/>
  <c r="O2242" i="2"/>
  <c r="H44" i="2"/>
  <c r="T1709" i="2"/>
  <c r="J592" i="2"/>
  <c r="M841" i="2"/>
  <c r="N841" i="2"/>
  <c r="J841" i="2"/>
  <c r="M1187" i="2"/>
  <c r="F44" i="2"/>
  <c r="Q44" i="2"/>
  <c r="E1709" i="2"/>
  <c r="F500" i="2"/>
  <c r="H1187" i="2"/>
  <c r="H273" i="2"/>
  <c r="G2242" i="2"/>
  <c r="G1323" i="2"/>
  <c r="T1187" i="2"/>
  <c r="P273" i="2"/>
  <c r="H1709" i="2"/>
  <c r="F592" i="2"/>
  <c r="R841" i="2"/>
  <c r="J2242" i="2"/>
  <c r="O1696" i="2"/>
  <c r="T44" i="2"/>
  <c r="T2242" i="2"/>
  <c r="N1696" i="2"/>
  <c r="M2242" i="2"/>
  <c r="N1187" i="2"/>
  <c r="R273" i="2"/>
  <c r="F1323" i="2"/>
  <c r="O273" i="2"/>
  <c r="J1323" i="2"/>
  <c r="J500" i="2"/>
  <c r="F2242" i="2"/>
  <c r="D592" i="2"/>
  <c r="R592" i="2"/>
  <c r="C1187" i="2"/>
  <c r="K44" i="2"/>
  <c r="K273" i="2"/>
  <c r="G1187" i="2"/>
  <c r="R500" i="2"/>
  <c r="H1696" i="2"/>
  <c r="M1696" i="2"/>
  <c r="S592" i="2"/>
  <c r="N2242" i="2"/>
  <c r="H841" i="2"/>
  <c r="E592" i="2"/>
  <c r="G841" i="2"/>
  <c r="A273" i="2"/>
  <c r="A592" i="2"/>
  <c r="K841" i="2"/>
  <c r="D500" i="2"/>
  <c r="C592" i="2"/>
  <c r="J1709" i="2"/>
  <c r="H1323" i="2"/>
  <c r="M273" i="2"/>
  <c r="Q2242" i="2"/>
  <c r="D1323" i="2"/>
  <c r="N500" i="2"/>
  <c r="D1187" i="2"/>
  <c r="P841" i="2"/>
  <c r="Q1187" i="2"/>
  <c r="P592" i="2"/>
  <c r="R44" i="2"/>
  <c r="F1696" i="2"/>
  <c r="H592" i="2"/>
  <c r="Q273" i="2"/>
  <c r="K1323" i="2"/>
  <c r="H2242" i="2"/>
  <c r="N273" i="2"/>
  <c r="D1696" i="2"/>
  <c r="C1696" i="2"/>
  <c r="G1709" i="2"/>
  <c r="T841" i="2"/>
  <c r="S2242" i="2"/>
  <c r="C1323" i="2"/>
  <c r="S273" i="2"/>
  <c r="K592" i="2"/>
  <c r="K1709" i="2"/>
  <c r="C273" i="2"/>
  <c r="A841" i="2"/>
  <c r="C44" i="2"/>
  <c r="J44" i="2"/>
  <c r="S1696" i="2"/>
  <c r="J273" i="2"/>
  <c r="G44" i="2"/>
  <c r="D1709" i="2"/>
  <c r="S500" i="2"/>
  <c r="C841" i="2"/>
  <c r="D44" i="2"/>
  <c r="Q1709" i="2"/>
  <c r="E1323" i="2"/>
  <c r="O1323" i="2"/>
  <c r="F1709" i="2"/>
  <c r="R2242" i="2"/>
  <c r="D273" i="2"/>
  <c r="F273" i="2"/>
  <c r="S1187" i="2"/>
  <c r="P2242" i="2"/>
  <c r="Q500" i="2"/>
  <c r="T500" i="2"/>
  <c r="Q1323" i="2"/>
  <c r="T1696" i="2"/>
  <c r="N44" i="2"/>
  <c r="A44" i="2"/>
  <c r="O500" i="2"/>
  <c r="R1709" i="2"/>
  <c r="P1696" i="2"/>
  <c r="E44" i="2"/>
  <c r="A1187" i="2"/>
  <c r="G592" i="2"/>
  <c r="S1323" i="2"/>
  <c r="O1187" i="2"/>
  <c r="A1696" i="2"/>
  <c r="A2242" i="2"/>
  <c r="O841" i="2"/>
  <c r="P1187" i="2"/>
  <c r="P44" i="2"/>
  <c r="N1323" i="2"/>
  <c r="E500" i="2"/>
  <c r="T273" i="2"/>
  <c r="S1709" i="2"/>
  <c r="K1696" i="2"/>
  <c r="Q592" i="2"/>
  <c r="P1542" i="2"/>
  <c r="N1888" i="2"/>
  <c r="Q1888" i="2"/>
  <c r="A1761" i="2"/>
  <c r="M1888" i="2"/>
  <c r="T697" i="2"/>
  <c r="J1761" i="2"/>
  <c r="D1542" i="2"/>
  <c r="O723" i="2"/>
  <c r="C1761" i="2"/>
  <c r="Q1755" i="2"/>
  <c r="D697" i="2"/>
  <c r="K723" i="2"/>
  <c r="O1761" i="2"/>
  <c r="P1761" i="2"/>
  <c r="Q723" i="2"/>
  <c r="J716" i="2"/>
  <c r="D1465" i="2"/>
  <c r="N723" i="2"/>
  <c r="E1761" i="2"/>
  <c r="M1465" i="2"/>
  <c r="T313" i="2"/>
  <c r="E1465" i="2"/>
  <c r="O697" i="2"/>
  <c r="M1542" i="2"/>
  <c r="C797" i="2"/>
  <c r="A313" i="2"/>
  <c r="M716" i="2"/>
  <c r="S697" i="2"/>
  <c r="N697" i="2"/>
  <c r="A716" i="2"/>
  <c r="R1542" i="2"/>
  <c r="F716" i="2"/>
  <c r="S1465" i="2"/>
  <c r="A1465" i="2"/>
  <c r="D716" i="2"/>
  <c r="Q697" i="2"/>
  <c r="F1542" i="2"/>
  <c r="S1542" i="2"/>
  <c r="K1761" i="2"/>
  <c r="J1542" i="2"/>
  <c r="G313" i="2"/>
  <c r="D1761" i="2"/>
  <c r="A1888" i="2"/>
  <c r="D313" i="2"/>
  <c r="H1465" i="2"/>
  <c r="H1888" i="2"/>
  <c r="C1542" i="2"/>
  <c r="D797" i="2"/>
  <c r="P1755" i="2"/>
  <c r="N797" i="2"/>
  <c r="P1888" i="2"/>
  <c r="P723" i="2"/>
  <c r="O1888" i="2"/>
  <c r="R1465" i="2"/>
  <c r="Q1542" i="2"/>
  <c r="O797" i="2"/>
  <c r="H1761" i="2"/>
  <c r="J1755" i="2"/>
  <c r="A1542" i="2"/>
  <c r="F1888" i="2"/>
  <c r="H697" i="2"/>
  <c r="N1465" i="2"/>
  <c r="A1755" i="2"/>
  <c r="S1755" i="2"/>
  <c r="J697" i="2"/>
  <c r="C313" i="2"/>
  <c r="S1761" i="2"/>
  <c r="C1755" i="2"/>
  <c r="T1465" i="2"/>
  <c r="M1761" i="2"/>
  <c r="Q797" i="2"/>
  <c r="H716" i="2"/>
  <c r="Q716" i="2"/>
  <c r="G797" i="2"/>
  <c r="J1465" i="2"/>
  <c r="O1755" i="2"/>
  <c r="R1755" i="2"/>
  <c r="G1755" i="2"/>
  <c r="D1888" i="2"/>
  <c r="F797" i="2"/>
  <c r="M313" i="2"/>
  <c r="D1755" i="2"/>
  <c r="A697" i="2"/>
  <c r="N1761" i="2"/>
  <c r="C697" i="2"/>
  <c r="E1542" i="2"/>
  <c r="R1888" i="2"/>
  <c r="T797" i="2"/>
  <c r="N313" i="2"/>
  <c r="F313" i="2"/>
  <c r="O313" i="2"/>
  <c r="J1888" i="2"/>
  <c r="E697" i="2"/>
  <c r="P716" i="2"/>
  <c r="O1465" i="2"/>
  <c r="P697" i="2"/>
  <c r="H723" i="2"/>
  <c r="T1755" i="2"/>
  <c r="G1888" i="2"/>
  <c r="R797" i="2"/>
  <c r="M1755" i="2"/>
  <c r="J723" i="2"/>
  <c r="J797" i="2"/>
  <c r="O716" i="2"/>
  <c r="T716" i="2"/>
  <c r="K1888" i="2"/>
  <c r="E723" i="2"/>
  <c r="G1761" i="2"/>
  <c r="M723" i="2"/>
  <c r="J313" i="2"/>
  <c r="K313" i="2"/>
  <c r="E716" i="2"/>
  <c r="M797" i="2"/>
  <c r="F1465" i="2"/>
  <c r="T1888" i="2"/>
  <c r="G1465" i="2"/>
  <c r="R1761" i="2"/>
  <c r="E797" i="2"/>
  <c r="G716" i="2"/>
  <c r="P797" i="2"/>
  <c r="F723" i="2"/>
  <c r="F1755" i="2"/>
  <c r="D723" i="2"/>
  <c r="C1465" i="2"/>
  <c r="C716" i="2"/>
  <c r="E313" i="2"/>
  <c r="N1542" i="2"/>
  <c r="H313" i="2"/>
  <c r="P1465" i="2"/>
  <c r="N1755" i="2"/>
  <c r="H1755" i="2"/>
  <c r="K797" i="2"/>
  <c r="K1542" i="2"/>
  <c r="Q1465" i="2"/>
  <c r="Q313" i="2"/>
  <c r="K697" i="2"/>
  <c r="T1761" i="2"/>
  <c r="G697" i="2"/>
  <c r="R723" i="2"/>
  <c r="O1542" i="2"/>
  <c r="K1755" i="2"/>
  <c r="G1542" i="2"/>
  <c r="F1761" i="2"/>
  <c r="G723" i="2"/>
  <c r="M697" i="2"/>
  <c r="H797" i="2"/>
  <c r="S313" i="2"/>
  <c r="A797" i="2"/>
  <c r="S723" i="2"/>
  <c r="E1888" i="2"/>
  <c r="A723" i="2"/>
  <c r="K716" i="2"/>
  <c r="T723" i="2"/>
  <c r="C1888" i="2"/>
  <c r="N716" i="2"/>
  <c r="T1542" i="2"/>
  <c r="S716" i="2"/>
  <c r="P313" i="2"/>
  <c r="F697" i="2"/>
  <c r="Q1761" i="2"/>
  <c r="S1888" i="2"/>
  <c r="C723" i="2"/>
  <c r="R697" i="2"/>
  <c r="E1755" i="2"/>
  <c r="S797" i="2"/>
  <c r="R716" i="2"/>
  <c r="K1465" i="2"/>
  <c r="R313" i="2"/>
  <c r="H1542" i="2"/>
  <c r="O1342" i="2"/>
  <c r="C422" i="2"/>
  <c r="N137" i="2"/>
  <c r="J2173" i="2"/>
  <c r="D547" i="2"/>
  <c r="F386" i="2"/>
  <c r="O993" i="2"/>
  <c r="J250" i="2"/>
  <c r="G528" i="2"/>
  <c r="E1979" i="2"/>
  <c r="G137" i="2"/>
  <c r="H1965" i="2"/>
  <c r="R625" i="2"/>
  <c r="R250" i="2"/>
  <c r="K1979" i="2"/>
  <c r="J528" i="2"/>
  <c r="A1965" i="2"/>
  <c r="F422" i="2"/>
  <c r="E993" i="2"/>
  <c r="S1523" i="2"/>
  <c r="Q250" i="2"/>
  <c r="J777" i="2"/>
  <c r="P1716" i="2"/>
  <c r="H2173" i="2"/>
  <c r="H386" i="2"/>
  <c r="S422" i="2"/>
  <c r="M137" i="2"/>
  <c r="K422" i="2"/>
  <c r="O1472" i="2"/>
  <c r="G422" i="2"/>
  <c r="P1472" i="2"/>
  <c r="Q993" i="2"/>
  <c r="P993" i="2"/>
  <c r="C625" i="2"/>
  <c r="T1342" i="2"/>
  <c r="M1472" i="2"/>
  <c r="A1680" i="2"/>
  <c r="N250" i="2"/>
  <c r="D305" i="2"/>
  <c r="G250" i="2"/>
  <c r="E547" i="2"/>
  <c r="H422" i="2"/>
  <c r="A386" i="2"/>
  <c r="G2173" i="2"/>
  <c r="T528" i="2"/>
  <c r="K2173" i="2"/>
  <c r="G386" i="2"/>
  <c r="C305" i="2"/>
  <c r="Q625" i="2"/>
  <c r="M625" i="2"/>
  <c r="M1342" i="2"/>
  <c r="Q528" i="2"/>
  <c r="J305" i="2"/>
  <c r="F528" i="2"/>
  <c r="A305" i="2"/>
  <c r="N528" i="2"/>
  <c r="M547" i="2"/>
  <c r="H250" i="2"/>
  <c r="T547" i="2"/>
  <c r="O250" i="2"/>
  <c r="P1965" i="2"/>
  <c r="D2173" i="2"/>
  <c r="D1965" i="2"/>
  <c r="R993" i="2"/>
  <c r="P422" i="2"/>
  <c r="T137" i="2"/>
  <c r="S250" i="2"/>
  <c r="R1472" i="2"/>
  <c r="R1979" i="2"/>
  <c r="H48" i="2"/>
  <c r="T422" i="2"/>
  <c r="Q2136" i="2"/>
  <c r="H137" i="2"/>
  <c r="M2173" i="2"/>
  <c r="R422" i="2"/>
  <c r="G305" i="2"/>
  <c r="H2136" i="2"/>
  <c r="O48" i="2"/>
  <c r="M1979" i="2"/>
  <c r="F777" i="2"/>
  <c r="N1680" i="2"/>
  <c r="H547" i="2"/>
  <c r="E777" i="2"/>
  <c r="E1716" i="2"/>
  <c r="E305" i="2"/>
  <c r="M1965" i="2"/>
  <c r="O777" i="2"/>
  <c r="E1342" i="2"/>
  <c r="C48" i="2"/>
  <c r="S777" i="2"/>
  <c r="H1342" i="2"/>
  <c r="F250" i="2"/>
  <c r="R2173" i="2"/>
  <c r="Q1965" i="2"/>
  <c r="P2136" i="2"/>
  <c r="N1342" i="2"/>
  <c r="P1342" i="2"/>
  <c r="K1680" i="2"/>
  <c r="F625" i="2"/>
  <c r="S625" i="2"/>
  <c r="S2136" i="2"/>
  <c r="H305" i="2"/>
  <c r="S305" i="2"/>
  <c r="G1716" i="2"/>
  <c r="O1680" i="2"/>
  <c r="G993" i="2"/>
  <c r="C1342" i="2"/>
  <c r="F305" i="2"/>
  <c r="H625" i="2"/>
  <c r="T2173" i="2"/>
  <c r="R48" i="2"/>
  <c r="F993" i="2"/>
  <c r="Q547" i="2"/>
  <c r="S1716" i="2"/>
  <c r="N777" i="2"/>
  <c r="R1523" i="2"/>
  <c r="C993" i="2"/>
  <c r="F2136" i="2"/>
  <c r="E137" i="2"/>
  <c r="F1680" i="2"/>
  <c r="O2136" i="2"/>
  <c r="G48" i="2"/>
  <c r="P528" i="2"/>
  <c r="Q1342" i="2"/>
  <c r="J547" i="2"/>
  <c r="C528" i="2"/>
  <c r="N1472" i="2"/>
  <c r="P2173" i="2"/>
  <c r="J1716" i="2"/>
  <c r="A1523" i="2"/>
  <c r="K777" i="2"/>
  <c r="O2173" i="2"/>
  <c r="S993" i="2"/>
  <c r="F1979" i="2"/>
  <c r="J993" i="2"/>
  <c r="A547" i="2"/>
  <c r="F48" i="2"/>
  <c r="E625" i="2"/>
  <c r="K993" i="2"/>
  <c r="K1716" i="2"/>
  <c r="N2173" i="2"/>
  <c r="R528" i="2"/>
  <c r="F1523" i="2"/>
  <c r="D625" i="2"/>
  <c r="G1342" i="2"/>
  <c r="S1979" i="2"/>
  <c r="G1979" i="2"/>
  <c r="D1979" i="2"/>
  <c r="M777" i="2"/>
  <c r="A1716" i="2"/>
  <c r="C386" i="2"/>
  <c r="N1979" i="2"/>
  <c r="E386" i="2"/>
  <c r="K250" i="2"/>
  <c r="F1965" i="2"/>
  <c r="F1716" i="2"/>
  <c r="T305" i="2"/>
  <c r="R1342" i="2"/>
  <c r="J2136" i="2"/>
  <c r="A777" i="2"/>
  <c r="A250" i="2"/>
  <c r="D1716" i="2"/>
  <c r="R137" i="2"/>
  <c r="C1965" i="2"/>
  <c r="M386" i="2"/>
  <c r="A2136" i="2"/>
  <c r="K1965" i="2"/>
  <c r="C137" i="2"/>
  <c r="N1965" i="2"/>
  <c r="R1716" i="2"/>
  <c r="G547" i="2"/>
  <c r="Q48" i="2"/>
  <c r="O422" i="2"/>
  <c r="K137" i="2"/>
  <c r="C1523" i="2"/>
  <c r="K1342" i="2"/>
  <c r="J1965" i="2"/>
  <c r="Q422" i="2"/>
  <c r="R547" i="2"/>
  <c r="J48" i="2"/>
  <c r="E250" i="2"/>
  <c r="G2136" i="2"/>
  <c r="A137" i="2"/>
  <c r="S547" i="2"/>
  <c r="A1979" i="2"/>
  <c r="D528" i="2"/>
  <c r="T1965" i="2"/>
  <c r="O547" i="2"/>
  <c r="D48" i="2"/>
  <c r="H993" i="2"/>
  <c r="P1680" i="2"/>
  <c r="A2173" i="2"/>
  <c r="T2136" i="2"/>
  <c r="P250" i="2"/>
  <c r="P625" i="2"/>
  <c r="E1680" i="2"/>
  <c r="S528" i="2"/>
  <c r="S137" i="2"/>
  <c r="E2173" i="2"/>
  <c r="O386" i="2"/>
  <c r="S1472" i="2"/>
  <c r="T48" i="2"/>
  <c r="T1716" i="2"/>
  <c r="M1523" i="2"/>
  <c r="R305" i="2"/>
  <c r="O1965" i="2"/>
  <c r="E1472" i="2"/>
  <c r="C1979" i="2"/>
  <c r="P547" i="2"/>
  <c r="Q137" i="2"/>
  <c r="J1680" i="2"/>
  <c r="F1472" i="2"/>
  <c r="Q1680" i="2"/>
  <c r="T1979" i="2"/>
  <c r="M993" i="2"/>
  <c r="M1716" i="2"/>
  <c r="K2136" i="2"/>
  <c r="G1965" i="2"/>
  <c r="D386" i="2"/>
  <c r="D1680" i="2"/>
  <c r="Q1472" i="2"/>
  <c r="H1523" i="2"/>
  <c r="C1472" i="2"/>
  <c r="E528" i="2"/>
  <c r="K547" i="2"/>
  <c r="N1716" i="2"/>
  <c r="T625" i="2"/>
  <c r="M528" i="2"/>
  <c r="D137" i="2"/>
  <c r="T1680" i="2"/>
  <c r="J386" i="2"/>
  <c r="P305" i="2"/>
  <c r="A993" i="2"/>
  <c r="C250" i="2"/>
  <c r="H528" i="2"/>
  <c r="F2173" i="2"/>
  <c r="Q1979" i="2"/>
  <c r="D1472" i="2"/>
  <c r="R777" i="2"/>
  <c r="S1680" i="2"/>
  <c r="P1523" i="2"/>
  <c r="Q2173" i="2"/>
  <c r="D422" i="2"/>
  <c r="H777" i="2"/>
  <c r="D993" i="2"/>
  <c r="A1342" i="2"/>
  <c r="Q1716" i="2"/>
  <c r="R1965" i="2"/>
  <c r="A528" i="2"/>
  <c r="G1523" i="2"/>
  <c r="G625" i="2"/>
  <c r="O305" i="2"/>
  <c r="S386" i="2"/>
  <c r="C1716" i="2"/>
  <c r="S48" i="2"/>
  <c r="N48" i="2"/>
  <c r="J422" i="2"/>
  <c r="M48" i="2"/>
  <c r="M2136" i="2"/>
  <c r="D2136" i="2"/>
  <c r="O625" i="2"/>
  <c r="O1523" i="2"/>
  <c r="A422" i="2"/>
  <c r="E48" i="2"/>
  <c r="H1716" i="2"/>
  <c r="J1472" i="2"/>
  <c r="J625" i="2"/>
  <c r="A1472" i="2"/>
  <c r="N422" i="2"/>
  <c r="N625" i="2"/>
  <c r="O1979" i="2"/>
  <c r="E1523" i="2"/>
  <c r="R386" i="2"/>
  <c r="J1342" i="2"/>
  <c r="K528" i="2"/>
  <c r="Q386" i="2"/>
  <c r="K1472" i="2"/>
  <c r="C777" i="2"/>
  <c r="P777" i="2"/>
  <c r="C1680" i="2"/>
  <c r="Q777" i="2"/>
  <c r="F547" i="2"/>
  <c r="D777" i="2"/>
  <c r="R1680" i="2"/>
  <c r="M250" i="2"/>
  <c r="P137" i="2"/>
  <c r="D1523" i="2"/>
  <c r="J1523" i="2"/>
  <c r="T386" i="2"/>
  <c r="M1680" i="2"/>
  <c r="N386" i="2"/>
  <c r="N993" i="2"/>
  <c r="G1472" i="2"/>
  <c r="T1523" i="2"/>
  <c r="Q305" i="2"/>
  <c r="M305" i="2"/>
  <c r="P1979" i="2"/>
  <c r="H1472" i="2"/>
  <c r="S1965" i="2"/>
  <c r="J1979" i="2"/>
  <c r="P386" i="2"/>
  <c r="K1523" i="2"/>
  <c r="N547" i="2"/>
  <c r="P48" i="2"/>
  <c r="H1680" i="2"/>
  <c r="O137" i="2"/>
  <c r="S1342" i="2"/>
  <c r="T250" i="2"/>
  <c r="N2136" i="2"/>
  <c r="Q1523" i="2"/>
  <c r="T777" i="2"/>
  <c r="D1342" i="2"/>
  <c r="F137" i="2"/>
  <c r="S2173" i="2"/>
  <c r="E2136" i="2"/>
  <c r="A625" i="2"/>
  <c r="C2136" i="2"/>
  <c r="M422" i="2"/>
  <c r="K305" i="2"/>
  <c r="O1716" i="2"/>
  <c r="A48" i="2"/>
  <c r="C2173" i="2"/>
  <c r="C547" i="2"/>
  <c r="E422" i="2"/>
  <c r="D250" i="2"/>
  <c r="T1472" i="2"/>
  <c r="G1680" i="2"/>
  <c r="H1979" i="2"/>
  <c r="T993" i="2"/>
  <c r="K386" i="2"/>
  <c r="J137" i="2"/>
  <c r="O528" i="2"/>
  <c r="E1965" i="2"/>
  <c r="K625" i="2"/>
  <c r="R2136" i="2"/>
  <c r="K48" i="2"/>
  <c r="N305" i="2"/>
  <c r="G777" i="2"/>
  <c r="F1342" i="2"/>
  <c r="N1523" i="2"/>
  <c r="S577" i="2"/>
  <c r="F132" i="2"/>
  <c r="H1190" i="2"/>
  <c r="H754" i="2"/>
  <c r="H1821" i="2"/>
  <c r="P1186" i="2"/>
  <c r="P132" i="2"/>
  <c r="A754" i="2"/>
  <c r="O853" i="2"/>
  <c r="D853" i="2"/>
  <c r="C577" i="2"/>
  <c r="M853" i="2"/>
  <c r="C754" i="2"/>
  <c r="G1821" i="2"/>
  <c r="H1186" i="2"/>
  <c r="H1671" i="2"/>
  <c r="T754" i="2"/>
  <c r="J1821" i="2"/>
  <c r="C691" i="2"/>
  <c r="E691" i="2"/>
  <c r="A691" i="2"/>
  <c r="P1821" i="2"/>
  <c r="N577" i="2"/>
  <c r="G853" i="2"/>
  <c r="F853" i="2"/>
  <c r="F1821" i="2"/>
  <c r="P754" i="2"/>
  <c r="G1186" i="2"/>
  <c r="Q691" i="2"/>
  <c r="T1671" i="2"/>
  <c r="P1671" i="2"/>
  <c r="Q1671" i="2"/>
  <c r="Q1186" i="2"/>
  <c r="M754" i="2"/>
  <c r="M132" i="2"/>
  <c r="M249" i="2"/>
  <c r="D1190" i="2"/>
  <c r="O754" i="2"/>
  <c r="J1671" i="2"/>
  <c r="C1190" i="2"/>
  <c r="K577" i="2"/>
  <c r="K1821" i="2"/>
  <c r="S1671" i="2"/>
  <c r="M1190" i="2"/>
  <c r="Q249" i="2"/>
  <c r="Q754" i="2"/>
  <c r="R853" i="2"/>
  <c r="C132" i="2"/>
  <c r="H577" i="2"/>
  <c r="S691" i="2"/>
  <c r="N754" i="2"/>
  <c r="K132" i="2"/>
  <c r="J1186" i="2"/>
  <c r="F754" i="2"/>
  <c r="F1186" i="2"/>
  <c r="K1186" i="2"/>
  <c r="N1190" i="2"/>
  <c r="O1821" i="2"/>
  <c r="S1821" i="2"/>
  <c r="T132" i="2"/>
  <c r="C1821" i="2"/>
  <c r="K1671" i="2"/>
  <c r="E1186" i="2"/>
  <c r="K853" i="2"/>
  <c r="F1190" i="2"/>
  <c r="A1186" i="2"/>
  <c r="T1190" i="2"/>
  <c r="M691" i="2"/>
  <c r="A1821" i="2"/>
  <c r="R1186" i="2"/>
  <c r="S249" i="2"/>
  <c r="J691" i="2"/>
  <c r="N1671" i="2"/>
  <c r="S754" i="2"/>
  <c r="J577" i="2"/>
  <c r="G754" i="2"/>
  <c r="K249" i="2"/>
  <c r="N1186" i="2"/>
  <c r="E249" i="2"/>
  <c r="D249" i="2"/>
  <c r="A249" i="2"/>
  <c r="R577" i="2"/>
  <c r="R691" i="2"/>
  <c r="R249" i="2"/>
  <c r="A1671" i="2"/>
  <c r="O691" i="2"/>
  <c r="G577" i="2"/>
  <c r="T691" i="2"/>
  <c r="N249" i="2"/>
  <c r="N691" i="2"/>
  <c r="D1671" i="2"/>
  <c r="F1671" i="2"/>
  <c r="K754" i="2"/>
  <c r="C249" i="2"/>
  <c r="O577" i="2"/>
  <c r="M1821" i="2"/>
  <c r="R1821" i="2"/>
  <c r="D1186" i="2"/>
  <c r="N1821" i="2"/>
  <c r="R1190" i="2"/>
  <c r="O132" i="2"/>
  <c r="D691" i="2"/>
  <c r="G1190" i="2"/>
  <c r="Q853" i="2"/>
  <c r="N853" i="2"/>
  <c r="T577" i="2"/>
  <c r="G132" i="2"/>
  <c r="J132" i="2"/>
  <c r="M1671" i="2"/>
  <c r="O249" i="2"/>
  <c r="F249" i="2"/>
  <c r="C853" i="2"/>
  <c r="G691" i="2"/>
  <c r="Q1190" i="2"/>
  <c r="K1190" i="2"/>
  <c r="S132" i="2"/>
  <c r="J1190" i="2"/>
  <c r="S1186" i="2"/>
  <c r="Q577" i="2"/>
  <c r="P249" i="2"/>
  <c r="P853" i="2"/>
  <c r="J249" i="2"/>
  <c r="A853" i="2"/>
  <c r="H249" i="2"/>
  <c r="R1671" i="2"/>
  <c r="P1190" i="2"/>
  <c r="D1821" i="2"/>
  <c r="Q1821" i="2"/>
  <c r="Q132" i="2"/>
  <c r="A132" i="2"/>
  <c r="C1671" i="2"/>
  <c r="O1186" i="2"/>
  <c r="D132" i="2"/>
  <c r="R132" i="2"/>
  <c r="F691" i="2"/>
  <c r="H691" i="2"/>
  <c r="E1821" i="2"/>
  <c r="P577" i="2"/>
  <c r="E1671" i="2"/>
  <c r="M577" i="2"/>
  <c r="S853" i="2"/>
  <c r="A1190" i="2"/>
  <c r="F577" i="2"/>
  <c r="E853" i="2"/>
  <c r="C1186" i="2"/>
  <c r="A577" i="2"/>
  <c r="N132" i="2"/>
  <c r="H132" i="2"/>
  <c r="S1190" i="2"/>
  <c r="O1671" i="2"/>
  <c r="T1186" i="2"/>
  <c r="G249" i="2"/>
  <c r="R754" i="2"/>
  <c r="H853" i="2"/>
  <c r="J853" i="2"/>
  <c r="E577" i="2"/>
  <c r="E1190" i="2"/>
  <c r="P691" i="2"/>
  <c r="D754" i="2"/>
  <c r="J754" i="2"/>
  <c r="E132" i="2"/>
  <c r="T1821" i="2"/>
  <c r="T249" i="2"/>
  <c r="K691" i="2"/>
  <c r="D577" i="2"/>
  <c r="E754" i="2"/>
  <c r="O1190" i="2"/>
  <c r="G1671" i="2"/>
  <c r="M1186" i="2"/>
  <c r="T853" i="2"/>
  <c r="G1695" i="2"/>
  <c r="F1865" i="2"/>
  <c r="A1754" i="2"/>
  <c r="C228" i="2"/>
  <c r="C514" i="2"/>
  <c r="O1865" i="2"/>
  <c r="N1916" i="2"/>
  <c r="D1865" i="2"/>
  <c r="J1916" i="2"/>
  <c r="G228" i="2"/>
  <c r="C2072" i="2"/>
  <c r="P1695" i="2"/>
  <c r="S128" i="2"/>
  <c r="M228" i="2"/>
  <c r="S1916" i="2"/>
  <c r="Q2072" i="2"/>
  <c r="Q228" i="2"/>
  <c r="S1695" i="2"/>
  <c r="P1754" i="2"/>
  <c r="K1865" i="2"/>
  <c r="H1238" i="2"/>
  <c r="A1916" i="2"/>
  <c r="H1865" i="2"/>
  <c r="J745" i="2"/>
  <c r="E128" i="2"/>
  <c r="D228" i="2"/>
  <c r="C745" i="2"/>
  <c r="H128" i="2"/>
  <c r="M1865" i="2"/>
  <c r="N128" i="2"/>
  <c r="T1238" i="2"/>
  <c r="D745" i="2"/>
  <c r="E2072" i="2"/>
  <c r="G2072" i="2"/>
  <c r="H1916" i="2"/>
  <c r="J1238" i="2"/>
  <c r="R514" i="2"/>
  <c r="F1916" i="2"/>
  <c r="N745" i="2"/>
  <c r="S1238" i="2"/>
  <c r="S514" i="2"/>
  <c r="A128" i="2"/>
  <c r="O514" i="2"/>
  <c r="S1754" i="2"/>
  <c r="K745" i="2"/>
  <c r="F1695" i="2"/>
  <c r="M1695" i="2"/>
  <c r="J514" i="2"/>
  <c r="M1754" i="2"/>
  <c r="G128" i="2"/>
  <c r="A745" i="2"/>
  <c r="P228" i="2"/>
  <c r="F1238" i="2"/>
  <c r="J2072" i="2"/>
  <c r="G1238" i="2"/>
  <c r="D514" i="2"/>
  <c r="T1695" i="2"/>
  <c r="S228" i="2"/>
  <c r="A1238" i="2"/>
  <c r="T128" i="2"/>
  <c r="G1916" i="2"/>
  <c r="C1916" i="2"/>
  <c r="P128" i="2"/>
  <c r="Q745" i="2"/>
  <c r="O2072" i="2"/>
  <c r="H1695" i="2"/>
  <c r="K1916" i="2"/>
  <c r="D1695" i="2"/>
  <c r="R1238" i="2"/>
  <c r="E1695" i="2"/>
  <c r="H745" i="2"/>
  <c r="F2072" i="2"/>
  <c r="K228" i="2"/>
  <c r="E514" i="2"/>
  <c r="D2072" i="2"/>
  <c r="O128" i="2"/>
  <c r="R1754" i="2"/>
  <c r="M1916" i="2"/>
  <c r="J128" i="2"/>
  <c r="T1865" i="2"/>
  <c r="R1865" i="2"/>
  <c r="N2072" i="2"/>
  <c r="M1238" i="2"/>
  <c r="T228" i="2"/>
  <c r="M745" i="2"/>
  <c r="P2072" i="2"/>
  <c r="Q1916" i="2"/>
  <c r="K2072" i="2"/>
  <c r="G1754" i="2"/>
  <c r="E1754" i="2"/>
  <c r="O1916" i="2"/>
  <c r="C1754" i="2"/>
  <c r="T1754" i="2"/>
  <c r="E1916" i="2"/>
  <c r="F1754" i="2"/>
  <c r="E1865" i="2"/>
  <c r="T745" i="2"/>
  <c r="K1695" i="2"/>
  <c r="A514" i="2"/>
  <c r="J1754" i="2"/>
  <c r="N1238" i="2"/>
  <c r="R1695" i="2"/>
  <c r="T2072" i="2"/>
  <c r="N228" i="2"/>
  <c r="K128" i="2"/>
  <c r="P1865" i="2"/>
  <c r="Q1754" i="2"/>
  <c r="S2072" i="2"/>
  <c r="D1238" i="2"/>
  <c r="O745" i="2"/>
  <c r="M514" i="2"/>
  <c r="P1238" i="2"/>
  <c r="P514" i="2"/>
  <c r="F514" i="2"/>
  <c r="J1865" i="2"/>
  <c r="H228" i="2"/>
  <c r="R745" i="2"/>
  <c r="T1916" i="2"/>
  <c r="P1916" i="2"/>
  <c r="H1754" i="2"/>
  <c r="C1695" i="2"/>
  <c r="J228" i="2"/>
  <c r="Q128" i="2"/>
  <c r="N514" i="2"/>
  <c r="E228" i="2"/>
  <c r="T514" i="2"/>
  <c r="O228" i="2"/>
  <c r="H2072" i="2"/>
  <c r="G1865" i="2"/>
  <c r="F228" i="2"/>
  <c r="N1695" i="2"/>
  <c r="R1916" i="2"/>
  <c r="O1238" i="2"/>
  <c r="A228" i="2"/>
  <c r="G745" i="2"/>
  <c r="P745" i="2"/>
  <c r="D1754" i="2"/>
  <c r="K1754" i="2"/>
  <c r="C128" i="2"/>
  <c r="C1865" i="2"/>
  <c r="E1238" i="2"/>
  <c r="O1695" i="2"/>
  <c r="A1695" i="2"/>
  <c r="F128" i="2"/>
  <c r="H514" i="2"/>
  <c r="Q1695" i="2"/>
  <c r="C1238" i="2"/>
  <c r="S745" i="2"/>
  <c r="F745" i="2"/>
  <c r="Q1865" i="2"/>
  <c r="M128" i="2"/>
  <c r="A2072" i="2"/>
  <c r="M2072" i="2"/>
  <c r="G514" i="2"/>
  <c r="O1754" i="2"/>
  <c r="K1238" i="2"/>
  <c r="R128" i="2"/>
  <c r="S1865" i="2"/>
  <c r="N1865" i="2"/>
  <c r="K514" i="2"/>
  <c r="D1916" i="2"/>
  <c r="N1754" i="2"/>
  <c r="J1695" i="2"/>
  <c r="Q514" i="2"/>
  <c r="E745" i="2"/>
  <c r="R228" i="2"/>
  <c r="D128" i="2"/>
  <c r="A1865" i="2"/>
  <c r="R2072" i="2"/>
  <c r="Q1238" i="2"/>
  <c r="M1861" i="2"/>
  <c r="J2006" i="2"/>
  <c r="F3" i="2"/>
  <c r="O1861" i="2"/>
  <c r="E12" i="2"/>
  <c r="P1861" i="2"/>
  <c r="Q139" i="2"/>
  <c r="T3" i="2"/>
  <c r="A2113" i="2"/>
  <c r="C1861" i="2"/>
  <c r="O12" i="2"/>
  <c r="F2006" i="2"/>
  <c r="F2113" i="2"/>
  <c r="K2113" i="2"/>
  <c r="P1163" i="2"/>
  <c r="O1163" i="2"/>
  <c r="C2113" i="2"/>
  <c r="J12" i="2"/>
  <c r="S1861" i="2"/>
  <c r="O3" i="2"/>
  <c r="S410" i="2"/>
  <c r="M2113" i="2"/>
  <c r="J491" i="2"/>
  <c r="N2113" i="2"/>
  <c r="O491" i="2"/>
  <c r="R410" i="2"/>
  <c r="R2006" i="2"/>
  <c r="T2113" i="2"/>
  <c r="T491" i="2"/>
  <c r="E2113" i="2"/>
  <c r="A410" i="2"/>
  <c r="J2113" i="2"/>
  <c r="D1861" i="2"/>
  <c r="S491" i="2"/>
  <c r="K1163" i="2"/>
  <c r="J139" i="2"/>
  <c r="T12" i="2"/>
  <c r="R225" i="2"/>
  <c r="N12" i="2"/>
  <c r="M1163" i="2"/>
  <c r="H2113" i="2"/>
  <c r="R1861" i="2"/>
  <c r="E3" i="2"/>
  <c r="F491" i="2"/>
  <c r="P12" i="2"/>
  <c r="G2006" i="2"/>
  <c r="Q1861" i="2"/>
  <c r="Q410" i="2"/>
  <c r="A1861" i="2"/>
  <c r="K2006" i="2"/>
  <c r="O410" i="2"/>
  <c r="S225" i="2"/>
  <c r="C1163" i="2"/>
  <c r="G1163" i="2"/>
  <c r="N1163" i="2"/>
  <c r="Q491" i="2"/>
  <c r="J225" i="2"/>
  <c r="S2006" i="2"/>
  <c r="G2113" i="2"/>
  <c r="R3" i="2"/>
  <c r="K410" i="2"/>
  <c r="G12" i="2"/>
  <c r="A491" i="2"/>
  <c r="T225" i="2"/>
  <c r="J1861" i="2"/>
  <c r="C410" i="2"/>
  <c r="M410" i="2"/>
  <c r="H3" i="2"/>
  <c r="M491" i="2"/>
  <c r="P410" i="2"/>
  <c r="G491" i="2"/>
  <c r="T139" i="2"/>
  <c r="A2006" i="2"/>
  <c r="D3" i="2"/>
  <c r="Q1163" i="2"/>
  <c r="H1861" i="2"/>
  <c r="J410" i="2"/>
  <c r="K139" i="2"/>
  <c r="A139" i="2"/>
  <c r="H491" i="2"/>
  <c r="Q2113" i="2"/>
  <c r="D225" i="2"/>
  <c r="O139" i="2"/>
  <c r="H410" i="2"/>
  <c r="A12" i="2"/>
  <c r="T1861" i="2"/>
  <c r="G410" i="2"/>
  <c r="K225" i="2"/>
  <c r="T1163" i="2"/>
  <c r="A1163" i="2"/>
  <c r="C225" i="2"/>
  <c r="J1163" i="2"/>
  <c r="S139" i="2"/>
  <c r="R1163" i="2"/>
  <c r="S12" i="2"/>
  <c r="D491" i="2"/>
  <c r="K3" i="2"/>
  <c r="E225" i="2"/>
  <c r="H1163" i="2"/>
  <c r="F12" i="2"/>
  <c r="A225" i="2"/>
  <c r="P139" i="2"/>
  <c r="E1861" i="2"/>
  <c r="R2113" i="2"/>
  <c r="H225" i="2"/>
  <c r="N2006" i="2"/>
  <c r="P491" i="2"/>
  <c r="D139" i="2"/>
  <c r="G3" i="2"/>
  <c r="Q225" i="2"/>
  <c r="N1861" i="2"/>
  <c r="F1163" i="2"/>
  <c r="P2006" i="2"/>
  <c r="S1163" i="2"/>
  <c r="E139" i="2"/>
  <c r="Q12" i="2"/>
  <c r="M3" i="2"/>
  <c r="R139" i="2"/>
  <c r="M139" i="2"/>
  <c r="F1861" i="2"/>
  <c r="O2113" i="2"/>
  <c r="M2006" i="2"/>
  <c r="T2006" i="2"/>
  <c r="T410" i="2"/>
  <c r="Q3" i="2"/>
  <c r="N139" i="2"/>
  <c r="C12" i="2"/>
  <c r="D2006" i="2"/>
  <c r="E2006" i="2"/>
  <c r="J3" i="2"/>
  <c r="Q2006" i="2"/>
  <c r="S2113" i="2"/>
  <c r="G225" i="2"/>
  <c r="E491" i="2"/>
  <c r="D12" i="2"/>
  <c r="M12" i="2"/>
  <c r="F410" i="2"/>
  <c r="P3" i="2"/>
  <c r="D410" i="2"/>
  <c r="C491" i="2"/>
  <c r="H139" i="2"/>
  <c r="F225" i="2"/>
  <c r="G1861" i="2"/>
  <c r="M225" i="2"/>
  <c r="G139" i="2"/>
  <c r="C3" i="2"/>
  <c r="A3" i="2"/>
  <c r="K491" i="2"/>
  <c r="K12" i="2"/>
  <c r="N491" i="2"/>
  <c r="N410" i="2"/>
  <c r="R12" i="2"/>
  <c r="O225" i="2"/>
  <c r="E1163" i="2"/>
  <c r="H2006" i="2"/>
  <c r="N225" i="2"/>
  <c r="D2113" i="2"/>
  <c r="C139" i="2"/>
  <c r="N3" i="2"/>
  <c r="C2006" i="2"/>
  <c r="R491" i="2"/>
  <c r="F139" i="2"/>
  <c r="H12" i="2"/>
  <c r="O2006" i="2"/>
  <c r="E410" i="2"/>
  <c r="S3" i="2"/>
  <c r="P225" i="2"/>
  <c r="K1861" i="2"/>
  <c r="D1163" i="2"/>
  <c r="P2113" i="2"/>
  <c r="P294" i="2"/>
  <c r="A485" i="2"/>
  <c r="G294" i="2"/>
  <c r="S1943" i="2"/>
  <c r="S1830" i="2"/>
  <c r="H709" i="2"/>
  <c r="O1830" i="2"/>
  <c r="H294" i="2"/>
  <c r="M1721" i="2"/>
  <c r="O315" i="2"/>
  <c r="E2159" i="2"/>
  <c r="R294" i="2"/>
  <c r="H1721" i="2"/>
  <c r="D709" i="2"/>
  <c r="G709" i="2"/>
  <c r="P1721" i="2"/>
  <c r="Q485" i="2"/>
  <c r="R485" i="2"/>
  <c r="R1721" i="2"/>
  <c r="G1943" i="2"/>
  <c r="K1721" i="2"/>
  <c r="Q709" i="2"/>
  <c r="C315" i="2"/>
  <c r="Q315" i="2"/>
  <c r="P1943" i="2"/>
  <c r="S709" i="2"/>
  <c r="P485" i="2"/>
  <c r="F169" i="2"/>
  <c r="D485" i="2"/>
  <c r="R1943" i="2"/>
  <c r="O2159" i="2"/>
  <c r="J315" i="2"/>
  <c r="C2159" i="2"/>
  <c r="T169" i="2"/>
  <c r="K294" i="2"/>
  <c r="G889" i="2"/>
  <c r="P889" i="2"/>
  <c r="A294" i="2"/>
  <c r="E315" i="2"/>
  <c r="N169" i="2"/>
  <c r="T1943" i="2"/>
  <c r="P315" i="2"/>
  <c r="F1721" i="2"/>
  <c r="F709" i="2"/>
  <c r="T315" i="2"/>
  <c r="Q1943" i="2"/>
  <c r="H889" i="2"/>
  <c r="Q889" i="2"/>
  <c r="A169" i="2"/>
  <c r="C1830" i="2"/>
  <c r="D1830" i="2"/>
  <c r="Q2159" i="2"/>
  <c r="E169" i="2"/>
  <c r="T485" i="2"/>
  <c r="C1943" i="2"/>
  <c r="C485" i="2"/>
  <c r="J1943" i="2"/>
  <c r="S169" i="2"/>
  <c r="R315" i="2"/>
  <c r="H315" i="2"/>
  <c r="H485" i="2"/>
  <c r="O709" i="2"/>
  <c r="F485" i="2"/>
  <c r="G1830" i="2"/>
  <c r="D1721" i="2"/>
  <c r="G1721" i="2"/>
  <c r="K169" i="2"/>
  <c r="F315" i="2"/>
  <c r="K1830" i="2"/>
  <c r="T294" i="2"/>
  <c r="S2159" i="2"/>
  <c r="S889" i="2"/>
  <c r="F889" i="2"/>
  <c r="K315" i="2"/>
  <c r="J1830" i="2"/>
  <c r="G2159" i="2"/>
  <c r="A2159" i="2"/>
  <c r="Q1721" i="2"/>
  <c r="C1721" i="2"/>
  <c r="K485" i="2"/>
  <c r="E1943" i="2"/>
  <c r="O1943" i="2"/>
  <c r="M169" i="2"/>
  <c r="N1830" i="2"/>
  <c r="T709" i="2"/>
  <c r="O169" i="2"/>
  <c r="R709" i="2"/>
  <c r="R2159" i="2"/>
  <c r="E889" i="2"/>
  <c r="M2159" i="2"/>
  <c r="M889" i="2"/>
  <c r="J485" i="2"/>
  <c r="Q294" i="2"/>
  <c r="J889" i="2"/>
  <c r="M485" i="2"/>
  <c r="H1943" i="2"/>
  <c r="T889" i="2"/>
  <c r="D294" i="2"/>
  <c r="K2159" i="2"/>
  <c r="K889" i="2"/>
  <c r="C169" i="2"/>
  <c r="R1830" i="2"/>
  <c r="R889" i="2"/>
  <c r="T1830" i="2"/>
  <c r="K1943" i="2"/>
  <c r="A709" i="2"/>
  <c r="D315" i="2"/>
  <c r="N889" i="2"/>
  <c r="D169" i="2"/>
  <c r="K709" i="2"/>
  <c r="P709" i="2"/>
  <c r="P2159" i="2"/>
  <c r="F294" i="2"/>
  <c r="D889" i="2"/>
  <c r="S485" i="2"/>
  <c r="D2159" i="2"/>
  <c r="Q1830" i="2"/>
  <c r="P169" i="2"/>
  <c r="A315" i="2"/>
  <c r="N1943" i="2"/>
  <c r="J169" i="2"/>
  <c r="E294" i="2"/>
  <c r="Q169" i="2"/>
  <c r="N315" i="2"/>
  <c r="A889" i="2"/>
  <c r="E709" i="2"/>
  <c r="M1830" i="2"/>
  <c r="S1721" i="2"/>
  <c r="G485" i="2"/>
  <c r="E1721" i="2"/>
  <c r="M709" i="2"/>
  <c r="E485" i="2"/>
  <c r="H1830" i="2"/>
  <c r="F1830" i="2"/>
  <c r="A1830" i="2"/>
  <c r="O294" i="2"/>
  <c r="C889" i="2"/>
  <c r="T2159" i="2"/>
  <c r="N709" i="2"/>
  <c r="M294" i="2"/>
  <c r="O485" i="2"/>
  <c r="J709" i="2"/>
  <c r="G169" i="2"/>
  <c r="P1830" i="2"/>
  <c r="T1721" i="2"/>
  <c r="N2159" i="2"/>
  <c r="M1943" i="2"/>
  <c r="J1721" i="2"/>
  <c r="R169" i="2"/>
  <c r="A1721" i="2"/>
  <c r="F2159" i="2"/>
  <c r="D1943" i="2"/>
  <c r="S315" i="2"/>
  <c r="G315" i="2"/>
  <c r="N294" i="2"/>
  <c r="O1721" i="2"/>
  <c r="A1943" i="2"/>
  <c r="C294" i="2"/>
  <c r="J294" i="2"/>
  <c r="J2159" i="2"/>
  <c r="N485" i="2"/>
  <c r="O889" i="2"/>
  <c r="H169" i="2"/>
  <c r="N1721" i="2"/>
  <c r="C709" i="2"/>
  <c r="S294" i="2"/>
  <c r="E1830" i="2"/>
  <c r="H2159" i="2"/>
  <c r="M315" i="2"/>
  <c r="F1943" i="2"/>
  <c r="H1569" i="2"/>
  <c r="T1086" i="2"/>
  <c r="E71" i="2"/>
  <c r="M1086" i="2"/>
  <c r="O452" i="2"/>
  <c r="T452" i="2"/>
  <c r="P71" i="2"/>
  <c r="A452" i="2"/>
  <c r="J521" i="2"/>
  <c r="K198" i="2"/>
  <c r="O1229" i="2"/>
  <c r="R198" i="2"/>
  <c r="G452" i="2"/>
  <c r="F1021" i="2"/>
  <c r="H198" i="2"/>
  <c r="F71" i="2"/>
  <c r="C198" i="2"/>
  <c r="D2254" i="2"/>
  <c r="Q2254" i="2"/>
  <c r="C1229" i="2"/>
  <c r="P1229" i="2"/>
  <c r="Q1086" i="2"/>
  <c r="P1789" i="2"/>
  <c r="F1086" i="2"/>
  <c r="S1021" i="2"/>
  <c r="C1789" i="2"/>
  <c r="H71" i="2"/>
  <c r="N1021" i="2"/>
  <c r="E2254" i="2"/>
  <c r="R1021" i="2"/>
  <c r="K2254" i="2"/>
  <c r="K1569" i="2"/>
  <c r="J1229" i="2"/>
  <c r="A521" i="2"/>
  <c r="M2254" i="2"/>
  <c r="T1229" i="2"/>
  <c r="K1021" i="2"/>
  <c r="Q1021" i="2"/>
  <c r="H1086" i="2"/>
  <c r="P1569" i="2"/>
  <c r="R452" i="2"/>
  <c r="G1789" i="2"/>
  <c r="G1086" i="2"/>
  <c r="O1569" i="2"/>
  <c r="O71" i="2"/>
  <c r="M452" i="2"/>
  <c r="Q1789" i="2"/>
  <c r="J1086" i="2"/>
  <c r="J452" i="2"/>
  <c r="R1229" i="2"/>
  <c r="T521" i="2"/>
  <c r="T1021" i="2"/>
  <c r="G71" i="2"/>
  <c r="P452" i="2"/>
  <c r="A71" i="2"/>
  <c r="F521" i="2"/>
  <c r="C1021" i="2"/>
  <c r="M1229" i="2"/>
  <c r="A2254" i="2"/>
  <c r="K1229" i="2"/>
  <c r="N71" i="2"/>
  <c r="J1569" i="2"/>
  <c r="N1789" i="2"/>
  <c r="F2254" i="2"/>
  <c r="Q521" i="2"/>
  <c r="O1789" i="2"/>
  <c r="S1086" i="2"/>
  <c r="D1789" i="2"/>
  <c r="R2254" i="2"/>
  <c r="A1086" i="2"/>
  <c r="K521" i="2"/>
  <c r="J198" i="2"/>
  <c r="T198" i="2"/>
  <c r="F1789" i="2"/>
  <c r="G521" i="2"/>
  <c r="E1789" i="2"/>
  <c r="K452" i="2"/>
  <c r="M1789" i="2"/>
  <c r="P2254" i="2"/>
  <c r="G198" i="2"/>
  <c r="R521" i="2"/>
  <c r="P1021" i="2"/>
  <c r="H452" i="2"/>
  <c r="F1569" i="2"/>
  <c r="E521" i="2"/>
  <c r="O1021" i="2"/>
  <c r="S521" i="2"/>
  <c r="E452" i="2"/>
  <c r="D521" i="2"/>
  <c r="R1086" i="2"/>
  <c r="M1569" i="2"/>
  <c r="N521" i="2"/>
  <c r="S1229" i="2"/>
  <c r="A1021" i="2"/>
  <c r="A1789" i="2"/>
  <c r="D452" i="2"/>
  <c r="D1229" i="2"/>
  <c r="C1569" i="2"/>
  <c r="E1021" i="2"/>
  <c r="P521" i="2"/>
  <c r="N198" i="2"/>
  <c r="H2254" i="2"/>
  <c r="E1086" i="2"/>
  <c r="S452" i="2"/>
  <c r="Q71" i="2"/>
  <c r="C521" i="2"/>
  <c r="G1229" i="2"/>
  <c r="N1569" i="2"/>
  <c r="S1789" i="2"/>
  <c r="N1229" i="2"/>
  <c r="T2254" i="2"/>
  <c r="N452" i="2"/>
  <c r="T1789" i="2"/>
  <c r="K71" i="2"/>
  <c r="A198" i="2"/>
  <c r="Q198" i="2"/>
  <c r="P198" i="2"/>
  <c r="H1229" i="2"/>
  <c r="E1229" i="2"/>
  <c r="Q1229" i="2"/>
  <c r="G2254" i="2"/>
  <c r="M71" i="2"/>
  <c r="Q1569" i="2"/>
  <c r="O2254" i="2"/>
  <c r="S1569" i="2"/>
  <c r="R1789" i="2"/>
  <c r="C452" i="2"/>
  <c r="O1086" i="2"/>
  <c r="O521" i="2"/>
  <c r="M1021" i="2"/>
  <c r="E1569" i="2"/>
  <c r="M521" i="2"/>
  <c r="F1229" i="2"/>
  <c r="F198" i="2"/>
  <c r="S71" i="2"/>
  <c r="O198" i="2"/>
  <c r="S2254" i="2"/>
  <c r="R71" i="2"/>
  <c r="A1569" i="2"/>
  <c r="K1086" i="2"/>
  <c r="H1021" i="2"/>
  <c r="K1789" i="2"/>
  <c r="G1021" i="2"/>
  <c r="E198" i="2"/>
  <c r="C2254" i="2"/>
  <c r="R1569" i="2"/>
  <c r="D1021" i="2"/>
  <c r="C1086" i="2"/>
  <c r="C71" i="2"/>
  <c r="D1569" i="2"/>
  <c r="J71" i="2"/>
  <c r="S198" i="2"/>
  <c r="T1569" i="2"/>
  <c r="P1086" i="2"/>
  <c r="F452" i="2"/>
  <c r="N2254" i="2"/>
  <c r="J1789" i="2"/>
  <c r="D71" i="2"/>
  <c r="D198" i="2"/>
  <c r="D1086" i="2"/>
  <c r="M198" i="2"/>
  <c r="Q452" i="2"/>
  <c r="N1086" i="2"/>
  <c r="J2254" i="2"/>
  <c r="T71" i="2"/>
  <c r="G1569" i="2"/>
  <c r="J1021" i="2"/>
  <c r="H521" i="2"/>
  <c r="A1229" i="2"/>
  <c r="H1789" i="2"/>
  <c r="J1668" i="2"/>
  <c r="Q1293" i="2"/>
  <c r="C1168" i="2"/>
  <c r="N1168" i="2"/>
  <c r="M393" i="2"/>
  <c r="H1668" i="2"/>
  <c r="R54" i="2"/>
  <c r="F1727" i="2"/>
  <c r="E1168" i="2"/>
  <c r="D2070" i="2"/>
  <c r="S2070" i="2"/>
  <c r="G1668" i="2"/>
  <c r="H54" i="2"/>
  <c r="O1957" i="2"/>
  <c r="O1293" i="2"/>
  <c r="D1668" i="2"/>
  <c r="M2219" i="2"/>
  <c r="R1168" i="2"/>
  <c r="D272" i="2"/>
  <c r="S1293" i="2"/>
  <c r="G2070" i="2"/>
  <c r="J1168" i="2"/>
  <c r="Q393" i="2"/>
  <c r="J1957" i="2"/>
  <c r="S54" i="2"/>
  <c r="J393" i="2"/>
  <c r="E2219" i="2"/>
  <c r="C2219" i="2"/>
  <c r="P272" i="2"/>
  <c r="P1168" i="2"/>
  <c r="G1727" i="2"/>
  <c r="A1727" i="2"/>
  <c r="O393" i="2"/>
  <c r="K54" i="2"/>
  <c r="J1727" i="2"/>
  <c r="S1168" i="2"/>
  <c r="F2219" i="2"/>
  <c r="S1727" i="2"/>
  <c r="M1168" i="2"/>
  <c r="P2070" i="2"/>
  <c r="D1727" i="2"/>
  <c r="C1293" i="2"/>
  <c r="O1668" i="2"/>
  <c r="E1957" i="2"/>
  <c r="E272" i="2"/>
  <c r="P1668" i="2"/>
  <c r="K2219" i="2"/>
  <c r="P1957" i="2"/>
  <c r="F54" i="2"/>
  <c r="Q1727" i="2"/>
  <c r="T2219" i="2"/>
  <c r="G393" i="2"/>
  <c r="E1668" i="2"/>
  <c r="O1168" i="2"/>
  <c r="J1293" i="2"/>
  <c r="R1293" i="2"/>
  <c r="T393" i="2"/>
  <c r="J2070" i="2"/>
  <c r="O2219" i="2"/>
  <c r="O1727" i="2"/>
  <c r="S1668" i="2"/>
  <c r="G1957" i="2"/>
  <c r="C1668" i="2"/>
  <c r="C272" i="2"/>
  <c r="R2070" i="2"/>
  <c r="K272" i="2"/>
  <c r="J54" i="2"/>
  <c r="N1668" i="2"/>
  <c r="N2070" i="2"/>
  <c r="E54" i="2"/>
  <c r="S393" i="2"/>
  <c r="A393" i="2"/>
  <c r="A272" i="2"/>
  <c r="D1168" i="2"/>
  <c r="D1957" i="2"/>
  <c r="H2070" i="2"/>
  <c r="C1727" i="2"/>
  <c r="M2070" i="2"/>
  <c r="A54" i="2"/>
  <c r="Q2219" i="2"/>
  <c r="F1168" i="2"/>
  <c r="E1293" i="2"/>
  <c r="D1293" i="2"/>
  <c r="S272" i="2"/>
  <c r="P393" i="2"/>
  <c r="D393" i="2"/>
  <c r="A2219" i="2"/>
  <c r="H393" i="2"/>
  <c r="O2070" i="2"/>
  <c r="N1957" i="2"/>
  <c r="K1293" i="2"/>
  <c r="N1727" i="2"/>
  <c r="G1168" i="2"/>
  <c r="F1957" i="2"/>
  <c r="H1727" i="2"/>
  <c r="E2070" i="2"/>
  <c r="N272" i="2"/>
  <c r="P54" i="2"/>
  <c r="M1957" i="2"/>
  <c r="G272" i="2"/>
  <c r="T1293" i="2"/>
  <c r="M1727" i="2"/>
  <c r="C1957" i="2"/>
  <c r="A2070" i="2"/>
  <c r="J272" i="2"/>
  <c r="Q272" i="2"/>
  <c r="T54" i="2"/>
  <c r="H272" i="2"/>
  <c r="N54" i="2"/>
  <c r="O272" i="2"/>
  <c r="M1293" i="2"/>
  <c r="D2219" i="2"/>
  <c r="H1168" i="2"/>
  <c r="M1668" i="2"/>
  <c r="A1293" i="2"/>
  <c r="C2070" i="2"/>
  <c r="F1668" i="2"/>
  <c r="N393" i="2"/>
  <c r="E393" i="2"/>
  <c r="K393" i="2"/>
  <c r="A1957" i="2"/>
  <c r="P1293" i="2"/>
  <c r="H1957" i="2"/>
  <c r="C54" i="2"/>
  <c r="J2219" i="2"/>
  <c r="G1293" i="2"/>
  <c r="F1293" i="2"/>
  <c r="R1668" i="2"/>
  <c r="N1293" i="2"/>
  <c r="A1168" i="2"/>
  <c r="R272" i="2"/>
  <c r="S2219" i="2"/>
  <c r="F272" i="2"/>
  <c r="T1957" i="2"/>
  <c r="M272" i="2"/>
  <c r="Q1957" i="2"/>
  <c r="M54" i="2"/>
  <c r="K1957" i="2"/>
  <c r="G54" i="2"/>
  <c r="H2219" i="2"/>
  <c r="D54" i="2"/>
  <c r="T1727" i="2"/>
  <c r="A1668" i="2"/>
  <c r="C393" i="2"/>
  <c r="R393" i="2"/>
  <c r="Q1168" i="2"/>
  <c r="T1168" i="2"/>
  <c r="K1668" i="2"/>
  <c r="R1957" i="2"/>
  <c r="O54" i="2"/>
  <c r="E1727" i="2"/>
  <c r="K1727" i="2"/>
  <c r="T2070" i="2"/>
  <c r="P2219" i="2"/>
  <c r="R1727" i="2"/>
  <c r="T1668" i="2"/>
  <c r="K2070" i="2"/>
  <c r="R2219" i="2"/>
  <c r="Q2070" i="2"/>
  <c r="G2219" i="2"/>
  <c r="F393" i="2"/>
  <c r="P1727" i="2"/>
  <c r="Q54" i="2"/>
  <c r="Q1668" i="2"/>
  <c r="F2070" i="2"/>
  <c r="H1293" i="2"/>
  <c r="N2219" i="2"/>
  <c r="K1168" i="2"/>
  <c r="S1957" i="2"/>
  <c r="T272" i="2"/>
  <c r="E96" i="2"/>
  <c r="A405" i="2"/>
  <c r="J1739" i="2"/>
  <c r="D1706" i="2"/>
  <c r="M405" i="2"/>
  <c r="K84" i="2"/>
  <c r="H1739" i="2"/>
  <c r="Q706" i="2"/>
  <c r="D84" i="2"/>
  <c r="R2222" i="2"/>
  <c r="P706" i="2"/>
  <c r="F84" i="2"/>
  <c r="R84" i="2"/>
  <c r="S2222" i="2"/>
  <c r="S1962" i="2"/>
  <c r="J1706" i="2"/>
  <c r="T84" i="2"/>
  <c r="K2222" i="2"/>
  <c r="T2127" i="2"/>
  <c r="M2222" i="2"/>
  <c r="M1706" i="2"/>
  <c r="P1706" i="2"/>
  <c r="Q2127" i="2"/>
  <c r="D1149" i="2"/>
  <c r="A96" i="2"/>
  <c r="G706" i="2"/>
  <c r="T1962" i="2"/>
  <c r="T706" i="2"/>
  <c r="J405" i="2"/>
  <c r="F1706" i="2"/>
  <c r="R2127" i="2"/>
  <c r="K1706" i="2"/>
  <c r="F405" i="2"/>
  <c r="S1149" i="2"/>
  <c r="M706" i="2"/>
  <c r="E706" i="2"/>
  <c r="E405" i="2"/>
  <c r="P2222" i="2"/>
  <c r="Q1149" i="2"/>
  <c r="O706" i="2"/>
  <c r="K1149" i="2"/>
  <c r="E2222" i="2"/>
  <c r="P1962" i="2"/>
  <c r="N405" i="2"/>
  <c r="A1706" i="2"/>
  <c r="G2222" i="2"/>
  <c r="S405" i="2"/>
  <c r="O1149" i="2"/>
  <c r="J706" i="2"/>
  <c r="H405" i="2"/>
  <c r="D96" i="2"/>
  <c r="O2222" i="2"/>
  <c r="P405" i="2"/>
  <c r="A706" i="2"/>
  <c r="R1149" i="2"/>
  <c r="S96" i="2"/>
  <c r="H1149" i="2"/>
  <c r="J1149" i="2"/>
  <c r="C1149" i="2"/>
  <c r="T1706" i="2"/>
  <c r="K2127" i="2"/>
  <c r="D1962" i="2"/>
  <c r="K405" i="2"/>
  <c r="A1149" i="2"/>
  <c r="C1962" i="2"/>
  <c r="G84" i="2"/>
  <c r="G1149" i="2"/>
  <c r="K96" i="2"/>
  <c r="G96" i="2"/>
  <c r="C706" i="2"/>
  <c r="N1739" i="2"/>
  <c r="G2127" i="2"/>
  <c r="Q1706" i="2"/>
  <c r="D2127" i="2"/>
  <c r="T2222" i="2"/>
  <c r="M1149" i="2"/>
  <c r="R1962" i="2"/>
  <c r="A2127" i="2"/>
  <c r="F96" i="2"/>
  <c r="E1149" i="2"/>
  <c r="O96" i="2"/>
  <c r="O405" i="2"/>
  <c r="S2127" i="2"/>
  <c r="H706" i="2"/>
  <c r="M1962" i="2"/>
  <c r="N2222" i="2"/>
  <c r="N1149" i="2"/>
  <c r="O2127" i="2"/>
  <c r="T1739" i="2"/>
  <c r="D706" i="2"/>
  <c r="N2127" i="2"/>
  <c r="R405" i="2"/>
  <c r="E1739" i="2"/>
  <c r="Q1962" i="2"/>
  <c r="Q1739" i="2"/>
  <c r="R96" i="2"/>
  <c r="R1739" i="2"/>
  <c r="F706" i="2"/>
  <c r="S84" i="2"/>
  <c r="A1962" i="2"/>
  <c r="H96" i="2"/>
  <c r="O1706" i="2"/>
  <c r="N1962" i="2"/>
  <c r="P2127" i="2"/>
  <c r="C84" i="2"/>
  <c r="D2222" i="2"/>
  <c r="E1706" i="2"/>
  <c r="H2222" i="2"/>
  <c r="N96" i="2"/>
  <c r="S706" i="2"/>
  <c r="A2222" i="2"/>
  <c r="C2222" i="2"/>
  <c r="N1706" i="2"/>
  <c r="T96" i="2"/>
  <c r="Q405" i="2"/>
  <c r="P84" i="2"/>
  <c r="F2222" i="2"/>
  <c r="J96" i="2"/>
  <c r="G1706" i="2"/>
  <c r="E1962" i="2"/>
  <c r="C1739" i="2"/>
  <c r="G405" i="2"/>
  <c r="P1739" i="2"/>
  <c r="Q2222" i="2"/>
  <c r="F1962" i="2"/>
  <c r="H2127" i="2"/>
  <c r="K1962" i="2"/>
  <c r="M84" i="2"/>
  <c r="C1706" i="2"/>
  <c r="G1962" i="2"/>
  <c r="C2127" i="2"/>
  <c r="G1739" i="2"/>
  <c r="C96" i="2"/>
  <c r="P96" i="2"/>
  <c r="D405" i="2"/>
  <c r="S1739" i="2"/>
  <c r="T1149" i="2"/>
  <c r="D1739" i="2"/>
  <c r="O1739" i="2"/>
  <c r="F1149" i="2"/>
  <c r="E2127" i="2"/>
  <c r="J1962" i="2"/>
  <c r="J84" i="2"/>
  <c r="N706" i="2"/>
  <c r="C405" i="2"/>
  <c r="F1739" i="2"/>
  <c r="A1739" i="2"/>
  <c r="E84" i="2"/>
  <c r="K1739" i="2"/>
  <c r="S1706" i="2"/>
  <c r="J2127" i="2"/>
  <c r="R1706" i="2"/>
  <c r="F2127" i="2"/>
  <c r="K706" i="2"/>
  <c r="H84" i="2"/>
  <c r="N84" i="2"/>
  <c r="Q84" i="2"/>
  <c r="M96" i="2"/>
  <c r="A84" i="2"/>
  <c r="O1962" i="2"/>
  <c r="T405" i="2"/>
  <c r="P1149" i="2"/>
  <c r="M2127" i="2"/>
  <c r="O84" i="2"/>
  <c r="R706" i="2"/>
  <c r="H1962" i="2"/>
  <c r="J2222" i="2"/>
  <c r="H1706" i="2"/>
  <c r="Q96" i="2"/>
  <c r="M1739" i="2"/>
  <c r="Q2220" i="2"/>
  <c r="Q1530" i="2"/>
  <c r="N2220" i="2"/>
  <c r="O2094" i="2"/>
  <c r="D830" i="2"/>
  <c r="J822" i="2"/>
  <c r="T830" i="2"/>
  <c r="G921" i="2"/>
  <c r="T1644" i="2"/>
  <c r="T2094" i="2"/>
  <c r="G1530" i="2"/>
  <c r="H1644" i="2"/>
  <c r="C871" i="2"/>
  <c r="T1530" i="2"/>
  <c r="M830" i="2"/>
  <c r="J2220" i="2"/>
  <c r="J830" i="2"/>
  <c r="P78" i="2"/>
  <c r="H2220" i="2"/>
  <c r="K1644" i="2"/>
  <c r="F822" i="2"/>
  <c r="G1444" i="2"/>
  <c r="G2220" i="2"/>
  <c r="D2220" i="2"/>
  <c r="J1444" i="2"/>
  <c r="D78" i="2"/>
  <c r="K871" i="2"/>
  <c r="E830" i="2"/>
  <c r="R871" i="2"/>
  <c r="P1530" i="2"/>
  <c r="D1444" i="2"/>
  <c r="D1530" i="2"/>
  <c r="C921" i="2"/>
  <c r="N921" i="2"/>
  <c r="Q921" i="2"/>
  <c r="T78" i="2"/>
  <c r="R2094" i="2"/>
  <c r="S822" i="2"/>
  <c r="C1444" i="2"/>
  <c r="H871" i="2"/>
  <c r="N2094" i="2"/>
  <c r="C1644" i="2"/>
  <c r="P2094" i="2"/>
  <c r="A921" i="2"/>
  <c r="O2220" i="2"/>
  <c r="A822" i="2"/>
  <c r="Q78" i="2"/>
  <c r="Q871" i="2"/>
  <c r="O78" i="2"/>
  <c r="N830" i="2"/>
  <c r="C822" i="2"/>
  <c r="Q822" i="2"/>
  <c r="R822" i="2"/>
  <c r="R1644" i="2"/>
  <c r="H1444" i="2"/>
  <c r="A1530" i="2"/>
  <c r="G871" i="2"/>
  <c r="H822" i="2"/>
  <c r="E871" i="2"/>
  <c r="K1444" i="2"/>
  <c r="S871" i="2"/>
  <c r="K1530" i="2"/>
  <c r="C78" i="2"/>
  <c r="G1644" i="2"/>
  <c r="T921" i="2"/>
  <c r="Q1444" i="2"/>
  <c r="S830" i="2"/>
  <c r="J2094" i="2"/>
  <c r="J1530" i="2"/>
  <c r="M921" i="2"/>
  <c r="A78" i="2"/>
  <c r="A2220" i="2"/>
  <c r="C2220" i="2"/>
  <c r="R1530" i="2"/>
  <c r="T1444" i="2"/>
  <c r="Q830" i="2"/>
  <c r="A830" i="2"/>
  <c r="A1644" i="2"/>
  <c r="A871" i="2"/>
  <c r="M78" i="2"/>
  <c r="T2220" i="2"/>
  <c r="R830" i="2"/>
  <c r="H2094" i="2"/>
  <c r="E2220" i="2"/>
  <c r="R1444" i="2"/>
  <c r="N822" i="2"/>
  <c r="S1530" i="2"/>
  <c r="P921" i="2"/>
  <c r="F1644" i="2"/>
  <c r="F1444" i="2"/>
  <c r="O921" i="2"/>
  <c r="K822" i="2"/>
  <c r="R78" i="2"/>
  <c r="C830" i="2"/>
  <c r="K78" i="2"/>
  <c r="F78" i="2"/>
  <c r="E1444" i="2"/>
  <c r="T822" i="2"/>
  <c r="A1444" i="2"/>
  <c r="J78" i="2"/>
  <c r="J921" i="2"/>
  <c r="N1530" i="2"/>
  <c r="F1530" i="2"/>
  <c r="P2220" i="2"/>
  <c r="P871" i="2"/>
  <c r="S78" i="2"/>
  <c r="O822" i="2"/>
  <c r="K2094" i="2"/>
  <c r="O1644" i="2"/>
  <c r="J871" i="2"/>
  <c r="M822" i="2"/>
  <c r="Q1644" i="2"/>
  <c r="E78" i="2"/>
  <c r="S921" i="2"/>
  <c r="P830" i="2"/>
  <c r="E2094" i="2"/>
  <c r="R2220" i="2"/>
  <c r="O1530" i="2"/>
  <c r="F2094" i="2"/>
  <c r="E822" i="2"/>
  <c r="K921" i="2"/>
  <c r="D1644" i="2"/>
  <c r="D871" i="2"/>
  <c r="K830" i="2"/>
  <c r="M1444" i="2"/>
  <c r="S2220" i="2"/>
  <c r="N871" i="2"/>
  <c r="N1444" i="2"/>
  <c r="G78" i="2"/>
  <c r="S1644" i="2"/>
  <c r="G822" i="2"/>
  <c r="N78" i="2"/>
  <c r="Q2094" i="2"/>
  <c r="T871" i="2"/>
  <c r="D2094" i="2"/>
  <c r="H921" i="2"/>
  <c r="N1644" i="2"/>
  <c r="K2220" i="2"/>
  <c r="D921" i="2"/>
  <c r="M871" i="2"/>
  <c r="S1444" i="2"/>
  <c r="A2094" i="2"/>
  <c r="M1644" i="2"/>
  <c r="F871" i="2"/>
  <c r="G2094" i="2"/>
  <c r="C1530" i="2"/>
  <c r="E1644" i="2"/>
  <c r="M2094" i="2"/>
  <c r="G830" i="2"/>
  <c r="M2220" i="2"/>
  <c r="E921" i="2"/>
  <c r="O830" i="2"/>
  <c r="F921" i="2"/>
  <c r="C2094" i="2"/>
  <c r="J1644" i="2"/>
  <c r="H1530" i="2"/>
  <c r="O1444" i="2"/>
  <c r="M1530" i="2"/>
  <c r="D822" i="2"/>
  <c r="H830" i="2"/>
  <c r="P1444" i="2"/>
  <c r="O871" i="2"/>
  <c r="P822" i="2"/>
  <c r="F2220" i="2"/>
  <c r="R921" i="2"/>
  <c r="F830" i="2"/>
  <c r="S2094" i="2"/>
  <c r="E1530" i="2"/>
  <c r="H78" i="2"/>
  <c r="P1644" i="2"/>
  <c r="K1458" i="2"/>
  <c r="R936" i="2"/>
  <c r="D2058" i="2"/>
  <c r="H936" i="2"/>
  <c r="R616" i="2"/>
  <c r="F607" i="2"/>
  <c r="G764" i="2"/>
  <c r="Q1034" i="2"/>
  <c r="K720" i="2"/>
  <c r="N720" i="2"/>
  <c r="P872" i="2"/>
  <c r="K711" i="2"/>
  <c r="S616" i="2"/>
  <c r="Q1458" i="2"/>
  <c r="T543" i="2"/>
  <c r="A1633" i="2"/>
  <c r="O1913" i="2"/>
  <c r="Q134" i="2"/>
  <c r="S872" i="2"/>
  <c r="Q720" i="2"/>
  <c r="F1034" i="2"/>
  <c r="C1034" i="2"/>
  <c r="O1633" i="2"/>
  <c r="R1913" i="2"/>
  <c r="C720" i="2"/>
  <c r="T299" i="2"/>
  <c r="M644" i="2"/>
  <c r="F1458" i="2"/>
  <c r="Q1902" i="2"/>
  <c r="R1034" i="2"/>
  <c r="T1913" i="2"/>
  <c r="C1902" i="2"/>
  <c r="O872" i="2"/>
  <c r="R2058" i="2"/>
  <c r="H616" i="2"/>
  <c r="N936" i="2"/>
  <c r="J299" i="2"/>
  <c r="A976" i="2"/>
  <c r="T2058" i="2"/>
  <c r="F2058" i="2"/>
  <c r="C1633" i="2"/>
  <c r="S543" i="2"/>
  <c r="O1034" i="2"/>
  <c r="O616" i="2"/>
  <c r="A711" i="2"/>
  <c r="A1823" i="2"/>
  <c r="K1902" i="2"/>
  <c r="J134" i="2"/>
  <c r="J872" i="2"/>
  <c r="O1823" i="2"/>
  <c r="K134" i="2"/>
  <c r="H543" i="2"/>
  <c r="N299" i="2"/>
  <c r="E976" i="2"/>
  <c r="J711" i="2"/>
  <c r="P711" i="2"/>
  <c r="M1458" i="2"/>
  <c r="A616" i="2"/>
  <c r="K47" i="2"/>
  <c r="P616" i="2"/>
  <c r="O607" i="2"/>
  <c r="F1902" i="2"/>
  <c r="P2058" i="2"/>
  <c r="P543" i="2"/>
  <c r="O644" i="2"/>
  <c r="T616" i="2"/>
  <c r="G936" i="2"/>
  <c r="N47" i="2"/>
  <c r="F1913" i="2"/>
  <c r="M543" i="2"/>
  <c r="C936" i="2"/>
  <c r="J1913" i="2"/>
  <c r="P134" i="2"/>
  <c r="J1458" i="2"/>
  <c r="G1034" i="2"/>
  <c r="H976" i="2"/>
  <c r="J764" i="2"/>
  <c r="R872" i="2"/>
  <c r="G607" i="2"/>
  <c r="M607" i="2"/>
  <c r="A644" i="2"/>
  <c r="C644" i="2"/>
  <c r="C47" i="2"/>
  <c r="G1902" i="2"/>
  <c r="T1458" i="2"/>
  <c r="D872" i="2"/>
  <c r="K1913" i="2"/>
  <c r="E644" i="2"/>
  <c r="N1633" i="2"/>
  <c r="N1034" i="2"/>
  <c r="T47" i="2"/>
  <c r="F720" i="2"/>
  <c r="C299" i="2"/>
  <c r="F47" i="2"/>
  <c r="M2058" i="2"/>
  <c r="H1913" i="2"/>
  <c r="P720" i="2"/>
  <c r="Q936" i="2"/>
  <c r="H607" i="2"/>
  <c r="K644" i="2"/>
  <c r="M872" i="2"/>
  <c r="A607" i="2"/>
  <c r="P936" i="2"/>
  <c r="C976" i="2"/>
  <c r="O543" i="2"/>
  <c r="P1034" i="2"/>
  <c r="E2058" i="2"/>
  <c r="G720" i="2"/>
  <c r="S1823" i="2"/>
  <c r="N2058" i="2"/>
  <c r="R543" i="2"/>
  <c r="R1633" i="2"/>
  <c r="G299" i="2"/>
  <c r="H1034" i="2"/>
  <c r="E720" i="2"/>
  <c r="P47" i="2"/>
  <c r="G1633" i="2"/>
  <c r="N1902" i="2"/>
  <c r="A764" i="2"/>
  <c r="D134" i="2"/>
  <c r="Q1633" i="2"/>
  <c r="T1823" i="2"/>
  <c r="J543" i="2"/>
  <c r="R1902" i="2"/>
  <c r="F1823" i="2"/>
  <c r="S936" i="2"/>
  <c r="D607" i="2"/>
  <c r="T607" i="2"/>
  <c r="D616" i="2"/>
  <c r="S1913" i="2"/>
  <c r="N616" i="2"/>
  <c r="M1633" i="2"/>
  <c r="Q616" i="2"/>
  <c r="P299" i="2"/>
  <c r="R299" i="2"/>
  <c r="R1823" i="2"/>
  <c r="D711" i="2"/>
  <c r="H1823" i="2"/>
  <c r="T1633" i="2"/>
  <c r="C1823" i="2"/>
  <c r="Q872" i="2"/>
  <c r="J1902" i="2"/>
  <c r="R47" i="2"/>
  <c r="P976" i="2"/>
  <c r="S720" i="2"/>
  <c r="J644" i="2"/>
  <c r="N764" i="2"/>
  <c r="A2058" i="2"/>
  <c r="O1902" i="2"/>
  <c r="O764" i="2"/>
  <c r="O711" i="2"/>
  <c r="E616" i="2"/>
  <c r="P764" i="2"/>
  <c r="E936" i="2"/>
  <c r="M1902" i="2"/>
  <c r="C616" i="2"/>
  <c r="O47" i="2"/>
  <c r="T720" i="2"/>
  <c r="R644" i="2"/>
  <c r="H134" i="2"/>
  <c r="P1823" i="2"/>
  <c r="R764" i="2"/>
  <c r="Q2058" i="2"/>
  <c r="N543" i="2"/>
  <c r="K976" i="2"/>
  <c r="C1913" i="2"/>
  <c r="G644" i="2"/>
  <c r="S1458" i="2"/>
  <c r="C607" i="2"/>
  <c r="E1823" i="2"/>
  <c r="K2058" i="2"/>
  <c r="O299" i="2"/>
  <c r="N134" i="2"/>
  <c r="D299" i="2"/>
  <c r="E607" i="2"/>
  <c r="D543" i="2"/>
  <c r="N711" i="2"/>
  <c r="P644" i="2"/>
  <c r="D1458" i="2"/>
  <c r="E47" i="2"/>
  <c r="E711" i="2"/>
  <c r="A872" i="2"/>
  <c r="S1633" i="2"/>
  <c r="P1913" i="2"/>
  <c r="C134" i="2"/>
  <c r="D720" i="2"/>
  <c r="A543" i="2"/>
  <c r="G1823" i="2"/>
  <c r="M1034" i="2"/>
  <c r="A936" i="2"/>
  <c r="Q543" i="2"/>
  <c r="M764" i="2"/>
  <c r="D764" i="2"/>
  <c r="A1902" i="2"/>
  <c r="D1034" i="2"/>
  <c r="N1913" i="2"/>
  <c r="M299" i="2"/>
  <c r="E1902" i="2"/>
  <c r="J607" i="2"/>
  <c r="A720" i="2"/>
  <c r="S47" i="2"/>
  <c r="M616" i="2"/>
  <c r="R1458" i="2"/>
  <c r="N976" i="2"/>
  <c r="J1633" i="2"/>
  <c r="G2058" i="2"/>
  <c r="A134" i="2"/>
  <c r="K543" i="2"/>
  <c r="K1823" i="2"/>
  <c r="Q47" i="2"/>
  <c r="E1034" i="2"/>
  <c r="S976" i="2"/>
  <c r="F872" i="2"/>
  <c r="G616" i="2"/>
  <c r="S711" i="2"/>
  <c r="N607" i="2"/>
  <c r="O936" i="2"/>
  <c r="H2058" i="2"/>
  <c r="H1458" i="2"/>
  <c r="Q644" i="2"/>
  <c r="D1913" i="2"/>
  <c r="F764" i="2"/>
  <c r="M711" i="2"/>
  <c r="E764" i="2"/>
  <c r="Q1913" i="2"/>
  <c r="K872" i="2"/>
  <c r="K1034" i="2"/>
  <c r="T711" i="2"/>
  <c r="O720" i="2"/>
  <c r="F299" i="2"/>
  <c r="G47" i="2"/>
  <c r="C1458" i="2"/>
  <c r="H764" i="2"/>
  <c r="J1823" i="2"/>
  <c r="N644" i="2"/>
  <c r="C764" i="2"/>
  <c r="M976" i="2"/>
  <c r="R607" i="2"/>
  <c r="P1633" i="2"/>
  <c r="M720" i="2"/>
  <c r="T976" i="2"/>
  <c r="K607" i="2"/>
  <c r="J2058" i="2"/>
  <c r="M47" i="2"/>
  <c r="R976" i="2"/>
  <c r="Q1823" i="2"/>
  <c r="S1034" i="2"/>
  <c r="E543" i="2"/>
  <c r="E872" i="2"/>
  <c r="Q607" i="2"/>
  <c r="S299" i="2"/>
  <c r="C872" i="2"/>
  <c r="S764" i="2"/>
  <c r="H1902" i="2"/>
  <c r="E1633" i="2"/>
  <c r="J47" i="2"/>
  <c r="T644" i="2"/>
  <c r="Q711" i="2"/>
  <c r="F134" i="2"/>
  <c r="H47" i="2"/>
  <c r="G1913" i="2"/>
  <c r="K764" i="2"/>
  <c r="J720" i="2"/>
  <c r="R711" i="2"/>
  <c r="M1913" i="2"/>
  <c r="D936" i="2"/>
  <c r="G976" i="2"/>
  <c r="S644" i="2"/>
  <c r="D644" i="2"/>
  <c r="J936" i="2"/>
  <c r="S2058" i="2"/>
  <c r="N1458" i="2"/>
  <c r="D976" i="2"/>
  <c r="G872" i="2"/>
  <c r="N1823" i="2"/>
  <c r="M1823" i="2"/>
  <c r="F711" i="2"/>
  <c r="C711" i="2"/>
  <c r="A1034" i="2"/>
  <c r="P607" i="2"/>
  <c r="G543" i="2"/>
  <c r="K616" i="2"/>
  <c r="O976" i="2"/>
  <c r="C543" i="2"/>
  <c r="H1633" i="2"/>
  <c r="K936" i="2"/>
  <c r="A1458" i="2"/>
  <c r="M134" i="2"/>
  <c r="H872" i="2"/>
  <c r="T764" i="2"/>
  <c r="F936" i="2"/>
  <c r="E1913" i="2"/>
  <c r="E134" i="2"/>
  <c r="H644" i="2"/>
  <c r="G134" i="2"/>
  <c r="T936" i="2"/>
  <c r="A299" i="2"/>
  <c r="J1034" i="2"/>
  <c r="F976" i="2"/>
  <c r="T1902" i="2"/>
  <c r="O134" i="2"/>
  <c r="G1458" i="2"/>
  <c r="R720" i="2"/>
  <c r="K1633" i="2"/>
  <c r="E1458" i="2"/>
  <c r="G711" i="2"/>
  <c r="T134" i="2"/>
  <c r="J976" i="2"/>
  <c r="E299" i="2"/>
  <c r="N872" i="2"/>
  <c r="P1902" i="2"/>
  <c r="S134" i="2"/>
  <c r="D47" i="2"/>
  <c r="F616" i="2"/>
  <c r="P1458" i="2"/>
  <c r="C2058" i="2"/>
  <c r="D1633" i="2"/>
  <c r="Q299" i="2"/>
  <c r="D1902" i="2"/>
  <c r="H299" i="2"/>
  <c r="F1633" i="2"/>
  <c r="H711" i="2"/>
  <c r="K299" i="2"/>
  <c r="J616" i="2"/>
  <c r="R134" i="2"/>
  <c r="O1458" i="2"/>
  <c r="H720" i="2"/>
  <c r="O2058" i="2"/>
  <c r="F543" i="2"/>
  <c r="A47" i="2"/>
  <c r="Q976" i="2"/>
  <c r="T1034" i="2"/>
  <c r="S607" i="2"/>
  <c r="D1823" i="2"/>
  <c r="Q764" i="2"/>
  <c r="A1913" i="2"/>
  <c r="S1902" i="2"/>
  <c r="M936" i="2"/>
  <c r="T872" i="2"/>
  <c r="F644" i="2"/>
  <c r="A1669" i="2"/>
  <c r="E1669" i="2"/>
  <c r="A2141" i="2"/>
  <c r="D1511" i="2"/>
  <c r="R1981" i="2"/>
  <c r="A1289" i="2"/>
  <c r="K274" i="2"/>
  <c r="Q274" i="2"/>
  <c r="N1669" i="2"/>
  <c r="H1758" i="2"/>
  <c r="D1981" i="2"/>
  <c r="H2141" i="2"/>
  <c r="K1669" i="2"/>
  <c r="H1289" i="2"/>
  <c r="J845" i="2"/>
  <c r="E1511" i="2"/>
  <c r="J1981" i="2"/>
  <c r="P1289" i="2"/>
  <c r="D274" i="2"/>
  <c r="S1758" i="2"/>
  <c r="G1758" i="2"/>
  <c r="D1669" i="2"/>
  <c r="M1289" i="2"/>
  <c r="Q1669" i="2"/>
  <c r="D1758" i="2"/>
  <c r="D2141" i="2"/>
  <c r="G2141" i="2"/>
  <c r="T1981" i="2"/>
  <c r="E1758" i="2"/>
  <c r="R1192" i="2"/>
  <c r="H1511" i="2"/>
  <c r="K1636" i="2"/>
  <c r="K1192" i="2"/>
  <c r="C1758" i="2"/>
  <c r="T1511" i="2"/>
  <c r="Q2141" i="2"/>
  <c r="S1669" i="2"/>
  <c r="T1192" i="2"/>
  <c r="C1192" i="2"/>
  <c r="T1758" i="2"/>
  <c r="T845" i="2"/>
  <c r="G1981" i="2"/>
  <c r="S1289" i="2"/>
  <c r="F274" i="2"/>
  <c r="M1669" i="2"/>
  <c r="N1758" i="2"/>
  <c r="F2141" i="2"/>
  <c r="E1636" i="2"/>
  <c r="N2141" i="2"/>
  <c r="M1636" i="2"/>
  <c r="J2141" i="2"/>
  <c r="N845" i="2"/>
  <c r="H1981" i="2"/>
  <c r="M1981" i="2"/>
  <c r="K2141" i="2"/>
  <c r="O1511" i="2"/>
  <c r="H274" i="2"/>
  <c r="J1289" i="2"/>
  <c r="T274" i="2"/>
  <c r="R1636" i="2"/>
  <c r="T1669" i="2"/>
  <c r="F845" i="2"/>
  <c r="P1981" i="2"/>
  <c r="C1636" i="2"/>
  <c r="C845" i="2"/>
  <c r="T1636" i="2"/>
  <c r="E1981" i="2"/>
  <c r="O1289" i="2"/>
  <c r="M1758" i="2"/>
  <c r="M1511" i="2"/>
  <c r="D1289" i="2"/>
  <c r="J1511" i="2"/>
  <c r="O1758" i="2"/>
  <c r="F1289" i="2"/>
  <c r="Q1981" i="2"/>
  <c r="K1511" i="2"/>
  <c r="P1669" i="2"/>
  <c r="Q1289" i="2"/>
  <c r="F1981" i="2"/>
  <c r="C1669" i="2"/>
  <c r="C2141" i="2"/>
  <c r="F1669" i="2"/>
  <c r="S1636" i="2"/>
  <c r="G1511" i="2"/>
  <c r="O2141" i="2"/>
  <c r="E2141" i="2"/>
  <c r="J1636" i="2"/>
  <c r="Q1758" i="2"/>
  <c r="M274" i="2"/>
  <c r="S274" i="2"/>
  <c r="P845" i="2"/>
  <c r="H845" i="2"/>
  <c r="R274" i="2"/>
  <c r="E845" i="2"/>
  <c r="C1511" i="2"/>
  <c r="G845" i="2"/>
  <c r="A274" i="2"/>
  <c r="N1289" i="2"/>
  <c r="J274" i="2"/>
  <c r="R1511" i="2"/>
  <c r="R1289" i="2"/>
  <c r="O1192" i="2"/>
  <c r="A1636" i="2"/>
  <c r="J1669" i="2"/>
  <c r="H1192" i="2"/>
  <c r="O845" i="2"/>
  <c r="N1981" i="2"/>
  <c r="H1669" i="2"/>
  <c r="K845" i="2"/>
  <c r="G1192" i="2"/>
  <c r="A1981" i="2"/>
  <c r="A1192" i="2"/>
  <c r="N1511" i="2"/>
  <c r="N1636" i="2"/>
  <c r="N1192" i="2"/>
  <c r="P1758" i="2"/>
  <c r="P274" i="2"/>
  <c r="K1289" i="2"/>
  <c r="E1192" i="2"/>
  <c r="S1192" i="2"/>
  <c r="O1636" i="2"/>
  <c r="R1669" i="2"/>
  <c r="E274" i="2"/>
  <c r="F1192" i="2"/>
  <c r="D1636" i="2"/>
  <c r="Q1636" i="2"/>
  <c r="F1758" i="2"/>
  <c r="O274" i="2"/>
  <c r="A845" i="2"/>
  <c r="Q845" i="2"/>
  <c r="M2141" i="2"/>
  <c r="M845" i="2"/>
  <c r="A1511" i="2"/>
  <c r="G274" i="2"/>
  <c r="P1511" i="2"/>
  <c r="P1192" i="2"/>
  <c r="R845" i="2"/>
  <c r="A1758" i="2"/>
  <c r="H1636" i="2"/>
  <c r="K1758" i="2"/>
  <c r="C1981" i="2"/>
  <c r="S845" i="2"/>
  <c r="F1636" i="2"/>
  <c r="C1289" i="2"/>
  <c r="E1289" i="2"/>
  <c r="J1758" i="2"/>
  <c r="S2141" i="2"/>
  <c r="D1192" i="2"/>
  <c r="T2141" i="2"/>
  <c r="Q1511" i="2"/>
  <c r="M1192" i="2"/>
  <c r="Q1192" i="2"/>
  <c r="S1511" i="2"/>
  <c r="S1981" i="2"/>
  <c r="C274" i="2"/>
  <c r="O1981" i="2"/>
  <c r="T1289" i="2"/>
  <c r="P1636" i="2"/>
  <c r="G1669" i="2"/>
  <c r="P2141" i="2"/>
  <c r="O1669" i="2"/>
  <c r="J1192" i="2"/>
  <c r="K1981" i="2"/>
  <c r="F1511" i="2"/>
  <c r="G1289" i="2"/>
  <c r="R1758" i="2"/>
  <c r="N274" i="2"/>
  <c r="R2141" i="2"/>
  <c r="D845" i="2"/>
  <c r="G1636" i="2"/>
  <c r="J1656" i="2"/>
  <c r="G1986" i="2"/>
  <c r="F1008" i="2"/>
  <c r="N2114" i="2"/>
  <c r="N933" i="2"/>
  <c r="Q2052" i="2"/>
  <c r="M1097" i="2"/>
  <c r="A2114" i="2"/>
  <c r="J161" i="2"/>
  <c r="P2052" i="2"/>
  <c r="Q161" i="2"/>
  <c r="R933" i="2"/>
  <c r="O161" i="2"/>
  <c r="D1097" i="2"/>
  <c r="R1008" i="2"/>
  <c r="E1008" i="2"/>
  <c r="K1986" i="2"/>
  <c r="T1097" i="2"/>
  <c r="A933" i="2"/>
  <c r="R1986" i="2"/>
  <c r="C1097" i="2"/>
  <c r="Q1097" i="2"/>
  <c r="P227" i="2"/>
  <c r="A1097" i="2"/>
  <c r="Q1008" i="2"/>
  <c r="G161" i="2"/>
  <c r="S1008" i="2"/>
  <c r="N1097" i="2"/>
  <c r="Q1986" i="2"/>
  <c r="H161" i="2"/>
  <c r="E1298" i="2"/>
  <c r="N1986" i="2"/>
  <c r="N227" i="2"/>
  <c r="C161" i="2"/>
  <c r="D933" i="2"/>
  <c r="T2052" i="2"/>
  <c r="Q933" i="2"/>
  <c r="K2052" i="2"/>
  <c r="S1986" i="2"/>
  <c r="M1986" i="2"/>
  <c r="P1097" i="2"/>
  <c r="H227" i="2"/>
  <c r="M161" i="2"/>
  <c r="P1986" i="2"/>
  <c r="T1298" i="2"/>
  <c r="K933" i="2"/>
  <c r="G227" i="2"/>
  <c r="E2052" i="2"/>
  <c r="D2114" i="2"/>
  <c r="T1656" i="2"/>
  <c r="A1986" i="2"/>
  <c r="T1986" i="2"/>
  <c r="P1656" i="2"/>
  <c r="G1097" i="2"/>
  <c r="O2114" i="2"/>
  <c r="M2114" i="2"/>
  <c r="E933" i="2"/>
  <c r="D1986" i="2"/>
  <c r="Q2114" i="2"/>
  <c r="F933" i="2"/>
  <c r="S1656" i="2"/>
  <c r="S933" i="2"/>
  <c r="O1097" i="2"/>
  <c r="K1298" i="2"/>
  <c r="S1298" i="2"/>
  <c r="R2114" i="2"/>
  <c r="P1008" i="2"/>
  <c r="S227" i="2"/>
  <c r="O2052" i="2"/>
  <c r="T161" i="2"/>
  <c r="H1008" i="2"/>
  <c r="F2114" i="2"/>
  <c r="N1298" i="2"/>
  <c r="D1656" i="2"/>
  <c r="E2114" i="2"/>
  <c r="K2114" i="2"/>
  <c r="H2052" i="2"/>
  <c r="J1097" i="2"/>
  <c r="S2052" i="2"/>
  <c r="M1298" i="2"/>
  <c r="N2052" i="2"/>
  <c r="O1298" i="2"/>
  <c r="H933" i="2"/>
  <c r="P1298" i="2"/>
  <c r="C1298" i="2"/>
  <c r="J1986" i="2"/>
  <c r="E161" i="2"/>
  <c r="H2114" i="2"/>
  <c r="O1008" i="2"/>
  <c r="F161" i="2"/>
  <c r="D1298" i="2"/>
  <c r="R1097" i="2"/>
  <c r="D227" i="2"/>
  <c r="A227" i="2"/>
  <c r="R2052" i="2"/>
  <c r="T2114" i="2"/>
  <c r="N1008" i="2"/>
  <c r="A1008" i="2"/>
  <c r="F1656" i="2"/>
  <c r="F1298" i="2"/>
  <c r="D1008" i="2"/>
  <c r="K161" i="2"/>
  <c r="R1656" i="2"/>
  <c r="H1656" i="2"/>
  <c r="O933" i="2"/>
  <c r="T227" i="2"/>
  <c r="J2114" i="2"/>
  <c r="Q1298" i="2"/>
  <c r="C2114" i="2"/>
  <c r="J933" i="2"/>
  <c r="P161" i="2"/>
  <c r="Q227" i="2"/>
  <c r="M1008" i="2"/>
  <c r="C933" i="2"/>
  <c r="K1656" i="2"/>
  <c r="M227" i="2"/>
  <c r="E227" i="2"/>
  <c r="O227" i="2"/>
  <c r="K227" i="2"/>
  <c r="K1097" i="2"/>
  <c r="N161" i="2"/>
  <c r="A1298" i="2"/>
  <c r="H1298" i="2"/>
  <c r="O1986" i="2"/>
  <c r="E1097" i="2"/>
  <c r="A1656" i="2"/>
  <c r="J227" i="2"/>
  <c r="C1986" i="2"/>
  <c r="S2114" i="2"/>
  <c r="P933" i="2"/>
  <c r="J1008" i="2"/>
  <c r="G1008" i="2"/>
  <c r="R227" i="2"/>
  <c r="O1656" i="2"/>
  <c r="A161" i="2"/>
  <c r="P2114" i="2"/>
  <c r="G2052" i="2"/>
  <c r="D2052" i="2"/>
  <c r="J1298" i="2"/>
  <c r="D161" i="2"/>
  <c r="R1298" i="2"/>
  <c r="E1656" i="2"/>
  <c r="M1656" i="2"/>
  <c r="C1656" i="2"/>
  <c r="R161" i="2"/>
  <c r="C227" i="2"/>
  <c r="H1986" i="2"/>
  <c r="G933" i="2"/>
  <c r="F2052" i="2"/>
  <c r="N1656" i="2"/>
  <c r="A2052" i="2"/>
  <c r="F1986" i="2"/>
  <c r="G1656" i="2"/>
  <c r="J2052" i="2"/>
  <c r="T1008" i="2"/>
  <c r="S1097" i="2"/>
  <c r="M933" i="2"/>
  <c r="H1097" i="2"/>
  <c r="C1008" i="2"/>
  <c r="M2052" i="2"/>
  <c r="F227" i="2"/>
  <c r="C2052" i="2"/>
  <c r="E1986" i="2"/>
  <c r="S161" i="2"/>
  <c r="F1097" i="2"/>
  <c r="Q1656" i="2"/>
  <c r="G2114" i="2"/>
  <c r="T933" i="2"/>
  <c r="G1298" i="2"/>
  <c r="K1008" i="2"/>
  <c r="G739" i="2"/>
  <c r="D456" i="2"/>
  <c r="Q2131" i="2"/>
  <c r="T193" i="2"/>
  <c r="S739" i="2"/>
  <c r="F1209" i="2"/>
  <c r="M739" i="2"/>
  <c r="D1816" i="2"/>
  <c r="P1038" i="2"/>
  <c r="M1629" i="2"/>
  <c r="J456" i="2"/>
  <c r="P482" i="2"/>
  <c r="Q456" i="2"/>
  <c r="E193" i="2"/>
  <c r="M482" i="2"/>
  <c r="S1816" i="2"/>
  <c r="C456" i="2"/>
  <c r="M193" i="2"/>
  <c r="A739" i="2"/>
  <c r="N456" i="2"/>
  <c r="A408" i="2"/>
  <c r="J408" i="2"/>
  <c r="M1038" i="2"/>
  <c r="T2131" i="2"/>
  <c r="J739" i="2"/>
  <c r="H739" i="2"/>
  <c r="H1629" i="2"/>
  <c r="J1629" i="2"/>
  <c r="Q1816" i="2"/>
  <c r="P193" i="2"/>
  <c r="E1629" i="2"/>
  <c r="O1038" i="2"/>
  <c r="J1816" i="2"/>
  <c r="O482" i="2"/>
  <c r="M456" i="2"/>
  <c r="M1816" i="2"/>
  <c r="S2131" i="2"/>
  <c r="E739" i="2"/>
  <c r="Q193" i="2"/>
  <c r="A1038" i="2"/>
  <c r="M1209" i="2"/>
  <c r="P408" i="2"/>
  <c r="D482" i="2"/>
  <c r="F482" i="2"/>
  <c r="G482" i="2"/>
  <c r="K2131" i="2"/>
  <c r="C1816" i="2"/>
  <c r="J2131" i="2"/>
  <c r="D1209" i="2"/>
  <c r="O408" i="2"/>
  <c r="S482" i="2"/>
  <c r="T482" i="2"/>
  <c r="Q1629" i="2"/>
  <c r="T1038" i="2"/>
  <c r="T408" i="2"/>
  <c r="R1816" i="2"/>
  <c r="P739" i="2"/>
  <c r="Q739" i="2"/>
  <c r="A193" i="2"/>
  <c r="F2131" i="2"/>
  <c r="Q482" i="2"/>
  <c r="R739" i="2"/>
  <c r="G1816" i="2"/>
  <c r="J482" i="2"/>
  <c r="Q408" i="2"/>
  <c r="C1629" i="2"/>
  <c r="E2131" i="2"/>
  <c r="S1038" i="2"/>
  <c r="D1629" i="2"/>
  <c r="K456" i="2"/>
  <c r="N1038" i="2"/>
  <c r="P456" i="2"/>
  <c r="C739" i="2"/>
  <c r="T456" i="2"/>
  <c r="F1816" i="2"/>
  <c r="O456" i="2"/>
  <c r="P1209" i="2"/>
  <c r="F1629" i="2"/>
  <c r="H193" i="2"/>
  <c r="F1038" i="2"/>
  <c r="C408" i="2"/>
  <c r="S408" i="2"/>
  <c r="N1816" i="2"/>
  <c r="D408" i="2"/>
  <c r="K1038" i="2"/>
  <c r="C1209" i="2"/>
  <c r="N408" i="2"/>
  <c r="H456" i="2"/>
  <c r="D193" i="2"/>
  <c r="D2131" i="2"/>
  <c r="K193" i="2"/>
  <c r="P1816" i="2"/>
  <c r="H482" i="2"/>
  <c r="M2131" i="2"/>
  <c r="A456" i="2"/>
  <c r="K1629" i="2"/>
  <c r="Q1038" i="2"/>
  <c r="K482" i="2"/>
  <c r="H2131" i="2"/>
  <c r="D1038" i="2"/>
  <c r="R2131" i="2"/>
  <c r="F408" i="2"/>
  <c r="R482" i="2"/>
  <c r="E408" i="2"/>
  <c r="O1816" i="2"/>
  <c r="G1629" i="2"/>
  <c r="C193" i="2"/>
  <c r="O2131" i="2"/>
  <c r="C1038" i="2"/>
  <c r="K739" i="2"/>
  <c r="O193" i="2"/>
  <c r="T739" i="2"/>
  <c r="A1816" i="2"/>
  <c r="T1629" i="2"/>
  <c r="P1629" i="2"/>
  <c r="E1816" i="2"/>
  <c r="D739" i="2"/>
  <c r="T1816" i="2"/>
  <c r="E456" i="2"/>
  <c r="S1629" i="2"/>
  <c r="O1629" i="2"/>
  <c r="R1038" i="2"/>
  <c r="T1209" i="2"/>
  <c r="S1209" i="2"/>
  <c r="E1209" i="2"/>
  <c r="G408" i="2"/>
  <c r="C2131" i="2"/>
  <c r="K408" i="2"/>
  <c r="P2131" i="2"/>
  <c r="H1816" i="2"/>
  <c r="H1209" i="2"/>
  <c r="J193" i="2"/>
  <c r="E482" i="2"/>
  <c r="S193" i="2"/>
  <c r="Q1209" i="2"/>
  <c r="A2131" i="2"/>
  <c r="N193" i="2"/>
  <c r="J1209" i="2"/>
  <c r="G2131" i="2"/>
  <c r="H1038" i="2"/>
  <c r="R456" i="2"/>
  <c r="R193" i="2"/>
  <c r="M408" i="2"/>
  <c r="A1629" i="2"/>
  <c r="A482" i="2"/>
  <c r="N1629" i="2"/>
  <c r="F739" i="2"/>
  <c r="R1209" i="2"/>
  <c r="O1209" i="2"/>
  <c r="F456" i="2"/>
  <c r="R408" i="2"/>
  <c r="O739" i="2"/>
  <c r="K1209" i="2"/>
  <c r="N1209" i="2"/>
  <c r="J1038" i="2"/>
  <c r="C482" i="2"/>
  <c r="G456" i="2"/>
  <c r="F193" i="2"/>
  <c r="G1038" i="2"/>
  <c r="G1209" i="2"/>
  <c r="N2131" i="2"/>
  <c r="A1209" i="2"/>
  <c r="N482" i="2"/>
  <c r="E1038" i="2"/>
  <c r="R1629" i="2"/>
  <c r="G193" i="2"/>
  <c r="H408" i="2"/>
  <c r="N739" i="2"/>
  <c r="K1816" i="2"/>
  <c r="S456" i="2"/>
  <c r="K2065" i="2"/>
  <c r="A1990" i="2"/>
  <c r="N1534" i="2"/>
  <c r="K1286" i="2"/>
  <c r="S1000" i="2"/>
  <c r="M1607" i="2"/>
  <c r="R1423" i="2"/>
  <c r="G1423" i="2"/>
  <c r="D2065" i="2"/>
  <c r="D1423" i="2"/>
  <c r="J2065" i="2"/>
  <c r="E1423" i="2"/>
  <c r="P424" i="2"/>
  <c r="P2065" i="2"/>
  <c r="G1000" i="2"/>
  <c r="K424" i="2"/>
  <c r="C424" i="2"/>
  <c r="K1607" i="2"/>
  <c r="H1000" i="2"/>
  <c r="S31" i="2"/>
  <c r="J1607" i="2"/>
  <c r="O31" i="2"/>
  <c r="T424" i="2"/>
  <c r="N667" i="2"/>
  <c r="M424" i="2"/>
  <c r="A31" i="2"/>
  <c r="P1423" i="2"/>
  <c r="G2065" i="2"/>
  <c r="O1423" i="2"/>
  <c r="S1607" i="2"/>
  <c r="S1534" i="2"/>
  <c r="C1534" i="2"/>
  <c r="K1000" i="2"/>
  <c r="T2065" i="2"/>
  <c r="R424" i="2"/>
  <c r="R1990" i="2"/>
  <c r="F1000" i="2"/>
  <c r="N1286" i="2"/>
  <c r="T1286" i="2"/>
  <c r="J424" i="2"/>
  <c r="T1423" i="2"/>
  <c r="F2065" i="2"/>
  <c r="F1423" i="2"/>
  <c r="O1286" i="2"/>
  <c r="P1607" i="2"/>
  <c r="J1286" i="2"/>
  <c r="A424" i="2"/>
  <c r="G1990" i="2"/>
  <c r="F667" i="2"/>
  <c r="D1286" i="2"/>
  <c r="J1990" i="2"/>
  <c r="T1990" i="2"/>
  <c r="K31" i="2"/>
  <c r="N1000" i="2"/>
  <c r="K1423" i="2"/>
  <c r="R31" i="2"/>
  <c r="Q1607" i="2"/>
  <c r="D1990" i="2"/>
  <c r="H31" i="2"/>
  <c r="Q1000" i="2"/>
  <c r="E1534" i="2"/>
  <c r="E1990" i="2"/>
  <c r="C1423" i="2"/>
  <c r="P1000" i="2"/>
  <c r="C1607" i="2"/>
  <c r="Q667" i="2"/>
  <c r="H2065" i="2"/>
  <c r="T1000" i="2"/>
  <c r="E1000" i="2"/>
  <c r="K1990" i="2"/>
  <c r="A1607" i="2"/>
  <c r="O1000" i="2"/>
  <c r="H1423" i="2"/>
  <c r="Q31" i="2"/>
  <c r="D424" i="2"/>
  <c r="G31" i="2"/>
  <c r="O424" i="2"/>
  <c r="P1990" i="2"/>
  <c r="S667" i="2"/>
  <c r="D1000" i="2"/>
  <c r="D1534" i="2"/>
  <c r="P667" i="2"/>
  <c r="J31" i="2"/>
  <c r="E424" i="2"/>
  <c r="Q1286" i="2"/>
  <c r="R667" i="2"/>
  <c r="K667" i="2"/>
  <c r="F31" i="2"/>
  <c r="D667" i="2"/>
  <c r="J1423" i="2"/>
  <c r="Q1534" i="2"/>
  <c r="Q1423" i="2"/>
  <c r="O1534" i="2"/>
  <c r="H424" i="2"/>
  <c r="H1990" i="2"/>
  <c r="T1607" i="2"/>
  <c r="C1286" i="2"/>
  <c r="T667" i="2"/>
  <c r="M667" i="2"/>
  <c r="H667" i="2"/>
  <c r="P1286" i="2"/>
  <c r="O1990" i="2"/>
  <c r="C1000" i="2"/>
  <c r="D1607" i="2"/>
  <c r="Q424" i="2"/>
  <c r="K1534" i="2"/>
  <c r="G667" i="2"/>
  <c r="N31" i="2"/>
  <c r="M1534" i="2"/>
  <c r="O1607" i="2"/>
  <c r="A1286" i="2"/>
  <c r="F1534" i="2"/>
  <c r="Q2065" i="2"/>
  <c r="A1534" i="2"/>
  <c r="G1286" i="2"/>
  <c r="G424" i="2"/>
  <c r="C1990" i="2"/>
  <c r="C2065" i="2"/>
  <c r="M1990" i="2"/>
  <c r="N1607" i="2"/>
  <c r="C667" i="2"/>
  <c r="T31" i="2"/>
  <c r="A2065" i="2"/>
  <c r="F1990" i="2"/>
  <c r="S1286" i="2"/>
  <c r="S2065" i="2"/>
  <c r="J1000" i="2"/>
  <c r="F1286" i="2"/>
  <c r="S424" i="2"/>
  <c r="P1534" i="2"/>
  <c r="S1423" i="2"/>
  <c r="N1990" i="2"/>
  <c r="E1286" i="2"/>
  <c r="R1607" i="2"/>
  <c r="N1423" i="2"/>
  <c r="R1000" i="2"/>
  <c r="M1000" i="2"/>
  <c r="E667" i="2"/>
  <c r="D31" i="2"/>
  <c r="G1534" i="2"/>
  <c r="P31" i="2"/>
  <c r="O2065" i="2"/>
  <c r="F1607" i="2"/>
  <c r="J667" i="2"/>
  <c r="M1286" i="2"/>
  <c r="G1607" i="2"/>
  <c r="Q1990" i="2"/>
  <c r="H1534" i="2"/>
  <c r="A667" i="2"/>
  <c r="N2065" i="2"/>
  <c r="N424" i="2"/>
  <c r="R2065" i="2"/>
  <c r="M31" i="2"/>
  <c r="R1286" i="2"/>
  <c r="M2065" i="2"/>
  <c r="R1534" i="2"/>
  <c r="J1534" i="2"/>
  <c r="A1423" i="2"/>
  <c r="H1607" i="2"/>
  <c r="E31" i="2"/>
  <c r="T1534" i="2"/>
  <c r="E2065" i="2"/>
  <c r="S1990" i="2"/>
  <c r="O667" i="2"/>
  <c r="A1000" i="2"/>
  <c r="F424" i="2"/>
  <c r="C31" i="2"/>
  <c r="M1423" i="2"/>
  <c r="H1286" i="2"/>
  <c r="E1607" i="2"/>
  <c r="P2002" i="2"/>
  <c r="A133" i="2"/>
  <c r="O1489" i="2"/>
  <c r="K1119" i="2"/>
  <c r="E758" i="2"/>
  <c r="A2207" i="2"/>
  <c r="R1400" i="2"/>
  <c r="S2207" i="2"/>
  <c r="Q1489" i="2"/>
  <c r="A2002" i="2"/>
  <c r="T838" i="2"/>
  <c r="J1400" i="2"/>
  <c r="G1692" i="2"/>
  <c r="G838" i="2"/>
  <c r="M758" i="2"/>
  <c r="Q2207" i="2"/>
  <c r="C758" i="2"/>
  <c r="M133" i="2"/>
  <c r="E838" i="2"/>
  <c r="S758" i="2"/>
  <c r="O58" i="2"/>
  <c r="M1119" i="2"/>
  <c r="S838" i="2"/>
  <c r="R133" i="2"/>
  <c r="E1119" i="2"/>
  <c r="F838" i="2"/>
  <c r="N758" i="2"/>
  <c r="K2002" i="2"/>
  <c r="P1489" i="2"/>
  <c r="K1400" i="2"/>
  <c r="G133" i="2"/>
  <c r="S1692" i="2"/>
  <c r="R758" i="2"/>
  <c r="F758" i="2"/>
  <c r="C1692" i="2"/>
  <c r="J2207" i="2"/>
  <c r="D1119" i="2"/>
  <c r="F1692" i="2"/>
  <c r="P2207" i="2"/>
  <c r="H1489" i="2"/>
  <c r="F133" i="2"/>
  <c r="T1400" i="2"/>
  <c r="G2002" i="2"/>
  <c r="C1119" i="2"/>
  <c r="D758" i="2"/>
  <c r="E1489" i="2"/>
  <c r="T758" i="2"/>
  <c r="H1400" i="2"/>
  <c r="K133" i="2"/>
  <c r="Q838" i="2"/>
  <c r="F1119" i="2"/>
  <c r="A838" i="2"/>
  <c r="M838" i="2"/>
  <c r="O1400" i="2"/>
  <c r="K1489" i="2"/>
  <c r="H1692" i="2"/>
  <c r="A1119" i="2"/>
  <c r="T133" i="2"/>
  <c r="M1692" i="2"/>
  <c r="O1119" i="2"/>
  <c r="E58" i="2"/>
  <c r="D1489" i="2"/>
  <c r="G1119" i="2"/>
  <c r="A58" i="2"/>
  <c r="N838" i="2"/>
  <c r="H838" i="2"/>
  <c r="P838" i="2"/>
  <c r="M1489" i="2"/>
  <c r="O2207" i="2"/>
  <c r="J1692" i="2"/>
  <c r="O758" i="2"/>
  <c r="T2002" i="2"/>
  <c r="D1692" i="2"/>
  <c r="J2002" i="2"/>
  <c r="P133" i="2"/>
  <c r="P1400" i="2"/>
  <c r="S2002" i="2"/>
  <c r="S1119" i="2"/>
  <c r="S1489" i="2"/>
  <c r="J758" i="2"/>
  <c r="F1489" i="2"/>
  <c r="T1692" i="2"/>
  <c r="H758" i="2"/>
  <c r="N2002" i="2"/>
  <c r="H2002" i="2"/>
  <c r="K758" i="2"/>
  <c r="P758" i="2"/>
  <c r="F2207" i="2"/>
  <c r="T1119" i="2"/>
  <c r="E1400" i="2"/>
  <c r="D133" i="2"/>
  <c r="N1489" i="2"/>
  <c r="A758" i="2"/>
  <c r="F1400" i="2"/>
  <c r="H58" i="2"/>
  <c r="O2002" i="2"/>
  <c r="N58" i="2"/>
  <c r="N1400" i="2"/>
  <c r="N1119" i="2"/>
  <c r="C2002" i="2"/>
  <c r="E2002" i="2"/>
  <c r="G1400" i="2"/>
  <c r="C1489" i="2"/>
  <c r="K838" i="2"/>
  <c r="K58" i="2"/>
  <c r="H2207" i="2"/>
  <c r="C58" i="2"/>
  <c r="R2002" i="2"/>
  <c r="K2207" i="2"/>
  <c r="C133" i="2"/>
  <c r="P58" i="2"/>
  <c r="T1489" i="2"/>
  <c r="F58" i="2"/>
  <c r="K1692" i="2"/>
  <c r="J1489" i="2"/>
  <c r="J838" i="2"/>
  <c r="J133" i="2"/>
  <c r="T58" i="2"/>
  <c r="G758" i="2"/>
  <c r="N2207" i="2"/>
  <c r="E133" i="2"/>
  <c r="M1400" i="2"/>
  <c r="H1119" i="2"/>
  <c r="C2207" i="2"/>
  <c r="N1692" i="2"/>
  <c r="Q58" i="2"/>
  <c r="O133" i="2"/>
  <c r="R1119" i="2"/>
  <c r="R1692" i="2"/>
  <c r="D838" i="2"/>
  <c r="N133" i="2"/>
  <c r="G58" i="2"/>
  <c r="S1400" i="2"/>
  <c r="D58" i="2"/>
  <c r="Q1400" i="2"/>
  <c r="D1400" i="2"/>
  <c r="G2207" i="2"/>
  <c r="O1692" i="2"/>
  <c r="D2207" i="2"/>
  <c r="R58" i="2"/>
  <c r="A1400" i="2"/>
  <c r="J58" i="2"/>
  <c r="Q1119" i="2"/>
  <c r="E1692" i="2"/>
  <c r="T2207" i="2"/>
  <c r="Q1692" i="2"/>
  <c r="J1119" i="2"/>
  <c r="A1489" i="2"/>
  <c r="R1489" i="2"/>
  <c r="D2002" i="2"/>
  <c r="R838" i="2"/>
  <c r="R2207" i="2"/>
  <c r="M58" i="2"/>
  <c r="S133" i="2"/>
  <c r="O838" i="2"/>
  <c r="Q133" i="2"/>
  <c r="F2002" i="2"/>
  <c r="P1692" i="2"/>
  <c r="E2207" i="2"/>
  <c r="M2002" i="2"/>
  <c r="C838" i="2"/>
  <c r="S58" i="2"/>
  <c r="C1400" i="2"/>
  <c r="Q2002" i="2"/>
  <c r="G1489" i="2"/>
  <c r="H133" i="2"/>
  <c r="Q758" i="2"/>
  <c r="A1692" i="2"/>
  <c r="M2207" i="2"/>
  <c r="P1119" i="2"/>
  <c r="F66" i="2"/>
  <c r="H10" i="2"/>
  <c r="R1946" i="2"/>
  <c r="A66" i="2"/>
  <c r="Q588" i="2"/>
  <c r="M467" i="2"/>
  <c r="J2247" i="2"/>
  <c r="P467" i="2"/>
  <c r="S10" i="2"/>
  <c r="G588" i="2"/>
  <c r="N1946" i="2"/>
  <c r="S1946" i="2"/>
  <c r="J66" i="2"/>
  <c r="S92" i="2"/>
  <c r="D92" i="2"/>
  <c r="C208" i="2"/>
  <c r="P2247" i="2"/>
  <c r="M208" i="2"/>
  <c r="T92" i="2"/>
  <c r="D588" i="2"/>
  <c r="M1198" i="2"/>
  <c r="M66" i="2"/>
  <c r="C2247" i="2"/>
  <c r="H2247" i="2"/>
  <c r="J10" i="2"/>
  <c r="C10" i="2"/>
  <c r="N10" i="2"/>
  <c r="O2247" i="2"/>
  <c r="N2247" i="2"/>
  <c r="M2073" i="2"/>
  <c r="R1198" i="2"/>
  <c r="M1946" i="2"/>
  <c r="Q208" i="2"/>
  <c r="O92" i="2"/>
  <c r="K208" i="2"/>
  <c r="C467" i="2"/>
  <c r="K92" i="2"/>
  <c r="O1946" i="2"/>
  <c r="H92" i="2"/>
  <c r="E2073" i="2"/>
  <c r="P1198" i="2"/>
  <c r="T10" i="2"/>
  <c r="R208" i="2"/>
  <c r="T1946" i="2"/>
  <c r="P10" i="2"/>
  <c r="N1198" i="2"/>
  <c r="N208" i="2"/>
  <c r="R2247" i="2"/>
  <c r="A2247" i="2"/>
  <c r="F208" i="2"/>
  <c r="K1198" i="2"/>
  <c r="R467" i="2"/>
  <c r="G467" i="2"/>
  <c r="G2247" i="2"/>
  <c r="C2073" i="2"/>
  <c r="N2073" i="2"/>
  <c r="Q2247" i="2"/>
  <c r="F92" i="2"/>
  <c r="O66" i="2"/>
  <c r="E208" i="2"/>
  <c r="D467" i="2"/>
  <c r="E1198" i="2"/>
  <c r="R2073" i="2"/>
  <c r="N467" i="2"/>
  <c r="K2073" i="2"/>
  <c r="T2073" i="2"/>
  <c r="S1198" i="2"/>
  <c r="G92" i="2"/>
  <c r="H588" i="2"/>
  <c r="J467" i="2"/>
  <c r="K10" i="2"/>
  <c r="E10" i="2"/>
  <c r="J1198" i="2"/>
  <c r="E66" i="2"/>
  <c r="Q1946" i="2"/>
  <c r="D2247" i="2"/>
  <c r="K588" i="2"/>
  <c r="C588" i="2"/>
  <c r="R10" i="2"/>
  <c r="A1946" i="2"/>
  <c r="F2073" i="2"/>
  <c r="T208" i="2"/>
  <c r="J1946" i="2"/>
  <c r="C1198" i="2"/>
  <c r="D10" i="2"/>
  <c r="T66" i="2"/>
  <c r="J208" i="2"/>
  <c r="D208" i="2"/>
  <c r="N588" i="2"/>
  <c r="A92" i="2"/>
  <c r="Q66" i="2"/>
  <c r="K2247" i="2"/>
  <c r="F1198" i="2"/>
  <c r="G10" i="2"/>
  <c r="T2247" i="2"/>
  <c r="J92" i="2"/>
  <c r="H1198" i="2"/>
  <c r="E467" i="2"/>
  <c r="M10" i="2"/>
  <c r="R92" i="2"/>
  <c r="T1198" i="2"/>
  <c r="M2247" i="2"/>
  <c r="K66" i="2"/>
  <c r="H208" i="2"/>
  <c r="D1198" i="2"/>
  <c r="J588" i="2"/>
  <c r="C1946" i="2"/>
  <c r="P2073" i="2"/>
  <c r="P1946" i="2"/>
  <c r="O2073" i="2"/>
  <c r="P208" i="2"/>
  <c r="C92" i="2"/>
  <c r="E588" i="2"/>
  <c r="Q2073" i="2"/>
  <c r="Q1198" i="2"/>
  <c r="H66" i="2"/>
  <c r="G1198" i="2"/>
  <c r="E92" i="2"/>
  <c r="H1946" i="2"/>
  <c r="E1946" i="2"/>
  <c r="M92" i="2"/>
  <c r="D2073" i="2"/>
  <c r="J2073" i="2"/>
  <c r="O467" i="2"/>
  <c r="Q10" i="2"/>
  <c r="F1946" i="2"/>
  <c r="R66" i="2"/>
  <c r="F2247" i="2"/>
  <c r="O208" i="2"/>
  <c r="G2073" i="2"/>
  <c r="O10" i="2"/>
  <c r="F467" i="2"/>
  <c r="A588" i="2"/>
  <c r="R588" i="2"/>
  <c r="S208" i="2"/>
  <c r="S467" i="2"/>
  <c r="K1946" i="2"/>
  <c r="C66" i="2"/>
  <c r="P66" i="2"/>
  <c r="G208" i="2"/>
  <c r="G66" i="2"/>
  <c r="A467" i="2"/>
  <c r="N66" i="2"/>
  <c r="S66" i="2"/>
  <c r="M588" i="2"/>
  <c r="P588" i="2"/>
  <c r="H2073" i="2"/>
  <c r="E2247" i="2"/>
  <c r="O588" i="2"/>
  <c r="N92" i="2"/>
  <c r="Q467" i="2"/>
  <c r="T588" i="2"/>
  <c r="F588" i="2"/>
  <c r="A2073" i="2"/>
  <c r="P92" i="2"/>
  <c r="G1946" i="2"/>
  <c r="K467" i="2"/>
  <c r="O1198" i="2"/>
  <c r="A10" i="2"/>
  <c r="H467" i="2"/>
  <c r="S2073" i="2"/>
  <c r="D1946" i="2"/>
  <c r="S2247" i="2"/>
  <c r="D66" i="2"/>
  <c r="S588" i="2"/>
  <c r="T467" i="2"/>
  <c r="A208" i="2"/>
  <c r="Q92" i="2"/>
  <c r="A1198" i="2"/>
  <c r="F10" i="2"/>
  <c r="A1467" i="2"/>
  <c r="P1326" i="2"/>
  <c r="H775" i="2"/>
  <c r="J1745" i="2"/>
  <c r="O1326" i="2"/>
  <c r="C167" i="2"/>
  <c r="K1745" i="2"/>
  <c r="D882" i="2"/>
  <c r="G431" i="2"/>
  <c r="P525" i="2"/>
  <c r="R525" i="2"/>
  <c r="Q2174" i="2"/>
  <c r="O882" i="2"/>
  <c r="T1745" i="2"/>
  <c r="N431" i="2"/>
  <c r="F1467" i="2"/>
  <c r="O431" i="2"/>
  <c r="Q882" i="2"/>
  <c r="R1467" i="2"/>
  <c r="T882" i="2"/>
  <c r="T1467" i="2"/>
  <c r="H1326" i="2"/>
  <c r="Q1745" i="2"/>
  <c r="C525" i="2"/>
  <c r="R1745" i="2"/>
  <c r="F1326" i="2"/>
  <c r="G2174" i="2"/>
  <c r="P775" i="2"/>
  <c r="K2174" i="2"/>
  <c r="P1467" i="2"/>
  <c r="J775" i="2"/>
  <c r="A167" i="2"/>
  <c r="P431" i="2"/>
  <c r="O1745" i="2"/>
  <c r="F1745" i="2"/>
  <c r="D1439" i="2"/>
  <c r="O775" i="2"/>
  <c r="S1467" i="2"/>
  <c r="S167" i="2"/>
  <c r="A1745" i="2"/>
  <c r="O525" i="2"/>
  <c r="J882" i="2"/>
  <c r="M525" i="2"/>
  <c r="D1745" i="2"/>
  <c r="C775" i="2"/>
  <c r="A525" i="2"/>
  <c r="K431" i="2"/>
  <c r="E1467" i="2"/>
  <c r="D2174" i="2"/>
  <c r="N167" i="2"/>
  <c r="R1439" i="2"/>
  <c r="J525" i="2"/>
  <c r="A775" i="2"/>
  <c r="E1439" i="2"/>
  <c r="F775" i="2"/>
  <c r="N525" i="2"/>
  <c r="K1439" i="2"/>
  <c r="S2174" i="2"/>
  <c r="J1439" i="2"/>
  <c r="G1467" i="2"/>
  <c r="T1439" i="2"/>
  <c r="S882" i="2"/>
  <c r="E431" i="2"/>
  <c r="C882" i="2"/>
  <c r="F525" i="2"/>
  <c r="P167" i="2"/>
  <c r="A2174" i="2"/>
  <c r="J2174" i="2"/>
  <c r="H882" i="2"/>
  <c r="Q775" i="2"/>
  <c r="H1439" i="2"/>
  <c r="T525" i="2"/>
  <c r="H1467" i="2"/>
  <c r="K775" i="2"/>
  <c r="G167" i="2"/>
  <c r="N775" i="2"/>
  <c r="P882" i="2"/>
  <c r="A882" i="2"/>
  <c r="E2174" i="2"/>
  <c r="K882" i="2"/>
  <c r="Q167" i="2"/>
  <c r="O1439" i="2"/>
  <c r="G1326" i="2"/>
  <c r="H2174" i="2"/>
  <c r="C1467" i="2"/>
  <c r="N1439" i="2"/>
  <c r="O2174" i="2"/>
  <c r="H525" i="2"/>
  <c r="D775" i="2"/>
  <c r="N2174" i="2"/>
  <c r="O1467" i="2"/>
  <c r="S775" i="2"/>
  <c r="S431" i="2"/>
  <c r="F882" i="2"/>
  <c r="D525" i="2"/>
  <c r="Q431" i="2"/>
  <c r="E1745" i="2"/>
  <c r="R775" i="2"/>
  <c r="A431" i="2"/>
  <c r="F431" i="2"/>
  <c r="C2174" i="2"/>
  <c r="J1467" i="2"/>
  <c r="K525" i="2"/>
  <c r="G1745" i="2"/>
  <c r="R167" i="2"/>
  <c r="N1326" i="2"/>
  <c r="M1439" i="2"/>
  <c r="J167" i="2"/>
  <c r="D1467" i="2"/>
  <c r="H1745" i="2"/>
  <c r="Q1467" i="2"/>
  <c r="G525" i="2"/>
  <c r="C1326" i="2"/>
  <c r="P1439" i="2"/>
  <c r="F167" i="2"/>
  <c r="M2174" i="2"/>
  <c r="R882" i="2"/>
  <c r="G882" i="2"/>
  <c r="N1745" i="2"/>
  <c r="N882" i="2"/>
  <c r="Q1326" i="2"/>
  <c r="S1326" i="2"/>
  <c r="T1326" i="2"/>
  <c r="S1745" i="2"/>
  <c r="G775" i="2"/>
  <c r="A1326" i="2"/>
  <c r="T167" i="2"/>
  <c r="M1467" i="2"/>
  <c r="F1439" i="2"/>
  <c r="M882" i="2"/>
  <c r="T775" i="2"/>
  <c r="N1467" i="2"/>
  <c r="F2174" i="2"/>
  <c r="D167" i="2"/>
  <c r="T2174" i="2"/>
  <c r="R1326" i="2"/>
  <c r="K167" i="2"/>
  <c r="M1745" i="2"/>
  <c r="M431" i="2"/>
  <c r="M167" i="2"/>
  <c r="M1326" i="2"/>
  <c r="Q1439" i="2"/>
  <c r="S1439" i="2"/>
  <c r="R2174" i="2"/>
  <c r="Q525" i="2"/>
  <c r="J1326" i="2"/>
  <c r="C1745" i="2"/>
  <c r="M775" i="2"/>
  <c r="S525" i="2"/>
  <c r="T431" i="2"/>
  <c r="J431" i="2"/>
  <c r="D431" i="2"/>
  <c r="E167" i="2"/>
  <c r="R431" i="2"/>
  <c r="D1326" i="2"/>
  <c r="H431" i="2"/>
  <c r="H167" i="2"/>
  <c r="C1439" i="2"/>
  <c r="K1326" i="2"/>
  <c r="G1439" i="2"/>
  <c r="P1745" i="2"/>
  <c r="E882" i="2"/>
  <c r="A1439" i="2"/>
  <c r="E1326" i="2"/>
  <c r="K1467" i="2"/>
  <c r="E525" i="2"/>
  <c r="E775" i="2"/>
  <c r="P2174" i="2"/>
  <c r="C431" i="2"/>
  <c r="O167" i="2"/>
  <c r="J2255" i="2"/>
  <c r="O2255" i="2"/>
  <c r="K1797" i="2"/>
  <c r="A1879" i="2"/>
  <c r="D7" i="2"/>
  <c r="J489" i="2"/>
  <c r="M1797" i="2"/>
  <c r="J1817" i="2"/>
  <c r="T995" i="2"/>
  <c r="R995" i="2"/>
  <c r="O489" i="2"/>
  <c r="M7" i="2"/>
  <c r="G1817" i="2"/>
  <c r="A1797" i="2"/>
  <c r="R1879" i="2"/>
  <c r="A7" i="2"/>
  <c r="E489" i="2"/>
  <c r="E870" i="2"/>
  <c r="C2053" i="2"/>
  <c r="F2053" i="2"/>
  <c r="K7" i="2"/>
  <c r="G489" i="2"/>
  <c r="Q2255" i="2"/>
  <c r="P1797" i="2"/>
  <c r="R489" i="2"/>
  <c r="P870" i="2"/>
  <c r="M2255" i="2"/>
  <c r="Q1476" i="2"/>
  <c r="K995" i="2"/>
  <c r="A995" i="2"/>
  <c r="N870" i="2"/>
  <c r="M489" i="2"/>
  <c r="S2053" i="2"/>
  <c r="J1476" i="2"/>
  <c r="G870" i="2"/>
  <c r="E2255" i="2"/>
  <c r="P7" i="2"/>
  <c r="R7" i="2"/>
  <c r="O7" i="2"/>
  <c r="D1817" i="2"/>
  <c r="D489" i="2"/>
  <c r="G1797" i="2"/>
  <c r="T870" i="2"/>
  <c r="H1476" i="2"/>
  <c r="D2053" i="2"/>
  <c r="S995" i="2"/>
  <c r="S1817" i="2"/>
  <c r="F1476" i="2"/>
  <c r="S7" i="2"/>
  <c r="C1879" i="2"/>
  <c r="E1476" i="2"/>
  <c r="D2255" i="2"/>
  <c r="N1817" i="2"/>
  <c r="N995" i="2"/>
  <c r="Q1817" i="2"/>
  <c r="K489" i="2"/>
  <c r="J1879" i="2"/>
  <c r="O1476" i="2"/>
  <c r="N1476" i="2"/>
  <c r="G1476" i="2"/>
  <c r="H870" i="2"/>
  <c r="A489" i="2"/>
  <c r="J995" i="2"/>
  <c r="G7" i="2"/>
  <c r="Q995" i="2"/>
  <c r="A1476" i="2"/>
  <c r="G2255" i="2"/>
  <c r="O1879" i="2"/>
  <c r="P489" i="2"/>
  <c r="E7" i="2"/>
  <c r="D995" i="2"/>
  <c r="T1817" i="2"/>
  <c r="E995" i="2"/>
  <c r="P2053" i="2"/>
  <c r="H2255" i="2"/>
  <c r="N2053" i="2"/>
  <c r="C1817" i="2"/>
  <c r="P1817" i="2"/>
  <c r="H995" i="2"/>
  <c r="S870" i="2"/>
  <c r="D1797" i="2"/>
  <c r="N1879" i="2"/>
  <c r="F489" i="2"/>
  <c r="F995" i="2"/>
  <c r="K1879" i="2"/>
  <c r="C7" i="2"/>
  <c r="R2255" i="2"/>
  <c r="S489" i="2"/>
  <c r="O995" i="2"/>
  <c r="R1476" i="2"/>
  <c r="R1797" i="2"/>
  <c r="K1817" i="2"/>
  <c r="D1879" i="2"/>
  <c r="Q1879" i="2"/>
  <c r="N2255" i="2"/>
  <c r="Q1797" i="2"/>
  <c r="J7" i="2"/>
  <c r="G1879" i="2"/>
  <c r="G2053" i="2"/>
  <c r="T1879" i="2"/>
  <c r="P995" i="2"/>
  <c r="S2255" i="2"/>
  <c r="C995" i="2"/>
  <c r="N7" i="2"/>
  <c r="J1797" i="2"/>
  <c r="A2053" i="2"/>
  <c r="O2053" i="2"/>
  <c r="O870" i="2"/>
  <c r="C1476" i="2"/>
  <c r="K870" i="2"/>
  <c r="F1797" i="2"/>
  <c r="C489" i="2"/>
  <c r="F1879" i="2"/>
  <c r="R2053" i="2"/>
  <c r="O1797" i="2"/>
  <c r="Q870" i="2"/>
  <c r="M1817" i="2"/>
  <c r="T1797" i="2"/>
  <c r="H1797" i="2"/>
  <c r="D1476" i="2"/>
  <c r="J2053" i="2"/>
  <c r="T2255" i="2"/>
  <c r="K2053" i="2"/>
  <c r="T489" i="2"/>
  <c r="F870" i="2"/>
  <c r="M995" i="2"/>
  <c r="J870" i="2"/>
  <c r="Q489" i="2"/>
  <c r="Q7" i="2"/>
  <c r="N1797" i="2"/>
  <c r="M2053" i="2"/>
  <c r="E1879" i="2"/>
  <c r="H1817" i="2"/>
  <c r="A2255" i="2"/>
  <c r="T1476" i="2"/>
  <c r="F1817" i="2"/>
  <c r="C870" i="2"/>
  <c r="P1879" i="2"/>
  <c r="T2053" i="2"/>
  <c r="S1879" i="2"/>
  <c r="M1476" i="2"/>
  <c r="F7" i="2"/>
  <c r="M870" i="2"/>
  <c r="S1476" i="2"/>
  <c r="A1817" i="2"/>
  <c r="K2255" i="2"/>
  <c r="D870" i="2"/>
  <c r="Q2053" i="2"/>
  <c r="F2255" i="2"/>
  <c r="E2053" i="2"/>
  <c r="O1817" i="2"/>
  <c r="M1879" i="2"/>
  <c r="P1476" i="2"/>
  <c r="A870" i="2"/>
  <c r="H7" i="2"/>
  <c r="R1817" i="2"/>
  <c r="C1797" i="2"/>
  <c r="N489" i="2"/>
  <c r="C2255" i="2"/>
  <c r="S1797" i="2"/>
  <c r="T7" i="2"/>
  <c r="H489" i="2"/>
  <c r="E1797" i="2"/>
  <c r="G995" i="2"/>
  <c r="H2053" i="2"/>
  <c r="K1476" i="2"/>
  <c r="P2255" i="2"/>
  <c r="R870" i="2"/>
  <c r="E1817" i="2"/>
  <c r="H1879" i="2"/>
  <c r="M1263" i="2"/>
  <c r="O553" i="2"/>
  <c r="A1263" i="2"/>
  <c r="O1447" i="2"/>
  <c r="R957" i="2"/>
  <c r="M957" i="2"/>
  <c r="A1105" i="2"/>
  <c r="M1105" i="2"/>
  <c r="A1447" i="2"/>
  <c r="P713" i="2"/>
  <c r="M1447" i="2"/>
  <c r="E713" i="2"/>
  <c r="S1655" i="2"/>
  <c r="D1105" i="2"/>
  <c r="C1655" i="2"/>
  <c r="Q1105" i="2"/>
  <c r="N1655" i="2"/>
  <c r="O957" i="2"/>
  <c r="D1268" i="2"/>
  <c r="H553" i="2"/>
  <c r="P1268" i="2"/>
  <c r="Q1226" i="2"/>
  <c r="C1263" i="2"/>
  <c r="P1447" i="2"/>
  <c r="F1268" i="2"/>
  <c r="A1655" i="2"/>
  <c r="T1226" i="2"/>
  <c r="K1447" i="2"/>
  <c r="S1263" i="2"/>
  <c r="A713" i="2"/>
  <c r="D1263" i="2"/>
  <c r="Q1447" i="2"/>
  <c r="G553" i="2"/>
  <c r="Q1268" i="2"/>
  <c r="A957" i="2"/>
  <c r="C1226" i="2"/>
  <c r="J1655" i="2"/>
  <c r="N1226" i="2"/>
  <c r="E1268" i="2"/>
  <c r="R1655" i="2"/>
  <c r="H1447" i="2"/>
  <c r="K553" i="2"/>
  <c r="G1268" i="2"/>
  <c r="K713" i="2"/>
  <c r="J553" i="2"/>
  <c r="G957" i="2"/>
  <c r="D2216" i="2"/>
  <c r="P1263" i="2"/>
  <c r="E1226" i="2"/>
  <c r="F1263" i="2"/>
  <c r="E2216" i="2"/>
  <c r="N713" i="2"/>
  <c r="Q713" i="2"/>
  <c r="N1268" i="2"/>
  <c r="D957" i="2"/>
  <c r="Q957" i="2"/>
  <c r="G2216" i="2"/>
  <c r="M1268" i="2"/>
  <c r="A1226" i="2"/>
  <c r="J1268" i="2"/>
  <c r="O1268" i="2"/>
  <c r="D553" i="2"/>
  <c r="O1226" i="2"/>
  <c r="S713" i="2"/>
  <c r="D1447" i="2"/>
  <c r="P1105" i="2"/>
  <c r="O2216" i="2"/>
  <c r="G1447" i="2"/>
  <c r="G713" i="2"/>
  <c r="P2216" i="2"/>
  <c r="Q1263" i="2"/>
  <c r="C713" i="2"/>
  <c r="M553" i="2"/>
  <c r="S1105" i="2"/>
  <c r="N1447" i="2"/>
  <c r="J1226" i="2"/>
  <c r="T2216" i="2"/>
  <c r="D713" i="2"/>
  <c r="O1655" i="2"/>
  <c r="F553" i="2"/>
  <c r="F957" i="2"/>
  <c r="R1268" i="2"/>
  <c r="T957" i="2"/>
  <c r="P553" i="2"/>
  <c r="T1268" i="2"/>
  <c r="N553" i="2"/>
  <c r="T1655" i="2"/>
  <c r="H1263" i="2"/>
  <c r="E553" i="2"/>
  <c r="P957" i="2"/>
  <c r="M2216" i="2"/>
  <c r="T713" i="2"/>
  <c r="R1447" i="2"/>
  <c r="J957" i="2"/>
  <c r="A1268" i="2"/>
  <c r="K1263" i="2"/>
  <c r="A553" i="2"/>
  <c r="E1447" i="2"/>
  <c r="E1655" i="2"/>
  <c r="K1268" i="2"/>
  <c r="T1447" i="2"/>
  <c r="F713" i="2"/>
  <c r="Q2216" i="2"/>
  <c r="F1105" i="2"/>
  <c r="G1655" i="2"/>
  <c r="N957" i="2"/>
  <c r="A2216" i="2"/>
  <c r="K1226" i="2"/>
  <c r="Q553" i="2"/>
  <c r="N1105" i="2"/>
  <c r="F1655" i="2"/>
  <c r="H1268" i="2"/>
  <c r="F2216" i="2"/>
  <c r="P1655" i="2"/>
  <c r="S1447" i="2"/>
  <c r="H1226" i="2"/>
  <c r="E957" i="2"/>
  <c r="G1263" i="2"/>
  <c r="K1105" i="2"/>
  <c r="K957" i="2"/>
  <c r="G1105" i="2"/>
  <c r="K1655" i="2"/>
  <c r="H1655" i="2"/>
  <c r="F1447" i="2"/>
  <c r="E1263" i="2"/>
  <c r="S1268" i="2"/>
  <c r="H957" i="2"/>
  <c r="R553" i="2"/>
  <c r="T553" i="2"/>
  <c r="C1447" i="2"/>
  <c r="S2216" i="2"/>
  <c r="H1105" i="2"/>
  <c r="C1105" i="2"/>
  <c r="C553" i="2"/>
  <c r="E1105" i="2"/>
  <c r="R1105" i="2"/>
  <c r="J2216" i="2"/>
  <c r="N1263" i="2"/>
  <c r="C2216" i="2"/>
  <c r="M1226" i="2"/>
  <c r="Q1655" i="2"/>
  <c r="J713" i="2"/>
  <c r="R1226" i="2"/>
  <c r="M713" i="2"/>
  <c r="J1263" i="2"/>
  <c r="M1655" i="2"/>
  <c r="O713" i="2"/>
  <c r="H713" i="2"/>
  <c r="O1263" i="2"/>
  <c r="H2216" i="2"/>
  <c r="T1263" i="2"/>
  <c r="R2216" i="2"/>
  <c r="P1226" i="2"/>
  <c r="T1105" i="2"/>
  <c r="S957" i="2"/>
  <c r="G1226" i="2"/>
  <c r="F1226" i="2"/>
  <c r="S1226" i="2"/>
  <c r="K2216" i="2"/>
  <c r="O1105" i="2"/>
  <c r="J1447" i="2"/>
  <c r="D1226" i="2"/>
  <c r="R713" i="2"/>
  <c r="J1105" i="2"/>
  <c r="R1263" i="2"/>
  <c r="C957" i="2"/>
  <c r="D1655" i="2"/>
  <c r="C1268" i="2"/>
  <c r="N2216" i="2"/>
  <c r="S553" i="2"/>
  <c r="N1280" i="2"/>
  <c r="D1369" i="2"/>
  <c r="G2025" i="2"/>
  <c r="D384" i="2"/>
  <c r="J748" i="2"/>
  <c r="N93" i="2"/>
  <c r="T384" i="2"/>
  <c r="F1280" i="2"/>
  <c r="H2025" i="2"/>
  <c r="O748" i="2"/>
  <c r="F2092" i="2"/>
  <c r="C1741" i="2"/>
  <c r="D93" i="2"/>
  <c r="J1369" i="2"/>
  <c r="G1280" i="2"/>
  <c r="D1280" i="2"/>
  <c r="H384" i="2"/>
  <c r="T1741" i="2"/>
  <c r="M1741" i="2"/>
  <c r="R646" i="2"/>
  <c r="G646" i="2"/>
  <c r="S2092" i="2"/>
  <c r="R2092" i="2"/>
  <c r="R748" i="2"/>
  <c r="S384" i="2"/>
  <c r="R384" i="2"/>
  <c r="C748" i="2"/>
  <c r="D646" i="2"/>
  <c r="G2092" i="2"/>
  <c r="P2092" i="2"/>
  <c r="F646" i="2"/>
  <c r="S2025" i="2"/>
  <c r="C384" i="2"/>
  <c r="Q384" i="2"/>
  <c r="R2025" i="2"/>
  <c r="H2092" i="2"/>
  <c r="S104" i="2"/>
  <c r="K1741" i="2"/>
  <c r="P93" i="2"/>
  <c r="Q748" i="2"/>
  <c r="A2092" i="2"/>
  <c r="O646" i="2"/>
  <c r="C93" i="2"/>
  <c r="O384" i="2"/>
  <c r="F1369" i="2"/>
  <c r="H93" i="2"/>
  <c r="C2025" i="2"/>
  <c r="G1741" i="2"/>
  <c r="J2092" i="2"/>
  <c r="P2025" i="2"/>
  <c r="M1280" i="2"/>
  <c r="G93" i="2"/>
  <c r="M2092" i="2"/>
  <c r="E104" i="2"/>
  <c r="T2025" i="2"/>
  <c r="S1741" i="2"/>
  <c r="P1369" i="2"/>
  <c r="C1280" i="2"/>
  <c r="K1280" i="2"/>
  <c r="N646" i="2"/>
  <c r="N2025" i="2"/>
  <c r="Q1369" i="2"/>
  <c r="Q2092" i="2"/>
  <c r="G384" i="2"/>
  <c r="D2092" i="2"/>
  <c r="J93" i="2"/>
  <c r="F104" i="2"/>
  <c r="T2092" i="2"/>
  <c r="E748" i="2"/>
  <c r="E384" i="2"/>
  <c r="P646" i="2"/>
  <c r="E1280" i="2"/>
  <c r="E1741" i="2"/>
  <c r="P1741" i="2"/>
  <c r="M2025" i="2"/>
  <c r="K748" i="2"/>
  <c r="H104" i="2"/>
  <c r="T646" i="2"/>
  <c r="J646" i="2"/>
  <c r="D2025" i="2"/>
  <c r="O2025" i="2"/>
  <c r="H1280" i="2"/>
  <c r="J2025" i="2"/>
  <c r="O93" i="2"/>
  <c r="P104" i="2"/>
  <c r="N104" i="2"/>
  <c r="A748" i="2"/>
  <c r="Q1280" i="2"/>
  <c r="H646" i="2"/>
  <c r="R1741" i="2"/>
  <c r="N1741" i="2"/>
  <c r="C104" i="2"/>
  <c r="R1280" i="2"/>
  <c r="E93" i="2"/>
  <c r="O2092" i="2"/>
  <c r="M384" i="2"/>
  <c r="S1280" i="2"/>
  <c r="R93" i="2"/>
  <c r="A93" i="2"/>
  <c r="S748" i="2"/>
  <c r="P384" i="2"/>
  <c r="A1280" i="2"/>
  <c r="Q93" i="2"/>
  <c r="F748" i="2"/>
  <c r="A1741" i="2"/>
  <c r="H748" i="2"/>
  <c r="D104" i="2"/>
  <c r="J1741" i="2"/>
  <c r="A1369" i="2"/>
  <c r="R104" i="2"/>
  <c r="M646" i="2"/>
  <c r="S1369" i="2"/>
  <c r="C646" i="2"/>
  <c r="T1280" i="2"/>
  <c r="N748" i="2"/>
  <c r="M93" i="2"/>
  <c r="E646" i="2"/>
  <c r="E1369" i="2"/>
  <c r="M104" i="2"/>
  <c r="F93" i="2"/>
  <c r="A384" i="2"/>
  <c r="O1280" i="2"/>
  <c r="K104" i="2"/>
  <c r="F1741" i="2"/>
  <c r="E2025" i="2"/>
  <c r="G748" i="2"/>
  <c r="K2092" i="2"/>
  <c r="N2092" i="2"/>
  <c r="O104" i="2"/>
  <c r="T748" i="2"/>
  <c r="K2025" i="2"/>
  <c r="M1369" i="2"/>
  <c r="Q104" i="2"/>
  <c r="C2092" i="2"/>
  <c r="R1369" i="2"/>
  <c r="M748" i="2"/>
  <c r="J1280" i="2"/>
  <c r="O1369" i="2"/>
  <c r="G104" i="2"/>
  <c r="D748" i="2"/>
  <c r="J104" i="2"/>
  <c r="N1369" i="2"/>
  <c r="Q646" i="2"/>
  <c r="A104" i="2"/>
  <c r="C1369" i="2"/>
  <c r="O1741" i="2"/>
  <c r="T93" i="2"/>
  <c r="Q2025" i="2"/>
  <c r="T1369" i="2"/>
  <c r="H1741" i="2"/>
  <c r="Q1741" i="2"/>
  <c r="K1369" i="2"/>
  <c r="K646" i="2"/>
  <c r="A2025" i="2"/>
  <c r="A646" i="2"/>
  <c r="F384" i="2"/>
  <c r="H1369" i="2"/>
  <c r="J384" i="2"/>
  <c r="S93" i="2"/>
  <c r="K93" i="2"/>
  <c r="F2025" i="2"/>
  <c r="P1280" i="2"/>
  <c r="N384" i="2"/>
  <c r="D1741" i="2"/>
  <c r="T104" i="2"/>
  <c r="K384" i="2"/>
  <c r="S646" i="2"/>
  <c r="P748" i="2"/>
  <c r="E2092" i="2"/>
  <c r="G1369" i="2"/>
  <c r="S1041" i="2"/>
  <c r="R1596" i="2"/>
  <c r="Q1988" i="2"/>
  <c r="F2209" i="2"/>
  <c r="D1596" i="2"/>
  <c r="N1020" i="2"/>
  <c r="O1020" i="2"/>
  <c r="Q1020" i="2"/>
  <c r="M2209" i="2"/>
  <c r="D1976" i="2"/>
  <c r="S2017" i="2"/>
  <c r="P1028" i="2"/>
  <c r="N2017" i="2"/>
  <c r="O2209" i="2"/>
  <c r="D1988" i="2"/>
  <c r="N790" i="2"/>
  <c r="N1041" i="2"/>
  <c r="Q1041" i="2"/>
  <c r="O1988" i="2"/>
  <c r="C1028" i="2"/>
  <c r="J1976" i="2"/>
  <c r="T1988" i="2"/>
  <c r="J1020" i="2"/>
  <c r="S2101" i="2"/>
  <c r="E2101" i="2"/>
  <c r="M1020" i="2"/>
  <c r="F2017" i="2"/>
  <c r="Q1028" i="2"/>
  <c r="J1028" i="2"/>
  <c r="R1028" i="2"/>
  <c r="O2101" i="2"/>
  <c r="H790" i="2"/>
  <c r="J790" i="2"/>
  <c r="C1988" i="2"/>
  <c r="A1028" i="2"/>
  <c r="D2017" i="2"/>
  <c r="H2017" i="2"/>
  <c r="F1976" i="2"/>
  <c r="M790" i="2"/>
  <c r="R1041" i="2"/>
  <c r="A1596" i="2"/>
  <c r="S1028" i="2"/>
  <c r="A1976" i="2"/>
  <c r="A1041" i="2"/>
  <c r="E2017" i="2"/>
  <c r="D2101" i="2"/>
  <c r="A2209" i="2"/>
  <c r="R1020" i="2"/>
  <c r="R2017" i="2"/>
  <c r="D2209" i="2"/>
  <c r="T2209" i="2"/>
  <c r="T2101" i="2"/>
  <c r="Q790" i="2"/>
  <c r="F1988" i="2"/>
  <c r="P1041" i="2"/>
  <c r="S1020" i="2"/>
  <c r="H2101" i="2"/>
  <c r="N2101" i="2"/>
  <c r="N2209" i="2"/>
  <c r="A790" i="2"/>
  <c r="C2017" i="2"/>
  <c r="M1988" i="2"/>
  <c r="P790" i="2"/>
  <c r="G1976" i="2"/>
  <c r="P1976" i="2"/>
  <c r="A2101" i="2"/>
  <c r="H1596" i="2"/>
  <c r="Q1976" i="2"/>
  <c r="J2017" i="2"/>
  <c r="R1988" i="2"/>
  <c r="E790" i="2"/>
  <c r="K1028" i="2"/>
  <c r="E1596" i="2"/>
  <c r="A1020" i="2"/>
  <c r="G1596" i="2"/>
  <c r="P2101" i="2"/>
  <c r="G2209" i="2"/>
  <c r="C2101" i="2"/>
  <c r="T1596" i="2"/>
  <c r="D1028" i="2"/>
  <c r="F790" i="2"/>
  <c r="K1020" i="2"/>
  <c r="K2101" i="2"/>
  <c r="P1596" i="2"/>
  <c r="S790" i="2"/>
  <c r="O1976" i="2"/>
  <c r="P1020" i="2"/>
  <c r="H1976" i="2"/>
  <c r="M1028" i="2"/>
  <c r="M1976" i="2"/>
  <c r="J1988" i="2"/>
  <c r="C1976" i="2"/>
  <c r="C2209" i="2"/>
  <c r="A1988" i="2"/>
  <c r="H1041" i="2"/>
  <c r="F1041" i="2"/>
  <c r="K790" i="2"/>
  <c r="R2101" i="2"/>
  <c r="R2209" i="2"/>
  <c r="N1028" i="2"/>
  <c r="F1028" i="2"/>
  <c r="S2209" i="2"/>
  <c r="R1976" i="2"/>
  <c r="G1041" i="2"/>
  <c r="T1020" i="2"/>
  <c r="M1041" i="2"/>
  <c r="F1596" i="2"/>
  <c r="M1596" i="2"/>
  <c r="N1988" i="2"/>
  <c r="E1976" i="2"/>
  <c r="S1988" i="2"/>
  <c r="G2017" i="2"/>
  <c r="Q2017" i="2"/>
  <c r="H1028" i="2"/>
  <c r="K1988" i="2"/>
  <c r="H1988" i="2"/>
  <c r="T790" i="2"/>
  <c r="P2209" i="2"/>
  <c r="S1596" i="2"/>
  <c r="H2209" i="2"/>
  <c r="G1028" i="2"/>
  <c r="P2017" i="2"/>
  <c r="A2017" i="2"/>
  <c r="T1028" i="2"/>
  <c r="E1041" i="2"/>
  <c r="D1020" i="2"/>
  <c r="T1041" i="2"/>
  <c r="H1020" i="2"/>
  <c r="N1596" i="2"/>
  <c r="O1596" i="2"/>
  <c r="R790" i="2"/>
  <c r="J1596" i="2"/>
  <c r="K1976" i="2"/>
  <c r="E1028" i="2"/>
  <c r="G2101" i="2"/>
  <c r="D790" i="2"/>
  <c r="O2017" i="2"/>
  <c r="Q1596" i="2"/>
  <c r="D1041" i="2"/>
  <c r="M2017" i="2"/>
  <c r="K2017" i="2"/>
  <c r="Q2209" i="2"/>
  <c r="N1976" i="2"/>
  <c r="F2101" i="2"/>
  <c r="O790" i="2"/>
  <c r="K2209" i="2"/>
  <c r="J1041" i="2"/>
  <c r="C1041" i="2"/>
  <c r="S1976" i="2"/>
  <c r="K1596" i="2"/>
  <c r="E2209" i="2"/>
  <c r="M2101" i="2"/>
  <c r="C790" i="2"/>
  <c r="E1988" i="2"/>
  <c r="F1020" i="2"/>
  <c r="C1020" i="2"/>
  <c r="J2101" i="2"/>
  <c r="K1041" i="2"/>
  <c r="G1020" i="2"/>
  <c r="G1988" i="2"/>
  <c r="O1041" i="2"/>
  <c r="E1020" i="2"/>
  <c r="J2209" i="2"/>
  <c r="T1976" i="2"/>
  <c r="Q2101" i="2"/>
  <c r="T2017" i="2"/>
  <c r="P1988" i="2"/>
  <c r="G790" i="2"/>
  <c r="C1596" i="2"/>
  <c r="O1028" i="2"/>
  <c r="Q576" i="2"/>
  <c r="T2042" i="2"/>
  <c r="O2117" i="2"/>
  <c r="G576" i="2"/>
  <c r="P576" i="2"/>
  <c r="R426" i="2"/>
  <c r="S1136" i="2"/>
  <c r="S576" i="2"/>
  <c r="M426" i="2"/>
  <c r="M2042" i="2"/>
  <c r="Q1852" i="2"/>
  <c r="C426" i="2"/>
  <c r="R576" i="2"/>
  <c r="Q2117" i="2"/>
  <c r="C576" i="2"/>
  <c r="R1136" i="2"/>
  <c r="T426" i="2"/>
  <c r="S2241" i="2"/>
  <c r="J1136" i="2"/>
  <c r="F1071" i="2"/>
  <c r="T1136" i="2"/>
  <c r="T2066" i="2"/>
  <c r="F2241" i="2"/>
  <c r="A1071" i="2"/>
  <c r="S2042" i="2"/>
  <c r="K2241" i="2"/>
  <c r="J426" i="2"/>
  <c r="S1852" i="2"/>
  <c r="A576" i="2"/>
  <c r="S426" i="2"/>
  <c r="O576" i="2"/>
  <c r="N426" i="2"/>
  <c r="R2117" i="2"/>
  <c r="O2066" i="2"/>
  <c r="N576" i="2"/>
  <c r="G2117" i="2"/>
  <c r="H1136" i="2"/>
  <c r="F426" i="2"/>
  <c r="E1071" i="2"/>
  <c r="C2117" i="2"/>
  <c r="Q2042" i="2"/>
  <c r="D2117" i="2"/>
  <c r="G1852" i="2"/>
  <c r="J2066" i="2"/>
  <c r="J576" i="2"/>
  <c r="R1071" i="2"/>
  <c r="F1852" i="2"/>
  <c r="S2116" i="2"/>
  <c r="K2116" i="2"/>
  <c r="R2066" i="2"/>
  <c r="A2241" i="2"/>
  <c r="M1136" i="2"/>
  <c r="H2042" i="2"/>
  <c r="Q426" i="2"/>
  <c r="D1071" i="2"/>
  <c r="J1071" i="2"/>
  <c r="E2042" i="2"/>
  <c r="M2116" i="2"/>
  <c r="C1852" i="2"/>
  <c r="O2241" i="2"/>
  <c r="H2066" i="2"/>
  <c r="C2066" i="2"/>
  <c r="M1071" i="2"/>
  <c r="H426" i="2"/>
  <c r="K426" i="2"/>
  <c r="G2042" i="2"/>
  <c r="K2117" i="2"/>
  <c r="E1136" i="2"/>
  <c r="N1136" i="2"/>
  <c r="T2241" i="2"/>
  <c r="N2241" i="2"/>
  <c r="G2066" i="2"/>
  <c r="P2116" i="2"/>
  <c r="D1136" i="2"/>
  <c r="D2066" i="2"/>
  <c r="G1071" i="2"/>
  <c r="F1136" i="2"/>
  <c r="P1136" i="2"/>
  <c r="D1852" i="2"/>
  <c r="C2241" i="2"/>
  <c r="N2117" i="2"/>
  <c r="D2042" i="2"/>
  <c r="F2066" i="2"/>
  <c r="H576" i="2"/>
  <c r="P2042" i="2"/>
  <c r="J2116" i="2"/>
  <c r="T576" i="2"/>
  <c r="E2116" i="2"/>
  <c r="M1852" i="2"/>
  <c r="Q1071" i="2"/>
  <c r="S1071" i="2"/>
  <c r="N1852" i="2"/>
  <c r="S2117" i="2"/>
  <c r="K2066" i="2"/>
  <c r="R2116" i="2"/>
  <c r="A1852" i="2"/>
  <c r="H1071" i="2"/>
  <c r="K2042" i="2"/>
  <c r="J2117" i="2"/>
  <c r="O2042" i="2"/>
  <c r="O1852" i="2"/>
  <c r="G2241" i="2"/>
  <c r="T2117" i="2"/>
  <c r="C2116" i="2"/>
  <c r="K1136" i="2"/>
  <c r="M2117" i="2"/>
  <c r="N2066" i="2"/>
  <c r="H1852" i="2"/>
  <c r="E576" i="2"/>
  <c r="K1852" i="2"/>
  <c r="E2066" i="2"/>
  <c r="A2042" i="2"/>
  <c r="J2241" i="2"/>
  <c r="D2116" i="2"/>
  <c r="A2116" i="2"/>
  <c r="A1136" i="2"/>
  <c r="D2241" i="2"/>
  <c r="G426" i="2"/>
  <c r="R2241" i="2"/>
  <c r="J2042" i="2"/>
  <c r="T1852" i="2"/>
  <c r="F2042" i="2"/>
  <c r="Q1136" i="2"/>
  <c r="H2116" i="2"/>
  <c r="E1852" i="2"/>
  <c r="O1071" i="2"/>
  <c r="Q2116" i="2"/>
  <c r="N1071" i="2"/>
  <c r="A2117" i="2"/>
  <c r="R1852" i="2"/>
  <c r="A426" i="2"/>
  <c r="O1136" i="2"/>
  <c r="H2241" i="2"/>
  <c r="M2066" i="2"/>
  <c r="C2042" i="2"/>
  <c r="N2042" i="2"/>
  <c r="P1852" i="2"/>
  <c r="K1071" i="2"/>
  <c r="O426" i="2"/>
  <c r="E2241" i="2"/>
  <c r="D576" i="2"/>
  <c r="M576" i="2"/>
  <c r="S2066" i="2"/>
  <c r="C1136" i="2"/>
  <c r="P2117" i="2"/>
  <c r="G2116" i="2"/>
  <c r="F576" i="2"/>
  <c r="P1071" i="2"/>
  <c r="T1071" i="2"/>
  <c r="D426" i="2"/>
  <c r="P2241" i="2"/>
  <c r="F2117" i="2"/>
  <c r="E2117" i="2"/>
  <c r="Q2241" i="2"/>
  <c r="P2066" i="2"/>
  <c r="F2116" i="2"/>
  <c r="N2116" i="2"/>
  <c r="O2116" i="2"/>
  <c r="P426" i="2"/>
  <c r="Q2066" i="2"/>
  <c r="T2116" i="2"/>
  <c r="C1071" i="2"/>
  <c r="A2066" i="2"/>
  <c r="R2042" i="2"/>
  <c r="M2241" i="2"/>
  <c r="H2117" i="2"/>
  <c r="E426" i="2"/>
  <c r="G1136" i="2"/>
  <c r="K576" i="2"/>
  <c r="J1852" i="2"/>
  <c r="M2161" i="2"/>
  <c r="G276" i="2"/>
  <c r="G1955" i="2"/>
  <c r="G1338" i="2"/>
  <c r="T2212" i="2"/>
  <c r="A276" i="2"/>
  <c r="M2212" i="2"/>
  <c r="A1372" i="2"/>
  <c r="A2212" i="2"/>
  <c r="H1372" i="2"/>
  <c r="K1955" i="2"/>
  <c r="F1955" i="2"/>
  <c r="D1484" i="2"/>
  <c r="R948" i="2"/>
  <c r="F1372" i="2"/>
  <c r="F1338" i="2"/>
  <c r="O2161" i="2"/>
  <c r="H1484" i="2"/>
  <c r="D1788" i="2"/>
  <c r="E1955" i="2"/>
  <c r="K948" i="2"/>
  <c r="A1955" i="2"/>
  <c r="N1372" i="2"/>
  <c r="Q1338" i="2"/>
  <c r="J532" i="2"/>
  <c r="O2212" i="2"/>
  <c r="J1484" i="2"/>
  <c r="K1788" i="2"/>
  <c r="H948" i="2"/>
  <c r="T1338" i="2"/>
  <c r="T1788" i="2"/>
  <c r="G1372" i="2"/>
  <c r="F1788" i="2"/>
  <c r="R1372" i="2"/>
  <c r="R276" i="2"/>
  <c r="D2212" i="2"/>
  <c r="C2161" i="2"/>
  <c r="H1338" i="2"/>
  <c r="K2212" i="2"/>
  <c r="N2161" i="2"/>
  <c r="R1484" i="2"/>
  <c r="F532" i="2"/>
  <c r="M1484" i="2"/>
  <c r="Q1955" i="2"/>
  <c r="K276" i="2"/>
  <c r="G948" i="2"/>
  <c r="J2161" i="2"/>
  <c r="M1372" i="2"/>
  <c r="A1338" i="2"/>
  <c r="M1955" i="2"/>
  <c r="E276" i="2"/>
  <c r="P532" i="2"/>
  <c r="M1788" i="2"/>
  <c r="E2212" i="2"/>
  <c r="H532" i="2"/>
  <c r="T2161" i="2"/>
  <c r="Q2212" i="2"/>
  <c r="S1955" i="2"/>
  <c r="J276" i="2"/>
  <c r="P948" i="2"/>
  <c r="P1372" i="2"/>
  <c r="H2212" i="2"/>
  <c r="O276" i="2"/>
  <c r="N948" i="2"/>
  <c r="P1788" i="2"/>
  <c r="T1484" i="2"/>
  <c r="A532" i="2"/>
  <c r="D1372" i="2"/>
  <c r="D1338" i="2"/>
  <c r="R2212" i="2"/>
  <c r="N1955" i="2"/>
  <c r="T948" i="2"/>
  <c r="R532" i="2"/>
  <c r="F948" i="2"/>
  <c r="T532" i="2"/>
  <c r="K1484" i="2"/>
  <c r="O1484" i="2"/>
  <c r="C2212" i="2"/>
  <c r="A948" i="2"/>
  <c r="Q1788" i="2"/>
  <c r="J1338" i="2"/>
  <c r="Q2161" i="2"/>
  <c r="H1788" i="2"/>
  <c r="F1484" i="2"/>
  <c r="S276" i="2"/>
  <c r="R2161" i="2"/>
  <c r="S1788" i="2"/>
  <c r="F276" i="2"/>
  <c r="G2161" i="2"/>
  <c r="A2161" i="2"/>
  <c r="C532" i="2"/>
  <c r="P1484" i="2"/>
  <c r="N276" i="2"/>
  <c r="M532" i="2"/>
  <c r="H1955" i="2"/>
  <c r="E1484" i="2"/>
  <c r="P1955" i="2"/>
  <c r="N1788" i="2"/>
  <c r="E532" i="2"/>
  <c r="R1788" i="2"/>
  <c r="D276" i="2"/>
  <c r="O1955" i="2"/>
  <c r="O532" i="2"/>
  <c r="K532" i="2"/>
  <c r="D2161" i="2"/>
  <c r="A1788" i="2"/>
  <c r="N2212" i="2"/>
  <c r="S1484" i="2"/>
  <c r="J2212" i="2"/>
  <c r="O1788" i="2"/>
  <c r="K2161" i="2"/>
  <c r="C1372" i="2"/>
  <c r="N1484" i="2"/>
  <c r="G1788" i="2"/>
  <c r="Q532" i="2"/>
  <c r="O1338" i="2"/>
  <c r="P2212" i="2"/>
  <c r="J1788" i="2"/>
  <c r="Q948" i="2"/>
  <c r="M948" i="2"/>
  <c r="E2161" i="2"/>
  <c r="T1955" i="2"/>
  <c r="J1372" i="2"/>
  <c r="K1338" i="2"/>
  <c r="C1955" i="2"/>
  <c r="O1372" i="2"/>
  <c r="J1955" i="2"/>
  <c r="G1484" i="2"/>
  <c r="A1484" i="2"/>
  <c r="H2161" i="2"/>
  <c r="T1372" i="2"/>
  <c r="G532" i="2"/>
  <c r="Q1372" i="2"/>
  <c r="E948" i="2"/>
  <c r="P1338" i="2"/>
  <c r="Q276" i="2"/>
  <c r="S2161" i="2"/>
  <c r="D1955" i="2"/>
  <c r="M276" i="2"/>
  <c r="H276" i="2"/>
  <c r="N1338" i="2"/>
  <c r="S1338" i="2"/>
  <c r="C1484" i="2"/>
  <c r="S2212" i="2"/>
  <c r="F2212" i="2"/>
  <c r="E1788" i="2"/>
  <c r="C948" i="2"/>
  <c r="J948" i="2"/>
  <c r="P276" i="2"/>
  <c r="D948" i="2"/>
  <c r="M1338" i="2"/>
  <c r="C1338" i="2"/>
  <c r="R1338" i="2"/>
  <c r="D532" i="2"/>
  <c r="E1372" i="2"/>
  <c r="O948" i="2"/>
  <c r="K1372" i="2"/>
  <c r="P2161" i="2"/>
  <c r="T276" i="2"/>
  <c r="S532" i="2"/>
  <c r="Q1484" i="2"/>
  <c r="R1955" i="2"/>
  <c r="G2212" i="2"/>
  <c r="C276" i="2"/>
  <c r="C1788" i="2"/>
  <c r="S948" i="2"/>
  <c r="E1338" i="2"/>
  <c r="S1372" i="2"/>
  <c r="N532" i="2"/>
  <c r="F2161" i="2"/>
  <c r="R1377" i="2"/>
  <c r="Q812" i="2"/>
  <c r="C2000" i="2"/>
  <c r="G97" i="2"/>
  <c r="K807" i="2"/>
  <c r="O97" i="2"/>
  <c r="A812" i="2"/>
  <c r="E812" i="2"/>
  <c r="O397" i="2"/>
  <c r="A1377" i="2"/>
  <c r="T2149" i="2"/>
  <c r="M1377" i="2"/>
  <c r="P2185" i="2"/>
  <c r="J97" i="2"/>
  <c r="G812" i="2"/>
  <c r="D931" i="2"/>
  <c r="J2149" i="2"/>
  <c r="A931" i="2"/>
  <c r="Q1549" i="2"/>
  <c r="G807" i="2"/>
  <c r="F1377" i="2"/>
  <c r="M397" i="2"/>
  <c r="S2185" i="2"/>
  <c r="P2149" i="2"/>
  <c r="H2185" i="2"/>
  <c r="C1377" i="2"/>
  <c r="H807" i="2"/>
  <c r="G2185" i="2"/>
  <c r="N2185" i="2"/>
  <c r="T1549" i="2"/>
  <c r="E2000" i="2"/>
  <c r="Q2149" i="2"/>
  <c r="M812" i="2"/>
  <c r="F2185" i="2"/>
  <c r="T2185" i="2"/>
  <c r="K812" i="2"/>
  <c r="K1549" i="2"/>
  <c r="E2185" i="2"/>
  <c r="N97" i="2"/>
  <c r="E1377" i="2"/>
  <c r="F97" i="2"/>
  <c r="A2000" i="2"/>
  <c r="A397" i="2"/>
  <c r="D807" i="2"/>
  <c r="M2149" i="2"/>
  <c r="D812" i="2"/>
  <c r="S397" i="2"/>
  <c r="T931" i="2"/>
  <c r="J931" i="2"/>
  <c r="K2185" i="2"/>
  <c r="A1549" i="2"/>
  <c r="C1549" i="2"/>
  <c r="A2149" i="2"/>
  <c r="K397" i="2"/>
  <c r="F807" i="2"/>
  <c r="G397" i="2"/>
  <c r="T1377" i="2"/>
  <c r="H1549" i="2"/>
  <c r="Q931" i="2"/>
  <c r="N2149" i="2"/>
  <c r="J807" i="2"/>
  <c r="D2149" i="2"/>
  <c r="R2185" i="2"/>
  <c r="R1549" i="2"/>
  <c r="P807" i="2"/>
  <c r="Q97" i="2"/>
  <c r="H2149" i="2"/>
  <c r="M2000" i="2"/>
  <c r="N1549" i="2"/>
  <c r="M97" i="2"/>
  <c r="H931" i="2"/>
  <c r="K2149" i="2"/>
  <c r="O2149" i="2"/>
  <c r="S1549" i="2"/>
  <c r="S2149" i="2"/>
  <c r="J1549" i="2"/>
  <c r="D1377" i="2"/>
  <c r="F397" i="2"/>
  <c r="N2000" i="2"/>
  <c r="G1377" i="2"/>
  <c r="J2185" i="2"/>
  <c r="R2149" i="2"/>
  <c r="H1377" i="2"/>
  <c r="D2000" i="2"/>
  <c r="G931" i="2"/>
  <c r="O2185" i="2"/>
  <c r="S97" i="2"/>
  <c r="J812" i="2"/>
  <c r="O1377" i="2"/>
  <c r="S812" i="2"/>
  <c r="R2000" i="2"/>
  <c r="O812" i="2"/>
  <c r="N812" i="2"/>
  <c r="D1549" i="2"/>
  <c r="F2149" i="2"/>
  <c r="E1549" i="2"/>
  <c r="Q397" i="2"/>
  <c r="H2000" i="2"/>
  <c r="M931" i="2"/>
  <c r="C807" i="2"/>
  <c r="M1549" i="2"/>
  <c r="S2000" i="2"/>
  <c r="K1377" i="2"/>
  <c r="F931" i="2"/>
  <c r="K97" i="2"/>
  <c r="G1549" i="2"/>
  <c r="P931" i="2"/>
  <c r="Q2185" i="2"/>
  <c r="G2000" i="2"/>
  <c r="R807" i="2"/>
  <c r="P1549" i="2"/>
  <c r="N397" i="2"/>
  <c r="Q807" i="2"/>
  <c r="E97" i="2"/>
  <c r="S1377" i="2"/>
  <c r="T397" i="2"/>
  <c r="G2149" i="2"/>
  <c r="E2149" i="2"/>
  <c r="T97" i="2"/>
  <c r="C97" i="2"/>
  <c r="E807" i="2"/>
  <c r="O807" i="2"/>
  <c r="C2185" i="2"/>
  <c r="M807" i="2"/>
  <c r="N931" i="2"/>
  <c r="T812" i="2"/>
  <c r="N1377" i="2"/>
  <c r="N807" i="2"/>
  <c r="H97" i="2"/>
  <c r="O2000" i="2"/>
  <c r="P2000" i="2"/>
  <c r="D97" i="2"/>
  <c r="R931" i="2"/>
  <c r="A807" i="2"/>
  <c r="T807" i="2"/>
  <c r="E397" i="2"/>
  <c r="P397" i="2"/>
  <c r="O931" i="2"/>
  <c r="F812" i="2"/>
  <c r="K931" i="2"/>
  <c r="R812" i="2"/>
  <c r="R97" i="2"/>
  <c r="S931" i="2"/>
  <c r="F2000" i="2"/>
  <c r="Q2000" i="2"/>
  <c r="H812" i="2"/>
  <c r="K2000" i="2"/>
  <c r="C931" i="2"/>
  <c r="A2185" i="2"/>
  <c r="J397" i="2"/>
  <c r="D397" i="2"/>
  <c r="H397" i="2"/>
  <c r="F1549" i="2"/>
  <c r="P1377" i="2"/>
  <c r="R397" i="2"/>
  <c r="C812" i="2"/>
  <c r="P97" i="2"/>
  <c r="J2000" i="2"/>
  <c r="J1377" i="2"/>
  <c r="D2185" i="2"/>
  <c r="M2185" i="2"/>
  <c r="P812" i="2"/>
  <c r="Q1377" i="2"/>
  <c r="A97" i="2"/>
  <c r="E931" i="2"/>
  <c r="O1549" i="2"/>
  <c r="T2000" i="2"/>
  <c r="C2149" i="2"/>
  <c r="C397" i="2"/>
  <c r="S807" i="2"/>
  <c r="R955" i="2"/>
  <c r="N955" i="2"/>
  <c r="N1771" i="2"/>
  <c r="P1506" i="2"/>
  <c r="D368" i="2"/>
  <c r="A1481" i="2"/>
  <c r="S265" i="2"/>
  <c r="S1481" i="2"/>
  <c r="Q2172" i="2"/>
  <c r="R368" i="2"/>
  <c r="C2010" i="2"/>
  <c r="O4" i="2"/>
  <c r="Q1095" i="2"/>
  <c r="E2010" i="2"/>
  <c r="P1095" i="2"/>
  <c r="D1771" i="2"/>
  <c r="J1481" i="2"/>
  <c r="S368" i="2"/>
  <c r="G1095" i="2"/>
  <c r="R1771" i="2"/>
  <c r="N1095" i="2"/>
  <c r="C265" i="2"/>
  <c r="R1095" i="2"/>
  <c r="F1095" i="2"/>
  <c r="D1481" i="2"/>
  <c r="T955" i="2"/>
  <c r="F1771" i="2"/>
  <c r="E1771" i="2"/>
  <c r="N2010" i="2"/>
  <c r="G2172" i="2"/>
  <c r="N265" i="2"/>
  <c r="C368" i="2"/>
  <c r="G1481" i="2"/>
  <c r="D2172" i="2"/>
  <c r="P2010" i="2"/>
  <c r="M955" i="2"/>
  <c r="M1771" i="2"/>
  <c r="J955" i="2"/>
  <c r="H1095" i="2"/>
  <c r="D1506" i="2"/>
  <c r="G955" i="2"/>
  <c r="O955" i="2"/>
  <c r="R2172" i="2"/>
  <c r="F2172" i="2"/>
  <c r="J2172" i="2"/>
  <c r="K2172" i="2"/>
  <c r="G4" i="2"/>
  <c r="K955" i="2"/>
  <c r="A2010" i="2"/>
  <c r="O368" i="2"/>
  <c r="D4" i="2"/>
  <c r="P265" i="2"/>
  <c r="K4" i="2"/>
  <c r="K265" i="2"/>
  <c r="P1481" i="2"/>
  <c r="M368" i="2"/>
  <c r="P2172" i="2"/>
  <c r="P4" i="2"/>
  <c r="A1506" i="2"/>
  <c r="S4" i="2"/>
  <c r="Q1506" i="2"/>
  <c r="K1481" i="2"/>
  <c r="K1095" i="2"/>
  <c r="H1771" i="2"/>
  <c r="T2172" i="2"/>
  <c r="F4" i="2"/>
  <c r="G368" i="2"/>
  <c r="C1481" i="2"/>
  <c r="H2172" i="2"/>
  <c r="K1771" i="2"/>
  <c r="S1506" i="2"/>
  <c r="M4" i="2"/>
  <c r="R265" i="2"/>
  <c r="H955" i="2"/>
  <c r="T2010" i="2"/>
  <c r="E955" i="2"/>
  <c r="H2010" i="2"/>
  <c r="A1095" i="2"/>
  <c r="A4" i="2"/>
  <c r="S955" i="2"/>
  <c r="M1095" i="2"/>
  <c r="P1771" i="2"/>
  <c r="S1095" i="2"/>
  <c r="Q368" i="2"/>
  <c r="M1506" i="2"/>
  <c r="N4" i="2"/>
  <c r="J1095" i="2"/>
  <c r="G1771" i="2"/>
  <c r="G265" i="2"/>
  <c r="E368" i="2"/>
  <c r="N1506" i="2"/>
  <c r="O1506" i="2"/>
  <c r="A2172" i="2"/>
  <c r="F368" i="2"/>
  <c r="H1481" i="2"/>
  <c r="E1506" i="2"/>
  <c r="K2010" i="2"/>
  <c r="F955" i="2"/>
  <c r="J368" i="2"/>
  <c r="P368" i="2"/>
  <c r="D1095" i="2"/>
  <c r="F265" i="2"/>
  <c r="E4" i="2"/>
  <c r="P955" i="2"/>
  <c r="M1481" i="2"/>
  <c r="F2010" i="2"/>
  <c r="Q4" i="2"/>
  <c r="O1771" i="2"/>
  <c r="N2172" i="2"/>
  <c r="C1095" i="2"/>
  <c r="Q955" i="2"/>
  <c r="A265" i="2"/>
  <c r="H4" i="2"/>
  <c r="S2172" i="2"/>
  <c r="J2010" i="2"/>
  <c r="E265" i="2"/>
  <c r="T1095" i="2"/>
  <c r="G1506" i="2"/>
  <c r="A368" i="2"/>
  <c r="K368" i="2"/>
  <c r="N368" i="2"/>
  <c r="T4" i="2"/>
  <c r="M2172" i="2"/>
  <c r="E1481" i="2"/>
  <c r="G2010" i="2"/>
  <c r="T265" i="2"/>
  <c r="Q1481" i="2"/>
  <c r="O2010" i="2"/>
  <c r="H368" i="2"/>
  <c r="D2010" i="2"/>
  <c r="S2010" i="2"/>
  <c r="R1506" i="2"/>
  <c r="A955" i="2"/>
  <c r="T1771" i="2"/>
  <c r="D955" i="2"/>
  <c r="D265" i="2"/>
  <c r="R1481" i="2"/>
  <c r="O265" i="2"/>
  <c r="J1771" i="2"/>
  <c r="M265" i="2"/>
  <c r="C2172" i="2"/>
  <c r="E1095" i="2"/>
  <c r="F1506" i="2"/>
  <c r="F1481" i="2"/>
  <c r="J4" i="2"/>
  <c r="R2010" i="2"/>
  <c r="Q2010" i="2"/>
  <c r="J265" i="2"/>
  <c r="E2172" i="2"/>
  <c r="Q265" i="2"/>
  <c r="R4" i="2"/>
  <c r="O1481" i="2"/>
  <c r="C1506" i="2"/>
  <c r="K1506" i="2"/>
  <c r="T1506" i="2"/>
  <c r="J1506" i="2"/>
  <c r="A1771" i="2"/>
  <c r="C1771" i="2"/>
  <c r="T1481" i="2"/>
  <c r="Q1771" i="2"/>
  <c r="S1771" i="2"/>
  <c r="T368" i="2"/>
  <c r="M2010" i="2"/>
  <c r="O1095" i="2"/>
  <c r="H265" i="2"/>
  <c r="C4" i="2"/>
  <c r="H1506" i="2"/>
  <c r="O2172" i="2"/>
  <c r="N1481" i="2"/>
  <c r="C955" i="2"/>
  <c r="O1096" i="2"/>
  <c r="C406" i="2"/>
  <c r="M627" i="2"/>
  <c r="S1137" i="2"/>
  <c r="Q1096" i="2"/>
  <c r="H1131" i="2"/>
  <c r="O627" i="2"/>
  <c r="S1217" i="2"/>
  <c r="C86" i="2"/>
  <c r="N1137" i="2"/>
  <c r="N1890" i="2"/>
  <c r="R1872" i="2"/>
  <c r="K1096" i="2"/>
  <c r="A627" i="2"/>
  <c r="G1096" i="2"/>
  <c r="F1131" i="2"/>
  <c r="Q1131" i="2"/>
  <c r="C627" i="2"/>
  <c r="S1890" i="2"/>
  <c r="F701" i="2"/>
  <c r="T1872" i="2"/>
  <c r="R1217" i="2"/>
  <c r="J1217" i="2"/>
  <c r="G406" i="2"/>
  <c r="H701" i="2"/>
  <c r="R1131" i="2"/>
  <c r="E627" i="2"/>
  <c r="K86" i="2"/>
  <c r="H1096" i="2"/>
  <c r="K1872" i="2"/>
  <c r="F406" i="2"/>
  <c r="O701" i="2"/>
  <c r="N1217" i="2"/>
  <c r="N1096" i="2"/>
  <c r="H86" i="2"/>
  <c r="T1131" i="2"/>
  <c r="F1872" i="2"/>
  <c r="T86" i="2"/>
  <c r="D1872" i="2"/>
  <c r="K1137" i="2"/>
  <c r="Q1872" i="2"/>
  <c r="C701" i="2"/>
  <c r="K1890" i="2"/>
  <c r="Q86" i="2"/>
  <c r="J1890" i="2"/>
  <c r="A701" i="2"/>
  <c r="H627" i="2"/>
  <c r="G701" i="2"/>
  <c r="O1217" i="2"/>
  <c r="C1217" i="2"/>
  <c r="G1872" i="2"/>
  <c r="M701" i="2"/>
  <c r="H1217" i="2"/>
  <c r="G1890" i="2"/>
  <c r="T627" i="2"/>
  <c r="D406" i="2"/>
  <c r="A1131" i="2"/>
  <c r="D701" i="2"/>
  <c r="M1096" i="2"/>
  <c r="S627" i="2"/>
  <c r="O1890" i="2"/>
  <c r="D1096" i="2"/>
  <c r="A1872" i="2"/>
  <c r="J1131" i="2"/>
  <c r="F1217" i="2"/>
  <c r="P406" i="2"/>
  <c r="A1890" i="2"/>
  <c r="H406" i="2"/>
  <c r="E1890" i="2"/>
  <c r="R627" i="2"/>
  <c r="T1137" i="2"/>
  <c r="J1096" i="2"/>
  <c r="O406" i="2"/>
  <c r="G1131" i="2"/>
  <c r="E86" i="2"/>
  <c r="Q627" i="2"/>
  <c r="H1890" i="2"/>
  <c r="P1872" i="2"/>
  <c r="N406" i="2"/>
  <c r="M1131" i="2"/>
  <c r="D1131" i="2"/>
  <c r="C1131" i="2"/>
  <c r="T1890" i="2"/>
  <c r="K701" i="2"/>
  <c r="D86" i="2"/>
  <c r="E1131" i="2"/>
  <c r="P1217" i="2"/>
  <c r="E1872" i="2"/>
  <c r="P1137" i="2"/>
  <c r="J627" i="2"/>
  <c r="M1890" i="2"/>
  <c r="J406" i="2"/>
  <c r="K1217" i="2"/>
  <c r="P1131" i="2"/>
  <c r="O1137" i="2"/>
  <c r="N1131" i="2"/>
  <c r="T701" i="2"/>
  <c r="S406" i="2"/>
  <c r="P627" i="2"/>
  <c r="F86" i="2"/>
  <c r="N1872" i="2"/>
  <c r="M1137" i="2"/>
  <c r="J701" i="2"/>
  <c r="S1131" i="2"/>
  <c r="J1137" i="2"/>
  <c r="R86" i="2"/>
  <c r="E1137" i="2"/>
  <c r="C1890" i="2"/>
  <c r="M1872" i="2"/>
  <c r="H1872" i="2"/>
  <c r="T406" i="2"/>
  <c r="T1096" i="2"/>
  <c r="F1890" i="2"/>
  <c r="F627" i="2"/>
  <c r="O86" i="2"/>
  <c r="E701" i="2"/>
  <c r="R701" i="2"/>
  <c r="M406" i="2"/>
  <c r="S701" i="2"/>
  <c r="A406" i="2"/>
  <c r="M86" i="2"/>
  <c r="A1217" i="2"/>
  <c r="Q406" i="2"/>
  <c r="D1890" i="2"/>
  <c r="S86" i="2"/>
  <c r="F1137" i="2"/>
  <c r="A86" i="2"/>
  <c r="P86" i="2"/>
  <c r="D1217" i="2"/>
  <c r="R406" i="2"/>
  <c r="E1096" i="2"/>
  <c r="E406" i="2"/>
  <c r="N627" i="2"/>
  <c r="S1096" i="2"/>
  <c r="G627" i="2"/>
  <c r="A1137" i="2"/>
  <c r="D1137" i="2"/>
  <c r="Q1890" i="2"/>
  <c r="R1137" i="2"/>
  <c r="S1872" i="2"/>
  <c r="T1217" i="2"/>
  <c r="P701" i="2"/>
  <c r="K1131" i="2"/>
  <c r="C1096" i="2"/>
  <c r="P1890" i="2"/>
  <c r="M1217" i="2"/>
  <c r="P1096" i="2"/>
  <c r="G1137" i="2"/>
  <c r="Q701" i="2"/>
  <c r="J1872" i="2"/>
  <c r="C1137" i="2"/>
  <c r="O1872" i="2"/>
  <c r="R1096" i="2"/>
  <c r="N86" i="2"/>
  <c r="G1217" i="2"/>
  <c r="Q1137" i="2"/>
  <c r="Q1217" i="2"/>
  <c r="K627" i="2"/>
  <c r="J86" i="2"/>
  <c r="A1096" i="2"/>
  <c r="E1217" i="2"/>
  <c r="H1137" i="2"/>
  <c r="R1890" i="2"/>
  <c r="G86" i="2"/>
  <c r="K406" i="2"/>
  <c r="C1872" i="2"/>
  <c r="D627" i="2"/>
  <c r="O1131" i="2"/>
  <c r="N701" i="2"/>
  <c r="F1096" i="2"/>
  <c r="K2045" i="2"/>
  <c r="T2206" i="2"/>
  <c r="S567" i="2"/>
  <c r="K1960" i="2"/>
  <c r="Q1960" i="2"/>
  <c r="N930" i="2"/>
  <c r="M1785" i="2"/>
  <c r="J1237" i="2"/>
  <c r="J930" i="2"/>
  <c r="P1785" i="2"/>
  <c r="R567" i="2"/>
  <c r="T1686" i="2"/>
  <c r="Q930" i="2"/>
  <c r="A2045" i="2"/>
  <c r="S752" i="2"/>
  <c r="Q1237" i="2"/>
  <c r="C1686" i="2"/>
  <c r="D209" i="2"/>
  <c r="E2206" i="2"/>
  <c r="T752" i="2"/>
  <c r="P1960" i="2"/>
  <c r="P2045" i="2"/>
  <c r="D752" i="2"/>
  <c r="Q1686" i="2"/>
  <c r="K930" i="2"/>
  <c r="S209" i="2"/>
  <c r="C752" i="2"/>
  <c r="N2206" i="2"/>
  <c r="K1785" i="2"/>
  <c r="J1960" i="2"/>
  <c r="M2045" i="2"/>
  <c r="F752" i="2"/>
  <c r="N567" i="2"/>
  <c r="O2045" i="2"/>
  <c r="G930" i="2"/>
  <c r="H1960" i="2"/>
  <c r="T1785" i="2"/>
  <c r="E930" i="2"/>
  <c r="S1785" i="2"/>
  <c r="Q752" i="2"/>
  <c r="T209" i="2"/>
  <c r="O2206" i="2"/>
  <c r="E1960" i="2"/>
  <c r="P567" i="2"/>
  <c r="G1686" i="2"/>
  <c r="T567" i="2"/>
  <c r="G2206" i="2"/>
  <c r="D1237" i="2"/>
  <c r="M567" i="2"/>
  <c r="R1237" i="2"/>
  <c r="E1686" i="2"/>
  <c r="P1237" i="2"/>
  <c r="C930" i="2"/>
  <c r="O567" i="2"/>
  <c r="T1960" i="2"/>
  <c r="T930" i="2"/>
  <c r="S1686" i="2"/>
  <c r="C1237" i="2"/>
  <c r="N1785" i="2"/>
  <c r="F2045" i="2"/>
  <c r="J209" i="2"/>
  <c r="M209" i="2"/>
  <c r="M2206" i="2"/>
  <c r="H2206" i="2"/>
  <c r="O1237" i="2"/>
  <c r="A567" i="2"/>
  <c r="N209" i="2"/>
  <c r="J1686" i="2"/>
  <c r="F930" i="2"/>
  <c r="S930" i="2"/>
  <c r="C2045" i="2"/>
  <c r="F1686" i="2"/>
  <c r="T1237" i="2"/>
  <c r="J1785" i="2"/>
  <c r="K1686" i="2"/>
  <c r="D1785" i="2"/>
  <c r="J2045" i="2"/>
  <c r="Q567" i="2"/>
  <c r="C1785" i="2"/>
  <c r="O209" i="2"/>
  <c r="R752" i="2"/>
  <c r="J567" i="2"/>
  <c r="E567" i="2"/>
  <c r="E209" i="2"/>
  <c r="R209" i="2"/>
  <c r="G1237" i="2"/>
  <c r="K2206" i="2"/>
  <c r="E752" i="2"/>
  <c r="A209" i="2"/>
  <c r="P1686" i="2"/>
  <c r="O1686" i="2"/>
  <c r="O752" i="2"/>
  <c r="G1785" i="2"/>
  <c r="N1237" i="2"/>
  <c r="M752" i="2"/>
  <c r="P209" i="2"/>
  <c r="R1785" i="2"/>
  <c r="G752" i="2"/>
  <c r="M1686" i="2"/>
  <c r="H1237" i="2"/>
  <c r="S1960" i="2"/>
  <c r="J2206" i="2"/>
  <c r="C2206" i="2"/>
  <c r="Q209" i="2"/>
  <c r="A752" i="2"/>
  <c r="K209" i="2"/>
  <c r="G2045" i="2"/>
  <c r="A1960" i="2"/>
  <c r="R2206" i="2"/>
  <c r="F1960" i="2"/>
  <c r="K567" i="2"/>
  <c r="H752" i="2"/>
  <c r="O1960" i="2"/>
  <c r="H1785" i="2"/>
  <c r="S1237" i="2"/>
  <c r="H567" i="2"/>
  <c r="H930" i="2"/>
  <c r="H1686" i="2"/>
  <c r="G209" i="2"/>
  <c r="C567" i="2"/>
  <c r="H209" i="2"/>
  <c r="P752" i="2"/>
  <c r="M930" i="2"/>
  <c r="R2045" i="2"/>
  <c r="F1785" i="2"/>
  <c r="K752" i="2"/>
  <c r="Q2045" i="2"/>
  <c r="M1960" i="2"/>
  <c r="P930" i="2"/>
  <c r="R1686" i="2"/>
  <c r="N1686" i="2"/>
  <c r="G567" i="2"/>
  <c r="K1237" i="2"/>
  <c r="Q2206" i="2"/>
  <c r="R1960" i="2"/>
  <c r="O930" i="2"/>
  <c r="F2206" i="2"/>
  <c r="P2206" i="2"/>
  <c r="M1237" i="2"/>
  <c r="O1785" i="2"/>
  <c r="E2045" i="2"/>
  <c r="N2045" i="2"/>
  <c r="S2206" i="2"/>
  <c r="F567" i="2"/>
  <c r="N1960" i="2"/>
  <c r="T2045" i="2"/>
  <c r="C209" i="2"/>
  <c r="A1785" i="2"/>
  <c r="A1237" i="2"/>
  <c r="J752" i="2"/>
  <c r="E1237" i="2"/>
  <c r="C1960" i="2"/>
  <c r="D930" i="2"/>
  <c r="S2045" i="2"/>
  <c r="A1686" i="2"/>
  <c r="D2045" i="2"/>
  <c r="Q1785" i="2"/>
  <c r="A930" i="2"/>
  <c r="D1960" i="2"/>
  <c r="A2206" i="2"/>
  <c r="R930" i="2"/>
  <c r="D1686" i="2"/>
  <c r="D567" i="2"/>
  <c r="F1237" i="2"/>
  <c r="D2206" i="2"/>
  <c r="F209" i="2"/>
  <c r="N752" i="2"/>
  <c r="G1960" i="2"/>
  <c r="H2045" i="2"/>
  <c r="E1785" i="2"/>
  <c r="R1471" i="2"/>
  <c r="D1306" i="2"/>
  <c r="J1306" i="2"/>
  <c r="M1894" i="2"/>
  <c r="H1856" i="2"/>
  <c r="R1197" i="2"/>
  <c r="D1894" i="2"/>
  <c r="F1471" i="2"/>
  <c r="A735" i="2"/>
  <c r="A1197" i="2"/>
  <c r="C1521" i="2"/>
  <c r="R1525" i="2"/>
  <c r="N1521" i="2"/>
  <c r="N1525" i="2"/>
  <c r="T1894" i="2"/>
  <c r="G1525" i="2"/>
  <c r="R757" i="2"/>
  <c r="O1197" i="2"/>
  <c r="J1521" i="2"/>
  <c r="F1306" i="2"/>
  <c r="F1521" i="2"/>
  <c r="T757" i="2"/>
  <c r="H1471" i="2"/>
  <c r="K1306" i="2"/>
  <c r="Q1856" i="2"/>
  <c r="J1197" i="2"/>
  <c r="T735" i="2"/>
  <c r="N1197" i="2"/>
  <c r="D1525" i="2"/>
  <c r="G1471" i="2"/>
  <c r="C1471" i="2"/>
  <c r="H735" i="2"/>
  <c r="H1894" i="2"/>
  <c r="T1521" i="2"/>
  <c r="P1521" i="2"/>
  <c r="T1197" i="2"/>
  <c r="M1197" i="2"/>
  <c r="M1521" i="2"/>
  <c r="G1197" i="2"/>
  <c r="E1306" i="2"/>
  <c r="A1525" i="2"/>
  <c r="H1521" i="2"/>
  <c r="K757" i="2"/>
  <c r="E1521" i="2"/>
  <c r="G757" i="2"/>
  <c r="N757" i="2"/>
  <c r="R1856" i="2"/>
  <c r="F1894" i="2"/>
  <c r="N1471" i="2"/>
  <c r="D1471" i="2"/>
  <c r="H757" i="2"/>
  <c r="K1894" i="2"/>
  <c r="Q1471" i="2"/>
  <c r="R157" i="2"/>
  <c r="D1521" i="2"/>
  <c r="S1525" i="2"/>
  <c r="O1521" i="2"/>
  <c r="D1856" i="2"/>
  <c r="K1471" i="2"/>
  <c r="M1471" i="2"/>
  <c r="E1197" i="2"/>
  <c r="M1525" i="2"/>
  <c r="O1894" i="2"/>
  <c r="Q157" i="2"/>
  <c r="M157" i="2"/>
  <c r="S1856" i="2"/>
  <c r="O1525" i="2"/>
  <c r="S757" i="2"/>
  <c r="J1525" i="2"/>
  <c r="D1197" i="2"/>
  <c r="P1856" i="2"/>
  <c r="T1306" i="2"/>
  <c r="E757" i="2"/>
  <c r="A1306" i="2"/>
  <c r="A757" i="2"/>
  <c r="F157" i="2"/>
  <c r="N1856" i="2"/>
  <c r="Q1894" i="2"/>
  <c r="E1894" i="2"/>
  <c r="P1894" i="2"/>
  <c r="G1521" i="2"/>
  <c r="F1525" i="2"/>
  <c r="T1525" i="2"/>
  <c r="F1856" i="2"/>
  <c r="H157" i="2"/>
  <c r="K1197" i="2"/>
  <c r="M735" i="2"/>
  <c r="E1856" i="2"/>
  <c r="J1471" i="2"/>
  <c r="C757" i="2"/>
  <c r="S157" i="2"/>
  <c r="F1197" i="2"/>
  <c r="E735" i="2"/>
  <c r="H1197" i="2"/>
  <c r="G1306" i="2"/>
  <c r="Q1525" i="2"/>
  <c r="R735" i="2"/>
  <c r="A1471" i="2"/>
  <c r="H1306" i="2"/>
  <c r="S735" i="2"/>
  <c r="P1525" i="2"/>
  <c r="Q1197" i="2"/>
  <c r="C157" i="2"/>
  <c r="S1471" i="2"/>
  <c r="K1856" i="2"/>
  <c r="E157" i="2"/>
  <c r="S1894" i="2"/>
  <c r="O1306" i="2"/>
  <c r="S1521" i="2"/>
  <c r="R1521" i="2"/>
  <c r="D757" i="2"/>
  <c r="D157" i="2"/>
  <c r="F735" i="2"/>
  <c r="Q735" i="2"/>
  <c r="E1471" i="2"/>
  <c r="N1306" i="2"/>
  <c r="J1894" i="2"/>
  <c r="O1856" i="2"/>
  <c r="C1306" i="2"/>
  <c r="P757" i="2"/>
  <c r="M1306" i="2"/>
  <c r="P157" i="2"/>
  <c r="T1856" i="2"/>
  <c r="T1471" i="2"/>
  <c r="E1525" i="2"/>
  <c r="K1521" i="2"/>
  <c r="A1521" i="2"/>
  <c r="K735" i="2"/>
  <c r="J157" i="2"/>
  <c r="S1197" i="2"/>
  <c r="N157" i="2"/>
  <c r="Q757" i="2"/>
  <c r="M1856" i="2"/>
  <c r="F757" i="2"/>
  <c r="C1525" i="2"/>
  <c r="A157" i="2"/>
  <c r="G1894" i="2"/>
  <c r="C1197" i="2"/>
  <c r="C735" i="2"/>
  <c r="M757" i="2"/>
  <c r="T157" i="2"/>
  <c r="C1856" i="2"/>
  <c r="P1471" i="2"/>
  <c r="S1306" i="2"/>
  <c r="J735" i="2"/>
  <c r="Q1306" i="2"/>
  <c r="N735" i="2"/>
  <c r="G1856" i="2"/>
  <c r="N1894" i="2"/>
  <c r="R1894" i="2"/>
  <c r="O735" i="2"/>
  <c r="A1856" i="2"/>
  <c r="J757" i="2"/>
  <c r="G157" i="2"/>
  <c r="A1894" i="2"/>
  <c r="P1306" i="2"/>
  <c r="P735" i="2"/>
  <c r="O157" i="2"/>
  <c r="H1525" i="2"/>
  <c r="G735" i="2"/>
  <c r="Q1521" i="2"/>
  <c r="K157" i="2"/>
  <c r="J1856" i="2"/>
  <c r="O757" i="2"/>
  <c r="C1894" i="2"/>
  <c r="R1306" i="2"/>
  <c r="D735" i="2"/>
  <c r="K1525" i="2"/>
  <c r="O1471" i="2"/>
  <c r="P1197" i="2"/>
  <c r="D1614" i="2"/>
  <c r="G1732" i="2"/>
  <c r="H2111" i="2"/>
  <c r="C2158" i="2"/>
  <c r="O2158" i="2"/>
  <c r="S1522" i="2"/>
  <c r="A1614" i="2"/>
  <c r="R2158" i="2"/>
  <c r="K1320" i="2"/>
  <c r="J1884" i="2"/>
  <c r="A1732" i="2"/>
  <c r="A1211" i="2"/>
  <c r="A207" i="2"/>
  <c r="F1614" i="2"/>
  <c r="R2111" i="2"/>
  <c r="R1211" i="2"/>
  <c r="A2111" i="2"/>
  <c r="Q1320" i="2"/>
  <c r="O2111" i="2"/>
  <c r="T2111" i="2"/>
  <c r="J1320" i="2"/>
  <c r="O1732" i="2"/>
  <c r="J2158" i="2"/>
  <c r="J1732" i="2"/>
  <c r="N1614" i="2"/>
  <c r="K1211" i="2"/>
  <c r="R207" i="2"/>
  <c r="M1299" i="2"/>
  <c r="O1522" i="2"/>
  <c r="C1299" i="2"/>
  <c r="M1211" i="2"/>
  <c r="S2158" i="2"/>
  <c r="T1211" i="2"/>
  <c r="O207" i="2"/>
  <c r="D1522" i="2"/>
  <c r="G207" i="2"/>
  <c r="S1299" i="2"/>
  <c r="K2111" i="2"/>
  <c r="Q1884" i="2"/>
  <c r="C1614" i="2"/>
  <c r="J1614" i="2"/>
  <c r="D1320" i="2"/>
  <c r="J2111" i="2"/>
  <c r="R1320" i="2"/>
  <c r="N1299" i="2"/>
  <c r="C1320" i="2"/>
  <c r="H2158" i="2"/>
  <c r="T1522" i="2"/>
  <c r="G2158" i="2"/>
  <c r="E1320" i="2"/>
  <c r="C1211" i="2"/>
  <c r="D1299" i="2"/>
  <c r="N1732" i="2"/>
  <c r="P1299" i="2"/>
  <c r="P2158" i="2"/>
  <c r="P1211" i="2"/>
  <c r="S2111" i="2"/>
  <c r="S1732" i="2"/>
  <c r="S1320" i="2"/>
  <c r="G1299" i="2"/>
  <c r="S1211" i="2"/>
  <c r="T1299" i="2"/>
  <c r="D1884" i="2"/>
  <c r="J1211" i="2"/>
  <c r="R1522" i="2"/>
  <c r="R1732" i="2"/>
  <c r="C1522" i="2"/>
  <c r="T1320" i="2"/>
  <c r="J1522" i="2"/>
  <c r="E1299" i="2"/>
  <c r="K1732" i="2"/>
  <c r="E2111" i="2"/>
  <c r="J207" i="2"/>
  <c r="A1299" i="2"/>
  <c r="N1211" i="2"/>
  <c r="M1732" i="2"/>
  <c r="P1522" i="2"/>
  <c r="G1522" i="2"/>
  <c r="D1732" i="2"/>
  <c r="H1884" i="2"/>
  <c r="M1522" i="2"/>
  <c r="F1320" i="2"/>
  <c r="A2158" i="2"/>
  <c r="H1211" i="2"/>
  <c r="A1884" i="2"/>
  <c r="E1732" i="2"/>
  <c r="E1884" i="2"/>
  <c r="Q2111" i="2"/>
  <c r="N1320" i="2"/>
  <c r="S1884" i="2"/>
  <c r="T1732" i="2"/>
  <c r="T1884" i="2"/>
  <c r="N1522" i="2"/>
  <c r="K1299" i="2"/>
  <c r="H1732" i="2"/>
  <c r="G1884" i="2"/>
  <c r="F1299" i="2"/>
  <c r="C1884" i="2"/>
  <c r="H1614" i="2"/>
  <c r="R1884" i="2"/>
  <c r="E2158" i="2"/>
  <c r="H207" i="2"/>
  <c r="F1884" i="2"/>
  <c r="K1614" i="2"/>
  <c r="D1211" i="2"/>
  <c r="F207" i="2"/>
  <c r="F1522" i="2"/>
  <c r="O1614" i="2"/>
  <c r="C2111" i="2"/>
  <c r="Q1614" i="2"/>
  <c r="M1884" i="2"/>
  <c r="R1614" i="2"/>
  <c r="H1299" i="2"/>
  <c r="K2158" i="2"/>
  <c r="J1299" i="2"/>
  <c r="Q2158" i="2"/>
  <c r="Q1211" i="2"/>
  <c r="N2158" i="2"/>
  <c r="N207" i="2"/>
  <c r="T1614" i="2"/>
  <c r="M207" i="2"/>
  <c r="M2158" i="2"/>
  <c r="C207" i="2"/>
  <c r="G1614" i="2"/>
  <c r="Q1522" i="2"/>
  <c r="R1299" i="2"/>
  <c r="F2158" i="2"/>
  <c r="P1732" i="2"/>
  <c r="O1320" i="2"/>
  <c r="O1211" i="2"/>
  <c r="F1732" i="2"/>
  <c r="E1614" i="2"/>
  <c r="H1320" i="2"/>
  <c r="K1522" i="2"/>
  <c r="Q207" i="2"/>
  <c r="E207" i="2"/>
  <c r="F2111" i="2"/>
  <c r="M1614" i="2"/>
  <c r="K1884" i="2"/>
  <c r="G1320" i="2"/>
  <c r="S207" i="2"/>
  <c r="Q1732" i="2"/>
  <c r="O1884" i="2"/>
  <c r="E1522" i="2"/>
  <c r="P207" i="2"/>
  <c r="N1884" i="2"/>
  <c r="G1211" i="2"/>
  <c r="M2111" i="2"/>
  <c r="F1211" i="2"/>
  <c r="P1614" i="2"/>
  <c r="G2111" i="2"/>
  <c r="N2111" i="2"/>
  <c r="Q1299" i="2"/>
  <c r="M1320" i="2"/>
  <c r="H1522" i="2"/>
  <c r="A1320" i="2"/>
  <c r="D2158" i="2"/>
  <c r="K207" i="2"/>
  <c r="P2111" i="2"/>
  <c r="D207" i="2"/>
  <c r="O1299" i="2"/>
  <c r="P1884" i="2"/>
  <c r="T2158" i="2"/>
  <c r="C1732" i="2"/>
  <c r="S1614" i="2"/>
  <c r="A1522" i="2"/>
  <c r="T207" i="2"/>
  <c r="D2111" i="2"/>
  <c r="P1320" i="2"/>
  <c r="E1211" i="2"/>
  <c r="G573" i="2"/>
  <c r="O744" i="2"/>
  <c r="E1839" i="2"/>
  <c r="F787" i="2"/>
  <c r="S1543" i="2"/>
  <c r="D573" i="2"/>
  <c r="T199" i="2"/>
  <c r="N1839" i="2"/>
  <c r="K1543" i="2"/>
  <c r="A1873" i="2"/>
  <c r="K1873" i="2"/>
  <c r="A573" i="2"/>
  <c r="Q1328" i="2"/>
  <c r="K573" i="2"/>
  <c r="K344" i="2"/>
  <c r="Q1839" i="2"/>
  <c r="A199" i="2"/>
  <c r="T1543" i="2"/>
  <c r="A820" i="2"/>
  <c r="T1873" i="2"/>
  <c r="D199" i="2"/>
  <c r="N787" i="2"/>
  <c r="J1873" i="2"/>
  <c r="C1839" i="2"/>
  <c r="E820" i="2"/>
  <c r="C1328" i="2"/>
  <c r="N573" i="2"/>
  <c r="T744" i="2"/>
  <c r="H199" i="2"/>
  <c r="C787" i="2"/>
  <c r="G344" i="2"/>
  <c r="A1839" i="2"/>
  <c r="P344" i="2"/>
  <c r="H1328" i="2"/>
  <c r="M344" i="2"/>
  <c r="C573" i="2"/>
  <c r="H787" i="2"/>
  <c r="D1839" i="2"/>
  <c r="H344" i="2"/>
  <c r="R344" i="2"/>
  <c r="F1543" i="2"/>
  <c r="T820" i="2"/>
  <c r="Q787" i="2"/>
  <c r="N1328" i="2"/>
  <c r="J787" i="2"/>
  <c r="E1543" i="2"/>
  <c r="E199" i="2"/>
  <c r="K820" i="2"/>
  <c r="D344" i="2"/>
  <c r="A344" i="2"/>
  <c r="H1543" i="2"/>
  <c r="N1873" i="2"/>
  <c r="G1839" i="2"/>
  <c r="R820" i="2"/>
  <c r="T1328" i="2"/>
  <c r="S573" i="2"/>
  <c r="A1543" i="2"/>
  <c r="O787" i="2"/>
  <c r="K199" i="2"/>
  <c r="F1328" i="2"/>
  <c r="F820" i="2"/>
  <c r="A787" i="2"/>
  <c r="T1839" i="2"/>
  <c r="E1873" i="2"/>
  <c r="M787" i="2"/>
  <c r="R1873" i="2"/>
  <c r="G1543" i="2"/>
  <c r="S1873" i="2"/>
  <c r="M744" i="2"/>
  <c r="A1328" i="2"/>
  <c r="F1839" i="2"/>
  <c r="H820" i="2"/>
  <c r="E1328" i="2"/>
  <c r="G744" i="2"/>
  <c r="P573" i="2"/>
  <c r="J344" i="2"/>
  <c r="C344" i="2"/>
  <c r="K787" i="2"/>
  <c r="T344" i="2"/>
  <c r="S1328" i="2"/>
  <c r="O820" i="2"/>
  <c r="J1328" i="2"/>
  <c r="K1328" i="2"/>
  <c r="C1873" i="2"/>
  <c r="H744" i="2"/>
  <c r="D787" i="2"/>
  <c r="F199" i="2"/>
  <c r="R573" i="2"/>
  <c r="N199" i="2"/>
  <c r="P787" i="2"/>
  <c r="Q1543" i="2"/>
  <c r="P1873" i="2"/>
  <c r="F744" i="2"/>
  <c r="P744" i="2"/>
  <c r="S787" i="2"/>
  <c r="D1328" i="2"/>
  <c r="H1873" i="2"/>
  <c r="P1543" i="2"/>
  <c r="D1873" i="2"/>
  <c r="O344" i="2"/>
  <c r="R787" i="2"/>
  <c r="K1839" i="2"/>
  <c r="S344" i="2"/>
  <c r="N744" i="2"/>
  <c r="N1543" i="2"/>
  <c r="R199" i="2"/>
  <c r="O199" i="2"/>
  <c r="K744" i="2"/>
  <c r="F1873" i="2"/>
  <c r="D820" i="2"/>
  <c r="J573" i="2"/>
  <c r="S744" i="2"/>
  <c r="J199" i="2"/>
  <c r="C1543" i="2"/>
  <c r="C820" i="2"/>
  <c r="R1839" i="2"/>
  <c r="O573" i="2"/>
  <c r="G199" i="2"/>
  <c r="O1873" i="2"/>
  <c r="R744" i="2"/>
  <c r="M1328" i="2"/>
  <c r="E787" i="2"/>
  <c r="M1543" i="2"/>
  <c r="A744" i="2"/>
  <c r="P820" i="2"/>
  <c r="F344" i="2"/>
  <c r="O1328" i="2"/>
  <c r="Q1873" i="2"/>
  <c r="M573" i="2"/>
  <c r="P1839" i="2"/>
  <c r="T787" i="2"/>
  <c r="G820" i="2"/>
  <c r="M199" i="2"/>
  <c r="E744" i="2"/>
  <c r="Q820" i="2"/>
  <c r="O1839" i="2"/>
  <c r="R1328" i="2"/>
  <c r="C744" i="2"/>
  <c r="N344" i="2"/>
  <c r="J1543" i="2"/>
  <c r="T573" i="2"/>
  <c r="H1839" i="2"/>
  <c r="J1839" i="2"/>
  <c r="Q573" i="2"/>
  <c r="C199" i="2"/>
  <c r="Q344" i="2"/>
  <c r="S199" i="2"/>
  <c r="O1543" i="2"/>
  <c r="J744" i="2"/>
  <c r="G1328" i="2"/>
  <c r="M820" i="2"/>
  <c r="N820" i="2"/>
  <c r="F573" i="2"/>
  <c r="H573" i="2"/>
  <c r="S1839" i="2"/>
  <c r="D744" i="2"/>
  <c r="S820" i="2"/>
  <c r="R1543" i="2"/>
  <c r="P199" i="2"/>
  <c r="G1873" i="2"/>
  <c r="M1873" i="2"/>
  <c r="Q199" i="2"/>
  <c r="D1543" i="2"/>
  <c r="M1839" i="2"/>
  <c r="J820" i="2"/>
  <c r="E344" i="2"/>
  <c r="G787" i="2"/>
  <c r="E573" i="2"/>
  <c r="Q744" i="2"/>
  <c r="P1328" i="2"/>
  <c r="Q357" i="2"/>
  <c r="K1056" i="2"/>
  <c r="H969" i="2"/>
  <c r="S1056" i="2"/>
  <c r="Q2014" i="2"/>
  <c r="P1093" i="2"/>
  <c r="T1093" i="2"/>
  <c r="J1056" i="2"/>
  <c r="H554" i="2"/>
  <c r="G554" i="2"/>
  <c r="T969" i="2"/>
  <c r="P357" i="2"/>
  <c r="S969" i="2"/>
  <c r="S1060" i="2"/>
  <c r="F1838" i="2"/>
  <c r="R969" i="2"/>
  <c r="A2014" i="2"/>
  <c r="P1060" i="2"/>
  <c r="A1838" i="2"/>
  <c r="M969" i="2"/>
  <c r="G357" i="2"/>
  <c r="E404" i="2"/>
  <c r="P2014" i="2"/>
  <c r="D969" i="2"/>
  <c r="Q1838" i="2"/>
  <c r="C357" i="2"/>
  <c r="R554" i="2"/>
  <c r="M1093" i="2"/>
  <c r="C2014" i="2"/>
  <c r="R404" i="2"/>
  <c r="Q901" i="2"/>
  <c r="S1093" i="2"/>
  <c r="E901" i="2"/>
  <c r="K2014" i="2"/>
  <c r="H1838" i="2"/>
  <c r="K1093" i="2"/>
  <c r="O554" i="2"/>
  <c r="O969" i="2"/>
  <c r="K1060" i="2"/>
  <c r="J901" i="2"/>
  <c r="P1056" i="2"/>
  <c r="A357" i="2"/>
  <c r="D1093" i="2"/>
  <c r="S2014" i="2"/>
  <c r="H1056" i="2"/>
  <c r="R901" i="2"/>
  <c r="P901" i="2"/>
  <c r="T1056" i="2"/>
  <c r="J404" i="2"/>
  <c r="K554" i="2"/>
  <c r="T1838" i="2"/>
  <c r="C969" i="2"/>
  <c r="E554" i="2"/>
  <c r="H357" i="2"/>
  <c r="A554" i="2"/>
  <c r="K901" i="2"/>
  <c r="F2014" i="2"/>
  <c r="A404" i="2"/>
  <c r="T2014" i="2"/>
  <c r="E357" i="2"/>
  <c r="D404" i="2"/>
  <c r="O1838" i="2"/>
  <c r="Q1056" i="2"/>
  <c r="K357" i="2"/>
  <c r="O357" i="2"/>
  <c r="F969" i="2"/>
  <c r="C1056" i="2"/>
  <c r="F1093" i="2"/>
  <c r="D2014" i="2"/>
  <c r="J554" i="2"/>
  <c r="N554" i="2"/>
  <c r="R1056" i="2"/>
  <c r="P1838" i="2"/>
  <c r="S1838" i="2"/>
  <c r="D1060" i="2"/>
  <c r="F1056" i="2"/>
  <c r="G1093" i="2"/>
  <c r="T1060" i="2"/>
  <c r="J1093" i="2"/>
  <c r="Q404" i="2"/>
  <c r="M901" i="2"/>
  <c r="T901" i="2"/>
  <c r="M1838" i="2"/>
  <c r="T554" i="2"/>
  <c r="C1060" i="2"/>
  <c r="C404" i="2"/>
  <c r="N357" i="2"/>
  <c r="D1056" i="2"/>
  <c r="F404" i="2"/>
  <c r="M404" i="2"/>
  <c r="R1093" i="2"/>
  <c r="N1093" i="2"/>
  <c r="S357" i="2"/>
  <c r="K404" i="2"/>
  <c r="O404" i="2"/>
  <c r="M554" i="2"/>
  <c r="R1838" i="2"/>
  <c r="P404" i="2"/>
  <c r="C901" i="2"/>
  <c r="F1060" i="2"/>
  <c r="N1838" i="2"/>
  <c r="O901" i="2"/>
  <c r="R357" i="2"/>
  <c r="E1838" i="2"/>
  <c r="H1060" i="2"/>
  <c r="E969" i="2"/>
  <c r="G969" i="2"/>
  <c r="G901" i="2"/>
  <c r="H2014" i="2"/>
  <c r="D554" i="2"/>
  <c r="Q554" i="2"/>
  <c r="M357" i="2"/>
  <c r="H1093" i="2"/>
  <c r="O2014" i="2"/>
  <c r="K1838" i="2"/>
  <c r="Q969" i="2"/>
  <c r="S404" i="2"/>
  <c r="G404" i="2"/>
  <c r="P969" i="2"/>
  <c r="E1060" i="2"/>
  <c r="A901" i="2"/>
  <c r="F357" i="2"/>
  <c r="G1056" i="2"/>
  <c r="D1838" i="2"/>
  <c r="N2014" i="2"/>
  <c r="N1056" i="2"/>
  <c r="E1093" i="2"/>
  <c r="J969" i="2"/>
  <c r="G1838" i="2"/>
  <c r="N969" i="2"/>
  <c r="J2014" i="2"/>
  <c r="G1060" i="2"/>
  <c r="Q1093" i="2"/>
  <c r="A1060" i="2"/>
  <c r="J357" i="2"/>
  <c r="M1060" i="2"/>
  <c r="D901" i="2"/>
  <c r="T404" i="2"/>
  <c r="A1093" i="2"/>
  <c r="C554" i="2"/>
  <c r="E2014" i="2"/>
  <c r="S901" i="2"/>
  <c r="E1056" i="2"/>
  <c r="N901" i="2"/>
  <c r="K969" i="2"/>
  <c r="O1093" i="2"/>
  <c r="O1056" i="2"/>
  <c r="F554" i="2"/>
  <c r="R2014" i="2"/>
  <c r="O1060" i="2"/>
  <c r="F901" i="2"/>
  <c r="N404" i="2"/>
  <c r="N1060" i="2"/>
  <c r="R1060" i="2"/>
  <c r="M1056" i="2"/>
  <c r="G2014" i="2"/>
  <c r="J1060" i="2"/>
  <c r="C1838" i="2"/>
  <c r="D357" i="2"/>
  <c r="Q1060" i="2"/>
  <c r="S554" i="2"/>
  <c r="T357" i="2"/>
  <c r="J1838" i="2"/>
  <c r="M2014" i="2"/>
  <c r="A969" i="2"/>
  <c r="H404" i="2"/>
  <c r="C1093" i="2"/>
  <c r="H901" i="2"/>
  <c r="A1056" i="2"/>
  <c r="P554" i="2"/>
  <c r="R1639" i="2"/>
  <c r="N359" i="2"/>
  <c r="R1932" i="2"/>
  <c r="K755" i="2"/>
  <c r="N1932" i="2"/>
  <c r="G1735" i="2"/>
  <c r="T1735" i="2"/>
  <c r="T888" i="2"/>
  <c r="C1735" i="2"/>
  <c r="J1743" i="2"/>
  <c r="J1639" i="2"/>
  <c r="F1735" i="2"/>
  <c r="C888" i="2"/>
  <c r="G1639" i="2"/>
  <c r="Q1743" i="2"/>
  <c r="C1743" i="2"/>
  <c r="D1743" i="2"/>
  <c r="D1735" i="2"/>
  <c r="M1932" i="2"/>
  <c r="D888" i="2"/>
  <c r="C64" i="2"/>
  <c r="E1932" i="2"/>
  <c r="T1660" i="2"/>
  <c r="S460" i="2"/>
  <c r="T1932" i="2"/>
  <c r="O1735" i="2"/>
  <c r="P64" i="2"/>
  <c r="Q888" i="2"/>
  <c r="A1735" i="2"/>
  <c r="A1639" i="2"/>
  <c r="D1932" i="2"/>
  <c r="O1639" i="2"/>
  <c r="P1660" i="2"/>
  <c r="M755" i="2"/>
  <c r="K1660" i="2"/>
  <c r="N1743" i="2"/>
  <c r="O64" i="2"/>
  <c r="N888" i="2"/>
  <c r="S1932" i="2"/>
  <c r="J1660" i="2"/>
  <c r="K1932" i="2"/>
  <c r="H64" i="2"/>
  <c r="F1639" i="2"/>
  <c r="H1743" i="2"/>
  <c r="F1660" i="2"/>
  <c r="D64" i="2"/>
  <c r="K1735" i="2"/>
  <c r="D1660" i="2"/>
  <c r="J64" i="2"/>
  <c r="T359" i="2"/>
  <c r="N1639" i="2"/>
  <c r="K64" i="2"/>
  <c r="A1743" i="2"/>
  <c r="J460" i="2"/>
  <c r="T1639" i="2"/>
  <c r="S1735" i="2"/>
  <c r="R1660" i="2"/>
  <c r="R755" i="2"/>
  <c r="O755" i="2"/>
  <c r="F755" i="2"/>
  <c r="E1743" i="2"/>
  <c r="O1660" i="2"/>
  <c r="D359" i="2"/>
  <c r="F359" i="2"/>
  <c r="D1639" i="2"/>
  <c r="C1660" i="2"/>
  <c r="G755" i="2"/>
  <c r="A1660" i="2"/>
  <c r="C460" i="2"/>
  <c r="R888" i="2"/>
  <c r="G460" i="2"/>
  <c r="N1735" i="2"/>
  <c r="P888" i="2"/>
  <c r="E64" i="2"/>
  <c r="P1743" i="2"/>
  <c r="M460" i="2"/>
  <c r="R64" i="2"/>
  <c r="M1735" i="2"/>
  <c r="S755" i="2"/>
  <c r="S1660" i="2"/>
  <c r="M359" i="2"/>
  <c r="F1743" i="2"/>
  <c r="O359" i="2"/>
  <c r="E755" i="2"/>
  <c r="H359" i="2"/>
  <c r="G1932" i="2"/>
  <c r="P1639" i="2"/>
  <c r="D460" i="2"/>
  <c r="P460" i="2"/>
  <c r="H1735" i="2"/>
  <c r="C359" i="2"/>
  <c r="N460" i="2"/>
  <c r="R460" i="2"/>
  <c r="Q1932" i="2"/>
  <c r="M888" i="2"/>
  <c r="M1660" i="2"/>
  <c r="H888" i="2"/>
  <c r="H1932" i="2"/>
  <c r="S64" i="2"/>
  <c r="O1932" i="2"/>
  <c r="H755" i="2"/>
  <c r="Q755" i="2"/>
  <c r="N64" i="2"/>
  <c r="Q1660" i="2"/>
  <c r="H460" i="2"/>
  <c r="F888" i="2"/>
  <c r="E1639" i="2"/>
  <c r="T460" i="2"/>
  <c r="E1735" i="2"/>
  <c r="C755" i="2"/>
  <c r="M64" i="2"/>
  <c r="M1743" i="2"/>
  <c r="K460" i="2"/>
  <c r="E460" i="2"/>
  <c r="T755" i="2"/>
  <c r="T1743" i="2"/>
  <c r="S888" i="2"/>
  <c r="A1932" i="2"/>
  <c r="H1639" i="2"/>
  <c r="G64" i="2"/>
  <c r="G1660" i="2"/>
  <c r="R1743" i="2"/>
  <c r="P1932" i="2"/>
  <c r="P1735" i="2"/>
  <c r="A888" i="2"/>
  <c r="A64" i="2"/>
  <c r="H1660" i="2"/>
  <c r="E1660" i="2"/>
  <c r="E888" i="2"/>
  <c r="P359" i="2"/>
  <c r="J1932" i="2"/>
  <c r="A460" i="2"/>
  <c r="K888" i="2"/>
  <c r="G1743" i="2"/>
  <c r="O1743" i="2"/>
  <c r="Q1639" i="2"/>
  <c r="R359" i="2"/>
  <c r="J1735" i="2"/>
  <c r="J888" i="2"/>
  <c r="D755" i="2"/>
  <c r="R1735" i="2"/>
  <c r="F64" i="2"/>
  <c r="O460" i="2"/>
  <c r="A359" i="2"/>
  <c r="P755" i="2"/>
  <c r="S359" i="2"/>
  <c r="G888" i="2"/>
  <c r="C1639" i="2"/>
  <c r="G359" i="2"/>
  <c r="Q64" i="2"/>
  <c r="A755" i="2"/>
  <c r="J359" i="2"/>
  <c r="K1743" i="2"/>
  <c r="F1932" i="2"/>
  <c r="K359" i="2"/>
  <c r="E359" i="2"/>
  <c r="F460" i="2"/>
  <c r="K1639" i="2"/>
  <c r="S1639" i="2"/>
  <c r="N755" i="2"/>
  <c r="Q460" i="2"/>
  <c r="N1660" i="2"/>
  <c r="Q1735" i="2"/>
  <c r="C1932" i="2"/>
  <c r="S1743" i="2"/>
  <c r="Q359" i="2"/>
  <c r="M1639" i="2"/>
  <c r="T64" i="2"/>
  <c r="O888" i="2"/>
  <c r="J755" i="2"/>
  <c r="D971" i="2"/>
  <c r="C762" i="2"/>
  <c r="D938" i="2"/>
  <c r="N971" i="2"/>
  <c r="K971" i="2"/>
  <c r="J1897" i="2"/>
  <c r="G373" i="2"/>
  <c r="S971" i="2"/>
  <c r="N325" i="2"/>
  <c r="T325" i="2"/>
  <c r="R373" i="2"/>
  <c r="R589" i="2"/>
  <c r="G1897" i="2"/>
  <c r="R938" i="2"/>
  <c r="F938" i="2"/>
  <c r="E1897" i="2"/>
  <c r="K762" i="2"/>
  <c r="S1833" i="2"/>
  <c r="P971" i="2"/>
  <c r="M589" i="2"/>
  <c r="F762" i="2"/>
  <c r="K370" i="2"/>
  <c r="K938" i="2"/>
  <c r="M1477" i="2"/>
  <c r="H762" i="2"/>
  <c r="E938" i="2"/>
  <c r="J373" i="2"/>
  <c r="E762" i="2"/>
  <c r="F971" i="2"/>
  <c r="S938" i="2"/>
  <c r="J1833" i="2"/>
  <c r="K1897" i="2"/>
  <c r="S1897" i="2"/>
  <c r="T938" i="2"/>
  <c r="T370" i="2"/>
  <c r="P370" i="2"/>
  <c r="A762" i="2"/>
  <c r="K589" i="2"/>
  <c r="R370" i="2"/>
  <c r="E370" i="2"/>
  <c r="H589" i="2"/>
  <c r="Q1477" i="2"/>
  <c r="P325" i="2"/>
  <c r="H971" i="2"/>
  <c r="R1897" i="2"/>
  <c r="Q1833" i="2"/>
  <c r="C370" i="2"/>
  <c r="N1477" i="2"/>
  <c r="C325" i="2"/>
  <c r="Q370" i="2"/>
  <c r="H938" i="2"/>
  <c r="R1833" i="2"/>
  <c r="C1833" i="2"/>
  <c r="N938" i="2"/>
  <c r="O589" i="2"/>
  <c r="A1477" i="2"/>
  <c r="T1897" i="2"/>
  <c r="K1477" i="2"/>
  <c r="D325" i="2"/>
  <c r="Q762" i="2"/>
  <c r="P1833" i="2"/>
  <c r="T971" i="2"/>
  <c r="O373" i="2"/>
  <c r="H370" i="2"/>
  <c r="M971" i="2"/>
  <c r="S373" i="2"/>
  <c r="S589" i="2"/>
  <c r="R762" i="2"/>
  <c r="H1833" i="2"/>
  <c r="H325" i="2"/>
  <c r="D762" i="2"/>
  <c r="F373" i="2"/>
  <c r="K1833" i="2"/>
  <c r="O325" i="2"/>
  <c r="K325" i="2"/>
  <c r="G370" i="2"/>
  <c r="O1477" i="2"/>
  <c r="D1477" i="2"/>
  <c r="N589" i="2"/>
  <c r="A1897" i="2"/>
  <c r="H1897" i="2"/>
  <c r="S370" i="2"/>
  <c r="D370" i="2"/>
  <c r="N373" i="2"/>
  <c r="S762" i="2"/>
  <c r="J589" i="2"/>
  <c r="O370" i="2"/>
  <c r="S325" i="2"/>
  <c r="G325" i="2"/>
  <c r="T589" i="2"/>
  <c r="R325" i="2"/>
  <c r="J971" i="2"/>
  <c r="M370" i="2"/>
  <c r="K373" i="2"/>
  <c r="C1897" i="2"/>
  <c r="S1477" i="2"/>
  <c r="F1833" i="2"/>
  <c r="A325" i="2"/>
  <c r="E1477" i="2"/>
  <c r="O1833" i="2"/>
  <c r="G762" i="2"/>
  <c r="D373" i="2"/>
  <c r="A370" i="2"/>
  <c r="P762" i="2"/>
  <c r="N1833" i="2"/>
  <c r="D1833" i="2"/>
  <c r="J762" i="2"/>
  <c r="F325" i="2"/>
  <c r="Q325" i="2"/>
  <c r="O762" i="2"/>
  <c r="E1833" i="2"/>
  <c r="C589" i="2"/>
  <c r="T762" i="2"/>
  <c r="P938" i="2"/>
  <c r="A1833" i="2"/>
  <c r="R971" i="2"/>
  <c r="O971" i="2"/>
  <c r="A971" i="2"/>
  <c r="N370" i="2"/>
  <c r="D589" i="2"/>
  <c r="J938" i="2"/>
  <c r="P1477" i="2"/>
  <c r="C373" i="2"/>
  <c r="A589" i="2"/>
  <c r="J325" i="2"/>
  <c r="F1477" i="2"/>
  <c r="G1477" i="2"/>
  <c r="Q1897" i="2"/>
  <c r="P1897" i="2"/>
  <c r="O1897" i="2"/>
  <c r="D1897" i="2"/>
  <c r="E589" i="2"/>
  <c r="G1833" i="2"/>
  <c r="G938" i="2"/>
  <c r="P589" i="2"/>
  <c r="A373" i="2"/>
  <c r="Q373" i="2"/>
  <c r="P373" i="2"/>
  <c r="M1897" i="2"/>
  <c r="E373" i="2"/>
  <c r="E971" i="2"/>
  <c r="M938" i="2"/>
  <c r="T373" i="2"/>
  <c r="C1477" i="2"/>
  <c r="Q938" i="2"/>
  <c r="M325" i="2"/>
  <c r="G971" i="2"/>
  <c r="G589" i="2"/>
  <c r="Q971" i="2"/>
  <c r="J1477" i="2"/>
  <c r="H1477" i="2"/>
  <c r="T1833" i="2"/>
  <c r="M762" i="2"/>
  <c r="M373" i="2"/>
  <c r="F589" i="2"/>
  <c r="F370" i="2"/>
  <c r="T1477" i="2"/>
  <c r="F1897" i="2"/>
  <c r="O938" i="2"/>
  <c r="A938" i="2"/>
  <c r="N1897" i="2"/>
  <c r="M1833" i="2"/>
  <c r="C971" i="2"/>
  <c r="H373" i="2"/>
  <c r="C938" i="2"/>
  <c r="R1477" i="2"/>
  <c r="E325" i="2"/>
  <c r="Q589" i="2"/>
  <c r="J370" i="2"/>
  <c r="N762" i="2"/>
  <c r="J663" i="2"/>
  <c r="T1340" i="2"/>
  <c r="J2130" i="2"/>
  <c r="M980" i="2"/>
  <c r="E1340" i="2"/>
  <c r="Q1942" i="2"/>
  <c r="T2130" i="2"/>
  <c r="R932" i="2"/>
  <c r="G663" i="2"/>
  <c r="T329" i="2"/>
  <c r="G1756" i="2"/>
  <c r="A329" i="2"/>
  <c r="D663" i="2"/>
  <c r="O1014" i="2"/>
  <c r="J932" i="2"/>
  <c r="N980" i="2"/>
  <c r="G980" i="2"/>
  <c r="F980" i="2"/>
  <c r="R329" i="2"/>
  <c r="K932" i="2"/>
  <c r="H1014" i="2"/>
  <c r="M932" i="2"/>
  <c r="H980" i="2"/>
  <c r="G1014" i="2"/>
  <c r="K1942" i="2"/>
  <c r="C1756" i="2"/>
  <c r="R2130" i="2"/>
  <c r="P329" i="2"/>
  <c r="N1942" i="2"/>
  <c r="N2130" i="2"/>
  <c r="Q980" i="2"/>
  <c r="R1340" i="2"/>
  <c r="F1340" i="2"/>
  <c r="N1340" i="2"/>
  <c r="A2130" i="2"/>
  <c r="M1756" i="2"/>
  <c r="O663" i="2"/>
  <c r="F1942" i="2"/>
  <c r="T663" i="2"/>
  <c r="Q1756" i="2"/>
  <c r="A980" i="2"/>
  <c r="D1340" i="2"/>
  <c r="G2130" i="2"/>
  <c r="D329" i="2"/>
  <c r="A663" i="2"/>
  <c r="A1014" i="2"/>
  <c r="P932" i="2"/>
  <c r="M1340" i="2"/>
  <c r="J1942" i="2"/>
  <c r="H1340" i="2"/>
  <c r="S980" i="2"/>
  <c r="T1014" i="2"/>
  <c r="A1942" i="2"/>
  <c r="N1792" i="2"/>
  <c r="E329" i="2"/>
  <c r="S2130" i="2"/>
  <c r="Q329" i="2"/>
  <c r="J1014" i="2"/>
  <c r="H329" i="2"/>
  <c r="D1792" i="2"/>
  <c r="F1014" i="2"/>
  <c r="F2130" i="2"/>
  <c r="T980" i="2"/>
  <c r="F329" i="2"/>
  <c r="P1942" i="2"/>
  <c r="N1756" i="2"/>
  <c r="S932" i="2"/>
  <c r="R1756" i="2"/>
  <c r="C932" i="2"/>
  <c r="E980" i="2"/>
  <c r="C980" i="2"/>
  <c r="K329" i="2"/>
  <c r="E1756" i="2"/>
  <c r="H2130" i="2"/>
  <c r="C1942" i="2"/>
  <c r="R1792" i="2"/>
  <c r="P1756" i="2"/>
  <c r="G1792" i="2"/>
  <c r="G1340" i="2"/>
  <c r="G932" i="2"/>
  <c r="Q1014" i="2"/>
  <c r="Q1792" i="2"/>
  <c r="M1792" i="2"/>
  <c r="M1942" i="2"/>
  <c r="J329" i="2"/>
  <c r="H1942" i="2"/>
  <c r="M2130" i="2"/>
  <c r="E932" i="2"/>
  <c r="C663" i="2"/>
  <c r="Q2130" i="2"/>
  <c r="O1792" i="2"/>
  <c r="A1792" i="2"/>
  <c r="G329" i="2"/>
  <c r="S329" i="2"/>
  <c r="E1942" i="2"/>
  <c r="O1756" i="2"/>
  <c r="P980" i="2"/>
  <c r="F1756" i="2"/>
  <c r="O1340" i="2"/>
  <c r="A1756" i="2"/>
  <c r="S663" i="2"/>
  <c r="A932" i="2"/>
  <c r="T932" i="2"/>
  <c r="G1942" i="2"/>
  <c r="H1792" i="2"/>
  <c r="K1340" i="2"/>
  <c r="M1014" i="2"/>
  <c r="O2130" i="2"/>
  <c r="F932" i="2"/>
  <c r="K1756" i="2"/>
  <c r="P663" i="2"/>
  <c r="P2130" i="2"/>
  <c r="R980" i="2"/>
  <c r="D932" i="2"/>
  <c r="P1792" i="2"/>
  <c r="K1014" i="2"/>
  <c r="C1340" i="2"/>
  <c r="K663" i="2"/>
  <c r="N932" i="2"/>
  <c r="D2130" i="2"/>
  <c r="E2130" i="2"/>
  <c r="J1340" i="2"/>
  <c r="F663" i="2"/>
  <c r="N663" i="2"/>
  <c r="E1792" i="2"/>
  <c r="O1942" i="2"/>
  <c r="J980" i="2"/>
  <c r="R1014" i="2"/>
  <c r="T1942" i="2"/>
  <c r="J1756" i="2"/>
  <c r="C329" i="2"/>
  <c r="F1792" i="2"/>
  <c r="D1756" i="2"/>
  <c r="K2130" i="2"/>
  <c r="S1942" i="2"/>
  <c r="C1792" i="2"/>
  <c r="O932" i="2"/>
  <c r="S1792" i="2"/>
  <c r="A1340" i="2"/>
  <c r="H663" i="2"/>
  <c r="S1340" i="2"/>
  <c r="M329" i="2"/>
  <c r="R1942" i="2"/>
  <c r="E1014" i="2"/>
  <c r="J1792" i="2"/>
  <c r="R663" i="2"/>
  <c r="O980" i="2"/>
  <c r="P1014" i="2"/>
  <c r="S1756" i="2"/>
  <c r="D980" i="2"/>
  <c r="Q663" i="2"/>
  <c r="K1792" i="2"/>
  <c r="S1014" i="2"/>
  <c r="C1014" i="2"/>
  <c r="Q1340" i="2"/>
  <c r="O329" i="2"/>
  <c r="M663" i="2"/>
  <c r="H1756" i="2"/>
  <c r="H932" i="2"/>
  <c r="D1014" i="2"/>
  <c r="T1792" i="2"/>
  <c r="P1340" i="2"/>
  <c r="K980" i="2"/>
  <c r="E663" i="2"/>
  <c r="N1014" i="2"/>
  <c r="D1942" i="2"/>
  <c r="N329" i="2"/>
  <c r="Q932" i="2"/>
  <c r="C2130" i="2"/>
  <c r="T1756" i="2"/>
  <c r="K423" i="2"/>
  <c r="G1638" i="2"/>
  <c r="F1947" i="2"/>
  <c r="Q1366" i="2"/>
  <c r="H423" i="2"/>
  <c r="G1903" i="2"/>
  <c r="K1159" i="2"/>
  <c r="R1947" i="2"/>
  <c r="H1366" i="2"/>
  <c r="J423" i="2"/>
  <c r="N1903" i="2"/>
  <c r="O785" i="2"/>
  <c r="S1903" i="2"/>
  <c r="F1638" i="2"/>
  <c r="M1366" i="2"/>
  <c r="E1638" i="2"/>
  <c r="G624" i="2"/>
  <c r="G785" i="2"/>
  <c r="D785" i="2"/>
  <c r="M624" i="2"/>
  <c r="K1366" i="2"/>
  <c r="A1366" i="2"/>
  <c r="P785" i="2"/>
  <c r="D1947" i="2"/>
  <c r="D624" i="2"/>
  <c r="R1366" i="2"/>
  <c r="A1947" i="2"/>
  <c r="R126" i="2"/>
  <c r="D1159" i="2"/>
  <c r="E624" i="2"/>
  <c r="H126" i="2"/>
  <c r="D1366" i="2"/>
  <c r="J1947" i="2"/>
  <c r="Q1159" i="2"/>
  <c r="N2024" i="2"/>
  <c r="K785" i="2"/>
  <c r="S624" i="2"/>
  <c r="C624" i="2"/>
  <c r="M1159" i="2"/>
  <c r="A126" i="2"/>
  <c r="F2024" i="2"/>
  <c r="C1366" i="2"/>
  <c r="S1947" i="2"/>
  <c r="J126" i="2"/>
  <c r="M1638" i="2"/>
  <c r="Q1638" i="2"/>
  <c r="M1947" i="2"/>
  <c r="D1638" i="2"/>
  <c r="Q126" i="2"/>
  <c r="E1366" i="2"/>
  <c r="T126" i="2"/>
  <c r="O1638" i="2"/>
  <c r="S1159" i="2"/>
  <c r="N126" i="2"/>
  <c r="E2024" i="2"/>
  <c r="J1638" i="2"/>
  <c r="G126" i="2"/>
  <c r="C785" i="2"/>
  <c r="S785" i="2"/>
  <c r="C1638" i="2"/>
  <c r="N1638" i="2"/>
  <c r="J785" i="2"/>
  <c r="H785" i="2"/>
  <c r="R1638" i="2"/>
  <c r="H1903" i="2"/>
  <c r="E1159" i="2"/>
  <c r="P1903" i="2"/>
  <c r="H1159" i="2"/>
  <c r="H2024" i="2"/>
  <c r="P624" i="2"/>
  <c r="O624" i="2"/>
  <c r="Q423" i="2"/>
  <c r="N1159" i="2"/>
  <c r="D2024" i="2"/>
  <c r="F785" i="2"/>
  <c r="M1903" i="2"/>
  <c r="R423" i="2"/>
  <c r="Q624" i="2"/>
  <c r="A1903" i="2"/>
  <c r="S1366" i="2"/>
  <c r="O1366" i="2"/>
  <c r="T785" i="2"/>
  <c r="A2024" i="2"/>
  <c r="C2024" i="2"/>
  <c r="J1366" i="2"/>
  <c r="N423" i="2"/>
  <c r="C1947" i="2"/>
  <c r="M2024" i="2"/>
  <c r="P126" i="2"/>
  <c r="K1903" i="2"/>
  <c r="S2024" i="2"/>
  <c r="Q2024" i="2"/>
  <c r="A785" i="2"/>
  <c r="R1903" i="2"/>
  <c r="C126" i="2"/>
  <c r="J624" i="2"/>
  <c r="E1947" i="2"/>
  <c r="A1159" i="2"/>
  <c r="T1947" i="2"/>
  <c r="N785" i="2"/>
  <c r="O2024" i="2"/>
  <c r="Q785" i="2"/>
  <c r="J1903" i="2"/>
  <c r="M423" i="2"/>
  <c r="G1366" i="2"/>
  <c r="T2024" i="2"/>
  <c r="R624" i="2"/>
  <c r="G1947" i="2"/>
  <c r="E126" i="2"/>
  <c r="D1903" i="2"/>
  <c r="P1638" i="2"/>
  <c r="G2024" i="2"/>
  <c r="G1159" i="2"/>
  <c r="C423" i="2"/>
  <c r="F126" i="2"/>
  <c r="Q1947" i="2"/>
  <c r="O423" i="2"/>
  <c r="A1638" i="2"/>
  <c r="K624" i="2"/>
  <c r="T1159" i="2"/>
  <c r="P423" i="2"/>
  <c r="H1947" i="2"/>
  <c r="N624" i="2"/>
  <c r="O1159" i="2"/>
  <c r="N1366" i="2"/>
  <c r="R785" i="2"/>
  <c r="T423" i="2"/>
  <c r="T624" i="2"/>
  <c r="F1366" i="2"/>
  <c r="J1159" i="2"/>
  <c r="K1947" i="2"/>
  <c r="A624" i="2"/>
  <c r="E1903" i="2"/>
  <c r="P2024" i="2"/>
  <c r="F423" i="2"/>
  <c r="M785" i="2"/>
  <c r="M126" i="2"/>
  <c r="O1903" i="2"/>
  <c r="T1903" i="2"/>
  <c r="O126" i="2"/>
  <c r="N1947" i="2"/>
  <c r="H624" i="2"/>
  <c r="R1159" i="2"/>
  <c r="K1638" i="2"/>
  <c r="P1947" i="2"/>
  <c r="G423" i="2"/>
  <c r="P1159" i="2"/>
  <c r="Q1903" i="2"/>
  <c r="K2024" i="2"/>
  <c r="S423" i="2"/>
  <c r="P1366" i="2"/>
  <c r="T1638" i="2"/>
  <c r="J2024" i="2"/>
  <c r="D126" i="2"/>
  <c r="C1903" i="2"/>
  <c r="E423" i="2"/>
  <c r="A423" i="2"/>
  <c r="H1638" i="2"/>
  <c r="S126" i="2"/>
  <c r="F1159" i="2"/>
  <c r="D423" i="2"/>
  <c r="T1366" i="2"/>
  <c r="K126" i="2"/>
  <c r="F1903" i="2"/>
  <c r="S1638" i="2"/>
  <c r="R2024" i="2"/>
  <c r="E785" i="2"/>
  <c r="O1947" i="2"/>
  <c r="F624" i="2"/>
  <c r="C1159" i="2"/>
  <c r="F725" i="2"/>
  <c r="S2203" i="2"/>
  <c r="T2203" i="2"/>
  <c r="J804" i="2"/>
  <c r="D2211" i="2"/>
  <c r="O804" i="2"/>
  <c r="Q2203" i="2"/>
  <c r="P558" i="2"/>
  <c r="F2056" i="2"/>
  <c r="E725" i="2"/>
  <c r="S558" i="2"/>
  <c r="G2056" i="2"/>
  <c r="A1012" i="2"/>
  <c r="F558" i="2"/>
  <c r="H725" i="2"/>
  <c r="H2203" i="2"/>
  <c r="R1012" i="2"/>
  <c r="O347" i="2"/>
  <c r="H347" i="2"/>
  <c r="O1012" i="2"/>
  <c r="J1012" i="2"/>
  <c r="O558" i="2"/>
  <c r="C779" i="2"/>
  <c r="G725" i="2"/>
  <c r="R347" i="2"/>
  <c r="R2203" i="2"/>
  <c r="R725" i="2"/>
  <c r="D347" i="2"/>
  <c r="N347" i="2"/>
  <c r="G804" i="2"/>
  <c r="T725" i="2"/>
  <c r="H804" i="2"/>
  <c r="F2203" i="2"/>
  <c r="D804" i="2"/>
  <c r="H859" i="2"/>
  <c r="M859" i="2"/>
  <c r="K779" i="2"/>
  <c r="M804" i="2"/>
  <c r="K859" i="2"/>
  <c r="E804" i="2"/>
  <c r="K1012" i="2"/>
  <c r="G1012" i="2"/>
  <c r="D725" i="2"/>
  <c r="A2211" i="2"/>
  <c r="D2056" i="2"/>
  <c r="C2056" i="2"/>
  <c r="K804" i="2"/>
  <c r="N804" i="2"/>
  <c r="C2211" i="2"/>
  <c r="E2211" i="2"/>
  <c r="T804" i="2"/>
  <c r="N558" i="2"/>
  <c r="R558" i="2"/>
  <c r="Q859" i="2"/>
  <c r="R804" i="2"/>
  <c r="T1012" i="2"/>
  <c r="S779" i="2"/>
  <c r="A804" i="2"/>
  <c r="N1012" i="2"/>
  <c r="P1012" i="2"/>
  <c r="H2211" i="2"/>
  <c r="C347" i="2"/>
  <c r="O725" i="2"/>
  <c r="F859" i="2"/>
  <c r="A2203" i="2"/>
  <c r="N2056" i="2"/>
  <c r="M2203" i="2"/>
  <c r="P2056" i="2"/>
  <c r="P347" i="2"/>
  <c r="S1012" i="2"/>
  <c r="N725" i="2"/>
  <c r="H558" i="2"/>
  <c r="M558" i="2"/>
  <c r="A2056" i="2"/>
  <c r="N2203" i="2"/>
  <c r="J779" i="2"/>
  <c r="K347" i="2"/>
  <c r="T2211" i="2"/>
  <c r="Q347" i="2"/>
  <c r="C558" i="2"/>
  <c r="E859" i="2"/>
  <c r="P779" i="2"/>
  <c r="J2056" i="2"/>
  <c r="D1012" i="2"/>
  <c r="C804" i="2"/>
  <c r="E779" i="2"/>
  <c r="N2211" i="2"/>
  <c r="E558" i="2"/>
  <c r="Q2056" i="2"/>
  <c r="M2211" i="2"/>
  <c r="P859" i="2"/>
  <c r="M779" i="2"/>
  <c r="J859" i="2"/>
  <c r="J725" i="2"/>
  <c r="Q558" i="2"/>
  <c r="E347" i="2"/>
  <c r="Q804" i="2"/>
  <c r="R779" i="2"/>
  <c r="C859" i="2"/>
  <c r="M2056" i="2"/>
  <c r="C1012" i="2"/>
  <c r="S347" i="2"/>
  <c r="H779" i="2"/>
  <c r="D2203" i="2"/>
  <c r="R2211" i="2"/>
  <c r="O779" i="2"/>
  <c r="T2056" i="2"/>
  <c r="T558" i="2"/>
  <c r="F1012" i="2"/>
  <c r="K725" i="2"/>
  <c r="S2056" i="2"/>
  <c r="O2211" i="2"/>
  <c r="S725" i="2"/>
  <c r="F779" i="2"/>
  <c r="K2056" i="2"/>
  <c r="G2203" i="2"/>
  <c r="T779" i="2"/>
  <c r="D558" i="2"/>
  <c r="Q2211" i="2"/>
  <c r="Q1012" i="2"/>
  <c r="G859" i="2"/>
  <c r="F2211" i="2"/>
  <c r="P2203" i="2"/>
  <c r="O859" i="2"/>
  <c r="O2056" i="2"/>
  <c r="P2211" i="2"/>
  <c r="G347" i="2"/>
  <c r="E2203" i="2"/>
  <c r="E1012" i="2"/>
  <c r="Q779" i="2"/>
  <c r="A725" i="2"/>
  <c r="H2056" i="2"/>
  <c r="G779" i="2"/>
  <c r="S859" i="2"/>
  <c r="C725" i="2"/>
  <c r="G558" i="2"/>
  <c r="J347" i="2"/>
  <c r="G2211" i="2"/>
  <c r="T859" i="2"/>
  <c r="A347" i="2"/>
  <c r="F347" i="2"/>
  <c r="K558" i="2"/>
  <c r="A859" i="2"/>
  <c r="E2056" i="2"/>
  <c r="Q725" i="2"/>
  <c r="S804" i="2"/>
  <c r="R859" i="2"/>
  <c r="N779" i="2"/>
  <c r="P804" i="2"/>
  <c r="A779" i="2"/>
  <c r="O2203" i="2"/>
  <c r="J2211" i="2"/>
  <c r="M725" i="2"/>
  <c r="N859" i="2"/>
  <c r="M347" i="2"/>
  <c r="C2203" i="2"/>
  <c r="K2203" i="2"/>
  <c r="H1012" i="2"/>
  <c r="S2211" i="2"/>
  <c r="J558" i="2"/>
  <c r="R2056" i="2"/>
  <c r="M1012" i="2"/>
  <c r="J2203" i="2"/>
  <c r="K2211" i="2"/>
  <c r="P725" i="2"/>
  <c r="F804" i="2"/>
  <c r="T347" i="2"/>
  <c r="D859" i="2"/>
  <c r="D779" i="2"/>
  <c r="A558" i="2"/>
  <c r="T35" i="2"/>
  <c r="A14" i="2"/>
  <c r="R1482" i="2"/>
  <c r="T2071" i="2"/>
  <c r="F2008" i="2"/>
  <c r="H35" i="2"/>
  <c r="K2233" i="2"/>
  <c r="C2233" i="2"/>
  <c r="D14" i="2"/>
  <c r="J1482" i="2"/>
  <c r="Q2235" i="2"/>
  <c r="R940" i="2"/>
  <c r="M2143" i="2"/>
  <c r="D1645" i="2"/>
  <c r="R1711" i="2"/>
  <c r="K1857" i="2"/>
  <c r="O1482" i="2"/>
  <c r="O472" i="2"/>
  <c r="E767" i="2"/>
  <c r="P2233" i="2"/>
  <c r="A46" i="2"/>
  <c r="R832" i="2"/>
  <c r="C1031" i="2"/>
  <c r="G940" i="2"/>
  <c r="N868" i="2"/>
  <c r="D940" i="2"/>
  <c r="P2071" i="2"/>
  <c r="S2071" i="2"/>
  <c r="H409" i="2"/>
  <c r="E1604" i="2"/>
  <c r="H1631" i="2"/>
  <c r="E868" i="2"/>
  <c r="K904" i="2"/>
  <c r="C2143" i="2"/>
  <c r="O2143" i="2"/>
  <c r="P2011" i="2"/>
  <c r="K2008" i="2"/>
  <c r="H940" i="2"/>
  <c r="G1645" i="2"/>
  <c r="D2071" i="2"/>
  <c r="G1538" i="2"/>
  <c r="D767" i="2"/>
  <c r="D409" i="2"/>
  <c r="G832" i="2"/>
  <c r="C904" i="2"/>
  <c r="P1918" i="2"/>
  <c r="K1482" i="2"/>
  <c r="E2235" i="2"/>
  <c r="F2235" i="2"/>
  <c r="J940" i="2"/>
  <c r="N2235" i="2"/>
  <c r="F409" i="2"/>
  <c r="A1295" i="2"/>
  <c r="R1631" i="2"/>
  <c r="J1031" i="2"/>
  <c r="T1631" i="2"/>
  <c r="C53" i="2"/>
  <c r="E1665" i="2"/>
  <c r="M53" i="2"/>
  <c r="Q2233" i="2"/>
  <c r="S35" i="2"/>
  <c r="D1631" i="2"/>
  <c r="S409" i="2"/>
  <c r="P53" i="2"/>
  <c r="T1747" i="2"/>
  <c r="F1747" i="2"/>
  <c r="J53" i="2"/>
  <c r="R1538" i="2"/>
  <c r="C409" i="2"/>
  <c r="A868" i="2"/>
  <c r="F767" i="2"/>
  <c r="J767" i="2"/>
  <c r="J2235" i="2"/>
  <c r="D1857" i="2"/>
  <c r="E35" i="2"/>
  <c r="N409" i="2"/>
  <c r="F1295" i="2"/>
  <c r="T1645" i="2"/>
  <c r="P940" i="2"/>
  <c r="J35" i="2"/>
  <c r="M2008" i="2"/>
  <c r="R2143" i="2"/>
  <c r="F2233" i="2"/>
  <c r="K1126" i="2"/>
  <c r="J2071" i="2"/>
  <c r="A1665" i="2"/>
  <c r="C1631" i="2"/>
  <c r="J2008" i="2"/>
  <c r="C472" i="2"/>
  <c r="Q1482" i="2"/>
  <c r="Q1295" i="2"/>
  <c r="Q2011" i="2"/>
  <c r="E409" i="2"/>
  <c r="G1482" i="2"/>
  <c r="H2008" i="2"/>
  <c r="F53" i="2"/>
  <c r="N46" i="2"/>
  <c r="C1482" i="2"/>
  <c r="D1295" i="2"/>
  <c r="M1604" i="2"/>
  <c r="T1538" i="2"/>
  <c r="A1747" i="2"/>
  <c r="E1857" i="2"/>
  <c r="F46" i="2"/>
  <c r="G2008" i="2"/>
  <c r="P1031" i="2"/>
  <c r="H1918" i="2"/>
  <c r="M1482" i="2"/>
  <c r="C2071" i="2"/>
  <c r="R1747" i="2"/>
  <c r="S46" i="2"/>
  <c r="O1604" i="2"/>
  <c r="M2233" i="2"/>
  <c r="J1645" i="2"/>
  <c r="S1711" i="2"/>
  <c r="M940" i="2"/>
  <c r="Q46" i="2"/>
  <c r="A409" i="2"/>
  <c r="K1747" i="2"/>
  <c r="K1918" i="2"/>
  <c r="F1538" i="2"/>
  <c r="A1604" i="2"/>
  <c r="O1918" i="2"/>
  <c r="D904" i="2"/>
  <c r="K2071" i="2"/>
  <c r="G1918" i="2"/>
  <c r="J1631" i="2"/>
  <c r="T53" i="2"/>
  <c r="P1665" i="2"/>
  <c r="N767" i="2"/>
  <c r="K767" i="2"/>
  <c r="K1711" i="2"/>
  <c r="C46" i="2"/>
  <c r="O1295" i="2"/>
  <c r="F868" i="2"/>
  <c r="S1747" i="2"/>
  <c r="A1126" i="2"/>
  <c r="M1295" i="2"/>
  <c r="D35" i="2"/>
  <c r="N1711" i="2"/>
  <c r="S53" i="2"/>
  <c r="Q35" i="2"/>
  <c r="S868" i="2"/>
  <c r="H832" i="2"/>
  <c r="E1482" i="2"/>
  <c r="O940" i="2"/>
  <c r="O1031" i="2"/>
  <c r="J2143" i="2"/>
  <c r="H1295" i="2"/>
  <c r="T1031" i="2"/>
  <c r="Q1645" i="2"/>
  <c r="K868" i="2"/>
  <c r="O2071" i="2"/>
  <c r="S1857" i="2"/>
  <c r="Q1126" i="2"/>
  <c r="Q1631" i="2"/>
  <c r="M46" i="2"/>
  <c r="F2071" i="2"/>
  <c r="M1918" i="2"/>
  <c r="C868" i="2"/>
  <c r="M832" i="2"/>
  <c r="F1126" i="2"/>
  <c r="R2008" i="2"/>
  <c r="Q904" i="2"/>
  <c r="G1857" i="2"/>
  <c r="E1631" i="2"/>
  <c r="S767" i="2"/>
  <c r="H1604" i="2"/>
  <c r="O767" i="2"/>
  <c r="E1295" i="2"/>
  <c r="J868" i="2"/>
  <c r="P1126" i="2"/>
  <c r="O46" i="2"/>
  <c r="C35" i="2"/>
  <c r="E2233" i="2"/>
  <c r="M1665" i="2"/>
  <c r="R868" i="2"/>
  <c r="O1645" i="2"/>
  <c r="G868" i="2"/>
  <c r="M1631" i="2"/>
  <c r="Q1857" i="2"/>
  <c r="J904" i="2"/>
  <c r="J1747" i="2"/>
  <c r="J2011" i="2"/>
  <c r="H472" i="2"/>
  <c r="P1631" i="2"/>
  <c r="T832" i="2"/>
  <c r="O1126" i="2"/>
  <c r="P832" i="2"/>
  <c r="K46" i="2"/>
  <c r="F1031" i="2"/>
  <c r="H904" i="2"/>
  <c r="M767" i="2"/>
  <c r="G35" i="2"/>
  <c r="F35" i="2"/>
  <c r="T2011" i="2"/>
  <c r="A1918" i="2"/>
  <c r="H46" i="2"/>
  <c r="C14" i="2"/>
  <c r="T1295" i="2"/>
  <c r="A2071" i="2"/>
  <c r="E472" i="2"/>
  <c r="K53" i="2"/>
  <c r="R2233" i="2"/>
  <c r="G767" i="2"/>
  <c r="M2011" i="2"/>
  <c r="Q767" i="2"/>
  <c r="A767" i="2"/>
  <c r="R2235" i="2"/>
  <c r="A53" i="2"/>
  <c r="Q53" i="2"/>
  <c r="S2235" i="2"/>
  <c r="R35" i="2"/>
  <c r="E1031" i="2"/>
  <c r="H2233" i="2"/>
  <c r="D1126" i="2"/>
  <c r="K1645" i="2"/>
  <c r="Q1604" i="2"/>
  <c r="O1538" i="2"/>
  <c r="T940" i="2"/>
  <c r="J1295" i="2"/>
  <c r="K2235" i="2"/>
  <c r="P2008" i="2"/>
  <c r="S1031" i="2"/>
  <c r="D1747" i="2"/>
  <c r="N53" i="2"/>
  <c r="E2143" i="2"/>
  <c r="C1538" i="2"/>
  <c r="E14" i="2"/>
  <c r="R1645" i="2"/>
  <c r="E1747" i="2"/>
  <c r="C1918" i="2"/>
  <c r="M14" i="2"/>
  <c r="H14" i="2"/>
  <c r="J1126" i="2"/>
  <c r="N472" i="2"/>
  <c r="A1857" i="2"/>
  <c r="T14" i="2"/>
  <c r="M1857" i="2"/>
  <c r="G2143" i="2"/>
  <c r="J46" i="2"/>
  <c r="G1665" i="2"/>
  <c r="O1747" i="2"/>
  <c r="M2235" i="2"/>
  <c r="S904" i="2"/>
  <c r="J1665" i="2"/>
  <c r="H2011" i="2"/>
  <c r="O1857" i="2"/>
  <c r="E2008" i="2"/>
  <c r="T868" i="2"/>
  <c r="D1538" i="2"/>
  <c r="P1482" i="2"/>
  <c r="Q832" i="2"/>
  <c r="F2011" i="2"/>
  <c r="O904" i="2"/>
  <c r="P35" i="2"/>
  <c r="R46" i="2"/>
  <c r="Q472" i="2"/>
  <c r="S1665" i="2"/>
  <c r="H1645" i="2"/>
  <c r="J1538" i="2"/>
  <c r="A2011" i="2"/>
  <c r="O409" i="2"/>
  <c r="C1857" i="2"/>
  <c r="H2235" i="2"/>
  <c r="J2233" i="2"/>
  <c r="S2233" i="2"/>
  <c r="R1031" i="2"/>
  <c r="G2235" i="2"/>
  <c r="R1604" i="2"/>
  <c r="C1665" i="2"/>
  <c r="N2143" i="2"/>
  <c r="E1538" i="2"/>
  <c r="D868" i="2"/>
  <c r="J1857" i="2"/>
  <c r="O832" i="2"/>
  <c r="D2011" i="2"/>
  <c r="T472" i="2"/>
  <c r="T1126" i="2"/>
  <c r="M904" i="2"/>
  <c r="C832" i="2"/>
  <c r="S940" i="2"/>
  <c r="C2011" i="2"/>
  <c r="E1645" i="2"/>
  <c r="C1126" i="2"/>
  <c r="H1665" i="2"/>
  <c r="N2233" i="2"/>
  <c r="F14" i="2"/>
  <c r="C940" i="2"/>
  <c r="F1482" i="2"/>
  <c r="D1918" i="2"/>
  <c r="A832" i="2"/>
  <c r="D2235" i="2"/>
  <c r="F940" i="2"/>
  <c r="P14" i="2"/>
  <c r="K1031" i="2"/>
  <c r="O53" i="2"/>
  <c r="D53" i="2"/>
  <c r="G1295" i="2"/>
  <c r="S2143" i="2"/>
  <c r="D1482" i="2"/>
  <c r="J832" i="2"/>
  <c r="F832" i="2"/>
  <c r="S1604" i="2"/>
  <c r="A2233" i="2"/>
  <c r="E2011" i="2"/>
  <c r="R409" i="2"/>
  <c r="H1031" i="2"/>
  <c r="N2011" i="2"/>
  <c r="T2008" i="2"/>
  <c r="P46" i="2"/>
  <c r="C2235" i="2"/>
  <c r="R1295" i="2"/>
  <c r="P2143" i="2"/>
  <c r="F904" i="2"/>
  <c r="M1645" i="2"/>
  <c r="F1918" i="2"/>
  <c r="Q14" i="2"/>
  <c r="E46" i="2"/>
  <c r="Q2008" i="2"/>
  <c r="R1665" i="2"/>
  <c r="H1747" i="2"/>
  <c r="P904" i="2"/>
  <c r="E1711" i="2"/>
  <c r="P409" i="2"/>
  <c r="K1538" i="2"/>
  <c r="H868" i="2"/>
  <c r="K2011" i="2"/>
  <c r="A1482" i="2"/>
  <c r="T2233" i="2"/>
  <c r="G409" i="2"/>
  <c r="O868" i="2"/>
  <c r="A472" i="2"/>
  <c r="F1604" i="2"/>
  <c r="T904" i="2"/>
  <c r="C1295" i="2"/>
  <c r="P1711" i="2"/>
  <c r="C2008" i="2"/>
  <c r="P1857" i="2"/>
  <c r="D472" i="2"/>
  <c r="M1711" i="2"/>
  <c r="P1645" i="2"/>
  <c r="T2143" i="2"/>
  <c r="K35" i="2"/>
  <c r="G472" i="2"/>
  <c r="J472" i="2"/>
  <c r="S2008" i="2"/>
  <c r="A2008" i="2"/>
  <c r="K1665" i="2"/>
  <c r="K409" i="2"/>
  <c r="O1631" i="2"/>
  <c r="A2143" i="2"/>
  <c r="H1711" i="2"/>
  <c r="A1711" i="2"/>
  <c r="K832" i="2"/>
  <c r="O2233" i="2"/>
  <c r="T409" i="2"/>
  <c r="D1711" i="2"/>
  <c r="N1031" i="2"/>
  <c r="N940" i="2"/>
  <c r="Q868" i="2"/>
  <c r="K940" i="2"/>
  <c r="Q1711" i="2"/>
  <c r="H2143" i="2"/>
  <c r="N1126" i="2"/>
  <c r="T1482" i="2"/>
  <c r="S2011" i="2"/>
  <c r="J1918" i="2"/>
  <c r="T1857" i="2"/>
  <c r="O2235" i="2"/>
  <c r="T1918" i="2"/>
  <c r="S1645" i="2"/>
  <c r="N1604" i="2"/>
  <c r="C1645" i="2"/>
  <c r="E53" i="2"/>
  <c r="K14" i="2"/>
  <c r="N1645" i="2"/>
  <c r="N1918" i="2"/>
  <c r="R1126" i="2"/>
  <c r="P1747" i="2"/>
  <c r="N904" i="2"/>
  <c r="H1538" i="2"/>
  <c r="R1857" i="2"/>
  <c r="G1747" i="2"/>
  <c r="D1031" i="2"/>
  <c r="H1857" i="2"/>
  <c r="F1645" i="2"/>
  <c r="A2235" i="2"/>
  <c r="J1711" i="2"/>
  <c r="G1711" i="2"/>
  <c r="N832" i="2"/>
  <c r="G2011" i="2"/>
  <c r="M1538" i="2"/>
  <c r="Q409" i="2"/>
  <c r="S1126" i="2"/>
  <c r="S832" i="2"/>
  <c r="Q2071" i="2"/>
  <c r="A940" i="2"/>
  <c r="T46" i="2"/>
  <c r="O1665" i="2"/>
  <c r="S472" i="2"/>
  <c r="T1665" i="2"/>
  <c r="H767" i="2"/>
  <c r="O2011" i="2"/>
  <c r="N35" i="2"/>
  <c r="K1295" i="2"/>
  <c r="N1631" i="2"/>
  <c r="S1295" i="2"/>
  <c r="M1747" i="2"/>
  <c r="D832" i="2"/>
  <c r="P1295" i="2"/>
  <c r="C1711" i="2"/>
  <c r="A1031" i="2"/>
  <c r="N2071" i="2"/>
  <c r="D1665" i="2"/>
  <c r="J409" i="2"/>
  <c r="H1482" i="2"/>
  <c r="N1747" i="2"/>
  <c r="R1918" i="2"/>
  <c r="M868" i="2"/>
  <c r="M1031" i="2"/>
  <c r="S1918" i="2"/>
  <c r="R2071" i="2"/>
  <c r="N1538" i="2"/>
  <c r="S1538" i="2"/>
  <c r="N1857" i="2"/>
  <c r="P2235" i="2"/>
  <c r="Q1538" i="2"/>
  <c r="A904" i="2"/>
  <c r="J14" i="2"/>
  <c r="G14" i="2"/>
  <c r="G1631" i="2"/>
  <c r="N1665" i="2"/>
  <c r="H53" i="2"/>
  <c r="K1604" i="2"/>
  <c r="G2071" i="2"/>
  <c r="D2143" i="2"/>
  <c r="G1126" i="2"/>
  <c r="S14" i="2"/>
  <c r="M472" i="2"/>
  <c r="D2008" i="2"/>
  <c r="T767" i="2"/>
  <c r="M1126" i="2"/>
  <c r="R14" i="2"/>
  <c r="R53" i="2"/>
  <c r="N14" i="2"/>
  <c r="P767" i="2"/>
  <c r="O35" i="2"/>
  <c r="C1604" i="2"/>
  <c r="H1126" i="2"/>
  <c r="N1482" i="2"/>
  <c r="Q1031" i="2"/>
  <c r="K472" i="2"/>
  <c r="E1918" i="2"/>
  <c r="P1604" i="2"/>
  <c r="P1538" i="2"/>
  <c r="T1711" i="2"/>
  <c r="T1604" i="2"/>
  <c r="G46" i="2"/>
  <c r="G1604" i="2"/>
  <c r="F1631" i="2"/>
  <c r="A1631" i="2"/>
  <c r="K2143" i="2"/>
  <c r="P472" i="2"/>
  <c r="Q940" i="2"/>
  <c r="F1711" i="2"/>
  <c r="R904" i="2"/>
  <c r="C767" i="2"/>
  <c r="M2071" i="2"/>
  <c r="F2143" i="2"/>
  <c r="S1631" i="2"/>
  <c r="O2008" i="2"/>
  <c r="R472" i="2"/>
  <c r="M35" i="2"/>
  <c r="J1604" i="2"/>
  <c r="E904" i="2"/>
  <c r="Q1747" i="2"/>
  <c r="G2233" i="2"/>
  <c r="Q1665" i="2"/>
  <c r="A1645" i="2"/>
  <c r="S1482" i="2"/>
  <c r="D46" i="2"/>
  <c r="K1631" i="2"/>
  <c r="G1031" i="2"/>
  <c r="O1711" i="2"/>
  <c r="R2011" i="2"/>
  <c r="N1295" i="2"/>
  <c r="G53" i="2"/>
  <c r="F1857" i="2"/>
  <c r="G904" i="2"/>
  <c r="M409" i="2"/>
  <c r="T2235" i="2"/>
  <c r="N2008" i="2"/>
  <c r="D2233" i="2"/>
  <c r="A35" i="2"/>
  <c r="C1747" i="2"/>
  <c r="F472" i="2"/>
  <c r="D1604" i="2"/>
  <c r="E2071" i="2"/>
  <c r="R767" i="2"/>
  <c r="A1538" i="2"/>
  <c r="H2071" i="2"/>
  <c r="O14" i="2"/>
  <c r="F1665" i="2"/>
  <c r="Q1918" i="2"/>
  <c r="P868" i="2"/>
  <c r="E1126" i="2"/>
  <c r="E832" i="2"/>
  <c r="Q2143" i="2"/>
  <c r="E940" i="2"/>
  <c r="Q566" i="2"/>
  <c r="D1296" i="2"/>
  <c r="C304" i="2"/>
  <c r="R965" i="2"/>
  <c r="P159" i="2"/>
  <c r="Q1915" i="2"/>
  <c r="C1296" i="2"/>
  <c r="E561" i="2"/>
  <c r="O2090" i="2"/>
  <c r="O41" i="2"/>
  <c r="K749" i="2"/>
  <c r="G965" i="2"/>
  <c r="C749" i="2"/>
  <c r="E566" i="2"/>
  <c r="K2033" i="2"/>
  <c r="J561" i="2"/>
  <c r="O726" i="2"/>
  <c r="N749" i="2"/>
  <c r="N57" i="2"/>
  <c r="A601" i="2"/>
  <c r="A566" i="2"/>
  <c r="D561" i="2"/>
  <c r="F1285" i="2"/>
  <c r="A1420" i="2"/>
  <c r="F41" i="2"/>
  <c r="M726" i="2"/>
  <c r="J1285" i="2"/>
  <c r="N1296" i="2"/>
  <c r="T749" i="2"/>
  <c r="K601" i="2"/>
  <c r="J57" i="2"/>
  <c r="R2033" i="2"/>
  <c r="K57" i="2"/>
  <c r="J1915" i="2"/>
  <c r="C1915" i="2"/>
  <c r="Q304" i="2"/>
  <c r="C41" i="2"/>
  <c r="C965" i="2"/>
  <c r="Q2036" i="2"/>
  <c r="G1416" i="2"/>
  <c r="T2033" i="2"/>
  <c r="H1296" i="2"/>
  <c r="R1321" i="2"/>
  <c r="H2033" i="2"/>
  <c r="F159" i="2"/>
  <c r="F1915" i="2"/>
  <c r="K561" i="2"/>
  <c r="S1420" i="2"/>
  <c r="K304" i="2"/>
  <c r="R57" i="2"/>
  <c r="Q1420" i="2"/>
  <c r="A41" i="2"/>
  <c r="K1915" i="2"/>
  <c r="G1420" i="2"/>
  <c r="E749" i="2"/>
  <c r="E601" i="2"/>
  <c r="H1321" i="2"/>
  <c r="F749" i="2"/>
  <c r="O1420" i="2"/>
  <c r="O304" i="2"/>
  <c r="S304" i="2"/>
  <c r="P1296" i="2"/>
  <c r="O2036" i="2"/>
  <c r="H561" i="2"/>
  <c r="E1416" i="2"/>
  <c r="A1915" i="2"/>
  <c r="H749" i="2"/>
  <c r="K1274" i="2"/>
  <c r="O561" i="2"/>
  <c r="H726" i="2"/>
  <c r="H1420" i="2"/>
  <c r="D1321" i="2"/>
  <c r="O1296" i="2"/>
  <c r="G2036" i="2"/>
  <c r="J1416" i="2"/>
  <c r="S965" i="2"/>
  <c r="M561" i="2"/>
  <c r="R726" i="2"/>
  <c r="H304" i="2"/>
  <c r="D566" i="2"/>
  <c r="N1416" i="2"/>
  <c r="R601" i="2"/>
  <c r="E1915" i="2"/>
  <c r="O2033" i="2"/>
  <c r="D749" i="2"/>
  <c r="Q2090" i="2"/>
  <c r="M566" i="2"/>
  <c r="P2090" i="2"/>
  <c r="J1296" i="2"/>
  <c r="P1274" i="2"/>
  <c r="K2090" i="2"/>
  <c r="R2090" i="2"/>
  <c r="A965" i="2"/>
  <c r="Q57" i="2"/>
  <c r="C2036" i="2"/>
  <c r="K1285" i="2"/>
  <c r="R566" i="2"/>
  <c r="C159" i="2"/>
  <c r="O1285" i="2"/>
  <c r="T1321" i="2"/>
  <c r="C2090" i="2"/>
  <c r="S57" i="2"/>
  <c r="C601" i="2"/>
  <c r="P57" i="2"/>
  <c r="F1321" i="2"/>
  <c r="H41" i="2"/>
  <c r="F2033" i="2"/>
  <c r="T1285" i="2"/>
  <c r="M1296" i="2"/>
  <c r="K1416" i="2"/>
  <c r="S159" i="2"/>
  <c r="D965" i="2"/>
  <c r="H601" i="2"/>
  <c r="A2033" i="2"/>
  <c r="N304" i="2"/>
  <c r="S2090" i="2"/>
  <c r="E1274" i="2"/>
  <c r="G726" i="2"/>
  <c r="S566" i="2"/>
  <c r="H57" i="2"/>
  <c r="S1915" i="2"/>
  <c r="Q965" i="2"/>
  <c r="Q1274" i="2"/>
  <c r="F566" i="2"/>
  <c r="O159" i="2"/>
  <c r="D2033" i="2"/>
  <c r="C1416" i="2"/>
  <c r="Q1416" i="2"/>
  <c r="H566" i="2"/>
  <c r="M57" i="2"/>
  <c r="P304" i="2"/>
  <c r="T1420" i="2"/>
  <c r="O1274" i="2"/>
  <c r="R1296" i="2"/>
  <c r="D1285" i="2"/>
  <c r="D2090" i="2"/>
  <c r="C1274" i="2"/>
  <c r="G1285" i="2"/>
  <c r="P1420" i="2"/>
  <c r="P1285" i="2"/>
  <c r="G1274" i="2"/>
  <c r="T561" i="2"/>
  <c r="M1285" i="2"/>
  <c r="K1420" i="2"/>
  <c r="J726" i="2"/>
  <c r="O601" i="2"/>
  <c r="G2033" i="2"/>
  <c r="F965" i="2"/>
  <c r="A726" i="2"/>
  <c r="H2036" i="2"/>
  <c r="T965" i="2"/>
  <c r="S601" i="2"/>
  <c r="C1321" i="2"/>
  <c r="D159" i="2"/>
  <c r="G304" i="2"/>
  <c r="H1274" i="2"/>
  <c r="J1274" i="2"/>
  <c r="T601" i="2"/>
  <c r="R1416" i="2"/>
  <c r="N2033" i="2"/>
  <c r="D1416" i="2"/>
  <c r="P965" i="2"/>
  <c r="A57" i="2"/>
  <c r="Q41" i="2"/>
  <c r="K41" i="2"/>
  <c r="J749" i="2"/>
  <c r="J2090" i="2"/>
  <c r="E1296" i="2"/>
  <c r="G57" i="2"/>
  <c r="M1416" i="2"/>
  <c r="Q2033" i="2"/>
  <c r="F1420" i="2"/>
  <c r="A561" i="2"/>
  <c r="E2090" i="2"/>
  <c r="E726" i="2"/>
  <c r="J159" i="2"/>
  <c r="S2033" i="2"/>
  <c r="E1420" i="2"/>
  <c r="N2036" i="2"/>
  <c r="R1915" i="2"/>
  <c r="Q1321" i="2"/>
  <c r="A304" i="2"/>
  <c r="C57" i="2"/>
  <c r="D726" i="2"/>
  <c r="C1285" i="2"/>
  <c r="E41" i="2"/>
  <c r="M1274" i="2"/>
  <c r="M965" i="2"/>
  <c r="A1274" i="2"/>
  <c r="T2036" i="2"/>
  <c r="A1296" i="2"/>
  <c r="J601" i="2"/>
  <c r="N41" i="2"/>
  <c r="G1296" i="2"/>
  <c r="S1296" i="2"/>
  <c r="N566" i="2"/>
  <c r="A2036" i="2"/>
  <c r="S1416" i="2"/>
  <c r="D2036" i="2"/>
  <c r="A159" i="2"/>
  <c r="J41" i="2"/>
  <c r="R2036" i="2"/>
  <c r="P1915" i="2"/>
  <c r="A1321" i="2"/>
  <c r="G159" i="2"/>
  <c r="D601" i="2"/>
  <c r="O1915" i="2"/>
  <c r="T566" i="2"/>
  <c r="C726" i="2"/>
  <c r="F57" i="2"/>
  <c r="S1274" i="2"/>
  <c r="A1416" i="2"/>
  <c r="M749" i="2"/>
  <c r="E1321" i="2"/>
  <c r="F1274" i="2"/>
  <c r="G566" i="2"/>
  <c r="F601" i="2"/>
  <c r="G749" i="2"/>
  <c r="O749" i="2"/>
  <c r="E57" i="2"/>
  <c r="H159" i="2"/>
  <c r="K965" i="2"/>
  <c r="N601" i="2"/>
  <c r="A2090" i="2"/>
  <c r="M2090" i="2"/>
  <c r="F726" i="2"/>
  <c r="T726" i="2"/>
  <c r="E2033" i="2"/>
  <c r="J566" i="2"/>
  <c r="M2033" i="2"/>
  <c r="T2090" i="2"/>
  <c r="P41" i="2"/>
  <c r="T1296" i="2"/>
  <c r="F304" i="2"/>
  <c r="C566" i="2"/>
  <c r="D1274" i="2"/>
  <c r="P2036" i="2"/>
  <c r="F2090" i="2"/>
  <c r="C2033" i="2"/>
  <c r="Q749" i="2"/>
  <c r="Q1296" i="2"/>
  <c r="G1321" i="2"/>
  <c r="E965" i="2"/>
  <c r="J1321" i="2"/>
  <c r="O965" i="2"/>
  <c r="Q159" i="2"/>
  <c r="T159" i="2"/>
  <c r="H965" i="2"/>
  <c r="O1416" i="2"/>
  <c r="O1321" i="2"/>
  <c r="P726" i="2"/>
  <c r="S1285" i="2"/>
  <c r="H2090" i="2"/>
  <c r="J304" i="2"/>
  <c r="J2033" i="2"/>
  <c r="F561" i="2"/>
  <c r="R1420" i="2"/>
  <c r="Q561" i="2"/>
  <c r="R561" i="2"/>
  <c r="D1420" i="2"/>
  <c r="Q726" i="2"/>
  <c r="O566" i="2"/>
  <c r="P1416" i="2"/>
  <c r="P561" i="2"/>
  <c r="T1915" i="2"/>
  <c r="M304" i="2"/>
  <c r="J2036" i="2"/>
  <c r="N965" i="2"/>
  <c r="K726" i="2"/>
  <c r="D1915" i="2"/>
  <c r="S1321" i="2"/>
  <c r="M601" i="2"/>
  <c r="A749" i="2"/>
  <c r="N159" i="2"/>
  <c r="G1915" i="2"/>
  <c r="S41" i="2"/>
  <c r="K159" i="2"/>
  <c r="R749" i="2"/>
  <c r="C1420" i="2"/>
  <c r="P1321" i="2"/>
  <c r="N561" i="2"/>
  <c r="F2036" i="2"/>
  <c r="M159" i="2"/>
  <c r="T57" i="2"/>
  <c r="A1285" i="2"/>
  <c r="E1285" i="2"/>
  <c r="N2090" i="2"/>
  <c r="G561" i="2"/>
  <c r="K2036" i="2"/>
  <c r="S2036" i="2"/>
  <c r="N1285" i="2"/>
  <c r="R304" i="2"/>
  <c r="S726" i="2"/>
  <c r="R41" i="2"/>
  <c r="P749" i="2"/>
  <c r="N1420" i="2"/>
  <c r="C561" i="2"/>
  <c r="H1285" i="2"/>
  <c r="D304" i="2"/>
  <c r="P566" i="2"/>
  <c r="K1321" i="2"/>
  <c r="M2036" i="2"/>
  <c r="N1321" i="2"/>
  <c r="N1274" i="2"/>
  <c r="D57" i="2"/>
  <c r="K1296" i="2"/>
  <c r="P601" i="2"/>
  <c r="R159" i="2"/>
  <c r="D41" i="2"/>
  <c r="G601" i="2"/>
  <c r="T1416" i="2"/>
  <c r="M1420" i="2"/>
  <c r="H1416" i="2"/>
  <c r="R1274" i="2"/>
  <c r="H1915" i="2"/>
  <c r="M41" i="2"/>
  <c r="M1915" i="2"/>
  <c r="E304" i="2"/>
  <c r="R1285" i="2"/>
  <c r="G41" i="2"/>
  <c r="Q1285" i="2"/>
  <c r="E2036" i="2"/>
  <c r="T1274" i="2"/>
  <c r="N1915" i="2"/>
  <c r="K566" i="2"/>
  <c r="M1321" i="2"/>
  <c r="S749" i="2"/>
  <c r="E159" i="2"/>
  <c r="G2090" i="2"/>
  <c r="J1420" i="2"/>
  <c r="P2033" i="2"/>
  <c r="J965" i="2"/>
  <c r="T304" i="2"/>
  <c r="F1416" i="2"/>
  <c r="Q601" i="2"/>
  <c r="F1296" i="2"/>
  <c r="S561" i="2"/>
  <c r="O57" i="2"/>
  <c r="N726" i="2"/>
  <c r="T41" i="2"/>
  <c r="T1545" i="2"/>
  <c r="O1258" i="2"/>
  <c r="K1258" i="2"/>
  <c r="A337" i="2"/>
  <c r="C927" i="2"/>
  <c r="R377" i="2"/>
  <c r="K232" i="2"/>
  <c r="C1560" i="2"/>
  <c r="R2057" i="2"/>
  <c r="G138" i="2"/>
  <c r="S1937" i="2"/>
  <c r="F138" i="2"/>
  <c r="J1545" i="2"/>
  <c r="J232" i="2"/>
  <c r="J765" i="2"/>
  <c r="H232" i="2"/>
  <c r="F1560" i="2"/>
  <c r="C337" i="2"/>
  <c r="N1258" i="2"/>
  <c r="E1937" i="2"/>
  <c r="P765" i="2"/>
  <c r="H1713" i="2"/>
  <c r="J1752" i="2"/>
  <c r="E927" i="2"/>
  <c r="A1617" i="2"/>
  <c r="P556" i="2"/>
  <c r="F377" i="2"/>
  <c r="J377" i="2"/>
  <c r="O1545" i="2"/>
  <c r="J1996" i="2"/>
  <c r="P1560" i="2"/>
  <c r="P1165" i="2"/>
  <c r="H556" i="2"/>
  <c r="O2057" i="2"/>
  <c r="D1560" i="2"/>
  <c r="S377" i="2"/>
  <c r="H1752" i="2"/>
  <c r="H1403" i="2"/>
  <c r="M1560" i="2"/>
  <c r="G556" i="2"/>
  <c r="T1165" i="2"/>
  <c r="C628" i="2"/>
  <c r="N138" i="2"/>
  <c r="D556" i="2"/>
  <c r="N1403" i="2"/>
  <c r="E1752" i="2"/>
  <c r="N377" i="2"/>
  <c r="S2057" i="2"/>
  <c r="O1560" i="2"/>
  <c r="C1713" i="2"/>
  <c r="R1258" i="2"/>
  <c r="S1545" i="2"/>
  <c r="O1165" i="2"/>
  <c r="K287" i="2"/>
  <c r="S1403" i="2"/>
  <c r="Q556" i="2"/>
  <c r="Q2057" i="2"/>
  <c r="T1937" i="2"/>
  <c r="A927" i="2"/>
  <c r="H765" i="2"/>
  <c r="K628" i="2"/>
  <c r="N1937" i="2"/>
  <c r="C232" i="2"/>
  <c r="H1937" i="2"/>
  <c r="M337" i="2"/>
  <c r="K1617" i="2"/>
  <c r="T556" i="2"/>
  <c r="J628" i="2"/>
  <c r="P1403" i="2"/>
  <c r="M927" i="2"/>
  <c r="S287" i="2"/>
  <c r="J1165" i="2"/>
  <c r="F337" i="2"/>
  <c r="R556" i="2"/>
  <c r="P287" i="2"/>
  <c r="G1165" i="2"/>
  <c r="F1713" i="2"/>
  <c r="G337" i="2"/>
  <c r="G232" i="2"/>
  <c r="R1545" i="2"/>
  <c r="O337" i="2"/>
  <c r="C1996" i="2"/>
  <c r="D628" i="2"/>
  <c r="D765" i="2"/>
  <c r="T1560" i="2"/>
  <c r="O232" i="2"/>
  <c r="S927" i="2"/>
  <c r="T628" i="2"/>
  <c r="S1165" i="2"/>
  <c r="R232" i="2"/>
  <c r="F1617" i="2"/>
  <c r="E1545" i="2"/>
  <c r="O1996" i="2"/>
  <c r="M377" i="2"/>
  <c r="E1617" i="2"/>
  <c r="E1258" i="2"/>
  <c r="Q337" i="2"/>
  <c r="F2057" i="2"/>
  <c r="A1403" i="2"/>
  <c r="D337" i="2"/>
  <c r="C1937" i="2"/>
  <c r="P138" i="2"/>
  <c r="Q1713" i="2"/>
  <c r="O377" i="2"/>
  <c r="H1545" i="2"/>
  <c r="E1713" i="2"/>
  <c r="S1258" i="2"/>
  <c r="T1258" i="2"/>
  <c r="M1996" i="2"/>
  <c r="E556" i="2"/>
  <c r="D1545" i="2"/>
  <c r="P337" i="2"/>
  <c r="E1403" i="2"/>
  <c r="P1996" i="2"/>
  <c r="N765" i="2"/>
  <c r="K337" i="2"/>
  <c r="M287" i="2"/>
  <c r="Q232" i="2"/>
  <c r="D1165" i="2"/>
  <c r="J1560" i="2"/>
  <c r="F1403" i="2"/>
  <c r="T1752" i="2"/>
  <c r="K1560" i="2"/>
  <c r="N287" i="2"/>
  <c r="D138" i="2"/>
  <c r="T377" i="2"/>
  <c r="Q1545" i="2"/>
  <c r="R1752" i="2"/>
  <c r="S337" i="2"/>
  <c r="M1403" i="2"/>
  <c r="Q287" i="2"/>
  <c r="K1752" i="2"/>
  <c r="M1617" i="2"/>
  <c r="A1996" i="2"/>
  <c r="K1937" i="2"/>
  <c r="D1937" i="2"/>
  <c r="A377" i="2"/>
  <c r="R1560" i="2"/>
  <c r="O1403" i="2"/>
  <c r="N337" i="2"/>
  <c r="O1713" i="2"/>
  <c r="P1258" i="2"/>
  <c r="P232" i="2"/>
  <c r="Q377" i="2"/>
  <c r="P1617" i="2"/>
  <c r="E377" i="2"/>
  <c r="T2057" i="2"/>
  <c r="T1713" i="2"/>
  <c r="D287" i="2"/>
  <c r="J1403" i="2"/>
  <c r="J138" i="2"/>
  <c r="D232" i="2"/>
  <c r="G628" i="2"/>
  <c r="Q1403" i="2"/>
  <c r="F1937" i="2"/>
  <c r="E287" i="2"/>
  <c r="Q1937" i="2"/>
  <c r="O1752" i="2"/>
  <c r="O927" i="2"/>
  <c r="C1617" i="2"/>
  <c r="R1617" i="2"/>
  <c r="S1560" i="2"/>
  <c r="F1258" i="2"/>
  <c r="Q1165" i="2"/>
  <c r="N556" i="2"/>
  <c r="G1258" i="2"/>
  <c r="J556" i="2"/>
  <c r="E337" i="2"/>
  <c r="F927" i="2"/>
  <c r="E2057" i="2"/>
  <c r="Q927" i="2"/>
  <c r="M765" i="2"/>
  <c r="M2057" i="2"/>
  <c r="C1258" i="2"/>
  <c r="P1713" i="2"/>
  <c r="E765" i="2"/>
  <c r="D2057" i="2"/>
  <c r="Q765" i="2"/>
  <c r="N927" i="2"/>
  <c r="E1996" i="2"/>
  <c r="T138" i="2"/>
  <c r="D1713" i="2"/>
  <c r="M1937" i="2"/>
  <c r="F1752" i="2"/>
  <c r="O1617" i="2"/>
  <c r="H927" i="2"/>
  <c r="A1545" i="2"/>
  <c r="O765" i="2"/>
  <c r="P1545" i="2"/>
  <c r="Q1560" i="2"/>
  <c r="R927" i="2"/>
  <c r="D927" i="2"/>
  <c r="P1937" i="2"/>
  <c r="Q1617" i="2"/>
  <c r="S138" i="2"/>
  <c r="P1752" i="2"/>
  <c r="G1996" i="2"/>
  <c r="G765" i="2"/>
  <c r="M1545" i="2"/>
  <c r="F232" i="2"/>
  <c r="T1617" i="2"/>
  <c r="R1713" i="2"/>
  <c r="A138" i="2"/>
  <c r="P377" i="2"/>
  <c r="R765" i="2"/>
  <c r="E232" i="2"/>
  <c r="K138" i="2"/>
  <c r="A287" i="2"/>
  <c r="M138" i="2"/>
  <c r="G1713" i="2"/>
  <c r="J1713" i="2"/>
  <c r="C287" i="2"/>
  <c r="H1560" i="2"/>
  <c r="G1403" i="2"/>
  <c r="R1403" i="2"/>
  <c r="D1752" i="2"/>
  <c r="T1403" i="2"/>
  <c r="Q1996" i="2"/>
  <c r="K1996" i="2"/>
  <c r="G287" i="2"/>
  <c r="N628" i="2"/>
  <c r="H628" i="2"/>
  <c r="D1258" i="2"/>
  <c r="S765" i="2"/>
  <c r="R138" i="2"/>
  <c r="O1937" i="2"/>
  <c r="K1713" i="2"/>
  <c r="J927" i="2"/>
  <c r="T927" i="2"/>
  <c r="C1165" i="2"/>
  <c r="M628" i="2"/>
  <c r="N1165" i="2"/>
  <c r="M1752" i="2"/>
  <c r="R1937" i="2"/>
  <c r="K765" i="2"/>
  <c r="K1545" i="2"/>
  <c r="T232" i="2"/>
  <c r="F1545" i="2"/>
  <c r="A1752" i="2"/>
  <c r="Q138" i="2"/>
  <c r="O287" i="2"/>
  <c r="F765" i="2"/>
  <c r="P2057" i="2"/>
  <c r="R287" i="2"/>
  <c r="A1165" i="2"/>
  <c r="H337" i="2"/>
  <c r="R628" i="2"/>
  <c r="H1996" i="2"/>
  <c r="M1713" i="2"/>
  <c r="E628" i="2"/>
  <c r="S628" i="2"/>
  <c r="F628" i="2"/>
  <c r="M1165" i="2"/>
  <c r="K2057" i="2"/>
  <c r="N1617" i="2"/>
  <c r="A1560" i="2"/>
  <c r="S1996" i="2"/>
  <c r="M232" i="2"/>
  <c r="K1403" i="2"/>
  <c r="O628" i="2"/>
  <c r="T287" i="2"/>
  <c r="G1937" i="2"/>
  <c r="T765" i="2"/>
  <c r="A628" i="2"/>
  <c r="T337" i="2"/>
  <c r="A2057" i="2"/>
  <c r="A1713" i="2"/>
  <c r="N1752" i="2"/>
  <c r="N1545" i="2"/>
  <c r="S1752" i="2"/>
  <c r="D377" i="2"/>
  <c r="K927" i="2"/>
  <c r="N2057" i="2"/>
  <c r="C2057" i="2"/>
  <c r="H1165" i="2"/>
  <c r="J1937" i="2"/>
  <c r="K377" i="2"/>
  <c r="H377" i="2"/>
  <c r="S1617" i="2"/>
  <c r="F1165" i="2"/>
  <c r="R1996" i="2"/>
  <c r="Q1258" i="2"/>
  <c r="C1403" i="2"/>
  <c r="T1996" i="2"/>
  <c r="M556" i="2"/>
  <c r="D1996" i="2"/>
  <c r="F287" i="2"/>
  <c r="F556" i="2"/>
  <c r="H138" i="2"/>
  <c r="C556" i="2"/>
  <c r="C1752" i="2"/>
  <c r="S556" i="2"/>
  <c r="O138" i="2"/>
  <c r="H1617" i="2"/>
  <c r="N1560" i="2"/>
  <c r="R1165" i="2"/>
  <c r="H2057" i="2"/>
  <c r="Q1752" i="2"/>
  <c r="J1617" i="2"/>
  <c r="G1617" i="2"/>
  <c r="G1545" i="2"/>
  <c r="J1258" i="2"/>
  <c r="A1258" i="2"/>
  <c r="S232" i="2"/>
  <c r="G927" i="2"/>
  <c r="N1713" i="2"/>
  <c r="O556" i="2"/>
  <c r="E1165" i="2"/>
  <c r="F1996" i="2"/>
  <c r="J287" i="2"/>
  <c r="A232" i="2"/>
  <c r="C377" i="2"/>
  <c r="K556" i="2"/>
  <c r="P628" i="2"/>
  <c r="C765" i="2"/>
  <c r="C138" i="2"/>
  <c r="G2057" i="2"/>
  <c r="J337" i="2"/>
  <c r="M1258" i="2"/>
  <c r="N1996" i="2"/>
  <c r="N232" i="2"/>
  <c r="G377" i="2"/>
  <c r="D1617" i="2"/>
  <c r="R337" i="2"/>
  <c r="A556" i="2"/>
  <c r="Q628" i="2"/>
  <c r="A1937" i="2"/>
  <c r="D1403" i="2"/>
  <c r="J2057" i="2"/>
  <c r="E1560" i="2"/>
  <c r="H1258" i="2"/>
  <c r="G1752" i="2"/>
  <c r="G1560" i="2"/>
  <c r="K1165" i="2"/>
  <c r="P927" i="2"/>
  <c r="E138" i="2"/>
  <c r="C1545" i="2"/>
  <c r="A765" i="2"/>
  <c r="H287" i="2"/>
  <c r="S1713" i="2"/>
  <c r="T451" i="2"/>
  <c r="S922" i="2"/>
  <c r="T1118" i="2"/>
  <c r="J1182" i="2"/>
  <c r="S1215" i="2"/>
  <c r="K1118" i="2"/>
  <c r="E451" i="2"/>
  <c r="A1118" i="2"/>
  <c r="R598" i="2"/>
  <c r="M2129" i="2"/>
  <c r="E967" i="2"/>
  <c r="F1215" i="2"/>
  <c r="N922" i="2"/>
  <c r="S451" i="2"/>
  <c r="G445" i="2"/>
  <c r="O801" i="2"/>
  <c r="O445" i="2"/>
  <c r="A801" i="2"/>
  <c r="N445" i="2"/>
  <c r="N1118" i="2"/>
  <c r="P1182" i="2"/>
  <c r="C1118" i="2"/>
  <c r="S1182" i="2"/>
  <c r="F598" i="2"/>
  <c r="S2129" i="2"/>
  <c r="M922" i="2"/>
  <c r="O451" i="2"/>
  <c r="Q598" i="2"/>
  <c r="D1215" i="2"/>
  <c r="F922" i="2"/>
  <c r="O1182" i="2"/>
  <c r="R922" i="2"/>
  <c r="P598" i="2"/>
  <c r="O1215" i="2"/>
  <c r="G801" i="2"/>
  <c r="Q1118" i="2"/>
  <c r="O967" i="2"/>
  <c r="E922" i="2"/>
  <c r="H1118" i="2"/>
  <c r="K598" i="2"/>
  <c r="K922" i="2"/>
  <c r="A598" i="2"/>
  <c r="G598" i="2"/>
  <c r="M801" i="2"/>
  <c r="M1182" i="2"/>
  <c r="K445" i="2"/>
  <c r="M451" i="2"/>
  <c r="J922" i="2"/>
  <c r="H598" i="2"/>
  <c r="S445" i="2"/>
  <c r="P801" i="2"/>
  <c r="C451" i="2"/>
  <c r="H2129" i="2"/>
  <c r="F451" i="2"/>
  <c r="D451" i="2"/>
  <c r="F801" i="2"/>
  <c r="C1215" i="2"/>
  <c r="J2129" i="2"/>
  <c r="J967" i="2"/>
  <c r="S1118" i="2"/>
  <c r="O1118" i="2"/>
  <c r="D967" i="2"/>
  <c r="T922" i="2"/>
  <c r="R801" i="2"/>
  <c r="C801" i="2"/>
  <c r="Q2129" i="2"/>
  <c r="R451" i="2"/>
  <c r="J445" i="2"/>
  <c r="R1215" i="2"/>
  <c r="K801" i="2"/>
  <c r="E1182" i="2"/>
  <c r="F1182" i="2"/>
  <c r="A922" i="2"/>
  <c r="R1118" i="2"/>
  <c r="P922" i="2"/>
  <c r="D801" i="2"/>
  <c r="K1215" i="2"/>
  <c r="T2129" i="2"/>
  <c r="H801" i="2"/>
  <c r="J598" i="2"/>
  <c r="K451" i="2"/>
  <c r="T801" i="2"/>
  <c r="H1182" i="2"/>
  <c r="N801" i="2"/>
  <c r="E801" i="2"/>
  <c r="A1182" i="2"/>
  <c r="N451" i="2"/>
  <c r="H451" i="2"/>
  <c r="T967" i="2"/>
  <c r="Q922" i="2"/>
  <c r="J1118" i="2"/>
  <c r="N2129" i="2"/>
  <c r="D1182" i="2"/>
  <c r="P967" i="2"/>
  <c r="C598" i="2"/>
  <c r="K1182" i="2"/>
  <c r="Q1215" i="2"/>
  <c r="J1215" i="2"/>
  <c r="Q801" i="2"/>
  <c r="F967" i="2"/>
  <c r="E2129" i="2"/>
  <c r="E1118" i="2"/>
  <c r="R1182" i="2"/>
  <c r="E598" i="2"/>
  <c r="T445" i="2"/>
  <c r="R2129" i="2"/>
  <c r="Q445" i="2"/>
  <c r="J801" i="2"/>
  <c r="D922" i="2"/>
  <c r="S967" i="2"/>
  <c r="A967" i="2"/>
  <c r="G967" i="2"/>
  <c r="Q967" i="2"/>
  <c r="G2129" i="2"/>
  <c r="G451" i="2"/>
  <c r="S598" i="2"/>
  <c r="M1118" i="2"/>
  <c r="F1118" i="2"/>
  <c r="Q451" i="2"/>
  <c r="A1215" i="2"/>
  <c r="R445" i="2"/>
  <c r="T1215" i="2"/>
  <c r="C2129" i="2"/>
  <c r="F2129" i="2"/>
  <c r="D2129" i="2"/>
  <c r="E445" i="2"/>
  <c r="N1215" i="2"/>
  <c r="Q1182" i="2"/>
  <c r="D598" i="2"/>
  <c r="H1215" i="2"/>
  <c r="O2129" i="2"/>
  <c r="C922" i="2"/>
  <c r="N598" i="2"/>
  <c r="N967" i="2"/>
  <c r="A2129" i="2"/>
  <c r="G1215" i="2"/>
  <c r="T1182" i="2"/>
  <c r="R967" i="2"/>
  <c r="D1118" i="2"/>
  <c r="H967" i="2"/>
  <c r="C967" i="2"/>
  <c r="K2129" i="2"/>
  <c r="A445" i="2"/>
  <c r="D445" i="2"/>
  <c r="P1118" i="2"/>
  <c r="M445" i="2"/>
  <c r="K967" i="2"/>
  <c r="C445" i="2"/>
  <c r="G922" i="2"/>
  <c r="M598" i="2"/>
  <c r="F445" i="2"/>
  <c r="H922" i="2"/>
  <c r="P451" i="2"/>
  <c r="P1215" i="2"/>
  <c r="P445" i="2"/>
  <c r="N1182" i="2"/>
  <c r="J451" i="2"/>
  <c r="C1182" i="2"/>
  <c r="O598" i="2"/>
  <c r="M1215" i="2"/>
  <c r="T598" i="2"/>
  <c r="E1215" i="2"/>
  <c r="A451" i="2"/>
  <c r="G1118" i="2"/>
  <c r="H445" i="2"/>
  <c r="M967" i="2"/>
  <c r="P2129" i="2"/>
  <c r="O922" i="2"/>
  <c r="S801" i="2"/>
  <c r="G1182" i="2"/>
  <c r="F738" i="2"/>
  <c r="K2059" i="2"/>
  <c r="F2059" i="2"/>
  <c r="N803" i="2"/>
  <c r="E1494" i="2"/>
  <c r="F1386" i="2"/>
  <c r="G1494" i="2"/>
  <c r="H2151" i="2"/>
  <c r="K1315" i="2"/>
  <c r="F2043" i="2"/>
  <c r="D2100" i="2"/>
  <c r="K814" i="2"/>
  <c r="Q1905" i="2"/>
  <c r="H814" i="2"/>
  <c r="D1475" i="2"/>
  <c r="R1475" i="2"/>
  <c r="P2100" i="2"/>
  <c r="K2151" i="2"/>
  <c r="K638" i="2"/>
  <c r="F310" i="2"/>
  <c r="C2054" i="2"/>
  <c r="N964" i="2"/>
  <c r="E753" i="2"/>
  <c r="M125" i="2"/>
  <c r="K738" i="2"/>
  <c r="P2059" i="2"/>
  <c r="H1364" i="2"/>
  <c r="F492" i="2"/>
  <c r="J2054" i="2"/>
  <c r="N2043" i="2"/>
  <c r="S814" i="2"/>
  <c r="N1080" i="2"/>
  <c r="A1100" i="2"/>
  <c r="H1908" i="2"/>
  <c r="P2054" i="2"/>
  <c r="E2151" i="2"/>
  <c r="Q814" i="2"/>
  <c r="M1386" i="2"/>
  <c r="M492" i="2"/>
  <c r="K782" i="2"/>
  <c r="O402" i="2"/>
  <c r="P2043" i="2"/>
  <c r="M436" i="2"/>
  <c r="A951" i="2"/>
  <c r="A402" i="2"/>
  <c r="O1765" i="2"/>
  <c r="R2054" i="2"/>
  <c r="D1989" i="2"/>
  <c r="D1905" i="2"/>
  <c r="C2059" i="2"/>
  <c r="S1386" i="2"/>
  <c r="K563" i="2"/>
  <c r="O263" i="2"/>
  <c r="T2100" i="2"/>
  <c r="F1080" i="2"/>
  <c r="S402" i="2"/>
  <c r="G753" i="2"/>
  <c r="S2043" i="2"/>
  <c r="K1003" i="2"/>
  <c r="H970" i="2"/>
  <c r="C436" i="2"/>
  <c r="H2160" i="2"/>
  <c r="H1160" i="2"/>
  <c r="R837" i="2"/>
  <c r="R402" i="2"/>
  <c r="H753" i="2"/>
  <c r="D1386" i="2"/>
  <c r="M2160" i="2"/>
  <c r="N563" i="2"/>
  <c r="T2151" i="2"/>
  <c r="Q1315" i="2"/>
  <c r="S2059" i="2"/>
  <c r="T59" i="2"/>
  <c r="A1386" i="2"/>
  <c r="F436" i="2"/>
  <c r="E1765" i="2"/>
  <c r="J402" i="2"/>
  <c r="F1765" i="2"/>
  <c r="A814" i="2"/>
  <c r="T738" i="2"/>
  <c r="C1364" i="2"/>
  <c r="C1315" i="2"/>
  <c r="M1315" i="2"/>
  <c r="R1143" i="2"/>
  <c r="M1494" i="2"/>
  <c r="S1494" i="2"/>
  <c r="K803" i="2"/>
  <c r="T1989" i="2"/>
  <c r="Q782" i="2"/>
  <c r="R1905" i="2"/>
  <c r="P951" i="2"/>
  <c r="D782" i="2"/>
  <c r="S803" i="2"/>
  <c r="D2151" i="2"/>
  <c r="D738" i="2"/>
  <c r="O1114" i="2"/>
  <c r="E782" i="2"/>
  <c r="A2100" i="2"/>
  <c r="Q1080" i="2"/>
  <c r="R1080" i="2"/>
  <c r="Q837" i="2"/>
  <c r="O2160" i="2"/>
  <c r="P782" i="2"/>
  <c r="F1475" i="2"/>
  <c r="D1003" i="2"/>
  <c r="M2100" i="2"/>
  <c r="G125" i="2"/>
  <c r="H1315" i="2"/>
  <c r="E436" i="2"/>
  <c r="D2054" i="2"/>
  <c r="D1364" i="2"/>
  <c r="H563" i="2"/>
  <c r="M2151" i="2"/>
  <c r="T1494" i="2"/>
  <c r="C803" i="2"/>
  <c r="F1908" i="2"/>
  <c r="T402" i="2"/>
  <c r="P1080" i="2"/>
  <c r="D1114" i="2"/>
  <c r="A753" i="2"/>
  <c r="K1100" i="2"/>
  <c r="T1315" i="2"/>
  <c r="C1143" i="2"/>
  <c r="A492" i="2"/>
  <c r="R2100" i="2"/>
  <c r="G1143" i="2"/>
  <c r="O1100" i="2"/>
  <c r="Q310" i="2"/>
  <c r="M951" i="2"/>
  <c r="Q2054" i="2"/>
  <c r="A1080" i="2"/>
  <c r="N1989" i="2"/>
  <c r="K1114" i="2"/>
  <c r="D2043" i="2"/>
  <c r="G402" i="2"/>
  <c r="N738" i="2"/>
  <c r="H2054" i="2"/>
  <c r="M964" i="2"/>
  <c r="M1143" i="2"/>
  <c r="T1080" i="2"/>
  <c r="K753" i="2"/>
  <c r="Q1143" i="2"/>
  <c r="P1475" i="2"/>
  <c r="R638" i="2"/>
  <c r="P1989" i="2"/>
  <c r="H1003" i="2"/>
  <c r="C2151" i="2"/>
  <c r="O638" i="2"/>
  <c r="C1160" i="2"/>
  <c r="T1765" i="2"/>
  <c r="M803" i="2"/>
  <c r="E1475" i="2"/>
  <c r="P1765" i="2"/>
  <c r="K1080" i="2"/>
  <c r="S1003" i="2"/>
  <c r="G1114" i="2"/>
  <c r="F1143" i="2"/>
  <c r="M814" i="2"/>
  <c r="F125" i="2"/>
  <c r="E263" i="2"/>
  <c r="F1114" i="2"/>
  <c r="T1908" i="2"/>
  <c r="F1100" i="2"/>
  <c r="C492" i="2"/>
  <c r="P402" i="2"/>
  <c r="E492" i="2"/>
  <c r="R310" i="2"/>
  <c r="M563" i="2"/>
  <c r="E1989" i="2"/>
  <c r="Q59" i="2"/>
  <c r="C970" i="2"/>
  <c r="O1386" i="2"/>
  <c r="M2054" i="2"/>
  <c r="A2059" i="2"/>
  <c r="K263" i="2"/>
  <c r="K125" i="2"/>
  <c r="H951" i="2"/>
  <c r="A2151" i="2"/>
  <c r="N310" i="2"/>
  <c r="J638" i="2"/>
  <c r="S436" i="2"/>
  <c r="P1386" i="2"/>
  <c r="P1315" i="2"/>
  <c r="R1494" i="2"/>
  <c r="F402" i="2"/>
  <c r="G814" i="2"/>
  <c r="P738" i="2"/>
  <c r="F970" i="2"/>
  <c r="T2160" i="2"/>
  <c r="S59" i="2"/>
  <c r="E2100" i="2"/>
  <c r="H402" i="2"/>
  <c r="G563" i="2"/>
  <c r="M59" i="2"/>
  <c r="E970" i="2"/>
  <c r="S837" i="2"/>
  <c r="J1315" i="2"/>
  <c r="K1593" i="2"/>
  <c r="D436" i="2"/>
  <c r="J1080" i="2"/>
  <c r="Q2151" i="2"/>
  <c r="Q1475" i="2"/>
  <c r="M1908" i="2"/>
  <c r="P803" i="2"/>
  <c r="E1905" i="2"/>
  <c r="A59" i="2"/>
  <c r="O492" i="2"/>
  <c r="F814" i="2"/>
  <c r="P1143" i="2"/>
  <c r="R2043" i="2"/>
  <c r="T263" i="2"/>
  <c r="A1003" i="2"/>
  <c r="S1905" i="2"/>
  <c r="J951" i="2"/>
  <c r="G2160" i="2"/>
  <c r="E59" i="2"/>
  <c r="K1386" i="2"/>
  <c r="F1989" i="2"/>
  <c r="G1080" i="2"/>
  <c r="O837" i="2"/>
  <c r="P753" i="2"/>
  <c r="S970" i="2"/>
  <c r="S263" i="2"/>
  <c r="S1114" i="2"/>
  <c r="K1765" i="2"/>
  <c r="A1989" i="2"/>
  <c r="A1114" i="2"/>
  <c r="S1080" i="2"/>
  <c r="S1315" i="2"/>
  <c r="Q1386" i="2"/>
  <c r="H125" i="2"/>
  <c r="O125" i="2"/>
  <c r="D492" i="2"/>
  <c r="T1100" i="2"/>
  <c r="G638" i="2"/>
  <c r="J2043" i="2"/>
  <c r="K1908" i="2"/>
  <c r="G964" i="2"/>
  <c r="N782" i="2"/>
  <c r="G1593" i="2"/>
  <c r="J753" i="2"/>
  <c r="K964" i="2"/>
  <c r="O951" i="2"/>
  <c r="J1989" i="2"/>
  <c r="Q1364" i="2"/>
  <c r="K1364" i="2"/>
  <c r="J2160" i="2"/>
  <c r="G1989" i="2"/>
  <c r="S782" i="2"/>
  <c r="H1143" i="2"/>
  <c r="E638" i="2"/>
  <c r="N125" i="2"/>
  <c r="N263" i="2"/>
  <c r="C738" i="2"/>
  <c r="D1160" i="2"/>
  <c r="Q2100" i="2"/>
  <c r="A563" i="2"/>
  <c r="Q638" i="2"/>
  <c r="H782" i="2"/>
  <c r="G1386" i="2"/>
  <c r="Q1494" i="2"/>
  <c r="N638" i="2"/>
  <c r="E1114" i="2"/>
  <c r="D814" i="2"/>
  <c r="E837" i="2"/>
  <c r="J1765" i="2"/>
  <c r="G1908" i="2"/>
  <c r="H1593" i="2"/>
  <c r="E2059" i="2"/>
  <c r="F803" i="2"/>
  <c r="M1003" i="2"/>
  <c r="Q402" i="2"/>
  <c r="H837" i="2"/>
  <c r="O1315" i="2"/>
  <c r="O738" i="2"/>
  <c r="N951" i="2"/>
  <c r="F964" i="2"/>
  <c r="J1908" i="2"/>
  <c r="E2043" i="2"/>
  <c r="H263" i="2"/>
  <c r="J1003" i="2"/>
  <c r="E964" i="2"/>
  <c r="T782" i="2"/>
  <c r="A1905" i="2"/>
  <c r="R2160" i="2"/>
  <c r="E1143" i="2"/>
  <c r="D2160" i="2"/>
  <c r="A2160" i="2"/>
  <c r="E803" i="2"/>
  <c r="R2151" i="2"/>
  <c r="S563" i="2"/>
  <c r="R1160" i="2"/>
  <c r="Q563" i="2"/>
  <c r="P1003" i="2"/>
  <c r="J563" i="2"/>
  <c r="P1908" i="2"/>
  <c r="O1160" i="2"/>
  <c r="S492" i="2"/>
  <c r="A803" i="2"/>
  <c r="T1003" i="2"/>
  <c r="T1114" i="2"/>
  <c r="N837" i="2"/>
  <c r="D1908" i="2"/>
  <c r="O964" i="2"/>
  <c r="Q1765" i="2"/>
  <c r="Q951" i="2"/>
  <c r="R964" i="2"/>
  <c r="C1100" i="2"/>
  <c r="R951" i="2"/>
  <c r="Q263" i="2"/>
  <c r="G2100" i="2"/>
  <c r="A1364" i="2"/>
  <c r="K1143" i="2"/>
  <c r="Q970" i="2"/>
  <c r="E1003" i="2"/>
  <c r="M1765" i="2"/>
  <c r="D837" i="2"/>
  <c r="F1160" i="2"/>
  <c r="T753" i="2"/>
  <c r="S125" i="2"/>
  <c r="T638" i="2"/>
  <c r="N436" i="2"/>
  <c r="T1475" i="2"/>
  <c r="K2054" i="2"/>
  <c r="N1160" i="2"/>
  <c r="A837" i="2"/>
  <c r="M738" i="2"/>
  <c r="C1905" i="2"/>
  <c r="J803" i="2"/>
  <c r="H492" i="2"/>
  <c r="J1593" i="2"/>
  <c r="H436" i="2"/>
  <c r="R1593" i="2"/>
  <c r="E1160" i="2"/>
  <c r="N1114" i="2"/>
  <c r="R1386" i="2"/>
  <c r="M1080" i="2"/>
  <c r="C1494" i="2"/>
  <c r="T310" i="2"/>
  <c r="H310" i="2"/>
  <c r="P2151" i="2"/>
  <c r="O2151" i="2"/>
  <c r="F1003" i="2"/>
  <c r="H638" i="2"/>
  <c r="N1475" i="2"/>
  <c r="R1908" i="2"/>
  <c r="M638" i="2"/>
  <c r="S1364" i="2"/>
  <c r="P1100" i="2"/>
  <c r="M263" i="2"/>
  <c r="K837" i="2"/>
  <c r="R1114" i="2"/>
  <c r="K970" i="2"/>
  <c r="O2100" i="2"/>
  <c r="J1475" i="2"/>
  <c r="G436" i="2"/>
  <c r="K1160" i="2"/>
  <c r="Q436" i="2"/>
  <c r="T803" i="2"/>
  <c r="Q2160" i="2"/>
  <c r="D1315" i="2"/>
  <c r="A1494" i="2"/>
  <c r="A782" i="2"/>
  <c r="T492" i="2"/>
  <c r="S1143" i="2"/>
  <c r="Q1989" i="2"/>
  <c r="Q1100" i="2"/>
  <c r="E814" i="2"/>
  <c r="R1100" i="2"/>
  <c r="K1494" i="2"/>
  <c r="J738" i="2"/>
  <c r="Q964" i="2"/>
  <c r="P59" i="2"/>
  <c r="G951" i="2"/>
  <c r="S1593" i="2"/>
  <c r="J2059" i="2"/>
  <c r="C1475" i="2"/>
  <c r="G1100" i="2"/>
  <c r="D402" i="2"/>
  <c r="O970" i="2"/>
  <c r="J1386" i="2"/>
  <c r="P964" i="2"/>
  <c r="R803" i="2"/>
  <c r="M1160" i="2"/>
  <c r="P638" i="2"/>
  <c r="K2043" i="2"/>
  <c r="S2151" i="2"/>
  <c r="T1905" i="2"/>
  <c r="M970" i="2"/>
  <c r="E125" i="2"/>
  <c r="C402" i="2"/>
  <c r="E1908" i="2"/>
  <c r="C1386" i="2"/>
  <c r="H1114" i="2"/>
  <c r="H1494" i="2"/>
  <c r="N1765" i="2"/>
  <c r="F1593" i="2"/>
  <c r="F59" i="2"/>
  <c r="O803" i="2"/>
  <c r="H59" i="2"/>
  <c r="J2151" i="2"/>
  <c r="A1908" i="2"/>
  <c r="J814" i="2"/>
  <c r="H738" i="2"/>
  <c r="K1989" i="2"/>
  <c r="K59" i="2"/>
  <c r="C638" i="2"/>
  <c r="O1989" i="2"/>
  <c r="N970" i="2"/>
  <c r="P492" i="2"/>
  <c r="M1475" i="2"/>
  <c r="Q1593" i="2"/>
  <c r="C964" i="2"/>
  <c r="R1003" i="2"/>
  <c r="M2043" i="2"/>
  <c r="P310" i="2"/>
  <c r="P1905" i="2"/>
  <c r="P2160" i="2"/>
  <c r="G738" i="2"/>
  <c r="R1364" i="2"/>
  <c r="C263" i="2"/>
  <c r="F2160" i="2"/>
  <c r="A970" i="2"/>
  <c r="Q1908" i="2"/>
  <c r="Q753" i="2"/>
  <c r="G837" i="2"/>
  <c r="C1908" i="2"/>
  <c r="D125" i="2"/>
  <c r="S1908" i="2"/>
  <c r="H2059" i="2"/>
  <c r="K492" i="2"/>
  <c r="H803" i="2"/>
  <c r="O1494" i="2"/>
  <c r="M1905" i="2"/>
  <c r="N1494" i="2"/>
  <c r="K1475" i="2"/>
  <c r="R1989" i="2"/>
  <c r="S951" i="2"/>
  <c r="N2100" i="2"/>
  <c r="S1160" i="2"/>
  <c r="O2043" i="2"/>
  <c r="A964" i="2"/>
  <c r="R125" i="2"/>
  <c r="E1386" i="2"/>
  <c r="J59" i="2"/>
  <c r="T2043" i="2"/>
  <c r="J964" i="2"/>
  <c r="P125" i="2"/>
  <c r="O782" i="2"/>
  <c r="S2160" i="2"/>
  <c r="F2151" i="2"/>
  <c r="P814" i="2"/>
  <c r="O2054" i="2"/>
  <c r="D1143" i="2"/>
  <c r="O1143" i="2"/>
  <c r="M1364" i="2"/>
  <c r="A1315" i="2"/>
  <c r="H1905" i="2"/>
  <c r="R782" i="2"/>
  <c r="N1386" i="2"/>
  <c r="C125" i="2"/>
  <c r="D638" i="2"/>
  <c r="O59" i="2"/>
  <c r="Q1160" i="2"/>
  <c r="C1989" i="2"/>
  <c r="N1100" i="2"/>
  <c r="R738" i="2"/>
  <c r="F837" i="2"/>
  <c r="A436" i="2"/>
  <c r="O1003" i="2"/>
  <c r="P1593" i="2"/>
  <c r="Q125" i="2"/>
  <c r="K310" i="2"/>
  <c r="F1494" i="2"/>
  <c r="F263" i="2"/>
  <c r="J1905" i="2"/>
  <c r="J782" i="2"/>
  <c r="J1114" i="2"/>
  <c r="A263" i="2"/>
  <c r="T563" i="2"/>
  <c r="O436" i="2"/>
  <c r="H1475" i="2"/>
  <c r="K402" i="2"/>
  <c r="T1143" i="2"/>
  <c r="M2059" i="2"/>
  <c r="O1080" i="2"/>
  <c r="P263" i="2"/>
  <c r="O1593" i="2"/>
  <c r="F638" i="2"/>
  <c r="H1989" i="2"/>
  <c r="H1765" i="2"/>
  <c r="J970" i="2"/>
  <c r="N1364" i="2"/>
  <c r="G310" i="2"/>
  <c r="T125" i="2"/>
  <c r="P1364" i="2"/>
  <c r="A1160" i="2"/>
  <c r="G59" i="2"/>
  <c r="C2100" i="2"/>
  <c r="S964" i="2"/>
  <c r="C1114" i="2"/>
  <c r="G1905" i="2"/>
  <c r="K951" i="2"/>
  <c r="G1003" i="2"/>
  <c r="D1765" i="2"/>
  <c r="M1114" i="2"/>
  <c r="R59" i="2"/>
  <c r="J1364" i="2"/>
  <c r="S2054" i="2"/>
  <c r="E738" i="2"/>
  <c r="D1593" i="2"/>
  <c r="G492" i="2"/>
  <c r="N753" i="2"/>
  <c r="J2100" i="2"/>
  <c r="C59" i="2"/>
  <c r="D2059" i="2"/>
  <c r="F1364" i="2"/>
  <c r="S1475" i="2"/>
  <c r="C1003" i="2"/>
  <c r="Q2043" i="2"/>
  <c r="G2054" i="2"/>
  <c r="A2043" i="2"/>
  <c r="R753" i="2"/>
  <c r="O1364" i="2"/>
  <c r="G2043" i="2"/>
  <c r="K2160" i="2"/>
  <c r="N1315" i="2"/>
  <c r="G970" i="2"/>
  <c r="M1593" i="2"/>
  <c r="P1494" i="2"/>
  <c r="E951" i="2"/>
  <c r="O1905" i="2"/>
  <c r="C814" i="2"/>
  <c r="S753" i="2"/>
  <c r="T837" i="2"/>
  <c r="O310" i="2"/>
  <c r="D753" i="2"/>
  <c r="C2043" i="2"/>
  <c r="D1100" i="2"/>
  <c r="F753" i="2"/>
  <c r="E1080" i="2"/>
  <c r="M837" i="2"/>
  <c r="N2059" i="2"/>
  <c r="C753" i="2"/>
  <c r="J263" i="2"/>
  <c r="N1905" i="2"/>
  <c r="E1100" i="2"/>
  <c r="S2100" i="2"/>
  <c r="C563" i="2"/>
  <c r="K436" i="2"/>
  <c r="T970" i="2"/>
  <c r="P970" i="2"/>
  <c r="G1765" i="2"/>
  <c r="C310" i="2"/>
  <c r="D310" i="2"/>
  <c r="C837" i="2"/>
  <c r="G2059" i="2"/>
  <c r="M1100" i="2"/>
  <c r="F951" i="2"/>
  <c r="H964" i="2"/>
  <c r="J310" i="2"/>
  <c r="A2054" i="2"/>
  <c r="R492" i="2"/>
  <c r="R1765" i="2"/>
  <c r="J436" i="2"/>
  <c r="O563" i="2"/>
  <c r="P1160" i="2"/>
  <c r="R263" i="2"/>
  <c r="O753" i="2"/>
  <c r="D964" i="2"/>
  <c r="G1160" i="2"/>
  <c r="N59" i="2"/>
  <c r="F563" i="2"/>
  <c r="N402" i="2"/>
  <c r="S738" i="2"/>
  <c r="C2160" i="2"/>
  <c r="F782" i="2"/>
  <c r="E402" i="2"/>
  <c r="R563" i="2"/>
  <c r="P837" i="2"/>
  <c r="S310" i="2"/>
  <c r="M310" i="2"/>
  <c r="A310" i="2"/>
  <c r="A738" i="2"/>
  <c r="K2100" i="2"/>
  <c r="H1386" i="2"/>
  <c r="J492" i="2"/>
  <c r="G782" i="2"/>
  <c r="S1989" i="2"/>
  <c r="F1905" i="2"/>
  <c r="N1593" i="2"/>
  <c r="D263" i="2"/>
  <c r="S1100" i="2"/>
  <c r="Q492" i="2"/>
  <c r="F1315" i="2"/>
  <c r="P1114" i="2"/>
  <c r="C951" i="2"/>
  <c r="A638" i="2"/>
  <c r="D1080" i="2"/>
  <c r="A1593" i="2"/>
  <c r="H1080" i="2"/>
  <c r="N1908" i="2"/>
  <c r="E2054" i="2"/>
  <c r="A1475" i="2"/>
  <c r="R814" i="2"/>
  <c r="T2054" i="2"/>
  <c r="T2059" i="2"/>
  <c r="N814" i="2"/>
  <c r="T436" i="2"/>
  <c r="P563" i="2"/>
  <c r="D563" i="2"/>
  <c r="N1003" i="2"/>
  <c r="G1315" i="2"/>
  <c r="F2100" i="2"/>
  <c r="R970" i="2"/>
  <c r="N2160" i="2"/>
  <c r="G2151" i="2"/>
  <c r="S1765" i="2"/>
  <c r="O2059" i="2"/>
  <c r="G1364" i="2"/>
  <c r="R1315" i="2"/>
  <c r="O814" i="2"/>
  <c r="O1475" i="2"/>
  <c r="R2059" i="2"/>
  <c r="T1593" i="2"/>
  <c r="H1100" i="2"/>
  <c r="Q803" i="2"/>
  <c r="C1593" i="2"/>
  <c r="T1160" i="2"/>
  <c r="F2054" i="2"/>
  <c r="C782" i="2"/>
  <c r="D951" i="2"/>
  <c r="G803" i="2"/>
  <c r="J1143" i="2"/>
  <c r="A125" i="2"/>
  <c r="N1143" i="2"/>
  <c r="T1364" i="2"/>
  <c r="D1494" i="2"/>
  <c r="A1765" i="2"/>
  <c r="R436" i="2"/>
  <c r="Q738" i="2"/>
  <c r="Q2059" i="2"/>
  <c r="M753" i="2"/>
  <c r="J1494" i="2"/>
  <c r="E2160" i="2"/>
  <c r="E563" i="2"/>
  <c r="H2043" i="2"/>
  <c r="E1364" i="2"/>
  <c r="A1143" i="2"/>
  <c r="H2100" i="2"/>
  <c r="M1989" i="2"/>
  <c r="D803" i="2"/>
  <c r="G1475" i="2"/>
  <c r="K1905" i="2"/>
  <c r="T951" i="2"/>
  <c r="S638" i="2"/>
  <c r="N492" i="2"/>
  <c r="N2151" i="2"/>
  <c r="C1080" i="2"/>
  <c r="E1593" i="2"/>
  <c r="D59" i="2"/>
  <c r="J837" i="2"/>
  <c r="M402" i="2"/>
  <c r="C1765" i="2"/>
  <c r="J1100" i="2"/>
  <c r="D970" i="2"/>
  <c r="T1386" i="2"/>
  <c r="G263" i="2"/>
  <c r="N2054" i="2"/>
  <c r="E310" i="2"/>
  <c r="T964" i="2"/>
  <c r="J1160" i="2"/>
  <c r="O1908" i="2"/>
  <c r="M782" i="2"/>
  <c r="Q1003" i="2"/>
  <c r="E1315" i="2"/>
  <c r="J125" i="2"/>
  <c r="T814" i="2"/>
  <c r="Q1114" i="2"/>
  <c r="P436" i="2"/>
  <c r="H1798" i="2"/>
  <c r="E1397" i="2"/>
  <c r="G1397" i="2"/>
  <c r="F578" i="2"/>
  <c r="G578" i="2"/>
  <c r="P1606" i="2"/>
  <c r="T1606" i="2"/>
  <c r="G1798" i="2"/>
  <c r="N919" i="2"/>
  <c r="R1505" i="2"/>
  <c r="N578" i="2"/>
  <c r="J1039" i="2"/>
  <c r="A1381" i="2"/>
  <c r="P578" i="2"/>
  <c r="S1505" i="2"/>
  <c r="T919" i="2"/>
  <c r="P533" i="2"/>
  <c r="T1505" i="2"/>
  <c r="T1798" i="2"/>
  <c r="F1381" i="2"/>
  <c r="N1039" i="2"/>
  <c r="F1505" i="2"/>
  <c r="K1606" i="2"/>
  <c r="Q1505" i="2"/>
  <c r="T578" i="2"/>
  <c r="C1798" i="2"/>
  <c r="S1798" i="2"/>
  <c r="H1039" i="2"/>
  <c r="E533" i="2"/>
  <c r="G1606" i="2"/>
  <c r="A1397" i="2"/>
  <c r="P788" i="2"/>
  <c r="N1397" i="2"/>
  <c r="E1381" i="2"/>
  <c r="O919" i="2"/>
  <c r="D578" i="2"/>
  <c r="F919" i="2"/>
  <c r="M578" i="2"/>
  <c r="C1505" i="2"/>
  <c r="O1381" i="2"/>
  <c r="O533" i="2"/>
  <c r="M533" i="2"/>
  <c r="O578" i="2"/>
  <c r="O1606" i="2"/>
  <c r="M1381" i="2"/>
  <c r="Q533" i="2"/>
  <c r="K1381" i="2"/>
  <c r="C919" i="2"/>
  <c r="G533" i="2"/>
  <c r="D533" i="2"/>
  <c r="S788" i="2"/>
  <c r="K1397" i="2"/>
  <c r="P1798" i="2"/>
  <c r="P1039" i="2"/>
  <c r="C578" i="2"/>
  <c r="S533" i="2"/>
  <c r="D1039" i="2"/>
  <c r="C1606" i="2"/>
  <c r="D1397" i="2"/>
  <c r="C1397" i="2"/>
  <c r="R578" i="2"/>
  <c r="F1397" i="2"/>
  <c r="T1397" i="2"/>
  <c r="Q788" i="2"/>
  <c r="P1381" i="2"/>
  <c r="S919" i="2"/>
  <c r="T788" i="2"/>
  <c r="D1381" i="2"/>
  <c r="O1505" i="2"/>
  <c r="E1798" i="2"/>
  <c r="R919" i="2"/>
  <c r="J1397" i="2"/>
  <c r="Q578" i="2"/>
  <c r="E919" i="2"/>
  <c r="J1606" i="2"/>
  <c r="Q1798" i="2"/>
  <c r="H1606" i="2"/>
  <c r="G788" i="2"/>
  <c r="O1798" i="2"/>
  <c r="D1505" i="2"/>
  <c r="D1798" i="2"/>
  <c r="C1381" i="2"/>
  <c r="P1505" i="2"/>
  <c r="R533" i="2"/>
  <c r="N1505" i="2"/>
  <c r="P1397" i="2"/>
  <c r="M919" i="2"/>
  <c r="A1505" i="2"/>
  <c r="T533" i="2"/>
  <c r="J788" i="2"/>
  <c r="S1381" i="2"/>
  <c r="O1039" i="2"/>
  <c r="E578" i="2"/>
  <c r="N788" i="2"/>
  <c r="K1798" i="2"/>
  <c r="G919" i="2"/>
  <c r="H788" i="2"/>
  <c r="Q919" i="2"/>
  <c r="N1606" i="2"/>
  <c r="D919" i="2"/>
  <c r="R1039" i="2"/>
  <c r="J919" i="2"/>
  <c r="M1606" i="2"/>
  <c r="Q1606" i="2"/>
  <c r="H1505" i="2"/>
  <c r="T1039" i="2"/>
  <c r="H1381" i="2"/>
  <c r="N1798" i="2"/>
  <c r="J578" i="2"/>
  <c r="J1381" i="2"/>
  <c r="D1606" i="2"/>
  <c r="K919" i="2"/>
  <c r="M1505" i="2"/>
  <c r="F788" i="2"/>
  <c r="A533" i="2"/>
  <c r="S578" i="2"/>
  <c r="F1798" i="2"/>
  <c r="Q1039" i="2"/>
  <c r="J533" i="2"/>
  <c r="K1039" i="2"/>
  <c r="J1798" i="2"/>
  <c r="G1039" i="2"/>
  <c r="O788" i="2"/>
  <c r="A1606" i="2"/>
  <c r="C1039" i="2"/>
  <c r="K533" i="2"/>
  <c r="R1798" i="2"/>
  <c r="G1381" i="2"/>
  <c r="J1505" i="2"/>
  <c r="K578" i="2"/>
  <c r="A578" i="2"/>
  <c r="R1381" i="2"/>
  <c r="A1039" i="2"/>
  <c r="C533" i="2"/>
  <c r="F1606" i="2"/>
  <c r="H533" i="2"/>
  <c r="A788" i="2"/>
  <c r="C788" i="2"/>
  <c r="H919" i="2"/>
  <c r="M1397" i="2"/>
  <c r="M1039" i="2"/>
  <c r="K788" i="2"/>
  <c r="S1397" i="2"/>
  <c r="M1798" i="2"/>
  <c r="R1606" i="2"/>
  <c r="Q1397" i="2"/>
  <c r="K1505" i="2"/>
  <c r="E1039" i="2"/>
  <c r="F533" i="2"/>
  <c r="R788" i="2"/>
  <c r="E788" i="2"/>
  <c r="G1505" i="2"/>
  <c r="A919" i="2"/>
  <c r="R1397" i="2"/>
  <c r="H1397" i="2"/>
  <c r="S1039" i="2"/>
  <c r="S1606" i="2"/>
  <c r="M788" i="2"/>
  <c r="T1381" i="2"/>
  <c r="N1381" i="2"/>
  <c r="D788" i="2"/>
  <c r="A1798" i="2"/>
  <c r="E1505" i="2"/>
  <c r="N533" i="2"/>
  <c r="E1606" i="2"/>
  <c r="P919" i="2"/>
  <c r="O1397" i="2"/>
  <c r="F1039" i="2"/>
  <c r="H578" i="2"/>
  <c r="Q1381" i="2"/>
  <c r="K1207" i="2"/>
  <c r="G23" i="2"/>
  <c r="F844" i="2"/>
  <c r="N974" i="2"/>
  <c r="G844" i="2"/>
  <c r="H376" i="2"/>
  <c r="M23" i="2"/>
  <c r="J1773" i="2"/>
  <c r="A1773" i="2"/>
  <c r="R1559" i="2"/>
  <c r="D376" i="2"/>
  <c r="Q1594" i="2"/>
  <c r="Q844" i="2"/>
  <c r="M179" i="2"/>
  <c r="F1594" i="2"/>
  <c r="S179" i="2"/>
  <c r="G1207" i="2"/>
  <c r="J844" i="2"/>
  <c r="M1559" i="2"/>
  <c r="G1594" i="2"/>
  <c r="F376" i="2"/>
  <c r="N2231" i="2"/>
  <c r="G179" i="2"/>
  <c r="Q2231" i="2"/>
  <c r="E2231" i="2"/>
  <c r="R844" i="2"/>
  <c r="F1559" i="2"/>
  <c r="C376" i="2"/>
  <c r="P376" i="2"/>
  <c r="F1773" i="2"/>
  <c r="G1773" i="2"/>
  <c r="F23" i="2"/>
  <c r="T179" i="2"/>
  <c r="D844" i="2"/>
  <c r="T1773" i="2"/>
  <c r="D2231" i="2"/>
  <c r="T2231" i="2"/>
  <c r="Q179" i="2"/>
  <c r="R1594" i="2"/>
  <c r="O376" i="2"/>
  <c r="K844" i="2"/>
  <c r="F179" i="2"/>
  <c r="C1207" i="2"/>
  <c r="O179" i="2"/>
  <c r="Q23" i="2"/>
  <c r="O1773" i="2"/>
  <c r="N844" i="2"/>
  <c r="S1594" i="2"/>
  <c r="M376" i="2"/>
  <c r="H1559" i="2"/>
  <c r="C1594" i="2"/>
  <c r="H1773" i="2"/>
  <c r="P974" i="2"/>
  <c r="D1207" i="2"/>
  <c r="R974" i="2"/>
  <c r="R376" i="2"/>
  <c r="E1207" i="2"/>
  <c r="K1594" i="2"/>
  <c r="K1559" i="2"/>
  <c r="Q974" i="2"/>
  <c r="N1594" i="2"/>
  <c r="K23" i="2"/>
  <c r="J2231" i="2"/>
  <c r="J1207" i="2"/>
  <c r="O1594" i="2"/>
  <c r="O1559" i="2"/>
  <c r="N1207" i="2"/>
  <c r="P1594" i="2"/>
  <c r="N1559" i="2"/>
  <c r="T1207" i="2"/>
  <c r="N23" i="2"/>
  <c r="O974" i="2"/>
  <c r="P844" i="2"/>
  <c r="G1559" i="2"/>
  <c r="H179" i="2"/>
  <c r="N179" i="2"/>
  <c r="M844" i="2"/>
  <c r="H2231" i="2"/>
  <c r="P179" i="2"/>
  <c r="A844" i="2"/>
  <c r="G2231" i="2"/>
  <c r="G974" i="2"/>
  <c r="Q1773" i="2"/>
  <c r="E376" i="2"/>
  <c r="Q1559" i="2"/>
  <c r="D1594" i="2"/>
  <c r="D23" i="2"/>
  <c r="C2231" i="2"/>
  <c r="R1773" i="2"/>
  <c r="M1594" i="2"/>
  <c r="A974" i="2"/>
  <c r="J23" i="2"/>
  <c r="M1207" i="2"/>
  <c r="A1559" i="2"/>
  <c r="T1559" i="2"/>
  <c r="P1207" i="2"/>
  <c r="E974" i="2"/>
  <c r="R23" i="2"/>
  <c r="G376" i="2"/>
  <c r="C1559" i="2"/>
  <c r="S1773" i="2"/>
  <c r="N376" i="2"/>
  <c r="E179" i="2"/>
  <c r="E1773" i="2"/>
  <c r="E23" i="2"/>
  <c r="A1594" i="2"/>
  <c r="E1559" i="2"/>
  <c r="R2231" i="2"/>
  <c r="P1559" i="2"/>
  <c r="E1594" i="2"/>
  <c r="M974" i="2"/>
  <c r="A376" i="2"/>
  <c r="C844" i="2"/>
  <c r="J974" i="2"/>
  <c r="F2231" i="2"/>
  <c r="D1559" i="2"/>
  <c r="A23" i="2"/>
  <c r="J179" i="2"/>
  <c r="T1594" i="2"/>
  <c r="K1773" i="2"/>
  <c r="M2231" i="2"/>
  <c r="H974" i="2"/>
  <c r="H1207" i="2"/>
  <c r="S376" i="2"/>
  <c r="S2231" i="2"/>
  <c r="H1594" i="2"/>
  <c r="S23" i="2"/>
  <c r="S844" i="2"/>
  <c r="P2231" i="2"/>
  <c r="T376" i="2"/>
  <c r="A1207" i="2"/>
  <c r="T23" i="2"/>
  <c r="D179" i="2"/>
  <c r="K974" i="2"/>
  <c r="M1773" i="2"/>
  <c r="K2231" i="2"/>
  <c r="A179" i="2"/>
  <c r="C1773" i="2"/>
  <c r="F974" i="2"/>
  <c r="K179" i="2"/>
  <c r="F1207" i="2"/>
  <c r="H844" i="2"/>
  <c r="S974" i="2"/>
  <c r="S1207" i="2"/>
  <c r="C974" i="2"/>
  <c r="N1773" i="2"/>
  <c r="E844" i="2"/>
  <c r="O2231" i="2"/>
  <c r="P23" i="2"/>
  <c r="T844" i="2"/>
  <c r="C23" i="2"/>
  <c r="Q376" i="2"/>
  <c r="J1559" i="2"/>
  <c r="R179" i="2"/>
  <c r="O1207" i="2"/>
  <c r="H23" i="2"/>
  <c r="D974" i="2"/>
  <c r="K376" i="2"/>
  <c r="R1207" i="2"/>
  <c r="D1773" i="2"/>
  <c r="P1773" i="2"/>
  <c r="J376" i="2"/>
  <c r="T974" i="2"/>
  <c r="O844" i="2"/>
  <c r="S1559" i="2"/>
  <c r="O23" i="2"/>
  <c r="A2231" i="2"/>
  <c r="Q1207" i="2"/>
  <c r="J1594" i="2"/>
  <c r="C179" i="2"/>
  <c r="D148" i="2"/>
  <c r="A494" i="2"/>
  <c r="F2103" i="2"/>
  <c r="G1787" i="2"/>
  <c r="R508" i="2"/>
  <c r="J1579" i="2"/>
  <c r="Q148" i="2"/>
  <c r="R148" i="2"/>
  <c r="E1787" i="2"/>
  <c r="C508" i="2"/>
  <c r="J148" i="2"/>
  <c r="K1579" i="2"/>
  <c r="J1449" i="2"/>
  <c r="C278" i="2"/>
  <c r="R2144" i="2"/>
  <c r="N278" i="2"/>
  <c r="T508" i="2"/>
  <c r="M278" i="2"/>
  <c r="J508" i="2"/>
  <c r="D2144" i="2"/>
  <c r="A1054" i="2"/>
  <c r="P278" i="2"/>
  <c r="S2144" i="2"/>
  <c r="K1449" i="2"/>
  <c r="A1449" i="2"/>
  <c r="E494" i="2"/>
  <c r="D278" i="2"/>
  <c r="N508" i="2"/>
  <c r="O508" i="2"/>
  <c r="O1579" i="2"/>
  <c r="O1449" i="2"/>
  <c r="G2103" i="2"/>
  <c r="K2103" i="2"/>
  <c r="Q2144" i="2"/>
  <c r="J1054" i="2"/>
  <c r="P1449" i="2"/>
  <c r="C148" i="2"/>
  <c r="E148" i="2"/>
  <c r="M1449" i="2"/>
  <c r="J278" i="2"/>
  <c r="T494" i="2"/>
  <c r="D2103" i="2"/>
  <c r="F1787" i="2"/>
  <c r="F148" i="2"/>
  <c r="K278" i="2"/>
  <c r="H278" i="2"/>
  <c r="G278" i="2"/>
  <c r="E2103" i="2"/>
  <c r="Q278" i="2"/>
  <c r="S278" i="2"/>
  <c r="A2103" i="2"/>
  <c r="S2103" i="2"/>
  <c r="F1054" i="2"/>
  <c r="S148" i="2"/>
  <c r="C2144" i="2"/>
  <c r="R2103" i="2"/>
  <c r="O278" i="2"/>
  <c r="S1054" i="2"/>
  <c r="R1579" i="2"/>
  <c r="D494" i="2"/>
  <c r="K1054" i="2"/>
  <c r="M148" i="2"/>
  <c r="T1449" i="2"/>
  <c r="T2103" i="2"/>
  <c r="R494" i="2"/>
  <c r="T2144" i="2"/>
  <c r="A278" i="2"/>
  <c r="P148" i="2"/>
  <c r="R1054" i="2"/>
  <c r="G508" i="2"/>
  <c r="K494" i="2"/>
  <c r="H494" i="2"/>
  <c r="N1449" i="2"/>
  <c r="C1787" i="2"/>
  <c r="A1579" i="2"/>
  <c r="K2144" i="2"/>
  <c r="M1787" i="2"/>
  <c r="N2144" i="2"/>
  <c r="O2103" i="2"/>
  <c r="P1787" i="2"/>
  <c r="C1579" i="2"/>
  <c r="F2144" i="2"/>
  <c r="J494" i="2"/>
  <c r="H1787" i="2"/>
  <c r="K148" i="2"/>
  <c r="H2144" i="2"/>
  <c r="M2103" i="2"/>
  <c r="O1054" i="2"/>
  <c r="M2144" i="2"/>
  <c r="M494" i="2"/>
  <c r="Q1787" i="2"/>
  <c r="H508" i="2"/>
  <c r="E1449" i="2"/>
  <c r="F1449" i="2"/>
  <c r="O148" i="2"/>
  <c r="G1449" i="2"/>
  <c r="K1787" i="2"/>
  <c r="T1579" i="2"/>
  <c r="R278" i="2"/>
  <c r="D1787" i="2"/>
  <c r="Q2103" i="2"/>
  <c r="Q1449" i="2"/>
  <c r="N1579" i="2"/>
  <c r="Q508" i="2"/>
  <c r="M1579" i="2"/>
  <c r="R1787" i="2"/>
  <c r="T1054" i="2"/>
  <c r="F1579" i="2"/>
  <c r="G2144" i="2"/>
  <c r="P494" i="2"/>
  <c r="D1054" i="2"/>
  <c r="Q1579" i="2"/>
  <c r="E508" i="2"/>
  <c r="D1449" i="2"/>
  <c r="T1787" i="2"/>
  <c r="H1579" i="2"/>
  <c r="G1054" i="2"/>
  <c r="O2144" i="2"/>
  <c r="H1449" i="2"/>
  <c r="J2103" i="2"/>
  <c r="Q1054" i="2"/>
  <c r="P2103" i="2"/>
  <c r="H1054" i="2"/>
  <c r="M1054" i="2"/>
  <c r="F278" i="2"/>
  <c r="S508" i="2"/>
  <c r="T148" i="2"/>
  <c r="E1579" i="2"/>
  <c r="G494" i="2"/>
  <c r="E1054" i="2"/>
  <c r="O494" i="2"/>
  <c r="P1054" i="2"/>
  <c r="A508" i="2"/>
  <c r="F494" i="2"/>
  <c r="Q494" i="2"/>
  <c r="S1449" i="2"/>
  <c r="O1787" i="2"/>
  <c r="A148" i="2"/>
  <c r="C1054" i="2"/>
  <c r="S494" i="2"/>
  <c r="G1579" i="2"/>
  <c r="S1787" i="2"/>
  <c r="P1579" i="2"/>
  <c r="C2103" i="2"/>
  <c r="D508" i="2"/>
  <c r="M508" i="2"/>
  <c r="N1787" i="2"/>
  <c r="N2103" i="2"/>
  <c r="H148" i="2"/>
  <c r="C494" i="2"/>
  <c r="A2144" i="2"/>
  <c r="P2144" i="2"/>
  <c r="R1449" i="2"/>
  <c r="F508" i="2"/>
  <c r="K508" i="2"/>
  <c r="S1579" i="2"/>
  <c r="T278" i="2"/>
  <c r="N148" i="2"/>
  <c r="J2144" i="2"/>
  <c r="A1787" i="2"/>
  <c r="E278" i="2"/>
  <c r="N1054" i="2"/>
  <c r="C1449" i="2"/>
  <c r="P508" i="2"/>
  <c r="E2144" i="2"/>
  <c r="J1787" i="2"/>
  <c r="H2103" i="2"/>
  <c r="N494" i="2"/>
  <c r="D1579" i="2"/>
  <c r="G148" i="2"/>
  <c r="H1929" i="2"/>
  <c r="J1172" i="2"/>
  <c r="E1623" i="2"/>
  <c r="F2020" i="2"/>
  <c r="K1172" i="2"/>
  <c r="S256" i="2"/>
  <c r="T2020" i="2"/>
  <c r="E256" i="2"/>
  <c r="C1478" i="2"/>
  <c r="O256" i="2"/>
  <c r="D1172" i="2"/>
  <c r="J1929" i="2"/>
  <c r="N1929" i="2"/>
  <c r="C1411" i="2"/>
  <c r="S1929" i="2"/>
  <c r="F1623" i="2"/>
  <c r="D1623" i="2"/>
  <c r="N1450" i="2"/>
  <c r="K2020" i="2"/>
  <c r="M1478" i="2"/>
  <c r="M256" i="2"/>
  <c r="A1478" i="2"/>
  <c r="A2020" i="2"/>
  <c r="F1478" i="2"/>
  <c r="G256" i="2"/>
  <c r="M2020" i="2"/>
  <c r="Q256" i="2"/>
  <c r="K256" i="2"/>
  <c r="D1411" i="2"/>
  <c r="Q1929" i="2"/>
  <c r="M1929" i="2"/>
  <c r="N1172" i="2"/>
  <c r="P1478" i="2"/>
  <c r="P1394" i="2"/>
  <c r="O2020" i="2"/>
  <c r="D1394" i="2"/>
  <c r="F1172" i="2"/>
  <c r="C1172" i="2"/>
  <c r="A1623" i="2"/>
  <c r="S1172" i="2"/>
  <c r="T1450" i="2"/>
  <c r="T1478" i="2"/>
  <c r="R2020" i="2"/>
  <c r="S1450" i="2"/>
  <c r="D1230" i="2"/>
  <c r="M1230" i="2"/>
  <c r="P1411" i="2"/>
  <c r="H1394" i="2"/>
  <c r="G1230" i="2"/>
  <c r="P1172" i="2"/>
  <c r="A1394" i="2"/>
  <c r="T1172" i="2"/>
  <c r="F1394" i="2"/>
  <c r="R256" i="2"/>
  <c r="K1230" i="2"/>
  <c r="T1394" i="2"/>
  <c r="Q1478" i="2"/>
  <c r="F1929" i="2"/>
  <c r="F1230" i="2"/>
  <c r="N256" i="2"/>
  <c r="S2020" i="2"/>
  <c r="A1411" i="2"/>
  <c r="R1394" i="2"/>
  <c r="S1623" i="2"/>
  <c r="C1450" i="2"/>
  <c r="O1172" i="2"/>
  <c r="J1450" i="2"/>
  <c r="Q1394" i="2"/>
  <c r="T1929" i="2"/>
  <c r="O1230" i="2"/>
  <c r="P1929" i="2"/>
  <c r="N2020" i="2"/>
  <c r="K1929" i="2"/>
  <c r="Q1623" i="2"/>
  <c r="M1172" i="2"/>
  <c r="G1623" i="2"/>
  <c r="O1478" i="2"/>
  <c r="G1411" i="2"/>
  <c r="P256" i="2"/>
  <c r="O1411" i="2"/>
  <c r="E1394" i="2"/>
  <c r="A1172" i="2"/>
  <c r="R1230" i="2"/>
  <c r="J2020" i="2"/>
  <c r="T256" i="2"/>
  <c r="E1411" i="2"/>
  <c r="Q1230" i="2"/>
  <c r="H256" i="2"/>
  <c r="F1411" i="2"/>
  <c r="N1478" i="2"/>
  <c r="F256" i="2"/>
  <c r="T1411" i="2"/>
  <c r="S1411" i="2"/>
  <c r="D1478" i="2"/>
  <c r="Q1172" i="2"/>
  <c r="P1450" i="2"/>
  <c r="C256" i="2"/>
  <c r="A1929" i="2"/>
  <c r="O1929" i="2"/>
  <c r="R1450" i="2"/>
  <c r="N1394" i="2"/>
  <c r="C1394" i="2"/>
  <c r="C1929" i="2"/>
  <c r="O1450" i="2"/>
  <c r="E1172" i="2"/>
  <c r="K1411" i="2"/>
  <c r="K1623" i="2"/>
  <c r="C2020" i="2"/>
  <c r="K1478" i="2"/>
  <c r="H1172" i="2"/>
  <c r="H2020" i="2"/>
  <c r="M1394" i="2"/>
  <c r="R1623" i="2"/>
  <c r="A1230" i="2"/>
  <c r="A256" i="2"/>
  <c r="Q1450" i="2"/>
  <c r="C1623" i="2"/>
  <c r="J1623" i="2"/>
  <c r="N1230" i="2"/>
  <c r="H1230" i="2"/>
  <c r="G1929" i="2"/>
  <c r="E2020" i="2"/>
  <c r="O1394" i="2"/>
  <c r="M1411" i="2"/>
  <c r="C1230" i="2"/>
  <c r="Q1411" i="2"/>
  <c r="E1929" i="2"/>
  <c r="S1230" i="2"/>
  <c r="D1450" i="2"/>
  <c r="O1623" i="2"/>
  <c r="T1230" i="2"/>
  <c r="R1478" i="2"/>
  <c r="S1394" i="2"/>
  <c r="J1478" i="2"/>
  <c r="R1411" i="2"/>
  <c r="Q2020" i="2"/>
  <c r="J1394" i="2"/>
  <c r="D2020" i="2"/>
  <c r="H1623" i="2"/>
  <c r="E1478" i="2"/>
  <c r="K1394" i="2"/>
  <c r="J1411" i="2"/>
  <c r="M1623" i="2"/>
  <c r="G1478" i="2"/>
  <c r="P1623" i="2"/>
  <c r="D1929" i="2"/>
  <c r="P2020" i="2"/>
  <c r="H1450" i="2"/>
  <c r="N1623" i="2"/>
  <c r="H1478" i="2"/>
  <c r="E1450" i="2"/>
  <c r="M1450" i="2"/>
  <c r="A1450" i="2"/>
  <c r="P1230" i="2"/>
  <c r="G1450" i="2"/>
  <c r="J1230" i="2"/>
  <c r="H1411" i="2"/>
  <c r="J256" i="2"/>
  <c r="R1172" i="2"/>
  <c r="F1450" i="2"/>
  <c r="T1623" i="2"/>
  <c r="N1411" i="2"/>
  <c r="S1478" i="2"/>
  <c r="E1230" i="2"/>
  <c r="G1172" i="2"/>
  <c r="R1929" i="2"/>
  <c r="G1394" i="2"/>
  <c r="K1450" i="2"/>
  <c r="D256" i="2"/>
  <c r="G2020" i="2"/>
  <c r="G1867" i="2"/>
  <c r="N2163" i="2"/>
  <c r="K1057" i="2"/>
  <c r="Q2152" i="2"/>
  <c r="N1867" i="2"/>
  <c r="H516" i="2"/>
  <c r="A2152" i="2"/>
  <c r="O2095" i="2"/>
  <c r="S2028" i="2"/>
  <c r="T615" i="2"/>
  <c r="A1057" i="2"/>
  <c r="F2028" i="2"/>
  <c r="F1057" i="2"/>
  <c r="F516" i="2"/>
  <c r="F1867" i="2"/>
  <c r="N2095" i="2"/>
  <c r="F2163" i="2"/>
  <c r="R516" i="2"/>
  <c r="D2225" i="2"/>
  <c r="D108" i="2"/>
  <c r="F615" i="2"/>
  <c r="M2152" i="2"/>
  <c r="Q2225" i="2"/>
  <c r="A615" i="2"/>
  <c r="D1867" i="2"/>
  <c r="K1867" i="2"/>
  <c r="E108" i="2"/>
  <c r="J2163" i="2"/>
  <c r="H1867" i="2"/>
  <c r="T2163" i="2"/>
  <c r="E615" i="2"/>
  <c r="P1057" i="2"/>
  <c r="H1057" i="2"/>
  <c r="D516" i="2"/>
  <c r="E2028" i="2"/>
  <c r="O2152" i="2"/>
  <c r="S1867" i="2"/>
  <c r="E2152" i="2"/>
  <c r="T2028" i="2"/>
  <c r="J108" i="2"/>
  <c r="E516" i="2"/>
  <c r="N2028" i="2"/>
  <c r="O108" i="2"/>
  <c r="R2152" i="2"/>
  <c r="N2152" i="2"/>
  <c r="P2095" i="2"/>
  <c r="S2225" i="2"/>
  <c r="D2163" i="2"/>
  <c r="O615" i="2"/>
  <c r="G2225" i="2"/>
  <c r="D1057" i="2"/>
  <c r="E2163" i="2"/>
  <c r="F108" i="2"/>
  <c r="N516" i="2"/>
  <c r="N1057" i="2"/>
  <c r="G2028" i="2"/>
  <c r="Q516" i="2"/>
  <c r="H2225" i="2"/>
  <c r="E1057" i="2"/>
  <c r="D2095" i="2"/>
  <c r="C2225" i="2"/>
  <c r="M108" i="2"/>
  <c r="J1867" i="2"/>
  <c r="Q108" i="2"/>
  <c r="J1057" i="2"/>
  <c r="K2028" i="2"/>
  <c r="H2095" i="2"/>
  <c r="G108" i="2"/>
  <c r="N108" i="2"/>
  <c r="O2225" i="2"/>
  <c r="C2095" i="2"/>
  <c r="K2163" i="2"/>
  <c r="P2225" i="2"/>
  <c r="A2095" i="2"/>
  <c r="G2163" i="2"/>
  <c r="R1057" i="2"/>
  <c r="R2163" i="2"/>
  <c r="M615" i="2"/>
  <c r="S516" i="2"/>
  <c r="T2225" i="2"/>
  <c r="M2095" i="2"/>
  <c r="R2225" i="2"/>
  <c r="T516" i="2"/>
  <c r="D2152" i="2"/>
  <c r="P1867" i="2"/>
  <c r="O2163" i="2"/>
  <c r="M2225" i="2"/>
  <c r="A516" i="2"/>
  <c r="D615" i="2"/>
  <c r="E1867" i="2"/>
  <c r="Q615" i="2"/>
  <c r="C108" i="2"/>
  <c r="N615" i="2"/>
  <c r="R2095" i="2"/>
  <c r="P108" i="2"/>
  <c r="J2152" i="2"/>
  <c r="P516" i="2"/>
  <c r="A2028" i="2"/>
  <c r="S2152" i="2"/>
  <c r="P2028" i="2"/>
  <c r="H2028" i="2"/>
  <c r="H615" i="2"/>
  <c r="R108" i="2"/>
  <c r="T1867" i="2"/>
  <c r="R2028" i="2"/>
  <c r="C1867" i="2"/>
  <c r="N2225" i="2"/>
  <c r="S2163" i="2"/>
  <c r="E2225" i="2"/>
  <c r="Q1867" i="2"/>
  <c r="F2095" i="2"/>
  <c r="J2028" i="2"/>
  <c r="Q2028" i="2"/>
  <c r="F2152" i="2"/>
  <c r="P615" i="2"/>
  <c r="M516" i="2"/>
  <c r="K108" i="2"/>
  <c r="T108" i="2"/>
  <c r="O2028" i="2"/>
  <c r="T1057" i="2"/>
  <c r="C2028" i="2"/>
  <c r="A2225" i="2"/>
  <c r="G1057" i="2"/>
  <c r="K615" i="2"/>
  <c r="R1867" i="2"/>
  <c r="C1057" i="2"/>
  <c r="S108" i="2"/>
  <c r="K2095" i="2"/>
  <c r="J2225" i="2"/>
  <c r="K2152" i="2"/>
  <c r="P2163" i="2"/>
  <c r="C516" i="2"/>
  <c r="G2095" i="2"/>
  <c r="Q1057" i="2"/>
  <c r="T2095" i="2"/>
  <c r="S615" i="2"/>
  <c r="A2163" i="2"/>
  <c r="C2163" i="2"/>
  <c r="K2225" i="2"/>
  <c r="O1057" i="2"/>
  <c r="J615" i="2"/>
  <c r="A108" i="2"/>
  <c r="C2152" i="2"/>
  <c r="Q2095" i="2"/>
  <c r="O516" i="2"/>
  <c r="M2028" i="2"/>
  <c r="J516" i="2"/>
  <c r="G2152" i="2"/>
  <c r="H2163" i="2"/>
  <c r="E2095" i="2"/>
  <c r="Q2163" i="2"/>
  <c r="C615" i="2"/>
  <c r="K516" i="2"/>
  <c r="R615" i="2"/>
  <c r="H2152" i="2"/>
  <c r="M1867" i="2"/>
  <c r="P2152" i="2"/>
  <c r="A1867" i="2"/>
  <c r="J2095" i="2"/>
  <c r="F2225" i="2"/>
  <c r="M1057" i="2"/>
  <c r="M2163" i="2"/>
  <c r="O1867" i="2"/>
  <c r="S1057" i="2"/>
  <c r="D2028" i="2"/>
  <c r="G516" i="2"/>
  <c r="T2152" i="2"/>
  <c r="S2095" i="2"/>
  <c r="G615" i="2"/>
  <c r="H108" i="2"/>
  <c r="R828" i="2"/>
  <c r="Q842" i="2"/>
  <c r="T1312" i="2"/>
  <c r="R714" i="2"/>
  <c r="F1854" i="2"/>
  <c r="A828" i="2"/>
  <c r="M174" i="2"/>
  <c r="K174" i="2"/>
  <c r="H1193" i="2"/>
  <c r="N174" i="2"/>
  <c r="F1822" i="2"/>
  <c r="K828" i="2"/>
  <c r="G122" i="2"/>
  <c r="C174" i="2"/>
  <c r="P1822" i="2"/>
  <c r="J1854" i="2"/>
  <c r="T174" i="2"/>
  <c r="P828" i="2"/>
  <c r="O842" i="2"/>
  <c r="A81" i="2"/>
  <c r="Q714" i="2"/>
  <c r="T828" i="2"/>
  <c r="E174" i="2"/>
  <c r="D1854" i="2"/>
  <c r="F714" i="2"/>
  <c r="G174" i="2"/>
  <c r="R81" i="2"/>
  <c r="C1193" i="2"/>
  <c r="J1193" i="2"/>
  <c r="F1312" i="2"/>
  <c r="M1822" i="2"/>
  <c r="E828" i="2"/>
  <c r="O174" i="2"/>
  <c r="N122" i="2"/>
  <c r="D1312" i="2"/>
  <c r="M81" i="2"/>
  <c r="O1312" i="2"/>
  <c r="J828" i="2"/>
  <c r="M828" i="2"/>
  <c r="D1822" i="2"/>
  <c r="K81" i="2"/>
  <c r="Q1193" i="2"/>
  <c r="T1193" i="2"/>
  <c r="S1854" i="2"/>
  <c r="J122" i="2"/>
  <c r="N1822" i="2"/>
  <c r="K1822" i="2"/>
  <c r="A1193" i="2"/>
  <c r="M714" i="2"/>
  <c r="C122" i="2"/>
  <c r="A1822" i="2"/>
  <c r="N828" i="2"/>
  <c r="O1193" i="2"/>
  <c r="J714" i="2"/>
  <c r="G1822" i="2"/>
  <c r="Q1854" i="2"/>
  <c r="D828" i="2"/>
  <c r="S1822" i="2"/>
  <c r="P1854" i="2"/>
  <c r="H81" i="2"/>
  <c r="C81" i="2"/>
  <c r="H174" i="2"/>
  <c r="D842" i="2"/>
  <c r="G81" i="2"/>
  <c r="H714" i="2"/>
  <c r="E1312" i="2"/>
  <c r="O81" i="2"/>
  <c r="G842" i="2"/>
  <c r="P174" i="2"/>
  <c r="M1193" i="2"/>
  <c r="C1312" i="2"/>
  <c r="O122" i="2"/>
  <c r="N81" i="2"/>
  <c r="F1193" i="2"/>
  <c r="P842" i="2"/>
  <c r="H828" i="2"/>
  <c r="H1312" i="2"/>
  <c r="R1193" i="2"/>
  <c r="S842" i="2"/>
  <c r="P81" i="2"/>
  <c r="Q1312" i="2"/>
  <c r="C842" i="2"/>
  <c r="C828" i="2"/>
  <c r="M842" i="2"/>
  <c r="K842" i="2"/>
  <c r="K1854" i="2"/>
  <c r="H1822" i="2"/>
  <c r="A714" i="2"/>
  <c r="D1193" i="2"/>
  <c r="T1822" i="2"/>
  <c r="S1193" i="2"/>
  <c r="A842" i="2"/>
  <c r="R1854" i="2"/>
  <c r="E1822" i="2"/>
  <c r="G1854" i="2"/>
  <c r="S828" i="2"/>
  <c r="G828" i="2"/>
  <c r="C1854" i="2"/>
  <c r="E122" i="2"/>
  <c r="H122" i="2"/>
  <c r="T81" i="2"/>
  <c r="D174" i="2"/>
  <c r="F842" i="2"/>
  <c r="D122" i="2"/>
  <c r="A1312" i="2"/>
  <c r="R174" i="2"/>
  <c r="K714" i="2"/>
  <c r="H1854" i="2"/>
  <c r="J1822" i="2"/>
  <c r="F174" i="2"/>
  <c r="S81" i="2"/>
  <c r="M122" i="2"/>
  <c r="M1312" i="2"/>
  <c r="Q174" i="2"/>
  <c r="J1312" i="2"/>
  <c r="G1193" i="2"/>
  <c r="K1312" i="2"/>
  <c r="O828" i="2"/>
  <c r="C714" i="2"/>
  <c r="E714" i="2"/>
  <c r="T714" i="2"/>
  <c r="N714" i="2"/>
  <c r="S714" i="2"/>
  <c r="R1312" i="2"/>
  <c r="G714" i="2"/>
  <c r="Q122" i="2"/>
  <c r="J81" i="2"/>
  <c r="F81" i="2"/>
  <c r="E842" i="2"/>
  <c r="S122" i="2"/>
  <c r="P122" i="2"/>
  <c r="P1193" i="2"/>
  <c r="O714" i="2"/>
  <c r="R122" i="2"/>
  <c r="T842" i="2"/>
  <c r="K122" i="2"/>
  <c r="J174" i="2"/>
  <c r="N1193" i="2"/>
  <c r="R842" i="2"/>
  <c r="C1822" i="2"/>
  <c r="D714" i="2"/>
  <c r="S174" i="2"/>
  <c r="O1822" i="2"/>
  <c r="N1854" i="2"/>
  <c r="A1854" i="2"/>
  <c r="D81" i="2"/>
  <c r="E1193" i="2"/>
  <c r="R1822" i="2"/>
  <c r="T1854" i="2"/>
  <c r="N842" i="2"/>
  <c r="A122" i="2"/>
  <c r="E1854" i="2"/>
  <c r="E81" i="2"/>
  <c r="N1312" i="2"/>
  <c r="S1312" i="2"/>
  <c r="P1312" i="2"/>
  <c r="J842" i="2"/>
  <c r="F122" i="2"/>
  <c r="F828" i="2"/>
  <c r="M1854" i="2"/>
  <c r="P714" i="2"/>
  <c r="H842" i="2"/>
  <c r="O1854" i="2"/>
  <c r="T122" i="2"/>
  <c r="Q81" i="2"/>
  <c r="K1193" i="2"/>
  <c r="Q828" i="2"/>
  <c r="G1312" i="2"/>
  <c r="Q1822" i="2"/>
  <c r="A174" i="2"/>
  <c r="S1775" i="2"/>
  <c r="H1775" i="2"/>
  <c r="O1514" i="2"/>
  <c r="M1775" i="2"/>
  <c r="C1117" i="2"/>
  <c r="O1775" i="2"/>
  <c r="G1775" i="2"/>
  <c r="M1018" i="2"/>
  <c r="S1018" i="2"/>
  <c r="G1018" i="2"/>
  <c r="O1018" i="2"/>
  <c r="F1775" i="2"/>
  <c r="A750" i="2"/>
  <c r="C750" i="2"/>
  <c r="F750" i="2"/>
  <c r="A18" i="2"/>
  <c r="M1514" i="2"/>
  <c r="T1117" i="2"/>
  <c r="S886" i="2"/>
  <c r="C2230" i="2"/>
  <c r="H2230" i="2"/>
  <c r="T1514" i="2"/>
  <c r="S750" i="2"/>
  <c r="K750" i="2"/>
  <c r="G886" i="2"/>
  <c r="A1117" i="2"/>
  <c r="R18" i="2"/>
  <c r="K2230" i="2"/>
  <c r="F1278" i="2"/>
  <c r="T750" i="2"/>
  <c r="P1117" i="2"/>
  <c r="S18" i="2"/>
  <c r="S1117" i="2"/>
  <c r="M1117" i="2"/>
  <c r="D886" i="2"/>
  <c r="F2230" i="2"/>
  <c r="Q1514" i="2"/>
  <c r="N18" i="2"/>
  <c r="J1117" i="2"/>
  <c r="T2230" i="2"/>
  <c r="Q1775" i="2"/>
  <c r="J1775" i="2"/>
  <c r="D750" i="2"/>
  <c r="K427" i="2"/>
  <c r="A886" i="2"/>
  <c r="H1018" i="2"/>
  <c r="A1278" i="2"/>
  <c r="G1278" i="2"/>
  <c r="G750" i="2"/>
  <c r="N1018" i="2"/>
  <c r="N2230" i="2"/>
  <c r="P427" i="2"/>
  <c r="E1018" i="2"/>
  <c r="Q18" i="2"/>
  <c r="D1775" i="2"/>
  <c r="M886" i="2"/>
  <c r="G427" i="2"/>
  <c r="D1117" i="2"/>
  <c r="J1514" i="2"/>
  <c r="N1278" i="2"/>
  <c r="C886" i="2"/>
  <c r="Q427" i="2"/>
  <c r="P750" i="2"/>
  <c r="R1117" i="2"/>
  <c r="G1514" i="2"/>
  <c r="H886" i="2"/>
  <c r="E18" i="2"/>
  <c r="R1514" i="2"/>
  <c r="A1018" i="2"/>
  <c r="E750" i="2"/>
  <c r="N750" i="2"/>
  <c r="J750" i="2"/>
  <c r="R2230" i="2"/>
  <c r="N1117" i="2"/>
  <c r="A2230" i="2"/>
  <c r="T1278" i="2"/>
  <c r="F1117" i="2"/>
  <c r="O1117" i="2"/>
  <c r="M18" i="2"/>
  <c r="C18" i="2"/>
  <c r="D1514" i="2"/>
  <c r="D18" i="2"/>
  <c r="K886" i="2"/>
  <c r="T18" i="2"/>
  <c r="P18" i="2"/>
  <c r="O750" i="2"/>
  <c r="F427" i="2"/>
  <c r="E886" i="2"/>
  <c r="D1278" i="2"/>
  <c r="O1278" i="2"/>
  <c r="R750" i="2"/>
  <c r="H750" i="2"/>
  <c r="J1278" i="2"/>
  <c r="M1278" i="2"/>
  <c r="S1514" i="2"/>
  <c r="M2230" i="2"/>
  <c r="N1775" i="2"/>
  <c r="K1775" i="2"/>
  <c r="J886" i="2"/>
  <c r="E1278" i="2"/>
  <c r="P2230" i="2"/>
  <c r="C1018" i="2"/>
  <c r="E2230" i="2"/>
  <c r="A1775" i="2"/>
  <c r="J427" i="2"/>
  <c r="G1117" i="2"/>
  <c r="P1775" i="2"/>
  <c r="R886" i="2"/>
  <c r="Q1117" i="2"/>
  <c r="T1018" i="2"/>
  <c r="C1514" i="2"/>
  <c r="E1775" i="2"/>
  <c r="H427" i="2"/>
  <c r="J2230" i="2"/>
  <c r="E427" i="2"/>
  <c r="O2230" i="2"/>
  <c r="R1278" i="2"/>
  <c r="P1278" i="2"/>
  <c r="N427" i="2"/>
  <c r="Q750" i="2"/>
  <c r="H1278" i="2"/>
  <c r="D2230" i="2"/>
  <c r="M427" i="2"/>
  <c r="C427" i="2"/>
  <c r="C1775" i="2"/>
  <c r="A427" i="2"/>
  <c r="P886" i="2"/>
  <c r="N1514" i="2"/>
  <c r="R427" i="2"/>
  <c r="R1775" i="2"/>
  <c r="J1018" i="2"/>
  <c r="O427" i="2"/>
  <c r="E1117" i="2"/>
  <c r="E1514" i="2"/>
  <c r="H18" i="2"/>
  <c r="Q886" i="2"/>
  <c r="Q1018" i="2"/>
  <c r="F18" i="2"/>
  <c r="K1117" i="2"/>
  <c r="Q1278" i="2"/>
  <c r="F1514" i="2"/>
  <c r="P1514" i="2"/>
  <c r="F1018" i="2"/>
  <c r="G2230" i="2"/>
  <c r="N886" i="2"/>
  <c r="F886" i="2"/>
  <c r="K1514" i="2"/>
  <c r="P1018" i="2"/>
  <c r="J18" i="2"/>
  <c r="G18" i="2"/>
  <c r="S1278" i="2"/>
  <c r="T427" i="2"/>
  <c r="K1018" i="2"/>
  <c r="S427" i="2"/>
  <c r="H1514" i="2"/>
  <c r="S2230" i="2"/>
  <c r="D1018" i="2"/>
  <c r="C1278" i="2"/>
  <c r="T886" i="2"/>
  <c r="O18" i="2"/>
  <c r="M750" i="2"/>
  <c r="K1278" i="2"/>
  <c r="A1514" i="2"/>
  <c r="O886" i="2"/>
  <c r="R1018" i="2"/>
  <c r="T1775" i="2"/>
  <c r="D427" i="2"/>
  <c r="K18" i="2"/>
  <c r="Q2230" i="2"/>
  <c r="H1117" i="2"/>
  <c r="E241" i="2"/>
  <c r="D200" i="2"/>
  <c r="S55" i="2"/>
  <c r="P290" i="2"/>
  <c r="S488" i="2"/>
  <c r="A55" i="2"/>
  <c r="S290" i="2"/>
  <c r="H117" i="2"/>
  <c r="N2074" i="2"/>
  <c r="C488" i="2"/>
  <c r="M1081" i="2"/>
  <c r="K2215" i="2"/>
  <c r="C2215" i="2"/>
  <c r="J2215" i="2"/>
  <c r="J241" i="2"/>
  <c r="F2074" i="2"/>
  <c r="P488" i="2"/>
  <c r="S117" i="2"/>
  <c r="F488" i="2"/>
  <c r="H1537" i="2"/>
  <c r="M1537" i="2"/>
  <c r="Q200" i="2"/>
  <c r="M200" i="2"/>
  <c r="K55" i="2"/>
  <c r="T1537" i="2"/>
  <c r="E117" i="2"/>
  <c r="C2074" i="2"/>
  <c r="C290" i="2"/>
  <c r="T200" i="2"/>
  <c r="A290" i="2"/>
  <c r="O200" i="2"/>
  <c r="G290" i="2"/>
  <c r="J200" i="2"/>
  <c r="J290" i="2"/>
  <c r="T241" i="2"/>
  <c r="O1081" i="2"/>
  <c r="F1081" i="2"/>
  <c r="N241" i="2"/>
  <c r="D55" i="2"/>
  <c r="H200" i="2"/>
  <c r="S2074" i="2"/>
  <c r="M117" i="2"/>
  <c r="G2074" i="2"/>
  <c r="R55" i="2"/>
  <c r="F55" i="2"/>
  <c r="K488" i="2"/>
  <c r="N1081" i="2"/>
  <c r="A1081" i="2"/>
  <c r="D1537" i="2"/>
  <c r="O488" i="2"/>
  <c r="S1081" i="2"/>
  <c r="F241" i="2"/>
  <c r="M290" i="2"/>
  <c r="K200" i="2"/>
  <c r="C55" i="2"/>
  <c r="N290" i="2"/>
  <c r="E488" i="2"/>
  <c r="J55" i="2"/>
  <c r="G241" i="2"/>
  <c r="A241" i="2"/>
  <c r="N117" i="2"/>
  <c r="R1081" i="2"/>
  <c r="J117" i="2"/>
  <c r="O55" i="2"/>
  <c r="C241" i="2"/>
  <c r="S2215" i="2"/>
  <c r="D241" i="2"/>
  <c r="Q1081" i="2"/>
  <c r="C1081" i="2"/>
  <c r="R117" i="2"/>
  <c r="G2215" i="2"/>
  <c r="C117" i="2"/>
  <c r="T2074" i="2"/>
  <c r="M2215" i="2"/>
  <c r="R2074" i="2"/>
  <c r="K1081" i="2"/>
  <c r="F1537" i="2"/>
  <c r="R290" i="2"/>
  <c r="O241" i="2"/>
  <c r="M241" i="2"/>
  <c r="R200" i="2"/>
  <c r="T488" i="2"/>
  <c r="G55" i="2"/>
  <c r="E2215" i="2"/>
  <c r="A200" i="2"/>
  <c r="G117" i="2"/>
  <c r="R488" i="2"/>
  <c r="S1537" i="2"/>
  <c r="O2215" i="2"/>
  <c r="R241" i="2"/>
  <c r="P241" i="2"/>
  <c r="G1537" i="2"/>
  <c r="G1081" i="2"/>
  <c r="O2074" i="2"/>
  <c r="Q290" i="2"/>
  <c r="H55" i="2"/>
  <c r="E290" i="2"/>
  <c r="A117" i="2"/>
  <c r="R2215" i="2"/>
  <c r="Q2074" i="2"/>
  <c r="Q55" i="2"/>
  <c r="P1537" i="2"/>
  <c r="K241" i="2"/>
  <c r="S241" i="2"/>
  <c r="J488" i="2"/>
  <c r="A488" i="2"/>
  <c r="T1081" i="2"/>
  <c r="D488" i="2"/>
  <c r="H2215" i="2"/>
  <c r="C1537" i="2"/>
  <c r="P200" i="2"/>
  <c r="N1537" i="2"/>
  <c r="E55" i="2"/>
  <c r="Q488" i="2"/>
  <c r="O290" i="2"/>
  <c r="Q2215" i="2"/>
  <c r="N488" i="2"/>
  <c r="J2074" i="2"/>
  <c r="P55" i="2"/>
  <c r="D1081" i="2"/>
  <c r="P2074" i="2"/>
  <c r="E1081" i="2"/>
  <c r="Q1537" i="2"/>
  <c r="P1081" i="2"/>
  <c r="H290" i="2"/>
  <c r="R1537" i="2"/>
  <c r="J1081" i="2"/>
  <c r="P117" i="2"/>
  <c r="A2074" i="2"/>
  <c r="T117" i="2"/>
  <c r="E200" i="2"/>
  <c r="O117" i="2"/>
  <c r="P2215" i="2"/>
  <c r="A2215" i="2"/>
  <c r="K290" i="2"/>
  <c r="T290" i="2"/>
  <c r="E1537" i="2"/>
  <c r="H2074" i="2"/>
  <c r="D2215" i="2"/>
  <c r="M55" i="2"/>
  <c r="C200" i="2"/>
  <c r="M2074" i="2"/>
  <c r="J1537" i="2"/>
  <c r="T2215" i="2"/>
  <c r="H241" i="2"/>
  <c r="H488" i="2"/>
  <c r="E2074" i="2"/>
  <c r="G200" i="2"/>
  <c r="A1537" i="2"/>
  <c r="D117" i="2"/>
  <c r="K117" i="2"/>
  <c r="O1537" i="2"/>
  <c r="D290" i="2"/>
  <c r="F200" i="2"/>
  <c r="N55" i="2"/>
  <c r="F117" i="2"/>
  <c r="K2074" i="2"/>
  <c r="G488" i="2"/>
  <c r="N2215" i="2"/>
  <c r="S200" i="2"/>
  <c r="Q117" i="2"/>
  <c r="H1081" i="2"/>
  <c r="F2215" i="2"/>
  <c r="N200" i="2"/>
  <c r="T55" i="2"/>
  <c r="K1537" i="2"/>
  <c r="D2074" i="2"/>
  <c r="M488" i="2"/>
  <c r="F290" i="2"/>
  <c r="Q241" i="2"/>
  <c r="Q162" i="2"/>
  <c r="C1005" i="2"/>
  <c r="N244" i="2"/>
  <c r="C665" i="2"/>
  <c r="S1005" i="2"/>
  <c r="G244" i="2"/>
  <c r="K954" i="2"/>
  <c r="J665" i="2"/>
  <c r="J162" i="2"/>
  <c r="A539" i="2"/>
  <c r="Q977" i="2"/>
  <c r="G162" i="2"/>
  <c r="A923" i="2"/>
  <c r="P1005" i="2"/>
  <c r="O162" i="2"/>
  <c r="D923" i="2"/>
  <c r="J954" i="2"/>
  <c r="M1005" i="2"/>
  <c r="P539" i="2"/>
  <c r="C977" i="2"/>
  <c r="K634" i="2"/>
  <c r="S539" i="2"/>
  <c r="P162" i="2"/>
  <c r="E954" i="2"/>
  <c r="O665" i="2"/>
  <c r="C244" i="2"/>
  <c r="H634" i="2"/>
  <c r="F954" i="2"/>
  <c r="J923" i="2"/>
  <c r="T425" i="2"/>
  <c r="D954" i="2"/>
  <c r="T539" i="2"/>
  <c r="S634" i="2"/>
  <c r="R162" i="2"/>
  <c r="R977" i="2"/>
  <c r="D665" i="2"/>
  <c r="O634" i="2"/>
  <c r="G634" i="2"/>
  <c r="Q425" i="2"/>
  <c r="J244" i="2"/>
  <c r="O244" i="2"/>
  <c r="E977" i="2"/>
  <c r="M162" i="2"/>
  <c r="F665" i="2"/>
  <c r="E425" i="2"/>
  <c r="D634" i="2"/>
  <c r="K425" i="2"/>
  <c r="F425" i="2"/>
  <c r="H244" i="2"/>
  <c r="N634" i="2"/>
  <c r="H1005" i="2"/>
  <c r="Q923" i="2"/>
  <c r="M634" i="2"/>
  <c r="H977" i="2"/>
  <c r="R923" i="2"/>
  <c r="F634" i="2"/>
  <c r="F977" i="2"/>
  <c r="N162" i="2"/>
  <c r="M539" i="2"/>
  <c r="N954" i="2"/>
  <c r="H162" i="2"/>
  <c r="R665" i="2"/>
  <c r="T977" i="2"/>
  <c r="F923" i="2"/>
  <c r="O977" i="2"/>
  <c r="N425" i="2"/>
  <c r="Q665" i="2"/>
  <c r="R539" i="2"/>
  <c r="H539" i="2"/>
  <c r="P954" i="2"/>
  <c r="H425" i="2"/>
  <c r="M923" i="2"/>
  <c r="Q539" i="2"/>
  <c r="G954" i="2"/>
  <c r="G923" i="2"/>
  <c r="T244" i="2"/>
  <c r="K539" i="2"/>
  <c r="N923" i="2"/>
  <c r="E665" i="2"/>
  <c r="A954" i="2"/>
  <c r="O954" i="2"/>
  <c r="T1005" i="2"/>
  <c r="S162" i="2"/>
  <c r="D244" i="2"/>
  <c r="N977" i="2"/>
  <c r="Q634" i="2"/>
  <c r="Q1005" i="2"/>
  <c r="S425" i="2"/>
  <c r="P923" i="2"/>
  <c r="M954" i="2"/>
  <c r="C425" i="2"/>
  <c r="Q954" i="2"/>
  <c r="S244" i="2"/>
  <c r="K977" i="2"/>
  <c r="J539" i="2"/>
  <c r="S977" i="2"/>
  <c r="J634" i="2"/>
  <c r="T954" i="2"/>
  <c r="A244" i="2"/>
  <c r="T665" i="2"/>
  <c r="C162" i="2"/>
  <c r="A634" i="2"/>
  <c r="F539" i="2"/>
  <c r="K665" i="2"/>
  <c r="K1005" i="2"/>
  <c r="F244" i="2"/>
  <c r="P244" i="2"/>
  <c r="H665" i="2"/>
  <c r="G665" i="2"/>
  <c r="P425" i="2"/>
  <c r="E634" i="2"/>
  <c r="S923" i="2"/>
  <c r="Q244" i="2"/>
  <c r="P977" i="2"/>
  <c r="P634" i="2"/>
  <c r="N1005" i="2"/>
  <c r="M977" i="2"/>
  <c r="S954" i="2"/>
  <c r="M244" i="2"/>
  <c r="G539" i="2"/>
  <c r="O425" i="2"/>
  <c r="C634" i="2"/>
  <c r="O923" i="2"/>
  <c r="J977" i="2"/>
  <c r="J425" i="2"/>
  <c r="E162" i="2"/>
  <c r="A665" i="2"/>
  <c r="D425" i="2"/>
  <c r="R954" i="2"/>
  <c r="C954" i="2"/>
  <c r="E1005" i="2"/>
  <c r="T923" i="2"/>
  <c r="K162" i="2"/>
  <c r="A977" i="2"/>
  <c r="O539" i="2"/>
  <c r="D162" i="2"/>
  <c r="D539" i="2"/>
  <c r="D977" i="2"/>
  <c r="F1005" i="2"/>
  <c r="C539" i="2"/>
  <c r="N665" i="2"/>
  <c r="O1005" i="2"/>
  <c r="A1005" i="2"/>
  <c r="G425" i="2"/>
  <c r="N539" i="2"/>
  <c r="A425" i="2"/>
  <c r="T162" i="2"/>
  <c r="E244" i="2"/>
  <c r="R425" i="2"/>
  <c r="E923" i="2"/>
  <c r="C923" i="2"/>
  <c r="R1005" i="2"/>
  <c r="M665" i="2"/>
  <c r="H923" i="2"/>
  <c r="F162" i="2"/>
  <c r="R634" i="2"/>
  <c r="J1005" i="2"/>
  <c r="P665" i="2"/>
  <c r="D1005" i="2"/>
  <c r="K244" i="2"/>
  <c r="E539" i="2"/>
  <c r="H954" i="2"/>
  <c r="M425" i="2"/>
  <c r="G1005" i="2"/>
  <c r="S665" i="2"/>
  <c r="T634" i="2"/>
  <c r="G977" i="2"/>
  <c r="K923" i="2"/>
  <c r="R244" i="2"/>
  <c r="A162" i="2"/>
  <c r="P1886" i="2"/>
  <c r="K1652" i="2"/>
  <c r="H902" i="2"/>
  <c r="K1098" i="2"/>
  <c r="G341" i="2"/>
  <c r="Q1098" i="2"/>
  <c r="Q985" i="2"/>
  <c r="A518" i="2"/>
  <c r="T1201" i="2"/>
  <c r="M1331" i="2"/>
  <c r="G1652" i="2"/>
  <c r="T206" i="2"/>
  <c r="E1951" i="2"/>
  <c r="G206" i="2"/>
  <c r="F1652" i="2"/>
  <c r="N1257" i="2"/>
  <c r="R985" i="2"/>
  <c r="Q206" i="2"/>
  <c r="E1305" i="2"/>
  <c r="C1257" i="2"/>
  <c r="J417" i="2"/>
  <c r="E341" i="2"/>
  <c r="M1652" i="2"/>
  <c r="J291" i="2"/>
  <c r="T518" i="2"/>
  <c r="M1886" i="2"/>
  <c r="J206" i="2"/>
  <c r="J1951" i="2"/>
  <c r="M1246" i="2"/>
  <c r="E1079" i="2"/>
  <c r="R1079" i="2"/>
  <c r="Q1365" i="2"/>
  <c r="D902" i="2"/>
  <c r="R1951" i="2"/>
  <c r="P291" i="2"/>
  <c r="A1365" i="2"/>
  <c r="O1257" i="2"/>
  <c r="R1201" i="2"/>
  <c r="D985" i="2"/>
  <c r="J1157" i="2"/>
  <c r="Q518" i="2"/>
  <c r="P1652" i="2"/>
  <c r="R291" i="2"/>
  <c r="C1157" i="2"/>
  <c r="H1886" i="2"/>
  <c r="K1246" i="2"/>
  <c r="A1246" i="2"/>
  <c r="M518" i="2"/>
  <c r="K1886" i="2"/>
  <c r="S1098" i="2"/>
  <c r="G985" i="2"/>
  <c r="D417" i="2"/>
  <c r="A291" i="2"/>
  <c r="N1331" i="2"/>
  <c r="N1886" i="2"/>
  <c r="H417" i="2"/>
  <c r="Q1201" i="2"/>
  <c r="O1503" i="2"/>
  <c r="R1652" i="2"/>
  <c r="G1305" i="2"/>
  <c r="M206" i="2"/>
  <c r="R341" i="2"/>
  <c r="M291" i="2"/>
  <c r="O1305" i="2"/>
  <c r="A1305" i="2"/>
  <c r="J1305" i="2"/>
  <c r="C985" i="2"/>
  <c r="P1201" i="2"/>
  <c r="E1201" i="2"/>
  <c r="K417" i="2"/>
  <c r="N1365" i="2"/>
  <c r="T1503" i="2"/>
  <c r="S1886" i="2"/>
  <c r="H291" i="2"/>
  <c r="A1652" i="2"/>
  <c r="H1365" i="2"/>
  <c r="G1951" i="2"/>
  <c r="D1157" i="2"/>
  <c r="G1365" i="2"/>
  <c r="H1503" i="2"/>
  <c r="J1201" i="2"/>
  <c r="G1886" i="2"/>
  <c r="K291" i="2"/>
  <c r="T1365" i="2"/>
  <c r="O902" i="2"/>
  <c r="E1157" i="2"/>
  <c r="K1331" i="2"/>
  <c r="T1098" i="2"/>
  <c r="A1886" i="2"/>
  <c r="K1503" i="2"/>
  <c r="A1951" i="2"/>
  <c r="F1365" i="2"/>
  <c r="J341" i="2"/>
  <c r="S1201" i="2"/>
  <c r="K518" i="2"/>
  <c r="E1886" i="2"/>
  <c r="Q1951" i="2"/>
  <c r="T1652" i="2"/>
  <c r="O1951" i="2"/>
  <c r="D1503" i="2"/>
  <c r="A1157" i="2"/>
  <c r="T902" i="2"/>
  <c r="S1365" i="2"/>
  <c r="M902" i="2"/>
  <c r="R1305" i="2"/>
  <c r="J1365" i="2"/>
  <c r="H1305" i="2"/>
  <c r="K985" i="2"/>
  <c r="A341" i="2"/>
  <c r="A417" i="2"/>
  <c r="F291" i="2"/>
  <c r="H985" i="2"/>
  <c r="F417" i="2"/>
  <c r="O1331" i="2"/>
  <c r="T341" i="2"/>
  <c r="C1079" i="2"/>
  <c r="N206" i="2"/>
  <c r="P1257" i="2"/>
  <c r="E1503" i="2"/>
  <c r="F902" i="2"/>
  <c r="D1331" i="2"/>
  <c r="D1886" i="2"/>
  <c r="P985" i="2"/>
  <c r="C1951" i="2"/>
  <c r="D291" i="2"/>
  <c r="T1331" i="2"/>
  <c r="P1098" i="2"/>
  <c r="F1201" i="2"/>
  <c r="E902" i="2"/>
  <c r="M1951" i="2"/>
  <c r="C1246" i="2"/>
  <c r="O1886" i="2"/>
  <c r="H1331" i="2"/>
  <c r="H518" i="2"/>
  <c r="S1079" i="2"/>
  <c r="P206" i="2"/>
  <c r="M417" i="2"/>
  <c r="H1246" i="2"/>
  <c r="D341" i="2"/>
  <c r="E417" i="2"/>
  <c r="C1331" i="2"/>
  <c r="N1201" i="2"/>
  <c r="H1257" i="2"/>
  <c r="G1201" i="2"/>
  <c r="K1157" i="2"/>
  <c r="R206" i="2"/>
  <c r="S1331" i="2"/>
  <c r="A1331" i="2"/>
  <c r="S341" i="2"/>
  <c r="P902" i="2"/>
  <c r="Q1331" i="2"/>
  <c r="Q1157" i="2"/>
  <c r="R1503" i="2"/>
  <c r="N985" i="2"/>
  <c r="R417" i="2"/>
  <c r="F1305" i="2"/>
  <c r="C341" i="2"/>
  <c r="D1305" i="2"/>
  <c r="K206" i="2"/>
  <c r="S1652" i="2"/>
  <c r="E1246" i="2"/>
  <c r="J1098" i="2"/>
  <c r="M1503" i="2"/>
  <c r="D1079" i="2"/>
  <c r="O1098" i="2"/>
  <c r="G518" i="2"/>
  <c r="N417" i="2"/>
  <c r="S417" i="2"/>
  <c r="P1305" i="2"/>
  <c r="D518" i="2"/>
  <c r="T1257" i="2"/>
  <c r="S206" i="2"/>
  <c r="G1331" i="2"/>
  <c r="A1079" i="2"/>
  <c r="N1951" i="2"/>
  <c r="M1305" i="2"/>
  <c r="M1365" i="2"/>
  <c r="N1652" i="2"/>
  <c r="R1098" i="2"/>
  <c r="T985" i="2"/>
  <c r="C1503" i="2"/>
  <c r="E518" i="2"/>
  <c r="R1331" i="2"/>
  <c r="K341" i="2"/>
  <c r="C1305" i="2"/>
  <c r="R518" i="2"/>
  <c r="E1331" i="2"/>
  <c r="F1503" i="2"/>
  <c r="S1951" i="2"/>
  <c r="E1365" i="2"/>
  <c r="F1079" i="2"/>
  <c r="J1079" i="2"/>
  <c r="D206" i="2"/>
  <c r="F1257" i="2"/>
  <c r="G291" i="2"/>
  <c r="T1886" i="2"/>
  <c r="H1951" i="2"/>
  <c r="N902" i="2"/>
  <c r="H206" i="2"/>
  <c r="T1079" i="2"/>
  <c r="H1201" i="2"/>
  <c r="T1246" i="2"/>
  <c r="S518" i="2"/>
  <c r="P1503" i="2"/>
  <c r="Q902" i="2"/>
  <c r="G1246" i="2"/>
  <c r="H1098" i="2"/>
  <c r="N1246" i="2"/>
  <c r="C1098" i="2"/>
  <c r="E1652" i="2"/>
  <c r="P1157" i="2"/>
  <c r="R1257" i="2"/>
  <c r="O1201" i="2"/>
  <c r="Q1503" i="2"/>
  <c r="P1246" i="2"/>
  <c r="O1365" i="2"/>
  <c r="F1951" i="2"/>
  <c r="N1305" i="2"/>
  <c r="S1305" i="2"/>
  <c r="Q291" i="2"/>
  <c r="N518" i="2"/>
  <c r="F1246" i="2"/>
  <c r="N1079" i="2"/>
  <c r="D1951" i="2"/>
  <c r="A985" i="2"/>
  <c r="D1201" i="2"/>
  <c r="O1079" i="2"/>
  <c r="Q1079" i="2"/>
  <c r="Q1305" i="2"/>
  <c r="G1079" i="2"/>
  <c r="N341" i="2"/>
  <c r="P341" i="2"/>
  <c r="Q1886" i="2"/>
  <c r="G1503" i="2"/>
  <c r="F341" i="2"/>
  <c r="D1365" i="2"/>
  <c r="K1365" i="2"/>
  <c r="T1157" i="2"/>
  <c r="O1652" i="2"/>
  <c r="H1079" i="2"/>
  <c r="G417" i="2"/>
  <c r="M1201" i="2"/>
  <c r="O518" i="2"/>
  <c r="M985" i="2"/>
  <c r="K1201" i="2"/>
  <c r="R1365" i="2"/>
  <c r="E1257" i="2"/>
  <c r="G1098" i="2"/>
  <c r="R902" i="2"/>
  <c r="G1257" i="2"/>
  <c r="C518" i="2"/>
  <c r="D1652" i="2"/>
  <c r="S985" i="2"/>
  <c r="S1503" i="2"/>
  <c r="T1305" i="2"/>
  <c r="C417" i="2"/>
  <c r="P1079" i="2"/>
  <c r="D1246" i="2"/>
  <c r="J1886" i="2"/>
  <c r="J518" i="2"/>
  <c r="T291" i="2"/>
  <c r="Q1246" i="2"/>
  <c r="C1652" i="2"/>
  <c r="C206" i="2"/>
  <c r="A902" i="2"/>
  <c r="J1503" i="2"/>
  <c r="F518" i="2"/>
  <c r="O341" i="2"/>
  <c r="J902" i="2"/>
  <c r="O985" i="2"/>
  <c r="A1201" i="2"/>
  <c r="F1098" i="2"/>
  <c r="H1157" i="2"/>
  <c r="A1257" i="2"/>
  <c r="M341" i="2"/>
  <c r="F985" i="2"/>
  <c r="S291" i="2"/>
  <c r="A1098" i="2"/>
  <c r="M1157" i="2"/>
  <c r="S1257" i="2"/>
  <c r="G1157" i="2"/>
  <c r="G902" i="2"/>
  <c r="N1157" i="2"/>
  <c r="T417" i="2"/>
  <c r="E985" i="2"/>
  <c r="C291" i="2"/>
  <c r="P1331" i="2"/>
  <c r="E206" i="2"/>
  <c r="C902" i="2"/>
  <c r="R1886" i="2"/>
  <c r="K902" i="2"/>
  <c r="J1257" i="2"/>
  <c r="O1157" i="2"/>
  <c r="J1652" i="2"/>
  <c r="K1079" i="2"/>
  <c r="R1246" i="2"/>
  <c r="P1365" i="2"/>
  <c r="F1886" i="2"/>
  <c r="D1098" i="2"/>
  <c r="E291" i="2"/>
  <c r="J1246" i="2"/>
  <c r="Q1257" i="2"/>
  <c r="M1098" i="2"/>
  <c r="Q417" i="2"/>
  <c r="Q1652" i="2"/>
  <c r="P417" i="2"/>
  <c r="J1331" i="2"/>
  <c r="S1157" i="2"/>
  <c r="Q341" i="2"/>
  <c r="O291" i="2"/>
  <c r="F206" i="2"/>
  <c r="K1257" i="2"/>
  <c r="K1951" i="2"/>
  <c r="A1503" i="2"/>
  <c r="F1157" i="2"/>
  <c r="M1257" i="2"/>
  <c r="N1098" i="2"/>
  <c r="A206" i="2"/>
  <c r="P1951" i="2"/>
  <c r="T1951" i="2"/>
  <c r="R1157" i="2"/>
  <c r="K1305" i="2"/>
  <c r="C1886" i="2"/>
  <c r="D1257" i="2"/>
  <c r="J985" i="2"/>
  <c r="N1503" i="2"/>
  <c r="F1331" i="2"/>
  <c r="H1652" i="2"/>
  <c r="E1098" i="2"/>
  <c r="S1246" i="2"/>
  <c r="M1079" i="2"/>
  <c r="S902" i="2"/>
  <c r="H341" i="2"/>
  <c r="O206" i="2"/>
  <c r="N291" i="2"/>
  <c r="O417" i="2"/>
  <c r="C1365" i="2"/>
  <c r="O1246" i="2"/>
  <c r="C1201" i="2"/>
  <c r="P518" i="2"/>
  <c r="N831" i="2"/>
  <c r="D1061" i="2"/>
  <c r="J831" i="2"/>
  <c r="K283" i="2"/>
  <c r="R369" i="2"/>
  <c r="S637" i="2"/>
  <c r="P283" i="2"/>
  <c r="D1810" i="2"/>
  <c r="C2146" i="2"/>
  <c r="O1810" i="2"/>
  <c r="O2085" i="2"/>
  <c r="O369" i="2"/>
  <c r="P114" i="2"/>
  <c r="J1405" i="2"/>
  <c r="E944" i="2"/>
  <c r="A369" i="2"/>
  <c r="R1770" i="2"/>
  <c r="P1651" i="2"/>
  <c r="M1770" i="2"/>
  <c r="J322" i="2"/>
  <c r="R637" i="2"/>
  <c r="E369" i="2"/>
  <c r="F944" i="2"/>
  <c r="K2146" i="2"/>
  <c r="Q2146" i="2"/>
  <c r="O283" i="2"/>
  <c r="R1651" i="2"/>
  <c r="J2075" i="2"/>
  <c r="G1592" i="2"/>
  <c r="D831" i="2"/>
  <c r="E637" i="2"/>
  <c r="A1383" i="2"/>
  <c r="F1770" i="2"/>
  <c r="C637" i="2"/>
  <c r="C1405" i="2"/>
  <c r="S1383" i="2"/>
  <c r="N2085" i="2"/>
  <c r="G1770" i="2"/>
  <c r="N322" i="2"/>
  <c r="H2146" i="2"/>
  <c r="J369" i="2"/>
  <c r="F1387" i="2"/>
  <c r="P369" i="2"/>
  <c r="C1061" i="2"/>
  <c r="R111" i="2"/>
  <c r="N1383" i="2"/>
  <c r="T2085" i="2"/>
  <c r="M369" i="2"/>
  <c r="O1405" i="2"/>
  <c r="R283" i="2"/>
  <c r="D2085" i="2"/>
  <c r="D2075" i="2"/>
  <c r="F369" i="2"/>
  <c r="D1387" i="2"/>
  <c r="F2170" i="2"/>
  <c r="F637" i="2"/>
  <c r="O944" i="2"/>
  <c r="Q2075" i="2"/>
  <c r="S322" i="2"/>
  <c r="A2146" i="2"/>
  <c r="O2075" i="2"/>
  <c r="F2085" i="2"/>
  <c r="D2146" i="2"/>
  <c r="F2075" i="2"/>
  <c r="A1770" i="2"/>
  <c r="E1061" i="2"/>
  <c r="C2075" i="2"/>
  <c r="Q111" i="2"/>
  <c r="H369" i="2"/>
  <c r="P1383" i="2"/>
  <c r="G2075" i="2"/>
  <c r="R2075" i="2"/>
  <c r="Q1810" i="2"/>
  <c r="Q1770" i="2"/>
  <c r="F114" i="2"/>
  <c r="A1405" i="2"/>
  <c r="R2170" i="2"/>
  <c r="F1061" i="2"/>
  <c r="R1387" i="2"/>
  <c r="M944" i="2"/>
  <c r="S1770" i="2"/>
  <c r="G1061" i="2"/>
  <c r="D1770" i="2"/>
  <c r="O111" i="2"/>
  <c r="F1592" i="2"/>
  <c r="E2170" i="2"/>
  <c r="H2075" i="2"/>
  <c r="M2085" i="2"/>
  <c r="G283" i="2"/>
  <c r="J2085" i="2"/>
  <c r="K114" i="2"/>
  <c r="O2170" i="2"/>
  <c r="Q637" i="2"/>
  <c r="T831" i="2"/>
  <c r="E1383" i="2"/>
  <c r="H831" i="2"/>
  <c r="H1383" i="2"/>
  <c r="R831" i="2"/>
  <c r="K1810" i="2"/>
  <c r="M283" i="2"/>
  <c r="E111" i="2"/>
  <c r="G944" i="2"/>
  <c r="N1770" i="2"/>
  <c r="A831" i="2"/>
  <c r="K831" i="2"/>
  <c r="G1405" i="2"/>
  <c r="P2170" i="2"/>
  <c r="R1061" i="2"/>
  <c r="E1592" i="2"/>
  <c r="A111" i="2"/>
  <c r="A1651" i="2"/>
  <c r="F1651" i="2"/>
  <c r="T1061" i="2"/>
  <c r="G1383" i="2"/>
  <c r="M114" i="2"/>
  <c r="Q1651" i="2"/>
  <c r="T1592" i="2"/>
  <c r="C1651" i="2"/>
  <c r="Q1387" i="2"/>
  <c r="A283" i="2"/>
  <c r="D369" i="2"/>
  <c r="Q369" i="2"/>
  <c r="J1383" i="2"/>
  <c r="F1405" i="2"/>
  <c r="D2170" i="2"/>
  <c r="T283" i="2"/>
  <c r="O1383" i="2"/>
  <c r="G831" i="2"/>
  <c r="T1405" i="2"/>
  <c r="R944" i="2"/>
  <c r="G2146" i="2"/>
  <c r="N1405" i="2"/>
  <c r="P1592" i="2"/>
  <c r="P1405" i="2"/>
  <c r="K1592" i="2"/>
  <c r="H111" i="2"/>
  <c r="O1387" i="2"/>
  <c r="K1061" i="2"/>
  <c r="R1810" i="2"/>
  <c r="H1061" i="2"/>
  <c r="N2146" i="2"/>
  <c r="J283" i="2"/>
  <c r="D322" i="2"/>
  <c r="P637" i="2"/>
  <c r="Q944" i="2"/>
  <c r="R1383" i="2"/>
  <c r="H944" i="2"/>
  <c r="H1770" i="2"/>
  <c r="J1592" i="2"/>
  <c r="R1592" i="2"/>
  <c r="Q114" i="2"/>
  <c r="O1651" i="2"/>
  <c r="F1383" i="2"/>
  <c r="A944" i="2"/>
  <c r="J1061" i="2"/>
  <c r="E2075" i="2"/>
  <c r="F322" i="2"/>
  <c r="P322" i="2"/>
  <c r="Q1405" i="2"/>
  <c r="F831" i="2"/>
  <c r="T1810" i="2"/>
  <c r="G1387" i="2"/>
  <c r="D637" i="2"/>
  <c r="M2075" i="2"/>
  <c r="K1770" i="2"/>
  <c r="P1387" i="2"/>
  <c r="S2085" i="2"/>
  <c r="K1405" i="2"/>
  <c r="E1651" i="2"/>
  <c r="G114" i="2"/>
  <c r="N1061" i="2"/>
  <c r="C1387" i="2"/>
  <c r="J1810" i="2"/>
  <c r="D944" i="2"/>
  <c r="D1405" i="2"/>
  <c r="M831" i="2"/>
  <c r="Q2085" i="2"/>
  <c r="T114" i="2"/>
  <c r="H2085" i="2"/>
  <c r="C1810" i="2"/>
  <c r="T111" i="2"/>
  <c r="S369" i="2"/>
  <c r="G2085" i="2"/>
  <c r="T1770" i="2"/>
  <c r="R2146" i="2"/>
  <c r="G322" i="2"/>
  <c r="J944" i="2"/>
  <c r="N637" i="2"/>
  <c r="H1651" i="2"/>
  <c r="A2170" i="2"/>
  <c r="J1770" i="2"/>
  <c r="M1810" i="2"/>
  <c r="S944" i="2"/>
  <c r="D1383" i="2"/>
  <c r="M637" i="2"/>
  <c r="M322" i="2"/>
  <c r="P1770" i="2"/>
  <c r="A2075" i="2"/>
  <c r="T637" i="2"/>
  <c r="S114" i="2"/>
  <c r="K2170" i="2"/>
  <c r="C2170" i="2"/>
  <c r="T1383" i="2"/>
  <c r="M1383" i="2"/>
  <c r="J2146" i="2"/>
  <c r="C322" i="2"/>
  <c r="M111" i="2"/>
  <c r="O637" i="2"/>
  <c r="K637" i="2"/>
  <c r="J2170" i="2"/>
  <c r="P1061" i="2"/>
  <c r="A1387" i="2"/>
  <c r="D1592" i="2"/>
  <c r="F111" i="2"/>
  <c r="O322" i="2"/>
  <c r="G1651" i="2"/>
  <c r="P831" i="2"/>
  <c r="T322" i="2"/>
  <c r="A1061" i="2"/>
  <c r="C1383" i="2"/>
  <c r="T369" i="2"/>
  <c r="M1651" i="2"/>
  <c r="K369" i="2"/>
  <c r="S1651" i="2"/>
  <c r="J1651" i="2"/>
  <c r="E322" i="2"/>
  <c r="F283" i="2"/>
  <c r="S1810" i="2"/>
  <c r="N2170" i="2"/>
  <c r="S1592" i="2"/>
  <c r="T1387" i="2"/>
  <c r="E2085" i="2"/>
  <c r="H114" i="2"/>
  <c r="K2075" i="2"/>
  <c r="M1061" i="2"/>
  <c r="G111" i="2"/>
  <c r="O2146" i="2"/>
  <c r="T944" i="2"/>
  <c r="C831" i="2"/>
  <c r="M1387" i="2"/>
  <c r="H1405" i="2"/>
  <c r="O1770" i="2"/>
  <c r="C944" i="2"/>
  <c r="Q1061" i="2"/>
  <c r="R114" i="2"/>
  <c r="O831" i="2"/>
  <c r="J111" i="2"/>
  <c r="K1651" i="2"/>
  <c r="N1651" i="2"/>
  <c r="C111" i="2"/>
  <c r="N1387" i="2"/>
  <c r="E831" i="2"/>
  <c r="S2075" i="2"/>
  <c r="C114" i="2"/>
  <c r="S2146" i="2"/>
  <c r="A322" i="2"/>
  <c r="Q1383" i="2"/>
  <c r="O114" i="2"/>
  <c r="S111" i="2"/>
  <c r="E1405" i="2"/>
  <c r="K322" i="2"/>
  <c r="O1592" i="2"/>
  <c r="M1405" i="2"/>
  <c r="H1810" i="2"/>
  <c r="H1592" i="2"/>
  <c r="T2170" i="2"/>
  <c r="S831" i="2"/>
  <c r="A2085" i="2"/>
  <c r="S1405" i="2"/>
  <c r="N114" i="2"/>
  <c r="C369" i="2"/>
  <c r="G2170" i="2"/>
  <c r="M2146" i="2"/>
  <c r="K944" i="2"/>
  <c r="E1387" i="2"/>
  <c r="E1770" i="2"/>
  <c r="H322" i="2"/>
  <c r="M2170" i="2"/>
  <c r="M1592" i="2"/>
  <c r="Q2170" i="2"/>
  <c r="N369" i="2"/>
  <c r="D114" i="2"/>
  <c r="H283" i="2"/>
  <c r="O1061" i="2"/>
  <c r="C2085" i="2"/>
  <c r="J1387" i="2"/>
  <c r="Q1592" i="2"/>
  <c r="T2146" i="2"/>
  <c r="N2075" i="2"/>
  <c r="P111" i="2"/>
  <c r="G637" i="2"/>
  <c r="R322" i="2"/>
  <c r="K1387" i="2"/>
  <c r="A114" i="2"/>
  <c r="F2146" i="2"/>
  <c r="T1651" i="2"/>
  <c r="H637" i="2"/>
  <c r="D111" i="2"/>
  <c r="T2075" i="2"/>
  <c r="P2146" i="2"/>
  <c r="E283" i="2"/>
  <c r="E1810" i="2"/>
  <c r="J114" i="2"/>
  <c r="P1810" i="2"/>
  <c r="F1810" i="2"/>
  <c r="N283" i="2"/>
  <c r="N1810" i="2"/>
  <c r="C283" i="2"/>
  <c r="A1592" i="2"/>
  <c r="K2085" i="2"/>
  <c r="H1387" i="2"/>
  <c r="P2085" i="2"/>
  <c r="S283" i="2"/>
  <c r="A1810" i="2"/>
  <c r="Q283" i="2"/>
  <c r="P944" i="2"/>
  <c r="H2170" i="2"/>
  <c r="K111" i="2"/>
  <c r="J637" i="2"/>
  <c r="C1592" i="2"/>
  <c r="Q831" i="2"/>
  <c r="N1592" i="2"/>
  <c r="D1651" i="2"/>
  <c r="N944" i="2"/>
  <c r="S2170" i="2"/>
  <c r="S1061" i="2"/>
  <c r="N111" i="2"/>
  <c r="Q322" i="2"/>
  <c r="C1770" i="2"/>
  <c r="E114" i="2"/>
  <c r="A637" i="2"/>
  <c r="E2146" i="2"/>
  <c r="G1810" i="2"/>
  <c r="D283" i="2"/>
  <c r="R2085" i="2"/>
  <c r="R1405" i="2"/>
  <c r="K1383" i="2"/>
  <c r="G369" i="2"/>
  <c r="S1387" i="2"/>
  <c r="P2075" i="2"/>
  <c r="D1169" i="2"/>
  <c r="C2145" i="2"/>
  <c r="R1909" i="2"/>
  <c r="D1945" i="2"/>
  <c r="K1945" i="2"/>
  <c r="C780" i="2"/>
  <c r="C1689" i="2"/>
  <c r="K1169" i="2"/>
  <c r="S2210" i="2"/>
  <c r="F2145" i="2"/>
  <c r="O371" i="2"/>
  <c r="N1689" i="2"/>
  <c r="E1189" i="2"/>
  <c r="O1189" i="2"/>
  <c r="G2145" i="2"/>
  <c r="P1783" i="2"/>
  <c r="E399" i="2"/>
  <c r="H1740" i="2"/>
  <c r="G1544" i="2"/>
  <c r="A371" i="2"/>
  <c r="A1945" i="2"/>
  <c r="E1531" i="2"/>
  <c r="S1531" i="2"/>
  <c r="A1317" i="2"/>
  <c r="M1169" i="2"/>
  <c r="G1689" i="2"/>
  <c r="C165" i="2"/>
  <c r="M2210" i="2"/>
  <c r="N1909" i="2"/>
  <c r="R1052" i="2"/>
  <c r="M1907" i="2"/>
  <c r="D2165" i="2"/>
  <c r="O165" i="2"/>
  <c r="K1322" i="2"/>
  <c r="S1689" i="2"/>
  <c r="C1642" i="2"/>
  <c r="K195" i="2"/>
  <c r="C1740" i="2"/>
  <c r="O1253" i="2"/>
  <c r="K1199" i="2"/>
  <c r="H2145" i="2"/>
  <c r="N1783" i="2"/>
  <c r="Q1322" i="2"/>
  <c r="O1945" i="2"/>
  <c r="A1740" i="2"/>
  <c r="K1907" i="2"/>
  <c r="Q165" i="2"/>
  <c r="N2165" i="2"/>
  <c r="M165" i="2"/>
  <c r="H2021" i="2"/>
  <c r="E1553" i="2"/>
  <c r="P1945" i="2"/>
  <c r="C1783" i="2"/>
  <c r="O1052" i="2"/>
  <c r="O1751" i="2"/>
  <c r="M1199" i="2"/>
  <c r="A1199" i="2"/>
  <c r="P1740" i="2"/>
  <c r="K1317" i="2"/>
  <c r="M1642" i="2"/>
  <c r="E371" i="2"/>
  <c r="G1531" i="2"/>
  <c r="D1909" i="2"/>
  <c r="Q371" i="2"/>
  <c r="R2210" i="2"/>
  <c r="F2021" i="2"/>
  <c r="C1199" i="2"/>
  <c r="E1642" i="2"/>
  <c r="N1199" i="2"/>
  <c r="G1553" i="2"/>
  <c r="D165" i="2"/>
  <c r="K1052" i="2"/>
  <c r="K1553" i="2"/>
  <c r="O195" i="2"/>
  <c r="T1189" i="2"/>
  <c r="K2021" i="2"/>
  <c r="E1909" i="2"/>
  <c r="Q2210" i="2"/>
  <c r="E2218" i="2"/>
  <c r="S399" i="2"/>
  <c r="O1531" i="2"/>
  <c r="N371" i="2"/>
  <c r="M1945" i="2"/>
  <c r="O1689" i="2"/>
  <c r="P195" i="2"/>
  <c r="H1783" i="2"/>
  <c r="H1253" i="2"/>
  <c r="Q2165" i="2"/>
  <c r="E1751" i="2"/>
  <c r="E2145" i="2"/>
  <c r="G195" i="2"/>
  <c r="C1322" i="2"/>
  <c r="G847" i="2"/>
  <c r="P1642" i="2"/>
  <c r="O1642" i="2"/>
  <c r="G1642" i="2"/>
  <c r="F1553" i="2"/>
  <c r="P983" i="2"/>
  <c r="R1945" i="2"/>
  <c r="J1907" i="2"/>
  <c r="K1642" i="2"/>
  <c r="M983" i="2"/>
  <c r="J1751" i="2"/>
  <c r="Q983" i="2"/>
  <c r="S2165" i="2"/>
  <c r="E1689" i="2"/>
  <c r="H2218" i="2"/>
  <c r="J983" i="2"/>
  <c r="T2021" i="2"/>
  <c r="R1740" i="2"/>
  <c r="A2165" i="2"/>
  <c r="Q1189" i="2"/>
  <c r="S1253" i="2"/>
  <c r="D1751" i="2"/>
  <c r="K1740" i="2"/>
  <c r="S2145" i="2"/>
  <c r="G2165" i="2"/>
  <c r="G1945" i="2"/>
  <c r="N983" i="2"/>
  <c r="G399" i="2"/>
  <c r="A399" i="2"/>
  <c r="H1531" i="2"/>
  <c r="C2021" i="2"/>
  <c r="Q1553" i="2"/>
  <c r="S1199" i="2"/>
  <c r="Q1740" i="2"/>
  <c r="J1317" i="2"/>
  <c r="F1907" i="2"/>
  <c r="D2021" i="2"/>
  <c r="R1199" i="2"/>
  <c r="C1544" i="2"/>
  <c r="A1909" i="2"/>
  <c r="G1783" i="2"/>
  <c r="A983" i="2"/>
  <c r="P2165" i="2"/>
  <c r="D2218" i="2"/>
  <c r="R1317" i="2"/>
  <c r="C195" i="2"/>
  <c r="F983" i="2"/>
  <c r="H983" i="2"/>
  <c r="F847" i="2"/>
  <c r="P1169" i="2"/>
  <c r="C399" i="2"/>
  <c r="A1689" i="2"/>
  <c r="F1189" i="2"/>
  <c r="D847" i="2"/>
  <c r="R1169" i="2"/>
  <c r="C1907" i="2"/>
  <c r="Q1199" i="2"/>
  <c r="P780" i="2"/>
  <c r="J1052" i="2"/>
  <c r="R2165" i="2"/>
  <c r="A1531" i="2"/>
  <c r="M1909" i="2"/>
  <c r="Q1751" i="2"/>
  <c r="F1199" i="2"/>
  <c r="C2218" i="2"/>
  <c r="Q1909" i="2"/>
  <c r="K983" i="2"/>
  <c r="N1544" i="2"/>
  <c r="H780" i="2"/>
  <c r="E2165" i="2"/>
  <c r="S1945" i="2"/>
  <c r="H399" i="2"/>
  <c r="R2218" i="2"/>
  <c r="D195" i="2"/>
  <c r="A1052" i="2"/>
  <c r="K2210" i="2"/>
  <c r="M2021" i="2"/>
  <c r="S1783" i="2"/>
  <c r="Q1783" i="2"/>
  <c r="C1253" i="2"/>
  <c r="R983" i="2"/>
  <c r="N195" i="2"/>
  <c r="C1169" i="2"/>
  <c r="J2165" i="2"/>
  <c r="O2218" i="2"/>
  <c r="R195" i="2"/>
  <c r="Q1253" i="2"/>
  <c r="K780" i="2"/>
  <c r="A2210" i="2"/>
  <c r="C1945" i="2"/>
  <c r="N1052" i="2"/>
  <c r="A847" i="2"/>
  <c r="C1189" i="2"/>
  <c r="J2210" i="2"/>
  <c r="P2021" i="2"/>
  <c r="T1909" i="2"/>
  <c r="D1531" i="2"/>
  <c r="S1553" i="2"/>
  <c r="O847" i="2"/>
  <c r="P2218" i="2"/>
  <c r="A1783" i="2"/>
  <c r="M1317" i="2"/>
  <c r="R1544" i="2"/>
  <c r="S983" i="2"/>
  <c r="E165" i="2"/>
  <c r="S1907" i="2"/>
  <c r="E2210" i="2"/>
  <c r="J1783" i="2"/>
  <c r="M1553" i="2"/>
  <c r="M1751" i="2"/>
  <c r="S1317" i="2"/>
  <c r="G1751" i="2"/>
  <c r="K371" i="2"/>
  <c r="P399" i="2"/>
  <c r="K1783" i="2"/>
  <c r="D1553" i="2"/>
  <c r="R165" i="2"/>
  <c r="N2145" i="2"/>
  <c r="N1751" i="2"/>
  <c r="P847" i="2"/>
  <c r="R1189" i="2"/>
  <c r="M1689" i="2"/>
  <c r="S1909" i="2"/>
  <c r="D1052" i="2"/>
  <c r="Q399" i="2"/>
  <c r="S165" i="2"/>
  <c r="C983" i="2"/>
  <c r="N1553" i="2"/>
  <c r="G1189" i="2"/>
  <c r="K1544" i="2"/>
  <c r="N1253" i="2"/>
  <c r="E1169" i="2"/>
  <c r="T1553" i="2"/>
  <c r="M1052" i="2"/>
  <c r="Q2021" i="2"/>
  <c r="J1322" i="2"/>
  <c r="F1909" i="2"/>
  <c r="S1740" i="2"/>
  <c r="M1531" i="2"/>
  <c r="S2218" i="2"/>
  <c r="E780" i="2"/>
  <c r="J1169" i="2"/>
  <c r="H1689" i="2"/>
  <c r="N1642" i="2"/>
  <c r="K1689" i="2"/>
  <c r="G1199" i="2"/>
  <c r="O1909" i="2"/>
  <c r="E1253" i="2"/>
  <c r="K1253" i="2"/>
  <c r="Q195" i="2"/>
  <c r="M1253" i="2"/>
  <c r="R371" i="2"/>
  <c r="M1322" i="2"/>
  <c r="Q780" i="2"/>
  <c r="R1907" i="2"/>
  <c r="G2218" i="2"/>
  <c r="D780" i="2"/>
  <c r="S780" i="2"/>
  <c r="D1689" i="2"/>
  <c r="N1322" i="2"/>
  <c r="D1783" i="2"/>
  <c r="F1531" i="2"/>
  <c r="N1531" i="2"/>
  <c r="A1907" i="2"/>
  <c r="T1751" i="2"/>
  <c r="T371" i="2"/>
  <c r="Q1531" i="2"/>
  <c r="O780" i="2"/>
  <c r="T1531" i="2"/>
  <c r="O1199" i="2"/>
  <c r="Q2145" i="2"/>
  <c r="G2021" i="2"/>
  <c r="T2210" i="2"/>
  <c r="N399" i="2"/>
  <c r="J2218" i="2"/>
  <c r="J1544" i="2"/>
  <c r="F2165" i="2"/>
  <c r="D1907" i="2"/>
  <c r="T1689" i="2"/>
  <c r="J1199" i="2"/>
  <c r="H371" i="2"/>
  <c r="T2218" i="2"/>
  <c r="R2021" i="2"/>
  <c r="O1553" i="2"/>
  <c r="T195" i="2"/>
  <c r="R1642" i="2"/>
  <c r="C2165" i="2"/>
  <c r="G2210" i="2"/>
  <c r="A780" i="2"/>
  <c r="E1199" i="2"/>
  <c r="J1253" i="2"/>
  <c r="J165" i="2"/>
  <c r="G371" i="2"/>
  <c r="S371" i="2"/>
  <c r="G1907" i="2"/>
  <c r="E1945" i="2"/>
  <c r="G983" i="2"/>
  <c r="O1317" i="2"/>
  <c r="A1189" i="2"/>
  <c r="J399" i="2"/>
  <c r="D1642" i="2"/>
  <c r="F1740" i="2"/>
  <c r="P1544" i="2"/>
  <c r="H2165" i="2"/>
  <c r="D2210" i="2"/>
  <c r="A1553" i="2"/>
  <c r="A195" i="2"/>
  <c r="M1783" i="2"/>
  <c r="P2210" i="2"/>
  <c r="N1317" i="2"/>
  <c r="O1783" i="2"/>
  <c r="Q1317" i="2"/>
  <c r="E1317" i="2"/>
  <c r="T1544" i="2"/>
  <c r="C847" i="2"/>
  <c r="F165" i="2"/>
  <c r="O1169" i="2"/>
  <c r="F1783" i="2"/>
  <c r="C1052" i="2"/>
  <c r="K1751" i="2"/>
  <c r="Q1052" i="2"/>
  <c r="F1642" i="2"/>
  <c r="J195" i="2"/>
  <c r="P1531" i="2"/>
  <c r="M847" i="2"/>
  <c r="E2021" i="2"/>
  <c r="T780" i="2"/>
  <c r="M195" i="2"/>
  <c r="J1909" i="2"/>
  <c r="A1642" i="2"/>
  <c r="J2021" i="2"/>
  <c r="R1689" i="2"/>
  <c r="R1783" i="2"/>
  <c r="G780" i="2"/>
  <c r="J1642" i="2"/>
  <c r="F195" i="2"/>
  <c r="K2145" i="2"/>
  <c r="A1169" i="2"/>
  <c r="T1945" i="2"/>
  <c r="N1189" i="2"/>
  <c r="N780" i="2"/>
  <c r="H1553" i="2"/>
  <c r="T1907" i="2"/>
  <c r="Q1544" i="2"/>
  <c r="T1052" i="2"/>
  <c r="A2218" i="2"/>
  <c r="K1189" i="2"/>
  <c r="T847" i="2"/>
  <c r="M2165" i="2"/>
  <c r="J1531" i="2"/>
  <c r="M1740" i="2"/>
  <c r="M371" i="2"/>
  <c r="Q1907" i="2"/>
  <c r="T983" i="2"/>
  <c r="A1253" i="2"/>
  <c r="D371" i="2"/>
  <c r="N1907" i="2"/>
  <c r="R847" i="2"/>
  <c r="Q1945" i="2"/>
  <c r="O1544" i="2"/>
  <c r="A1751" i="2"/>
  <c r="S1751" i="2"/>
  <c r="D1199" i="2"/>
  <c r="H847" i="2"/>
  <c r="T1740" i="2"/>
  <c r="F1544" i="2"/>
  <c r="E847" i="2"/>
  <c r="A1322" i="2"/>
  <c r="O1322" i="2"/>
  <c r="H1909" i="2"/>
  <c r="H1317" i="2"/>
  <c r="R1322" i="2"/>
  <c r="H1322" i="2"/>
  <c r="H1169" i="2"/>
  <c r="P1751" i="2"/>
  <c r="S195" i="2"/>
  <c r="J1740" i="2"/>
  <c r="S1322" i="2"/>
  <c r="Q847" i="2"/>
  <c r="J1689" i="2"/>
  <c r="G1909" i="2"/>
  <c r="H165" i="2"/>
  <c r="C371" i="2"/>
  <c r="E1783" i="2"/>
  <c r="F1169" i="2"/>
  <c r="C1751" i="2"/>
  <c r="A2145" i="2"/>
  <c r="G1317" i="2"/>
  <c r="N1945" i="2"/>
  <c r="P1322" i="2"/>
  <c r="Q1169" i="2"/>
  <c r="J2145" i="2"/>
  <c r="D399" i="2"/>
  <c r="H1052" i="2"/>
  <c r="F1322" i="2"/>
  <c r="H1907" i="2"/>
  <c r="S1052" i="2"/>
  <c r="C1531" i="2"/>
  <c r="P1909" i="2"/>
  <c r="D1544" i="2"/>
  <c r="G165" i="2"/>
  <c r="O2021" i="2"/>
  <c r="J1945" i="2"/>
  <c r="E983" i="2"/>
  <c r="S1642" i="2"/>
  <c r="R1751" i="2"/>
  <c r="P371" i="2"/>
  <c r="F371" i="2"/>
  <c r="T1199" i="2"/>
  <c r="M399" i="2"/>
  <c r="O2165" i="2"/>
  <c r="J780" i="2"/>
  <c r="O2145" i="2"/>
  <c r="G1322" i="2"/>
  <c r="F1317" i="2"/>
  <c r="K1909" i="2"/>
  <c r="S1189" i="2"/>
  <c r="N2021" i="2"/>
  <c r="P1317" i="2"/>
  <c r="T1317" i="2"/>
  <c r="M780" i="2"/>
  <c r="Q1689" i="2"/>
  <c r="D2145" i="2"/>
  <c r="T1253" i="2"/>
  <c r="S2021" i="2"/>
  <c r="T165" i="2"/>
  <c r="H1199" i="2"/>
  <c r="N2210" i="2"/>
  <c r="K399" i="2"/>
  <c r="C1553" i="2"/>
  <c r="T2145" i="2"/>
  <c r="M2218" i="2"/>
  <c r="K2165" i="2"/>
  <c r="C2210" i="2"/>
  <c r="E1907" i="2"/>
  <c r="F1253" i="2"/>
  <c r="J1189" i="2"/>
  <c r="F1052" i="2"/>
  <c r="G1253" i="2"/>
  <c r="O399" i="2"/>
  <c r="H1642" i="2"/>
  <c r="N1169" i="2"/>
  <c r="K847" i="2"/>
  <c r="D1317" i="2"/>
  <c r="M2145" i="2"/>
  <c r="P1907" i="2"/>
  <c r="R1531" i="2"/>
  <c r="N1740" i="2"/>
  <c r="Q2218" i="2"/>
  <c r="N165" i="2"/>
  <c r="R1253" i="2"/>
  <c r="R1553" i="2"/>
  <c r="F2210" i="2"/>
  <c r="H1945" i="2"/>
  <c r="E195" i="2"/>
  <c r="S1169" i="2"/>
  <c r="G1740" i="2"/>
  <c r="J847" i="2"/>
  <c r="F780" i="2"/>
  <c r="H1189" i="2"/>
  <c r="D1189" i="2"/>
  <c r="J1553" i="2"/>
  <c r="E1544" i="2"/>
  <c r="O1740" i="2"/>
  <c r="M1544" i="2"/>
  <c r="P1052" i="2"/>
  <c r="F2218" i="2"/>
  <c r="T399" i="2"/>
  <c r="G1052" i="2"/>
  <c r="F399" i="2"/>
  <c r="P1189" i="2"/>
  <c r="K165" i="2"/>
  <c r="H1544" i="2"/>
  <c r="O2210" i="2"/>
  <c r="H1751" i="2"/>
  <c r="T1642" i="2"/>
  <c r="S1544" i="2"/>
  <c r="D1740" i="2"/>
  <c r="P1253" i="2"/>
  <c r="T1322" i="2"/>
  <c r="S847" i="2"/>
  <c r="N2218" i="2"/>
  <c r="A165" i="2"/>
  <c r="O983" i="2"/>
  <c r="P2145" i="2"/>
  <c r="M1189" i="2"/>
  <c r="R780" i="2"/>
  <c r="R399" i="2"/>
  <c r="P165" i="2"/>
  <c r="C1909" i="2"/>
  <c r="F1751" i="2"/>
  <c r="C1317" i="2"/>
  <c r="Q1642" i="2"/>
  <c r="A1544" i="2"/>
  <c r="D1253" i="2"/>
  <c r="P1689" i="2"/>
  <c r="E1322" i="2"/>
  <c r="P1199" i="2"/>
  <c r="N847" i="2"/>
  <c r="R2145" i="2"/>
  <c r="E1740" i="2"/>
  <c r="H195" i="2"/>
  <c r="K1531" i="2"/>
  <c r="T1783" i="2"/>
  <c r="D1322" i="2"/>
  <c r="A2021" i="2"/>
  <c r="J371" i="2"/>
  <c r="D983" i="2"/>
  <c r="F1945" i="2"/>
  <c r="G1169" i="2"/>
  <c r="T2165" i="2"/>
  <c r="T1169" i="2"/>
  <c r="P1553" i="2"/>
  <c r="K2218" i="2"/>
  <c r="O1907" i="2"/>
  <c r="F1689" i="2"/>
  <c r="E1052" i="2"/>
  <c r="H2210" i="2"/>
  <c r="D1977" i="2"/>
  <c r="S925" i="2"/>
  <c r="C1266" i="2"/>
  <c r="N715" i="2"/>
  <c r="Q1266" i="2"/>
  <c r="K1266" i="2"/>
  <c r="N1266" i="2"/>
  <c r="D1266" i="2"/>
  <c r="Q1977" i="2"/>
  <c r="E106" i="2"/>
  <c r="C1906" i="2"/>
  <c r="F715" i="2"/>
  <c r="K925" i="2"/>
  <c r="F2201" i="2"/>
  <c r="O1266" i="2"/>
  <c r="C106" i="2"/>
  <c r="R1309" i="2"/>
  <c r="F1906" i="2"/>
  <c r="K2201" i="2"/>
  <c r="F1977" i="2"/>
  <c r="O147" i="2"/>
  <c r="P1977" i="2"/>
  <c r="T925" i="2"/>
  <c r="N106" i="2"/>
  <c r="H1309" i="2"/>
  <c r="M1266" i="2"/>
  <c r="E147" i="2"/>
  <c r="F1309" i="2"/>
  <c r="R2201" i="2"/>
  <c r="D925" i="2"/>
  <c r="T715" i="2"/>
  <c r="J1266" i="2"/>
  <c r="G1977" i="2"/>
  <c r="C715" i="2"/>
  <c r="O1977" i="2"/>
  <c r="M1309" i="2"/>
  <c r="E1309" i="2"/>
  <c r="A581" i="2"/>
  <c r="P1906" i="2"/>
  <c r="T1977" i="2"/>
  <c r="D1906" i="2"/>
  <c r="E925" i="2"/>
  <c r="F106" i="2"/>
  <c r="Q147" i="2"/>
  <c r="T1906" i="2"/>
  <c r="M1906" i="2"/>
  <c r="J715" i="2"/>
  <c r="A715" i="2"/>
  <c r="O1309" i="2"/>
  <c r="E1906" i="2"/>
  <c r="M581" i="2"/>
  <c r="R715" i="2"/>
  <c r="R1906" i="2"/>
  <c r="G1906" i="2"/>
  <c r="A1906" i="2"/>
  <c r="E1266" i="2"/>
  <c r="T147" i="2"/>
  <c r="C1977" i="2"/>
  <c r="K1309" i="2"/>
  <c r="J925" i="2"/>
  <c r="S1906" i="2"/>
  <c r="N1906" i="2"/>
  <c r="K1977" i="2"/>
  <c r="H925" i="2"/>
  <c r="Q1906" i="2"/>
  <c r="F581" i="2"/>
  <c r="Q1309" i="2"/>
  <c r="J2201" i="2"/>
  <c r="K1906" i="2"/>
  <c r="D1309" i="2"/>
  <c r="S715" i="2"/>
  <c r="J106" i="2"/>
  <c r="S2201" i="2"/>
  <c r="Q2201" i="2"/>
  <c r="M715" i="2"/>
  <c r="K106" i="2"/>
  <c r="A147" i="2"/>
  <c r="Q715" i="2"/>
  <c r="R925" i="2"/>
  <c r="E1977" i="2"/>
  <c r="K715" i="2"/>
  <c r="O1906" i="2"/>
  <c r="S581" i="2"/>
  <c r="H581" i="2"/>
  <c r="O925" i="2"/>
  <c r="D2201" i="2"/>
  <c r="A1977" i="2"/>
  <c r="C925" i="2"/>
  <c r="A1309" i="2"/>
  <c r="D106" i="2"/>
  <c r="J581" i="2"/>
  <c r="E715" i="2"/>
  <c r="N925" i="2"/>
  <c r="O715" i="2"/>
  <c r="M1977" i="2"/>
  <c r="S1266" i="2"/>
  <c r="G147" i="2"/>
  <c r="H1266" i="2"/>
  <c r="J147" i="2"/>
  <c r="P715" i="2"/>
  <c r="H2201" i="2"/>
  <c r="J1977" i="2"/>
  <c r="K581" i="2"/>
  <c r="G715" i="2"/>
  <c r="M106" i="2"/>
  <c r="J1309" i="2"/>
  <c r="E2201" i="2"/>
  <c r="K147" i="2"/>
  <c r="Q106" i="2"/>
  <c r="S147" i="2"/>
  <c r="P581" i="2"/>
  <c r="H106" i="2"/>
  <c r="P147" i="2"/>
  <c r="H1906" i="2"/>
  <c r="N1977" i="2"/>
  <c r="P1309" i="2"/>
  <c r="T1266" i="2"/>
  <c r="R147" i="2"/>
  <c r="O2201" i="2"/>
  <c r="N2201" i="2"/>
  <c r="G581" i="2"/>
  <c r="C1309" i="2"/>
  <c r="P1266" i="2"/>
  <c r="D147" i="2"/>
  <c r="M925" i="2"/>
  <c r="H1977" i="2"/>
  <c r="A2201" i="2"/>
  <c r="P925" i="2"/>
  <c r="F147" i="2"/>
  <c r="P2201" i="2"/>
  <c r="M147" i="2"/>
  <c r="S1977" i="2"/>
  <c r="Q581" i="2"/>
  <c r="G1309" i="2"/>
  <c r="T1309" i="2"/>
  <c r="G2201" i="2"/>
  <c r="S1309" i="2"/>
  <c r="C581" i="2"/>
  <c r="R581" i="2"/>
  <c r="D581" i="2"/>
  <c r="N147" i="2"/>
  <c r="O581" i="2"/>
  <c r="C147" i="2"/>
  <c r="M2201" i="2"/>
  <c r="R1266" i="2"/>
  <c r="T581" i="2"/>
  <c r="G106" i="2"/>
  <c r="D715" i="2"/>
  <c r="F1266" i="2"/>
  <c r="A925" i="2"/>
  <c r="G1266" i="2"/>
  <c r="R106" i="2"/>
  <c r="C2201" i="2"/>
  <c r="P106" i="2"/>
  <c r="O106" i="2"/>
  <c r="A106" i="2"/>
  <c r="Q925" i="2"/>
  <c r="F925" i="2"/>
  <c r="N581" i="2"/>
  <c r="S106" i="2"/>
  <c r="G925" i="2"/>
  <c r="E581" i="2"/>
  <c r="N1309" i="2"/>
  <c r="T2201" i="2"/>
  <c r="A1266" i="2"/>
  <c r="H715" i="2"/>
  <c r="T106" i="2"/>
  <c r="H147" i="2"/>
  <c r="R1977" i="2"/>
  <c r="J1906" i="2"/>
  <c r="R1910" i="2"/>
  <c r="R1684" i="2"/>
  <c r="J1980" i="2"/>
  <c r="N1479" i="2"/>
  <c r="Q1949" i="2"/>
  <c r="A1980" i="2"/>
  <c r="A877" i="2"/>
  <c r="Q877" i="2"/>
  <c r="T1550" i="2"/>
  <c r="T877" i="2"/>
  <c r="G1479" i="2"/>
  <c r="H1550" i="2"/>
  <c r="F1684" i="2"/>
  <c r="K1910" i="2"/>
  <c r="F130" i="2"/>
  <c r="J877" i="2"/>
  <c r="D1790" i="2"/>
  <c r="F877" i="2"/>
  <c r="C130" i="2"/>
  <c r="E1641" i="2"/>
  <c r="N1949" i="2"/>
  <c r="E1980" i="2"/>
  <c r="H1980" i="2"/>
  <c r="P1684" i="2"/>
  <c r="M1910" i="2"/>
  <c r="C1910" i="2"/>
  <c r="Q1980" i="2"/>
  <c r="S1949" i="2"/>
  <c r="C1684" i="2"/>
  <c r="H1910" i="2"/>
  <c r="J130" i="2"/>
  <c r="M1790" i="2"/>
  <c r="O877" i="2"/>
  <c r="M1479" i="2"/>
  <c r="F1980" i="2"/>
  <c r="D1641" i="2"/>
  <c r="S130" i="2"/>
  <c r="Q130" i="2"/>
  <c r="D1980" i="2"/>
  <c r="S877" i="2"/>
  <c r="Q1550" i="2"/>
  <c r="T1684" i="2"/>
  <c r="K1479" i="2"/>
  <c r="P1949" i="2"/>
  <c r="O1550" i="2"/>
  <c r="J1910" i="2"/>
  <c r="H1790" i="2"/>
  <c r="M1641" i="2"/>
  <c r="C1949" i="2"/>
  <c r="S1479" i="2"/>
  <c r="J1790" i="2"/>
  <c r="R130" i="2"/>
  <c r="G1641" i="2"/>
  <c r="E1550" i="2"/>
  <c r="K877" i="2"/>
  <c r="N130" i="2"/>
  <c r="M877" i="2"/>
  <c r="S1550" i="2"/>
  <c r="E1790" i="2"/>
  <c r="K1949" i="2"/>
  <c r="E1479" i="2"/>
  <c r="E1684" i="2"/>
  <c r="D1910" i="2"/>
  <c r="E877" i="2"/>
  <c r="S1641" i="2"/>
  <c r="S1790" i="2"/>
  <c r="A1641" i="2"/>
  <c r="P1790" i="2"/>
  <c r="M1550" i="2"/>
  <c r="D1949" i="2"/>
  <c r="G1550" i="2"/>
  <c r="Q1684" i="2"/>
  <c r="R1790" i="2"/>
  <c r="Q1910" i="2"/>
  <c r="C1641" i="2"/>
  <c r="R877" i="2"/>
  <c r="A130" i="2"/>
  <c r="K1550" i="2"/>
  <c r="G1949" i="2"/>
  <c r="T1980" i="2"/>
  <c r="H1641" i="2"/>
  <c r="M1980" i="2"/>
  <c r="G130" i="2"/>
  <c r="J1479" i="2"/>
  <c r="H877" i="2"/>
  <c r="K1980" i="2"/>
  <c r="P1641" i="2"/>
  <c r="Q1641" i="2"/>
  <c r="T1790" i="2"/>
  <c r="M1684" i="2"/>
  <c r="T1949" i="2"/>
  <c r="H1684" i="2"/>
  <c r="K1790" i="2"/>
  <c r="T130" i="2"/>
  <c r="J1949" i="2"/>
  <c r="F1910" i="2"/>
  <c r="N1980" i="2"/>
  <c r="P1910" i="2"/>
  <c r="D1684" i="2"/>
  <c r="D130" i="2"/>
  <c r="O1684" i="2"/>
  <c r="C1980" i="2"/>
  <c r="G1790" i="2"/>
  <c r="G1910" i="2"/>
  <c r="N1684" i="2"/>
  <c r="H1479" i="2"/>
  <c r="M1949" i="2"/>
  <c r="S1684" i="2"/>
  <c r="M130" i="2"/>
  <c r="R1949" i="2"/>
  <c r="F1949" i="2"/>
  <c r="F1790" i="2"/>
  <c r="H130" i="2"/>
  <c r="R1550" i="2"/>
  <c r="K1641" i="2"/>
  <c r="P1550" i="2"/>
  <c r="O1790" i="2"/>
  <c r="N1641" i="2"/>
  <c r="D1550" i="2"/>
  <c r="A1910" i="2"/>
  <c r="A1479" i="2"/>
  <c r="D877" i="2"/>
  <c r="G1980" i="2"/>
  <c r="A1684" i="2"/>
  <c r="N1790" i="2"/>
  <c r="T1479" i="2"/>
  <c r="F1641" i="2"/>
  <c r="T1641" i="2"/>
  <c r="E1949" i="2"/>
  <c r="R1641" i="2"/>
  <c r="C1790" i="2"/>
  <c r="N877" i="2"/>
  <c r="F1479" i="2"/>
  <c r="C1550" i="2"/>
  <c r="E1910" i="2"/>
  <c r="F1550" i="2"/>
  <c r="G1684" i="2"/>
  <c r="E130" i="2"/>
  <c r="O1980" i="2"/>
  <c r="H1949" i="2"/>
  <c r="P1980" i="2"/>
  <c r="A1949" i="2"/>
  <c r="O1641" i="2"/>
  <c r="A1550" i="2"/>
  <c r="T1910" i="2"/>
  <c r="J1684" i="2"/>
  <c r="O1910" i="2"/>
  <c r="A1790" i="2"/>
  <c r="P1479" i="2"/>
  <c r="S1980" i="2"/>
  <c r="C1479" i="2"/>
  <c r="P877" i="2"/>
  <c r="R1479" i="2"/>
  <c r="D1479" i="2"/>
  <c r="C877" i="2"/>
  <c r="N1550" i="2"/>
  <c r="K130" i="2"/>
  <c r="Q1479" i="2"/>
  <c r="N1910" i="2"/>
  <c r="O130" i="2"/>
  <c r="O1479" i="2"/>
  <c r="J1641" i="2"/>
  <c r="G877" i="2"/>
  <c r="P130" i="2"/>
  <c r="J1550" i="2"/>
  <c r="K1684" i="2"/>
  <c r="S1910" i="2"/>
  <c r="Q1790" i="2"/>
  <c r="R1980" i="2"/>
  <c r="O1949" i="2"/>
  <c r="H824" i="2"/>
  <c r="M778" i="2"/>
  <c r="S564" i="2"/>
  <c r="M88" i="2"/>
  <c r="J1925" i="2"/>
  <c r="R213" i="2"/>
  <c r="Q824" i="2"/>
  <c r="T164" i="2"/>
  <c r="R336" i="2"/>
  <c r="M1672" i="2"/>
  <c r="O643" i="2"/>
  <c r="D1129" i="2"/>
  <c r="P857" i="2"/>
  <c r="K164" i="2"/>
  <c r="P164" i="2"/>
  <c r="P586" i="2"/>
  <c r="G1925" i="2"/>
  <c r="G213" i="2"/>
  <c r="P778" i="2"/>
  <c r="T823" i="2"/>
  <c r="H564" i="2"/>
  <c r="K1925" i="2"/>
  <c r="S984" i="2"/>
  <c r="S962" i="2"/>
  <c r="N1585" i="2"/>
  <c r="Q336" i="2"/>
  <c r="R564" i="2"/>
  <c r="D778" i="2"/>
  <c r="M1129" i="2"/>
  <c r="Q564" i="2"/>
  <c r="M857" i="2"/>
  <c r="J213" i="2"/>
  <c r="O962" i="2"/>
  <c r="H1925" i="2"/>
  <c r="H778" i="2"/>
  <c r="N643" i="2"/>
  <c r="T270" i="2"/>
  <c r="F1129" i="2"/>
  <c r="J984" i="2"/>
  <c r="F1672" i="2"/>
  <c r="J962" i="2"/>
  <c r="C1129" i="2"/>
  <c r="J823" i="2"/>
  <c r="A336" i="2"/>
  <c r="O336" i="2"/>
  <c r="K823" i="2"/>
  <c r="E336" i="2"/>
  <c r="P962" i="2"/>
  <c r="K1672" i="2"/>
  <c r="H2202" i="2"/>
  <c r="F213" i="2"/>
  <c r="F1925" i="2"/>
  <c r="M164" i="2"/>
  <c r="K1129" i="2"/>
  <c r="S1672" i="2"/>
  <c r="E643" i="2"/>
  <c r="R1672" i="2"/>
  <c r="N778" i="2"/>
  <c r="Q857" i="2"/>
  <c r="F823" i="2"/>
  <c r="T1585" i="2"/>
  <c r="J88" i="2"/>
  <c r="K824" i="2"/>
  <c r="T778" i="2"/>
  <c r="O564" i="2"/>
  <c r="G164" i="2"/>
  <c r="R962" i="2"/>
  <c r="E213" i="2"/>
  <c r="E164" i="2"/>
  <c r="J164" i="2"/>
  <c r="H1129" i="2"/>
  <c r="S643" i="2"/>
  <c r="A643" i="2"/>
  <c r="K643" i="2"/>
  <c r="N2202" i="2"/>
  <c r="N164" i="2"/>
  <c r="P823" i="2"/>
  <c r="N336" i="2"/>
  <c r="K270" i="2"/>
  <c r="C778" i="2"/>
  <c r="A564" i="2"/>
  <c r="O1129" i="2"/>
  <c r="M643" i="2"/>
  <c r="O824" i="2"/>
  <c r="C88" i="2"/>
  <c r="S1129" i="2"/>
  <c r="Q984" i="2"/>
  <c r="D564" i="2"/>
  <c r="S857" i="2"/>
  <c r="Q2202" i="2"/>
  <c r="E1672" i="2"/>
  <c r="C823" i="2"/>
  <c r="N962" i="2"/>
  <c r="J586" i="2"/>
  <c r="H857" i="2"/>
  <c r="A88" i="2"/>
  <c r="S270" i="2"/>
  <c r="D1585" i="2"/>
  <c r="D643" i="2"/>
  <c r="T564" i="2"/>
  <c r="H586" i="2"/>
  <c r="R270" i="2"/>
  <c r="Q586" i="2"/>
  <c r="N586" i="2"/>
  <c r="R1129" i="2"/>
  <c r="D586" i="2"/>
  <c r="G778" i="2"/>
  <c r="F643" i="2"/>
  <c r="J778" i="2"/>
  <c r="D962" i="2"/>
  <c r="T857" i="2"/>
  <c r="M586" i="2"/>
  <c r="H336" i="2"/>
  <c r="S164" i="2"/>
  <c r="N1672" i="2"/>
  <c r="P336" i="2"/>
  <c r="E1925" i="2"/>
  <c r="P1672" i="2"/>
  <c r="S1585" i="2"/>
  <c r="H164" i="2"/>
  <c r="S1116" i="2"/>
  <c r="N824" i="2"/>
  <c r="T1129" i="2"/>
  <c r="F2202" i="2"/>
  <c r="F857" i="2"/>
  <c r="J643" i="2"/>
  <c r="J1585" i="2"/>
  <c r="R824" i="2"/>
  <c r="E88" i="2"/>
  <c r="R1585" i="2"/>
  <c r="T586" i="2"/>
  <c r="Q778" i="2"/>
  <c r="P824" i="2"/>
  <c r="S213" i="2"/>
  <c r="A1585" i="2"/>
  <c r="G962" i="2"/>
  <c r="R643" i="2"/>
  <c r="T1672" i="2"/>
  <c r="D1116" i="2"/>
  <c r="K1116" i="2"/>
  <c r="N857" i="2"/>
  <c r="F1116" i="2"/>
  <c r="Q1672" i="2"/>
  <c r="R1116" i="2"/>
  <c r="K564" i="2"/>
  <c r="E1116" i="2"/>
  <c r="F336" i="2"/>
  <c r="F564" i="2"/>
  <c r="E962" i="2"/>
  <c r="C586" i="2"/>
  <c r="N1129" i="2"/>
  <c r="A984" i="2"/>
  <c r="G984" i="2"/>
  <c r="G564" i="2"/>
  <c r="G1116" i="2"/>
  <c r="Q643" i="2"/>
  <c r="P1585" i="2"/>
  <c r="N1925" i="2"/>
  <c r="O1116" i="2"/>
  <c r="E823" i="2"/>
  <c r="Q1585" i="2"/>
  <c r="T213" i="2"/>
  <c r="M213" i="2"/>
  <c r="P213" i="2"/>
  <c r="K213" i="2"/>
  <c r="Q823" i="2"/>
  <c r="G586" i="2"/>
  <c r="M270" i="2"/>
  <c r="K2202" i="2"/>
  <c r="P1116" i="2"/>
  <c r="R778" i="2"/>
  <c r="F88" i="2"/>
  <c r="D1925" i="2"/>
  <c r="D1672" i="2"/>
  <c r="T88" i="2"/>
  <c r="C270" i="2"/>
  <c r="H88" i="2"/>
  <c r="D270" i="2"/>
  <c r="T336" i="2"/>
  <c r="T643" i="2"/>
  <c r="C164" i="2"/>
  <c r="Q1116" i="2"/>
  <c r="F164" i="2"/>
  <c r="O1672" i="2"/>
  <c r="R2202" i="2"/>
  <c r="O778" i="2"/>
  <c r="N984" i="2"/>
  <c r="K857" i="2"/>
  <c r="Q962" i="2"/>
  <c r="O270" i="2"/>
  <c r="Q213" i="2"/>
  <c r="K962" i="2"/>
  <c r="A778" i="2"/>
  <c r="T1925" i="2"/>
  <c r="N1116" i="2"/>
  <c r="P643" i="2"/>
  <c r="A823" i="2"/>
  <c r="C984" i="2"/>
  <c r="A824" i="2"/>
  <c r="R88" i="2"/>
  <c r="G824" i="2"/>
  <c r="E1129" i="2"/>
  <c r="K586" i="2"/>
  <c r="O88" i="2"/>
  <c r="F962" i="2"/>
  <c r="G2202" i="2"/>
  <c r="H643" i="2"/>
  <c r="D88" i="2"/>
  <c r="M336" i="2"/>
  <c r="H1585" i="2"/>
  <c r="C564" i="2"/>
  <c r="C1116" i="2"/>
  <c r="G823" i="2"/>
  <c r="D984" i="2"/>
  <c r="G857" i="2"/>
  <c r="N823" i="2"/>
  <c r="R1925" i="2"/>
  <c r="E857" i="2"/>
  <c r="G270" i="2"/>
  <c r="F1585" i="2"/>
  <c r="M984" i="2"/>
  <c r="O857" i="2"/>
  <c r="S88" i="2"/>
  <c r="A1116" i="2"/>
  <c r="M1116" i="2"/>
  <c r="H962" i="2"/>
  <c r="N88" i="2"/>
  <c r="O164" i="2"/>
  <c r="D824" i="2"/>
  <c r="A962" i="2"/>
  <c r="O213" i="2"/>
  <c r="E2202" i="2"/>
  <c r="A857" i="2"/>
  <c r="K984" i="2"/>
  <c r="F824" i="2"/>
  <c r="N213" i="2"/>
  <c r="P564" i="2"/>
  <c r="O984" i="2"/>
  <c r="S824" i="2"/>
  <c r="E586" i="2"/>
  <c r="E984" i="2"/>
  <c r="M824" i="2"/>
  <c r="T1116" i="2"/>
  <c r="S586" i="2"/>
  <c r="A1672" i="2"/>
  <c r="G336" i="2"/>
  <c r="J1129" i="2"/>
  <c r="P88" i="2"/>
  <c r="G88" i="2"/>
  <c r="H984" i="2"/>
  <c r="S778" i="2"/>
  <c r="P984" i="2"/>
  <c r="A164" i="2"/>
  <c r="J2202" i="2"/>
  <c r="R586" i="2"/>
  <c r="E778" i="2"/>
  <c r="M1585" i="2"/>
  <c r="H1116" i="2"/>
  <c r="C857" i="2"/>
  <c r="C1925" i="2"/>
  <c r="Q1129" i="2"/>
  <c r="T984" i="2"/>
  <c r="P270" i="2"/>
  <c r="A586" i="2"/>
  <c r="K1585" i="2"/>
  <c r="Q88" i="2"/>
  <c r="S2202" i="2"/>
  <c r="D336" i="2"/>
  <c r="G1585" i="2"/>
  <c r="H270" i="2"/>
  <c r="H213" i="2"/>
  <c r="T962" i="2"/>
  <c r="C824" i="2"/>
  <c r="O823" i="2"/>
  <c r="J564" i="2"/>
  <c r="A1925" i="2"/>
  <c r="Q1925" i="2"/>
  <c r="T2202" i="2"/>
  <c r="F586" i="2"/>
  <c r="H823" i="2"/>
  <c r="A270" i="2"/>
  <c r="C643" i="2"/>
  <c r="C213" i="2"/>
  <c r="T824" i="2"/>
  <c r="D213" i="2"/>
  <c r="G1672" i="2"/>
  <c r="F270" i="2"/>
  <c r="F778" i="2"/>
  <c r="R984" i="2"/>
  <c r="S336" i="2"/>
  <c r="O2202" i="2"/>
  <c r="E564" i="2"/>
  <c r="N270" i="2"/>
  <c r="M564" i="2"/>
  <c r="M1925" i="2"/>
  <c r="P1925" i="2"/>
  <c r="R857" i="2"/>
  <c r="O1925" i="2"/>
  <c r="D823" i="2"/>
  <c r="S823" i="2"/>
  <c r="C1672" i="2"/>
  <c r="A2202" i="2"/>
  <c r="J857" i="2"/>
  <c r="K336" i="2"/>
  <c r="C336" i="2"/>
  <c r="J270" i="2"/>
  <c r="J824" i="2"/>
  <c r="P1129" i="2"/>
  <c r="C962" i="2"/>
  <c r="C1585" i="2"/>
  <c r="O1585" i="2"/>
  <c r="D164" i="2"/>
  <c r="R164" i="2"/>
  <c r="C2202" i="2"/>
  <c r="A1129" i="2"/>
  <c r="Q270" i="2"/>
  <c r="R823" i="2"/>
  <c r="D2202" i="2"/>
  <c r="M2202" i="2"/>
  <c r="J1672" i="2"/>
  <c r="E824" i="2"/>
  <c r="E270" i="2"/>
  <c r="P2202" i="2"/>
  <c r="J336" i="2"/>
  <c r="A213" i="2"/>
  <c r="J1116" i="2"/>
  <c r="G1129" i="2"/>
  <c r="M823" i="2"/>
  <c r="S1925" i="2"/>
  <c r="F984" i="2"/>
  <c r="K88" i="2"/>
  <c r="O586" i="2"/>
  <c r="H1672" i="2"/>
  <c r="N564" i="2"/>
  <c r="M962" i="2"/>
  <c r="D857" i="2"/>
  <c r="Q164" i="2"/>
  <c r="G643" i="2"/>
  <c r="K778" i="2"/>
  <c r="E1585" i="2"/>
  <c r="O900" i="2"/>
  <c r="C1781" i="2"/>
  <c r="C421" i="2"/>
  <c r="Q1495" i="2"/>
  <c r="H760" i="2"/>
  <c r="H1683" i="2"/>
  <c r="T900" i="2"/>
  <c r="S1683" i="2"/>
  <c r="P421" i="2"/>
  <c r="O760" i="2"/>
  <c r="D1781" i="2"/>
  <c r="R1683" i="2"/>
  <c r="M900" i="2"/>
  <c r="E1781" i="2"/>
  <c r="F421" i="2"/>
  <c r="H1495" i="2"/>
  <c r="Q1683" i="2"/>
  <c r="E401" i="2"/>
  <c r="T1683" i="2"/>
  <c r="C550" i="2"/>
  <c r="A1781" i="2"/>
  <c r="O1683" i="2"/>
  <c r="R760" i="2"/>
  <c r="R900" i="2"/>
  <c r="N2128" i="2"/>
  <c r="E2128" i="2"/>
  <c r="M421" i="2"/>
  <c r="K900" i="2"/>
  <c r="A1495" i="2"/>
  <c r="C2128" i="2"/>
  <c r="H2128" i="2"/>
  <c r="A760" i="2"/>
  <c r="R1781" i="2"/>
  <c r="H800" i="2"/>
  <c r="O550" i="2"/>
  <c r="E550" i="2"/>
  <c r="C800" i="2"/>
  <c r="T800" i="2"/>
  <c r="A421" i="2"/>
  <c r="C900" i="2"/>
  <c r="M1781" i="2"/>
  <c r="P401" i="2"/>
  <c r="F1683" i="2"/>
  <c r="N760" i="2"/>
  <c r="G550" i="2"/>
  <c r="S401" i="2"/>
  <c r="S900" i="2"/>
  <c r="M760" i="2"/>
  <c r="O800" i="2"/>
  <c r="P550" i="2"/>
  <c r="Q401" i="2"/>
  <c r="P760" i="2"/>
  <c r="N900" i="2"/>
  <c r="F2128" i="2"/>
  <c r="D2128" i="2"/>
  <c r="G900" i="2"/>
  <c r="H900" i="2"/>
  <c r="M401" i="2"/>
  <c r="P900" i="2"/>
  <c r="D800" i="2"/>
  <c r="A1683" i="2"/>
  <c r="G2128" i="2"/>
  <c r="K401" i="2"/>
  <c r="A800" i="2"/>
  <c r="T1495" i="2"/>
  <c r="J1683" i="2"/>
  <c r="D760" i="2"/>
  <c r="M550" i="2"/>
  <c r="D900" i="2"/>
  <c r="E1683" i="2"/>
  <c r="E900" i="2"/>
  <c r="G800" i="2"/>
  <c r="P800" i="2"/>
  <c r="A2128" i="2"/>
  <c r="R2128" i="2"/>
  <c r="D401" i="2"/>
  <c r="D421" i="2"/>
  <c r="T1781" i="2"/>
  <c r="Q760" i="2"/>
  <c r="C401" i="2"/>
  <c r="G1781" i="2"/>
  <c r="G760" i="2"/>
  <c r="D1683" i="2"/>
  <c r="S1781" i="2"/>
  <c r="N550" i="2"/>
  <c r="Q2128" i="2"/>
  <c r="F1781" i="2"/>
  <c r="A401" i="2"/>
  <c r="R401" i="2"/>
  <c r="E1495" i="2"/>
  <c r="F800" i="2"/>
  <c r="H550" i="2"/>
  <c r="K421" i="2"/>
  <c r="G1495" i="2"/>
  <c r="F550" i="2"/>
  <c r="G421" i="2"/>
  <c r="G401" i="2"/>
  <c r="J550" i="2"/>
  <c r="Q550" i="2"/>
  <c r="T550" i="2"/>
  <c r="E760" i="2"/>
  <c r="R1495" i="2"/>
  <c r="J900" i="2"/>
  <c r="A900" i="2"/>
  <c r="T760" i="2"/>
  <c r="M2128" i="2"/>
  <c r="F1495" i="2"/>
  <c r="K760" i="2"/>
  <c r="P2128" i="2"/>
  <c r="S2128" i="2"/>
  <c r="C1683" i="2"/>
  <c r="J421" i="2"/>
  <c r="C1495" i="2"/>
  <c r="K800" i="2"/>
  <c r="D550" i="2"/>
  <c r="S1495" i="2"/>
  <c r="S421" i="2"/>
  <c r="N800" i="2"/>
  <c r="R800" i="2"/>
  <c r="C760" i="2"/>
  <c r="A550" i="2"/>
  <c r="S800" i="2"/>
  <c r="F900" i="2"/>
  <c r="H401" i="2"/>
  <c r="E421" i="2"/>
  <c r="N1495" i="2"/>
  <c r="N401" i="2"/>
  <c r="J1495" i="2"/>
  <c r="J2128" i="2"/>
  <c r="O401" i="2"/>
  <c r="T401" i="2"/>
  <c r="O1495" i="2"/>
  <c r="R421" i="2"/>
  <c r="T421" i="2"/>
  <c r="M800" i="2"/>
  <c r="K1495" i="2"/>
  <c r="P1683" i="2"/>
  <c r="Q800" i="2"/>
  <c r="O1781" i="2"/>
  <c r="H1781" i="2"/>
  <c r="F760" i="2"/>
  <c r="M1683" i="2"/>
  <c r="F401" i="2"/>
  <c r="S550" i="2"/>
  <c r="R550" i="2"/>
  <c r="Q1781" i="2"/>
  <c r="J800" i="2"/>
  <c r="N1781" i="2"/>
  <c r="P1781" i="2"/>
  <c r="N1683" i="2"/>
  <c r="G1683" i="2"/>
  <c r="M1495" i="2"/>
  <c r="O421" i="2"/>
  <c r="K2128" i="2"/>
  <c r="D1495" i="2"/>
  <c r="N421" i="2"/>
  <c r="J760" i="2"/>
  <c r="T2128" i="2"/>
  <c r="H421" i="2"/>
  <c r="J1781" i="2"/>
  <c r="J401" i="2"/>
  <c r="K1781" i="2"/>
  <c r="Q900" i="2"/>
  <c r="P1495" i="2"/>
  <c r="S760" i="2"/>
  <c r="Q421" i="2"/>
  <c r="E800" i="2"/>
  <c r="K550" i="2"/>
  <c r="O2128" i="2"/>
  <c r="K1683" i="2"/>
  <c r="Q1244" i="2"/>
  <c r="E1718" i="2"/>
  <c r="D1510" i="2"/>
  <c r="O776" i="2"/>
  <c r="N1561" i="2"/>
  <c r="O1561" i="2"/>
  <c r="M1302" i="2"/>
  <c r="N1718" i="2"/>
  <c r="E910" i="2"/>
  <c r="T1302" i="2"/>
  <c r="C910" i="2"/>
  <c r="H2106" i="2"/>
  <c r="S1704" i="2"/>
  <c r="F1302" i="2"/>
  <c r="T910" i="2"/>
  <c r="E1510" i="2"/>
  <c r="D1244" i="2"/>
  <c r="Q776" i="2"/>
  <c r="S1302" i="2"/>
  <c r="D1561" i="2"/>
  <c r="M1510" i="2"/>
  <c r="D1704" i="2"/>
  <c r="H1302" i="2"/>
  <c r="S2106" i="2"/>
  <c r="R1244" i="2"/>
  <c r="J937" i="2"/>
  <c r="T2106" i="2"/>
  <c r="T1510" i="2"/>
  <c r="H776" i="2"/>
  <c r="K1244" i="2"/>
  <c r="H1561" i="2"/>
  <c r="Q1704" i="2"/>
  <c r="O937" i="2"/>
  <c r="T776" i="2"/>
  <c r="M2106" i="2"/>
  <c r="R1704" i="2"/>
  <c r="G1718" i="2"/>
  <c r="P1718" i="2"/>
  <c r="A937" i="2"/>
  <c r="T937" i="2"/>
  <c r="R776" i="2"/>
  <c r="M776" i="2"/>
  <c r="P1244" i="2"/>
  <c r="N1302" i="2"/>
  <c r="G1244" i="2"/>
  <c r="C1704" i="2"/>
  <c r="A1510" i="2"/>
  <c r="D937" i="2"/>
  <c r="A1718" i="2"/>
  <c r="G910" i="2"/>
  <c r="Q1718" i="2"/>
  <c r="Q937" i="2"/>
  <c r="J1302" i="2"/>
  <c r="J1510" i="2"/>
  <c r="D776" i="2"/>
  <c r="N910" i="2"/>
  <c r="C1718" i="2"/>
  <c r="J776" i="2"/>
  <c r="E1561" i="2"/>
  <c r="P1510" i="2"/>
  <c r="M1718" i="2"/>
  <c r="G937" i="2"/>
  <c r="K910" i="2"/>
  <c r="E1704" i="2"/>
  <c r="K1561" i="2"/>
  <c r="J910" i="2"/>
  <c r="A776" i="2"/>
  <c r="S910" i="2"/>
  <c r="T1718" i="2"/>
  <c r="R1510" i="2"/>
  <c r="C2106" i="2"/>
  <c r="D1718" i="2"/>
  <c r="D910" i="2"/>
  <c r="G776" i="2"/>
  <c r="C1302" i="2"/>
  <c r="S1718" i="2"/>
  <c r="A1561" i="2"/>
  <c r="S776" i="2"/>
  <c r="E2106" i="2"/>
  <c r="H1704" i="2"/>
  <c r="C937" i="2"/>
  <c r="J1704" i="2"/>
  <c r="F1244" i="2"/>
  <c r="H1718" i="2"/>
  <c r="K1704" i="2"/>
  <c r="P776" i="2"/>
  <c r="G2106" i="2"/>
  <c r="T1561" i="2"/>
  <c r="R937" i="2"/>
  <c r="A1302" i="2"/>
  <c r="K2106" i="2"/>
  <c r="C1510" i="2"/>
  <c r="N1510" i="2"/>
  <c r="S1561" i="2"/>
  <c r="Q1561" i="2"/>
  <c r="P1704" i="2"/>
  <c r="H937" i="2"/>
  <c r="P910" i="2"/>
  <c r="G1704" i="2"/>
  <c r="K776" i="2"/>
  <c r="F1718" i="2"/>
  <c r="S1244" i="2"/>
  <c r="Q1510" i="2"/>
  <c r="R1561" i="2"/>
  <c r="P937" i="2"/>
  <c r="M910" i="2"/>
  <c r="Q2106" i="2"/>
  <c r="E776" i="2"/>
  <c r="F1561" i="2"/>
  <c r="P2106" i="2"/>
  <c r="H1244" i="2"/>
  <c r="D1302" i="2"/>
  <c r="P1561" i="2"/>
  <c r="F910" i="2"/>
  <c r="J2106" i="2"/>
  <c r="G1510" i="2"/>
  <c r="C776" i="2"/>
  <c r="R1302" i="2"/>
  <c r="O910" i="2"/>
  <c r="F2106" i="2"/>
  <c r="F1704" i="2"/>
  <c r="O1718" i="2"/>
  <c r="O2106" i="2"/>
  <c r="M937" i="2"/>
  <c r="E1244" i="2"/>
  <c r="N1244" i="2"/>
  <c r="O1704" i="2"/>
  <c r="M1704" i="2"/>
  <c r="E937" i="2"/>
  <c r="F937" i="2"/>
  <c r="G1302" i="2"/>
  <c r="N1704" i="2"/>
  <c r="H910" i="2"/>
  <c r="R910" i="2"/>
  <c r="M1561" i="2"/>
  <c r="J1718" i="2"/>
  <c r="R2106" i="2"/>
  <c r="E1302" i="2"/>
  <c r="H1510" i="2"/>
  <c r="O1244" i="2"/>
  <c r="P1302" i="2"/>
  <c r="N937" i="2"/>
  <c r="R1718" i="2"/>
  <c r="N2106" i="2"/>
  <c r="Q1302" i="2"/>
  <c r="M1244" i="2"/>
  <c r="A1244" i="2"/>
  <c r="C1244" i="2"/>
  <c r="S1510" i="2"/>
  <c r="D2106" i="2"/>
  <c r="T1244" i="2"/>
  <c r="F1510" i="2"/>
  <c r="A910" i="2"/>
  <c r="O1510" i="2"/>
  <c r="K1302" i="2"/>
  <c r="J1561" i="2"/>
  <c r="K937" i="2"/>
  <c r="C1561" i="2"/>
  <c r="A1704" i="2"/>
  <c r="F776" i="2"/>
  <c r="G1561" i="2"/>
  <c r="A2106" i="2"/>
  <c r="K1718" i="2"/>
  <c r="K1510" i="2"/>
  <c r="S937" i="2"/>
  <c r="N776" i="2"/>
  <c r="Q910" i="2"/>
  <c r="J1244" i="2"/>
  <c r="T1704" i="2"/>
  <c r="O1302" i="2"/>
  <c r="D1643" i="2"/>
  <c r="N1836" i="2"/>
  <c r="F1836" i="2"/>
  <c r="P1843" i="2"/>
  <c r="J1134" i="2"/>
  <c r="M1836" i="2"/>
  <c r="N143" i="2"/>
  <c r="O1836" i="2"/>
  <c r="S1966" i="2"/>
  <c r="P675" i="2"/>
  <c r="S1134" i="2"/>
  <c r="D1843" i="2"/>
  <c r="D1541" i="2"/>
  <c r="A1541" i="2"/>
  <c r="P1836" i="2"/>
  <c r="M1541" i="2"/>
  <c r="S1836" i="2"/>
  <c r="O143" i="2"/>
  <c r="F666" i="2"/>
  <c r="A1643" i="2"/>
  <c r="M1643" i="2"/>
  <c r="H1134" i="2"/>
  <c r="T675" i="2"/>
  <c r="H1836" i="2"/>
  <c r="M1843" i="2"/>
  <c r="G675" i="2"/>
  <c r="O1843" i="2"/>
  <c r="A1843" i="2"/>
  <c r="J675" i="2"/>
  <c r="N1134" i="2"/>
  <c r="K809" i="2"/>
  <c r="F1541" i="2"/>
  <c r="K675" i="2"/>
  <c r="G1134" i="2"/>
  <c r="C666" i="2"/>
  <c r="G1966" i="2"/>
  <c r="G1843" i="2"/>
  <c r="C1843" i="2"/>
  <c r="P143" i="2"/>
  <c r="C675" i="2"/>
  <c r="G809" i="2"/>
  <c r="T1836" i="2"/>
  <c r="C1966" i="2"/>
  <c r="H1843" i="2"/>
  <c r="P1541" i="2"/>
  <c r="D809" i="2"/>
  <c r="F1134" i="2"/>
  <c r="H809" i="2"/>
  <c r="S675" i="2"/>
  <c r="C1541" i="2"/>
  <c r="Q666" i="2"/>
  <c r="R1541" i="2"/>
  <c r="K1643" i="2"/>
  <c r="Q1541" i="2"/>
  <c r="R1966" i="2"/>
  <c r="N809" i="2"/>
  <c r="J809" i="2"/>
  <c r="D143" i="2"/>
  <c r="T143" i="2"/>
  <c r="P809" i="2"/>
  <c r="C1643" i="2"/>
  <c r="H143" i="2"/>
  <c r="G666" i="2"/>
  <c r="M143" i="2"/>
  <c r="O809" i="2"/>
  <c r="S1643" i="2"/>
  <c r="D675" i="2"/>
  <c r="G1643" i="2"/>
  <c r="A809" i="2"/>
  <c r="R666" i="2"/>
  <c r="E1836" i="2"/>
  <c r="K1836" i="2"/>
  <c r="R143" i="2"/>
  <c r="O1134" i="2"/>
  <c r="E809" i="2"/>
  <c r="J666" i="2"/>
  <c r="Q809" i="2"/>
  <c r="H1966" i="2"/>
  <c r="O1541" i="2"/>
  <c r="J1541" i="2"/>
  <c r="E1541" i="2"/>
  <c r="D1966" i="2"/>
  <c r="K143" i="2"/>
  <c r="N1643" i="2"/>
  <c r="E1134" i="2"/>
  <c r="H675" i="2"/>
  <c r="T1966" i="2"/>
  <c r="P1134" i="2"/>
  <c r="G1836" i="2"/>
  <c r="A666" i="2"/>
  <c r="A675" i="2"/>
  <c r="A143" i="2"/>
  <c r="N1843" i="2"/>
  <c r="O1643" i="2"/>
  <c r="M675" i="2"/>
  <c r="K1541" i="2"/>
  <c r="M1134" i="2"/>
  <c r="K1843" i="2"/>
  <c r="T1843" i="2"/>
  <c r="N666" i="2"/>
  <c r="D1134" i="2"/>
  <c r="F1643" i="2"/>
  <c r="J143" i="2"/>
  <c r="F143" i="2"/>
  <c r="T1643" i="2"/>
  <c r="E1843" i="2"/>
  <c r="C809" i="2"/>
  <c r="F1966" i="2"/>
  <c r="H1541" i="2"/>
  <c r="S1843" i="2"/>
  <c r="Q1966" i="2"/>
  <c r="J1843" i="2"/>
  <c r="M1966" i="2"/>
  <c r="O675" i="2"/>
  <c r="O1966" i="2"/>
  <c r="G1541" i="2"/>
  <c r="R1836" i="2"/>
  <c r="E675" i="2"/>
  <c r="K1134" i="2"/>
  <c r="A1134" i="2"/>
  <c r="T809" i="2"/>
  <c r="R1843" i="2"/>
  <c r="Q1836" i="2"/>
  <c r="S143" i="2"/>
  <c r="Q675" i="2"/>
  <c r="A1966" i="2"/>
  <c r="Q1134" i="2"/>
  <c r="P1966" i="2"/>
  <c r="Q1643" i="2"/>
  <c r="D1836" i="2"/>
  <c r="O666" i="2"/>
  <c r="S1541" i="2"/>
  <c r="E1643" i="2"/>
  <c r="Q1843" i="2"/>
  <c r="S809" i="2"/>
  <c r="E1966" i="2"/>
  <c r="C143" i="2"/>
  <c r="D666" i="2"/>
  <c r="H1643" i="2"/>
  <c r="P666" i="2"/>
  <c r="R1643" i="2"/>
  <c r="G143" i="2"/>
  <c r="P1643" i="2"/>
  <c r="R1134" i="2"/>
  <c r="C1836" i="2"/>
  <c r="N1541" i="2"/>
  <c r="H666" i="2"/>
  <c r="A1836" i="2"/>
  <c r="T1134" i="2"/>
  <c r="R675" i="2"/>
  <c r="J1966" i="2"/>
  <c r="E143" i="2"/>
  <c r="S666" i="2"/>
  <c r="N675" i="2"/>
  <c r="R809" i="2"/>
  <c r="F809" i="2"/>
  <c r="E666" i="2"/>
  <c r="K1966" i="2"/>
  <c r="M666" i="2"/>
  <c r="T666" i="2"/>
  <c r="M809" i="2"/>
  <c r="N1966" i="2"/>
  <c r="J1836" i="2"/>
  <c r="K666" i="2"/>
  <c r="F675" i="2"/>
  <c r="Q143" i="2"/>
  <c r="C1134" i="2"/>
  <c r="T1541" i="2"/>
  <c r="F1843" i="2"/>
  <c r="J1643" i="2"/>
  <c r="D1240" i="2"/>
  <c r="E833" i="2"/>
  <c r="F1744" i="2"/>
  <c r="D1744" i="2"/>
  <c r="P833" i="2"/>
  <c r="S1516" i="2"/>
  <c r="D30" i="2"/>
  <c r="N1516" i="2"/>
  <c r="J1744" i="2"/>
  <c r="T768" i="2"/>
  <c r="E680" i="2"/>
  <c r="P774" i="2"/>
  <c r="S680" i="2"/>
  <c r="N833" i="2"/>
  <c r="S1744" i="2"/>
  <c r="Q833" i="2"/>
  <c r="P30" i="2"/>
  <c r="R774" i="2"/>
  <c r="O30" i="2"/>
  <c r="N30" i="2"/>
  <c r="P1744" i="2"/>
  <c r="E768" i="2"/>
  <c r="N680" i="2"/>
  <c r="R833" i="2"/>
  <c r="O680" i="2"/>
  <c r="K833" i="2"/>
  <c r="A30" i="2"/>
  <c r="C1240" i="2"/>
  <c r="K1933" i="2"/>
  <c r="A768" i="2"/>
  <c r="C30" i="2"/>
  <c r="E774" i="2"/>
  <c r="S1933" i="2"/>
  <c r="O1240" i="2"/>
  <c r="N768" i="2"/>
  <c r="P1180" i="2"/>
  <c r="Q768" i="2"/>
  <c r="J680" i="2"/>
  <c r="K1240" i="2"/>
  <c r="H774" i="2"/>
  <c r="H1240" i="2"/>
  <c r="C1744" i="2"/>
  <c r="G1516" i="2"/>
  <c r="E1516" i="2"/>
  <c r="T30" i="2"/>
  <c r="T1744" i="2"/>
  <c r="D1933" i="2"/>
  <c r="H1933" i="2"/>
  <c r="R1933" i="2"/>
  <c r="D774" i="2"/>
  <c r="O1516" i="2"/>
  <c r="M774" i="2"/>
  <c r="F833" i="2"/>
  <c r="A1933" i="2"/>
  <c r="G1744" i="2"/>
  <c r="H30" i="2"/>
  <c r="A774" i="2"/>
  <c r="H768" i="2"/>
  <c r="N1180" i="2"/>
  <c r="M1516" i="2"/>
  <c r="Q1240" i="2"/>
  <c r="E1240" i="2"/>
  <c r="S30" i="2"/>
  <c r="E1180" i="2"/>
  <c r="T774" i="2"/>
  <c r="J774" i="2"/>
  <c r="E30" i="2"/>
  <c r="Q774" i="2"/>
  <c r="E1744" i="2"/>
  <c r="G768" i="2"/>
  <c r="G680" i="2"/>
  <c r="C1933" i="2"/>
  <c r="K30" i="2"/>
  <c r="M1240" i="2"/>
  <c r="N1933" i="2"/>
  <c r="K1516" i="2"/>
  <c r="S774" i="2"/>
  <c r="T1516" i="2"/>
  <c r="Q680" i="2"/>
  <c r="K1180" i="2"/>
  <c r="C680" i="2"/>
  <c r="S1180" i="2"/>
  <c r="O833" i="2"/>
  <c r="F30" i="2"/>
  <c r="F1180" i="2"/>
  <c r="R768" i="2"/>
  <c r="O1180" i="2"/>
  <c r="T833" i="2"/>
  <c r="F1240" i="2"/>
  <c r="P1933" i="2"/>
  <c r="R1744" i="2"/>
  <c r="M1933" i="2"/>
  <c r="M30" i="2"/>
  <c r="A1516" i="2"/>
  <c r="C1180" i="2"/>
  <c r="A833" i="2"/>
  <c r="D1180" i="2"/>
  <c r="F1516" i="2"/>
  <c r="T680" i="2"/>
  <c r="F768" i="2"/>
  <c r="J1933" i="2"/>
  <c r="T1240" i="2"/>
  <c r="F774" i="2"/>
  <c r="J1240" i="2"/>
  <c r="Q1744" i="2"/>
  <c r="G1240" i="2"/>
  <c r="Q30" i="2"/>
  <c r="O1933" i="2"/>
  <c r="Q1180" i="2"/>
  <c r="Q1933" i="2"/>
  <c r="P768" i="2"/>
  <c r="H680" i="2"/>
  <c r="H1516" i="2"/>
  <c r="M833" i="2"/>
  <c r="M1180" i="2"/>
  <c r="E1933" i="2"/>
  <c r="J833" i="2"/>
  <c r="D768" i="2"/>
  <c r="N774" i="2"/>
  <c r="D833" i="2"/>
  <c r="J1516" i="2"/>
  <c r="C833" i="2"/>
  <c r="D680" i="2"/>
  <c r="G833" i="2"/>
  <c r="M768" i="2"/>
  <c r="A1240" i="2"/>
  <c r="R1180" i="2"/>
  <c r="P680" i="2"/>
  <c r="D1516" i="2"/>
  <c r="G30" i="2"/>
  <c r="A1180" i="2"/>
  <c r="G1180" i="2"/>
  <c r="F1933" i="2"/>
  <c r="G1933" i="2"/>
  <c r="F680" i="2"/>
  <c r="K768" i="2"/>
  <c r="C1516" i="2"/>
  <c r="N1240" i="2"/>
  <c r="S768" i="2"/>
  <c r="N1744" i="2"/>
  <c r="K1744" i="2"/>
  <c r="P1516" i="2"/>
  <c r="C768" i="2"/>
  <c r="P1240" i="2"/>
  <c r="M680" i="2"/>
  <c r="A1744" i="2"/>
  <c r="S833" i="2"/>
  <c r="C774" i="2"/>
  <c r="J1180" i="2"/>
  <c r="O774" i="2"/>
  <c r="O1744" i="2"/>
  <c r="H1180" i="2"/>
  <c r="R1240" i="2"/>
  <c r="M1744" i="2"/>
  <c r="K774" i="2"/>
  <c r="K680" i="2"/>
  <c r="R680" i="2"/>
  <c r="R30" i="2"/>
  <c r="J768" i="2"/>
  <c r="Q1516" i="2"/>
  <c r="T1180" i="2"/>
  <c r="J30" i="2"/>
  <c r="O768" i="2"/>
  <c r="H833" i="2"/>
  <c r="R1516" i="2"/>
  <c r="S1240" i="2"/>
  <c r="G774" i="2"/>
  <c r="T1933" i="2"/>
  <c r="H1744" i="2"/>
  <c r="A680" i="2"/>
  <c r="R662" i="2"/>
  <c r="M546" i="2"/>
  <c r="K2148" i="2"/>
  <c r="M1509" i="2"/>
  <c r="S2148" i="2"/>
  <c r="A834" i="2"/>
  <c r="G546" i="2"/>
  <c r="D546" i="2"/>
  <c r="M662" i="2"/>
  <c r="H1382" i="2"/>
  <c r="P834" i="2"/>
  <c r="A1382" i="2"/>
  <c r="G1509" i="2"/>
  <c r="C2038" i="2"/>
  <c r="M1382" i="2"/>
  <c r="S1488" i="2"/>
  <c r="C834" i="2"/>
  <c r="P1488" i="2"/>
  <c r="H1488" i="2"/>
  <c r="J1782" i="2"/>
  <c r="T1382" i="2"/>
  <c r="P1509" i="2"/>
  <c r="R2038" i="2"/>
  <c r="C1782" i="2"/>
  <c r="D662" i="2"/>
  <c r="T834" i="2"/>
  <c r="F546" i="2"/>
  <c r="O662" i="2"/>
  <c r="R2256" i="2"/>
  <c r="E662" i="2"/>
  <c r="T1782" i="2"/>
  <c r="M1488" i="2"/>
  <c r="S546" i="2"/>
  <c r="C1509" i="2"/>
  <c r="K1382" i="2"/>
  <c r="P2148" i="2"/>
  <c r="F834" i="2"/>
  <c r="M2148" i="2"/>
  <c r="T2256" i="2"/>
  <c r="Q1509" i="2"/>
  <c r="A1488" i="2"/>
  <c r="A1782" i="2"/>
  <c r="S2256" i="2"/>
  <c r="S2038" i="2"/>
  <c r="H834" i="2"/>
  <c r="K1782" i="2"/>
  <c r="O1782" i="2"/>
  <c r="J662" i="2"/>
  <c r="T1488" i="2"/>
  <c r="S662" i="2"/>
  <c r="H2256" i="2"/>
  <c r="G2038" i="2"/>
  <c r="H1782" i="2"/>
  <c r="R1488" i="2"/>
  <c r="Q1488" i="2"/>
  <c r="F662" i="2"/>
  <c r="Q834" i="2"/>
  <c r="R546" i="2"/>
  <c r="C662" i="2"/>
  <c r="S1782" i="2"/>
  <c r="Q662" i="2"/>
  <c r="M834" i="2"/>
  <c r="A1509" i="2"/>
  <c r="E834" i="2"/>
  <c r="K1488" i="2"/>
  <c r="M2038" i="2"/>
  <c r="A2038" i="2"/>
  <c r="T2038" i="2"/>
  <c r="G662" i="2"/>
  <c r="A546" i="2"/>
  <c r="F1488" i="2"/>
  <c r="C2148" i="2"/>
  <c r="C1382" i="2"/>
  <c r="E546" i="2"/>
  <c r="H2038" i="2"/>
  <c r="N2148" i="2"/>
  <c r="R1382" i="2"/>
  <c r="K1509" i="2"/>
  <c r="N2256" i="2"/>
  <c r="Q2256" i="2"/>
  <c r="Q546" i="2"/>
  <c r="D2256" i="2"/>
  <c r="R1782" i="2"/>
  <c r="N1488" i="2"/>
  <c r="D2148" i="2"/>
  <c r="K662" i="2"/>
  <c r="G834" i="2"/>
  <c r="M2256" i="2"/>
  <c r="O2256" i="2"/>
  <c r="T2148" i="2"/>
  <c r="H1509" i="2"/>
  <c r="J1488" i="2"/>
  <c r="D1382" i="2"/>
  <c r="N2038" i="2"/>
  <c r="N662" i="2"/>
  <c r="Q1782" i="2"/>
  <c r="K834" i="2"/>
  <c r="E1488" i="2"/>
  <c r="A2256" i="2"/>
  <c r="J834" i="2"/>
  <c r="Q2148" i="2"/>
  <c r="O2038" i="2"/>
  <c r="M1782" i="2"/>
  <c r="G1782" i="2"/>
  <c r="S1509" i="2"/>
  <c r="O546" i="2"/>
  <c r="S834" i="2"/>
  <c r="F1782" i="2"/>
  <c r="P662" i="2"/>
  <c r="O1488" i="2"/>
  <c r="C546" i="2"/>
  <c r="P2038" i="2"/>
  <c r="N834" i="2"/>
  <c r="N1509" i="2"/>
  <c r="F1509" i="2"/>
  <c r="J2038" i="2"/>
  <c r="J1509" i="2"/>
  <c r="G2148" i="2"/>
  <c r="G1382" i="2"/>
  <c r="E1382" i="2"/>
  <c r="T1509" i="2"/>
  <c r="Q2038" i="2"/>
  <c r="T546" i="2"/>
  <c r="J2148" i="2"/>
  <c r="H2148" i="2"/>
  <c r="H546" i="2"/>
  <c r="E2148" i="2"/>
  <c r="F2148" i="2"/>
  <c r="O1382" i="2"/>
  <c r="E1782" i="2"/>
  <c r="R1509" i="2"/>
  <c r="D1509" i="2"/>
  <c r="D2038" i="2"/>
  <c r="K546" i="2"/>
  <c r="E2038" i="2"/>
  <c r="K2256" i="2"/>
  <c r="J1382" i="2"/>
  <c r="P546" i="2"/>
  <c r="C1488" i="2"/>
  <c r="P1382" i="2"/>
  <c r="R834" i="2"/>
  <c r="K2038" i="2"/>
  <c r="O2148" i="2"/>
  <c r="D1488" i="2"/>
  <c r="C2256" i="2"/>
  <c r="J2256" i="2"/>
  <c r="N1782" i="2"/>
  <c r="N546" i="2"/>
  <c r="G2256" i="2"/>
  <c r="R2148" i="2"/>
  <c r="P2256" i="2"/>
  <c r="H662" i="2"/>
  <c r="N1382" i="2"/>
  <c r="T662" i="2"/>
  <c r="Q1382" i="2"/>
  <c r="O834" i="2"/>
  <c r="F1382" i="2"/>
  <c r="D1782" i="2"/>
  <c r="E1509" i="2"/>
  <c r="E2256" i="2"/>
  <c r="F2256" i="2"/>
  <c r="A662" i="2"/>
  <c r="D834" i="2"/>
  <c r="A2148" i="2"/>
  <c r="G1488" i="2"/>
  <c r="F2038" i="2"/>
  <c r="O1509" i="2"/>
  <c r="S1382" i="2"/>
  <c r="J546" i="2"/>
  <c r="P1782" i="2"/>
  <c r="G1432" i="2"/>
  <c r="E2228" i="2"/>
  <c r="M1432" i="2"/>
  <c r="T535" i="2"/>
  <c r="N415" i="2"/>
  <c r="E1414" i="2"/>
  <c r="K1148" i="2"/>
  <c r="D1520" i="2"/>
  <c r="C990" i="2"/>
  <c r="P1148" i="2"/>
  <c r="R990" i="2"/>
  <c r="Q1432" i="2"/>
  <c r="H1432" i="2"/>
  <c r="M626" i="2"/>
  <c r="T1712" i="2"/>
  <c r="C1760" i="2"/>
  <c r="F1414" i="2"/>
  <c r="H651" i="2"/>
  <c r="E756" i="2"/>
  <c r="P990" i="2"/>
  <c r="K1520" i="2"/>
  <c r="E1712" i="2"/>
  <c r="Q651" i="2"/>
  <c r="C756" i="2"/>
  <c r="D700" i="2"/>
  <c r="Q990" i="2"/>
  <c r="A2228" i="2"/>
  <c r="Q700" i="2"/>
  <c r="G1809" i="2"/>
  <c r="G1148" i="2"/>
  <c r="M700" i="2"/>
  <c r="K415" i="2"/>
  <c r="J1994" i="2"/>
  <c r="G2228" i="2"/>
  <c r="A1432" i="2"/>
  <c r="H1994" i="2"/>
  <c r="H415" i="2"/>
  <c r="K1249" i="2"/>
  <c r="K626" i="2"/>
  <c r="E1635" i="2"/>
  <c r="M1249" i="2"/>
  <c r="O1148" i="2"/>
  <c r="S1994" i="2"/>
  <c r="M1712" i="2"/>
  <c r="N1994" i="2"/>
  <c r="S2228" i="2"/>
  <c r="A415" i="2"/>
  <c r="O1432" i="2"/>
  <c r="S849" i="2"/>
  <c r="S756" i="2"/>
  <c r="J1760" i="2"/>
  <c r="P2228" i="2"/>
  <c r="P700" i="2"/>
  <c r="N1520" i="2"/>
  <c r="M2228" i="2"/>
  <c r="G1760" i="2"/>
  <c r="R1712" i="2"/>
  <c r="P626" i="2"/>
  <c r="F1635" i="2"/>
  <c r="R1520" i="2"/>
  <c r="D1432" i="2"/>
  <c r="C626" i="2"/>
  <c r="Q415" i="2"/>
  <c r="D1994" i="2"/>
  <c r="A626" i="2"/>
  <c r="P1414" i="2"/>
  <c r="D651" i="2"/>
  <c r="Q2064" i="2"/>
  <c r="J700" i="2"/>
  <c r="A1249" i="2"/>
  <c r="O849" i="2"/>
  <c r="R2064" i="2"/>
  <c r="M849" i="2"/>
  <c r="H1760" i="2"/>
  <c r="E651" i="2"/>
  <c r="N1712" i="2"/>
  <c r="H700" i="2"/>
  <c r="C1520" i="2"/>
  <c r="E1432" i="2"/>
  <c r="N1249" i="2"/>
  <c r="G1994" i="2"/>
  <c r="F651" i="2"/>
  <c r="T1249" i="2"/>
  <c r="D1760" i="2"/>
  <c r="Q1712" i="2"/>
  <c r="J1520" i="2"/>
  <c r="Q756" i="2"/>
  <c r="N756" i="2"/>
  <c r="O1414" i="2"/>
  <c r="O1520" i="2"/>
  <c r="R415" i="2"/>
  <c r="D1712" i="2"/>
  <c r="C1712" i="2"/>
  <c r="C2064" i="2"/>
  <c r="R1432" i="2"/>
  <c r="A2064" i="2"/>
  <c r="T1760" i="2"/>
  <c r="J626" i="2"/>
  <c r="Q2228" i="2"/>
  <c r="Q1148" i="2"/>
  <c r="C1994" i="2"/>
  <c r="K2064" i="2"/>
  <c r="P756" i="2"/>
  <c r="J1432" i="2"/>
  <c r="O1249" i="2"/>
  <c r="Q849" i="2"/>
  <c r="S1432" i="2"/>
  <c r="O1760" i="2"/>
  <c r="O1809" i="2"/>
  <c r="J849" i="2"/>
  <c r="M1520" i="2"/>
  <c r="K651" i="2"/>
  <c r="T990" i="2"/>
  <c r="S1809" i="2"/>
  <c r="K700" i="2"/>
  <c r="R1994" i="2"/>
  <c r="F1520" i="2"/>
  <c r="E1520" i="2"/>
  <c r="R651" i="2"/>
  <c r="F1148" i="2"/>
  <c r="K1414" i="2"/>
  <c r="J756" i="2"/>
  <c r="C1809" i="2"/>
  <c r="N1635" i="2"/>
  <c r="N2064" i="2"/>
  <c r="A700" i="2"/>
  <c r="R1809" i="2"/>
  <c r="J1712" i="2"/>
  <c r="G1249" i="2"/>
  <c r="G700" i="2"/>
  <c r="D1249" i="2"/>
  <c r="E990" i="2"/>
  <c r="K1760" i="2"/>
  <c r="P1432" i="2"/>
  <c r="F756" i="2"/>
  <c r="T651" i="2"/>
  <c r="O2064" i="2"/>
  <c r="G1414" i="2"/>
  <c r="K990" i="2"/>
  <c r="C1148" i="2"/>
  <c r="S2064" i="2"/>
  <c r="M1760" i="2"/>
  <c r="G535" i="2"/>
  <c r="J535" i="2"/>
  <c r="T849" i="2"/>
  <c r="P1712" i="2"/>
  <c r="H2228" i="2"/>
  <c r="P849" i="2"/>
  <c r="S700" i="2"/>
  <c r="F1249" i="2"/>
  <c r="E1249" i="2"/>
  <c r="A756" i="2"/>
  <c r="F849" i="2"/>
  <c r="N1414" i="2"/>
  <c r="C1249" i="2"/>
  <c r="T1414" i="2"/>
  <c r="Q626" i="2"/>
  <c r="T1994" i="2"/>
  <c r="D756" i="2"/>
  <c r="F1760" i="2"/>
  <c r="N1148" i="2"/>
  <c r="T626" i="2"/>
  <c r="N626" i="2"/>
  <c r="S535" i="2"/>
  <c r="F535" i="2"/>
  <c r="N2228" i="2"/>
  <c r="K756" i="2"/>
  <c r="O700" i="2"/>
  <c r="H1249" i="2"/>
  <c r="Q1994" i="2"/>
  <c r="D1148" i="2"/>
  <c r="H990" i="2"/>
  <c r="O651" i="2"/>
  <c r="C1432" i="2"/>
  <c r="N700" i="2"/>
  <c r="G1520" i="2"/>
  <c r="O1635" i="2"/>
  <c r="O535" i="2"/>
  <c r="Q1635" i="2"/>
  <c r="R2228" i="2"/>
  <c r="S1635" i="2"/>
  <c r="D535" i="2"/>
  <c r="G651" i="2"/>
  <c r="E1760" i="2"/>
  <c r="E849" i="2"/>
  <c r="D1809" i="2"/>
  <c r="R626" i="2"/>
  <c r="G1635" i="2"/>
  <c r="C1635" i="2"/>
  <c r="S1712" i="2"/>
  <c r="D990" i="2"/>
  <c r="O1994" i="2"/>
  <c r="P2064" i="2"/>
  <c r="M990" i="2"/>
  <c r="E2064" i="2"/>
  <c r="T700" i="2"/>
  <c r="H626" i="2"/>
  <c r="R700" i="2"/>
  <c r="J2228" i="2"/>
  <c r="F2064" i="2"/>
  <c r="O756" i="2"/>
  <c r="Q1520" i="2"/>
  <c r="K2228" i="2"/>
  <c r="M1635" i="2"/>
  <c r="S1414" i="2"/>
  <c r="J1635" i="2"/>
  <c r="K1994" i="2"/>
  <c r="E626" i="2"/>
  <c r="D2228" i="2"/>
  <c r="T1809" i="2"/>
  <c r="S990" i="2"/>
  <c r="G415" i="2"/>
  <c r="O626" i="2"/>
  <c r="T756" i="2"/>
  <c r="M1809" i="2"/>
  <c r="H1520" i="2"/>
  <c r="A1809" i="2"/>
  <c r="D849" i="2"/>
  <c r="D1635" i="2"/>
  <c r="C415" i="2"/>
  <c r="T1148" i="2"/>
  <c r="C651" i="2"/>
  <c r="P415" i="2"/>
  <c r="F626" i="2"/>
  <c r="K1432" i="2"/>
  <c r="H535" i="2"/>
  <c r="K849" i="2"/>
  <c r="H1635" i="2"/>
  <c r="S1148" i="2"/>
  <c r="C1414" i="2"/>
  <c r="A1148" i="2"/>
  <c r="R1635" i="2"/>
  <c r="N849" i="2"/>
  <c r="P1809" i="2"/>
  <c r="T2064" i="2"/>
  <c r="M2064" i="2"/>
  <c r="E1809" i="2"/>
  <c r="P1994" i="2"/>
  <c r="E415" i="2"/>
  <c r="A1712" i="2"/>
  <c r="F1809" i="2"/>
  <c r="Q1809" i="2"/>
  <c r="F700" i="2"/>
  <c r="N990" i="2"/>
  <c r="G990" i="2"/>
  <c r="Q1414" i="2"/>
  <c r="T2228" i="2"/>
  <c r="J1809" i="2"/>
  <c r="H1148" i="2"/>
  <c r="Q1249" i="2"/>
  <c r="R849" i="2"/>
  <c r="H849" i="2"/>
  <c r="A1520" i="2"/>
  <c r="R756" i="2"/>
  <c r="G626" i="2"/>
  <c r="A651" i="2"/>
  <c r="S1760" i="2"/>
  <c r="D415" i="2"/>
  <c r="R1148" i="2"/>
  <c r="H1414" i="2"/>
  <c r="Q1760" i="2"/>
  <c r="G756" i="2"/>
  <c r="H2064" i="2"/>
  <c r="K1809" i="2"/>
  <c r="R1414" i="2"/>
  <c r="G849" i="2"/>
  <c r="F1994" i="2"/>
  <c r="J415" i="2"/>
  <c r="C849" i="2"/>
  <c r="P1520" i="2"/>
  <c r="O1712" i="2"/>
  <c r="C535" i="2"/>
  <c r="R1760" i="2"/>
  <c r="M415" i="2"/>
  <c r="A535" i="2"/>
  <c r="F1712" i="2"/>
  <c r="K535" i="2"/>
  <c r="S415" i="2"/>
  <c r="E700" i="2"/>
  <c r="A1635" i="2"/>
  <c r="O990" i="2"/>
  <c r="R535" i="2"/>
  <c r="P651" i="2"/>
  <c r="M756" i="2"/>
  <c r="M651" i="2"/>
  <c r="E1994" i="2"/>
  <c r="A1414" i="2"/>
  <c r="G2064" i="2"/>
  <c r="A1760" i="2"/>
  <c r="P535" i="2"/>
  <c r="F1432" i="2"/>
  <c r="N1432" i="2"/>
  <c r="D626" i="2"/>
  <c r="M535" i="2"/>
  <c r="M1148" i="2"/>
  <c r="T1520" i="2"/>
  <c r="C2228" i="2"/>
  <c r="J1148" i="2"/>
  <c r="N651" i="2"/>
  <c r="A1994" i="2"/>
  <c r="J1414" i="2"/>
  <c r="D2064" i="2"/>
  <c r="K1712" i="2"/>
  <c r="J1249" i="2"/>
  <c r="P1635" i="2"/>
  <c r="Q535" i="2"/>
  <c r="H1712" i="2"/>
  <c r="S1249" i="2"/>
  <c r="N1809" i="2"/>
  <c r="A990" i="2"/>
  <c r="S651" i="2"/>
  <c r="O415" i="2"/>
  <c r="F2228" i="2"/>
  <c r="N535" i="2"/>
  <c r="T1635" i="2"/>
  <c r="R1249" i="2"/>
  <c r="F415" i="2"/>
  <c r="M1414" i="2"/>
  <c r="N1760" i="2"/>
  <c r="J990" i="2"/>
  <c r="C700" i="2"/>
  <c r="T1432" i="2"/>
  <c r="G1712" i="2"/>
  <c r="H1809" i="2"/>
  <c r="E1148" i="2"/>
  <c r="S1520" i="2"/>
  <c r="T415" i="2"/>
  <c r="J651" i="2"/>
  <c r="A849" i="2"/>
  <c r="F990" i="2"/>
  <c r="H756" i="2"/>
  <c r="P1249" i="2"/>
  <c r="D1414" i="2"/>
  <c r="E535" i="2"/>
  <c r="M1994" i="2"/>
  <c r="O2228" i="2"/>
  <c r="J2064" i="2"/>
  <c r="S626" i="2"/>
  <c r="K1635" i="2"/>
  <c r="P1760" i="2"/>
  <c r="M570" i="2"/>
  <c r="G796" i="2"/>
  <c r="F307" i="2"/>
  <c r="H307" i="2"/>
  <c r="S1307" i="2"/>
  <c r="P848" i="2"/>
  <c r="G1438" i="2"/>
  <c r="H796" i="2"/>
  <c r="M796" i="2"/>
  <c r="N307" i="2"/>
  <c r="J1722" i="2"/>
  <c r="P248" i="2"/>
  <c r="E848" i="2"/>
  <c r="P867" i="2"/>
  <c r="S248" i="2"/>
  <c r="S307" i="2"/>
  <c r="T1307" i="2"/>
  <c r="D826" i="2"/>
  <c r="K1438" i="2"/>
  <c r="C570" i="2"/>
  <c r="H1438" i="2"/>
  <c r="T867" i="2"/>
  <c r="F570" i="2"/>
  <c r="Q248" i="2"/>
  <c r="F826" i="2"/>
  <c r="F867" i="2"/>
  <c r="N570" i="2"/>
  <c r="H570" i="2"/>
  <c r="E826" i="2"/>
  <c r="S570" i="2"/>
  <c r="F796" i="2"/>
  <c r="O848" i="2"/>
  <c r="M826" i="2"/>
  <c r="J1438" i="2"/>
  <c r="N1438" i="2"/>
  <c r="S826" i="2"/>
  <c r="J867" i="2"/>
  <c r="S1438" i="2"/>
  <c r="P1307" i="2"/>
  <c r="E307" i="2"/>
  <c r="H848" i="2"/>
  <c r="F1722" i="2"/>
  <c r="E1307" i="2"/>
  <c r="D867" i="2"/>
  <c r="P796" i="2"/>
  <c r="T848" i="2"/>
  <c r="A307" i="2"/>
  <c r="K570" i="2"/>
  <c r="P1722" i="2"/>
  <c r="R796" i="2"/>
  <c r="M1438" i="2"/>
  <c r="T570" i="2"/>
  <c r="P307" i="2"/>
  <c r="H248" i="2"/>
  <c r="G826" i="2"/>
  <c r="M867" i="2"/>
  <c r="K848" i="2"/>
  <c r="O1438" i="2"/>
  <c r="H826" i="2"/>
  <c r="N796" i="2"/>
  <c r="A826" i="2"/>
  <c r="G1722" i="2"/>
  <c r="D796" i="2"/>
  <c r="Q796" i="2"/>
  <c r="R570" i="2"/>
  <c r="P826" i="2"/>
  <c r="K867" i="2"/>
  <c r="O867" i="2"/>
  <c r="A1722" i="2"/>
  <c r="C796" i="2"/>
  <c r="R1307" i="2"/>
  <c r="K826" i="2"/>
  <c r="S848" i="2"/>
  <c r="O1722" i="2"/>
  <c r="K1307" i="2"/>
  <c r="D1438" i="2"/>
  <c r="D1722" i="2"/>
  <c r="C826" i="2"/>
  <c r="D570" i="2"/>
  <c r="C867" i="2"/>
  <c r="R307" i="2"/>
  <c r="E867" i="2"/>
  <c r="T1438" i="2"/>
  <c r="T826" i="2"/>
  <c r="F248" i="2"/>
  <c r="F848" i="2"/>
  <c r="S867" i="2"/>
  <c r="J570" i="2"/>
  <c r="T796" i="2"/>
  <c r="Q848" i="2"/>
  <c r="G1307" i="2"/>
  <c r="K796" i="2"/>
  <c r="N867" i="2"/>
  <c r="N826" i="2"/>
  <c r="E248" i="2"/>
  <c r="D1307" i="2"/>
  <c r="N848" i="2"/>
  <c r="Q307" i="2"/>
  <c r="F1438" i="2"/>
  <c r="O796" i="2"/>
  <c r="Q1438" i="2"/>
  <c r="T1722" i="2"/>
  <c r="Q826" i="2"/>
  <c r="O570" i="2"/>
  <c r="M1722" i="2"/>
  <c r="R1722" i="2"/>
  <c r="P570" i="2"/>
  <c r="J796" i="2"/>
  <c r="A867" i="2"/>
  <c r="N1722" i="2"/>
  <c r="M248" i="2"/>
  <c r="Q570" i="2"/>
  <c r="N248" i="2"/>
  <c r="K307" i="2"/>
  <c r="O826" i="2"/>
  <c r="M1307" i="2"/>
  <c r="E1438" i="2"/>
  <c r="G248" i="2"/>
  <c r="Q1722" i="2"/>
  <c r="M848" i="2"/>
  <c r="R1438" i="2"/>
  <c r="C1307" i="2"/>
  <c r="Q1307" i="2"/>
  <c r="A1438" i="2"/>
  <c r="A1307" i="2"/>
  <c r="K248" i="2"/>
  <c r="D248" i="2"/>
  <c r="A570" i="2"/>
  <c r="C848" i="2"/>
  <c r="R248" i="2"/>
  <c r="N1307" i="2"/>
  <c r="H1307" i="2"/>
  <c r="D307" i="2"/>
  <c r="E1722" i="2"/>
  <c r="J307" i="2"/>
  <c r="A248" i="2"/>
  <c r="O307" i="2"/>
  <c r="H1722" i="2"/>
  <c r="J1307" i="2"/>
  <c r="A796" i="2"/>
  <c r="G307" i="2"/>
  <c r="G848" i="2"/>
  <c r="A848" i="2"/>
  <c r="R848" i="2"/>
  <c r="M307" i="2"/>
  <c r="K1722" i="2"/>
  <c r="S1722" i="2"/>
  <c r="J826" i="2"/>
  <c r="T307" i="2"/>
  <c r="R867" i="2"/>
  <c r="Q867" i="2"/>
  <c r="J248" i="2"/>
  <c r="G570" i="2"/>
  <c r="C248" i="2"/>
  <c r="J848" i="2"/>
  <c r="C1438" i="2"/>
  <c r="H867" i="2"/>
  <c r="T248" i="2"/>
  <c r="O1307" i="2"/>
  <c r="E796" i="2"/>
  <c r="O248" i="2"/>
  <c r="C1722" i="2"/>
  <c r="F1307" i="2"/>
  <c r="R826" i="2"/>
  <c r="G867" i="2"/>
  <c r="E570" i="2"/>
  <c r="S796" i="2"/>
  <c r="C307" i="2"/>
  <c r="P1438" i="2"/>
  <c r="D848" i="2"/>
  <c r="Q50" i="2"/>
  <c r="P433" i="2"/>
  <c r="E80" i="2"/>
  <c r="Q2098" i="2"/>
  <c r="Q80" i="2"/>
  <c r="H1024" i="2"/>
  <c r="H2098" i="2"/>
  <c r="T497" i="2"/>
  <c r="F497" i="2"/>
  <c r="A1572" i="2"/>
  <c r="C80" i="2"/>
  <c r="C50" i="2"/>
  <c r="D80" i="2"/>
  <c r="F1024" i="2"/>
  <c r="M50" i="2"/>
  <c r="K50" i="2"/>
  <c r="N1024" i="2"/>
  <c r="P1572" i="2"/>
  <c r="K1024" i="2"/>
  <c r="M897" i="2"/>
  <c r="Q433" i="2"/>
  <c r="Q1572" i="2"/>
  <c r="J335" i="2"/>
  <c r="G335" i="2"/>
  <c r="H497" i="2"/>
  <c r="J2098" i="2"/>
  <c r="R1024" i="2"/>
  <c r="E335" i="2"/>
  <c r="C1572" i="2"/>
  <c r="F50" i="2"/>
  <c r="H80" i="2"/>
  <c r="G50" i="2"/>
  <c r="J903" i="2"/>
  <c r="J897" i="2"/>
  <c r="R2098" i="2"/>
  <c r="C897" i="2"/>
  <c r="G1024" i="2"/>
  <c r="J1024" i="2"/>
  <c r="O903" i="2"/>
  <c r="H50" i="2"/>
  <c r="S50" i="2"/>
  <c r="R497" i="2"/>
  <c r="Q335" i="2"/>
  <c r="E1572" i="2"/>
  <c r="O897" i="2"/>
  <c r="G80" i="2"/>
  <c r="D50" i="2"/>
  <c r="P1024" i="2"/>
  <c r="K433" i="2"/>
  <c r="T433" i="2"/>
  <c r="F433" i="2"/>
  <c r="S1572" i="2"/>
  <c r="N80" i="2"/>
  <c r="T2098" i="2"/>
  <c r="A50" i="2"/>
  <c r="M1572" i="2"/>
  <c r="A2098" i="2"/>
  <c r="S2098" i="2"/>
  <c r="G903" i="2"/>
  <c r="Q897" i="2"/>
  <c r="Q497" i="2"/>
  <c r="C335" i="2"/>
  <c r="N335" i="2"/>
  <c r="A80" i="2"/>
  <c r="S80" i="2"/>
  <c r="R50" i="2"/>
  <c r="D1024" i="2"/>
  <c r="A903" i="2"/>
  <c r="J50" i="2"/>
  <c r="F335" i="2"/>
  <c r="S433" i="2"/>
  <c r="D897" i="2"/>
  <c r="O433" i="2"/>
  <c r="E433" i="2"/>
  <c r="T1024" i="2"/>
  <c r="M2098" i="2"/>
  <c r="J497" i="2"/>
  <c r="O50" i="2"/>
  <c r="O1024" i="2"/>
  <c r="D1572" i="2"/>
  <c r="M1024" i="2"/>
  <c r="C2098" i="2"/>
  <c r="P335" i="2"/>
  <c r="A1024" i="2"/>
  <c r="F1572" i="2"/>
  <c r="P903" i="2"/>
  <c r="K497" i="2"/>
  <c r="S335" i="2"/>
  <c r="F2098" i="2"/>
  <c r="H897" i="2"/>
  <c r="O2098" i="2"/>
  <c r="N50" i="2"/>
  <c r="O497" i="2"/>
  <c r="S497" i="2"/>
  <c r="O1572" i="2"/>
  <c r="H433" i="2"/>
  <c r="T897" i="2"/>
  <c r="N897" i="2"/>
  <c r="F897" i="2"/>
  <c r="T80" i="2"/>
  <c r="J80" i="2"/>
  <c r="K1572" i="2"/>
  <c r="T1572" i="2"/>
  <c r="E1024" i="2"/>
  <c r="D433" i="2"/>
  <c r="P2098" i="2"/>
  <c r="J433" i="2"/>
  <c r="Q1024" i="2"/>
  <c r="P497" i="2"/>
  <c r="G2098" i="2"/>
  <c r="F903" i="2"/>
  <c r="R433" i="2"/>
  <c r="A497" i="2"/>
  <c r="H903" i="2"/>
  <c r="E897" i="2"/>
  <c r="M497" i="2"/>
  <c r="M433" i="2"/>
  <c r="H335" i="2"/>
  <c r="E903" i="2"/>
  <c r="C903" i="2"/>
  <c r="O80" i="2"/>
  <c r="A897" i="2"/>
  <c r="E50" i="2"/>
  <c r="D497" i="2"/>
  <c r="P50" i="2"/>
  <c r="T335" i="2"/>
  <c r="M903" i="2"/>
  <c r="G1572" i="2"/>
  <c r="N903" i="2"/>
  <c r="K903" i="2"/>
  <c r="R80" i="2"/>
  <c r="S903" i="2"/>
  <c r="F80" i="2"/>
  <c r="S897" i="2"/>
  <c r="H1572" i="2"/>
  <c r="G897" i="2"/>
  <c r="G497" i="2"/>
  <c r="A335" i="2"/>
  <c r="D2098" i="2"/>
  <c r="P80" i="2"/>
  <c r="R903" i="2"/>
  <c r="K897" i="2"/>
  <c r="M335" i="2"/>
  <c r="P897" i="2"/>
  <c r="R1572" i="2"/>
  <c r="A433" i="2"/>
  <c r="D903" i="2"/>
  <c r="K2098" i="2"/>
  <c r="J1572" i="2"/>
  <c r="D335" i="2"/>
  <c r="C497" i="2"/>
  <c r="O335" i="2"/>
  <c r="M80" i="2"/>
  <c r="S1024" i="2"/>
  <c r="N433" i="2"/>
  <c r="C433" i="2"/>
  <c r="R335" i="2"/>
  <c r="N497" i="2"/>
  <c r="E2098" i="2"/>
  <c r="Q903" i="2"/>
  <c r="K335" i="2"/>
  <c r="R897" i="2"/>
  <c r="N2098" i="2"/>
  <c r="T50" i="2"/>
  <c r="N1572" i="2"/>
  <c r="G433" i="2"/>
  <c r="K80" i="2"/>
  <c r="T903" i="2"/>
  <c r="C1024" i="2"/>
  <c r="E497" i="2"/>
  <c r="H2016" i="2"/>
  <c r="G1125" i="2"/>
  <c r="R2016" i="2"/>
  <c r="M1577" i="2"/>
  <c r="M786" i="2"/>
  <c r="O619" i="2"/>
  <c r="A1577" i="2"/>
  <c r="S2016" i="2"/>
  <c r="G72" i="2"/>
  <c r="R619" i="2"/>
  <c r="K786" i="2"/>
  <c r="C1301" i="2"/>
  <c r="E358" i="2"/>
  <c r="K584" i="2"/>
  <c r="A1125" i="2"/>
  <c r="D619" i="2"/>
  <c r="M1779" i="2"/>
  <c r="N358" i="2"/>
  <c r="H1779" i="2"/>
  <c r="Q1125" i="2"/>
  <c r="P584" i="2"/>
  <c r="T786" i="2"/>
  <c r="H619" i="2"/>
  <c r="E619" i="2"/>
  <c r="A72" i="2"/>
  <c r="Q786" i="2"/>
  <c r="S358" i="2"/>
  <c r="R584" i="2"/>
  <c r="N1779" i="2"/>
  <c r="P1779" i="2"/>
  <c r="F619" i="2"/>
  <c r="S786" i="2"/>
  <c r="Q1301" i="2"/>
  <c r="P2016" i="2"/>
  <c r="M2016" i="2"/>
  <c r="C584" i="2"/>
  <c r="O358" i="2"/>
  <c r="A358" i="2"/>
  <c r="S619" i="2"/>
  <c r="K1125" i="2"/>
  <c r="O786" i="2"/>
  <c r="A1779" i="2"/>
  <c r="N1301" i="2"/>
  <c r="P1301" i="2"/>
  <c r="J72" i="2"/>
  <c r="Q1779" i="2"/>
  <c r="E1779" i="2"/>
  <c r="D2016" i="2"/>
  <c r="S1779" i="2"/>
  <c r="O1577" i="2"/>
  <c r="T584" i="2"/>
  <c r="C1577" i="2"/>
  <c r="Q2016" i="2"/>
  <c r="P358" i="2"/>
  <c r="H786" i="2"/>
  <c r="K1577" i="2"/>
  <c r="G1779" i="2"/>
  <c r="E1577" i="2"/>
  <c r="E72" i="2"/>
  <c r="G1301" i="2"/>
  <c r="E584" i="2"/>
  <c r="Q72" i="2"/>
  <c r="P72" i="2"/>
  <c r="F1577" i="2"/>
  <c r="N72" i="2"/>
  <c r="S1125" i="2"/>
  <c r="T619" i="2"/>
  <c r="T1577" i="2"/>
  <c r="Q619" i="2"/>
  <c r="N619" i="2"/>
  <c r="O1779" i="2"/>
  <c r="E786" i="2"/>
  <c r="C358" i="2"/>
  <c r="K619" i="2"/>
  <c r="T72" i="2"/>
  <c r="H1125" i="2"/>
  <c r="K1301" i="2"/>
  <c r="F584" i="2"/>
  <c r="P786" i="2"/>
  <c r="M1301" i="2"/>
  <c r="Q1577" i="2"/>
  <c r="M72" i="2"/>
  <c r="S72" i="2"/>
  <c r="S584" i="2"/>
  <c r="G786" i="2"/>
  <c r="N2016" i="2"/>
  <c r="K72" i="2"/>
  <c r="T1301" i="2"/>
  <c r="J1125" i="2"/>
  <c r="H1577" i="2"/>
  <c r="S1301" i="2"/>
  <c r="R358" i="2"/>
  <c r="S1577" i="2"/>
  <c r="D358" i="2"/>
  <c r="T358" i="2"/>
  <c r="J1577" i="2"/>
  <c r="M584" i="2"/>
  <c r="M619" i="2"/>
  <c r="A786" i="2"/>
  <c r="K1779" i="2"/>
  <c r="P619" i="2"/>
  <c r="C2016" i="2"/>
  <c r="N1125" i="2"/>
  <c r="H1301" i="2"/>
  <c r="R1125" i="2"/>
  <c r="F1779" i="2"/>
  <c r="P1577" i="2"/>
  <c r="A584" i="2"/>
  <c r="N1577" i="2"/>
  <c r="E2016" i="2"/>
  <c r="G584" i="2"/>
  <c r="P1125" i="2"/>
  <c r="N786" i="2"/>
  <c r="R72" i="2"/>
  <c r="G358" i="2"/>
  <c r="J358" i="2"/>
  <c r="J2016" i="2"/>
  <c r="F2016" i="2"/>
  <c r="O2016" i="2"/>
  <c r="D1301" i="2"/>
  <c r="O1125" i="2"/>
  <c r="F1125" i="2"/>
  <c r="N584" i="2"/>
  <c r="J786" i="2"/>
  <c r="C72" i="2"/>
  <c r="M358" i="2"/>
  <c r="K2016" i="2"/>
  <c r="T1779" i="2"/>
  <c r="F786" i="2"/>
  <c r="H72" i="2"/>
  <c r="H358" i="2"/>
  <c r="C1125" i="2"/>
  <c r="D786" i="2"/>
  <c r="H584" i="2"/>
  <c r="D1577" i="2"/>
  <c r="C786" i="2"/>
  <c r="M1125" i="2"/>
  <c r="J619" i="2"/>
  <c r="D584" i="2"/>
  <c r="J1779" i="2"/>
  <c r="O1301" i="2"/>
  <c r="A1301" i="2"/>
  <c r="D72" i="2"/>
  <c r="Q584" i="2"/>
  <c r="O584" i="2"/>
  <c r="T2016" i="2"/>
  <c r="R1577" i="2"/>
  <c r="G619" i="2"/>
  <c r="O72" i="2"/>
  <c r="A619" i="2"/>
  <c r="J1301" i="2"/>
  <c r="R1779" i="2"/>
  <c r="C1779" i="2"/>
  <c r="D1125" i="2"/>
  <c r="K358" i="2"/>
  <c r="F358" i="2"/>
  <c r="F1301" i="2"/>
  <c r="E1301" i="2"/>
  <c r="G2016" i="2"/>
  <c r="E1125" i="2"/>
  <c r="R786" i="2"/>
  <c r="D1779" i="2"/>
  <c r="Q358" i="2"/>
  <c r="C619" i="2"/>
  <c r="R1301" i="2"/>
  <c r="G1577" i="2"/>
  <c r="J584" i="2"/>
  <c r="T1125" i="2"/>
  <c r="A2016" i="2"/>
  <c r="F72" i="2"/>
  <c r="P1608" i="2"/>
  <c r="N1370" i="2"/>
  <c r="D1370" i="2"/>
  <c r="O1970" i="2"/>
  <c r="T1970" i="2"/>
  <c r="S1608" i="2"/>
  <c r="R2122" i="2"/>
  <c r="D2122" i="2"/>
  <c r="E2157" i="2"/>
  <c r="A1141" i="2"/>
  <c r="K2157" i="2"/>
  <c r="T1634" i="2"/>
  <c r="Q1109" i="2"/>
  <c r="J1109" i="2"/>
  <c r="G1634" i="2"/>
  <c r="C1132" i="2"/>
  <c r="S1132" i="2"/>
  <c r="N1141" i="2"/>
  <c r="A2122" i="2"/>
  <c r="C1634" i="2"/>
  <c r="F2157" i="2"/>
  <c r="D1608" i="2"/>
  <c r="T1132" i="2"/>
  <c r="J1970" i="2"/>
  <c r="O459" i="2"/>
  <c r="D2157" i="2"/>
  <c r="S2157" i="2"/>
  <c r="O1634" i="2"/>
  <c r="T2122" i="2"/>
  <c r="S1109" i="2"/>
  <c r="T1109" i="2"/>
  <c r="A1608" i="2"/>
  <c r="Q459" i="2"/>
  <c r="H459" i="2"/>
  <c r="P1970" i="2"/>
  <c r="P2157" i="2"/>
  <c r="H2157" i="2"/>
  <c r="Q2157" i="2"/>
  <c r="R1132" i="2"/>
  <c r="G2122" i="2"/>
  <c r="E1370" i="2"/>
  <c r="F1109" i="2"/>
  <c r="O1132" i="2"/>
  <c r="A1634" i="2"/>
  <c r="H1634" i="2"/>
  <c r="P1132" i="2"/>
  <c r="H2122" i="2"/>
  <c r="G1608" i="2"/>
  <c r="D1109" i="2"/>
  <c r="G1109" i="2"/>
  <c r="N1132" i="2"/>
  <c r="R1141" i="2"/>
  <c r="O2157" i="2"/>
  <c r="J1370" i="2"/>
  <c r="A1109" i="2"/>
  <c r="G1141" i="2"/>
  <c r="K459" i="2"/>
  <c r="M1141" i="2"/>
  <c r="M1634" i="2"/>
  <c r="H1370" i="2"/>
  <c r="K1109" i="2"/>
  <c r="E1109" i="2"/>
  <c r="N1109" i="2"/>
  <c r="E1132" i="2"/>
  <c r="C1970" i="2"/>
  <c r="M459" i="2"/>
  <c r="N1634" i="2"/>
  <c r="A459" i="2"/>
  <c r="O1608" i="2"/>
  <c r="K1970" i="2"/>
  <c r="M1132" i="2"/>
  <c r="H1141" i="2"/>
  <c r="N459" i="2"/>
  <c r="F1141" i="2"/>
  <c r="R1370" i="2"/>
  <c r="O1141" i="2"/>
  <c r="G1970" i="2"/>
  <c r="Q1141" i="2"/>
  <c r="H1109" i="2"/>
  <c r="F1608" i="2"/>
  <c r="T1608" i="2"/>
  <c r="K1634" i="2"/>
  <c r="S459" i="2"/>
  <c r="F1970" i="2"/>
  <c r="F2122" i="2"/>
  <c r="G459" i="2"/>
  <c r="G2157" i="2"/>
  <c r="D1132" i="2"/>
  <c r="R1970" i="2"/>
  <c r="C1141" i="2"/>
  <c r="K2122" i="2"/>
  <c r="J1608" i="2"/>
  <c r="O1109" i="2"/>
  <c r="R1109" i="2"/>
  <c r="M2122" i="2"/>
  <c r="Q1970" i="2"/>
  <c r="H1608" i="2"/>
  <c r="A1370" i="2"/>
  <c r="J2122" i="2"/>
  <c r="C2122" i="2"/>
  <c r="F1634" i="2"/>
  <c r="T459" i="2"/>
  <c r="P459" i="2"/>
  <c r="M1608" i="2"/>
  <c r="E1141" i="2"/>
  <c r="Q1608" i="2"/>
  <c r="J1132" i="2"/>
  <c r="P1634" i="2"/>
  <c r="C1608" i="2"/>
  <c r="C2157" i="2"/>
  <c r="N1608" i="2"/>
  <c r="M1109" i="2"/>
  <c r="Q1370" i="2"/>
  <c r="M1370" i="2"/>
  <c r="A1970" i="2"/>
  <c r="N2157" i="2"/>
  <c r="O1370" i="2"/>
  <c r="N2122" i="2"/>
  <c r="R459" i="2"/>
  <c r="E459" i="2"/>
  <c r="S1970" i="2"/>
  <c r="S1370" i="2"/>
  <c r="C1370" i="2"/>
  <c r="T1370" i="2"/>
  <c r="K1608" i="2"/>
  <c r="K1370" i="2"/>
  <c r="S2122" i="2"/>
  <c r="T1141" i="2"/>
  <c r="P1370" i="2"/>
  <c r="C1109" i="2"/>
  <c r="J1634" i="2"/>
  <c r="E1634" i="2"/>
  <c r="R2157" i="2"/>
  <c r="J459" i="2"/>
  <c r="E2122" i="2"/>
  <c r="D459" i="2"/>
  <c r="R1634" i="2"/>
  <c r="D1970" i="2"/>
  <c r="T2157" i="2"/>
  <c r="K1132" i="2"/>
  <c r="Q2122" i="2"/>
  <c r="Q1634" i="2"/>
  <c r="F1132" i="2"/>
  <c r="R1608" i="2"/>
  <c r="G1132" i="2"/>
  <c r="P1141" i="2"/>
  <c r="K1141" i="2"/>
  <c r="A2157" i="2"/>
  <c r="C459" i="2"/>
  <c r="S1141" i="2"/>
  <c r="E1970" i="2"/>
  <c r="P2122" i="2"/>
  <c r="S1634" i="2"/>
  <c r="F1370" i="2"/>
  <c r="H1970" i="2"/>
  <c r="M2157" i="2"/>
  <c r="M1970" i="2"/>
  <c r="D1141" i="2"/>
  <c r="Q1132" i="2"/>
  <c r="H1132" i="2"/>
  <c r="N1970" i="2"/>
  <c r="E1608" i="2"/>
  <c r="O2122" i="2"/>
  <c r="J1141" i="2"/>
  <c r="A1132" i="2"/>
  <c r="F459" i="2"/>
  <c r="D1634" i="2"/>
  <c r="J2157" i="2"/>
  <c r="P1109" i="2"/>
  <c r="G1370" i="2"/>
  <c r="T568" i="2"/>
  <c r="M1661" i="2"/>
  <c r="H439" i="2"/>
  <c r="O759" i="2"/>
  <c r="F1717" i="2"/>
  <c r="H1717" i="2"/>
  <c r="A1271" i="2"/>
  <c r="C1391" i="2"/>
  <c r="J568" i="2"/>
  <c r="N568" i="2"/>
  <c r="H240" i="2"/>
  <c r="N1271" i="2"/>
  <c r="A568" i="2"/>
  <c r="C568" i="2"/>
  <c r="E1391" i="2"/>
  <c r="S1661" i="2"/>
  <c r="C1661" i="2"/>
  <c r="R1717" i="2"/>
  <c r="R1391" i="2"/>
  <c r="S439" i="2"/>
  <c r="N1311" i="2"/>
  <c r="J240" i="2"/>
  <c r="F1311" i="2"/>
  <c r="N240" i="2"/>
  <c r="E439" i="2"/>
  <c r="O240" i="2"/>
  <c r="J1717" i="2"/>
  <c r="K1311" i="2"/>
  <c r="P759" i="2"/>
  <c r="N1717" i="2"/>
  <c r="G439" i="2"/>
  <c r="E759" i="2"/>
  <c r="T759" i="2"/>
  <c r="A1311" i="2"/>
  <c r="S759" i="2"/>
  <c r="E1717" i="2"/>
  <c r="D1311" i="2"/>
  <c r="T1391" i="2"/>
  <c r="D1661" i="2"/>
  <c r="Q1271" i="2"/>
  <c r="S734" i="2"/>
  <c r="A240" i="2"/>
  <c r="E1311" i="2"/>
  <c r="T439" i="2"/>
  <c r="Q1661" i="2"/>
  <c r="S568" i="2"/>
  <c r="R240" i="2"/>
  <c r="S240" i="2"/>
  <c r="J1271" i="2"/>
  <c r="Q1717" i="2"/>
  <c r="O1661" i="2"/>
  <c r="M734" i="2"/>
  <c r="T1311" i="2"/>
  <c r="G568" i="2"/>
  <c r="T1661" i="2"/>
  <c r="K1391" i="2"/>
  <c r="J1311" i="2"/>
  <c r="P568" i="2"/>
  <c r="O568" i="2"/>
  <c r="F1271" i="2"/>
  <c r="S1717" i="2"/>
  <c r="H734" i="2"/>
  <c r="T1717" i="2"/>
  <c r="Q240" i="2"/>
  <c r="O734" i="2"/>
  <c r="G1391" i="2"/>
  <c r="S1391" i="2"/>
  <c r="D759" i="2"/>
  <c r="N734" i="2"/>
  <c r="G1661" i="2"/>
  <c r="K734" i="2"/>
  <c r="P1717" i="2"/>
  <c r="J734" i="2"/>
  <c r="D1271" i="2"/>
  <c r="A734" i="2"/>
  <c r="M568" i="2"/>
  <c r="A1661" i="2"/>
  <c r="C1311" i="2"/>
  <c r="R439" i="2"/>
  <c r="F1391" i="2"/>
  <c r="A1717" i="2"/>
  <c r="P240" i="2"/>
  <c r="K1271" i="2"/>
  <c r="Q1391" i="2"/>
  <c r="N439" i="2"/>
  <c r="O439" i="2"/>
  <c r="N1661" i="2"/>
  <c r="E1271" i="2"/>
  <c r="R1661" i="2"/>
  <c r="G1271" i="2"/>
  <c r="J759" i="2"/>
  <c r="Q439" i="2"/>
  <c r="O1271" i="2"/>
  <c r="D1391" i="2"/>
  <c r="R1311" i="2"/>
  <c r="M1271" i="2"/>
  <c r="P1661" i="2"/>
  <c r="E240" i="2"/>
  <c r="C759" i="2"/>
  <c r="M240" i="2"/>
  <c r="F1661" i="2"/>
  <c r="Q568" i="2"/>
  <c r="G1311" i="2"/>
  <c r="E1661" i="2"/>
  <c r="M1717" i="2"/>
  <c r="P1391" i="2"/>
  <c r="D439" i="2"/>
  <c r="O1717" i="2"/>
  <c r="F568" i="2"/>
  <c r="P1271" i="2"/>
  <c r="K759" i="2"/>
  <c r="M1391" i="2"/>
  <c r="F759" i="2"/>
  <c r="C734" i="2"/>
  <c r="R734" i="2"/>
  <c r="N1391" i="2"/>
  <c r="G1717" i="2"/>
  <c r="C240" i="2"/>
  <c r="R1271" i="2"/>
  <c r="P734" i="2"/>
  <c r="R568" i="2"/>
  <c r="P1311" i="2"/>
  <c r="H1661" i="2"/>
  <c r="D1717" i="2"/>
  <c r="F734" i="2"/>
  <c r="Q759" i="2"/>
  <c r="H568" i="2"/>
  <c r="S1311" i="2"/>
  <c r="M439" i="2"/>
  <c r="D568" i="2"/>
  <c r="T1271" i="2"/>
  <c r="D240" i="2"/>
  <c r="A1391" i="2"/>
  <c r="C439" i="2"/>
  <c r="H1311" i="2"/>
  <c r="M759" i="2"/>
  <c r="F240" i="2"/>
  <c r="G734" i="2"/>
  <c r="D734" i="2"/>
  <c r="K1717" i="2"/>
  <c r="E734" i="2"/>
  <c r="O1391" i="2"/>
  <c r="S1271" i="2"/>
  <c r="H759" i="2"/>
  <c r="A759" i="2"/>
  <c r="A439" i="2"/>
  <c r="T240" i="2"/>
  <c r="K439" i="2"/>
  <c r="J439" i="2"/>
  <c r="K1661" i="2"/>
  <c r="R759" i="2"/>
  <c r="Q734" i="2"/>
  <c r="M1311" i="2"/>
  <c r="O1311" i="2"/>
  <c r="N759" i="2"/>
  <c r="C1271" i="2"/>
  <c r="K568" i="2"/>
  <c r="K240" i="2"/>
  <c r="J1391" i="2"/>
  <c r="P439" i="2"/>
  <c r="H1271" i="2"/>
  <c r="T734" i="2"/>
  <c r="Q1311" i="2"/>
  <c r="G240" i="2"/>
  <c r="C1717" i="2"/>
  <c r="H1391" i="2"/>
  <c r="E568" i="2"/>
  <c r="F439" i="2"/>
  <c r="J1661" i="2"/>
  <c r="G759" i="2"/>
  <c r="S1255" i="2"/>
  <c r="J594" i="2"/>
  <c r="T1834" i="2"/>
  <c r="R594" i="2"/>
  <c r="T1255" i="2"/>
  <c r="F1571" i="2"/>
  <c r="M594" i="2"/>
  <c r="P1571" i="2"/>
  <c r="A1748" i="2"/>
  <c r="M1571" i="2"/>
  <c r="C1255" i="2"/>
  <c r="P562" i="2"/>
  <c r="T741" i="2"/>
  <c r="J1255" i="2"/>
  <c r="C562" i="2"/>
  <c r="H1834" i="2"/>
  <c r="F1255" i="2"/>
  <c r="M741" i="2"/>
  <c r="G1072" i="2"/>
  <c r="H1748" i="2"/>
  <c r="N594" i="2"/>
  <c r="K862" i="2"/>
  <c r="N1834" i="2"/>
  <c r="K741" i="2"/>
  <c r="T205" i="2"/>
  <c r="Q862" i="2"/>
  <c r="G1748" i="2"/>
  <c r="E594" i="2"/>
  <c r="P862" i="2"/>
  <c r="C862" i="2"/>
  <c r="T862" i="2"/>
  <c r="E862" i="2"/>
  <c r="S594" i="2"/>
  <c r="J741" i="2"/>
  <c r="F205" i="2"/>
  <c r="E1571" i="2"/>
  <c r="K1072" i="2"/>
  <c r="H1255" i="2"/>
  <c r="A205" i="2"/>
  <c r="A1072" i="2"/>
  <c r="H594" i="2"/>
  <c r="P1072" i="2"/>
  <c r="S562" i="2"/>
  <c r="G1571" i="2"/>
  <c r="D1748" i="2"/>
  <c r="O1072" i="2"/>
  <c r="Q741" i="2"/>
  <c r="A562" i="2"/>
  <c r="A594" i="2"/>
  <c r="D1255" i="2"/>
  <c r="G862" i="2"/>
  <c r="O862" i="2"/>
  <c r="T1571" i="2"/>
  <c r="G741" i="2"/>
  <c r="E741" i="2"/>
  <c r="J1748" i="2"/>
  <c r="C1834" i="2"/>
  <c r="M205" i="2"/>
  <c r="F1072" i="2"/>
  <c r="M1834" i="2"/>
  <c r="A1255" i="2"/>
  <c r="P741" i="2"/>
  <c r="P1255" i="2"/>
  <c r="A1834" i="2"/>
  <c r="K562" i="2"/>
  <c r="G1255" i="2"/>
  <c r="H205" i="2"/>
  <c r="M562" i="2"/>
  <c r="O1748" i="2"/>
  <c r="D1834" i="2"/>
  <c r="R205" i="2"/>
  <c r="E205" i="2"/>
  <c r="K594" i="2"/>
  <c r="P1834" i="2"/>
  <c r="P205" i="2"/>
  <c r="J1571" i="2"/>
  <c r="C1748" i="2"/>
  <c r="Q1748" i="2"/>
  <c r="S205" i="2"/>
  <c r="T1748" i="2"/>
  <c r="H862" i="2"/>
  <c r="O562" i="2"/>
  <c r="R1255" i="2"/>
  <c r="O1571" i="2"/>
  <c r="Q1072" i="2"/>
  <c r="F562" i="2"/>
  <c r="K1748" i="2"/>
  <c r="E1748" i="2"/>
  <c r="C1072" i="2"/>
  <c r="H741" i="2"/>
  <c r="Q1571" i="2"/>
  <c r="O594" i="2"/>
  <c r="J862" i="2"/>
  <c r="N205" i="2"/>
  <c r="N862" i="2"/>
  <c r="D562" i="2"/>
  <c r="D741" i="2"/>
  <c r="A862" i="2"/>
  <c r="R1072" i="2"/>
  <c r="Q1255" i="2"/>
  <c r="R562" i="2"/>
  <c r="H562" i="2"/>
  <c r="D1571" i="2"/>
  <c r="C205" i="2"/>
  <c r="H1571" i="2"/>
  <c r="S1748" i="2"/>
  <c r="R1748" i="2"/>
  <c r="M862" i="2"/>
  <c r="F1834" i="2"/>
  <c r="O741" i="2"/>
  <c r="C594" i="2"/>
  <c r="O1834" i="2"/>
  <c r="T562" i="2"/>
  <c r="A741" i="2"/>
  <c r="S1571" i="2"/>
  <c r="S1834" i="2"/>
  <c r="N1255" i="2"/>
  <c r="K1571" i="2"/>
  <c r="O1255" i="2"/>
  <c r="D594" i="2"/>
  <c r="O205" i="2"/>
  <c r="Q594" i="2"/>
  <c r="M1748" i="2"/>
  <c r="F862" i="2"/>
  <c r="C741" i="2"/>
  <c r="G1834" i="2"/>
  <c r="F741" i="2"/>
  <c r="R1834" i="2"/>
  <c r="N1571" i="2"/>
  <c r="Q562" i="2"/>
  <c r="D205" i="2"/>
  <c r="D862" i="2"/>
  <c r="S741" i="2"/>
  <c r="M1072" i="2"/>
  <c r="G594" i="2"/>
  <c r="J205" i="2"/>
  <c r="E1072" i="2"/>
  <c r="R862" i="2"/>
  <c r="N1748" i="2"/>
  <c r="C1571" i="2"/>
  <c r="K1255" i="2"/>
  <c r="J1834" i="2"/>
  <c r="G205" i="2"/>
  <c r="R741" i="2"/>
  <c r="T1072" i="2"/>
  <c r="S1072" i="2"/>
  <c r="P1748" i="2"/>
  <c r="D1072" i="2"/>
  <c r="J1072" i="2"/>
  <c r="J562" i="2"/>
  <c r="E1834" i="2"/>
  <c r="N562" i="2"/>
  <c r="Q205" i="2"/>
  <c r="R1571" i="2"/>
  <c r="E1255" i="2"/>
  <c r="P594" i="2"/>
  <c r="Q1834" i="2"/>
  <c r="H1072" i="2"/>
  <c r="F594" i="2"/>
  <c r="G562" i="2"/>
  <c r="E562" i="2"/>
  <c r="S862" i="2"/>
  <c r="N1072" i="2"/>
  <c r="M1255" i="2"/>
  <c r="N741" i="2"/>
  <c r="T594" i="2"/>
  <c r="F1748" i="2"/>
  <c r="K205" i="2"/>
  <c r="K1834" i="2"/>
  <c r="A1571" i="2"/>
  <c r="D382" i="2"/>
  <c r="S475" i="2"/>
  <c r="T475" i="2"/>
  <c r="G475" i="2"/>
  <c r="C464" i="2"/>
  <c r="K464" i="2"/>
  <c r="H475" i="2"/>
  <c r="S382" i="2"/>
  <c r="O173" i="2"/>
  <c r="C2134" i="2"/>
  <c r="K1424" i="2"/>
  <c r="P173" i="2"/>
  <c r="M284" i="2"/>
  <c r="O475" i="2"/>
  <c r="F382" i="2"/>
  <c r="D620" i="2"/>
  <c r="J869" i="2"/>
  <c r="R464" i="2"/>
  <c r="J382" i="2"/>
  <c r="N464" i="2"/>
  <c r="E463" i="2"/>
  <c r="T382" i="2"/>
  <c r="Q620" i="2"/>
  <c r="F284" i="2"/>
  <c r="M463" i="2"/>
  <c r="D2134" i="2"/>
  <c r="E173" i="2"/>
  <c r="M382" i="2"/>
  <c r="A2134" i="2"/>
  <c r="A1424" i="2"/>
  <c r="H869" i="2"/>
  <c r="F173" i="2"/>
  <c r="N173" i="2"/>
  <c r="Q173" i="2"/>
  <c r="S463" i="2"/>
  <c r="H1424" i="2"/>
  <c r="C284" i="2"/>
  <c r="K284" i="2"/>
  <c r="R284" i="2"/>
  <c r="M173" i="2"/>
  <c r="Q463" i="2"/>
  <c r="T1424" i="2"/>
  <c r="J475" i="2"/>
  <c r="J173" i="2"/>
  <c r="K382" i="2"/>
  <c r="A284" i="2"/>
  <c r="J1424" i="2"/>
  <c r="F869" i="2"/>
  <c r="H382" i="2"/>
  <c r="A620" i="2"/>
  <c r="K620" i="2"/>
  <c r="Q464" i="2"/>
  <c r="K2134" i="2"/>
  <c r="E1424" i="2"/>
  <c r="K475" i="2"/>
  <c r="Q382" i="2"/>
  <c r="N1424" i="2"/>
  <c r="F1424" i="2"/>
  <c r="F2134" i="2"/>
  <c r="G173" i="2"/>
  <c r="F620" i="2"/>
  <c r="M869" i="2"/>
  <c r="R382" i="2"/>
  <c r="T463" i="2"/>
  <c r="M1424" i="2"/>
  <c r="T869" i="2"/>
  <c r="J464" i="2"/>
  <c r="P284" i="2"/>
  <c r="D463" i="2"/>
  <c r="H2134" i="2"/>
  <c r="G464" i="2"/>
  <c r="E2134" i="2"/>
  <c r="E382" i="2"/>
  <c r="C1424" i="2"/>
  <c r="P475" i="2"/>
  <c r="S173" i="2"/>
  <c r="H173" i="2"/>
  <c r="D284" i="2"/>
  <c r="F463" i="2"/>
  <c r="A475" i="2"/>
  <c r="D869" i="2"/>
  <c r="T464" i="2"/>
  <c r="A869" i="2"/>
  <c r="Q1424" i="2"/>
  <c r="R869" i="2"/>
  <c r="C173" i="2"/>
  <c r="N284" i="2"/>
  <c r="G284" i="2"/>
  <c r="K869" i="2"/>
  <c r="D475" i="2"/>
  <c r="K173" i="2"/>
  <c r="T284" i="2"/>
  <c r="Q2134" i="2"/>
  <c r="K463" i="2"/>
  <c r="S2134" i="2"/>
  <c r="P464" i="2"/>
  <c r="N475" i="2"/>
  <c r="O284" i="2"/>
  <c r="M2134" i="2"/>
  <c r="D1424" i="2"/>
  <c r="H284" i="2"/>
  <c r="P463" i="2"/>
  <c r="G382" i="2"/>
  <c r="M620" i="2"/>
  <c r="T173" i="2"/>
  <c r="D464" i="2"/>
  <c r="C382" i="2"/>
  <c r="A173" i="2"/>
  <c r="O2134" i="2"/>
  <c r="C869" i="2"/>
  <c r="T2134" i="2"/>
  <c r="Q869" i="2"/>
  <c r="F464" i="2"/>
  <c r="Q284" i="2"/>
  <c r="R620" i="2"/>
  <c r="P382" i="2"/>
  <c r="E284" i="2"/>
  <c r="O869" i="2"/>
  <c r="A463" i="2"/>
  <c r="D173" i="2"/>
  <c r="G1424" i="2"/>
  <c r="G869" i="2"/>
  <c r="P1424" i="2"/>
  <c r="S869" i="2"/>
  <c r="H464" i="2"/>
  <c r="A382" i="2"/>
  <c r="T620" i="2"/>
  <c r="E869" i="2"/>
  <c r="J620" i="2"/>
  <c r="R475" i="2"/>
  <c r="S620" i="2"/>
  <c r="S284" i="2"/>
  <c r="N382" i="2"/>
  <c r="E475" i="2"/>
  <c r="C620" i="2"/>
  <c r="N2134" i="2"/>
  <c r="M464" i="2"/>
  <c r="R463" i="2"/>
  <c r="C475" i="2"/>
  <c r="H463" i="2"/>
  <c r="O464" i="2"/>
  <c r="C463" i="2"/>
  <c r="E620" i="2"/>
  <c r="O463" i="2"/>
  <c r="O620" i="2"/>
  <c r="G620" i="2"/>
  <c r="H620" i="2"/>
  <c r="N463" i="2"/>
  <c r="M475" i="2"/>
  <c r="S1424" i="2"/>
  <c r="E464" i="2"/>
  <c r="J2134" i="2"/>
  <c r="J463" i="2"/>
  <c r="S464" i="2"/>
  <c r="P2134" i="2"/>
  <c r="G2134" i="2"/>
  <c r="O1424" i="2"/>
  <c r="F475" i="2"/>
  <c r="N869" i="2"/>
  <c r="P620" i="2"/>
  <c r="J284" i="2"/>
  <c r="N620" i="2"/>
  <c r="R2134" i="2"/>
  <c r="R1424" i="2"/>
  <c r="P869" i="2"/>
  <c r="Q475" i="2"/>
  <c r="G463" i="2"/>
  <c r="A464" i="2"/>
  <c r="O382" i="2"/>
  <c r="R173" i="2"/>
  <c r="M1972" i="2"/>
  <c r="F477" i="2"/>
  <c r="E1972" i="2"/>
  <c r="E453" i="2"/>
  <c r="H1972" i="2"/>
  <c r="F1972" i="2"/>
  <c r="T1632" i="2"/>
  <c r="S1016" i="2"/>
  <c r="H2104" i="2"/>
  <c r="N1632" i="2"/>
  <c r="O2104" i="2"/>
  <c r="E2039" i="2"/>
  <c r="F453" i="2"/>
  <c r="F1632" i="2"/>
  <c r="G1130" i="2"/>
  <c r="G1016" i="2"/>
  <c r="J453" i="2"/>
  <c r="S477" i="2"/>
  <c r="K477" i="2"/>
  <c r="O1016" i="2"/>
  <c r="C1130" i="2"/>
  <c r="D477" i="2"/>
  <c r="D1632" i="2"/>
  <c r="P1513" i="2"/>
  <c r="K874" i="2"/>
  <c r="S2104" i="2"/>
  <c r="G874" i="2"/>
  <c r="S874" i="2"/>
  <c r="N1130" i="2"/>
  <c r="A874" i="2"/>
  <c r="K1513" i="2"/>
  <c r="H453" i="2"/>
  <c r="H1016" i="2"/>
  <c r="T1016" i="2"/>
  <c r="R1632" i="2"/>
  <c r="S1130" i="2"/>
  <c r="D1972" i="2"/>
  <c r="F1016" i="2"/>
  <c r="F874" i="2"/>
  <c r="P1130" i="2"/>
  <c r="O453" i="2"/>
  <c r="M1632" i="2"/>
  <c r="J1972" i="2"/>
  <c r="G2104" i="2"/>
  <c r="T477" i="2"/>
  <c r="T1130" i="2"/>
  <c r="A2104" i="2"/>
  <c r="E1513" i="2"/>
  <c r="J1632" i="2"/>
  <c r="J1016" i="2"/>
  <c r="H1513" i="2"/>
  <c r="C2039" i="2"/>
  <c r="D1513" i="2"/>
  <c r="K1130" i="2"/>
  <c r="T2104" i="2"/>
  <c r="D453" i="2"/>
  <c r="R1972" i="2"/>
  <c r="M1513" i="2"/>
  <c r="G2039" i="2"/>
  <c r="F1513" i="2"/>
  <c r="E874" i="2"/>
  <c r="C2104" i="2"/>
  <c r="S1972" i="2"/>
  <c r="O1632" i="2"/>
  <c r="M2039" i="2"/>
  <c r="M2104" i="2"/>
  <c r="N1016" i="2"/>
  <c r="N1513" i="2"/>
  <c r="F2039" i="2"/>
  <c r="E1632" i="2"/>
  <c r="P1632" i="2"/>
  <c r="S1632" i="2"/>
  <c r="O874" i="2"/>
  <c r="R2039" i="2"/>
  <c r="R453" i="2"/>
  <c r="M477" i="2"/>
  <c r="O1972" i="2"/>
  <c r="J477" i="2"/>
  <c r="Q1632" i="2"/>
  <c r="H1130" i="2"/>
  <c r="G453" i="2"/>
  <c r="H874" i="2"/>
  <c r="T453" i="2"/>
  <c r="P2039" i="2"/>
  <c r="F1130" i="2"/>
  <c r="Q1972" i="2"/>
  <c r="T874" i="2"/>
  <c r="K1016" i="2"/>
  <c r="P477" i="2"/>
  <c r="A1632" i="2"/>
  <c r="S1513" i="2"/>
  <c r="A453" i="2"/>
  <c r="Q1130" i="2"/>
  <c r="S453" i="2"/>
  <c r="P874" i="2"/>
  <c r="A1972" i="2"/>
  <c r="A2039" i="2"/>
  <c r="C453" i="2"/>
  <c r="R1513" i="2"/>
  <c r="M874" i="2"/>
  <c r="Q2104" i="2"/>
  <c r="Q874" i="2"/>
  <c r="C1513" i="2"/>
  <c r="E477" i="2"/>
  <c r="A477" i="2"/>
  <c r="T1513" i="2"/>
  <c r="K2039" i="2"/>
  <c r="K453" i="2"/>
  <c r="O1513" i="2"/>
  <c r="A1513" i="2"/>
  <c r="N453" i="2"/>
  <c r="E2104" i="2"/>
  <c r="R874" i="2"/>
  <c r="T2039" i="2"/>
  <c r="E1016" i="2"/>
  <c r="D2104" i="2"/>
  <c r="P1016" i="2"/>
  <c r="C1632" i="2"/>
  <c r="J874" i="2"/>
  <c r="Q1016" i="2"/>
  <c r="O2039" i="2"/>
  <c r="R2104" i="2"/>
  <c r="Q453" i="2"/>
  <c r="P1972" i="2"/>
  <c r="Q477" i="2"/>
  <c r="N1972" i="2"/>
  <c r="G1972" i="2"/>
  <c r="D1130" i="2"/>
  <c r="O477" i="2"/>
  <c r="R1130" i="2"/>
  <c r="N2104" i="2"/>
  <c r="G1513" i="2"/>
  <c r="K2104" i="2"/>
  <c r="H2039" i="2"/>
  <c r="H1632" i="2"/>
  <c r="M1016" i="2"/>
  <c r="G477" i="2"/>
  <c r="H477" i="2"/>
  <c r="O1130" i="2"/>
  <c r="S2039" i="2"/>
  <c r="D2039" i="2"/>
  <c r="R1016" i="2"/>
  <c r="J1513" i="2"/>
  <c r="C1016" i="2"/>
  <c r="K1632" i="2"/>
  <c r="A1130" i="2"/>
  <c r="C874" i="2"/>
  <c r="R477" i="2"/>
  <c r="K1972" i="2"/>
  <c r="J2104" i="2"/>
  <c r="F2104" i="2"/>
  <c r="D1016" i="2"/>
  <c r="N2039" i="2"/>
  <c r="N874" i="2"/>
  <c r="N477" i="2"/>
  <c r="J1130" i="2"/>
  <c r="E1130" i="2"/>
  <c r="C1972" i="2"/>
  <c r="M453" i="2"/>
  <c r="J2039" i="2"/>
  <c r="Q1513" i="2"/>
  <c r="G1632" i="2"/>
  <c r="D874" i="2"/>
  <c r="C477" i="2"/>
  <c r="P453" i="2"/>
  <c r="T1972" i="2"/>
  <c r="M1130" i="2"/>
  <c r="Q2039" i="2"/>
  <c r="A1016" i="2"/>
  <c r="P2104" i="2"/>
  <c r="J400" i="2"/>
  <c r="C1398" i="2"/>
  <c r="O2257" i="2"/>
  <c r="R2184" i="2"/>
  <c r="M203" i="2"/>
  <c r="A203" i="2"/>
  <c r="D2257" i="2"/>
  <c r="Q203" i="2"/>
  <c r="D2027" i="2"/>
  <c r="O2184" i="2"/>
  <c r="E1398" i="2"/>
  <c r="T2184" i="2"/>
  <c r="K2184" i="2"/>
  <c r="C2257" i="2"/>
  <c r="K440" i="2"/>
  <c r="O218" i="2"/>
  <c r="T1971" i="2"/>
  <c r="O400" i="2"/>
  <c r="T2257" i="2"/>
  <c r="A327" i="2"/>
  <c r="S2027" i="2"/>
  <c r="G2257" i="2"/>
  <c r="P1398" i="2"/>
  <c r="D1398" i="2"/>
  <c r="Q218" i="2"/>
  <c r="S218" i="2"/>
  <c r="A1971" i="2"/>
  <c r="G1398" i="2"/>
  <c r="F2184" i="2"/>
  <c r="F2027" i="2"/>
  <c r="H203" i="2"/>
  <c r="P2184" i="2"/>
  <c r="J2184" i="2"/>
  <c r="O203" i="2"/>
  <c r="C2184" i="2"/>
  <c r="T203" i="2"/>
  <c r="C440" i="2"/>
  <c r="K400" i="2"/>
  <c r="T2027" i="2"/>
  <c r="T1398" i="2"/>
  <c r="D327" i="2"/>
  <c r="F440" i="2"/>
  <c r="S1971" i="2"/>
  <c r="G218" i="2"/>
  <c r="K203" i="2"/>
  <c r="T400" i="2"/>
  <c r="N203" i="2"/>
  <c r="R1398" i="2"/>
  <c r="D1971" i="2"/>
  <c r="S2184" i="2"/>
  <c r="N1971" i="2"/>
  <c r="M218" i="2"/>
  <c r="O327" i="2"/>
  <c r="D218" i="2"/>
  <c r="T218" i="2"/>
  <c r="H440" i="2"/>
  <c r="C2027" i="2"/>
  <c r="Q327" i="2"/>
  <c r="H1971" i="2"/>
  <c r="Q1398" i="2"/>
  <c r="P203" i="2"/>
  <c r="Q2257" i="2"/>
  <c r="F218" i="2"/>
  <c r="R400" i="2"/>
  <c r="E400" i="2"/>
  <c r="H327" i="2"/>
  <c r="O440" i="2"/>
  <c r="G2027" i="2"/>
  <c r="M440" i="2"/>
  <c r="S327" i="2"/>
  <c r="D203" i="2"/>
  <c r="J2257" i="2"/>
  <c r="P218" i="2"/>
  <c r="R203" i="2"/>
  <c r="Q1971" i="2"/>
  <c r="S400" i="2"/>
  <c r="G203" i="2"/>
  <c r="F1398" i="2"/>
  <c r="R327" i="2"/>
  <c r="A2257" i="2"/>
  <c r="D440" i="2"/>
  <c r="P1971" i="2"/>
  <c r="A400" i="2"/>
  <c r="H218" i="2"/>
  <c r="M400" i="2"/>
  <c r="H2257" i="2"/>
  <c r="K1971" i="2"/>
  <c r="R2027" i="2"/>
  <c r="A218" i="2"/>
  <c r="O2027" i="2"/>
  <c r="P400" i="2"/>
  <c r="F1971" i="2"/>
  <c r="D400" i="2"/>
  <c r="K327" i="2"/>
  <c r="J218" i="2"/>
  <c r="T440" i="2"/>
  <c r="M2184" i="2"/>
  <c r="S203" i="2"/>
  <c r="H400" i="2"/>
  <c r="N2027" i="2"/>
  <c r="S2257" i="2"/>
  <c r="A2184" i="2"/>
  <c r="R218" i="2"/>
  <c r="G400" i="2"/>
  <c r="N327" i="2"/>
  <c r="N218" i="2"/>
  <c r="E1971" i="2"/>
  <c r="N2257" i="2"/>
  <c r="H2027" i="2"/>
  <c r="R440" i="2"/>
  <c r="O1398" i="2"/>
  <c r="N440" i="2"/>
  <c r="J2027" i="2"/>
  <c r="P2257" i="2"/>
  <c r="T327" i="2"/>
  <c r="A1398" i="2"/>
  <c r="J327" i="2"/>
  <c r="F327" i="2"/>
  <c r="J203" i="2"/>
  <c r="P440" i="2"/>
  <c r="M2027" i="2"/>
  <c r="G327" i="2"/>
  <c r="K2257" i="2"/>
  <c r="J440" i="2"/>
  <c r="F203" i="2"/>
  <c r="F400" i="2"/>
  <c r="D2184" i="2"/>
  <c r="K218" i="2"/>
  <c r="C327" i="2"/>
  <c r="Q2027" i="2"/>
  <c r="G1971" i="2"/>
  <c r="E327" i="2"/>
  <c r="S1398" i="2"/>
  <c r="K2027" i="2"/>
  <c r="E2184" i="2"/>
  <c r="A440" i="2"/>
  <c r="M2257" i="2"/>
  <c r="E2257" i="2"/>
  <c r="E440" i="2"/>
  <c r="J1971" i="2"/>
  <c r="K1398" i="2"/>
  <c r="N1398" i="2"/>
  <c r="R1971" i="2"/>
  <c r="M1398" i="2"/>
  <c r="A2027" i="2"/>
  <c r="E218" i="2"/>
  <c r="J1398" i="2"/>
  <c r="N2184" i="2"/>
  <c r="H2184" i="2"/>
  <c r="C1971" i="2"/>
  <c r="Q400" i="2"/>
  <c r="E2027" i="2"/>
  <c r="R2257" i="2"/>
  <c r="M327" i="2"/>
  <c r="Q440" i="2"/>
  <c r="M1971" i="2"/>
  <c r="S440" i="2"/>
  <c r="N400" i="2"/>
  <c r="E203" i="2"/>
  <c r="Q2184" i="2"/>
  <c r="C203" i="2"/>
  <c r="G440" i="2"/>
  <c r="O1971" i="2"/>
  <c r="F2257" i="2"/>
  <c r="P2027" i="2"/>
  <c r="P327" i="2"/>
  <c r="C400" i="2"/>
  <c r="C218" i="2"/>
  <c r="H1398" i="2"/>
  <c r="G2184" i="2"/>
  <c r="F234" i="2"/>
  <c r="O298" i="2"/>
  <c r="E298" i="2"/>
  <c r="T2204" i="2"/>
  <c r="H552" i="2"/>
  <c r="F298" i="2"/>
  <c r="J469" i="2"/>
  <c r="T1992" i="2"/>
  <c r="O1216" i="2"/>
  <c r="Q2022" i="2"/>
  <c r="N2022" i="2"/>
  <c r="H298" i="2"/>
  <c r="E1690" i="2"/>
  <c r="D1216" i="2"/>
  <c r="N1216" i="2"/>
  <c r="Q234" i="2"/>
  <c r="H1216" i="2"/>
  <c r="J552" i="2"/>
  <c r="H2204" i="2"/>
  <c r="E552" i="2"/>
  <c r="M552" i="2"/>
  <c r="R298" i="2"/>
  <c r="J234" i="2"/>
  <c r="P234" i="2"/>
  <c r="C2022" i="2"/>
  <c r="S552" i="2"/>
  <c r="K657" i="2"/>
  <c r="C2204" i="2"/>
  <c r="G2022" i="2"/>
  <c r="Q1690" i="2"/>
  <c r="P657" i="2"/>
  <c r="A234" i="2"/>
  <c r="A1992" i="2"/>
  <c r="E2022" i="2"/>
  <c r="F2022" i="2"/>
  <c r="O1992" i="2"/>
  <c r="O552" i="2"/>
  <c r="D2022" i="2"/>
  <c r="P1992" i="2"/>
  <c r="K298" i="2"/>
  <c r="A2204" i="2"/>
  <c r="N552" i="2"/>
  <c r="J1992" i="2"/>
  <c r="E657" i="2"/>
  <c r="P1690" i="2"/>
  <c r="A1690" i="2"/>
  <c r="O2204" i="2"/>
  <c r="T298" i="2"/>
  <c r="R1992" i="2"/>
  <c r="T1216" i="2"/>
  <c r="J1216" i="2"/>
  <c r="N298" i="2"/>
  <c r="P1216" i="2"/>
  <c r="G2204" i="2"/>
  <c r="R2204" i="2"/>
  <c r="Q1992" i="2"/>
  <c r="G298" i="2"/>
  <c r="C1690" i="2"/>
  <c r="M2204" i="2"/>
  <c r="C298" i="2"/>
  <c r="A2022" i="2"/>
  <c r="Q552" i="2"/>
  <c r="N469" i="2"/>
  <c r="K552" i="2"/>
  <c r="T234" i="2"/>
  <c r="C234" i="2"/>
  <c r="Q2204" i="2"/>
  <c r="S234" i="2"/>
  <c r="R2022" i="2"/>
  <c r="K1690" i="2"/>
  <c r="R552" i="2"/>
  <c r="J298" i="2"/>
  <c r="M1992" i="2"/>
  <c r="M2022" i="2"/>
  <c r="M469" i="2"/>
  <c r="F657" i="2"/>
  <c r="G1992" i="2"/>
  <c r="J2022" i="2"/>
  <c r="K1992" i="2"/>
  <c r="F469" i="2"/>
  <c r="J657" i="2"/>
  <c r="R469" i="2"/>
  <c r="K1216" i="2"/>
  <c r="N1690" i="2"/>
  <c r="T552" i="2"/>
  <c r="M657" i="2"/>
  <c r="O234" i="2"/>
  <c r="R234" i="2"/>
  <c r="T657" i="2"/>
  <c r="F1992" i="2"/>
  <c r="N2204" i="2"/>
  <c r="P2022" i="2"/>
  <c r="T1690" i="2"/>
  <c r="S298" i="2"/>
  <c r="O2022" i="2"/>
  <c r="K234" i="2"/>
  <c r="G657" i="2"/>
  <c r="A469" i="2"/>
  <c r="N657" i="2"/>
  <c r="D2204" i="2"/>
  <c r="H234" i="2"/>
  <c r="Q298" i="2"/>
  <c r="A552" i="2"/>
  <c r="G1216" i="2"/>
  <c r="R657" i="2"/>
  <c r="T469" i="2"/>
  <c r="G1690" i="2"/>
  <c r="D469" i="2"/>
  <c r="A298" i="2"/>
  <c r="P2204" i="2"/>
  <c r="S1216" i="2"/>
  <c r="P469" i="2"/>
  <c r="M1690" i="2"/>
  <c r="Q1216" i="2"/>
  <c r="F1216" i="2"/>
  <c r="S1992" i="2"/>
  <c r="N1992" i="2"/>
  <c r="C1992" i="2"/>
  <c r="E1992" i="2"/>
  <c r="P552" i="2"/>
  <c r="H1690" i="2"/>
  <c r="R1216" i="2"/>
  <c r="D234" i="2"/>
  <c r="S469" i="2"/>
  <c r="H657" i="2"/>
  <c r="K2022" i="2"/>
  <c r="C1216" i="2"/>
  <c r="D552" i="2"/>
  <c r="F1690" i="2"/>
  <c r="D298" i="2"/>
  <c r="G552" i="2"/>
  <c r="N234" i="2"/>
  <c r="E469" i="2"/>
  <c r="C469" i="2"/>
  <c r="K469" i="2"/>
  <c r="K2204" i="2"/>
  <c r="Q469" i="2"/>
  <c r="R1690" i="2"/>
  <c r="E2204" i="2"/>
  <c r="A657" i="2"/>
  <c r="Q657" i="2"/>
  <c r="E1216" i="2"/>
  <c r="H2022" i="2"/>
  <c r="D1992" i="2"/>
  <c r="D657" i="2"/>
  <c r="C552" i="2"/>
  <c r="G469" i="2"/>
  <c r="M1216" i="2"/>
  <c r="H469" i="2"/>
  <c r="M298" i="2"/>
  <c r="F2204" i="2"/>
  <c r="M234" i="2"/>
  <c r="S657" i="2"/>
  <c r="S1690" i="2"/>
  <c r="S2022" i="2"/>
  <c r="C657" i="2"/>
  <c r="E234" i="2"/>
  <c r="O1690" i="2"/>
  <c r="J2204" i="2"/>
  <c r="D1690" i="2"/>
  <c r="P298" i="2"/>
  <c r="A1216" i="2"/>
  <c r="F552" i="2"/>
  <c r="J1690" i="2"/>
  <c r="O657" i="2"/>
  <c r="G234" i="2"/>
  <c r="O469" i="2"/>
  <c r="T2022" i="2"/>
  <c r="H1992" i="2"/>
  <c r="S2204" i="2"/>
  <c r="E1640" i="2"/>
  <c r="G1043" i="2"/>
  <c r="S9" i="2"/>
  <c r="E560" i="2"/>
  <c r="C1640" i="2"/>
  <c r="K839" i="2"/>
  <c r="J560" i="2"/>
  <c r="O851" i="2"/>
  <c r="E1582" i="2"/>
  <c r="F839" i="2"/>
  <c r="S1535" i="2"/>
  <c r="E839" i="2"/>
  <c r="H9" i="2"/>
  <c r="N560" i="2"/>
  <c r="P1348" i="2"/>
  <c r="C1794" i="2"/>
  <c r="K1348" i="2"/>
  <c r="K1043" i="2"/>
  <c r="P851" i="2"/>
  <c r="T9" i="2"/>
  <c r="E1348" i="2"/>
  <c r="K1640" i="2"/>
  <c r="F9" i="2"/>
  <c r="H1348" i="2"/>
  <c r="C839" i="2"/>
  <c r="C1535" i="2"/>
  <c r="G1582" i="2"/>
  <c r="D1535" i="2"/>
  <c r="D1348" i="2"/>
  <c r="S560" i="2"/>
  <c r="O1043" i="2"/>
  <c r="T1640" i="2"/>
  <c r="O1640" i="2"/>
  <c r="C560" i="2"/>
  <c r="O9" i="2"/>
  <c r="T1348" i="2"/>
  <c r="M1640" i="2"/>
  <c r="M9" i="2"/>
  <c r="O560" i="2"/>
  <c r="S851" i="2"/>
  <c r="C9" i="2"/>
  <c r="H1582" i="2"/>
  <c r="F1535" i="2"/>
  <c r="O1535" i="2"/>
  <c r="J9" i="2"/>
  <c r="M1535" i="2"/>
  <c r="G9" i="2"/>
  <c r="C1043" i="2"/>
  <c r="C1582" i="2"/>
  <c r="C851" i="2"/>
  <c r="Q1043" i="2"/>
  <c r="M560" i="2"/>
  <c r="P1043" i="2"/>
  <c r="T560" i="2"/>
  <c r="O839" i="2"/>
  <c r="A851" i="2"/>
  <c r="K1794" i="2"/>
  <c r="P1535" i="2"/>
  <c r="J1794" i="2"/>
  <c r="R1640" i="2"/>
  <c r="P839" i="2"/>
  <c r="S839" i="2"/>
  <c r="J839" i="2"/>
  <c r="D1043" i="2"/>
  <c r="K1535" i="2"/>
  <c r="G839" i="2"/>
  <c r="Q1348" i="2"/>
  <c r="A1043" i="2"/>
  <c r="H851" i="2"/>
  <c r="K1582" i="2"/>
  <c r="N1794" i="2"/>
  <c r="D839" i="2"/>
  <c r="P1794" i="2"/>
  <c r="J1640" i="2"/>
  <c r="M1582" i="2"/>
  <c r="A1582" i="2"/>
  <c r="A839" i="2"/>
  <c r="N1348" i="2"/>
  <c r="F560" i="2"/>
  <c r="K851" i="2"/>
  <c r="R1582" i="2"/>
  <c r="J1348" i="2"/>
  <c r="E851" i="2"/>
  <c r="G560" i="2"/>
  <c r="R1794" i="2"/>
  <c r="E1043" i="2"/>
  <c r="O1348" i="2"/>
  <c r="Q1794" i="2"/>
  <c r="J851" i="2"/>
  <c r="O1794" i="2"/>
  <c r="J1535" i="2"/>
  <c r="S1640" i="2"/>
  <c r="P9" i="2"/>
  <c r="H560" i="2"/>
  <c r="D9" i="2"/>
  <c r="T851" i="2"/>
  <c r="N1640" i="2"/>
  <c r="S1043" i="2"/>
  <c r="Q1582" i="2"/>
  <c r="N9" i="2"/>
  <c r="R560" i="2"/>
  <c r="E1535" i="2"/>
  <c r="A9" i="2"/>
  <c r="F1794" i="2"/>
  <c r="R839" i="2"/>
  <c r="T1582" i="2"/>
  <c r="H1535" i="2"/>
  <c r="E1794" i="2"/>
  <c r="G1348" i="2"/>
  <c r="R1043" i="2"/>
  <c r="H1043" i="2"/>
  <c r="P1640" i="2"/>
  <c r="T1535" i="2"/>
  <c r="A560" i="2"/>
  <c r="G1640" i="2"/>
  <c r="F1640" i="2"/>
  <c r="A1794" i="2"/>
  <c r="J1582" i="2"/>
  <c r="T1043" i="2"/>
  <c r="C1348" i="2"/>
  <c r="D851" i="2"/>
  <c r="N851" i="2"/>
  <c r="R9" i="2"/>
  <c r="G851" i="2"/>
  <c r="R851" i="2"/>
  <c r="N1535" i="2"/>
  <c r="N839" i="2"/>
  <c r="T1794" i="2"/>
  <c r="F1582" i="2"/>
  <c r="M839" i="2"/>
  <c r="F1348" i="2"/>
  <c r="Q1535" i="2"/>
  <c r="M1794" i="2"/>
  <c r="H1640" i="2"/>
  <c r="D560" i="2"/>
  <c r="M1348" i="2"/>
  <c r="N1043" i="2"/>
  <c r="O1582" i="2"/>
  <c r="P560" i="2"/>
  <c r="D1640" i="2"/>
  <c r="F1043" i="2"/>
  <c r="Q851" i="2"/>
  <c r="J1043" i="2"/>
  <c r="M851" i="2"/>
  <c r="A1535" i="2"/>
  <c r="E9" i="2"/>
  <c r="D1582" i="2"/>
  <c r="P1582" i="2"/>
  <c r="G1794" i="2"/>
  <c r="H839" i="2"/>
  <c r="R1348" i="2"/>
  <c r="H1794" i="2"/>
  <c r="A1640" i="2"/>
  <c r="K560" i="2"/>
  <c r="Q9" i="2"/>
  <c r="N1582" i="2"/>
  <c r="G1535" i="2"/>
  <c r="A1348" i="2"/>
  <c r="D1794" i="2"/>
  <c r="T839" i="2"/>
  <c r="F851" i="2"/>
  <c r="S1794" i="2"/>
  <c r="S1348" i="2"/>
  <c r="R1535" i="2"/>
  <c r="Q560" i="2"/>
  <c r="M1043" i="2"/>
  <c r="K9" i="2"/>
  <c r="Q1640" i="2"/>
  <c r="S1582" i="2"/>
  <c r="Q839" i="2"/>
  <c r="N1841" i="2"/>
  <c r="A73" i="2"/>
  <c r="O2086" i="2"/>
  <c r="R129" i="2"/>
  <c r="C129" i="2"/>
  <c r="O342" i="2"/>
  <c r="M129" i="2"/>
  <c r="R618" i="2"/>
  <c r="E618" i="2"/>
  <c r="Q73" i="2"/>
  <c r="K618" i="2"/>
  <c r="O798" i="2"/>
  <c r="G1685" i="2"/>
  <c r="J1347" i="2"/>
  <c r="E1205" i="2"/>
  <c r="N2086" i="2"/>
  <c r="F1685" i="2"/>
  <c r="H129" i="2"/>
  <c r="M73" i="2"/>
  <c r="D73" i="2"/>
  <c r="D342" i="2"/>
  <c r="T129" i="2"/>
  <c r="F2086" i="2"/>
  <c r="C618" i="2"/>
  <c r="T618" i="2"/>
  <c r="S1685" i="2"/>
  <c r="C1347" i="2"/>
  <c r="N342" i="2"/>
  <c r="P1841" i="2"/>
  <c r="M342" i="2"/>
  <c r="R798" i="2"/>
  <c r="F798" i="2"/>
  <c r="F1841" i="2"/>
  <c r="T73" i="2"/>
  <c r="P1347" i="2"/>
  <c r="H1841" i="2"/>
  <c r="K129" i="2"/>
  <c r="M798" i="2"/>
  <c r="S618" i="2"/>
  <c r="S1205" i="2"/>
  <c r="G2086" i="2"/>
  <c r="A798" i="2"/>
  <c r="Q2086" i="2"/>
  <c r="J618" i="2"/>
  <c r="A1685" i="2"/>
  <c r="G1205" i="2"/>
  <c r="G798" i="2"/>
  <c r="K2086" i="2"/>
  <c r="M1841" i="2"/>
  <c r="E2086" i="2"/>
  <c r="N1347" i="2"/>
  <c r="A1841" i="2"/>
  <c r="J798" i="2"/>
  <c r="P73" i="2"/>
  <c r="S798" i="2"/>
  <c r="H1347" i="2"/>
  <c r="K342" i="2"/>
  <c r="N129" i="2"/>
  <c r="C1841" i="2"/>
  <c r="O129" i="2"/>
  <c r="E73" i="2"/>
  <c r="F342" i="2"/>
  <c r="D618" i="2"/>
  <c r="K1841" i="2"/>
  <c r="G1841" i="2"/>
  <c r="J2086" i="2"/>
  <c r="F1205" i="2"/>
  <c r="Q1347" i="2"/>
  <c r="J1205" i="2"/>
  <c r="R73" i="2"/>
  <c r="N73" i="2"/>
  <c r="T1841" i="2"/>
  <c r="F129" i="2"/>
  <c r="Q1841" i="2"/>
  <c r="P1685" i="2"/>
  <c r="R1347" i="2"/>
  <c r="F73" i="2"/>
  <c r="H2086" i="2"/>
  <c r="E798" i="2"/>
  <c r="T1347" i="2"/>
  <c r="P342" i="2"/>
  <c r="J1841" i="2"/>
  <c r="M1347" i="2"/>
  <c r="A1347" i="2"/>
  <c r="E1685" i="2"/>
  <c r="M2086" i="2"/>
  <c r="K1205" i="2"/>
  <c r="Q342" i="2"/>
  <c r="F618" i="2"/>
  <c r="N1205" i="2"/>
  <c r="H798" i="2"/>
  <c r="C1685" i="2"/>
  <c r="J1685" i="2"/>
  <c r="T1685" i="2"/>
  <c r="O1841" i="2"/>
  <c r="O1205" i="2"/>
  <c r="Q798" i="2"/>
  <c r="S129" i="2"/>
  <c r="A1205" i="2"/>
  <c r="E342" i="2"/>
  <c r="K798" i="2"/>
  <c r="M618" i="2"/>
  <c r="G1347" i="2"/>
  <c r="F1347" i="2"/>
  <c r="J129" i="2"/>
  <c r="R1205" i="2"/>
  <c r="J342" i="2"/>
  <c r="N798" i="2"/>
  <c r="G342" i="2"/>
  <c r="G129" i="2"/>
  <c r="E1347" i="2"/>
  <c r="D1347" i="2"/>
  <c r="D1685" i="2"/>
  <c r="H618" i="2"/>
  <c r="R2086" i="2"/>
  <c r="R342" i="2"/>
  <c r="H1685" i="2"/>
  <c r="G73" i="2"/>
  <c r="O1685" i="2"/>
  <c r="A2086" i="2"/>
  <c r="Q1685" i="2"/>
  <c r="T1205" i="2"/>
  <c r="Q129" i="2"/>
  <c r="S1841" i="2"/>
  <c r="H73" i="2"/>
  <c r="Q1205" i="2"/>
  <c r="E129" i="2"/>
  <c r="D1205" i="2"/>
  <c r="H342" i="2"/>
  <c r="P618" i="2"/>
  <c r="T798" i="2"/>
  <c r="G618" i="2"/>
  <c r="M1205" i="2"/>
  <c r="K1685" i="2"/>
  <c r="A129" i="2"/>
  <c r="T2086" i="2"/>
  <c r="Q618" i="2"/>
  <c r="R1841" i="2"/>
  <c r="A342" i="2"/>
  <c r="C798" i="2"/>
  <c r="D2086" i="2"/>
  <c r="P129" i="2"/>
  <c r="N1685" i="2"/>
  <c r="T342" i="2"/>
  <c r="M1685" i="2"/>
  <c r="P798" i="2"/>
  <c r="J73" i="2"/>
  <c r="D1841" i="2"/>
  <c r="C342" i="2"/>
  <c r="S73" i="2"/>
  <c r="C2086" i="2"/>
  <c r="O73" i="2"/>
  <c r="P2086" i="2"/>
  <c r="O1347" i="2"/>
  <c r="C1205" i="2"/>
  <c r="A618" i="2"/>
  <c r="K1347" i="2"/>
  <c r="H1205" i="2"/>
  <c r="N618" i="2"/>
  <c r="C73" i="2"/>
  <c r="E1841" i="2"/>
  <c r="S2086" i="2"/>
  <c r="R1685" i="2"/>
  <c r="D798" i="2"/>
  <c r="S342" i="2"/>
  <c r="P1205" i="2"/>
  <c r="D129" i="2"/>
  <c r="S1347" i="2"/>
  <c r="O618" i="2"/>
  <c r="K73" i="2"/>
  <c r="P683" i="2"/>
  <c r="S2221" i="2"/>
  <c r="H1448" i="2"/>
  <c r="D699" i="2"/>
  <c r="O699" i="2"/>
  <c r="K683" i="2"/>
  <c r="G2187" i="2"/>
  <c r="M683" i="2"/>
  <c r="A1811" i="2"/>
  <c r="D2187" i="2"/>
  <c r="M1227" i="2"/>
  <c r="S1316" i="2"/>
  <c r="Q1811" i="2"/>
  <c r="O1316" i="2"/>
  <c r="J699" i="2"/>
  <c r="N621" i="2"/>
  <c r="D2221" i="2"/>
  <c r="Q621" i="2"/>
  <c r="K1811" i="2"/>
  <c r="N1448" i="2"/>
  <c r="G683" i="2"/>
  <c r="F2166" i="2"/>
  <c r="O2221" i="2"/>
  <c r="Q1316" i="2"/>
  <c r="H699" i="2"/>
  <c r="E1811" i="2"/>
  <c r="S683" i="2"/>
  <c r="C1448" i="2"/>
  <c r="A683" i="2"/>
  <c r="O1227" i="2"/>
  <c r="M1316" i="2"/>
  <c r="F621" i="2"/>
  <c r="M699" i="2"/>
  <c r="A1227" i="2"/>
  <c r="N2187" i="2"/>
  <c r="T621" i="2"/>
  <c r="K699" i="2"/>
  <c r="N1811" i="2"/>
  <c r="D1811" i="2"/>
  <c r="F1227" i="2"/>
  <c r="J1811" i="2"/>
  <c r="R1316" i="2"/>
  <c r="G2221" i="2"/>
  <c r="J2221" i="2"/>
  <c r="K621" i="2"/>
  <c r="C1811" i="2"/>
  <c r="H1227" i="2"/>
  <c r="P2166" i="2"/>
  <c r="G1448" i="2"/>
  <c r="R2166" i="2"/>
  <c r="S621" i="2"/>
  <c r="P1811" i="2"/>
  <c r="H2221" i="2"/>
  <c r="O2166" i="2"/>
  <c r="C699" i="2"/>
  <c r="T1448" i="2"/>
  <c r="H621" i="2"/>
  <c r="R1811" i="2"/>
  <c r="Q683" i="2"/>
  <c r="H2166" i="2"/>
  <c r="M621" i="2"/>
  <c r="S1448" i="2"/>
  <c r="S2166" i="2"/>
  <c r="Q2187" i="2"/>
  <c r="E2166" i="2"/>
  <c r="O2187" i="2"/>
  <c r="Q1227" i="2"/>
  <c r="F1448" i="2"/>
  <c r="P621" i="2"/>
  <c r="F2221" i="2"/>
  <c r="Q1448" i="2"/>
  <c r="R2221" i="2"/>
  <c r="K1316" i="2"/>
  <c r="K2187" i="2"/>
  <c r="S1811" i="2"/>
  <c r="J2166" i="2"/>
  <c r="E1227" i="2"/>
  <c r="O683" i="2"/>
  <c r="H683" i="2"/>
  <c r="C1316" i="2"/>
  <c r="T2221" i="2"/>
  <c r="T2166" i="2"/>
  <c r="D1227" i="2"/>
  <c r="O1811" i="2"/>
  <c r="R1448" i="2"/>
  <c r="C683" i="2"/>
  <c r="F1811" i="2"/>
  <c r="E1448" i="2"/>
  <c r="P699" i="2"/>
  <c r="T1316" i="2"/>
  <c r="F683" i="2"/>
  <c r="G699" i="2"/>
  <c r="E2221" i="2"/>
  <c r="A1448" i="2"/>
  <c r="N2221" i="2"/>
  <c r="G1316" i="2"/>
  <c r="E699" i="2"/>
  <c r="C2187" i="2"/>
  <c r="T1227" i="2"/>
  <c r="Q699" i="2"/>
  <c r="A621" i="2"/>
  <c r="J621" i="2"/>
  <c r="F2187" i="2"/>
  <c r="O1448" i="2"/>
  <c r="E683" i="2"/>
  <c r="A1316" i="2"/>
  <c r="D683" i="2"/>
  <c r="F699" i="2"/>
  <c r="D1448" i="2"/>
  <c r="K2166" i="2"/>
  <c r="J683" i="2"/>
  <c r="P2221" i="2"/>
  <c r="T683" i="2"/>
  <c r="G621" i="2"/>
  <c r="P2187" i="2"/>
  <c r="J1448" i="2"/>
  <c r="D621" i="2"/>
  <c r="N699" i="2"/>
  <c r="J1227" i="2"/>
  <c r="M2221" i="2"/>
  <c r="C1227" i="2"/>
  <c r="K2221" i="2"/>
  <c r="P1227" i="2"/>
  <c r="C2221" i="2"/>
  <c r="M2187" i="2"/>
  <c r="A2166" i="2"/>
  <c r="M1448" i="2"/>
  <c r="M2166" i="2"/>
  <c r="K1227" i="2"/>
  <c r="M1811" i="2"/>
  <c r="A2187" i="2"/>
  <c r="F1316" i="2"/>
  <c r="A699" i="2"/>
  <c r="D2166" i="2"/>
  <c r="N2166" i="2"/>
  <c r="S1227" i="2"/>
  <c r="N1227" i="2"/>
  <c r="C621" i="2"/>
  <c r="N683" i="2"/>
  <c r="N1316" i="2"/>
  <c r="R2187" i="2"/>
  <c r="T1811" i="2"/>
  <c r="H2187" i="2"/>
  <c r="T2187" i="2"/>
  <c r="R621" i="2"/>
  <c r="O621" i="2"/>
  <c r="R1227" i="2"/>
  <c r="S699" i="2"/>
  <c r="H1316" i="2"/>
  <c r="H1811" i="2"/>
  <c r="G2166" i="2"/>
  <c r="E2187" i="2"/>
  <c r="E1316" i="2"/>
  <c r="J2187" i="2"/>
  <c r="T699" i="2"/>
  <c r="A2221" i="2"/>
  <c r="K1448" i="2"/>
  <c r="Q2166" i="2"/>
  <c r="D1316" i="2"/>
  <c r="J1316" i="2"/>
  <c r="C2166" i="2"/>
  <c r="R683" i="2"/>
  <c r="S2187" i="2"/>
  <c r="G1811" i="2"/>
  <c r="Q2221" i="2"/>
  <c r="P1316" i="2"/>
  <c r="R699" i="2"/>
  <c r="P1448" i="2"/>
  <c r="E621" i="2"/>
  <c r="G1227" i="2"/>
  <c r="R1153" i="2"/>
  <c r="K2061" i="2"/>
  <c r="K2107" i="2"/>
  <c r="N1158" i="2"/>
  <c r="C454" i="2"/>
  <c r="P1153" i="2"/>
  <c r="S1319" i="2"/>
  <c r="Q1533" i="2"/>
  <c r="C1533" i="2"/>
  <c r="F1533" i="2"/>
  <c r="A189" i="2"/>
  <c r="D189" i="2"/>
  <c r="M653" i="2"/>
  <c r="J454" i="2"/>
  <c r="K1153" i="2"/>
  <c r="J653" i="2"/>
  <c r="D1533" i="2"/>
  <c r="H2142" i="2"/>
  <c r="Q454" i="2"/>
  <c r="G2107" i="2"/>
  <c r="T653" i="2"/>
  <c r="C1158" i="2"/>
  <c r="K2142" i="2"/>
  <c r="R2061" i="2"/>
  <c r="S2142" i="2"/>
  <c r="M1158" i="2"/>
  <c r="G1153" i="2"/>
  <c r="S1533" i="2"/>
  <c r="M189" i="2"/>
  <c r="M2107" i="2"/>
  <c r="R1533" i="2"/>
  <c r="P189" i="2"/>
  <c r="G2061" i="2"/>
  <c r="A1319" i="2"/>
  <c r="H189" i="2"/>
  <c r="F1319" i="2"/>
  <c r="F2142" i="2"/>
  <c r="H1158" i="2"/>
  <c r="Q1319" i="2"/>
  <c r="T2061" i="2"/>
  <c r="M2142" i="2"/>
  <c r="H653" i="2"/>
  <c r="Q2061" i="2"/>
  <c r="K1319" i="2"/>
  <c r="O1319" i="2"/>
  <c r="D1158" i="2"/>
  <c r="N2107" i="2"/>
  <c r="T189" i="2"/>
  <c r="P1158" i="2"/>
  <c r="F2061" i="2"/>
  <c r="T2107" i="2"/>
  <c r="J2142" i="2"/>
  <c r="A1533" i="2"/>
  <c r="O1153" i="2"/>
  <c r="S653" i="2"/>
  <c r="N653" i="2"/>
  <c r="D1319" i="2"/>
  <c r="F1158" i="2"/>
  <c r="K454" i="2"/>
  <c r="N1533" i="2"/>
  <c r="C2107" i="2"/>
  <c r="P1533" i="2"/>
  <c r="D2142" i="2"/>
  <c r="M1533" i="2"/>
  <c r="P653" i="2"/>
  <c r="P2061" i="2"/>
  <c r="Q2107" i="2"/>
  <c r="C2142" i="2"/>
  <c r="O2107" i="2"/>
  <c r="C653" i="2"/>
  <c r="G454" i="2"/>
  <c r="C1153" i="2"/>
  <c r="T1153" i="2"/>
  <c r="E1158" i="2"/>
  <c r="C1319" i="2"/>
  <c r="P2142" i="2"/>
  <c r="A1153" i="2"/>
  <c r="G1533" i="2"/>
  <c r="Q1153" i="2"/>
  <c r="J2061" i="2"/>
  <c r="J1158" i="2"/>
  <c r="K1533" i="2"/>
  <c r="P2107" i="2"/>
  <c r="D2107" i="2"/>
  <c r="O1158" i="2"/>
  <c r="M454" i="2"/>
  <c r="D2061" i="2"/>
  <c r="T454" i="2"/>
  <c r="D454" i="2"/>
  <c r="S1158" i="2"/>
  <c r="H1153" i="2"/>
  <c r="G189" i="2"/>
  <c r="E1319" i="2"/>
  <c r="N1319" i="2"/>
  <c r="E189" i="2"/>
  <c r="N2061" i="2"/>
  <c r="J2107" i="2"/>
  <c r="O1533" i="2"/>
  <c r="S2107" i="2"/>
  <c r="N454" i="2"/>
  <c r="G653" i="2"/>
  <c r="N1153" i="2"/>
  <c r="Q2142" i="2"/>
  <c r="D653" i="2"/>
  <c r="S2061" i="2"/>
  <c r="T1319" i="2"/>
  <c r="R653" i="2"/>
  <c r="E1153" i="2"/>
  <c r="E454" i="2"/>
  <c r="S1153" i="2"/>
  <c r="O653" i="2"/>
  <c r="F189" i="2"/>
  <c r="Q653" i="2"/>
  <c r="M1153" i="2"/>
  <c r="E1533" i="2"/>
  <c r="E2107" i="2"/>
  <c r="M2061" i="2"/>
  <c r="C189" i="2"/>
  <c r="P454" i="2"/>
  <c r="K1158" i="2"/>
  <c r="R2142" i="2"/>
  <c r="J189" i="2"/>
  <c r="Q189" i="2"/>
  <c r="O2061" i="2"/>
  <c r="K653" i="2"/>
  <c r="N2142" i="2"/>
  <c r="G2142" i="2"/>
  <c r="R189" i="2"/>
  <c r="N189" i="2"/>
  <c r="H2061" i="2"/>
  <c r="A653" i="2"/>
  <c r="E653" i="2"/>
  <c r="G1319" i="2"/>
  <c r="O454" i="2"/>
  <c r="O2142" i="2"/>
  <c r="A2142" i="2"/>
  <c r="S454" i="2"/>
  <c r="S189" i="2"/>
  <c r="R1158" i="2"/>
  <c r="K189" i="2"/>
  <c r="J1153" i="2"/>
  <c r="H1319" i="2"/>
  <c r="H2107" i="2"/>
  <c r="R454" i="2"/>
  <c r="A2061" i="2"/>
  <c r="R1319" i="2"/>
  <c r="G1158" i="2"/>
  <c r="F2107" i="2"/>
  <c r="Q1158" i="2"/>
  <c r="F454" i="2"/>
  <c r="T1533" i="2"/>
  <c r="H454" i="2"/>
  <c r="D1153" i="2"/>
  <c r="P1319" i="2"/>
  <c r="T1158" i="2"/>
  <c r="M1319" i="2"/>
  <c r="E2061" i="2"/>
  <c r="J1533" i="2"/>
  <c r="T2142" i="2"/>
  <c r="R2107" i="2"/>
  <c r="F653" i="2"/>
  <c r="F1153" i="2"/>
  <c r="A454" i="2"/>
  <c r="O189" i="2"/>
  <c r="E2142" i="2"/>
  <c r="J1319" i="2"/>
  <c r="C2061" i="2"/>
  <c r="H1533" i="2"/>
  <c r="A1158" i="2"/>
  <c r="A2107" i="2"/>
  <c r="G1422" i="2"/>
  <c r="P204" i="2"/>
  <c r="F819" i="2"/>
  <c r="G502" i="2"/>
  <c r="S1422" i="2"/>
  <c r="R1013" i="2"/>
  <c r="G819" i="2"/>
  <c r="Q1682" i="2"/>
  <c r="S1026" i="2"/>
  <c r="Q1026" i="2"/>
  <c r="J1901" i="2"/>
  <c r="Q502" i="2"/>
  <c r="K1422" i="2"/>
  <c r="G1026" i="2"/>
  <c r="A2069" i="2"/>
  <c r="F1026" i="2"/>
  <c r="R819" i="2"/>
  <c r="H2190" i="2"/>
  <c r="F1422" i="2"/>
  <c r="T450" i="2"/>
  <c r="J819" i="2"/>
  <c r="C603" i="2"/>
  <c r="J642" i="2"/>
  <c r="P502" i="2"/>
  <c r="G2069" i="2"/>
  <c r="S2069" i="2"/>
  <c r="Q642" i="2"/>
  <c r="C642" i="2"/>
  <c r="J1422" i="2"/>
  <c r="R1901" i="2"/>
  <c r="S204" i="2"/>
  <c r="H1108" i="2"/>
  <c r="C1901" i="2"/>
  <c r="K2069" i="2"/>
  <c r="R502" i="2"/>
  <c r="Q2069" i="2"/>
  <c r="N1318" i="2"/>
  <c r="P2081" i="2"/>
  <c r="Q819" i="2"/>
  <c r="J2080" i="2"/>
  <c r="T1233" i="2"/>
  <c r="K450" i="2"/>
  <c r="Q1013" i="2"/>
  <c r="E816" i="2"/>
  <c r="C1682" i="2"/>
  <c r="E1318" i="2"/>
  <c r="M2190" i="2"/>
  <c r="D1233" i="2"/>
  <c r="F2190" i="2"/>
  <c r="O1901" i="2"/>
  <c r="A140" i="2"/>
  <c r="H642" i="2"/>
  <c r="D1682" i="2"/>
  <c r="J502" i="2"/>
  <c r="N1013" i="2"/>
  <c r="A816" i="2"/>
  <c r="G204" i="2"/>
  <c r="D1108" i="2"/>
  <c r="Q140" i="2"/>
  <c r="O204" i="2"/>
  <c r="E204" i="2"/>
  <c r="Q204" i="2"/>
  <c r="R1318" i="2"/>
  <c r="N1026" i="2"/>
  <c r="H2069" i="2"/>
  <c r="P819" i="2"/>
  <c r="T1901" i="2"/>
  <c r="M2069" i="2"/>
  <c r="J1026" i="2"/>
  <c r="C450" i="2"/>
  <c r="P1422" i="2"/>
  <c r="K2190" i="2"/>
  <c r="G2081" i="2"/>
  <c r="A1013" i="2"/>
  <c r="E603" i="2"/>
  <c r="D2081" i="2"/>
  <c r="O1026" i="2"/>
  <c r="D819" i="2"/>
  <c r="J1682" i="2"/>
  <c r="F2081" i="2"/>
  <c r="J603" i="2"/>
  <c r="K642" i="2"/>
  <c r="N1901" i="2"/>
  <c r="S819" i="2"/>
  <c r="C1108" i="2"/>
  <c r="H140" i="2"/>
  <c r="K1318" i="2"/>
  <c r="G2190" i="2"/>
  <c r="A450" i="2"/>
  <c r="K1013" i="2"/>
  <c r="D642" i="2"/>
  <c r="E1422" i="2"/>
  <c r="H2080" i="2"/>
  <c r="P1013" i="2"/>
  <c r="T1318" i="2"/>
  <c r="J450" i="2"/>
  <c r="H502" i="2"/>
  <c r="J140" i="2"/>
  <c r="Q1233" i="2"/>
  <c r="G816" i="2"/>
  <c r="C2080" i="2"/>
  <c r="S1682" i="2"/>
  <c r="R450" i="2"/>
  <c r="C819" i="2"/>
  <c r="G1901" i="2"/>
  <c r="Q1108" i="2"/>
  <c r="E1108" i="2"/>
  <c r="G1108" i="2"/>
  <c r="C2069" i="2"/>
  <c r="R1026" i="2"/>
  <c r="K603" i="2"/>
  <c r="T1013" i="2"/>
  <c r="M1901" i="2"/>
  <c r="D1901" i="2"/>
  <c r="O1318" i="2"/>
  <c r="D140" i="2"/>
  <c r="D816" i="2"/>
  <c r="T642" i="2"/>
  <c r="M2081" i="2"/>
  <c r="A204" i="2"/>
  <c r="E1233" i="2"/>
  <c r="E642" i="2"/>
  <c r="S1901" i="2"/>
  <c r="S1233" i="2"/>
  <c r="S502" i="2"/>
  <c r="H2081" i="2"/>
  <c r="R2069" i="2"/>
  <c r="A642" i="2"/>
  <c r="R1233" i="2"/>
  <c r="P603" i="2"/>
  <c r="G1233" i="2"/>
  <c r="T502" i="2"/>
  <c r="R2081" i="2"/>
  <c r="O1013" i="2"/>
  <c r="K1901" i="2"/>
  <c r="Q2080" i="2"/>
  <c r="A1318" i="2"/>
  <c r="A1108" i="2"/>
  <c r="G603" i="2"/>
  <c r="F1233" i="2"/>
  <c r="K2080" i="2"/>
  <c r="N204" i="2"/>
  <c r="O816" i="2"/>
  <c r="P1318" i="2"/>
  <c r="N642" i="2"/>
  <c r="M1108" i="2"/>
  <c r="G1013" i="2"/>
  <c r="H1682" i="2"/>
  <c r="T204" i="2"/>
  <c r="R816" i="2"/>
  <c r="J1108" i="2"/>
  <c r="S2190" i="2"/>
  <c r="T2081" i="2"/>
  <c r="F1318" i="2"/>
  <c r="J1233" i="2"/>
  <c r="R603" i="2"/>
  <c r="A819" i="2"/>
  <c r="M1233" i="2"/>
  <c r="A2190" i="2"/>
  <c r="S1013" i="2"/>
  <c r="T2190" i="2"/>
  <c r="M1422" i="2"/>
  <c r="F1901" i="2"/>
  <c r="O450" i="2"/>
  <c r="C1013" i="2"/>
  <c r="N140" i="2"/>
  <c r="A1682" i="2"/>
  <c r="K502" i="2"/>
  <c r="K1233" i="2"/>
  <c r="O2080" i="2"/>
  <c r="K140" i="2"/>
  <c r="O642" i="2"/>
  <c r="S2080" i="2"/>
  <c r="T2069" i="2"/>
  <c r="M140" i="2"/>
  <c r="F2069" i="2"/>
  <c r="A2081" i="2"/>
  <c r="A603" i="2"/>
  <c r="F603" i="2"/>
  <c r="A1026" i="2"/>
  <c r="M642" i="2"/>
  <c r="M450" i="2"/>
  <c r="H816" i="2"/>
  <c r="H1013" i="2"/>
  <c r="G140" i="2"/>
  <c r="Q1318" i="2"/>
  <c r="Q603" i="2"/>
  <c r="E1026" i="2"/>
  <c r="S642" i="2"/>
  <c r="C816" i="2"/>
  <c r="K819" i="2"/>
  <c r="O2190" i="2"/>
  <c r="R2190" i="2"/>
  <c r="J2069" i="2"/>
  <c r="M204" i="2"/>
  <c r="F1108" i="2"/>
  <c r="C1026" i="2"/>
  <c r="C1422" i="2"/>
  <c r="G642" i="2"/>
  <c r="D450" i="2"/>
  <c r="D204" i="2"/>
  <c r="M1318" i="2"/>
  <c r="S2081" i="2"/>
  <c r="A1233" i="2"/>
  <c r="E502" i="2"/>
  <c r="Q816" i="2"/>
  <c r="E450" i="2"/>
  <c r="E1013" i="2"/>
  <c r="M816" i="2"/>
  <c r="R140" i="2"/>
  <c r="P1108" i="2"/>
  <c r="T1108" i="2"/>
  <c r="S603" i="2"/>
  <c r="M2080" i="2"/>
  <c r="T1422" i="2"/>
  <c r="H819" i="2"/>
  <c r="R1422" i="2"/>
  <c r="D1026" i="2"/>
  <c r="O140" i="2"/>
  <c r="R2080" i="2"/>
  <c r="Q2190" i="2"/>
  <c r="H450" i="2"/>
  <c r="E1901" i="2"/>
  <c r="P2080" i="2"/>
  <c r="F642" i="2"/>
  <c r="Q1422" i="2"/>
  <c r="D2080" i="2"/>
  <c r="H1422" i="2"/>
  <c r="C140" i="2"/>
  <c r="T819" i="2"/>
  <c r="Q2081" i="2"/>
  <c r="H1233" i="2"/>
  <c r="P1901" i="2"/>
  <c r="N2190" i="2"/>
  <c r="F2080" i="2"/>
  <c r="N603" i="2"/>
  <c r="H1026" i="2"/>
  <c r="T603" i="2"/>
  <c r="O603" i="2"/>
  <c r="P450" i="2"/>
  <c r="F1682" i="2"/>
  <c r="E2069" i="2"/>
  <c r="N502" i="2"/>
  <c r="P1026" i="2"/>
  <c r="J2081" i="2"/>
  <c r="H1318" i="2"/>
  <c r="J204" i="2"/>
  <c r="Q450" i="2"/>
  <c r="O2069" i="2"/>
  <c r="M502" i="2"/>
  <c r="T1026" i="2"/>
  <c r="F204" i="2"/>
  <c r="H204" i="2"/>
  <c r="G1682" i="2"/>
  <c r="K1026" i="2"/>
  <c r="N1682" i="2"/>
  <c r="K816" i="2"/>
  <c r="J2190" i="2"/>
  <c r="S1108" i="2"/>
  <c r="K1682" i="2"/>
  <c r="R204" i="2"/>
  <c r="F816" i="2"/>
  <c r="M819" i="2"/>
  <c r="E819" i="2"/>
  <c r="D1318" i="2"/>
  <c r="T140" i="2"/>
  <c r="C2190" i="2"/>
  <c r="G1318" i="2"/>
  <c r="K1108" i="2"/>
  <c r="N1422" i="2"/>
  <c r="D603" i="2"/>
  <c r="D1422" i="2"/>
  <c r="A1901" i="2"/>
  <c r="N2081" i="2"/>
  <c r="R1682" i="2"/>
  <c r="R642" i="2"/>
  <c r="P1682" i="2"/>
  <c r="R1108" i="2"/>
  <c r="N1233" i="2"/>
  <c r="E2190" i="2"/>
  <c r="S1318" i="2"/>
  <c r="P816" i="2"/>
  <c r="S816" i="2"/>
  <c r="N1108" i="2"/>
  <c r="C2081" i="2"/>
  <c r="C502" i="2"/>
  <c r="N2080" i="2"/>
  <c r="D2190" i="2"/>
  <c r="F502" i="2"/>
  <c r="M1682" i="2"/>
  <c r="K204" i="2"/>
  <c r="F450" i="2"/>
  <c r="O819" i="2"/>
  <c r="O2081" i="2"/>
  <c r="A1422" i="2"/>
  <c r="D2069" i="2"/>
  <c r="F1013" i="2"/>
  <c r="C1318" i="2"/>
  <c r="K2081" i="2"/>
  <c r="J1013" i="2"/>
  <c r="A502" i="2"/>
  <c r="E140" i="2"/>
  <c r="F140" i="2"/>
  <c r="P1233" i="2"/>
  <c r="N816" i="2"/>
  <c r="P2069" i="2"/>
  <c r="P140" i="2"/>
  <c r="E2080" i="2"/>
  <c r="O1233" i="2"/>
  <c r="S450" i="2"/>
  <c r="M603" i="2"/>
  <c r="N450" i="2"/>
  <c r="O1682" i="2"/>
  <c r="Q1901" i="2"/>
  <c r="M1013" i="2"/>
  <c r="T1682" i="2"/>
  <c r="O1108" i="2"/>
  <c r="G450" i="2"/>
  <c r="P642" i="2"/>
  <c r="C1233" i="2"/>
  <c r="S140" i="2"/>
  <c r="J1318" i="2"/>
  <c r="D1013" i="2"/>
  <c r="E1682" i="2"/>
  <c r="C204" i="2"/>
  <c r="M1026" i="2"/>
  <c r="O502" i="2"/>
  <c r="A2080" i="2"/>
  <c r="T2080" i="2"/>
  <c r="J816" i="2"/>
  <c r="O1422" i="2"/>
  <c r="N2069" i="2"/>
  <c r="D502" i="2"/>
  <c r="H1901" i="2"/>
  <c r="T816" i="2"/>
  <c r="H603" i="2"/>
  <c r="G2080" i="2"/>
  <c r="N819" i="2"/>
  <c r="P2190" i="2"/>
  <c r="E2081" i="2"/>
  <c r="T1877" i="2"/>
  <c r="T403" i="2"/>
  <c r="R1924" i="2"/>
  <c r="G155" i="2"/>
  <c r="H1877" i="2"/>
  <c r="G1260" i="2"/>
  <c r="C2013" i="2"/>
  <c r="N90" i="2"/>
  <c r="E641" i="2"/>
  <c r="F526" i="2"/>
  <c r="G722" i="2"/>
  <c r="R722" i="2"/>
  <c r="O722" i="2"/>
  <c r="T722" i="2"/>
  <c r="D1260" i="2"/>
  <c r="C916" i="2"/>
  <c r="S722" i="2"/>
  <c r="C374" i="2"/>
  <c r="S1877" i="2"/>
  <c r="A916" i="2"/>
  <c r="H374" i="2"/>
  <c r="F1924" i="2"/>
  <c r="H155" i="2"/>
  <c r="C1170" i="2"/>
  <c r="D526" i="2"/>
  <c r="N1094" i="2"/>
  <c r="M155" i="2"/>
  <c r="D141" i="2"/>
  <c r="D90" i="2"/>
  <c r="O916" i="2"/>
  <c r="N2013" i="2"/>
  <c r="H156" i="2"/>
  <c r="K141" i="2"/>
  <c r="J890" i="2"/>
  <c r="S641" i="2"/>
  <c r="A141" i="2"/>
  <c r="R890" i="2"/>
  <c r="S156" i="2"/>
  <c r="E156" i="2"/>
  <c r="C155" i="2"/>
  <c r="O641" i="2"/>
  <c r="K155" i="2"/>
  <c r="F403" i="2"/>
  <c r="S916" i="2"/>
  <c r="P1877" i="2"/>
  <c r="Q2013" i="2"/>
  <c r="O1170" i="2"/>
  <c r="N156" i="2"/>
  <c r="N890" i="2"/>
  <c r="K1784" i="2"/>
  <c r="T155" i="2"/>
  <c r="G890" i="2"/>
  <c r="E1784" i="2"/>
  <c r="M890" i="2"/>
  <c r="J90" i="2"/>
  <c r="S374" i="2"/>
  <c r="F155" i="2"/>
  <c r="J1260" i="2"/>
  <c r="N1784" i="2"/>
  <c r="C190" i="2"/>
  <c r="O90" i="2"/>
  <c r="N1170" i="2"/>
  <c r="K1170" i="2"/>
  <c r="N1384" i="2"/>
  <c r="N1260" i="2"/>
  <c r="G1094" i="2"/>
  <c r="R141" i="2"/>
  <c r="Q1170" i="2"/>
  <c r="K90" i="2"/>
  <c r="G641" i="2"/>
  <c r="Q190" i="2"/>
  <c r="P722" i="2"/>
  <c r="R156" i="2"/>
  <c r="J403" i="2"/>
  <c r="C141" i="2"/>
  <c r="M1877" i="2"/>
  <c r="A156" i="2"/>
  <c r="R1260" i="2"/>
  <c r="R1877" i="2"/>
  <c r="N190" i="2"/>
  <c r="A641" i="2"/>
  <c r="A526" i="2"/>
  <c r="N1877" i="2"/>
  <c r="F1877" i="2"/>
  <c r="C403" i="2"/>
  <c r="E1170" i="2"/>
  <c r="R90" i="2"/>
  <c r="H1094" i="2"/>
  <c r="G2013" i="2"/>
  <c r="M1784" i="2"/>
  <c r="A403" i="2"/>
  <c r="E1260" i="2"/>
  <c r="S1170" i="2"/>
  <c r="C1384" i="2"/>
  <c r="O1260" i="2"/>
  <c r="S190" i="2"/>
  <c r="O403" i="2"/>
  <c r="M641" i="2"/>
  <c r="Q403" i="2"/>
  <c r="F141" i="2"/>
  <c r="J155" i="2"/>
  <c r="C526" i="2"/>
  <c r="D1384" i="2"/>
  <c r="O141" i="2"/>
  <c r="H2013" i="2"/>
  <c r="J1924" i="2"/>
  <c r="Q90" i="2"/>
  <c r="H1260" i="2"/>
  <c r="A90" i="2"/>
  <c r="E374" i="2"/>
  <c r="E1384" i="2"/>
  <c r="C1924" i="2"/>
  <c r="D1924" i="2"/>
  <c r="R374" i="2"/>
  <c r="E722" i="2"/>
  <c r="J1784" i="2"/>
  <c r="M90" i="2"/>
  <c r="P141" i="2"/>
  <c r="M2013" i="2"/>
  <c r="R916" i="2"/>
  <c r="P1784" i="2"/>
  <c r="E90" i="2"/>
  <c r="N722" i="2"/>
  <c r="D1784" i="2"/>
  <c r="O155" i="2"/>
  <c r="C641" i="2"/>
  <c r="Q155" i="2"/>
  <c r="M1384" i="2"/>
  <c r="H1784" i="2"/>
  <c r="F1260" i="2"/>
  <c r="T890" i="2"/>
  <c r="P374" i="2"/>
  <c r="Q641" i="2"/>
  <c r="J1384" i="2"/>
  <c r="N374" i="2"/>
  <c r="M156" i="2"/>
  <c r="K156" i="2"/>
  <c r="M141" i="2"/>
  <c r="A190" i="2"/>
  <c r="A1260" i="2"/>
  <c r="N916" i="2"/>
  <c r="O1877" i="2"/>
  <c r="F1094" i="2"/>
  <c r="T1170" i="2"/>
  <c r="T90" i="2"/>
  <c r="G141" i="2"/>
  <c r="S141" i="2"/>
  <c r="C1877" i="2"/>
  <c r="K1877" i="2"/>
  <c r="M374" i="2"/>
  <c r="N403" i="2"/>
  <c r="R403" i="2"/>
  <c r="M1260" i="2"/>
  <c r="K1924" i="2"/>
  <c r="M916" i="2"/>
  <c r="K1094" i="2"/>
  <c r="K403" i="2"/>
  <c r="M1094" i="2"/>
  <c r="F374" i="2"/>
  <c r="O890" i="2"/>
  <c r="T1784" i="2"/>
  <c r="T141" i="2"/>
  <c r="Q374" i="2"/>
  <c r="N641" i="2"/>
  <c r="A374" i="2"/>
  <c r="S890" i="2"/>
  <c r="G403" i="2"/>
  <c r="Q1784" i="2"/>
  <c r="Q722" i="2"/>
  <c r="R2013" i="2"/>
  <c r="H641" i="2"/>
  <c r="O1384" i="2"/>
  <c r="P1094" i="2"/>
  <c r="J141" i="2"/>
  <c r="O1924" i="2"/>
  <c r="E155" i="2"/>
  <c r="A1877" i="2"/>
  <c r="P90" i="2"/>
  <c r="F156" i="2"/>
  <c r="S2013" i="2"/>
  <c r="Q156" i="2"/>
  <c r="F1384" i="2"/>
  <c r="J1877" i="2"/>
  <c r="P526" i="2"/>
  <c r="J1170" i="2"/>
  <c r="A1170" i="2"/>
  <c r="P641" i="2"/>
  <c r="C722" i="2"/>
  <c r="G1784" i="2"/>
  <c r="F1784" i="2"/>
  <c r="E890" i="2"/>
  <c r="O156" i="2"/>
  <c r="P1384" i="2"/>
  <c r="G1877" i="2"/>
  <c r="G1384" i="2"/>
  <c r="S1784" i="2"/>
  <c r="J156" i="2"/>
  <c r="P1170" i="2"/>
  <c r="E526" i="2"/>
  <c r="D1170" i="2"/>
  <c r="P403" i="2"/>
  <c r="H141" i="2"/>
  <c r="M722" i="2"/>
  <c r="D2013" i="2"/>
  <c r="Q1260" i="2"/>
  <c r="H722" i="2"/>
  <c r="K2013" i="2"/>
  <c r="O1094" i="2"/>
  <c r="J190" i="2"/>
  <c r="F90" i="2"/>
  <c r="O190" i="2"/>
  <c r="H916" i="2"/>
  <c r="A1784" i="2"/>
  <c r="G1924" i="2"/>
  <c r="J1094" i="2"/>
  <c r="F1170" i="2"/>
  <c r="P190" i="2"/>
  <c r="F722" i="2"/>
  <c r="C90" i="2"/>
  <c r="S403" i="2"/>
  <c r="P2013" i="2"/>
  <c r="F190" i="2"/>
  <c r="H1384" i="2"/>
  <c r="K890" i="2"/>
  <c r="S1094" i="2"/>
  <c r="E2013" i="2"/>
  <c r="J526" i="2"/>
  <c r="A890" i="2"/>
  <c r="M403" i="2"/>
  <c r="D155" i="2"/>
  <c r="J2013" i="2"/>
  <c r="Q916" i="2"/>
  <c r="E916" i="2"/>
  <c r="Q1877" i="2"/>
  <c r="T1260" i="2"/>
  <c r="T1924" i="2"/>
  <c r="K641" i="2"/>
  <c r="D916" i="2"/>
  <c r="M1170" i="2"/>
  <c r="S1384" i="2"/>
  <c r="D374" i="2"/>
  <c r="D641" i="2"/>
  <c r="J916" i="2"/>
  <c r="E403" i="2"/>
  <c r="T641" i="2"/>
  <c r="T526" i="2"/>
  <c r="Q141" i="2"/>
  <c r="K916" i="2"/>
  <c r="K1384" i="2"/>
  <c r="F641" i="2"/>
  <c r="G526" i="2"/>
  <c r="K190" i="2"/>
  <c r="P916" i="2"/>
  <c r="C1260" i="2"/>
  <c r="P156" i="2"/>
  <c r="D190" i="2"/>
  <c r="A155" i="2"/>
  <c r="P1924" i="2"/>
  <c r="O2013" i="2"/>
  <c r="S155" i="2"/>
  <c r="D1877" i="2"/>
  <c r="G156" i="2"/>
  <c r="T1094" i="2"/>
  <c r="S90" i="2"/>
  <c r="F916" i="2"/>
  <c r="N155" i="2"/>
  <c r="G190" i="2"/>
  <c r="G90" i="2"/>
  <c r="D722" i="2"/>
  <c r="T156" i="2"/>
  <c r="R1094" i="2"/>
  <c r="T190" i="2"/>
  <c r="A1924" i="2"/>
  <c r="D890" i="2"/>
  <c r="G1170" i="2"/>
  <c r="O374" i="2"/>
  <c r="J374" i="2"/>
  <c r="N141" i="2"/>
  <c r="Q890" i="2"/>
  <c r="M1924" i="2"/>
  <c r="C1784" i="2"/>
  <c r="O526" i="2"/>
  <c r="Q526" i="2"/>
  <c r="H526" i="2"/>
  <c r="N1924" i="2"/>
  <c r="E1924" i="2"/>
  <c r="C1094" i="2"/>
  <c r="P1260" i="2"/>
  <c r="Q1094" i="2"/>
  <c r="K1260" i="2"/>
  <c r="K722" i="2"/>
  <c r="J641" i="2"/>
  <c r="H1170" i="2"/>
  <c r="Q1384" i="2"/>
  <c r="R526" i="2"/>
  <c r="H1924" i="2"/>
  <c r="P155" i="2"/>
  <c r="K374" i="2"/>
  <c r="N526" i="2"/>
  <c r="A1384" i="2"/>
  <c r="R190" i="2"/>
  <c r="S526" i="2"/>
  <c r="F2013" i="2"/>
  <c r="A1094" i="2"/>
  <c r="H890" i="2"/>
  <c r="H190" i="2"/>
  <c r="S1924" i="2"/>
  <c r="G374" i="2"/>
  <c r="E1094" i="2"/>
  <c r="C156" i="2"/>
  <c r="T1384" i="2"/>
  <c r="F890" i="2"/>
  <c r="K526" i="2"/>
  <c r="D403" i="2"/>
  <c r="P890" i="2"/>
  <c r="J722" i="2"/>
  <c r="T2013" i="2"/>
  <c r="E190" i="2"/>
  <c r="O1784" i="2"/>
  <c r="G916" i="2"/>
  <c r="A2013" i="2"/>
  <c r="M526" i="2"/>
  <c r="S1260" i="2"/>
  <c r="D1094" i="2"/>
  <c r="H90" i="2"/>
  <c r="R641" i="2"/>
  <c r="A722" i="2"/>
  <c r="E1877" i="2"/>
  <c r="C890" i="2"/>
  <c r="D156" i="2"/>
  <c r="R155" i="2"/>
  <c r="M190" i="2"/>
  <c r="T374" i="2"/>
  <c r="T916" i="2"/>
  <c r="Q1924" i="2"/>
  <c r="H403" i="2"/>
  <c r="R1170" i="2"/>
  <c r="E141" i="2"/>
  <c r="R1384" i="2"/>
  <c r="R1784" i="2"/>
  <c r="J1147" i="2"/>
  <c r="J2258" i="2"/>
  <c r="K1609" i="2"/>
  <c r="C2171" i="2"/>
  <c r="C333" i="2"/>
  <c r="T2244" i="2"/>
  <c r="D1548" i="2"/>
  <c r="G1584" i="2"/>
  <c r="M1009" i="2"/>
  <c r="S2251" i="2"/>
  <c r="C1030" i="2"/>
  <c r="N333" i="2"/>
  <c r="T356" i="2"/>
  <c r="P254" i="2"/>
  <c r="R2171" i="2"/>
  <c r="P1147" i="2"/>
  <c r="H1030" i="2"/>
  <c r="M2171" i="2"/>
  <c r="S356" i="2"/>
  <c r="G1609" i="2"/>
  <c r="H183" i="2"/>
  <c r="E1584" i="2"/>
  <c r="A1624" i="2"/>
  <c r="C1426" i="2"/>
  <c r="P1440" i="2"/>
  <c r="O947" i="2"/>
  <c r="O183" i="2"/>
  <c r="N2251" i="2"/>
  <c r="A2258" i="2"/>
  <c r="P2171" i="2"/>
  <c r="E333" i="2"/>
  <c r="K1548" i="2"/>
  <c r="N1624" i="2"/>
  <c r="T1609" i="2"/>
  <c r="C1440" i="2"/>
  <c r="A1147" i="2"/>
  <c r="P1584" i="2"/>
  <c r="G1147" i="2"/>
  <c r="F183" i="2"/>
  <c r="K1440" i="2"/>
  <c r="C947" i="2"/>
  <c r="N1009" i="2"/>
  <c r="F356" i="2"/>
  <c r="Q183" i="2"/>
  <c r="R1584" i="2"/>
  <c r="F2244" i="2"/>
  <c r="T286" i="2"/>
  <c r="M1426" i="2"/>
  <c r="F1426" i="2"/>
  <c r="E947" i="2"/>
  <c r="O1030" i="2"/>
  <c r="H2244" i="2"/>
  <c r="T1009" i="2"/>
  <c r="G333" i="2"/>
  <c r="Q333" i="2"/>
  <c r="D2251" i="2"/>
  <c r="O2258" i="2"/>
  <c r="P1030" i="2"/>
  <c r="G1287" i="2"/>
  <c r="S1030" i="2"/>
  <c r="N1584" i="2"/>
  <c r="P286" i="2"/>
  <c r="H1609" i="2"/>
  <c r="R1009" i="2"/>
  <c r="P1624" i="2"/>
  <c r="D1426" i="2"/>
  <c r="M183" i="2"/>
  <c r="Q356" i="2"/>
  <c r="A947" i="2"/>
  <c r="F286" i="2"/>
  <c r="D1009" i="2"/>
  <c r="E1440" i="2"/>
  <c r="R333" i="2"/>
  <c r="M1147" i="2"/>
  <c r="C356" i="2"/>
  <c r="S1548" i="2"/>
  <c r="O1009" i="2"/>
  <c r="H1287" i="2"/>
  <c r="K1426" i="2"/>
  <c r="H1009" i="2"/>
  <c r="M2251" i="2"/>
  <c r="K1624" i="2"/>
  <c r="R1426" i="2"/>
  <c r="G2244" i="2"/>
  <c r="C2251" i="2"/>
  <c r="O1287" i="2"/>
  <c r="A1584" i="2"/>
  <c r="E1624" i="2"/>
  <c r="A1548" i="2"/>
  <c r="S1584" i="2"/>
  <c r="T2171" i="2"/>
  <c r="Q1147" i="2"/>
  <c r="F1609" i="2"/>
  <c r="Q947" i="2"/>
  <c r="R1609" i="2"/>
  <c r="Q1426" i="2"/>
  <c r="J1426" i="2"/>
  <c r="R1287" i="2"/>
  <c r="J1009" i="2"/>
  <c r="O333" i="2"/>
  <c r="G2251" i="2"/>
  <c r="D1584" i="2"/>
  <c r="M356" i="2"/>
  <c r="E2244" i="2"/>
  <c r="J286" i="2"/>
  <c r="S1440" i="2"/>
  <c r="T1584" i="2"/>
  <c r="E1609" i="2"/>
  <c r="F1009" i="2"/>
  <c r="D2258" i="2"/>
  <c r="Q1009" i="2"/>
  <c r="A1030" i="2"/>
  <c r="N1426" i="2"/>
  <c r="H2171" i="2"/>
  <c r="E1030" i="2"/>
  <c r="F2171" i="2"/>
  <c r="A1609" i="2"/>
  <c r="H286" i="2"/>
  <c r="S1147" i="2"/>
  <c r="J254" i="2"/>
  <c r="G254" i="2"/>
  <c r="D947" i="2"/>
  <c r="N356" i="2"/>
  <c r="F2251" i="2"/>
  <c r="P1009" i="2"/>
  <c r="A183" i="2"/>
  <c r="M1030" i="2"/>
  <c r="P333" i="2"/>
  <c r="G1426" i="2"/>
  <c r="R2244" i="2"/>
  <c r="O1440" i="2"/>
  <c r="K2244" i="2"/>
  <c r="E1287" i="2"/>
  <c r="T1624" i="2"/>
  <c r="C1009" i="2"/>
  <c r="J2251" i="2"/>
  <c r="H1426" i="2"/>
  <c r="J1440" i="2"/>
  <c r="O1609" i="2"/>
  <c r="R1440" i="2"/>
  <c r="R183" i="2"/>
  <c r="F1548" i="2"/>
  <c r="C286" i="2"/>
  <c r="C183" i="2"/>
  <c r="H356" i="2"/>
  <c r="J356" i="2"/>
  <c r="G183" i="2"/>
  <c r="F333" i="2"/>
  <c r="M286" i="2"/>
  <c r="Q2251" i="2"/>
  <c r="F1147" i="2"/>
  <c r="Q1584" i="2"/>
  <c r="F947" i="2"/>
  <c r="A1426" i="2"/>
  <c r="D1287" i="2"/>
  <c r="M2244" i="2"/>
  <c r="O356" i="2"/>
  <c r="J183" i="2"/>
  <c r="C2258" i="2"/>
  <c r="P1287" i="2"/>
  <c r="C1548" i="2"/>
  <c r="S183" i="2"/>
  <c r="F1624" i="2"/>
  <c r="A2244" i="2"/>
  <c r="H947" i="2"/>
  <c r="R1147" i="2"/>
  <c r="O1147" i="2"/>
  <c r="C254" i="2"/>
  <c r="K2251" i="2"/>
  <c r="M1624" i="2"/>
  <c r="G1548" i="2"/>
  <c r="H2258" i="2"/>
  <c r="Q254" i="2"/>
  <c r="A2251" i="2"/>
  <c r="E254" i="2"/>
  <c r="D1147" i="2"/>
  <c r="D2171" i="2"/>
  <c r="A1440" i="2"/>
  <c r="E1426" i="2"/>
  <c r="N2258" i="2"/>
  <c r="E1548" i="2"/>
  <c r="K1009" i="2"/>
  <c r="S1609" i="2"/>
  <c r="J1287" i="2"/>
  <c r="D1030" i="2"/>
  <c r="A1287" i="2"/>
  <c r="N286" i="2"/>
  <c r="P356" i="2"/>
  <c r="E2171" i="2"/>
  <c r="R1548" i="2"/>
  <c r="R254" i="2"/>
  <c r="E183" i="2"/>
  <c r="Q1548" i="2"/>
  <c r="F1030" i="2"/>
  <c r="M1548" i="2"/>
  <c r="S947" i="2"/>
  <c r="M947" i="2"/>
  <c r="N1287" i="2"/>
  <c r="H254" i="2"/>
  <c r="O254" i="2"/>
  <c r="O2244" i="2"/>
  <c r="A286" i="2"/>
  <c r="K947" i="2"/>
  <c r="O2251" i="2"/>
  <c r="G2171" i="2"/>
  <c r="J1548" i="2"/>
  <c r="P1609" i="2"/>
  <c r="Q286" i="2"/>
  <c r="O1584" i="2"/>
  <c r="F1584" i="2"/>
  <c r="N2171" i="2"/>
  <c r="K2171" i="2"/>
  <c r="N947" i="2"/>
  <c r="A2171" i="2"/>
  <c r="P947" i="2"/>
  <c r="E286" i="2"/>
  <c r="G1440" i="2"/>
  <c r="R1030" i="2"/>
  <c r="T2258" i="2"/>
  <c r="Q1287" i="2"/>
  <c r="F254" i="2"/>
  <c r="Q1609" i="2"/>
  <c r="N1147" i="2"/>
  <c r="A254" i="2"/>
  <c r="K183" i="2"/>
  <c r="G286" i="2"/>
  <c r="D356" i="2"/>
  <c r="S2258" i="2"/>
  <c r="C1624" i="2"/>
  <c r="G1030" i="2"/>
  <c r="S1009" i="2"/>
  <c r="G1009" i="2"/>
  <c r="R2258" i="2"/>
  <c r="T254" i="2"/>
  <c r="K1147" i="2"/>
  <c r="J333" i="2"/>
  <c r="M1287" i="2"/>
  <c r="F1287" i="2"/>
  <c r="K254" i="2"/>
  <c r="A356" i="2"/>
  <c r="S1287" i="2"/>
  <c r="C2244" i="2"/>
  <c r="D1624" i="2"/>
  <c r="K1584" i="2"/>
  <c r="R2251" i="2"/>
  <c r="S1624" i="2"/>
  <c r="T2251" i="2"/>
  <c r="K1287" i="2"/>
  <c r="K286" i="2"/>
  <c r="C1287" i="2"/>
  <c r="H1584" i="2"/>
  <c r="O1426" i="2"/>
  <c r="R947" i="2"/>
  <c r="A333" i="2"/>
  <c r="J947" i="2"/>
  <c r="S2244" i="2"/>
  <c r="H1624" i="2"/>
  <c r="P183" i="2"/>
  <c r="J2171" i="2"/>
  <c r="G947" i="2"/>
  <c r="J1030" i="2"/>
  <c r="E2251" i="2"/>
  <c r="H1147" i="2"/>
  <c r="E1147" i="2"/>
  <c r="Q2258" i="2"/>
  <c r="J1624" i="2"/>
  <c r="O1548" i="2"/>
  <c r="P2258" i="2"/>
  <c r="J2244" i="2"/>
  <c r="M333" i="2"/>
  <c r="S254" i="2"/>
  <c r="N1440" i="2"/>
  <c r="R1624" i="2"/>
  <c r="O286" i="2"/>
  <c r="D286" i="2"/>
  <c r="D254" i="2"/>
  <c r="K333" i="2"/>
  <c r="T1440" i="2"/>
  <c r="E1009" i="2"/>
  <c r="S333" i="2"/>
  <c r="R286" i="2"/>
  <c r="T333" i="2"/>
  <c r="E2258" i="2"/>
  <c r="R356" i="2"/>
  <c r="P2251" i="2"/>
  <c r="N2244" i="2"/>
  <c r="F1440" i="2"/>
  <c r="M1609" i="2"/>
  <c r="G2258" i="2"/>
  <c r="J1609" i="2"/>
  <c r="D183" i="2"/>
  <c r="C1609" i="2"/>
  <c r="N1030" i="2"/>
  <c r="C1147" i="2"/>
  <c r="Q1030" i="2"/>
  <c r="Q1440" i="2"/>
  <c r="N183" i="2"/>
  <c r="S1426" i="2"/>
  <c r="K1030" i="2"/>
  <c r="P1548" i="2"/>
  <c r="M1584" i="2"/>
  <c r="H1548" i="2"/>
  <c r="D2244" i="2"/>
  <c r="O1624" i="2"/>
  <c r="S2171" i="2"/>
  <c r="T1548" i="2"/>
  <c r="Q2244" i="2"/>
  <c r="E356" i="2"/>
  <c r="Q2171" i="2"/>
  <c r="K2258" i="2"/>
  <c r="D1609" i="2"/>
  <c r="D333" i="2"/>
  <c r="C1584" i="2"/>
  <c r="F2258" i="2"/>
  <c r="M254" i="2"/>
  <c r="M1440" i="2"/>
  <c r="H1440" i="2"/>
  <c r="G356" i="2"/>
  <c r="Q1624" i="2"/>
  <c r="T183" i="2"/>
  <c r="T1147" i="2"/>
  <c r="J1584" i="2"/>
  <c r="D1440" i="2"/>
  <c r="K356" i="2"/>
  <c r="P2244" i="2"/>
  <c r="N1548" i="2"/>
  <c r="M2258" i="2"/>
  <c r="T947" i="2"/>
  <c r="N254" i="2"/>
  <c r="T1426" i="2"/>
  <c r="H2251" i="2"/>
  <c r="T1287" i="2"/>
  <c r="T1030" i="2"/>
  <c r="S286" i="2"/>
  <c r="N1609" i="2"/>
  <c r="G1624" i="2"/>
  <c r="P1426" i="2"/>
  <c r="A1009" i="2"/>
  <c r="O2171" i="2"/>
  <c r="H333" i="2"/>
  <c r="Q1536" i="2"/>
  <c r="K789" i="2"/>
  <c r="E2140" i="2"/>
  <c r="N2083" i="2"/>
  <c r="E120" i="2"/>
  <c r="F2140" i="2"/>
  <c r="F120" i="2"/>
  <c r="C2083" i="2"/>
  <c r="H1862" i="2"/>
  <c r="H789" i="2"/>
  <c r="J2068" i="2"/>
  <c r="H2083" i="2"/>
  <c r="J2083" i="2"/>
  <c r="N2068" i="2"/>
  <c r="O2083" i="2"/>
  <c r="M120" i="2"/>
  <c r="N1044" i="2"/>
  <c r="E178" i="2"/>
  <c r="C120" i="2"/>
  <c r="J120" i="2"/>
  <c r="S178" i="2"/>
  <c r="J1389" i="2"/>
  <c r="T2068" i="2"/>
  <c r="C1536" i="2"/>
  <c r="T789" i="2"/>
  <c r="N1536" i="2"/>
  <c r="C2140" i="2"/>
  <c r="T120" i="2"/>
  <c r="D1536" i="2"/>
  <c r="A1044" i="2"/>
  <c r="Q178" i="2"/>
  <c r="P1862" i="2"/>
  <c r="J789" i="2"/>
  <c r="S120" i="2"/>
  <c r="E1044" i="2"/>
  <c r="F1389" i="2"/>
  <c r="F1044" i="2"/>
  <c r="J1862" i="2"/>
  <c r="D2068" i="2"/>
  <c r="G1389" i="2"/>
  <c r="O178" i="2"/>
  <c r="E1536" i="2"/>
  <c r="G1862" i="2"/>
  <c r="M2068" i="2"/>
  <c r="M1536" i="2"/>
  <c r="O789" i="2"/>
  <c r="R1536" i="2"/>
  <c r="R2083" i="2"/>
  <c r="J2140" i="2"/>
  <c r="P789" i="2"/>
  <c r="T2083" i="2"/>
  <c r="N1862" i="2"/>
  <c r="E2083" i="2"/>
  <c r="H1044" i="2"/>
  <c r="A1862" i="2"/>
  <c r="P1536" i="2"/>
  <c r="C178" i="2"/>
  <c r="P2140" i="2"/>
  <c r="N2140" i="2"/>
  <c r="R1389" i="2"/>
  <c r="P2068" i="2"/>
  <c r="G2140" i="2"/>
  <c r="H1536" i="2"/>
  <c r="S2140" i="2"/>
  <c r="R1862" i="2"/>
  <c r="O1536" i="2"/>
  <c r="A2140" i="2"/>
  <c r="J178" i="2"/>
  <c r="F789" i="2"/>
  <c r="K2068" i="2"/>
  <c r="O1044" i="2"/>
  <c r="G178" i="2"/>
  <c r="G1536" i="2"/>
  <c r="D2140" i="2"/>
  <c r="T1389" i="2"/>
  <c r="R178" i="2"/>
  <c r="P2083" i="2"/>
  <c r="R789" i="2"/>
  <c r="K1389" i="2"/>
  <c r="Q789" i="2"/>
  <c r="G789" i="2"/>
  <c r="D2083" i="2"/>
  <c r="R2068" i="2"/>
  <c r="A1389" i="2"/>
  <c r="H2140" i="2"/>
  <c r="N120" i="2"/>
  <c r="Q120" i="2"/>
  <c r="Q1389" i="2"/>
  <c r="D789" i="2"/>
  <c r="T1536" i="2"/>
  <c r="K1044" i="2"/>
  <c r="K2083" i="2"/>
  <c r="A2083" i="2"/>
  <c r="S2083" i="2"/>
  <c r="F178" i="2"/>
  <c r="M1044" i="2"/>
  <c r="M2140" i="2"/>
  <c r="S1389" i="2"/>
  <c r="O1862" i="2"/>
  <c r="H2068" i="2"/>
  <c r="J1536" i="2"/>
  <c r="O120" i="2"/>
  <c r="O2140" i="2"/>
  <c r="Q1862" i="2"/>
  <c r="H1389" i="2"/>
  <c r="N178" i="2"/>
  <c r="K178" i="2"/>
  <c r="C1862" i="2"/>
  <c r="F1862" i="2"/>
  <c r="F2068" i="2"/>
  <c r="D1044" i="2"/>
  <c r="C1389" i="2"/>
  <c r="Q1044" i="2"/>
  <c r="D120" i="2"/>
  <c r="A178" i="2"/>
  <c r="C2068" i="2"/>
  <c r="A2068" i="2"/>
  <c r="M1862" i="2"/>
  <c r="R1044" i="2"/>
  <c r="T2140" i="2"/>
  <c r="E1389" i="2"/>
  <c r="E1862" i="2"/>
  <c r="Q2140" i="2"/>
  <c r="A1536" i="2"/>
  <c r="P178" i="2"/>
  <c r="K1862" i="2"/>
  <c r="R120" i="2"/>
  <c r="S1862" i="2"/>
  <c r="O1389" i="2"/>
  <c r="M789" i="2"/>
  <c r="S2068" i="2"/>
  <c r="S1044" i="2"/>
  <c r="K1536" i="2"/>
  <c r="R2140" i="2"/>
  <c r="H178" i="2"/>
  <c r="Q2068" i="2"/>
  <c r="E2068" i="2"/>
  <c r="N1389" i="2"/>
  <c r="K120" i="2"/>
  <c r="C789" i="2"/>
  <c r="H120" i="2"/>
  <c r="S789" i="2"/>
  <c r="C1044" i="2"/>
  <c r="P120" i="2"/>
  <c r="S1536" i="2"/>
  <c r="M1389" i="2"/>
  <c r="D1389" i="2"/>
  <c r="T178" i="2"/>
  <c r="G2083" i="2"/>
  <c r="G2068" i="2"/>
  <c r="D178" i="2"/>
  <c r="T1044" i="2"/>
  <c r="A789" i="2"/>
  <c r="G1044" i="2"/>
  <c r="N789" i="2"/>
  <c r="Q2083" i="2"/>
  <c r="D1862" i="2"/>
  <c r="G120" i="2"/>
  <c r="F2083" i="2"/>
  <c r="J1044" i="2"/>
  <c r="O2068" i="2"/>
  <c r="M178" i="2"/>
  <c r="M2083" i="2"/>
  <c r="K2140" i="2"/>
  <c r="A120" i="2"/>
  <c r="F1536" i="2"/>
  <c r="P1044" i="2"/>
  <c r="T1862" i="2"/>
  <c r="E789" i="2"/>
  <c r="P1389" i="2"/>
  <c r="P1926" i="2"/>
  <c r="S2102" i="2"/>
  <c r="P1212" i="2"/>
  <c r="M1926" i="2"/>
  <c r="R1336" i="2"/>
  <c r="T1349" i="2"/>
  <c r="H2102" i="2"/>
  <c r="G1336" i="2"/>
  <c r="A1336" i="2"/>
  <c r="G1349" i="2"/>
  <c r="K2198" i="2"/>
  <c r="K1336" i="2"/>
  <c r="D639" i="2"/>
  <c r="J1212" i="2"/>
  <c r="K717" i="2"/>
  <c r="C1336" i="2"/>
  <c r="O717" i="2"/>
  <c r="G2198" i="2"/>
  <c r="H1926" i="2"/>
  <c r="A2198" i="2"/>
  <c r="G1431" i="2"/>
  <c r="E2198" i="2"/>
  <c r="N2041" i="2"/>
  <c r="D1336" i="2"/>
  <c r="N1336" i="2"/>
  <c r="E1926" i="2"/>
  <c r="O1212" i="2"/>
  <c r="C717" i="2"/>
  <c r="G1212" i="2"/>
  <c r="Q2102" i="2"/>
  <c r="R1431" i="2"/>
  <c r="S1926" i="2"/>
  <c r="K639" i="2"/>
  <c r="K2102" i="2"/>
  <c r="M2041" i="2"/>
  <c r="D1431" i="2"/>
  <c r="E1336" i="2"/>
  <c r="R717" i="2"/>
  <c r="A717" i="2"/>
  <c r="Q1926" i="2"/>
  <c r="Q1349" i="2"/>
  <c r="Q1431" i="2"/>
  <c r="Q1336" i="2"/>
  <c r="F2198" i="2"/>
  <c r="A1212" i="2"/>
  <c r="F2102" i="2"/>
  <c r="R1212" i="2"/>
  <c r="S639" i="2"/>
  <c r="J2102" i="2"/>
  <c r="R1349" i="2"/>
  <c r="N2102" i="2"/>
  <c r="J639" i="2"/>
  <c r="M2198" i="2"/>
  <c r="K1212" i="2"/>
  <c r="A639" i="2"/>
  <c r="F1336" i="2"/>
  <c r="M717" i="2"/>
  <c r="R2041" i="2"/>
  <c r="S2041" i="2"/>
  <c r="C1212" i="2"/>
  <c r="S2198" i="2"/>
  <c r="S1431" i="2"/>
  <c r="T1926" i="2"/>
  <c r="D1212" i="2"/>
  <c r="C1431" i="2"/>
  <c r="D1349" i="2"/>
  <c r="T717" i="2"/>
  <c r="H1349" i="2"/>
  <c r="N2198" i="2"/>
  <c r="D2102" i="2"/>
  <c r="F717" i="2"/>
  <c r="T2102" i="2"/>
  <c r="D1926" i="2"/>
  <c r="P2198" i="2"/>
  <c r="F639" i="2"/>
  <c r="M1349" i="2"/>
  <c r="A2102" i="2"/>
  <c r="S1212" i="2"/>
  <c r="O2198" i="2"/>
  <c r="G2102" i="2"/>
  <c r="N1926" i="2"/>
  <c r="Q1212" i="2"/>
  <c r="Q639" i="2"/>
  <c r="Q717" i="2"/>
  <c r="T1431" i="2"/>
  <c r="O639" i="2"/>
  <c r="J1336" i="2"/>
  <c r="D2041" i="2"/>
  <c r="O2102" i="2"/>
  <c r="J1926" i="2"/>
  <c r="C2041" i="2"/>
  <c r="O1926" i="2"/>
  <c r="H1336" i="2"/>
  <c r="E1431" i="2"/>
  <c r="T1212" i="2"/>
  <c r="C2102" i="2"/>
  <c r="R2198" i="2"/>
  <c r="D2198" i="2"/>
  <c r="A1349" i="2"/>
  <c r="T2041" i="2"/>
  <c r="P1349" i="2"/>
  <c r="K1349" i="2"/>
  <c r="M639" i="2"/>
  <c r="R1926" i="2"/>
  <c r="O1336" i="2"/>
  <c r="N717" i="2"/>
  <c r="F1926" i="2"/>
  <c r="Q2041" i="2"/>
  <c r="M1431" i="2"/>
  <c r="N639" i="2"/>
  <c r="O1431" i="2"/>
  <c r="T639" i="2"/>
  <c r="P1336" i="2"/>
  <c r="J1349" i="2"/>
  <c r="J1431" i="2"/>
  <c r="A2041" i="2"/>
  <c r="G717" i="2"/>
  <c r="E639" i="2"/>
  <c r="G1926" i="2"/>
  <c r="R2102" i="2"/>
  <c r="C1349" i="2"/>
  <c r="C1926" i="2"/>
  <c r="C639" i="2"/>
  <c r="P639" i="2"/>
  <c r="K1926" i="2"/>
  <c r="C2198" i="2"/>
  <c r="O2041" i="2"/>
  <c r="Q2198" i="2"/>
  <c r="K1431" i="2"/>
  <c r="E717" i="2"/>
  <c r="F1349" i="2"/>
  <c r="J2041" i="2"/>
  <c r="G2041" i="2"/>
  <c r="A1431" i="2"/>
  <c r="M2102" i="2"/>
  <c r="N1349" i="2"/>
  <c r="R639" i="2"/>
  <c r="T2198" i="2"/>
  <c r="P717" i="2"/>
  <c r="F1212" i="2"/>
  <c r="O1349" i="2"/>
  <c r="S1336" i="2"/>
  <c r="E2041" i="2"/>
  <c r="H717" i="2"/>
  <c r="H2198" i="2"/>
  <c r="F1431" i="2"/>
  <c r="D717" i="2"/>
  <c r="H2041" i="2"/>
  <c r="E2102" i="2"/>
  <c r="S1349" i="2"/>
  <c r="M1336" i="2"/>
  <c r="E1212" i="2"/>
  <c r="M1212" i="2"/>
  <c r="N1431" i="2"/>
  <c r="J717" i="2"/>
  <c r="H1212" i="2"/>
  <c r="P1431" i="2"/>
  <c r="F2041" i="2"/>
  <c r="P2041" i="2"/>
  <c r="H639" i="2"/>
  <c r="P2102" i="2"/>
  <c r="A1926" i="2"/>
  <c r="E1349" i="2"/>
  <c r="K2041" i="2"/>
  <c r="T1336" i="2"/>
  <c r="N1212" i="2"/>
  <c r="J2198" i="2"/>
  <c r="S717" i="2"/>
  <c r="G639" i="2"/>
  <c r="H1431" i="2"/>
  <c r="M1256" i="2"/>
  <c r="A222" i="2"/>
  <c r="A555" i="2"/>
  <c r="T555" i="2"/>
  <c r="H412" i="2"/>
  <c r="N656" i="2"/>
  <c r="R348" i="2"/>
  <c r="Q555" i="2"/>
  <c r="H555" i="2"/>
  <c r="K348" i="2"/>
  <c r="C1304" i="2"/>
  <c r="G608" i="2"/>
  <c r="A1304" i="2"/>
  <c r="E412" i="2"/>
  <c r="N1256" i="2"/>
  <c r="G222" i="2"/>
  <c r="O555" i="2"/>
  <c r="P1256" i="2"/>
  <c r="F1610" i="2"/>
  <c r="F656" i="2"/>
  <c r="C1610" i="2"/>
  <c r="J1304" i="2"/>
  <c r="H437" i="2"/>
  <c r="S222" i="2"/>
  <c r="P1304" i="2"/>
  <c r="T412" i="2"/>
  <c r="N222" i="2"/>
  <c r="J656" i="2"/>
  <c r="N555" i="2"/>
  <c r="G348" i="2"/>
  <c r="J1256" i="2"/>
  <c r="C348" i="2"/>
  <c r="K656" i="2"/>
  <c r="F608" i="2"/>
  <c r="T348" i="2"/>
  <c r="R555" i="2"/>
  <c r="T1304" i="2"/>
  <c r="D608" i="2"/>
  <c r="T1610" i="2"/>
  <c r="N348" i="2"/>
  <c r="D412" i="2"/>
  <c r="D1304" i="2"/>
  <c r="P608" i="2"/>
  <c r="K1610" i="2"/>
  <c r="M412" i="2"/>
  <c r="F437" i="2"/>
  <c r="M555" i="2"/>
  <c r="D348" i="2"/>
  <c r="K1304" i="2"/>
  <c r="F412" i="2"/>
  <c r="E348" i="2"/>
  <c r="J222" i="2"/>
  <c r="N608" i="2"/>
  <c r="E608" i="2"/>
  <c r="R437" i="2"/>
  <c r="P222" i="2"/>
  <c r="F1304" i="2"/>
  <c r="Q1256" i="2"/>
  <c r="H1304" i="2"/>
  <c r="K1256" i="2"/>
  <c r="A348" i="2"/>
  <c r="E656" i="2"/>
  <c r="P555" i="2"/>
  <c r="Q608" i="2"/>
  <c r="C437" i="2"/>
  <c r="C412" i="2"/>
  <c r="E1610" i="2"/>
  <c r="G656" i="2"/>
  <c r="G1304" i="2"/>
  <c r="P412" i="2"/>
  <c r="G555" i="2"/>
  <c r="A608" i="2"/>
  <c r="S1610" i="2"/>
  <c r="S656" i="2"/>
  <c r="D656" i="2"/>
  <c r="J1610" i="2"/>
  <c r="Q1610" i="2"/>
  <c r="G437" i="2"/>
  <c r="A437" i="2"/>
  <c r="O1256" i="2"/>
  <c r="J348" i="2"/>
  <c r="R222" i="2"/>
  <c r="N437" i="2"/>
  <c r="E1256" i="2"/>
  <c r="Q1304" i="2"/>
  <c r="M348" i="2"/>
  <c r="O1610" i="2"/>
  <c r="S412" i="2"/>
  <c r="S437" i="2"/>
  <c r="C608" i="2"/>
  <c r="D1610" i="2"/>
  <c r="R412" i="2"/>
  <c r="M222" i="2"/>
  <c r="O608" i="2"/>
  <c r="D222" i="2"/>
  <c r="E437" i="2"/>
  <c r="O412" i="2"/>
  <c r="M608" i="2"/>
  <c r="Q656" i="2"/>
  <c r="S348" i="2"/>
  <c r="Q348" i="2"/>
  <c r="T1256" i="2"/>
  <c r="C222" i="2"/>
  <c r="Q412" i="2"/>
  <c r="J608" i="2"/>
  <c r="F555" i="2"/>
  <c r="Q222" i="2"/>
  <c r="S1304" i="2"/>
  <c r="N1304" i="2"/>
  <c r="T656" i="2"/>
  <c r="T608" i="2"/>
  <c r="O437" i="2"/>
  <c r="R608" i="2"/>
  <c r="P348" i="2"/>
  <c r="G1256" i="2"/>
  <c r="S608" i="2"/>
  <c r="O222" i="2"/>
  <c r="D437" i="2"/>
  <c r="M656" i="2"/>
  <c r="R656" i="2"/>
  <c r="H656" i="2"/>
  <c r="G1610" i="2"/>
  <c r="K412" i="2"/>
  <c r="P437" i="2"/>
  <c r="K437" i="2"/>
  <c r="F1256" i="2"/>
  <c r="M1610" i="2"/>
  <c r="Q437" i="2"/>
  <c r="C1256" i="2"/>
  <c r="H1610" i="2"/>
  <c r="R1610" i="2"/>
  <c r="F222" i="2"/>
  <c r="D555" i="2"/>
  <c r="P1610" i="2"/>
  <c r="J555" i="2"/>
  <c r="E555" i="2"/>
  <c r="K222" i="2"/>
  <c r="R1256" i="2"/>
  <c r="K608" i="2"/>
  <c r="H222" i="2"/>
  <c r="H348" i="2"/>
  <c r="D1256" i="2"/>
  <c r="A656" i="2"/>
  <c r="C656" i="2"/>
  <c r="M1304" i="2"/>
  <c r="M437" i="2"/>
  <c r="C555" i="2"/>
  <c r="R1304" i="2"/>
  <c r="S1256" i="2"/>
  <c r="P656" i="2"/>
  <c r="O348" i="2"/>
  <c r="A412" i="2"/>
  <c r="J412" i="2"/>
  <c r="N412" i="2"/>
  <c r="T437" i="2"/>
  <c r="O1304" i="2"/>
  <c r="A1256" i="2"/>
  <c r="A1610" i="2"/>
  <c r="K555" i="2"/>
  <c r="T222" i="2"/>
  <c r="E1304" i="2"/>
  <c r="N1610" i="2"/>
  <c r="H1256" i="2"/>
  <c r="S555" i="2"/>
  <c r="H608" i="2"/>
  <c r="E222" i="2"/>
  <c r="G412" i="2"/>
  <c r="F348" i="2"/>
  <c r="O656" i="2"/>
  <c r="J437" i="2"/>
  <c r="F353" i="2"/>
  <c r="E1453" i="2"/>
  <c r="C2192" i="2"/>
  <c r="R1499" i="2"/>
  <c r="T447" i="2"/>
  <c r="E353" i="2"/>
  <c r="E1204" i="2"/>
  <c r="T1831" i="2"/>
  <c r="A1351" i="2"/>
  <c r="E2109" i="2"/>
  <c r="F1410" i="2"/>
  <c r="H1940" i="2"/>
  <c r="K2192" i="2"/>
  <c r="C1496" i="2"/>
  <c r="D1064" i="2"/>
  <c r="N1564" i="2"/>
  <c r="N2109" i="2"/>
  <c r="R1564" i="2"/>
  <c r="D1564" i="2"/>
  <c r="A1940" i="2"/>
  <c r="M1351" i="2"/>
  <c r="E251" i="2"/>
  <c r="E1707" i="2"/>
  <c r="G1496" i="2"/>
  <c r="G1104" i="2"/>
  <c r="M1064" i="2"/>
  <c r="H1496" i="2"/>
  <c r="S1831" i="2"/>
  <c r="C353" i="2"/>
  <c r="H815" i="2"/>
  <c r="D1496" i="2"/>
  <c r="R2044" i="2"/>
  <c r="K1564" i="2"/>
  <c r="O1564" i="2"/>
  <c r="A1410" i="2"/>
  <c r="A82" i="2"/>
  <c r="H1392" i="2"/>
  <c r="T441" i="2"/>
  <c r="K353" i="2"/>
  <c r="S1707" i="2"/>
  <c r="C82" i="2"/>
  <c r="D1351" i="2"/>
  <c r="E1831" i="2"/>
  <c r="M353" i="2"/>
  <c r="F468" i="2"/>
  <c r="A1204" i="2"/>
  <c r="E441" i="2"/>
  <c r="F282" i="2"/>
  <c r="C2087" i="2"/>
  <c r="N441" i="2"/>
  <c r="R1496" i="2"/>
  <c r="O1831" i="2"/>
  <c r="O1707" i="2"/>
  <c r="F1564" i="2"/>
  <c r="A1558" i="2"/>
  <c r="S447" i="2"/>
  <c r="F1940" i="2"/>
  <c r="M1204" i="2"/>
  <c r="R1392" i="2"/>
  <c r="G231" i="2"/>
  <c r="H353" i="2"/>
  <c r="K1104" i="2"/>
  <c r="N231" i="2"/>
  <c r="E906" i="2"/>
  <c r="D2004" i="2"/>
  <c r="E2087" i="2"/>
  <c r="J1453" i="2"/>
  <c r="C941" i="2"/>
  <c r="A2004" i="2"/>
  <c r="H1558" i="2"/>
  <c r="R441" i="2"/>
  <c r="C231" i="2"/>
  <c r="R1104" i="2"/>
  <c r="S2044" i="2"/>
  <c r="N1410" i="2"/>
  <c r="T2004" i="2"/>
  <c r="G1707" i="2"/>
  <c r="T906" i="2"/>
  <c r="F1558" i="2"/>
  <c r="Q2087" i="2"/>
  <c r="A231" i="2"/>
  <c r="H468" i="2"/>
  <c r="E1940" i="2"/>
  <c r="P2192" i="2"/>
  <c r="T1940" i="2"/>
  <c r="E231" i="2"/>
  <c r="R941" i="2"/>
  <c r="O906" i="2"/>
  <c r="E941" i="2"/>
  <c r="D1453" i="2"/>
  <c r="G447" i="2"/>
  <c r="G1499" i="2"/>
  <c r="O815" i="2"/>
  <c r="E1564" i="2"/>
  <c r="D906" i="2"/>
  <c r="F906" i="2"/>
  <c r="A468" i="2"/>
  <c r="M1496" i="2"/>
  <c r="N1831" i="2"/>
  <c r="C1410" i="2"/>
  <c r="T1392" i="2"/>
  <c r="N353" i="2"/>
  <c r="D1707" i="2"/>
  <c r="H1351" i="2"/>
  <c r="M941" i="2"/>
  <c r="K1499" i="2"/>
  <c r="C815" i="2"/>
  <c r="Q353" i="2"/>
  <c r="P251" i="2"/>
  <c r="T2087" i="2"/>
  <c r="S441" i="2"/>
  <c r="T1496" i="2"/>
  <c r="O1351" i="2"/>
  <c r="K1707" i="2"/>
  <c r="F2087" i="2"/>
  <c r="G282" i="2"/>
  <c r="E815" i="2"/>
  <c r="C2004" i="2"/>
  <c r="A447" i="2"/>
  <c r="O353" i="2"/>
  <c r="A441" i="2"/>
  <c r="C1499" i="2"/>
  <c r="P468" i="2"/>
  <c r="J1499" i="2"/>
  <c r="A2192" i="2"/>
  <c r="N815" i="2"/>
  <c r="P353" i="2"/>
  <c r="O1392" i="2"/>
  <c r="F1453" i="2"/>
  <c r="J2087" i="2"/>
  <c r="N2192" i="2"/>
  <c r="P1204" i="2"/>
  <c r="T1453" i="2"/>
  <c r="R231" i="2"/>
  <c r="A1496" i="2"/>
  <c r="M1410" i="2"/>
  <c r="P941" i="2"/>
  <c r="E2192" i="2"/>
  <c r="J1351" i="2"/>
  <c r="H906" i="2"/>
  <c r="J1496" i="2"/>
  <c r="P815" i="2"/>
  <c r="E1558" i="2"/>
  <c r="K1204" i="2"/>
  <c r="K2004" i="2"/>
  <c r="G1392" i="2"/>
  <c r="J1707" i="2"/>
  <c r="O231" i="2"/>
  <c r="R1940" i="2"/>
  <c r="Q1831" i="2"/>
  <c r="C1453" i="2"/>
  <c r="S1204" i="2"/>
  <c r="Q1499" i="2"/>
  <c r="N2044" i="2"/>
  <c r="P1564" i="2"/>
  <c r="Q906" i="2"/>
  <c r="P1940" i="2"/>
  <c r="O2004" i="2"/>
  <c r="R447" i="2"/>
  <c r="M282" i="2"/>
  <c r="J1831" i="2"/>
  <c r="D1831" i="2"/>
  <c r="S815" i="2"/>
  <c r="K468" i="2"/>
  <c r="N1496" i="2"/>
  <c r="N2004" i="2"/>
  <c r="D1104" i="2"/>
  <c r="T941" i="2"/>
  <c r="K1351" i="2"/>
  <c r="J2004" i="2"/>
  <c r="R468" i="2"/>
  <c r="R1558" i="2"/>
  <c r="F1392" i="2"/>
  <c r="Q2044" i="2"/>
  <c r="C1558" i="2"/>
  <c r="J1064" i="2"/>
  <c r="M447" i="2"/>
  <c r="D82" i="2"/>
  <c r="F1499" i="2"/>
  <c r="O1496" i="2"/>
  <c r="S1558" i="2"/>
  <c r="M1392" i="2"/>
  <c r="Q447" i="2"/>
  <c r="J941" i="2"/>
  <c r="E2004" i="2"/>
  <c r="J2109" i="2"/>
  <c r="C1351" i="2"/>
  <c r="A1707" i="2"/>
  <c r="H2109" i="2"/>
  <c r="D251" i="2"/>
  <c r="O1204" i="2"/>
  <c r="F251" i="2"/>
  <c r="O1410" i="2"/>
  <c r="J2044" i="2"/>
  <c r="R1204" i="2"/>
  <c r="K2109" i="2"/>
  <c r="Q1104" i="2"/>
  <c r="O282" i="2"/>
  <c r="E447" i="2"/>
  <c r="N282" i="2"/>
  <c r="S1064" i="2"/>
  <c r="C441" i="2"/>
  <c r="A1453" i="2"/>
  <c r="T82" i="2"/>
  <c r="O1558" i="2"/>
  <c r="D2044" i="2"/>
  <c r="Q1410" i="2"/>
  <c r="F231" i="2"/>
  <c r="P906" i="2"/>
  <c r="Q1707" i="2"/>
  <c r="S1564" i="2"/>
  <c r="R2087" i="2"/>
  <c r="K1831" i="2"/>
  <c r="T2044" i="2"/>
  <c r="H447" i="2"/>
  <c r="A1831" i="2"/>
  <c r="C1831" i="2"/>
  <c r="Q815" i="2"/>
  <c r="A2109" i="2"/>
  <c r="E1392" i="2"/>
  <c r="S82" i="2"/>
  <c r="H1499" i="2"/>
  <c r="C906" i="2"/>
  <c r="G1410" i="2"/>
  <c r="M815" i="2"/>
  <c r="P1707" i="2"/>
  <c r="K1940" i="2"/>
  <c r="Q2004" i="2"/>
  <c r="T1564" i="2"/>
  <c r="D1558" i="2"/>
  <c r="A815" i="2"/>
  <c r="N2087" i="2"/>
  <c r="N1940" i="2"/>
  <c r="F82" i="2"/>
  <c r="A2087" i="2"/>
  <c r="C251" i="2"/>
  <c r="J1564" i="2"/>
  <c r="P441" i="2"/>
  <c r="G1831" i="2"/>
  <c r="E1351" i="2"/>
  <c r="O468" i="2"/>
  <c r="C468" i="2"/>
  <c r="J251" i="2"/>
  <c r="K1558" i="2"/>
  <c r="R815" i="2"/>
  <c r="S2192" i="2"/>
  <c r="S468" i="2"/>
  <c r="G468" i="2"/>
  <c r="K1496" i="2"/>
  <c r="D2109" i="2"/>
  <c r="J282" i="2"/>
  <c r="H231" i="2"/>
  <c r="M2192" i="2"/>
  <c r="K441" i="2"/>
  <c r="O2044" i="2"/>
  <c r="M441" i="2"/>
  <c r="Q1351" i="2"/>
  <c r="H1453" i="2"/>
  <c r="J906" i="2"/>
  <c r="J468" i="2"/>
  <c r="O2087" i="2"/>
  <c r="Q1496" i="2"/>
  <c r="O441" i="2"/>
  <c r="H441" i="2"/>
  <c r="J231" i="2"/>
  <c r="D282" i="2"/>
  <c r="T1104" i="2"/>
  <c r="Q2109" i="2"/>
  <c r="M2004" i="2"/>
  <c r="G906" i="2"/>
  <c r="D1204" i="2"/>
  <c r="R353" i="2"/>
  <c r="S1104" i="2"/>
  <c r="Q468" i="2"/>
  <c r="M906" i="2"/>
  <c r="S2004" i="2"/>
  <c r="C1564" i="2"/>
  <c r="K1392" i="2"/>
  <c r="C447" i="2"/>
  <c r="A1104" i="2"/>
  <c r="D1940" i="2"/>
  <c r="Q2192" i="2"/>
  <c r="G251" i="2"/>
  <c r="S906" i="2"/>
  <c r="M1499" i="2"/>
  <c r="A2044" i="2"/>
  <c r="C1064" i="2"/>
  <c r="G441" i="2"/>
  <c r="K251" i="2"/>
  <c r="N82" i="2"/>
  <c r="S2087" i="2"/>
  <c r="C2044" i="2"/>
  <c r="D1392" i="2"/>
  <c r="N468" i="2"/>
  <c r="H282" i="2"/>
  <c r="T2192" i="2"/>
  <c r="O251" i="2"/>
  <c r="K1410" i="2"/>
  <c r="P231" i="2"/>
  <c r="K82" i="2"/>
  <c r="S2109" i="2"/>
  <c r="Q282" i="2"/>
  <c r="A251" i="2"/>
  <c r="M1558" i="2"/>
  <c r="T1499" i="2"/>
  <c r="S1410" i="2"/>
  <c r="R1453" i="2"/>
  <c r="J1410" i="2"/>
  <c r="G815" i="2"/>
  <c r="E2044" i="2"/>
  <c r="R251" i="2"/>
  <c r="J82" i="2"/>
  <c r="A1392" i="2"/>
  <c r="H2087" i="2"/>
  <c r="O447" i="2"/>
  <c r="P2004" i="2"/>
  <c r="G1453" i="2"/>
  <c r="S1351" i="2"/>
  <c r="O1940" i="2"/>
  <c r="K815" i="2"/>
  <c r="Q1204" i="2"/>
  <c r="N906" i="2"/>
  <c r="F1707" i="2"/>
  <c r="K906" i="2"/>
  <c r="N1558" i="2"/>
  <c r="Q1453" i="2"/>
  <c r="K1453" i="2"/>
  <c r="C282" i="2"/>
  <c r="N1064" i="2"/>
  <c r="K2087" i="2"/>
  <c r="O82" i="2"/>
  <c r="R1351" i="2"/>
  <c r="S1499" i="2"/>
  <c r="K447" i="2"/>
  <c r="O941" i="2"/>
  <c r="R906" i="2"/>
  <c r="N1499" i="2"/>
  <c r="N1204" i="2"/>
  <c r="J1558" i="2"/>
  <c r="H1831" i="2"/>
  <c r="N251" i="2"/>
  <c r="R1064" i="2"/>
  <c r="T231" i="2"/>
  <c r="H2192" i="2"/>
  <c r="M1104" i="2"/>
  <c r="H941" i="2"/>
  <c r="C1707" i="2"/>
  <c r="G2192" i="2"/>
  <c r="F1204" i="2"/>
  <c r="S1496" i="2"/>
  <c r="P1453" i="2"/>
  <c r="F815" i="2"/>
  <c r="J353" i="2"/>
  <c r="A941" i="2"/>
  <c r="H251" i="2"/>
  <c r="E1499" i="2"/>
  <c r="Q941" i="2"/>
  <c r="A1064" i="2"/>
  <c r="S251" i="2"/>
  <c r="R1707" i="2"/>
  <c r="J441" i="2"/>
  <c r="T1558" i="2"/>
  <c r="F2109" i="2"/>
  <c r="R282" i="2"/>
  <c r="P82" i="2"/>
  <c r="G1351" i="2"/>
  <c r="D231" i="2"/>
  <c r="H1064" i="2"/>
  <c r="S1392" i="2"/>
  <c r="S1453" i="2"/>
  <c r="F941" i="2"/>
  <c r="P282" i="2"/>
  <c r="P1104" i="2"/>
  <c r="O2109" i="2"/>
  <c r="T282" i="2"/>
  <c r="D468" i="2"/>
  <c r="J2192" i="2"/>
  <c r="F2004" i="2"/>
  <c r="G1204" i="2"/>
  <c r="E1104" i="2"/>
  <c r="J815" i="2"/>
  <c r="J447" i="2"/>
  <c r="M231" i="2"/>
  <c r="N1453" i="2"/>
  <c r="D941" i="2"/>
  <c r="K941" i="2"/>
  <c r="P1351" i="2"/>
  <c r="F1064" i="2"/>
  <c r="D2192" i="2"/>
  <c r="R2192" i="2"/>
  <c r="O1499" i="2"/>
  <c r="C1104" i="2"/>
  <c r="J1392" i="2"/>
  <c r="C1392" i="2"/>
  <c r="Q1940" i="2"/>
  <c r="T251" i="2"/>
  <c r="J1104" i="2"/>
  <c r="M2087" i="2"/>
  <c r="E82" i="2"/>
  <c r="R1831" i="2"/>
  <c r="Q82" i="2"/>
  <c r="H1104" i="2"/>
  <c r="Q1564" i="2"/>
  <c r="Q1392" i="2"/>
  <c r="S231" i="2"/>
  <c r="C1204" i="2"/>
  <c r="G353" i="2"/>
  <c r="A1564" i="2"/>
  <c r="G1940" i="2"/>
  <c r="G1064" i="2"/>
  <c r="H1410" i="2"/>
  <c r="H82" i="2"/>
  <c r="F2044" i="2"/>
  <c r="T1410" i="2"/>
  <c r="T1204" i="2"/>
  <c r="D441" i="2"/>
  <c r="P2044" i="2"/>
  <c r="T1064" i="2"/>
  <c r="M2109" i="2"/>
  <c r="G1558" i="2"/>
  <c r="D353" i="2"/>
  <c r="K1064" i="2"/>
  <c r="C2109" i="2"/>
  <c r="G1564" i="2"/>
  <c r="E1496" i="2"/>
  <c r="G2109" i="2"/>
  <c r="K282" i="2"/>
  <c r="T2109" i="2"/>
  <c r="H2044" i="2"/>
  <c r="T1351" i="2"/>
  <c r="S941" i="2"/>
  <c r="K2044" i="2"/>
  <c r="D1410" i="2"/>
  <c r="S1940" i="2"/>
  <c r="T353" i="2"/>
  <c r="M1831" i="2"/>
  <c r="A353" i="2"/>
  <c r="O1064" i="2"/>
  <c r="P1499" i="2"/>
  <c r="G82" i="2"/>
  <c r="P1064" i="2"/>
  <c r="P447" i="2"/>
  <c r="N941" i="2"/>
  <c r="P2087" i="2"/>
  <c r="H1204" i="2"/>
  <c r="M2044" i="2"/>
  <c r="F441" i="2"/>
  <c r="A282" i="2"/>
  <c r="N447" i="2"/>
  <c r="M1453" i="2"/>
  <c r="D2087" i="2"/>
  <c r="F1831" i="2"/>
  <c r="O2192" i="2"/>
  <c r="T468" i="2"/>
  <c r="Q1558" i="2"/>
  <c r="J1940" i="2"/>
  <c r="N1707" i="2"/>
  <c r="R2004" i="2"/>
  <c r="A1499" i="2"/>
  <c r="Q231" i="2"/>
  <c r="M468" i="2"/>
  <c r="T815" i="2"/>
  <c r="R2109" i="2"/>
  <c r="Q251" i="2"/>
  <c r="D447" i="2"/>
  <c r="M1707" i="2"/>
  <c r="N1351" i="2"/>
  <c r="P1410" i="2"/>
  <c r="R1410" i="2"/>
  <c r="C1940" i="2"/>
  <c r="E1064" i="2"/>
  <c r="O1104" i="2"/>
  <c r="H2004" i="2"/>
  <c r="P1496" i="2"/>
  <c r="S282" i="2"/>
  <c r="N1104" i="2"/>
  <c r="H1564" i="2"/>
  <c r="M82" i="2"/>
  <c r="F447" i="2"/>
  <c r="A906" i="2"/>
  <c r="D815" i="2"/>
  <c r="R82" i="2"/>
  <c r="F1104" i="2"/>
  <c r="G2044" i="2"/>
  <c r="P2109" i="2"/>
  <c r="P1392" i="2"/>
  <c r="M1564" i="2"/>
  <c r="O1453" i="2"/>
  <c r="Q441" i="2"/>
  <c r="G2004" i="2"/>
  <c r="J1204" i="2"/>
  <c r="E468" i="2"/>
  <c r="G2087" i="2"/>
  <c r="N1392" i="2"/>
  <c r="E1410" i="2"/>
  <c r="P1558" i="2"/>
  <c r="S353" i="2"/>
  <c r="K231" i="2"/>
  <c r="G941" i="2"/>
  <c r="H1707" i="2"/>
  <c r="F1496" i="2"/>
  <c r="T1707" i="2"/>
  <c r="Q1064" i="2"/>
  <c r="P1831" i="2"/>
  <c r="F2192" i="2"/>
  <c r="E282" i="2"/>
  <c r="M251" i="2"/>
  <c r="F1351" i="2"/>
  <c r="M1940" i="2"/>
  <c r="D1499" i="2"/>
  <c r="Q1281" i="2"/>
  <c r="P2167" i="2"/>
  <c r="T1281" i="2"/>
  <c r="M17" i="2"/>
  <c r="M1045" i="2"/>
  <c r="H17" i="2"/>
  <c r="E321" i="2"/>
  <c r="J2167" i="2"/>
  <c r="T2110" i="2"/>
  <c r="N2110" i="2"/>
  <c r="M1264" i="2"/>
  <c r="N321" i="2"/>
  <c r="F1032" i="2"/>
  <c r="G1376" i="2"/>
  <c r="O2167" i="2"/>
  <c r="P1032" i="2"/>
  <c r="Q17" i="2"/>
  <c r="J321" i="2"/>
  <c r="O320" i="2"/>
  <c r="Q2110" i="2"/>
  <c r="O1264" i="2"/>
  <c r="A1045" i="2"/>
  <c r="H1264" i="2"/>
  <c r="D1281" i="2"/>
  <c r="G1243" i="2"/>
  <c r="S1032" i="2"/>
  <c r="K1281" i="2"/>
  <c r="G187" i="2"/>
  <c r="M609" i="2"/>
  <c r="R390" i="2"/>
  <c r="K17" i="2"/>
  <c r="A1281" i="2"/>
  <c r="P1045" i="2"/>
  <c r="K1562" i="2"/>
  <c r="M2167" i="2"/>
  <c r="O1032" i="2"/>
  <c r="F1223" i="2"/>
  <c r="O1223" i="2"/>
  <c r="K1032" i="2"/>
  <c r="G1842" i="2"/>
  <c r="E187" i="2"/>
  <c r="H1997" i="2"/>
  <c r="G17" i="2"/>
  <c r="D609" i="2"/>
  <c r="J1223" i="2"/>
  <c r="A2110" i="2"/>
  <c r="S17" i="2"/>
  <c r="S2167" i="2"/>
  <c r="T1562" i="2"/>
  <c r="S1997" i="2"/>
  <c r="P321" i="2"/>
  <c r="G2110" i="2"/>
  <c r="A1376" i="2"/>
  <c r="N1590" i="2"/>
  <c r="D1842" i="2"/>
  <c r="R966" i="2"/>
  <c r="D187" i="2"/>
  <c r="R1997" i="2"/>
  <c r="O1243" i="2"/>
  <c r="R1223" i="2"/>
  <c r="T2167" i="2"/>
  <c r="S1590" i="2"/>
  <c r="S1045" i="2"/>
  <c r="M1590" i="2"/>
  <c r="S1264" i="2"/>
  <c r="C390" i="2"/>
  <c r="A187" i="2"/>
  <c r="P1243" i="2"/>
  <c r="M1997" i="2"/>
  <c r="H2110" i="2"/>
  <c r="C321" i="2"/>
  <c r="R1264" i="2"/>
  <c r="O1281" i="2"/>
  <c r="N1243" i="2"/>
  <c r="E1243" i="2"/>
  <c r="G1264" i="2"/>
  <c r="S321" i="2"/>
  <c r="P2110" i="2"/>
  <c r="F1562" i="2"/>
  <c r="P187" i="2"/>
  <c r="H966" i="2"/>
  <c r="F2167" i="2"/>
  <c r="Q2167" i="2"/>
  <c r="S609" i="2"/>
  <c r="T320" i="2"/>
  <c r="N966" i="2"/>
  <c r="J1842" i="2"/>
  <c r="D1562" i="2"/>
  <c r="M966" i="2"/>
  <c r="P609" i="2"/>
  <c r="C1243" i="2"/>
  <c r="M1281" i="2"/>
  <c r="J1281" i="2"/>
  <c r="C1842" i="2"/>
  <c r="R1376" i="2"/>
  <c r="K1590" i="2"/>
  <c r="A1032" i="2"/>
  <c r="J390" i="2"/>
  <c r="N1562" i="2"/>
  <c r="C609" i="2"/>
  <c r="Q1032" i="2"/>
  <c r="C1045" i="2"/>
  <c r="E17" i="2"/>
  <c r="O1562" i="2"/>
  <c r="A966" i="2"/>
  <c r="J1243" i="2"/>
  <c r="T1590" i="2"/>
  <c r="S320" i="2"/>
  <c r="T1045" i="2"/>
  <c r="M321" i="2"/>
  <c r="D1590" i="2"/>
  <c r="H320" i="2"/>
  <c r="P17" i="2"/>
  <c r="Q320" i="2"/>
  <c r="F17" i="2"/>
  <c r="C1562" i="2"/>
  <c r="M1032" i="2"/>
  <c r="D1376" i="2"/>
  <c r="F320" i="2"/>
  <c r="P1842" i="2"/>
  <c r="A1223" i="2"/>
  <c r="P390" i="2"/>
  <c r="O2110" i="2"/>
  <c r="C1376" i="2"/>
  <c r="G1590" i="2"/>
  <c r="J17" i="2"/>
  <c r="D2167" i="2"/>
  <c r="K1223" i="2"/>
  <c r="Q609" i="2"/>
  <c r="J320" i="2"/>
  <c r="R320" i="2"/>
  <c r="O187" i="2"/>
  <c r="O321" i="2"/>
  <c r="T1032" i="2"/>
  <c r="E609" i="2"/>
  <c r="F1243" i="2"/>
  <c r="M1562" i="2"/>
  <c r="R321" i="2"/>
  <c r="K1243" i="2"/>
  <c r="C1223" i="2"/>
  <c r="D17" i="2"/>
  <c r="Q966" i="2"/>
  <c r="F1045" i="2"/>
  <c r="P1997" i="2"/>
  <c r="K321" i="2"/>
  <c r="Q1590" i="2"/>
  <c r="H321" i="2"/>
  <c r="S1243" i="2"/>
  <c r="F1376" i="2"/>
  <c r="C2110" i="2"/>
  <c r="C1264" i="2"/>
  <c r="P966" i="2"/>
  <c r="T1243" i="2"/>
  <c r="H1281" i="2"/>
  <c r="N390" i="2"/>
  <c r="C17" i="2"/>
  <c r="D1223" i="2"/>
  <c r="D966" i="2"/>
  <c r="G1032" i="2"/>
  <c r="R17" i="2"/>
  <c r="H1223" i="2"/>
  <c r="Q1223" i="2"/>
  <c r="E966" i="2"/>
  <c r="A1264" i="2"/>
  <c r="D2110" i="2"/>
  <c r="K609" i="2"/>
  <c r="N17" i="2"/>
  <c r="T1223" i="2"/>
  <c r="C320" i="2"/>
  <c r="F321" i="2"/>
  <c r="E1281" i="2"/>
  <c r="T966" i="2"/>
  <c r="M2110" i="2"/>
  <c r="P1562" i="2"/>
  <c r="K187" i="2"/>
  <c r="A390" i="2"/>
  <c r="H2167" i="2"/>
  <c r="A1997" i="2"/>
  <c r="Q1376" i="2"/>
  <c r="T187" i="2"/>
  <c r="D1997" i="2"/>
  <c r="E1032" i="2"/>
  <c r="A1842" i="2"/>
  <c r="K1264" i="2"/>
  <c r="M1376" i="2"/>
  <c r="R1243" i="2"/>
  <c r="S1223" i="2"/>
  <c r="H1032" i="2"/>
  <c r="J2110" i="2"/>
  <c r="N1045" i="2"/>
  <c r="S390" i="2"/>
  <c r="J1590" i="2"/>
  <c r="F609" i="2"/>
  <c r="R1281" i="2"/>
  <c r="M1842" i="2"/>
  <c r="N1376" i="2"/>
  <c r="C1281" i="2"/>
  <c r="N1842" i="2"/>
  <c r="A1590" i="2"/>
  <c r="T390" i="2"/>
  <c r="P1264" i="2"/>
  <c r="F1281" i="2"/>
  <c r="N320" i="2"/>
  <c r="Q390" i="2"/>
  <c r="H1842" i="2"/>
  <c r="J1376" i="2"/>
  <c r="J1032" i="2"/>
  <c r="H1376" i="2"/>
  <c r="R187" i="2"/>
  <c r="R2167" i="2"/>
  <c r="T321" i="2"/>
  <c r="O390" i="2"/>
  <c r="H1562" i="2"/>
  <c r="R1842" i="2"/>
  <c r="O1376" i="2"/>
  <c r="O1997" i="2"/>
  <c r="E1562" i="2"/>
  <c r="Q1264" i="2"/>
  <c r="G2167" i="2"/>
  <c r="C187" i="2"/>
  <c r="O1842" i="2"/>
  <c r="P1376" i="2"/>
  <c r="E320" i="2"/>
  <c r="E1842" i="2"/>
  <c r="M320" i="2"/>
  <c r="P1281" i="2"/>
  <c r="M1243" i="2"/>
  <c r="G390" i="2"/>
  <c r="N1223" i="2"/>
  <c r="C1590" i="2"/>
  <c r="F2110" i="2"/>
  <c r="G1997" i="2"/>
  <c r="D320" i="2"/>
  <c r="A1243" i="2"/>
  <c r="E2167" i="2"/>
  <c r="H1590" i="2"/>
  <c r="A609" i="2"/>
  <c r="Q1045" i="2"/>
  <c r="F1590" i="2"/>
  <c r="Q1562" i="2"/>
  <c r="C1032" i="2"/>
  <c r="M390" i="2"/>
  <c r="O17" i="2"/>
  <c r="E390" i="2"/>
  <c r="Q1842" i="2"/>
  <c r="H187" i="2"/>
  <c r="K1997" i="2"/>
  <c r="M187" i="2"/>
  <c r="T1264" i="2"/>
  <c r="A320" i="2"/>
  <c r="K2110" i="2"/>
  <c r="N1032" i="2"/>
  <c r="Q1243" i="2"/>
  <c r="F187" i="2"/>
  <c r="J187" i="2"/>
  <c r="S966" i="2"/>
  <c r="J1264" i="2"/>
  <c r="Q1997" i="2"/>
  <c r="D390" i="2"/>
  <c r="S2110" i="2"/>
  <c r="E1264" i="2"/>
  <c r="T1376" i="2"/>
  <c r="R1562" i="2"/>
  <c r="Q187" i="2"/>
  <c r="G609" i="2"/>
  <c r="N1997" i="2"/>
  <c r="A17" i="2"/>
  <c r="H609" i="2"/>
  <c r="D1243" i="2"/>
  <c r="F1264" i="2"/>
  <c r="R609" i="2"/>
  <c r="D1264" i="2"/>
  <c r="G1045" i="2"/>
  <c r="D1032" i="2"/>
  <c r="K1376" i="2"/>
  <c r="O966" i="2"/>
  <c r="N2167" i="2"/>
  <c r="T609" i="2"/>
  <c r="J1997" i="2"/>
  <c r="N609" i="2"/>
  <c r="K1045" i="2"/>
  <c r="S1281" i="2"/>
  <c r="K1842" i="2"/>
  <c r="H390" i="2"/>
  <c r="G320" i="2"/>
  <c r="A2167" i="2"/>
  <c r="S1562" i="2"/>
  <c r="G1562" i="2"/>
  <c r="Q321" i="2"/>
  <c r="R1590" i="2"/>
  <c r="G321" i="2"/>
  <c r="J1045" i="2"/>
  <c r="P320" i="2"/>
  <c r="K966" i="2"/>
  <c r="C966" i="2"/>
  <c r="D1045" i="2"/>
  <c r="M1223" i="2"/>
  <c r="H1045" i="2"/>
  <c r="E1997" i="2"/>
  <c r="T1997" i="2"/>
  <c r="N187" i="2"/>
  <c r="D321" i="2"/>
  <c r="F1997" i="2"/>
  <c r="S1842" i="2"/>
  <c r="E1045" i="2"/>
  <c r="E1376" i="2"/>
  <c r="F966" i="2"/>
  <c r="P1223" i="2"/>
  <c r="G1281" i="2"/>
  <c r="K390" i="2"/>
  <c r="G966" i="2"/>
  <c r="E1223" i="2"/>
  <c r="K2167" i="2"/>
  <c r="A1562" i="2"/>
  <c r="O1045" i="2"/>
  <c r="O1590" i="2"/>
  <c r="E1590" i="2"/>
  <c r="T1842" i="2"/>
  <c r="N1264" i="2"/>
  <c r="S1376" i="2"/>
  <c r="J1562" i="2"/>
  <c r="J966" i="2"/>
  <c r="C1997" i="2"/>
  <c r="P1590" i="2"/>
  <c r="K320" i="2"/>
  <c r="S187" i="2"/>
  <c r="C2167" i="2"/>
  <c r="R1032" i="2"/>
  <c r="J609" i="2"/>
  <c r="R2110" i="2"/>
  <c r="F1842" i="2"/>
  <c r="F390" i="2"/>
  <c r="H1243" i="2"/>
  <c r="E2110" i="2"/>
  <c r="T17" i="2"/>
  <c r="N1281" i="2"/>
  <c r="A321" i="2"/>
  <c r="O609" i="2"/>
  <c r="R1045" i="2"/>
  <c r="G1223" i="2"/>
  <c r="H512" i="2"/>
  <c r="H2188" i="2"/>
  <c r="P1719" i="2"/>
  <c r="H1650" i="2"/>
  <c r="F1619" i="2"/>
  <c r="D235" i="2"/>
  <c r="S1719" i="2"/>
  <c r="J1650" i="2"/>
  <c r="E1619" i="2"/>
  <c r="F1089" i="2"/>
  <c r="O1089" i="2"/>
  <c r="C2188" i="2"/>
  <c r="T1089" i="2"/>
  <c r="C1650" i="2"/>
  <c r="J1677" i="2"/>
  <c r="R1650" i="2"/>
  <c r="T512" i="2"/>
  <c r="S1619" i="2"/>
  <c r="D1650" i="2"/>
  <c r="K1719" i="2"/>
  <c r="D2188" i="2"/>
  <c r="E1089" i="2"/>
  <c r="C512" i="2"/>
  <c r="O235" i="2"/>
  <c r="T1524" i="2"/>
  <c r="Q1089" i="2"/>
  <c r="A79" i="2"/>
  <c r="M79" i="2"/>
  <c r="Q512" i="2"/>
  <c r="H79" i="2"/>
  <c r="N1677" i="2"/>
  <c r="J1089" i="2"/>
  <c r="A2188" i="2"/>
  <c r="H1524" i="2"/>
  <c r="N1524" i="2"/>
  <c r="A1524" i="2"/>
  <c r="F235" i="2"/>
  <c r="K1677" i="2"/>
  <c r="C235" i="2"/>
  <c r="D79" i="2"/>
  <c r="D1524" i="2"/>
  <c r="Q235" i="2"/>
  <c r="A1677" i="2"/>
  <c r="S1650" i="2"/>
  <c r="T79" i="2"/>
  <c r="P512" i="2"/>
  <c r="J79" i="2"/>
  <c r="A1719" i="2"/>
  <c r="G1089" i="2"/>
  <c r="N512" i="2"/>
  <c r="E2188" i="2"/>
  <c r="K1650" i="2"/>
  <c r="S2188" i="2"/>
  <c r="Q1524" i="2"/>
  <c r="J512" i="2"/>
  <c r="N1089" i="2"/>
  <c r="S1089" i="2"/>
  <c r="S79" i="2"/>
  <c r="N1650" i="2"/>
  <c r="T235" i="2"/>
  <c r="G1719" i="2"/>
  <c r="G1619" i="2"/>
  <c r="E1677" i="2"/>
  <c r="C1677" i="2"/>
  <c r="H235" i="2"/>
  <c r="K1089" i="2"/>
  <c r="E79" i="2"/>
  <c r="S1677" i="2"/>
  <c r="M1524" i="2"/>
  <c r="A1089" i="2"/>
  <c r="D1677" i="2"/>
  <c r="P1619" i="2"/>
  <c r="R512" i="2"/>
  <c r="G2188" i="2"/>
  <c r="F1650" i="2"/>
  <c r="R1089" i="2"/>
  <c r="P1089" i="2"/>
  <c r="J235" i="2"/>
  <c r="T1719" i="2"/>
  <c r="H1719" i="2"/>
  <c r="F512" i="2"/>
  <c r="N79" i="2"/>
  <c r="F79" i="2"/>
  <c r="T2188" i="2"/>
  <c r="K235" i="2"/>
  <c r="K2188" i="2"/>
  <c r="F1677" i="2"/>
  <c r="R79" i="2"/>
  <c r="M235" i="2"/>
  <c r="G1677" i="2"/>
  <c r="P235" i="2"/>
  <c r="R1619" i="2"/>
  <c r="E235" i="2"/>
  <c r="P79" i="2"/>
  <c r="A1619" i="2"/>
  <c r="S235" i="2"/>
  <c r="C1619" i="2"/>
  <c r="O512" i="2"/>
  <c r="C1719" i="2"/>
  <c r="F1524" i="2"/>
  <c r="C1089" i="2"/>
  <c r="O1719" i="2"/>
  <c r="R1677" i="2"/>
  <c r="P1677" i="2"/>
  <c r="O1677" i="2"/>
  <c r="O1619" i="2"/>
  <c r="H1089" i="2"/>
  <c r="T1619" i="2"/>
  <c r="E1524" i="2"/>
  <c r="A235" i="2"/>
  <c r="J2188" i="2"/>
  <c r="Q1677" i="2"/>
  <c r="A512" i="2"/>
  <c r="K512" i="2"/>
  <c r="D512" i="2"/>
  <c r="R1524" i="2"/>
  <c r="M1650" i="2"/>
  <c r="Q1650" i="2"/>
  <c r="J1524" i="2"/>
  <c r="P2188" i="2"/>
  <c r="N2188" i="2"/>
  <c r="M512" i="2"/>
  <c r="P1650" i="2"/>
  <c r="H1619" i="2"/>
  <c r="Q1719" i="2"/>
  <c r="D1619" i="2"/>
  <c r="R235" i="2"/>
  <c r="Q2188" i="2"/>
  <c r="C1524" i="2"/>
  <c r="Q79" i="2"/>
  <c r="C79" i="2"/>
  <c r="R1719" i="2"/>
  <c r="S512" i="2"/>
  <c r="N1719" i="2"/>
  <c r="A1650" i="2"/>
  <c r="K1524" i="2"/>
  <c r="G1524" i="2"/>
  <c r="P1524" i="2"/>
  <c r="M2188" i="2"/>
  <c r="N235" i="2"/>
  <c r="K1619" i="2"/>
  <c r="D1719" i="2"/>
  <c r="M1677" i="2"/>
  <c r="Q1619" i="2"/>
  <c r="G79" i="2"/>
  <c r="F2188" i="2"/>
  <c r="E1650" i="2"/>
  <c r="J1619" i="2"/>
  <c r="G512" i="2"/>
  <c r="S1524" i="2"/>
  <c r="G1650" i="2"/>
  <c r="M1719" i="2"/>
  <c r="H1677" i="2"/>
  <c r="N1619" i="2"/>
  <c r="T1650" i="2"/>
  <c r="J1719" i="2"/>
  <c r="M1089" i="2"/>
  <c r="E1719" i="2"/>
  <c r="R2188" i="2"/>
  <c r="O79" i="2"/>
  <c r="M1619" i="2"/>
  <c r="O1650" i="2"/>
  <c r="F1719" i="2"/>
  <c r="G235" i="2"/>
  <c r="T1677" i="2"/>
  <c r="O1524" i="2"/>
  <c r="K79" i="2"/>
  <c r="E512" i="2"/>
  <c r="O2188" i="2"/>
  <c r="D1089" i="2"/>
  <c r="F2055" i="2"/>
  <c r="C1220" i="2"/>
  <c r="R997" i="2"/>
  <c r="Q1220" i="2"/>
  <c r="A1807" i="2"/>
  <c r="R1106" i="2"/>
  <c r="O1807" i="2"/>
  <c r="R1504" i="2"/>
  <c r="R1698" i="2"/>
  <c r="A339" i="2"/>
  <c r="T1504" i="2"/>
  <c r="F997" i="2"/>
  <c r="E339" i="2"/>
  <c r="Q1106" i="2"/>
  <c r="O997" i="2"/>
  <c r="Q997" i="2"/>
  <c r="G1220" i="2"/>
  <c r="R2055" i="2"/>
  <c r="S1220" i="2"/>
  <c r="E1578" i="2"/>
  <c r="G2055" i="2"/>
  <c r="M1504" i="2"/>
  <c r="N997" i="2"/>
  <c r="E1807" i="2"/>
  <c r="O1504" i="2"/>
  <c r="J1807" i="2"/>
  <c r="C997" i="2"/>
  <c r="R339" i="2"/>
  <c r="Q1504" i="2"/>
  <c r="K2055" i="2"/>
  <c r="G201" i="2"/>
  <c r="S1807" i="2"/>
  <c r="P1698" i="2"/>
  <c r="K339" i="2"/>
  <c r="J201" i="2"/>
  <c r="K997" i="2"/>
  <c r="R1578" i="2"/>
  <c r="S1578" i="2"/>
  <c r="A201" i="2"/>
  <c r="T201" i="2"/>
  <c r="G1698" i="2"/>
  <c r="H1698" i="2"/>
  <c r="F1807" i="2"/>
  <c r="S339" i="2"/>
  <c r="G1106" i="2"/>
  <c r="C339" i="2"/>
  <c r="E1698" i="2"/>
  <c r="J1106" i="2"/>
  <c r="G1807" i="2"/>
  <c r="N1106" i="2"/>
  <c r="F1220" i="2"/>
  <c r="A1106" i="2"/>
  <c r="R1807" i="2"/>
  <c r="H1578" i="2"/>
  <c r="M201" i="2"/>
  <c r="T2055" i="2"/>
  <c r="D201" i="2"/>
  <c r="K1807" i="2"/>
  <c r="P201" i="2"/>
  <c r="D1807" i="2"/>
  <c r="D1698" i="2"/>
  <c r="T1807" i="2"/>
  <c r="C2055" i="2"/>
  <c r="H201" i="2"/>
  <c r="N1698" i="2"/>
  <c r="J1578" i="2"/>
  <c r="J1698" i="2"/>
  <c r="R201" i="2"/>
  <c r="O1106" i="2"/>
  <c r="F1504" i="2"/>
  <c r="F339" i="2"/>
  <c r="E201" i="2"/>
  <c r="M2055" i="2"/>
  <c r="G1578" i="2"/>
  <c r="D1504" i="2"/>
  <c r="O1578" i="2"/>
  <c r="A2055" i="2"/>
  <c r="E1106" i="2"/>
  <c r="J2055" i="2"/>
  <c r="K1504" i="2"/>
  <c r="C1698" i="2"/>
  <c r="O339" i="2"/>
  <c r="D1578" i="2"/>
  <c r="S1504" i="2"/>
  <c r="P1807" i="2"/>
  <c r="C1807" i="2"/>
  <c r="T1578" i="2"/>
  <c r="D2055" i="2"/>
  <c r="M339" i="2"/>
  <c r="O2055" i="2"/>
  <c r="H2055" i="2"/>
  <c r="N1578" i="2"/>
  <c r="J339" i="2"/>
  <c r="D1220" i="2"/>
  <c r="J997" i="2"/>
  <c r="K1106" i="2"/>
  <c r="P1220" i="2"/>
  <c r="O1698" i="2"/>
  <c r="Q1807" i="2"/>
  <c r="M1698" i="2"/>
  <c r="P997" i="2"/>
  <c r="N201" i="2"/>
  <c r="Q339" i="2"/>
  <c r="Q2055" i="2"/>
  <c r="D997" i="2"/>
  <c r="N1220" i="2"/>
  <c r="T1220" i="2"/>
  <c r="Q201" i="2"/>
  <c r="M1106" i="2"/>
  <c r="H1220" i="2"/>
  <c r="T1698" i="2"/>
  <c r="A1220" i="2"/>
  <c r="F1106" i="2"/>
  <c r="C201" i="2"/>
  <c r="H1504" i="2"/>
  <c r="N339" i="2"/>
  <c r="M1807" i="2"/>
  <c r="H1807" i="2"/>
  <c r="O1220" i="2"/>
  <c r="S2055" i="2"/>
  <c r="S1698" i="2"/>
  <c r="J1504" i="2"/>
  <c r="A1698" i="2"/>
  <c r="A997" i="2"/>
  <c r="C1578" i="2"/>
  <c r="P1106" i="2"/>
  <c r="M1578" i="2"/>
  <c r="K1578" i="2"/>
  <c r="S1106" i="2"/>
  <c r="D339" i="2"/>
  <c r="K1220" i="2"/>
  <c r="T1106" i="2"/>
  <c r="H339" i="2"/>
  <c r="M997" i="2"/>
  <c r="Q1578" i="2"/>
  <c r="T997" i="2"/>
  <c r="E1504" i="2"/>
  <c r="S201" i="2"/>
  <c r="J1220" i="2"/>
  <c r="F1578" i="2"/>
  <c r="K201" i="2"/>
  <c r="N2055" i="2"/>
  <c r="C1504" i="2"/>
  <c r="N1504" i="2"/>
  <c r="E997" i="2"/>
  <c r="K1698" i="2"/>
  <c r="O201" i="2"/>
  <c r="E1220" i="2"/>
  <c r="A1578" i="2"/>
  <c r="H1106" i="2"/>
  <c r="G339" i="2"/>
  <c r="G997" i="2"/>
  <c r="R1220" i="2"/>
  <c r="D1106" i="2"/>
  <c r="F1698" i="2"/>
  <c r="S997" i="2"/>
  <c r="P1504" i="2"/>
  <c r="E2055" i="2"/>
  <c r="P339" i="2"/>
  <c r="G1504" i="2"/>
  <c r="P1578" i="2"/>
  <c r="N1807" i="2"/>
  <c r="F201" i="2"/>
  <c r="M1220" i="2"/>
  <c r="H997" i="2"/>
  <c r="C1106" i="2"/>
  <c r="P2055" i="2"/>
  <c r="T339" i="2"/>
  <c r="A1504" i="2"/>
  <c r="Q1698" i="2"/>
  <c r="A2050" i="2"/>
  <c r="J1993" i="2"/>
  <c r="T2084" i="2"/>
  <c r="A435" i="2"/>
  <c r="M1993" i="2"/>
  <c r="Q1762" i="2"/>
  <c r="T2050" i="2"/>
  <c r="M1627" i="2"/>
  <c r="G1959" i="2"/>
  <c r="N1703" i="2"/>
  <c r="P1993" i="2"/>
  <c r="J1627" i="2"/>
  <c r="A1959" i="2"/>
  <c r="K1993" i="2"/>
  <c r="S1404" i="2"/>
  <c r="F2050" i="2"/>
  <c r="Q2084" i="2"/>
  <c r="H1703" i="2"/>
  <c r="Q2050" i="2"/>
  <c r="C1993" i="2"/>
  <c r="H1076" i="2"/>
  <c r="P435" i="2"/>
  <c r="S1076" i="2"/>
  <c r="H2050" i="2"/>
  <c r="O1076" i="2"/>
  <c r="P1627" i="2"/>
  <c r="R1703" i="2"/>
  <c r="M2084" i="2"/>
  <c r="K1404" i="2"/>
  <c r="S1627" i="2"/>
  <c r="J1703" i="2"/>
  <c r="Q435" i="2"/>
  <c r="S435" i="2"/>
  <c r="G1627" i="2"/>
  <c r="K1762" i="2"/>
  <c r="G1404" i="2"/>
  <c r="Q1404" i="2"/>
  <c r="D1703" i="2"/>
  <c r="E1703" i="2"/>
  <c r="T1993" i="2"/>
  <c r="K1627" i="2"/>
  <c r="H2084" i="2"/>
  <c r="G1076" i="2"/>
  <c r="E1627" i="2"/>
  <c r="H1627" i="2"/>
  <c r="C1959" i="2"/>
  <c r="Q1703" i="2"/>
  <c r="M1076" i="2"/>
  <c r="F1627" i="2"/>
  <c r="J1404" i="2"/>
  <c r="R1404" i="2"/>
  <c r="N2084" i="2"/>
  <c r="C1703" i="2"/>
  <c r="M1703" i="2"/>
  <c r="M1762" i="2"/>
  <c r="Q1076" i="2"/>
  <c r="D2084" i="2"/>
  <c r="D1404" i="2"/>
  <c r="T1762" i="2"/>
  <c r="F435" i="2"/>
  <c r="R1627" i="2"/>
  <c r="T1703" i="2"/>
  <c r="H435" i="2"/>
  <c r="S2050" i="2"/>
  <c r="H1762" i="2"/>
  <c r="A1762" i="2"/>
  <c r="E435" i="2"/>
  <c r="A1703" i="2"/>
  <c r="R1993" i="2"/>
  <c r="J1076" i="2"/>
  <c r="A1404" i="2"/>
  <c r="P1762" i="2"/>
  <c r="E2084" i="2"/>
  <c r="C1762" i="2"/>
  <c r="A1627" i="2"/>
  <c r="G1762" i="2"/>
  <c r="G435" i="2"/>
  <c r="K1959" i="2"/>
  <c r="D1076" i="2"/>
  <c r="P2084" i="2"/>
  <c r="O1993" i="2"/>
  <c r="T1076" i="2"/>
  <c r="E1762" i="2"/>
  <c r="S1762" i="2"/>
  <c r="C1627" i="2"/>
  <c r="S1703" i="2"/>
  <c r="R1762" i="2"/>
  <c r="R2084" i="2"/>
  <c r="M1959" i="2"/>
  <c r="D1959" i="2"/>
  <c r="S2084" i="2"/>
  <c r="E1993" i="2"/>
  <c r="O2084" i="2"/>
  <c r="O1404" i="2"/>
  <c r="K2084" i="2"/>
  <c r="P1404" i="2"/>
  <c r="K1703" i="2"/>
  <c r="Q1959" i="2"/>
  <c r="P1959" i="2"/>
  <c r="E2050" i="2"/>
  <c r="G2084" i="2"/>
  <c r="E1076" i="2"/>
  <c r="C2050" i="2"/>
  <c r="A1076" i="2"/>
  <c r="C435" i="2"/>
  <c r="H1404" i="2"/>
  <c r="T1627" i="2"/>
  <c r="J1762" i="2"/>
  <c r="C1076" i="2"/>
  <c r="D435" i="2"/>
  <c r="T1959" i="2"/>
  <c r="N435" i="2"/>
  <c r="O435" i="2"/>
  <c r="F2084" i="2"/>
  <c r="R2050" i="2"/>
  <c r="J435" i="2"/>
  <c r="T1404" i="2"/>
  <c r="P1703" i="2"/>
  <c r="D1627" i="2"/>
  <c r="N1076" i="2"/>
  <c r="M2050" i="2"/>
  <c r="J2050" i="2"/>
  <c r="H1959" i="2"/>
  <c r="O1627" i="2"/>
  <c r="F1993" i="2"/>
  <c r="O1762" i="2"/>
  <c r="O1959" i="2"/>
  <c r="C2084" i="2"/>
  <c r="R1076" i="2"/>
  <c r="G1993" i="2"/>
  <c r="K435" i="2"/>
  <c r="A1993" i="2"/>
  <c r="A2084" i="2"/>
  <c r="D1993" i="2"/>
  <c r="O1703" i="2"/>
  <c r="M1404" i="2"/>
  <c r="J1959" i="2"/>
  <c r="G2050" i="2"/>
  <c r="K2050" i="2"/>
  <c r="R1959" i="2"/>
  <c r="K1076" i="2"/>
  <c r="Q1993" i="2"/>
  <c r="F1762" i="2"/>
  <c r="F1959" i="2"/>
  <c r="O2050" i="2"/>
  <c r="F1076" i="2"/>
  <c r="F1404" i="2"/>
  <c r="R435" i="2"/>
  <c r="N2050" i="2"/>
  <c r="N1404" i="2"/>
  <c r="S1959" i="2"/>
  <c r="N1627" i="2"/>
  <c r="H1993" i="2"/>
  <c r="T435" i="2"/>
  <c r="D1762" i="2"/>
  <c r="D2050" i="2"/>
  <c r="E1404" i="2"/>
  <c r="N1959" i="2"/>
  <c r="F1703" i="2"/>
  <c r="N1993" i="2"/>
  <c r="M435" i="2"/>
  <c r="S1993" i="2"/>
  <c r="N1762" i="2"/>
  <c r="Q1627" i="2"/>
  <c r="P1076" i="2"/>
  <c r="E1959" i="2"/>
  <c r="P2050" i="2"/>
  <c r="J2084" i="2"/>
  <c r="G1703" i="2"/>
  <c r="C1404" i="2"/>
  <c r="P216" i="2"/>
  <c r="S569" i="2"/>
  <c r="J281" i="2"/>
  <c r="O1490" i="2"/>
  <c r="K1845" i="2"/>
  <c r="C1490" i="2"/>
  <c r="S216" i="2"/>
  <c r="D216" i="2"/>
  <c r="E1433" i="2"/>
  <c r="M569" i="2"/>
  <c r="G1107" i="2"/>
  <c r="A1107" i="2"/>
  <c r="R216" i="2"/>
  <c r="G1433" i="2"/>
  <c r="Q281" i="2"/>
  <c r="M1780" i="2"/>
  <c r="R1210" i="2"/>
  <c r="M1107" i="2"/>
  <c r="M281" i="2"/>
  <c r="Q569" i="2"/>
  <c r="N1780" i="2"/>
  <c r="O1210" i="2"/>
  <c r="S1490" i="2"/>
  <c r="R1107" i="2"/>
  <c r="F1433" i="2"/>
  <c r="F1210" i="2"/>
  <c r="F216" i="2"/>
  <c r="K569" i="2"/>
  <c r="G1490" i="2"/>
  <c r="J216" i="2"/>
  <c r="P569" i="2"/>
  <c r="A1433" i="2"/>
  <c r="Q166" i="2"/>
  <c r="P1433" i="2"/>
  <c r="D1490" i="2"/>
  <c r="J166" i="2"/>
  <c r="D281" i="2"/>
  <c r="N569" i="2"/>
  <c r="Q1107" i="2"/>
  <c r="K1780" i="2"/>
  <c r="C1210" i="2"/>
  <c r="G281" i="2"/>
  <c r="D569" i="2"/>
  <c r="H1780" i="2"/>
  <c r="H216" i="2"/>
  <c r="J1845" i="2"/>
  <c r="P1210" i="2"/>
  <c r="C569" i="2"/>
  <c r="T1780" i="2"/>
  <c r="F281" i="2"/>
  <c r="S1845" i="2"/>
  <c r="O1845" i="2"/>
  <c r="R1490" i="2"/>
  <c r="D1107" i="2"/>
  <c r="H1210" i="2"/>
  <c r="J1107" i="2"/>
  <c r="M1490" i="2"/>
  <c r="Q1780" i="2"/>
  <c r="O166" i="2"/>
  <c r="A1780" i="2"/>
  <c r="Q1433" i="2"/>
  <c r="R281" i="2"/>
  <c r="O281" i="2"/>
  <c r="R1433" i="2"/>
  <c r="S281" i="2"/>
  <c r="F569" i="2"/>
  <c r="O1433" i="2"/>
  <c r="C1107" i="2"/>
  <c r="E1845" i="2"/>
  <c r="H1845" i="2"/>
  <c r="A1845" i="2"/>
  <c r="J1433" i="2"/>
  <c r="P166" i="2"/>
  <c r="G1845" i="2"/>
  <c r="D166" i="2"/>
  <c r="K1490" i="2"/>
  <c r="R569" i="2"/>
  <c r="F1780" i="2"/>
  <c r="K281" i="2"/>
  <c r="S166" i="2"/>
  <c r="N1845" i="2"/>
  <c r="T281" i="2"/>
  <c r="N1210" i="2"/>
  <c r="D1433" i="2"/>
  <c r="T1107" i="2"/>
  <c r="E1107" i="2"/>
  <c r="H569" i="2"/>
  <c r="O1107" i="2"/>
  <c r="E569" i="2"/>
  <c r="M216" i="2"/>
  <c r="C166" i="2"/>
  <c r="Q1845" i="2"/>
  <c r="T1490" i="2"/>
  <c r="E166" i="2"/>
  <c r="F1490" i="2"/>
  <c r="K1433" i="2"/>
  <c r="K1210" i="2"/>
  <c r="F166" i="2"/>
  <c r="H1107" i="2"/>
  <c r="T166" i="2"/>
  <c r="S1210" i="2"/>
  <c r="P1490" i="2"/>
  <c r="D1780" i="2"/>
  <c r="D1210" i="2"/>
  <c r="E281" i="2"/>
  <c r="Q1210" i="2"/>
  <c r="R1780" i="2"/>
  <c r="G569" i="2"/>
  <c r="M1845" i="2"/>
  <c r="K1107" i="2"/>
  <c r="R166" i="2"/>
  <c r="H166" i="2"/>
  <c r="E1780" i="2"/>
  <c r="M166" i="2"/>
  <c r="K216" i="2"/>
  <c r="C216" i="2"/>
  <c r="E1490" i="2"/>
  <c r="H1490" i="2"/>
  <c r="T1845" i="2"/>
  <c r="N281" i="2"/>
  <c r="Q216" i="2"/>
  <c r="F1845" i="2"/>
  <c r="S1780" i="2"/>
  <c r="A569" i="2"/>
  <c r="A166" i="2"/>
  <c r="J1490" i="2"/>
  <c r="H1433" i="2"/>
  <c r="M1210" i="2"/>
  <c r="Q1490" i="2"/>
  <c r="J1780" i="2"/>
  <c r="H281" i="2"/>
  <c r="N216" i="2"/>
  <c r="T1210" i="2"/>
  <c r="N1107" i="2"/>
  <c r="G216" i="2"/>
  <c r="M1433" i="2"/>
  <c r="D1845" i="2"/>
  <c r="C1433" i="2"/>
  <c r="S1433" i="2"/>
  <c r="J569" i="2"/>
  <c r="J1210" i="2"/>
  <c r="C281" i="2"/>
  <c r="G1780" i="2"/>
  <c r="E1210" i="2"/>
  <c r="N166" i="2"/>
  <c r="O216" i="2"/>
  <c r="P281" i="2"/>
  <c r="G1210" i="2"/>
  <c r="C1845" i="2"/>
  <c r="P1780" i="2"/>
  <c r="N1490" i="2"/>
  <c r="P1107" i="2"/>
  <c r="T569" i="2"/>
  <c r="N1433" i="2"/>
  <c r="A216" i="2"/>
  <c r="P1845" i="2"/>
  <c r="T216" i="2"/>
  <c r="O1780" i="2"/>
  <c r="F1107" i="2"/>
  <c r="G166" i="2"/>
  <c r="R1845" i="2"/>
  <c r="A1490" i="2"/>
  <c r="T1433" i="2"/>
  <c r="O569" i="2"/>
  <c r="E216" i="2"/>
  <c r="A1210" i="2"/>
  <c r="K166" i="2"/>
  <c r="A281" i="2"/>
  <c r="C1780" i="2"/>
  <c r="S1107" i="2"/>
  <c r="R1123" i="2"/>
  <c r="F343" i="2"/>
  <c r="T636" i="2"/>
  <c r="C676" i="2"/>
  <c r="R1437" i="2"/>
  <c r="K262" i="2"/>
  <c r="P599" i="2"/>
  <c r="N308" i="2"/>
  <c r="N1749" i="2"/>
  <c r="H2240" i="2"/>
  <c r="O1749" i="2"/>
  <c r="Q367" i="2"/>
  <c r="S1378" i="2"/>
  <c r="A1283" i="2"/>
  <c r="A262" i="2"/>
  <c r="K1123" i="2"/>
  <c r="H1529" i="2"/>
  <c r="J1767" i="2"/>
  <c r="T1904" i="2"/>
  <c r="P1459" i="2"/>
  <c r="T2003" i="2"/>
  <c r="O308" i="2"/>
  <c r="A1457" i="2"/>
  <c r="F2240" i="2"/>
  <c r="K181" i="2"/>
  <c r="Q1239" i="2"/>
  <c r="A2240" i="2"/>
  <c r="S343" i="2"/>
  <c r="S676" i="2"/>
  <c r="G511" i="2"/>
  <c r="Q2049" i="2"/>
  <c r="P142" i="2"/>
  <c r="E2240" i="2"/>
  <c r="J289" i="2"/>
  <c r="G1385" i="2"/>
  <c r="C181" i="2"/>
  <c r="F2049" i="2"/>
  <c r="O181" i="2"/>
  <c r="H1385" i="2"/>
  <c r="P636" i="2"/>
  <c r="G1459" i="2"/>
  <c r="K1283" i="2"/>
  <c r="D636" i="2"/>
  <c r="M343" i="2"/>
  <c r="S142" i="2"/>
  <c r="M289" i="2"/>
  <c r="J1904" i="2"/>
  <c r="A1459" i="2"/>
  <c r="R530" i="2"/>
  <c r="M1015" i="2"/>
  <c r="O1462" i="2"/>
  <c r="R1283" i="2"/>
  <c r="J2240" i="2"/>
  <c r="H39" i="2"/>
  <c r="A210" i="2"/>
  <c r="N1459" i="2"/>
  <c r="K1904" i="2"/>
  <c r="M484" i="2"/>
  <c r="R1378" i="2"/>
  <c r="K1459" i="2"/>
  <c r="R599" i="2"/>
  <c r="M1385" i="2"/>
  <c r="K308" i="2"/>
  <c r="N1995" i="2"/>
  <c r="T1459" i="2"/>
  <c r="N262" i="2"/>
  <c r="S511" i="2"/>
  <c r="J346" i="2"/>
  <c r="T210" i="2"/>
  <c r="J484" i="2"/>
  <c r="G1749" i="2"/>
  <c r="K2049" i="2"/>
  <c r="G1123" i="2"/>
  <c r="O1459" i="2"/>
  <c r="N1767" i="2"/>
  <c r="P835" i="2"/>
  <c r="T308" i="2"/>
  <c r="M181" i="2"/>
  <c r="E1462" i="2"/>
  <c r="S2003" i="2"/>
  <c r="T835" i="2"/>
  <c r="J511" i="2"/>
  <c r="Q308" i="2"/>
  <c r="E39" i="2"/>
  <c r="K1437" i="2"/>
  <c r="P1437" i="2"/>
  <c r="M1529" i="2"/>
  <c r="K39" i="2"/>
  <c r="Q1767" i="2"/>
  <c r="A676" i="2"/>
  <c r="K511" i="2"/>
  <c r="O346" i="2"/>
  <c r="F1767" i="2"/>
  <c r="R676" i="2"/>
  <c r="M2240" i="2"/>
  <c r="P1995" i="2"/>
  <c r="A39" i="2"/>
  <c r="T1239" i="2"/>
  <c r="F346" i="2"/>
  <c r="O2236" i="2"/>
  <c r="Q835" i="2"/>
  <c r="P2009" i="2"/>
  <c r="D262" i="2"/>
  <c r="T1557" i="2"/>
  <c r="D1462" i="2"/>
  <c r="H142" i="2"/>
  <c r="R1767" i="2"/>
  <c r="R142" i="2"/>
  <c r="A511" i="2"/>
  <c r="R1015" i="2"/>
  <c r="G530" i="2"/>
  <c r="D1123" i="2"/>
  <c r="C511" i="2"/>
  <c r="D1995" i="2"/>
  <c r="H599" i="2"/>
  <c r="D142" i="2"/>
  <c r="M1123" i="2"/>
  <c r="G1457" i="2"/>
  <c r="G308" i="2"/>
  <c r="K1995" i="2"/>
  <c r="K835" i="2"/>
  <c r="J2009" i="2"/>
  <c r="H289" i="2"/>
  <c r="O262" i="2"/>
  <c r="O1457" i="2"/>
  <c r="C2236" i="2"/>
  <c r="R2236" i="2"/>
  <c r="J1995" i="2"/>
  <c r="K1462" i="2"/>
  <c r="T1546" i="2"/>
  <c r="F262" i="2"/>
  <c r="Q262" i="2"/>
  <c r="C1457" i="2"/>
  <c r="P530" i="2"/>
  <c r="R1749" i="2"/>
  <c r="M2236" i="2"/>
  <c r="K343" i="2"/>
  <c r="D1767" i="2"/>
  <c r="H731" i="2"/>
  <c r="C599" i="2"/>
  <c r="G1995" i="2"/>
  <c r="G346" i="2"/>
  <c r="M1437" i="2"/>
  <c r="N636" i="2"/>
  <c r="R2240" i="2"/>
  <c r="C1995" i="2"/>
  <c r="G181" i="2"/>
  <c r="S1437" i="2"/>
  <c r="A367" i="2"/>
  <c r="T289" i="2"/>
  <c r="P1767" i="2"/>
  <c r="M1995" i="2"/>
  <c r="S262" i="2"/>
  <c r="E2049" i="2"/>
  <c r="Q2236" i="2"/>
  <c r="A731" i="2"/>
  <c r="F636" i="2"/>
  <c r="F308" i="2"/>
  <c r="G2009" i="2"/>
  <c r="H2003" i="2"/>
  <c r="J308" i="2"/>
  <c r="J2049" i="2"/>
  <c r="H1462" i="2"/>
  <c r="H2009" i="2"/>
  <c r="F1457" i="2"/>
  <c r="S346" i="2"/>
  <c r="O1995" i="2"/>
  <c r="E1767" i="2"/>
  <c r="F39" i="2"/>
  <c r="Q1749" i="2"/>
  <c r="N1529" i="2"/>
  <c r="T2009" i="2"/>
  <c r="C1378" i="2"/>
  <c r="T1462" i="2"/>
  <c r="D346" i="2"/>
  <c r="A599" i="2"/>
  <c r="G1904" i="2"/>
  <c r="C1904" i="2"/>
  <c r="D367" i="2"/>
  <c r="A343" i="2"/>
  <c r="C142" i="2"/>
  <c r="G2240" i="2"/>
  <c r="K2240" i="2"/>
  <c r="A1995" i="2"/>
  <c r="S484" i="2"/>
  <c r="F1529" i="2"/>
  <c r="O2049" i="2"/>
  <c r="M731" i="2"/>
  <c r="O1529" i="2"/>
  <c r="J1239" i="2"/>
  <c r="N367" i="2"/>
  <c r="D1437" i="2"/>
  <c r="P1749" i="2"/>
  <c r="Q1462" i="2"/>
  <c r="O1767" i="2"/>
  <c r="Q210" i="2"/>
  <c r="P1546" i="2"/>
  <c r="R1529" i="2"/>
  <c r="F181" i="2"/>
  <c r="N2236" i="2"/>
  <c r="O1283" i="2"/>
  <c r="N1457" i="2"/>
  <c r="C2049" i="2"/>
  <c r="D1015" i="2"/>
  <c r="E676" i="2"/>
  <c r="A1437" i="2"/>
  <c r="P210" i="2"/>
  <c r="S2240" i="2"/>
  <c r="M1378" i="2"/>
  <c r="O530" i="2"/>
  <c r="Q343" i="2"/>
  <c r="C1015" i="2"/>
  <c r="J39" i="2"/>
  <c r="S1239" i="2"/>
  <c r="J835" i="2"/>
  <c r="N1283" i="2"/>
  <c r="D2236" i="2"/>
  <c r="N39" i="2"/>
  <c r="H308" i="2"/>
  <c r="A2003" i="2"/>
  <c r="P1557" i="2"/>
  <c r="E142" i="2"/>
  <c r="O676" i="2"/>
  <c r="E2003" i="2"/>
  <c r="O484" i="2"/>
  <c r="R636" i="2"/>
  <c r="E1457" i="2"/>
  <c r="H1378" i="2"/>
  <c r="H1767" i="2"/>
  <c r="D2240" i="2"/>
  <c r="A1749" i="2"/>
  <c r="Q1529" i="2"/>
  <c r="O2003" i="2"/>
  <c r="H1995" i="2"/>
  <c r="S835" i="2"/>
  <c r="D2049" i="2"/>
  <c r="Q484" i="2"/>
  <c r="R1462" i="2"/>
  <c r="R1459" i="2"/>
  <c r="Q346" i="2"/>
  <c r="R1457" i="2"/>
  <c r="H262" i="2"/>
  <c r="H343" i="2"/>
  <c r="G343" i="2"/>
  <c r="H210" i="2"/>
  <c r="F2236" i="2"/>
  <c r="A530" i="2"/>
  <c r="G262" i="2"/>
  <c r="Q2003" i="2"/>
  <c r="H835" i="2"/>
  <c r="E1995" i="2"/>
  <c r="C484" i="2"/>
  <c r="K1378" i="2"/>
  <c r="R2049" i="2"/>
  <c r="A181" i="2"/>
  <c r="J181" i="2"/>
  <c r="K1749" i="2"/>
  <c r="S181" i="2"/>
  <c r="O1904" i="2"/>
  <c r="T343" i="2"/>
  <c r="J530" i="2"/>
  <c r="J1015" i="2"/>
  <c r="J599" i="2"/>
  <c r="T181" i="2"/>
  <c r="D530" i="2"/>
  <c r="D1385" i="2"/>
  <c r="R181" i="2"/>
  <c r="C289" i="2"/>
  <c r="J731" i="2"/>
  <c r="P1239" i="2"/>
  <c r="D1378" i="2"/>
  <c r="E511" i="2"/>
  <c r="O636" i="2"/>
  <c r="H1239" i="2"/>
  <c r="K1546" i="2"/>
  <c r="C308" i="2"/>
  <c r="S2236" i="2"/>
  <c r="K1385" i="2"/>
  <c r="N181" i="2"/>
  <c r="E530" i="2"/>
  <c r="A1767" i="2"/>
  <c r="E1385" i="2"/>
  <c r="G367" i="2"/>
  <c r="D210" i="2"/>
  <c r="D289" i="2"/>
  <c r="P1378" i="2"/>
  <c r="R210" i="2"/>
  <c r="R2003" i="2"/>
  <c r="M346" i="2"/>
  <c r="P1015" i="2"/>
  <c r="A1462" i="2"/>
  <c r="N731" i="2"/>
  <c r="J1123" i="2"/>
  <c r="M2003" i="2"/>
  <c r="G1529" i="2"/>
  <c r="E367" i="2"/>
  <c r="O289" i="2"/>
  <c r="G142" i="2"/>
  <c r="S1557" i="2"/>
  <c r="G2049" i="2"/>
  <c r="J210" i="2"/>
  <c r="C1283" i="2"/>
  <c r="Q1546" i="2"/>
  <c r="M308" i="2"/>
  <c r="J1437" i="2"/>
  <c r="A1529" i="2"/>
  <c r="C1385" i="2"/>
  <c r="E2236" i="2"/>
  <c r="C1459" i="2"/>
  <c r="H1283" i="2"/>
  <c r="S599" i="2"/>
  <c r="E1529" i="2"/>
  <c r="J262" i="2"/>
  <c r="F1283" i="2"/>
  <c r="F1557" i="2"/>
  <c r="M39" i="2"/>
  <c r="Q1123" i="2"/>
  <c r="F599" i="2"/>
  <c r="R39" i="2"/>
  <c r="A308" i="2"/>
  <c r="K1239" i="2"/>
  <c r="P343" i="2"/>
  <c r="E1283" i="2"/>
  <c r="G1015" i="2"/>
  <c r="T484" i="2"/>
  <c r="M1239" i="2"/>
  <c r="O835" i="2"/>
  <c r="O367" i="2"/>
  <c r="C346" i="2"/>
  <c r="C210" i="2"/>
  <c r="D39" i="2"/>
  <c r="Q2009" i="2"/>
  <c r="C2009" i="2"/>
  <c r="N835" i="2"/>
  <c r="F1904" i="2"/>
  <c r="M599" i="2"/>
  <c r="E1437" i="2"/>
  <c r="F835" i="2"/>
  <c r="F210" i="2"/>
  <c r="P346" i="2"/>
  <c r="N511" i="2"/>
  <c r="M1457" i="2"/>
  <c r="S1749" i="2"/>
  <c r="A142" i="2"/>
  <c r="K2009" i="2"/>
  <c r="H346" i="2"/>
  <c r="H530" i="2"/>
  <c r="E1459" i="2"/>
  <c r="N2003" i="2"/>
  <c r="E835" i="2"/>
  <c r="K731" i="2"/>
  <c r="J1546" i="2"/>
  <c r="G731" i="2"/>
  <c r="T599" i="2"/>
  <c r="E484" i="2"/>
  <c r="M1904" i="2"/>
  <c r="N1904" i="2"/>
  <c r="F1378" i="2"/>
  <c r="S1462" i="2"/>
  <c r="O1378" i="2"/>
  <c r="N599" i="2"/>
  <c r="G1239" i="2"/>
  <c r="H1904" i="2"/>
  <c r="D676" i="2"/>
  <c r="Q1459" i="2"/>
  <c r="S1904" i="2"/>
  <c r="N1462" i="2"/>
  <c r="S731" i="2"/>
  <c r="O210" i="2"/>
  <c r="H367" i="2"/>
  <c r="P511" i="2"/>
  <c r="M210" i="2"/>
  <c r="O1437" i="2"/>
  <c r="P1529" i="2"/>
  <c r="F289" i="2"/>
  <c r="Q1557" i="2"/>
  <c r="Q289" i="2"/>
  <c r="H181" i="2"/>
  <c r="C1239" i="2"/>
  <c r="A1385" i="2"/>
  <c r="K484" i="2"/>
  <c r="J367" i="2"/>
  <c r="A636" i="2"/>
  <c r="T1767" i="2"/>
  <c r="A346" i="2"/>
  <c r="P181" i="2"/>
  <c r="R1239" i="2"/>
  <c r="M511" i="2"/>
  <c r="F367" i="2"/>
  <c r="A2049" i="2"/>
  <c r="G676" i="2"/>
  <c r="P2236" i="2"/>
  <c r="T1457" i="2"/>
  <c r="F1437" i="2"/>
  <c r="S1015" i="2"/>
  <c r="R731" i="2"/>
  <c r="R308" i="2"/>
  <c r="T2236" i="2"/>
  <c r="P1457" i="2"/>
  <c r="K1557" i="2"/>
  <c r="O1015" i="2"/>
  <c r="A1557" i="2"/>
  <c r="G1767" i="2"/>
  <c r="T39" i="2"/>
  <c r="N2240" i="2"/>
  <c r="C835" i="2"/>
  <c r="A1546" i="2"/>
  <c r="F1462" i="2"/>
  <c r="R484" i="2"/>
  <c r="R262" i="2"/>
  <c r="N1546" i="2"/>
  <c r="S1385" i="2"/>
  <c r="H2049" i="2"/>
  <c r="H1459" i="2"/>
  <c r="D2009" i="2"/>
  <c r="G1462" i="2"/>
  <c r="O1123" i="2"/>
  <c r="H1749" i="2"/>
  <c r="J676" i="2"/>
  <c r="R289" i="2"/>
  <c r="H2236" i="2"/>
  <c r="R367" i="2"/>
  <c r="D1283" i="2"/>
  <c r="E636" i="2"/>
  <c r="H1546" i="2"/>
  <c r="K1767" i="2"/>
  <c r="F1546" i="2"/>
  <c r="G636" i="2"/>
  <c r="Q1904" i="2"/>
  <c r="T1385" i="2"/>
  <c r="G39" i="2"/>
  <c r="D1546" i="2"/>
  <c r="R835" i="2"/>
  <c r="J2236" i="2"/>
  <c r="G1437" i="2"/>
  <c r="P39" i="2"/>
  <c r="E1749" i="2"/>
  <c r="G484" i="2"/>
  <c r="A835" i="2"/>
  <c r="J1459" i="2"/>
  <c r="Q39" i="2"/>
  <c r="R511" i="2"/>
  <c r="J1283" i="2"/>
  <c r="D484" i="2"/>
  <c r="H636" i="2"/>
  <c r="C262" i="2"/>
  <c r="D731" i="2"/>
  <c r="E731" i="2"/>
  <c r="E346" i="2"/>
  <c r="J1462" i="2"/>
  <c r="N1015" i="2"/>
  <c r="T262" i="2"/>
  <c r="E599" i="2"/>
  <c r="A1123" i="2"/>
  <c r="K1015" i="2"/>
  <c r="T1123" i="2"/>
  <c r="C1437" i="2"/>
  <c r="T530" i="2"/>
  <c r="A1904" i="2"/>
  <c r="E2009" i="2"/>
  <c r="F731" i="2"/>
  <c r="J2003" i="2"/>
  <c r="F2009" i="2"/>
  <c r="N343" i="2"/>
  <c r="G289" i="2"/>
  <c r="C731" i="2"/>
  <c r="A2009" i="2"/>
  <c r="M142" i="2"/>
  <c r="Q181" i="2"/>
  <c r="E289" i="2"/>
  <c r="T346" i="2"/>
  <c r="A1239" i="2"/>
  <c r="Q1378" i="2"/>
  <c r="P367" i="2"/>
  <c r="D1749" i="2"/>
  <c r="P1462" i="2"/>
  <c r="N1378" i="2"/>
  <c r="F484" i="2"/>
  <c r="D343" i="2"/>
  <c r="Q1015" i="2"/>
  <c r="M2009" i="2"/>
  <c r="K599" i="2"/>
  <c r="R346" i="2"/>
  <c r="A484" i="2"/>
  <c r="K210" i="2"/>
  <c r="O1557" i="2"/>
  <c r="S39" i="2"/>
  <c r="M1283" i="2"/>
  <c r="T1529" i="2"/>
  <c r="N1437" i="2"/>
  <c r="K2003" i="2"/>
  <c r="N210" i="2"/>
  <c r="F1385" i="2"/>
  <c r="P1123" i="2"/>
  <c r="K289" i="2"/>
  <c r="O1385" i="2"/>
  <c r="Q636" i="2"/>
  <c r="O142" i="2"/>
  <c r="M1557" i="2"/>
  <c r="T511" i="2"/>
  <c r="F676" i="2"/>
  <c r="P262" i="2"/>
  <c r="T1995" i="2"/>
  <c r="F1015" i="2"/>
  <c r="E1904" i="2"/>
  <c r="K367" i="2"/>
  <c r="T1283" i="2"/>
  <c r="C2003" i="2"/>
  <c r="J142" i="2"/>
  <c r="T1437" i="2"/>
  <c r="M1546" i="2"/>
  <c r="N530" i="2"/>
  <c r="R2009" i="2"/>
  <c r="O343" i="2"/>
  <c r="Q1457" i="2"/>
  <c r="J636" i="2"/>
  <c r="Q2240" i="2"/>
  <c r="D1459" i="2"/>
  <c r="Q142" i="2"/>
  <c r="D308" i="2"/>
  <c r="D1557" i="2"/>
  <c r="Q676" i="2"/>
  <c r="A1015" i="2"/>
  <c r="N1239" i="2"/>
  <c r="S1767" i="2"/>
  <c r="M1749" i="2"/>
  <c r="M636" i="2"/>
  <c r="O1546" i="2"/>
  <c r="K1457" i="2"/>
  <c r="O511" i="2"/>
  <c r="J1557" i="2"/>
  <c r="O39" i="2"/>
  <c r="F511" i="2"/>
  <c r="E308" i="2"/>
  <c r="H676" i="2"/>
  <c r="M1767" i="2"/>
  <c r="S2049" i="2"/>
  <c r="F530" i="2"/>
  <c r="R343" i="2"/>
  <c r="C1557" i="2"/>
  <c r="K2236" i="2"/>
  <c r="P1904" i="2"/>
  <c r="D181" i="2"/>
  <c r="M2049" i="2"/>
  <c r="G1557" i="2"/>
  <c r="K142" i="2"/>
  <c r="F2003" i="2"/>
  <c r="T676" i="2"/>
  <c r="M262" i="2"/>
  <c r="N142" i="2"/>
  <c r="K346" i="2"/>
  <c r="C1123" i="2"/>
  <c r="G2236" i="2"/>
  <c r="S1283" i="2"/>
  <c r="E1378" i="2"/>
  <c r="N1385" i="2"/>
  <c r="T1378" i="2"/>
  <c r="G1378" i="2"/>
  <c r="G1283" i="2"/>
  <c r="R1557" i="2"/>
  <c r="G210" i="2"/>
  <c r="M367" i="2"/>
  <c r="N1557" i="2"/>
  <c r="O599" i="2"/>
  <c r="N2049" i="2"/>
  <c r="G599" i="2"/>
  <c r="P289" i="2"/>
  <c r="J1529" i="2"/>
  <c r="P676" i="2"/>
  <c r="S1529" i="2"/>
  <c r="K1529" i="2"/>
  <c r="N289" i="2"/>
  <c r="S1995" i="2"/>
  <c r="R1904" i="2"/>
  <c r="P484" i="2"/>
  <c r="M1459" i="2"/>
  <c r="S1546" i="2"/>
  <c r="M530" i="2"/>
  <c r="E1239" i="2"/>
  <c r="G835" i="2"/>
  <c r="E210" i="2"/>
  <c r="D1457" i="2"/>
  <c r="F1239" i="2"/>
  <c r="S1123" i="2"/>
  <c r="P2049" i="2"/>
  <c r="Q731" i="2"/>
  <c r="S367" i="2"/>
  <c r="D1239" i="2"/>
  <c r="P731" i="2"/>
  <c r="K636" i="2"/>
  <c r="M1462" i="2"/>
  <c r="H1123" i="2"/>
  <c r="T2240" i="2"/>
  <c r="Q1283" i="2"/>
  <c r="G2003" i="2"/>
  <c r="Q1995" i="2"/>
  <c r="R1546" i="2"/>
  <c r="C1529" i="2"/>
  <c r="A289" i="2"/>
  <c r="Q511" i="2"/>
  <c r="E1123" i="2"/>
  <c r="F1995" i="2"/>
  <c r="E343" i="2"/>
  <c r="M835" i="2"/>
  <c r="C1546" i="2"/>
  <c r="F1749" i="2"/>
  <c r="P2240" i="2"/>
  <c r="Q599" i="2"/>
  <c r="S636" i="2"/>
  <c r="O2240" i="2"/>
  <c r="H511" i="2"/>
  <c r="T1749" i="2"/>
  <c r="D2003" i="2"/>
  <c r="N2009" i="2"/>
  <c r="F142" i="2"/>
  <c r="Q1437" i="2"/>
  <c r="K676" i="2"/>
  <c r="S2009" i="2"/>
  <c r="S1459" i="2"/>
  <c r="H1015" i="2"/>
  <c r="E1015" i="2"/>
  <c r="P1385" i="2"/>
  <c r="S1457" i="2"/>
  <c r="J343" i="2"/>
  <c r="C1749" i="2"/>
  <c r="R1385" i="2"/>
  <c r="A1378" i="2"/>
  <c r="E1546" i="2"/>
  <c r="F1123" i="2"/>
  <c r="C367" i="2"/>
  <c r="H1457" i="2"/>
  <c r="H484" i="2"/>
  <c r="Q530" i="2"/>
  <c r="Q1385" i="2"/>
  <c r="M676" i="2"/>
  <c r="K530" i="2"/>
  <c r="H1557" i="2"/>
  <c r="S308" i="2"/>
  <c r="S530" i="2"/>
  <c r="P1283" i="2"/>
  <c r="T367" i="2"/>
  <c r="G1546" i="2"/>
  <c r="C530" i="2"/>
  <c r="N346" i="2"/>
  <c r="J1385" i="2"/>
  <c r="C343" i="2"/>
  <c r="E1557" i="2"/>
  <c r="C2240" i="2"/>
  <c r="E181" i="2"/>
  <c r="O731" i="2"/>
  <c r="D511" i="2"/>
  <c r="N676" i="2"/>
  <c r="D835" i="2"/>
  <c r="T142" i="2"/>
  <c r="N1123" i="2"/>
  <c r="D599" i="2"/>
  <c r="J1749" i="2"/>
  <c r="S289" i="2"/>
  <c r="C39" i="2"/>
  <c r="P2003" i="2"/>
  <c r="J1457" i="2"/>
  <c r="T731" i="2"/>
  <c r="A2236" i="2"/>
  <c r="S210" i="2"/>
  <c r="N484" i="2"/>
  <c r="O2009" i="2"/>
  <c r="O1239" i="2"/>
  <c r="H1437" i="2"/>
  <c r="C1462" i="2"/>
  <c r="P308" i="2"/>
  <c r="T2049" i="2"/>
  <c r="J1378" i="2"/>
  <c r="D1904" i="2"/>
  <c r="F1459" i="2"/>
  <c r="E262" i="2"/>
  <c r="C636" i="2"/>
  <c r="T1015" i="2"/>
  <c r="C1767" i="2"/>
  <c r="D1529" i="2"/>
  <c r="R1995" i="2"/>
  <c r="Q1991" i="2"/>
  <c r="A2245" i="2"/>
  <c r="G288" i="2"/>
  <c r="C1954" i="2"/>
  <c r="H963" i="2"/>
  <c r="Q1595" i="2"/>
  <c r="K1991" i="2"/>
  <c r="T1362" i="2"/>
  <c r="G854" i="2"/>
  <c r="E2227" i="2"/>
  <c r="P527" i="2"/>
  <c r="J963" i="2"/>
  <c r="E2155" i="2"/>
  <c r="O267" i="2"/>
  <c r="R74" i="2"/>
  <c r="D1777" i="2"/>
  <c r="A2227" i="2"/>
  <c r="E963" i="2"/>
  <c r="D854" i="2"/>
  <c r="E1027" i="2"/>
  <c r="Q1900" i="2"/>
  <c r="G2034" i="2"/>
  <c r="C2034" i="2"/>
  <c r="N606" i="2"/>
  <c r="R1734" i="2"/>
  <c r="N2034" i="2"/>
  <c r="F1595" i="2"/>
  <c r="O22" i="2"/>
  <c r="E527" i="2"/>
  <c r="D1954" i="2"/>
  <c r="R1954" i="2"/>
  <c r="S1362" i="2"/>
  <c r="R498" i="2"/>
  <c r="T963" i="2"/>
  <c r="N2155" i="2"/>
  <c r="R963" i="2"/>
  <c r="J1581" i="2"/>
  <c r="S1595" i="2"/>
  <c r="M503" i="2"/>
  <c r="F2245" i="2"/>
  <c r="M1815" i="2"/>
  <c r="C1777" i="2"/>
  <c r="M1734" i="2"/>
  <c r="T1279" i="2"/>
  <c r="S1954" i="2"/>
  <c r="J267" i="2"/>
  <c r="C1734" i="2"/>
  <c r="M1362" i="2"/>
  <c r="G606" i="2"/>
  <c r="A22" i="2"/>
  <c r="P1581" i="2"/>
  <c r="H267" i="2"/>
  <c r="M74" i="2"/>
  <c r="S854" i="2"/>
  <c r="A267" i="2"/>
  <c r="N503" i="2"/>
  <c r="O503" i="2"/>
  <c r="C220" i="2"/>
  <c r="M773" i="2"/>
  <c r="S2034" i="2"/>
  <c r="J22" i="2"/>
  <c r="O2034" i="2"/>
  <c r="C1595" i="2"/>
  <c r="Q1734" i="2"/>
  <c r="O220" i="2"/>
  <c r="T1568" i="2"/>
  <c r="J2245" i="2"/>
  <c r="R2245" i="2"/>
  <c r="S22" i="2"/>
  <c r="R503" i="2"/>
  <c r="S74" i="2"/>
  <c r="R1595" i="2"/>
  <c r="N220" i="2"/>
  <c r="O1595" i="2"/>
  <c r="M22" i="2"/>
  <c r="D2227" i="2"/>
  <c r="H2245" i="2"/>
  <c r="J527" i="2"/>
  <c r="S1991" i="2"/>
  <c r="F220" i="2"/>
  <c r="N1177" i="2"/>
  <c r="J2227" i="2"/>
  <c r="D1581" i="2"/>
  <c r="G1734" i="2"/>
  <c r="F1177" i="2"/>
  <c r="P1595" i="2"/>
  <c r="O1027" i="2"/>
  <c r="M1027" i="2"/>
  <c r="S503" i="2"/>
  <c r="A1581" i="2"/>
  <c r="T220" i="2"/>
  <c r="P1279" i="2"/>
  <c r="Q1284" i="2"/>
  <c r="T498" i="2"/>
  <c r="A74" i="2"/>
  <c r="E2034" i="2"/>
  <c r="G1815" i="2"/>
  <c r="E503" i="2"/>
  <c r="O963" i="2"/>
  <c r="S527" i="2"/>
  <c r="F1815" i="2"/>
  <c r="O74" i="2"/>
  <c r="M267" i="2"/>
  <c r="R2155" i="2"/>
  <c r="T1991" i="2"/>
  <c r="F288" i="2"/>
  <c r="F2155" i="2"/>
  <c r="S1027" i="2"/>
  <c r="T773" i="2"/>
  <c r="T1595" i="2"/>
  <c r="P1777" i="2"/>
  <c r="R1568" i="2"/>
  <c r="T1734" i="2"/>
  <c r="P606" i="2"/>
  <c r="O1734" i="2"/>
  <c r="G1027" i="2"/>
  <c r="Q606" i="2"/>
  <c r="E1815" i="2"/>
  <c r="J1954" i="2"/>
  <c r="D2245" i="2"/>
  <c r="J1284" i="2"/>
  <c r="A773" i="2"/>
  <c r="F1734" i="2"/>
  <c r="C606" i="2"/>
  <c r="C1177" i="2"/>
  <c r="E288" i="2"/>
  <c r="T1954" i="2"/>
  <c r="R1777" i="2"/>
  <c r="A2155" i="2"/>
  <c r="A220" i="2"/>
  <c r="M527" i="2"/>
  <c r="Q854" i="2"/>
  <c r="K527" i="2"/>
  <c r="K498" i="2"/>
  <c r="O2155" i="2"/>
  <c r="R1581" i="2"/>
  <c r="C1284" i="2"/>
  <c r="P854" i="2"/>
  <c r="D2034" i="2"/>
  <c r="T22" i="2"/>
  <c r="T1284" i="2"/>
  <c r="D606" i="2"/>
  <c r="A2034" i="2"/>
  <c r="H1279" i="2"/>
  <c r="D1279" i="2"/>
  <c r="D1284" i="2"/>
  <c r="K1595" i="2"/>
  <c r="O527" i="2"/>
  <c r="T74" i="2"/>
  <c r="N22" i="2"/>
  <c r="P2034" i="2"/>
  <c r="P220" i="2"/>
  <c r="S267" i="2"/>
  <c r="S1284" i="2"/>
  <c r="N1279" i="2"/>
  <c r="S1777" i="2"/>
  <c r="D1362" i="2"/>
  <c r="K1815" i="2"/>
  <c r="D288" i="2"/>
  <c r="P2227" i="2"/>
  <c r="A963" i="2"/>
  <c r="C1991" i="2"/>
  <c r="J1362" i="2"/>
  <c r="P1362" i="2"/>
  <c r="F1568" i="2"/>
  <c r="C1279" i="2"/>
  <c r="M1279" i="2"/>
  <c r="K963" i="2"/>
  <c r="S1900" i="2"/>
  <c r="Q1362" i="2"/>
  <c r="K22" i="2"/>
  <c r="D1595" i="2"/>
  <c r="M2245" i="2"/>
  <c r="G963" i="2"/>
  <c r="E1177" i="2"/>
  <c r="F963" i="2"/>
  <c r="J1991" i="2"/>
  <c r="H498" i="2"/>
  <c r="E220" i="2"/>
  <c r="G2245" i="2"/>
  <c r="A1815" i="2"/>
  <c r="G1284" i="2"/>
  <c r="N2227" i="2"/>
  <c r="D773" i="2"/>
  <c r="F1027" i="2"/>
  <c r="F74" i="2"/>
  <c r="E2245" i="2"/>
  <c r="N963" i="2"/>
  <c r="K2227" i="2"/>
  <c r="H74" i="2"/>
  <c r="E1777" i="2"/>
  <c r="H288" i="2"/>
  <c r="T1027" i="2"/>
  <c r="K1362" i="2"/>
  <c r="H854" i="2"/>
  <c r="R267" i="2"/>
  <c r="R22" i="2"/>
  <c r="G1991" i="2"/>
  <c r="T503" i="2"/>
  <c r="N2245" i="2"/>
  <c r="H1900" i="2"/>
  <c r="M606" i="2"/>
  <c r="M1777" i="2"/>
  <c r="N1777" i="2"/>
  <c r="S1734" i="2"/>
  <c r="D267" i="2"/>
  <c r="M2227" i="2"/>
  <c r="H503" i="2"/>
  <c r="K1581" i="2"/>
  <c r="A1900" i="2"/>
  <c r="N773" i="2"/>
  <c r="C963" i="2"/>
  <c r="G527" i="2"/>
  <c r="E1900" i="2"/>
  <c r="R1284" i="2"/>
  <c r="M854" i="2"/>
  <c r="P22" i="2"/>
  <c r="F1954" i="2"/>
  <c r="T2245" i="2"/>
  <c r="E22" i="2"/>
  <c r="H2034" i="2"/>
  <c r="Q527" i="2"/>
  <c r="A854" i="2"/>
  <c r="N1581" i="2"/>
  <c r="N1991" i="2"/>
  <c r="N1954" i="2"/>
  <c r="K854" i="2"/>
  <c r="D1734" i="2"/>
  <c r="J1177" i="2"/>
  <c r="K74" i="2"/>
  <c r="O288" i="2"/>
  <c r="O1568" i="2"/>
  <c r="E1568" i="2"/>
  <c r="K267" i="2"/>
  <c r="O1177" i="2"/>
  <c r="H1177" i="2"/>
  <c r="C1568" i="2"/>
  <c r="G1177" i="2"/>
  <c r="N1900" i="2"/>
  <c r="N527" i="2"/>
  <c r="N1815" i="2"/>
  <c r="Q503" i="2"/>
  <c r="T606" i="2"/>
  <c r="D74" i="2"/>
  <c r="A1595" i="2"/>
  <c r="N1734" i="2"/>
  <c r="A1954" i="2"/>
  <c r="F527" i="2"/>
  <c r="Q2155" i="2"/>
  <c r="G22" i="2"/>
  <c r="O1581" i="2"/>
  <c r="D503" i="2"/>
  <c r="P503" i="2"/>
  <c r="C74" i="2"/>
  <c r="D1568" i="2"/>
  <c r="S1581" i="2"/>
  <c r="N498" i="2"/>
  <c r="E1595" i="2"/>
  <c r="J74" i="2"/>
  <c r="E498" i="2"/>
  <c r="G2155" i="2"/>
  <c r="S1815" i="2"/>
  <c r="J1734" i="2"/>
  <c r="A1027" i="2"/>
  <c r="Q22" i="2"/>
  <c r="H1027" i="2"/>
  <c r="O1362" i="2"/>
  <c r="C503" i="2"/>
  <c r="D22" i="2"/>
  <c r="C288" i="2"/>
  <c r="O1777" i="2"/>
  <c r="J773" i="2"/>
  <c r="J498" i="2"/>
  <c r="J1595" i="2"/>
  <c r="E267" i="2"/>
  <c r="M1284" i="2"/>
  <c r="Q1279" i="2"/>
  <c r="S773" i="2"/>
  <c r="N1568" i="2"/>
  <c r="F2034" i="2"/>
  <c r="E1279" i="2"/>
  <c r="Q2034" i="2"/>
  <c r="O1284" i="2"/>
  <c r="T267" i="2"/>
  <c r="K503" i="2"/>
  <c r="S2227" i="2"/>
  <c r="M2155" i="2"/>
  <c r="A1177" i="2"/>
  <c r="E74" i="2"/>
  <c r="C1900" i="2"/>
  <c r="K606" i="2"/>
  <c r="G1954" i="2"/>
  <c r="A606" i="2"/>
  <c r="O2245" i="2"/>
  <c r="D1177" i="2"/>
  <c r="O1815" i="2"/>
  <c r="H1362" i="2"/>
  <c r="C22" i="2"/>
  <c r="H2227" i="2"/>
  <c r="P2155" i="2"/>
  <c r="F606" i="2"/>
  <c r="J1568" i="2"/>
  <c r="H1991" i="2"/>
  <c r="T2155" i="2"/>
  <c r="J1900" i="2"/>
  <c r="T2227" i="2"/>
  <c r="D527" i="2"/>
  <c r="R606" i="2"/>
  <c r="C267" i="2"/>
  <c r="J288" i="2"/>
  <c r="A1362" i="2"/>
  <c r="M1954" i="2"/>
  <c r="S2155" i="2"/>
  <c r="D1027" i="2"/>
  <c r="K1900" i="2"/>
  <c r="Q773" i="2"/>
  <c r="N1027" i="2"/>
  <c r="K1568" i="2"/>
  <c r="E854" i="2"/>
  <c r="P1027" i="2"/>
  <c r="F1581" i="2"/>
  <c r="K1734" i="2"/>
  <c r="F1284" i="2"/>
  <c r="G1595" i="2"/>
  <c r="J854" i="2"/>
  <c r="S1279" i="2"/>
  <c r="S220" i="2"/>
  <c r="K1027" i="2"/>
  <c r="Q220" i="2"/>
  <c r="O1900" i="2"/>
  <c r="F22" i="2"/>
  <c r="F2227" i="2"/>
  <c r="E773" i="2"/>
  <c r="P2245" i="2"/>
  <c r="K1954" i="2"/>
  <c r="C1815" i="2"/>
  <c r="Q498" i="2"/>
  <c r="P963" i="2"/>
  <c r="G1900" i="2"/>
  <c r="G1568" i="2"/>
  <c r="R1815" i="2"/>
  <c r="R2034" i="2"/>
  <c r="C773" i="2"/>
  <c r="A503" i="2"/>
  <c r="G2227" i="2"/>
  <c r="R773" i="2"/>
  <c r="K1777" i="2"/>
  <c r="Q1777" i="2"/>
  <c r="P498" i="2"/>
  <c r="P1954" i="2"/>
  <c r="M498" i="2"/>
  <c r="M1991" i="2"/>
  <c r="E606" i="2"/>
  <c r="Q267" i="2"/>
  <c r="C498" i="2"/>
  <c r="O1279" i="2"/>
  <c r="E1581" i="2"/>
  <c r="P1734" i="2"/>
  <c r="A1568" i="2"/>
  <c r="R2227" i="2"/>
  <c r="K1284" i="2"/>
  <c r="H220" i="2"/>
  <c r="P288" i="2"/>
  <c r="D963" i="2"/>
  <c r="P1991" i="2"/>
  <c r="S1568" i="2"/>
  <c r="C527" i="2"/>
  <c r="O1991" i="2"/>
  <c r="J503" i="2"/>
  <c r="R1279" i="2"/>
  <c r="Q1177" i="2"/>
  <c r="N288" i="2"/>
  <c r="H1734" i="2"/>
  <c r="G1279" i="2"/>
  <c r="G220" i="2"/>
  <c r="M288" i="2"/>
  <c r="D220" i="2"/>
  <c r="Q1954" i="2"/>
  <c r="R1991" i="2"/>
  <c r="R854" i="2"/>
  <c r="J1815" i="2"/>
  <c r="A1279" i="2"/>
  <c r="H2155" i="2"/>
  <c r="A1777" i="2"/>
  <c r="F267" i="2"/>
  <c r="O2227" i="2"/>
  <c r="O606" i="2"/>
  <c r="G1362" i="2"/>
  <c r="A288" i="2"/>
  <c r="A1284" i="2"/>
  <c r="C2245" i="2"/>
  <c r="K2245" i="2"/>
  <c r="D1991" i="2"/>
  <c r="D1900" i="2"/>
  <c r="C2227" i="2"/>
  <c r="G1581" i="2"/>
  <c r="P1815" i="2"/>
  <c r="C1581" i="2"/>
  <c r="T1815" i="2"/>
  <c r="N1362" i="2"/>
  <c r="N854" i="2"/>
  <c r="N74" i="2"/>
  <c r="T1177" i="2"/>
  <c r="G1777" i="2"/>
  <c r="G498" i="2"/>
  <c r="E1991" i="2"/>
  <c r="H1568" i="2"/>
  <c r="S288" i="2"/>
  <c r="F773" i="2"/>
  <c r="J220" i="2"/>
  <c r="K288" i="2"/>
  <c r="J1027" i="2"/>
  <c r="H606" i="2"/>
  <c r="P1900" i="2"/>
  <c r="P1284" i="2"/>
  <c r="J2034" i="2"/>
  <c r="R1177" i="2"/>
  <c r="M1595" i="2"/>
  <c r="G74" i="2"/>
  <c r="R220" i="2"/>
  <c r="R1362" i="2"/>
  <c r="P74" i="2"/>
  <c r="A527" i="2"/>
  <c r="Q1815" i="2"/>
  <c r="T1581" i="2"/>
  <c r="D498" i="2"/>
  <c r="M1900" i="2"/>
  <c r="S2245" i="2"/>
  <c r="J2155" i="2"/>
  <c r="J1279" i="2"/>
  <c r="S498" i="2"/>
  <c r="K773" i="2"/>
  <c r="O498" i="2"/>
  <c r="T527" i="2"/>
  <c r="A1991" i="2"/>
  <c r="G267" i="2"/>
  <c r="P1568" i="2"/>
  <c r="S606" i="2"/>
  <c r="H1954" i="2"/>
  <c r="H1777" i="2"/>
  <c r="Q1581" i="2"/>
  <c r="D1815" i="2"/>
  <c r="E1284" i="2"/>
  <c r="M1581" i="2"/>
  <c r="H1595" i="2"/>
  <c r="E1362" i="2"/>
  <c r="Q1568" i="2"/>
  <c r="T288" i="2"/>
  <c r="S1177" i="2"/>
  <c r="H773" i="2"/>
  <c r="F1279" i="2"/>
  <c r="M220" i="2"/>
  <c r="D2155" i="2"/>
  <c r="K2034" i="2"/>
  <c r="T1900" i="2"/>
  <c r="C1362" i="2"/>
  <c r="M963" i="2"/>
  <c r="R1027" i="2"/>
  <c r="C854" i="2"/>
  <c r="Q288" i="2"/>
  <c r="Q1027" i="2"/>
  <c r="G503" i="2"/>
  <c r="G773" i="2"/>
  <c r="T1777" i="2"/>
  <c r="F1900" i="2"/>
  <c r="T2034" i="2"/>
  <c r="F854" i="2"/>
  <c r="T854" i="2"/>
  <c r="J1777" i="2"/>
  <c r="N1284" i="2"/>
  <c r="S963" i="2"/>
  <c r="F498" i="2"/>
  <c r="E1954" i="2"/>
  <c r="E1734" i="2"/>
  <c r="R527" i="2"/>
  <c r="O773" i="2"/>
  <c r="P1177" i="2"/>
  <c r="K1177" i="2"/>
  <c r="P267" i="2"/>
  <c r="C2155" i="2"/>
  <c r="F1777" i="2"/>
  <c r="M1568" i="2"/>
  <c r="H1284" i="2"/>
  <c r="M2034" i="2"/>
  <c r="H1581" i="2"/>
  <c r="F1362" i="2"/>
  <c r="N267" i="2"/>
  <c r="F1991" i="2"/>
  <c r="R1900" i="2"/>
  <c r="C1027" i="2"/>
  <c r="P773" i="2"/>
  <c r="H527" i="2"/>
  <c r="M1177" i="2"/>
  <c r="H1815" i="2"/>
  <c r="J606" i="2"/>
  <c r="A1734" i="2"/>
  <c r="N1595" i="2"/>
  <c r="Q2227" i="2"/>
  <c r="H22" i="2"/>
  <c r="Q74" i="2"/>
  <c r="K2155" i="2"/>
  <c r="K1279" i="2"/>
  <c r="O1954" i="2"/>
  <c r="F503" i="2"/>
  <c r="O854" i="2"/>
  <c r="Q963" i="2"/>
  <c r="Q2245" i="2"/>
  <c r="K220" i="2"/>
  <c r="A498" i="2"/>
  <c r="R288" i="2"/>
  <c r="E660" i="2"/>
  <c r="P89" i="2"/>
  <c r="J781" i="2"/>
  <c r="P1601" i="2"/>
  <c r="N781" i="2"/>
  <c r="Q1893" i="2"/>
  <c r="F975" i="2"/>
  <c r="N1460" i="2"/>
  <c r="O1601" i="2"/>
  <c r="G131" i="2"/>
  <c r="C2119" i="2"/>
  <c r="H102" i="2"/>
  <c r="C372" i="2"/>
  <c r="O596" i="2"/>
  <c r="H617" i="2"/>
  <c r="S1460" i="2"/>
  <c r="T102" i="2"/>
  <c r="K102" i="2"/>
  <c r="E131" i="2"/>
  <c r="P975" i="2"/>
  <c r="R1073" i="2"/>
  <c r="N102" i="2"/>
  <c r="F1122" i="2"/>
  <c r="A1601" i="2"/>
  <c r="G20" i="2"/>
  <c r="H1893" i="2"/>
  <c r="E2119" i="2"/>
  <c r="D1601" i="2"/>
  <c r="D596" i="2"/>
  <c r="D2119" i="2"/>
  <c r="G486" i="2"/>
  <c r="M102" i="2"/>
  <c r="J975" i="2"/>
  <c r="C102" i="2"/>
  <c r="N2119" i="2"/>
  <c r="A102" i="2"/>
  <c r="D1835" i="2"/>
  <c r="G1893" i="2"/>
  <c r="G1460" i="2"/>
  <c r="H1835" i="2"/>
  <c r="S131" i="2"/>
  <c r="P383" i="2"/>
  <c r="S781" i="2"/>
  <c r="E617" i="2"/>
  <c r="D486" i="2"/>
  <c r="N660" i="2"/>
  <c r="C20" i="2"/>
  <c r="K486" i="2"/>
  <c r="E596" i="2"/>
  <c r="J1073" i="2"/>
  <c r="S1040" i="2"/>
  <c r="N486" i="2"/>
  <c r="Q1122" i="2"/>
  <c r="F617" i="2"/>
  <c r="N372" i="2"/>
  <c r="A781" i="2"/>
  <c r="N1893" i="2"/>
  <c r="E383" i="2"/>
  <c r="H1601" i="2"/>
  <c r="Q383" i="2"/>
  <c r="R617" i="2"/>
  <c r="D372" i="2"/>
  <c r="C660" i="2"/>
  <c r="E1122" i="2"/>
  <c r="O660" i="2"/>
  <c r="E372" i="2"/>
  <c r="N1601" i="2"/>
  <c r="M1601" i="2"/>
  <c r="N89" i="2"/>
  <c r="Q1835" i="2"/>
  <c r="T1122" i="2"/>
  <c r="M660" i="2"/>
  <c r="M20" i="2"/>
  <c r="G1040" i="2"/>
  <c r="D1893" i="2"/>
  <c r="J1835" i="2"/>
  <c r="N1835" i="2"/>
  <c r="G975" i="2"/>
  <c r="Q20" i="2"/>
  <c r="M596" i="2"/>
  <c r="O975" i="2"/>
  <c r="M975" i="2"/>
  <c r="E1835" i="2"/>
  <c r="N1122" i="2"/>
  <c r="O1122" i="2"/>
  <c r="T781" i="2"/>
  <c r="R1460" i="2"/>
  <c r="K596" i="2"/>
  <c r="P1835" i="2"/>
  <c r="R372" i="2"/>
  <c r="S89" i="2"/>
  <c r="E89" i="2"/>
  <c r="D383" i="2"/>
  <c r="E1040" i="2"/>
  <c r="S596" i="2"/>
  <c r="A596" i="2"/>
  <c r="K975" i="2"/>
  <c r="E1893" i="2"/>
  <c r="R1040" i="2"/>
  <c r="K20" i="2"/>
  <c r="C1460" i="2"/>
  <c r="P781" i="2"/>
  <c r="P660" i="2"/>
  <c r="H89" i="2"/>
  <c r="Q1040" i="2"/>
  <c r="Q486" i="2"/>
  <c r="M1893" i="2"/>
  <c r="R660" i="2"/>
  <c r="C1893" i="2"/>
  <c r="K1601" i="2"/>
  <c r="S1835" i="2"/>
  <c r="M1460" i="2"/>
  <c r="J1460" i="2"/>
  <c r="T2119" i="2"/>
  <c r="R2119" i="2"/>
  <c r="K1073" i="2"/>
  <c r="Q781" i="2"/>
  <c r="K131" i="2"/>
  <c r="C486" i="2"/>
  <c r="K2119" i="2"/>
  <c r="P617" i="2"/>
  <c r="T372" i="2"/>
  <c r="J596" i="2"/>
  <c r="O781" i="2"/>
  <c r="D131" i="2"/>
  <c r="M2119" i="2"/>
  <c r="N975" i="2"/>
  <c r="F131" i="2"/>
  <c r="E781" i="2"/>
  <c r="K89" i="2"/>
  <c r="N617" i="2"/>
  <c r="N383" i="2"/>
  <c r="J1601" i="2"/>
  <c r="Q617" i="2"/>
  <c r="H1122" i="2"/>
  <c r="S2119" i="2"/>
  <c r="O89" i="2"/>
  <c r="T617" i="2"/>
  <c r="A2119" i="2"/>
  <c r="J660" i="2"/>
  <c r="J1893" i="2"/>
  <c r="Q660" i="2"/>
  <c r="D617" i="2"/>
  <c r="R1893" i="2"/>
  <c r="O2119" i="2"/>
  <c r="K372" i="2"/>
  <c r="J1122" i="2"/>
  <c r="F372" i="2"/>
  <c r="D1073" i="2"/>
  <c r="C975" i="2"/>
  <c r="Q131" i="2"/>
  <c r="P20" i="2"/>
  <c r="K1122" i="2"/>
  <c r="A1122" i="2"/>
  <c r="Q89" i="2"/>
  <c r="E486" i="2"/>
  <c r="J383" i="2"/>
  <c r="E1460" i="2"/>
  <c r="S486" i="2"/>
  <c r="K781" i="2"/>
  <c r="K1835" i="2"/>
  <c r="G781" i="2"/>
  <c r="H1040" i="2"/>
  <c r="R596" i="2"/>
  <c r="E1073" i="2"/>
  <c r="C131" i="2"/>
  <c r="G1122" i="2"/>
  <c r="T1040" i="2"/>
  <c r="T486" i="2"/>
  <c r="T1893" i="2"/>
  <c r="O372" i="2"/>
  <c r="S1893" i="2"/>
  <c r="P1073" i="2"/>
  <c r="A383" i="2"/>
  <c r="R89" i="2"/>
  <c r="O1073" i="2"/>
  <c r="O20" i="2"/>
  <c r="R383" i="2"/>
  <c r="F89" i="2"/>
  <c r="F2119" i="2"/>
  <c r="K1460" i="2"/>
  <c r="A89" i="2"/>
  <c r="O486" i="2"/>
  <c r="O102" i="2"/>
  <c r="M1073" i="2"/>
  <c r="O1040" i="2"/>
  <c r="C1835" i="2"/>
  <c r="H1460" i="2"/>
  <c r="G1601" i="2"/>
  <c r="R131" i="2"/>
  <c r="Q372" i="2"/>
  <c r="P596" i="2"/>
  <c r="H383" i="2"/>
  <c r="S20" i="2"/>
  <c r="G1073" i="2"/>
  <c r="A486" i="2"/>
  <c r="K660" i="2"/>
  <c r="M383" i="2"/>
  <c r="C781" i="2"/>
  <c r="R486" i="2"/>
  <c r="G102" i="2"/>
  <c r="T1073" i="2"/>
  <c r="F1601" i="2"/>
  <c r="M1835" i="2"/>
  <c r="A1893" i="2"/>
  <c r="H1073" i="2"/>
  <c r="E102" i="2"/>
  <c r="J2119" i="2"/>
  <c r="T596" i="2"/>
  <c r="O1460" i="2"/>
  <c r="D660" i="2"/>
  <c r="N596" i="2"/>
  <c r="C617" i="2"/>
  <c r="Q596" i="2"/>
  <c r="K383" i="2"/>
  <c r="O131" i="2"/>
  <c r="R781" i="2"/>
  <c r="P1460" i="2"/>
  <c r="H131" i="2"/>
  <c r="J372" i="2"/>
  <c r="T975" i="2"/>
  <c r="H2119" i="2"/>
  <c r="A1040" i="2"/>
  <c r="F1835" i="2"/>
  <c r="T383" i="2"/>
  <c r="S1601" i="2"/>
  <c r="Q1601" i="2"/>
  <c r="A1073" i="2"/>
  <c r="T660" i="2"/>
  <c r="H20" i="2"/>
  <c r="A131" i="2"/>
  <c r="A660" i="2"/>
  <c r="D1460" i="2"/>
  <c r="G372" i="2"/>
  <c r="D20" i="2"/>
  <c r="P102" i="2"/>
  <c r="P1040" i="2"/>
  <c r="N131" i="2"/>
  <c r="A1835" i="2"/>
  <c r="F383" i="2"/>
  <c r="M1122" i="2"/>
  <c r="C1040" i="2"/>
  <c r="G596" i="2"/>
  <c r="O617" i="2"/>
  <c r="D89" i="2"/>
  <c r="F20" i="2"/>
  <c r="H660" i="2"/>
  <c r="T1835" i="2"/>
  <c r="F486" i="2"/>
  <c r="R1835" i="2"/>
  <c r="D781" i="2"/>
  <c r="H596" i="2"/>
  <c r="T1460" i="2"/>
  <c r="N20" i="2"/>
  <c r="R20" i="2"/>
  <c r="R1122" i="2"/>
  <c r="G89" i="2"/>
  <c r="T131" i="2"/>
  <c r="T89" i="2"/>
  <c r="S102" i="2"/>
  <c r="D975" i="2"/>
  <c r="C383" i="2"/>
  <c r="M617" i="2"/>
  <c r="D1122" i="2"/>
  <c r="R975" i="2"/>
  <c r="O1893" i="2"/>
  <c r="J102" i="2"/>
  <c r="S372" i="2"/>
  <c r="F1460" i="2"/>
  <c r="C1073" i="2"/>
  <c r="G1835" i="2"/>
  <c r="A975" i="2"/>
  <c r="J617" i="2"/>
  <c r="J20" i="2"/>
  <c r="S660" i="2"/>
  <c r="F660" i="2"/>
  <c r="F1040" i="2"/>
  <c r="N1040" i="2"/>
  <c r="C1122" i="2"/>
  <c r="Q975" i="2"/>
  <c r="G617" i="2"/>
  <c r="C89" i="2"/>
  <c r="S383" i="2"/>
  <c r="K1040" i="2"/>
  <c r="E1601" i="2"/>
  <c r="J1040" i="2"/>
  <c r="P1893" i="2"/>
  <c r="F1073" i="2"/>
  <c r="S1073" i="2"/>
  <c r="H372" i="2"/>
  <c r="M781" i="2"/>
  <c r="K617" i="2"/>
  <c r="M89" i="2"/>
  <c r="M131" i="2"/>
  <c r="R102" i="2"/>
  <c r="Q1460" i="2"/>
  <c r="F596" i="2"/>
  <c r="Q1073" i="2"/>
  <c r="Q102" i="2"/>
  <c r="A20" i="2"/>
  <c r="T1601" i="2"/>
  <c r="D102" i="2"/>
  <c r="M1040" i="2"/>
  <c r="P1122" i="2"/>
  <c r="A617" i="2"/>
  <c r="A372" i="2"/>
  <c r="G383" i="2"/>
  <c r="Q2119" i="2"/>
  <c r="G2119" i="2"/>
  <c r="F1893" i="2"/>
  <c r="E975" i="2"/>
  <c r="M486" i="2"/>
  <c r="R1601" i="2"/>
  <c r="P131" i="2"/>
  <c r="H781" i="2"/>
  <c r="J486" i="2"/>
  <c r="H975" i="2"/>
  <c r="E20" i="2"/>
  <c r="H486" i="2"/>
  <c r="P372" i="2"/>
  <c r="S975" i="2"/>
  <c r="G660" i="2"/>
  <c r="S1122" i="2"/>
  <c r="P2119" i="2"/>
  <c r="F102" i="2"/>
  <c r="J89" i="2"/>
  <c r="F781" i="2"/>
  <c r="T20" i="2"/>
  <c r="J131" i="2"/>
  <c r="P486" i="2"/>
  <c r="N1073" i="2"/>
  <c r="O1835" i="2"/>
  <c r="C596" i="2"/>
  <c r="K1893" i="2"/>
  <c r="C1601" i="2"/>
  <c r="D1040" i="2"/>
  <c r="M372" i="2"/>
  <c r="A1460" i="2"/>
  <c r="O383" i="2"/>
  <c r="S617" i="2"/>
  <c r="I223" i="2"/>
  <c r="I8" i="2"/>
  <c r="I22" i="2"/>
  <c r="I44" i="2"/>
  <c r="I12" i="2"/>
  <c r="I20" i="2"/>
  <c r="I4" i="2"/>
  <c r="I181" i="2"/>
  <c r="I24" i="2"/>
  <c r="I28" i="2"/>
  <c r="I55" i="2"/>
  <c r="I13" i="2"/>
  <c r="I25" i="2"/>
  <c r="I17" i="2"/>
  <c r="I21" i="2"/>
  <c r="I29" i="2"/>
  <c r="I2" i="2"/>
  <c r="I5" i="2"/>
  <c r="I9" i="2"/>
  <c r="I10" i="2"/>
  <c r="I14" i="2"/>
  <c r="I33" i="2"/>
  <c r="I46" i="2"/>
  <c r="I18" i="2"/>
  <c r="I48" i="2"/>
  <c r="I43" i="2"/>
  <c r="I26" i="2"/>
  <c r="I53" i="2"/>
  <c r="I6" i="2"/>
  <c r="I38" i="2"/>
  <c r="I42" i="2"/>
  <c r="I231" i="2"/>
  <c r="I30" i="2"/>
  <c r="I40" i="2"/>
  <c r="I34" i="2"/>
  <c r="I11" i="2"/>
  <c r="I51" i="2"/>
  <c r="I36" i="2"/>
  <c r="I15" i="2"/>
  <c r="I41" i="2"/>
  <c r="I39" i="2"/>
  <c r="I35" i="2"/>
  <c r="I37" i="2"/>
  <c r="I7" i="2"/>
  <c r="I3" i="2"/>
  <c r="I16" i="2"/>
  <c r="I23" i="2"/>
  <c r="I19" i="2"/>
  <c r="I31" i="2"/>
  <c r="I27" i="2"/>
  <c r="I355" i="2"/>
  <c r="I47" i="2"/>
  <c r="I45" i="2"/>
  <c r="I32" i="2"/>
  <c r="I49" i="2"/>
  <c r="I233" i="2"/>
  <c r="I209" i="2"/>
  <c r="I56" i="2"/>
  <c r="I52" i="2"/>
  <c r="I185" i="2"/>
  <c r="I50" i="2"/>
  <c r="I57" i="2"/>
  <c r="I346" i="2"/>
  <c r="I112" i="2"/>
  <c r="I54" i="2"/>
  <c r="I58" i="2"/>
  <c r="I60" i="2"/>
  <c r="I68" i="2"/>
  <c r="I66" i="2"/>
  <c r="I90" i="2"/>
  <c r="I64" i="2"/>
  <c r="I70" i="2"/>
  <c r="I62" i="2"/>
  <c r="I88" i="2"/>
  <c r="I78" i="2"/>
  <c r="I82" i="2"/>
  <c r="I76" i="2"/>
  <c r="I84" i="2"/>
  <c r="I72" i="2"/>
  <c r="I86" i="2"/>
  <c r="I74" i="2"/>
  <c r="I92" i="2"/>
  <c r="I80" i="2"/>
  <c r="I102" i="2"/>
  <c r="I100" i="2"/>
  <c r="I94" i="2"/>
  <c r="I108" i="2"/>
  <c r="I128" i="2"/>
  <c r="I98" i="2"/>
  <c r="I96" i="2"/>
  <c r="I132" i="2"/>
  <c r="I110" i="2"/>
  <c r="I120" i="2"/>
  <c r="I106" i="2"/>
  <c r="I104" i="2"/>
  <c r="I114" i="2"/>
  <c r="I142" i="2"/>
  <c r="I124" i="2"/>
  <c r="I130" i="2"/>
  <c r="I122" i="2"/>
  <c r="I118" i="2"/>
  <c r="I116" i="2"/>
  <c r="I126" i="2"/>
  <c r="I136" i="2"/>
  <c r="I146" i="2"/>
  <c r="I134" i="2"/>
  <c r="I140" i="2"/>
  <c r="I150" i="2"/>
  <c r="I144" i="2"/>
  <c r="I138" i="2"/>
  <c r="I148" i="2"/>
  <c r="I154" i="2"/>
  <c r="I65" i="2"/>
  <c r="I152" i="2"/>
  <c r="I166" i="2"/>
  <c r="I160" i="2"/>
  <c r="I158" i="2"/>
  <c r="I162" i="2"/>
  <c r="I156" i="2"/>
  <c r="I164" i="2"/>
  <c r="I170" i="2"/>
  <c r="I180" i="2"/>
  <c r="I168" i="2"/>
  <c r="I178" i="2"/>
  <c r="I348" i="2"/>
  <c r="I217" i="2"/>
  <c r="I213" i="2"/>
  <c r="I225" i="2"/>
  <c r="I176" i="2"/>
  <c r="I172" i="2"/>
  <c r="I186" i="2"/>
  <c r="I174" i="2"/>
  <c r="I187" i="2"/>
  <c r="I212" i="2"/>
  <c r="I350" i="2"/>
  <c r="I207" i="2"/>
  <c r="I208" i="2"/>
  <c r="I188" i="2"/>
  <c r="I216" i="2"/>
  <c r="I63" i="2"/>
  <c r="I206" i="2"/>
  <c r="I79" i="2"/>
  <c r="I73" i="2"/>
  <c r="I189" i="2"/>
  <c r="I59" i="2"/>
  <c r="I69" i="2"/>
  <c r="I75" i="2"/>
  <c r="I61" i="2"/>
  <c r="I67" i="2"/>
  <c r="I205" i="2"/>
  <c r="I71" i="2"/>
  <c r="I77" i="2"/>
  <c r="I81" i="2"/>
  <c r="I87" i="2"/>
  <c r="I83" i="2"/>
  <c r="I99" i="2"/>
  <c r="I137" i="2"/>
  <c r="I85" i="2"/>
  <c r="I89" i="2"/>
  <c r="I115" i="2"/>
  <c r="I93" i="2"/>
  <c r="I91" i="2"/>
  <c r="I103" i="2"/>
  <c r="I95" i="2"/>
  <c r="I101" i="2"/>
  <c r="I97" i="2"/>
  <c r="I105" i="2"/>
  <c r="I127" i="2"/>
  <c r="I111" i="2"/>
  <c r="I109" i="2"/>
  <c r="I107" i="2"/>
  <c r="I117" i="2"/>
  <c r="I119" i="2"/>
  <c r="I113" i="2"/>
  <c r="I125" i="2"/>
  <c r="I123" i="2"/>
  <c r="I135" i="2"/>
  <c r="I121" i="2"/>
  <c r="I129" i="2"/>
  <c r="I131" i="2"/>
  <c r="I139" i="2"/>
  <c r="I133" i="2"/>
  <c r="I143" i="2"/>
  <c r="I161" i="2"/>
  <c r="I155" i="2"/>
  <c r="I179" i="2"/>
  <c r="I141" i="2"/>
  <c r="I147" i="2"/>
  <c r="I165" i="2"/>
  <c r="I199" i="2"/>
  <c r="I163" i="2"/>
  <c r="I145" i="2"/>
  <c r="I157" i="2"/>
  <c r="I151" i="2"/>
  <c r="I149" i="2"/>
  <c r="I167" i="2"/>
  <c r="I171" i="2"/>
  <c r="I153" i="2"/>
  <c r="I159" i="2"/>
  <c r="I169" i="2"/>
  <c r="I211" i="2"/>
  <c r="I177" i="2"/>
  <c r="I219" i="2"/>
  <c r="I173" i="2"/>
  <c r="I215" i="2"/>
  <c r="I175" i="2"/>
  <c r="I221" i="2"/>
  <c r="I197" i="2"/>
  <c r="I191" i="2"/>
  <c r="I195" i="2"/>
  <c r="I229" i="2"/>
  <c r="I182" i="2"/>
  <c r="I190" i="2"/>
  <c r="I193" i="2"/>
  <c r="I198" i="2"/>
  <c r="I201" i="2"/>
  <c r="I204" i="2"/>
  <c r="I203" i="2"/>
  <c r="I183" i="2"/>
  <c r="I192" i="2"/>
  <c r="I194" i="2"/>
  <c r="I200" i="2"/>
  <c r="I196" i="2"/>
  <c r="I235" i="2"/>
  <c r="I202" i="2"/>
  <c r="I227" i="2"/>
  <c r="I218" i="2"/>
  <c r="I184" i="2"/>
  <c r="I328" i="2"/>
  <c r="I210" i="2"/>
  <c r="I354" i="2"/>
  <c r="I214" i="2"/>
  <c r="I331" i="2"/>
  <c r="I241" i="2"/>
  <c r="I335" i="2"/>
  <c r="I458" i="2"/>
  <c r="I237" i="2"/>
  <c r="I459" i="2"/>
  <c r="I357" i="2"/>
  <c r="I245" i="2"/>
  <c r="I243" i="2"/>
  <c r="I330" i="2"/>
  <c r="I339" i="2"/>
  <c r="I327" i="2"/>
  <c r="I352" i="2"/>
  <c r="I343" i="2"/>
  <c r="I329" i="2"/>
  <c r="I247" i="2"/>
  <c r="I239" i="2"/>
  <c r="I249" i="2"/>
  <c r="I259" i="2"/>
  <c r="I253" i="2"/>
  <c r="I255" i="2"/>
  <c r="I263" i="2"/>
  <c r="I251" i="2"/>
  <c r="I267" i="2"/>
  <c r="I257" i="2"/>
  <c r="I271" i="2"/>
  <c r="I265" i="2"/>
  <c r="I261" i="2"/>
  <c r="I269" i="2"/>
  <c r="I273" i="2"/>
  <c r="I289" i="2"/>
  <c r="I285" i="2"/>
  <c r="I287" i="2"/>
  <c r="I275" i="2"/>
  <c r="I303" i="2"/>
  <c r="I279" i="2"/>
  <c r="I277" i="2"/>
  <c r="I281" i="2"/>
  <c r="I313" i="2"/>
  <c r="I283" i="2"/>
  <c r="I293" i="2"/>
  <c r="I291" i="2"/>
  <c r="I305" i="2"/>
  <c r="I295" i="2"/>
  <c r="I297" i="2"/>
  <c r="I317" i="2"/>
  <c r="I301" i="2"/>
  <c r="I228" i="2"/>
  <c r="I299" i="2"/>
  <c r="I319" i="2"/>
  <c r="I311" i="2"/>
  <c r="I309" i="2"/>
  <c r="I315" i="2"/>
  <c r="I342" i="2"/>
  <c r="I307" i="2"/>
  <c r="I321" i="2"/>
  <c r="I325" i="2"/>
  <c r="I349" i="2"/>
  <c r="I338" i="2"/>
  <c r="I323" i="2"/>
  <c r="I334" i="2"/>
  <c r="I358" i="2"/>
  <c r="I366" i="2"/>
  <c r="I353" i="2"/>
  <c r="I362" i="2"/>
  <c r="I222" i="2"/>
  <c r="I333" i="2"/>
  <c r="I341" i="2"/>
  <c r="I220" i="2"/>
  <c r="I337" i="2"/>
  <c r="I345" i="2"/>
  <c r="I356" i="2"/>
  <c r="I260" i="2"/>
  <c r="I351" i="2"/>
  <c r="I347" i="2"/>
  <c r="I224" i="2"/>
  <c r="I230" i="2"/>
  <c r="I232" i="2"/>
  <c r="I236" i="2"/>
  <c r="I240" i="2"/>
  <c r="I226" i="2"/>
  <c r="I234" i="2"/>
  <c r="I244" i="2"/>
  <c r="I268" i="2"/>
  <c r="I264" i="2"/>
  <c r="I238" i="2"/>
  <c r="I248" i="2"/>
  <c r="I262" i="2"/>
  <c r="I242" i="2"/>
  <c r="I252" i="2"/>
  <c r="I254" i="2"/>
  <c r="I246" i="2"/>
  <c r="I288" i="2"/>
  <c r="I258" i="2"/>
  <c r="I270" i="2"/>
  <c r="I256" i="2"/>
  <c r="I250" i="2"/>
  <c r="I274" i="2"/>
  <c r="I282" i="2"/>
  <c r="I276" i="2"/>
  <c r="I278" i="2"/>
  <c r="I280" i="2"/>
  <c r="I272" i="2"/>
  <c r="I296" i="2"/>
  <c r="I266" i="2"/>
  <c r="I284" i="2"/>
  <c r="I290" i="2"/>
  <c r="I286" i="2"/>
  <c r="I292" i="2"/>
  <c r="I298" i="2"/>
  <c r="I302" i="2"/>
  <c r="I306" i="2"/>
  <c r="I294" i="2"/>
  <c r="I300" i="2"/>
  <c r="I312" i="2"/>
  <c r="I314" i="2"/>
  <c r="I304" i="2"/>
  <c r="I308" i="2"/>
  <c r="I318" i="2"/>
  <c r="I310" i="2"/>
  <c r="I316" i="2"/>
  <c r="I340" i="2"/>
  <c r="I364" i="2"/>
  <c r="I363" i="2"/>
  <c r="I322" i="2"/>
  <c r="I336" i="2"/>
  <c r="I367" i="2"/>
  <c r="I320" i="2"/>
  <c r="I324" i="2"/>
  <c r="I361" i="2"/>
  <c r="I344" i="2"/>
  <c r="I332" i="2"/>
  <c r="I360" i="2"/>
  <c r="I326" i="2"/>
  <c r="I368" i="2"/>
  <c r="I375" i="2"/>
  <c r="I359" i="2"/>
  <c r="I457" i="2"/>
  <c r="I377" i="2"/>
  <c r="I371" i="2"/>
  <c r="I373" i="2"/>
  <c r="I385" i="2"/>
  <c r="I369" i="2"/>
  <c r="I365" i="2"/>
  <c r="I383" i="2"/>
  <c r="I381" i="2"/>
  <c r="I379" i="2"/>
  <c r="I391" i="2"/>
  <c r="I387" i="2"/>
  <c r="I395" i="2"/>
  <c r="I399" i="2"/>
  <c r="I389" i="2"/>
  <c r="I393" i="2"/>
  <c r="I403" i="2"/>
  <c r="I397" i="2"/>
  <c r="I429" i="2"/>
  <c r="I415" i="2"/>
  <c r="I407" i="2"/>
  <c r="I427" i="2"/>
  <c r="I413" i="2"/>
  <c r="I401" i="2"/>
  <c r="I409" i="2"/>
  <c r="I405" i="2"/>
  <c r="I449" i="2"/>
  <c r="I411" i="2"/>
  <c r="I417" i="2"/>
  <c r="I419" i="2"/>
  <c r="I425" i="2"/>
  <c r="I423" i="2"/>
  <c r="I421" i="2"/>
  <c r="I372" i="2"/>
  <c r="I433" i="2"/>
  <c r="I443" i="2"/>
  <c r="I431" i="2"/>
  <c r="I437" i="2"/>
  <c r="I439" i="2"/>
  <c r="I447" i="2"/>
  <c r="I370" i="2"/>
  <c r="I435" i="2"/>
  <c r="I396" i="2"/>
  <c r="I461" i="2"/>
  <c r="I445" i="2"/>
  <c r="I441" i="2"/>
  <c r="I455" i="2"/>
  <c r="I452" i="2"/>
  <c r="I456" i="2"/>
  <c r="I450" i="2"/>
  <c r="I376" i="2"/>
  <c r="I374" i="2"/>
  <c r="I380" i="2"/>
  <c r="I392" i="2"/>
  <c r="I378" i="2"/>
  <c r="I394" i="2"/>
  <c r="I386" i="2"/>
  <c r="I388" i="2"/>
  <c r="I402" i="2"/>
  <c r="I384" i="2"/>
  <c r="I390" i="2"/>
  <c r="I400" i="2"/>
  <c r="I382" i="2"/>
  <c r="I406" i="2"/>
  <c r="I398" i="2"/>
  <c r="I412" i="2"/>
  <c r="I404" i="2"/>
  <c r="I410" i="2"/>
  <c r="I408" i="2"/>
  <c r="I428" i="2"/>
  <c r="I418" i="2"/>
  <c r="I842" i="2"/>
  <c r="I414" i="2"/>
  <c r="I426" i="2"/>
  <c r="I424" i="2"/>
  <c r="I432" i="2"/>
  <c r="I420" i="2"/>
  <c r="I416" i="2"/>
  <c r="I438" i="2"/>
  <c r="I422" i="2"/>
  <c r="I430" i="2"/>
  <c r="I436" i="2"/>
  <c r="I434" i="2"/>
  <c r="I446" i="2"/>
  <c r="I597" i="2"/>
  <c r="I442" i="2"/>
  <c r="I440" i="2"/>
  <c r="I444" i="2"/>
  <c r="I448" i="2"/>
  <c r="I453" i="2"/>
  <c r="I774" i="2"/>
  <c r="I487" i="2"/>
  <c r="I451" i="2"/>
  <c r="I491" i="2"/>
  <c r="I858" i="2"/>
  <c r="I463" i="2"/>
  <c r="I826" i="2"/>
  <c r="I454" i="2"/>
  <c r="I599" i="2"/>
  <c r="I834" i="2"/>
  <c r="I613" i="2"/>
  <c r="I601" i="2"/>
  <c r="I609" i="2"/>
  <c r="I607" i="2"/>
  <c r="I603" i="2"/>
  <c r="I605" i="2"/>
  <c r="I611" i="2"/>
  <c r="I475" i="2"/>
  <c r="I471" i="2"/>
  <c r="I469" i="2"/>
  <c r="I479" i="2"/>
  <c r="I850" i="2"/>
  <c r="I467" i="2"/>
  <c r="I465" i="2"/>
  <c r="I483" i="2"/>
  <c r="I477" i="2"/>
  <c r="I497" i="2"/>
  <c r="I527" i="2"/>
  <c r="I473" i="2"/>
  <c r="I493" i="2"/>
  <c r="I485" i="2"/>
  <c r="I481" i="2"/>
  <c r="I489" i="2"/>
  <c r="I495" i="2"/>
  <c r="I499" i="2"/>
  <c r="I505" i="2"/>
  <c r="I501" i="2"/>
  <c r="I519" i="2"/>
  <c r="I507" i="2"/>
  <c r="I503" i="2"/>
  <c r="I509" i="2"/>
  <c r="I517" i="2"/>
  <c r="I515" i="2"/>
  <c r="I537" i="2"/>
  <c r="I511" i="2"/>
  <c r="I513" i="2"/>
  <c r="I531" i="2"/>
  <c r="I523" i="2"/>
  <c r="I559" i="2"/>
  <c r="I533" i="2"/>
  <c r="I525" i="2"/>
  <c r="I521" i="2"/>
  <c r="I539" i="2"/>
  <c r="I545" i="2"/>
  <c r="I529" i="2"/>
  <c r="I535" i="2"/>
  <c r="I557" i="2"/>
  <c r="I541" i="2"/>
  <c r="I555" i="2"/>
  <c r="I543" i="2"/>
  <c r="I549" i="2"/>
  <c r="I547" i="2"/>
  <c r="I553" i="2"/>
  <c r="I551" i="2"/>
  <c r="I561" i="2"/>
  <c r="I565" i="2"/>
  <c r="I579" i="2"/>
  <c r="I571" i="2"/>
  <c r="I567" i="2"/>
  <c r="I569" i="2"/>
  <c r="I563" i="2"/>
  <c r="I577" i="2"/>
  <c r="I573" i="2"/>
  <c r="I585" i="2"/>
  <c r="I575" i="2"/>
  <c r="I591" i="2"/>
  <c r="I593" i="2"/>
  <c r="I866" i="2"/>
  <c r="I583" i="2"/>
  <c r="I587" i="2"/>
  <c r="I581" i="2"/>
  <c r="I466" i="2"/>
  <c r="I460" i="2"/>
  <c r="I595" i="2"/>
  <c r="I589" i="2"/>
  <c r="I802" i="2"/>
  <c r="I470" i="2"/>
  <c r="I874" i="2"/>
  <c r="I786" i="2"/>
  <c r="I462" i="2"/>
  <c r="I596" i="2"/>
  <c r="I474" i="2"/>
  <c r="I810" i="2"/>
  <c r="I472" i="2"/>
  <c r="I794" i="2"/>
  <c r="I464" i="2"/>
  <c r="I478" i="2"/>
  <c r="I468" i="2"/>
  <c r="I494" i="2"/>
  <c r="I476" i="2"/>
  <c r="I484" i="2"/>
  <c r="I486" i="2"/>
  <c r="I482" i="2"/>
  <c r="I480" i="2"/>
  <c r="I490" i="2"/>
  <c r="I504" i="2"/>
  <c r="I496" i="2"/>
  <c r="I492" i="2"/>
  <c r="I488" i="2"/>
  <c r="I498" i="2"/>
  <c r="I502" i="2"/>
  <c r="I518" i="2"/>
  <c r="I500" i="2"/>
  <c r="I506" i="2"/>
  <c r="I510" i="2"/>
  <c r="I508" i="2"/>
  <c r="I526" i="2"/>
  <c r="I528" i="2"/>
  <c r="I534" i="2"/>
  <c r="I514" i="2"/>
  <c r="I516" i="2"/>
  <c r="I524" i="2"/>
  <c r="I512" i="2"/>
  <c r="I522" i="2"/>
  <c r="I530" i="2"/>
  <c r="I520" i="2"/>
  <c r="I538" i="2"/>
  <c r="I532" i="2"/>
  <c r="I540" i="2"/>
  <c r="I542" i="2"/>
  <c r="I536" i="2"/>
  <c r="I564" i="2"/>
  <c r="I566" i="2"/>
  <c r="I544" i="2"/>
  <c r="I546" i="2"/>
  <c r="I558" i="2"/>
  <c r="I556" i="2"/>
  <c r="I550" i="2"/>
  <c r="I548" i="2"/>
  <c r="I562" i="2"/>
  <c r="I570" i="2"/>
  <c r="I574" i="2"/>
  <c r="I554" i="2"/>
  <c r="I552" i="2"/>
  <c r="I560" i="2"/>
  <c r="I586" i="2"/>
  <c r="I580" i="2"/>
  <c r="I582" i="2"/>
  <c r="I588" i="2"/>
  <c r="I568" i="2"/>
  <c r="I584" i="2"/>
  <c r="I572" i="2"/>
  <c r="I578" i="2"/>
  <c r="I621" i="2"/>
  <c r="I735" i="2"/>
  <c r="I576" i="2"/>
  <c r="I590" i="2"/>
  <c r="I594" i="2"/>
  <c r="I818" i="2"/>
  <c r="I736" i="2"/>
  <c r="I737" i="2"/>
  <c r="I592" i="2"/>
  <c r="I617" i="2"/>
  <c r="I629" i="2"/>
  <c r="I625" i="2"/>
  <c r="I615" i="2"/>
  <c r="I619" i="2"/>
  <c r="I635" i="2"/>
  <c r="I627" i="2"/>
  <c r="I631" i="2"/>
  <c r="I633" i="2"/>
  <c r="I637" i="2"/>
  <c r="I623" i="2"/>
  <c r="I643" i="2"/>
  <c r="I639" i="2"/>
  <c r="I641" i="2"/>
  <c r="I649" i="2"/>
  <c r="I645" i="2"/>
  <c r="I693" i="2"/>
  <c r="I661" i="2"/>
  <c r="I655" i="2"/>
  <c r="I669" i="2"/>
  <c r="I647" i="2"/>
  <c r="I653" i="2"/>
  <c r="I663" i="2"/>
  <c r="I651" i="2"/>
  <c r="I657" i="2"/>
  <c r="I659" i="2"/>
  <c r="I667" i="2"/>
  <c r="I665" i="2"/>
  <c r="I671" i="2"/>
  <c r="I679" i="2"/>
  <c r="I675" i="2"/>
  <c r="I695" i="2"/>
  <c r="I673" i="2"/>
  <c r="I683" i="2"/>
  <c r="I681" i="2"/>
  <c r="I677" i="2"/>
  <c r="I689" i="2"/>
  <c r="I727" i="2"/>
  <c r="I685" i="2"/>
  <c r="I687" i="2"/>
  <c r="I772" i="2"/>
  <c r="I699" i="2"/>
  <c r="I691" i="2"/>
  <c r="I701" i="2"/>
  <c r="I705" i="2"/>
  <c r="I697" i="2"/>
  <c r="I703" i="2"/>
  <c r="I709" i="2"/>
  <c r="I713" i="2"/>
  <c r="I711" i="2"/>
  <c r="I707" i="2"/>
  <c r="I729" i="2"/>
  <c r="I721" i="2"/>
  <c r="I725" i="2"/>
  <c r="I715" i="2"/>
  <c r="I719" i="2"/>
  <c r="I723" i="2"/>
  <c r="I756" i="2"/>
  <c r="I752" i="2"/>
  <c r="I717" i="2"/>
  <c r="I731" i="2"/>
  <c r="I836" i="2"/>
  <c r="I812" i="2"/>
  <c r="I804" i="2"/>
  <c r="I738" i="2"/>
  <c r="I828" i="2"/>
  <c r="I780" i="2"/>
  <c r="I739" i="2"/>
  <c r="I788" i="2"/>
  <c r="I852" i="2"/>
  <c r="I844" i="2"/>
  <c r="I796" i="2"/>
  <c r="I820" i="2"/>
  <c r="I868" i="2"/>
  <c r="I876" i="2"/>
  <c r="I782" i="2"/>
  <c r="I860" i="2"/>
  <c r="I778" i="2"/>
  <c r="I846" i="2"/>
  <c r="I732" i="2"/>
  <c r="I740" i="2"/>
  <c r="I758" i="2"/>
  <c r="I790" i="2"/>
  <c r="I770" i="2"/>
  <c r="I870" i="2"/>
  <c r="I806" i="2"/>
  <c r="I733" i="2"/>
  <c r="I798" i="2"/>
  <c r="I814" i="2"/>
  <c r="I830" i="2"/>
  <c r="I862" i="2"/>
  <c r="I822" i="2"/>
  <c r="I854" i="2"/>
  <c r="I838" i="2"/>
  <c r="I602" i="2"/>
  <c r="I606" i="2"/>
  <c r="I612" i="2"/>
  <c r="I741" i="2"/>
  <c r="I604" i="2"/>
  <c r="I598" i="2"/>
  <c r="I600" i="2"/>
  <c r="I630" i="2"/>
  <c r="I616" i="2"/>
  <c r="I608" i="2"/>
  <c r="I610" i="2"/>
  <c r="I624" i="2"/>
  <c r="I618" i="2"/>
  <c r="I614" i="2"/>
  <c r="I622" i="2"/>
  <c r="I672" i="2"/>
  <c r="I646" i="2"/>
  <c r="I620" i="2"/>
  <c r="I636" i="2"/>
  <c r="I632" i="2"/>
  <c r="I638" i="2"/>
  <c r="I628" i="2"/>
  <c r="I626" i="2"/>
  <c r="I658" i="2"/>
  <c r="I644" i="2"/>
  <c r="I634" i="2"/>
  <c r="I642" i="2"/>
  <c r="I648" i="2"/>
  <c r="I652" i="2"/>
  <c r="I640" i="2"/>
  <c r="I650" i="2"/>
  <c r="I656" i="2"/>
  <c r="I660" i="2"/>
  <c r="I668" i="2"/>
  <c r="I654" i="2"/>
  <c r="I666" i="2"/>
  <c r="I670" i="2"/>
  <c r="I662" i="2"/>
  <c r="I676" i="2"/>
  <c r="I664" i="2"/>
  <c r="I680" i="2"/>
  <c r="I678" i="2"/>
  <c r="I690" i="2"/>
  <c r="I686" i="2"/>
  <c r="I674" i="2"/>
  <c r="I682" i="2"/>
  <c r="I688" i="2"/>
  <c r="I684" i="2"/>
  <c r="I692" i="2"/>
  <c r="I694" i="2"/>
  <c r="I708" i="2"/>
  <c r="I702" i="2"/>
  <c r="I696" i="2"/>
  <c r="I712" i="2"/>
  <c r="I698" i="2"/>
  <c r="I700" i="2"/>
  <c r="I718" i="2"/>
  <c r="I704" i="2"/>
  <c r="I706" i="2"/>
  <c r="I726" i="2"/>
  <c r="I710" i="2"/>
  <c r="I720" i="2"/>
  <c r="I722" i="2"/>
  <c r="I716" i="2"/>
  <c r="I714" i="2"/>
  <c r="I730" i="2"/>
  <c r="I728" i="2"/>
  <c r="I724" i="2"/>
  <c r="I766" i="2"/>
  <c r="I748" i="2"/>
  <c r="I746" i="2"/>
  <c r="I762" i="2"/>
  <c r="I734" i="2"/>
  <c r="I760" i="2"/>
  <c r="I832" i="2"/>
  <c r="I800" i="2"/>
  <c r="I784" i="2"/>
  <c r="I768" i="2"/>
  <c r="I744" i="2"/>
  <c r="I750" i="2"/>
  <c r="I742" i="2"/>
  <c r="I754" i="2"/>
  <c r="I764" i="2"/>
  <c r="I792" i="2"/>
  <c r="I816" i="2"/>
  <c r="I824" i="2"/>
  <c r="I776" i="2"/>
  <c r="I808" i="2"/>
  <c r="I840" i="2"/>
  <c r="I895" i="2"/>
  <c r="I848" i="2"/>
  <c r="I889" i="2"/>
  <c r="I856" i="2"/>
  <c r="I891" i="2"/>
  <c r="I864" i="2"/>
  <c r="I885" i="2"/>
  <c r="I887" i="2"/>
  <c r="I893" i="2"/>
  <c r="I897" i="2"/>
  <c r="I872" i="2"/>
  <c r="I879" i="2"/>
  <c r="I1039" i="2"/>
  <c r="I880" i="2"/>
  <c r="I905" i="2"/>
  <c r="I921" i="2"/>
  <c r="I901" i="2"/>
  <c r="I909" i="2"/>
  <c r="I913" i="2"/>
  <c r="I925" i="2"/>
  <c r="I763" i="2"/>
  <c r="I917" i="2"/>
  <c r="I747" i="2"/>
  <c r="I881" i="2"/>
  <c r="I749" i="2"/>
  <c r="I745" i="2"/>
  <c r="I743" i="2"/>
  <c r="I877" i="2"/>
  <c r="I1143" i="2"/>
  <c r="I751" i="2"/>
  <c r="I755" i="2"/>
  <c r="I753" i="2"/>
  <c r="I761" i="2"/>
  <c r="I757" i="2"/>
  <c r="I759" i="2"/>
  <c r="I779" i="2"/>
  <c r="I765" i="2"/>
  <c r="I791" i="2"/>
  <c r="I773" i="2"/>
  <c r="I767" i="2"/>
  <c r="I769" i="2"/>
  <c r="I775" i="2"/>
  <c r="I807" i="2"/>
  <c r="I771" i="2"/>
  <c r="I777" i="2"/>
  <c r="I787" i="2"/>
  <c r="I785" i="2"/>
  <c r="I803" i="2"/>
  <c r="I799" i="2"/>
  <c r="I783" i="2"/>
  <c r="I789" i="2"/>
  <c r="I797" i="2"/>
  <c r="I781" i="2"/>
  <c r="I847" i="2"/>
  <c r="I805" i="2"/>
  <c r="I801" i="2"/>
  <c r="I809" i="2"/>
  <c r="I795" i="2"/>
  <c r="I819" i="2"/>
  <c r="I793" i="2"/>
  <c r="I815" i="2"/>
  <c r="I813" i="2"/>
  <c r="I823" i="2"/>
  <c r="I811" i="2"/>
  <c r="I817" i="2"/>
  <c r="I825" i="2"/>
  <c r="I821" i="2"/>
  <c r="I827" i="2"/>
  <c r="I831" i="2"/>
  <c r="I829" i="2"/>
  <c r="I835" i="2"/>
  <c r="I833" i="2"/>
  <c r="I837" i="2"/>
  <c r="I855" i="2"/>
  <c r="I841" i="2"/>
  <c r="I843" i="2"/>
  <c r="I845" i="2"/>
  <c r="I839" i="2"/>
  <c r="I861" i="2"/>
  <c r="I865" i="2"/>
  <c r="I849" i="2"/>
  <c r="I863" i="2"/>
  <c r="I853" i="2"/>
  <c r="I871" i="2"/>
  <c r="I859" i="2"/>
  <c r="I851" i="2"/>
  <c r="I857" i="2"/>
  <c r="I915" i="2"/>
  <c r="I882" i="2"/>
  <c r="I878" i="2"/>
  <c r="I919" i="2"/>
  <c r="I867" i="2"/>
  <c r="I873" i="2"/>
  <c r="I869" i="2"/>
  <c r="I903" i="2"/>
  <c r="I875" i="2"/>
  <c r="I907" i="2"/>
  <c r="I899" i="2"/>
  <c r="I883" i="2"/>
  <c r="I911" i="2"/>
  <c r="I923" i="2"/>
  <c r="I886" i="2"/>
  <c r="I890" i="2"/>
  <c r="I884" i="2"/>
  <c r="I892" i="2"/>
  <c r="I888" i="2"/>
  <c r="I898" i="2"/>
  <c r="I906" i="2"/>
  <c r="I912" i="2"/>
  <c r="I896" i="2"/>
  <c r="I894" i="2"/>
  <c r="I900" i="2"/>
  <c r="I914" i="2"/>
  <c r="I902" i="2"/>
  <c r="I930" i="2"/>
  <c r="I926" i="2"/>
  <c r="I918" i="2"/>
  <c r="I904" i="2"/>
  <c r="I916" i="2"/>
  <c r="I908" i="2"/>
  <c r="I910" i="2"/>
  <c r="I928" i="2"/>
  <c r="I924" i="2"/>
  <c r="I922" i="2"/>
  <c r="I936" i="2"/>
  <c r="I944" i="2"/>
  <c r="I934" i="2"/>
  <c r="I920" i="2"/>
  <c r="I932" i="2"/>
  <c r="I938" i="2"/>
  <c r="I942" i="2"/>
  <c r="I940" i="2"/>
  <c r="I948" i="2"/>
  <c r="I952" i="2"/>
  <c r="I962" i="2"/>
  <c r="I946" i="2"/>
  <c r="I956" i="2"/>
  <c r="I964" i="2"/>
  <c r="I950" i="2"/>
  <c r="I978" i="2"/>
  <c r="I960" i="2"/>
  <c r="I988" i="2"/>
  <c r="I958" i="2"/>
  <c r="I954" i="2"/>
  <c r="I980" i="2"/>
  <c r="I966" i="2"/>
  <c r="I968" i="2"/>
  <c r="I970" i="2"/>
  <c r="I974" i="2"/>
  <c r="I976" i="2"/>
  <c r="I972" i="2"/>
  <c r="I996" i="2"/>
  <c r="I982" i="2"/>
  <c r="I984" i="2"/>
  <c r="I990" i="2"/>
  <c r="I1006" i="2"/>
  <c r="I986" i="2"/>
  <c r="I994" i="2"/>
  <c r="I1040" i="2"/>
  <c r="I992" i="2"/>
  <c r="I1002" i="2"/>
  <c r="I998" i="2"/>
  <c r="I1008" i="2"/>
  <c r="I1010" i="2"/>
  <c r="I1004" i="2"/>
  <c r="I1000" i="2"/>
  <c r="I1053" i="2"/>
  <c r="I1043" i="2"/>
  <c r="I1020" i="2"/>
  <c r="I1017" i="2"/>
  <c r="I1048" i="2"/>
  <c r="I1051" i="2"/>
  <c r="I1045" i="2"/>
  <c r="I1021" i="2"/>
  <c r="I1014" i="2"/>
  <c r="I1018" i="2"/>
  <c r="I1015" i="2"/>
  <c r="I1013" i="2"/>
  <c r="I1038" i="2"/>
  <c r="I1024" i="2"/>
  <c r="I1019" i="2"/>
  <c r="I1016" i="2"/>
  <c r="I1182" i="2"/>
  <c r="I1025" i="2"/>
  <c r="I1023" i="2"/>
  <c r="I1029" i="2"/>
  <c r="I1027" i="2"/>
  <c r="I1022" i="2"/>
  <c r="I1028" i="2"/>
  <c r="I1035" i="2"/>
  <c r="I1034" i="2"/>
  <c r="I1026" i="2"/>
  <c r="I1030" i="2"/>
  <c r="I1032" i="2"/>
  <c r="I1031" i="2"/>
  <c r="I931" i="2"/>
  <c r="I1033" i="2"/>
  <c r="I1050" i="2"/>
  <c r="I1036" i="2"/>
  <c r="I927" i="2"/>
  <c r="I1037" i="2"/>
  <c r="I1042" i="2"/>
  <c r="I937" i="2"/>
  <c r="I935" i="2"/>
  <c r="I943" i="2"/>
  <c r="I933" i="2"/>
  <c r="I939" i="2"/>
  <c r="I983" i="2"/>
  <c r="I929" i="2"/>
  <c r="I1009" i="2"/>
  <c r="I945" i="2"/>
  <c r="I959" i="2"/>
  <c r="I955" i="2"/>
  <c r="I941" i="2"/>
  <c r="I949" i="2"/>
  <c r="I953" i="2"/>
  <c r="I951" i="2"/>
  <c r="I947" i="2"/>
  <c r="I957" i="2"/>
  <c r="I985" i="2"/>
  <c r="I979" i="2"/>
  <c r="I961" i="2"/>
  <c r="I963" i="2"/>
  <c r="I971" i="2"/>
  <c r="I965" i="2"/>
  <c r="I967" i="2"/>
  <c r="I989" i="2"/>
  <c r="I981" i="2"/>
  <c r="I977" i="2"/>
  <c r="I975" i="2"/>
  <c r="I1001" i="2"/>
  <c r="I1005" i="2"/>
  <c r="I993" i="2"/>
  <c r="I973" i="2"/>
  <c r="I969" i="2"/>
  <c r="I991" i="2"/>
  <c r="I987" i="2"/>
  <c r="I1003" i="2"/>
  <c r="I997" i="2"/>
  <c r="I995" i="2"/>
  <c r="I1012" i="2"/>
  <c r="I999" i="2"/>
  <c r="I1041" i="2"/>
  <c r="I1007" i="2"/>
  <c r="I1054" i="2"/>
  <c r="I1052" i="2"/>
  <c r="I1044" i="2"/>
  <c r="I1011" i="2"/>
  <c r="I1047" i="2"/>
  <c r="I1049" i="2"/>
  <c r="I1046" i="2"/>
  <c r="I1148" i="2"/>
  <c r="I1152" i="2"/>
  <c r="I1155" i="2"/>
  <c r="I1157" i="2"/>
  <c r="I1228" i="2"/>
  <c r="I1154" i="2"/>
  <c r="I1156" i="2"/>
  <c r="I1244" i="2"/>
  <c r="I1187" i="2"/>
  <c r="I1153" i="2"/>
  <c r="I1174" i="2"/>
  <c r="I1220" i="2"/>
  <c r="I1255" i="2"/>
  <c r="I1158" i="2"/>
  <c r="I1167" i="2"/>
  <c r="I1159" i="2"/>
  <c r="I1210" i="2"/>
  <c r="I1214" i="2"/>
  <c r="I1185" i="2"/>
  <c r="I1166" i="2"/>
  <c r="I1236" i="2"/>
  <c r="I1252" i="2"/>
  <c r="I1222" i="2"/>
  <c r="I1194" i="2"/>
  <c r="I1198" i="2"/>
  <c r="I1177" i="2"/>
  <c r="I1202" i="2"/>
  <c r="I1190" i="2"/>
  <c r="I1206" i="2"/>
  <c r="I1246" i="2"/>
  <c r="I1146" i="2"/>
  <c r="I1165" i="2"/>
  <c r="I1164" i="2"/>
  <c r="I1173" i="2"/>
  <c r="I1230" i="2"/>
  <c r="I1238" i="2"/>
  <c r="I1172" i="2"/>
  <c r="I1057" i="2"/>
  <c r="I1055" i="2"/>
  <c r="I1067" i="2"/>
  <c r="I1059" i="2"/>
  <c r="I1065" i="2"/>
  <c r="I1179" i="2"/>
  <c r="I1188" i="2"/>
  <c r="I1063" i="2"/>
  <c r="I1077" i="2"/>
  <c r="I1083" i="2"/>
  <c r="I1071" i="2"/>
  <c r="I1087" i="2"/>
  <c r="I1061" i="2"/>
  <c r="I1069" i="2"/>
  <c r="I1085" i="2"/>
  <c r="I1075" i="2"/>
  <c r="I1089" i="2"/>
  <c r="I1081" i="2"/>
  <c r="I1105" i="2"/>
  <c r="I1101" i="2"/>
  <c r="I1073" i="2"/>
  <c r="I1093" i="2"/>
  <c r="I1079" i="2"/>
  <c r="I1091" i="2"/>
  <c r="I1095" i="2"/>
  <c r="I1097" i="2"/>
  <c r="I1099" i="2"/>
  <c r="I1109" i="2"/>
  <c r="I1103" i="2"/>
  <c r="I1107" i="2"/>
  <c r="I1119" i="2"/>
  <c r="I1117" i="2"/>
  <c r="I1111" i="2"/>
  <c r="I1115" i="2"/>
  <c r="I1113" i="2"/>
  <c r="I1127" i="2"/>
  <c r="I1133" i="2"/>
  <c r="I1125" i="2"/>
  <c r="I1121" i="2"/>
  <c r="I1123" i="2"/>
  <c r="I1240" i="2"/>
  <c r="I1131" i="2"/>
  <c r="I1149" i="2"/>
  <c r="I1129" i="2"/>
  <c r="I1144" i="2"/>
  <c r="I1139" i="2"/>
  <c r="I1141" i="2"/>
  <c r="I1135" i="2"/>
  <c r="I1137" i="2"/>
  <c r="I1186" i="2"/>
  <c r="I1181" i="2"/>
  <c r="I1163" i="2"/>
  <c r="I1150" i="2"/>
  <c r="I1162" i="2"/>
  <c r="I1184" i="2"/>
  <c r="I1176" i="2"/>
  <c r="I1171" i="2"/>
  <c r="I1216" i="2"/>
  <c r="I1224" i="2"/>
  <c r="I1192" i="2"/>
  <c r="I1170" i="2"/>
  <c r="I1232" i="2"/>
  <c r="I1169" i="2"/>
  <c r="I1248" i="2"/>
  <c r="I1204" i="2"/>
  <c r="I1208" i="2"/>
  <c r="I1196" i="2"/>
  <c r="I1212" i="2"/>
  <c r="I1200" i="2"/>
  <c r="I1234" i="2"/>
  <c r="I1226" i="2"/>
  <c r="I1147" i="2"/>
  <c r="I1142" i="2"/>
  <c r="I1250" i="2"/>
  <c r="I1178" i="2"/>
  <c r="I1218" i="2"/>
  <c r="I1161" i="2"/>
  <c r="I1189" i="2"/>
  <c r="I1058" i="2"/>
  <c r="I1242" i="2"/>
  <c r="I1160" i="2"/>
  <c r="I1175" i="2"/>
  <c r="I1168" i="2"/>
  <c r="I1070" i="2"/>
  <c r="I1183" i="2"/>
  <c r="I1082" i="2"/>
  <c r="I1068" i="2"/>
  <c r="I1056" i="2"/>
  <c r="I1060" i="2"/>
  <c r="I1064" i="2"/>
  <c r="I1062" i="2"/>
  <c r="I1066" i="2"/>
  <c r="I1076" i="2"/>
  <c r="I1072" i="2"/>
  <c r="I1090" i="2"/>
  <c r="I1092" i="2"/>
  <c r="I1074" i="2"/>
  <c r="I1096" i="2"/>
  <c r="I1078" i="2"/>
  <c r="I1080" i="2"/>
  <c r="I1084" i="2"/>
  <c r="I1086" i="2"/>
  <c r="I1098" i="2"/>
  <c r="I1088" i="2"/>
  <c r="I1104" i="2"/>
  <c r="I1108" i="2"/>
  <c r="I1094" i="2"/>
  <c r="I1118" i="2"/>
  <c r="I1116" i="2"/>
  <c r="I1100" i="2"/>
  <c r="I1102" i="2"/>
  <c r="I1106" i="2"/>
  <c r="I1110" i="2"/>
  <c r="I1120" i="2"/>
  <c r="I1114" i="2"/>
  <c r="I1122" i="2"/>
  <c r="I1112" i="2"/>
  <c r="I1262" i="2"/>
  <c r="I1145" i="2"/>
  <c r="I1124" i="2"/>
  <c r="I1126" i="2"/>
  <c r="I1151" i="2"/>
  <c r="I1130" i="2"/>
  <c r="I1128" i="2"/>
  <c r="I1180" i="2"/>
  <c r="I1140" i="2"/>
  <c r="I1286" i="2"/>
  <c r="I1256" i="2"/>
  <c r="I1134" i="2"/>
  <c r="I1261" i="2"/>
  <c r="I1132" i="2"/>
  <c r="I1136" i="2"/>
  <c r="I1138" i="2"/>
  <c r="I1257" i="2"/>
  <c r="I1269" i="2"/>
  <c r="I1263" i="2"/>
  <c r="I1260" i="2"/>
  <c r="I1259" i="2"/>
  <c r="I1264" i="2"/>
  <c r="I1258" i="2"/>
  <c r="I1270" i="2"/>
  <c r="I1265" i="2"/>
  <c r="I1266" i="2"/>
  <c r="I1268" i="2"/>
  <c r="I1267" i="2"/>
  <c r="I1273" i="2"/>
  <c r="I1271" i="2"/>
  <c r="I1272" i="2"/>
  <c r="I1274" i="2"/>
  <c r="I1281" i="2"/>
  <c r="I1275" i="2"/>
  <c r="I1276" i="2"/>
  <c r="I1277" i="2"/>
  <c r="I1278" i="2"/>
  <c r="I1283" i="2"/>
  <c r="I1280" i="2"/>
  <c r="I1279" i="2"/>
  <c r="I1419" i="2"/>
  <c r="I1284" i="2"/>
  <c r="I1195" i="2"/>
  <c r="I1193" i="2"/>
  <c r="I1411" i="2"/>
  <c r="I1282" i="2"/>
  <c r="I1285" i="2"/>
  <c r="I1289" i="2"/>
  <c r="I1403" i="2"/>
  <c r="I1397" i="2"/>
  <c r="I1191" i="2"/>
  <c r="I1213" i="2"/>
  <c r="I1197" i="2"/>
  <c r="I1207" i="2"/>
  <c r="I1199" i="2"/>
  <c r="I1203" i="2"/>
  <c r="I1205" i="2"/>
  <c r="I1209" i="2"/>
  <c r="I1211" i="2"/>
  <c r="I1201" i="2"/>
  <c r="I1221" i="2"/>
  <c r="I1241" i="2"/>
  <c r="I1233" i="2"/>
  <c r="I1227" i="2"/>
  <c r="I1215" i="2"/>
  <c r="I1229" i="2"/>
  <c r="I1219" i="2"/>
  <c r="I1217" i="2"/>
  <c r="I1223" i="2"/>
  <c r="I1235" i="2"/>
  <c r="I1239" i="2"/>
  <c r="I1225" i="2"/>
  <c r="I1249" i="2"/>
  <c r="I1243" i="2"/>
  <c r="I1251" i="2"/>
  <c r="I1231" i="2"/>
  <c r="I1237" i="2"/>
  <c r="I1247" i="2"/>
  <c r="I1288" i="2"/>
  <c r="I1253" i="2"/>
  <c r="I1415" i="2"/>
  <c r="I1287" i="2"/>
  <c r="I1245" i="2"/>
  <c r="I1347" i="2"/>
  <c r="I1407" i="2"/>
  <c r="I1291" i="2"/>
  <c r="I1290" i="2"/>
  <c r="I1254" i="2"/>
  <c r="I1299" i="2"/>
  <c r="I1293" i="2"/>
  <c r="I1301" i="2"/>
  <c r="I1292" i="2"/>
  <c r="I1315" i="2"/>
  <c r="I1295" i="2"/>
  <c r="I1311" i="2"/>
  <c r="I1303" i="2"/>
  <c r="I1349" i="2"/>
  <c r="I1297" i="2"/>
  <c r="I1305" i="2"/>
  <c r="I1319" i="2"/>
  <c r="I1317" i="2"/>
  <c r="I1327" i="2"/>
  <c r="I1309" i="2"/>
  <c r="I1307" i="2"/>
  <c r="I1313" i="2"/>
  <c r="I1321" i="2"/>
  <c r="I1325" i="2"/>
  <c r="I1337" i="2"/>
  <c r="I1333" i="2"/>
  <c r="I1351" i="2"/>
  <c r="I1323" i="2"/>
  <c r="I1329" i="2"/>
  <c r="I1339" i="2"/>
  <c r="I1343" i="2"/>
  <c r="I1341" i="2"/>
  <c r="I1331" i="2"/>
  <c r="I1335" i="2"/>
  <c r="I1353" i="2"/>
  <c r="I1345" i="2"/>
  <c r="I1355" i="2"/>
  <c r="I1346" i="2"/>
  <c r="I1357" i="2"/>
  <c r="I1359" i="2"/>
  <c r="I1365" i="2"/>
  <c r="I1363" i="2"/>
  <c r="I1367" i="2"/>
  <c r="I1361" i="2"/>
  <c r="I1377" i="2"/>
  <c r="I1369" i="2"/>
  <c r="I1373" i="2"/>
  <c r="I1381" i="2"/>
  <c r="I1375" i="2"/>
  <c r="I1371" i="2"/>
  <c r="I1379" i="2"/>
  <c r="I1389" i="2"/>
  <c r="I1383" i="2"/>
  <c r="I1409" i="2"/>
  <c r="I1393" i="2"/>
  <c r="I1401" i="2"/>
  <c r="I1385" i="2"/>
  <c r="I1399" i="2"/>
  <c r="I1395" i="2"/>
  <c r="I1387" i="2"/>
  <c r="I1391" i="2"/>
  <c r="I1405" i="2"/>
  <c r="I1421" i="2"/>
  <c r="I1417" i="2"/>
  <c r="I1296" i="2"/>
  <c r="I1298" i="2"/>
  <c r="I1413" i="2"/>
  <c r="I1294" i="2"/>
  <c r="I1312" i="2"/>
  <c r="I1306" i="2"/>
  <c r="I1302" i="2"/>
  <c r="I1318" i="2"/>
  <c r="I1314" i="2"/>
  <c r="I1348" i="2"/>
  <c r="I1304" i="2"/>
  <c r="I1300" i="2"/>
  <c r="I1316" i="2"/>
  <c r="I1308" i="2"/>
  <c r="I1324" i="2"/>
  <c r="I1328" i="2"/>
  <c r="I1320" i="2"/>
  <c r="I1322" i="2"/>
  <c r="I1310" i="2"/>
  <c r="I1336" i="2"/>
  <c r="I1326" i="2"/>
  <c r="I1338" i="2"/>
  <c r="I1332" i="2"/>
  <c r="I1342" i="2"/>
  <c r="I1330" i="2"/>
  <c r="I1344" i="2"/>
  <c r="I1334" i="2"/>
  <c r="I1350" i="2"/>
  <c r="I1340" i="2"/>
  <c r="I1356" i="2"/>
  <c r="I1354" i="2"/>
  <c r="I1362" i="2"/>
  <c r="I1360" i="2"/>
  <c r="I1374" i="2"/>
  <c r="I1358" i="2"/>
  <c r="I1352" i="2"/>
  <c r="I1364" i="2"/>
  <c r="I1380" i="2"/>
  <c r="I1382" i="2"/>
  <c r="I1366" i="2"/>
  <c r="I1368" i="2"/>
  <c r="I1372" i="2"/>
  <c r="I1370" i="2"/>
  <c r="I1564" i="2"/>
  <c r="I1384" i="2"/>
  <c r="I1622" i="2"/>
  <c r="I1386" i="2"/>
  <c r="I1376" i="2"/>
  <c r="I1396" i="2"/>
  <c r="I1378" i="2"/>
  <c r="I1560" i="2"/>
  <c r="I1524" i="2"/>
  <c r="I1392" i="2"/>
  <c r="I1388" i="2"/>
  <c r="I1559" i="2"/>
  <c r="I1390" i="2"/>
  <c r="I1394" i="2"/>
  <c r="I1556" i="2"/>
  <c r="I1587" i="2"/>
  <c r="I1555" i="2"/>
  <c r="I1575" i="2"/>
  <c r="I1563" i="2"/>
  <c r="I1583" i="2"/>
  <c r="I1619" i="2"/>
  <c r="I1579" i="2"/>
  <c r="I1615" i="2"/>
  <c r="I1566" i="2"/>
  <c r="I1599" i="2"/>
  <c r="I1591" i="2"/>
  <c r="I1595" i="2"/>
  <c r="I1607" i="2"/>
  <c r="I1603" i="2"/>
  <c r="I1425" i="2"/>
  <c r="I1423" i="2"/>
  <c r="I1611" i="2"/>
  <c r="I1435" i="2"/>
  <c r="I1427" i="2"/>
  <c r="I1429" i="2"/>
  <c r="I1439" i="2"/>
  <c r="I1441" i="2"/>
  <c r="I1461" i="2"/>
  <c r="I1433" i="2"/>
  <c r="I1431" i="2"/>
  <c r="I1455" i="2"/>
  <c r="I1469" i="2"/>
  <c r="I1437" i="2"/>
  <c r="I1453" i="2"/>
  <c r="I1443" i="2"/>
  <c r="I1449" i="2"/>
  <c r="I1445" i="2"/>
  <c r="I1447" i="2"/>
  <c r="I1463" i="2"/>
  <c r="I1457" i="2"/>
  <c r="I1465" i="2"/>
  <c r="I1493" i="2"/>
  <c r="I1467" i="2"/>
  <c r="I1451" i="2"/>
  <c r="I1495" i="2"/>
  <c r="I1459" i="2"/>
  <c r="I1479" i="2"/>
  <c r="I1483" i="2"/>
  <c r="I1485" i="2"/>
  <c r="I1473" i="2"/>
  <c r="I1471" i="2"/>
  <c r="I1491" i="2"/>
  <c r="I1477" i="2"/>
  <c r="I1489" i="2"/>
  <c r="I1475" i="2"/>
  <c r="I1481" i="2"/>
  <c r="I1509" i="2"/>
  <c r="I1487" i="2"/>
  <c r="I1507" i="2"/>
  <c r="I1501" i="2"/>
  <c r="I1562" i="2"/>
  <c r="I1499" i="2"/>
  <c r="I1497" i="2"/>
  <c r="I1553" i="2"/>
  <c r="I1505" i="2"/>
  <c r="I1503" i="2"/>
  <c r="I1513" i="2"/>
  <c r="I1511" i="2"/>
  <c r="I1529" i="2"/>
  <c r="I1515" i="2"/>
  <c r="I1577" i="2"/>
  <c r="I1561" i="2"/>
  <c r="I1526" i="2"/>
  <c r="I1554" i="2"/>
  <c r="I1517" i="2"/>
  <c r="I1521" i="2"/>
  <c r="I1519" i="2"/>
  <c r="I1565" i="2"/>
  <c r="I1525" i="2"/>
  <c r="I1531" i="2"/>
  <c r="I1645" i="2"/>
  <c r="I1522" i="2"/>
  <c r="I1558" i="2"/>
  <c r="I1630" i="2"/>
  <c r="I1527" i="2"/>
  <c r="I1535" i="2"/>
  <c r="I1557" i="2"/>
  <c r="I1545" i="2"/>
  <c r="I1537" i="2"/>
  <c r="I1547" i="2"/>
  <c r="I1541" i="2"/>
  <c r="I1533" i="2"/>
  <c r="I1551" i="2"/>
  <c r="I1581" i="2"/>
  <c r="I1543" i="2"/>
  <c r="I1539" i="2"/>
  <c r="I1549" i="2"/>
  <c r="I1585" i="2"/>
  <c r="I1567" i="2"/>
  <c r="I1593" i="2"/>
  <c r="I1573" i="2"/>
  <c r="I1589" i="2"/>
  <c r="I1617" i="2"/>
  <c r="I1605" i="2"/>
  <c r="I1601" i="2"/>
  <c r="I1609" i="2"/>
  <c r="I1613" i="2"/>
  <c r="I1404" i="2"/>
  <c r="I1420" i="2"/>
  <c r="I1398" i="2"/>
  <c r="I1402" i="2"/>
  <c r="I1597" i="2"/>
  <c r="I1422" i="2"/>
  <c r="I1410" i="2"/>
  <c r="I1424" i="2"/>
  <c r="I1418" i="2"/>
  <c r="I1400" i="2"/>
  <c r="I1406" i="2"/>
  <c r="I1412" i="2"/>
  <c r="I1434" i="2"/>
  <c r="I1416" i="2"/>
  <c r="I1414" i="2"/>
  <c r="I1408" i="2"/>
  <c r="I1438" i="2"/>
  <c r="I1426" i="2"/>
  <c r="I1444" i="2"/>
  <c r="I1436" i="2"/>
  <c r="I1428" i="2"/>
  <c r="I1432" i="2"/>
  <c r="I1430" i="2"/>
  <c r="I1440" i="2"/>
  <c r="I1446" i="2"/>
  <c r="I1442" i="2"/>
  <c r="I1450" i="2"/>
  <c r="I1458" i="2"/>
  <c r="I1454" i="2"/>
  <c r="I1448" i="2"/>
  <c r="I1452" i="2"/>
  <c r="I1456" i="2"/>
  <c r="I1460" i="2"/>
  <c r="I1470" i="2"/>
  <c r="I1464" i="2"/>
  <c r="I1466" i="2"/>
  <c r="I1462" i="2"/>
  <c r="I1472" i="2"/>
  <c r="I1498" i="2"/>
  <c r="I1474" i="2"/>
  <c r="I1468" i="2"/>
  <c r="I1482" i="2"/>
  <c r="I1480" i="2"/>
  <c r="I1478" i="2"/>
  <c r="I1476" i="2"/>
  <c r="I1486" i="2"/>
  <c r="I1484" i="2"/>
  <c r="I1496" i="2"/>
  <c r="I1494" i="2"/>
  <c r="I1488" i="2"/>
  <c r="I1500" i="2"/>
  <c r="I1502" i="2"/>
  <c r="I1490" i="2"/>
  <c r="I1512" i="2"/>
  <c r="I1506" i="2"/>
  <c r="I1510" i="2"/>
  <c r="I1492" i="2"/>
  <c r="I1514" i="2"/>
  <c r="I1504" i="2"/>
  <c r="I1518" i="2"/>
  <c r="I1516" i="2"/>
  <c r="I1508" i="2"/>
  <c r="I1528" i="2"/>
  <c r="I1520" i="2"/>
  <c r="I1523" i="2"/>
  <c r="I1532" i="2"/>
  <c r="I1534" i="2"/>
  <c r="I1627" i="2"/>
  <c r="I1530" i="2"/>
  <c r="I1569" i="2"/>
  <c r="I1536" i="2"/>
  <c r="I1540" i="2"/>
  <c r="I1550" i="2"/>
  <c r="I1542" i="2"/>
  <c r="I1546" i="2"/>
  <c r="I1552" i="2"/>
  <c r="I1548" i="2"/>
  <c r="I1538" i="2"/>
  <c r="I1714" i="2"/>
  <c r="I1544" i="2"/>
  <c r="I1649" i="2"/>
  <c r="I1635" i="2"/>
  <c r="I1637" i="2"/>
  <c r="I1571" i="2"/>
  <c r="I1626" i="2"/>
  <c r="I1641" i="2"/>
  <c r="I1623" i="2"/>
  <c r="I1572" i="2"/>
  <c r="I1644" i="2"/>
  <c r="I1568" i="2"/>
  <c r="I1634" i="2"/>
  <c r="I1631" i="2"/>
  <c r="I1636" i="2"/>
  <c r="I1639" i="2"/>
  <c r="I1724" i="2"/>
  <c r="I1643" i="2"/>
  <c r="I1570" i="2"/>
  <c r="I1574" i="2"/>
  <c r="I1582" i="2"/>
  <c r="I1576" i="2"/>
  <c r="I1590" i="2"/>
  <c r="I1578" i="2"/>
  <c r="I1632" i="2"/>
  <c r="I1594" i="2"/>
  <c r="I1618" i="2"/>
  <c r="I1608" i="2"/>
  <c r="I1612" i="2"/>
  <c r="I1638" i="2"/>
  <c r="I1580" i="2"/>
  <c r="I1598" i="2"/>
  <c r="I1588" i="2"/>
  <c r="I1600" i="2"/>
  <c r="I1586" i="2"/>
  <c r="I1596" i="2"/>
  <c r="I1625" i="2"/>
  <c r="I1592" i="2"/>
  <c r="I1584" i="2"/>
  <c r="I1640" i="2"/>
  <c r="I1604" i="2"/>
  <c r="I1614" i="2"/>
  <c r="I1610" i="2"/>
  <c r="I1606" i="2"/>
  <c r="I1628" i="2"/>
  <c r="I1602" i="2"/>
  <c r="I1620" i="2"/>
  <c r="I1770" i="2"/>
  <c r="I1624" i="2"/>
  <c r="I1687" i="2"/>
  <c r="I1642" i="2"/>
  <c r="I1616" i="2"/>
  <c r="I1647" i="2"/>
  <c r="I1651" i="2"/>
  <c r="I1633" i="2"/>
  <c r="I1682" i="2"/>
  <c r="I1669" i="2"/>
  <c r="I1657" i="2"/>
  <c r="I1718" i="2"/>
  <c r="I1621" i="2"/>
  <c r="I1629" i="2"/>
  <c r="I1683" i="2"/>
  <c r="I1722" i="2"/>
  <c r="I1653" i="2"/>
  <c r="I1686" i="2"/>
  <c r="I1655" i="2"/>
  <c r="I1671" i="2"/>
  <c r="I1659" i="2"/>
  <c r="I1661" i="2"/>
  <c r="I1677" i="2"/>
  <c r="I1663" i="2"/>
  <c r="I1654" i="2"/>
  <c r="I1667" i="2"/>
  <c r="I1730" i="2"/>
  <c r="I1726" i="2"/>
  <c r="I1728" i="2"/>
  <c r="I1679" i="2"/>
  <c r="I1665" i="2"/>
  <c r="I1673" i="2"/>
  <c r="I1774" i="2"/>
  <c r="I1675" i="2"/>
  <c r="I1734" i="2"/>
  <c r="I1738" i="2"/>
  <c r="I1746" i="2"/>
  <c r="I1684" i="2"/>
  <c r="I1750" i="2"/>
  <c r="I1742" i="2"/>
  <c r="I1688" i="2"/>
  <c r="I1670" i="2"/>
  <c r="I1754" i="2"/>
  <c r="I1646" i="2"/>
  <c r="I1766" i="2"/>
  <c r="I1666" i="2"/>
  <c r="I1762" i="2"/>
  <c r="I1758" i="2"/>
  <c r="I1680" i="2"/>
  <c r="I1648" i="2"/>
  <c r="I1650" i="2"/>
  <c r="I1720" i="2"/>
  <c r="I1664" i="2"/>
  <c r="I1658" i="2"/>
  <c r="I1668" i="2"/>
  <c r="I1672" i="2"/>
  <c r="I1685" i="2"/>
  <c r="I1660" i="2"/>
  <c r="I1652" i="2"/>
  <c r="I1676" i="2"/>
  <c r="I1656" i="2"/>
  <c r="I1662" i="2"/>
  <c r="I1681" i="2"/>
  <c r="I1712" i="2"/>
  <c r="I1674" i="2"/>
  <c r="I1716" i="2"/>
  <c r="I1678" i="2"/>
  <c r="I1695" i="2"/>
  <c r="I1696" i="2"/>
  <c r="I1689" i="2"/>
  <c r="I1691" i="2"/>
  <c r="I1692" i="2"/>
  <c r="I1690" i="2"/>
  <c r="I1697" i="2"/>
  <c r="I1693" i="2"/>
  <c r="I1694" i="2"/>
  <c r="I1710" i="2"/>
  <c r="I1698" i="2"/>
  <c r="I1699" i="2"/>
  <c r="I1700" i="2"/>
  <c r="I1704" i="2"/>
  <c r="I1705" i="2"/>
  <c r="I1706" i="2"/>
  <c r="I1703" i="2"/>
  <c r="I1702" i="2"/>
  <c r="I1701" i="2"/>
  <c r="I1707" i="2"/>
  <c r="I1736" i="2"/>
  <c r="I1709" i="2"/>
  <c r="I1708" i="2"/>
  <c r="I1740" i="2"/>
  <c r="I1732" i="2"/>
  <c r="I1711" i="2"/>
  <c r="I1764" i="2"/>
  <c r="I1760" i="2"/>
  <c r="I1779" i="2"/>
  <c r="I1771" i="2"/>
  <c r="I1752" i="2"/>
  <c r="I1756" i="2"/>
  <c r="I1744" i="2"/>
  <c r="I1748" i="2"/>
  <c r="I1749" i="2"/>
  <c r="I1721" i="2"/>
  <c r="I1767" i="2"/>
  <c r="I1729" i="2"/>
  <c r="I1715" i="2"/>
  <c r="I1864" i="2"/>
  <c r="I1763" i="2"/>
  <c r="I1713" i="2"/>
  <c r="I1775" i="2"/>
  <c r="I1733" i="2"/>
  <c r="I1739" i="2"/>
  <c r="I1747" i="2"/>
  <c r="I1717" i="2"/>
  <c r="I1723" i="2"/>
  <c r="I1719" i="2"/>
  <c r="I1741" i="2"/>
  <c r="I1727" i="2"/>
  <c r="I1735" i="2"/>
  <c r="I1725" i="2"/>
  <c r="I1737" i="2"/>
  <c r="I1772" i="2"/>
  <c r="I1753" i="2"/>
  <c r="I1731" i="2"/>
  <c r="I1768" i="2"/>
  <c r="I1745" i="2"/>
  <c r="I1743" i="2"/>
  <c r="I1751" i="2"/>
  <c r="I1755" i="2"/>
  <c r="I1839" i="2"/>
  <c r="I1769" i="2"/>
  <c r="I1765" i="2"/>
  <c r="I1757" i="2"/>
  <c r="I1759" i="2"/>
  <c r="I1848" i="2"/>
  <c r="I1761" i="2"/>
  <c r="I1783" i="2"/>
  <c r="I1777" i="2"/>
  <c r="I1776" i="2"/>
  <c r="I1795" i="2"/>
  <c r="I1789" i="2"/>
  <c r="I1842" i="2"/>
  <c r="I1781" i="2"/>
  <c r="I1773" i="2"/>
  <c r="I1785" i="2"/>
  <c r="I1797" i="2"/>
  <c r="I1787" i="2"/>
  <c r="I1805" i="2"/>
  <c r="I1791" i="2"/>
  <c r="I1793" i="2"/>
  <c r="I1809" i="2"/>
  <c r="I1817" i="2"/>
  <c r="I1821" i="2"/>
  <c r="I1799" i="2"/>
  <c r="I1827" i="2"/>
  <c r="I1801" i="2"/>
  <c r="I1803" i="2"/>
  <c r="I1807" i="2"/>
  <c r="I1811" i="2"/>
  <c r="I1815" i="2"/>
  <c r="I1823" i="2"/>
  <c r="I1819" i="2"/>
  <c r="I1813" i="2"/>
  <c r="I1833" i="2"/>
  <c r="I1786" i="2"/>
  <c r="I1831" i="2"/>
  <c r="I1860" i="2"/>
  <c r="I1825" i="2"/>
  <c r="I1850" i="2"/>
  <c r="I1852" i="2"/>
  <c r="I1829" i="2"/>
  <c r="I1856" i="2"/>
  <c r="I1844" i="2"/>
  <c r="I1835" i="2"/>
  <c r="I1862" i="2"/>
  <c r="I1837" i="2"/>
  <c r="I1979" i="2"/>
  <c r="I1854" i="2"/>
  <c r="I1858" i="2"/>
  <c r="I1794" i="2"/>
  <c r="I1870" i="2"/>
  <c r="I1780" i="2"/>
  <c r="I1868" i="2"/>
  <c r="I1838" i="2"/>
  <c r="I1790" i="2"/>
  <c r="I1792" i="2"/>
  <c r="I1840" i="2"/>
  <c r="I1798" i="2"/>
  <c r="I1804" i="2"/>
  <c r="I1782" i="2"/>
  <c r="I1834" i="2"/>
  <c r="I1784" i="2"/>
  <c r="I1802" i="2"/>
  <c r="I1808" i="2"/>
  <c r="I1778" i="2"/>
  <c r="I1788" i="2"/>
  <c r="I1806" i="2"/>
  <c r="I1820" i="2"/>
  <c r="I1814" i="2"/>
  <c r="I1796" i="2"/>
  <c r="I1812" i="2"/>
  <c r="I1800" i="2"/>
  <c r="I1810" i="2"/>
  <c r="I1822" i="2"/>
  <c r="I1832" i="2"/>
  <c r="I1818" i="2"/>
  <c r="I1816" i="2"/>
  <c r="I1824" i="2"/>
  <c r="I1866" i="2"/>
  <c r="I1828" i="2"/>
  <c r="I1830" i="2"/>
  <c r="I1826" i="2"/>
  <c r="I1876" i="2"/>
  <c r="I1836" i="2"/>
  <c r="I1878" i="2"/>
  <c r="I1872" i="2"/>
  <c r="I1841" i="2"/>
  <c r="I1888" i="2"/>
  <c r="I1894" i="2"/>
  <c r="I1880" i="2"/>
  <c r="I1874" i="2"/>
  <c r="I1846" i="2"/>
  <c r="I1886" i="2"/>
  <c r="I1900" i="2"/>
  <c r="I1884" i="2"/>
  <c r="I1882" i="2"/>
  <c r="I1898" i="2"/>
  <c r="I1908" i="2"/>
  <c r="I1892" i="2"/>
  <c r="I1890" i="2"/>
  <c r="I1902" i="2"/>
  <c r="I1896" i="2"/>
  <c r="I1904" i="2"/>
  <c r="I1906" i="2"/>
  <c r="I1849" i="2"/>
  <c r="I1916" i="2"/>
  <c r="I1843" i="2"/>
  <c r="I1974" i="2"/>
  <c r="I1912" i="2"/>
  <c r="I1987" i="2"/>
  <c r="I1910" i="2"/>
  <c r="I1921" i="2"/>
  <c r="I1853" i="2"/>
  <c r="I1914" i="2"/>
  <c r="I1982" i="2"/>
  <c r="I1851" i="2"/>
  <c r="I1918" i="2"/>
  <c r="I1875" i="2"/>
  <c r="I1859" i="2"/>
  <c r="I1871" i="2"/>
  <c r="I1975" i="2"/>
  <c r="I1845" i="2"/>
  <c r="I1861" i="2"/>
  <c r="I1879" i="2"/>
  <c r="I1847" i="2"/>
  <c r="I1863" i="2"/>
  <c r="I1867" i="2"/>
  <c r="I1857" i="2"/>
  <c r="I1873" i="2"/>
  <c r="I1855" i="2"/>
  <c r="I1869" i="2"/>
  <c r="I1865" i="2"/>
  <c r="I1877" i="2"/>
  <c r="I1883" i="2"/>
  <c r="I1891" i="2"/>
  <c r="I1881" i="2"/>
  <c r="I1887" i="2"/>
  <c r="I1885" i="2"/>
  <c r="I1889" i="2"/>
  <c r="I1893" i="2"/>
  <c r="I1899" i="2"/>
  <c r="I1897" i="2"/>
  <c r="I1901" i="2"/>
  <c r="I1895" i="2"/>
  <c r="I1903" i="2"/>
  <c r="I1909" i="2"/>
  <c r="I1911" i="2"/>
  <c r="I1907" i="2"/>
  <c r="I1986" i="2"/>
  <c r="I1927" i="2"/>
  <c r="I1917" i="2"/>
  <c r="I1913" i="2"/>
  <c r="I1915" i="2"/>
  <c r="I1905" i="2"/>
  <c r="I1953" i="2"/>
  <c r="I1971" i="2"/>
  <c r="I1925" i="2"/>
  <c r="I1929" i="2"/>
  <c r="I1931" i="2"/>
  <c r="I1941" i="2"/>
  <c r="I1983" i="2"/>
  <c r="I1919" i="2"/>
  <c r="I1978" i="2"/>
  <c r="I1923" i="2"/>
  <c r="I1939" i="2"/>
  <c r="I1937" i="2"/>
  <c r="I1933" i="2"/>
  <c r="I1935" i="2"/>
  <c r="I1943" i="2"/>
  <c r="I1949" i="2"/>
  <c r="I1945" i="2"/>
  <c r="I1951" i="2"/>
  <c r="I1961" i="2"/>
  <c r="I1955" i="2"/>
  <c r="I1963" i="2"/>
  <c r="I1947" i="2"/>
  <c r="I1965" i="2"/>
  <c r="I1967" i="2"/>
  <c r="I1969" i="2"/>
  <c r="I1957" i="2"/>
  <c r="I1998" i="2"/>
  <c r="I1959" i="2"/>
  <c r="I1993" i="2"/>
  <c r="I1980" i="2"/>
  <c r="I1973" i="2"/>
  <c r="I1976" i="2"/>
  <c r="I1994" i="2"/>
  <c r="I1988" i="2"/>
  <c r="I1991" i="2"/>
  <c r="I2001" i="2"/>
  <c r="I1972" i="2"/>
  <c r="I2003" i="2"/>
  <c r="I1977" i="2"/>
  <c r="I1981" i="2"/>
  <c r="I1990" i="2"/>
  <c r="I2082" i="2"/>
  <c r="I1989" i="2"/>
  <c r="I1992" i="2"/>
  <c r="I2007" i="2"/>
  <c r="I1997" i="2"/>
  <c r="I1940" i="2"/>
  <c r="I2013" i="2"/>
  <c r="I1936" i="2"/>
  <c r="I2005" i="2"/>
  <c r="I2015" i="2"/>
  <c r="I2011" i="2"/>
  <c r="I1942" i="2"/>
  <c r="I1926" i="2"/>
  <c r="I1922" i="2"/>
  <c r="I2009" i="2"/>
  <c r="I2017" i="2"/>
  <c r="I2019" i="2"/>
  <c r="I2037" i="2"/>
  <c r="I1920" i="2"/>
  <c r="I2021" i="2"/>
  <c r="I1928" i="2"/>
  <c r="I1938" i="2"/>
  <c r="I1934" i="2"/>
  <c r="I1924" i="2"/>
  <c r="I1946" i="2"/>
  <c r="I1956" i="2"/>
  <c r="I1952" i="2"/>
  <c r="I1954" i="2"/>
  <c r="I1930" i="2"/>
  <c r="I2018" i="2"/>
  <c r="I1932" i="2"/>
  <c r="I1950" i="2"/>
  <c r="I1960" i="2"/>
  <c r="I1944" i="2"/>
  <c r="I1958" i="2"/>
  <c r="I1948" i="2"/>
  <c r="I1964" i="2"/>
  <c r="I1962" i="2"/>
  <c r="I1968" i="2"/>
  <c r="I1996" i="2"/>
  <c r="I1995" i="2"/>
  <c r="I1966" i="2"/>
  <c r="I2000" i="2"/>
  <c r="I1970" i="2"/>
  <c r="I2033" i="2"/>
  <c r="I2029" i="2"/>
  <c r="I1985" i="2"/>
  <c r="I1999" i="2"/>
  <c r="I1984" i="2"/>
  <c r="I2042" i="2"/>
  <c r="I2008" i="2"/>
  <c r="I2004" i="2"/>
  <c r="I2010" i="2"/>
  <c r="I2002" i="2"/>
  <c r="I2044" i="2"/>
  <c r="I2072" i="2"/>
  <c r="I2075" i="2"/>
  <c r="I2006" i="2"/>
  <c r="I2027" i="2"/>
  <c r="I2020" i="2"/>
  <c r="I2026" i="2"/>
  <c r="I2024" i="2"/>
  <c r="I2012" i="2"/>
  <c r="I2030" i="2"/>
  <c r="I2074" i="2"/>
  <c r="I2016" i="2"/>
  <c r="I2046" i="2"/>
  <c r="I2014" i="2"/>
  <c r="I2022" i="2"/>
  <c r="I2034" i="2"/>
  <c r="I2175" i="2"/>
  <c r="I2038" i="2"/>
  <c r="I2052" i="2"/>
  <c r="I2048" i="2"/>
  <c r="I2031" i="2"/>
  <c r="I2050" i="2"/>
  <c r="I2025" i="2"/>
  <c r="I2054" i="2"/>
  <c r="I2083" i="2"/>
  <c r="I2039" i="2"/>
  <c r="I2040" i="2"/>
  <c r="I2035" i="2"/>
  <c r="I2076" i="2"/>
  <c r="I2130" i="2"/>
  <c r="I2103" i="2"/>
  <c r="I2032" i="2"/>
  <c r="I2028" i="2"/>
  <c r="I2058" i="2"/>
  <c r="I2023" i="2"/>
  <c r="I2070" i="2"/>
  <c r="I2062" i="2"/>
  <c r="I2056" i="2"/>
  <c r="I2064" i="2"/>
  <c r="I2036" i="2"/>
  <c r="I2081" i="2"/>
  <c r="I2080" i="2"/>
  <c r="I2089" i="2"/>
  <c r="I2060" i="2"/>
  <c r="I2078" i="2"/>
  <c r="I2073" i="2"/>
  <c r="I2111" i="2"/>
  <c r="I2097" i="2"/>
  <c r="I2107" i="2"/>
  <c r="I2113" i="2"/>
  <c r="I2071" i="2"/>
  <c r="I2093" i="2"/>
  <c r="I2105" i="2"/>
  <c r="I2066" i="2"/>
  <c r="I2068" i="2"/>
  <c r="I2079" i="2"/>
  <c r="I2162" i="2"/>
  <c r="I2087" i="2"/>
  <c r="I2053" i="2"/>
  <c r="I2041" i="2"/>
  <c r="I2099" i="2"/>
  <c r="I2115" i="2"/>
  <c r="I2057" i="2"/>
  <c r="I2085" i="2"/>
  <c r="I2170" i="2"/>
  <c r="I2045" i="2"/>
  <c r="I2049" i="2"/>
  <c r="I2047" i="2"/>
  <c r="I2043" i="2"/>
  <c r="I2051" i="2"/>
  <c r="I2121" i="2"/>
  <c r="I2055" i="2"/>
  <c r="I2063" i="2"/>
  <c r="I2065" i="2"/>
  <c r="I2059" i="2"/>
  <c r="I2069" i="2"/>
  <c r="I2061" i="2"/>
  <c r="I2067" i="2"/>
  <c r="I2117" i="2"/>
  <c r="I2109" i="2"/>
  <c r="I2091" i="2"/>
  <c r="I2125" i="2"/>
  <c r="I2095" i="2"/>
  <c r="I2160" i="2"/>
  <c r="I2132" i="2"/>
  <c r="I2123" i="2"/>
  <c r="I2166" i="2"/>
  <c r="I2168" i="2"/>
  <c r="I2077" i="2"/>
  <c r="I2174" i="2"/>
  <c r="I2138" i="2"/>
  <c r="I2128" i="2"/>
  <c r="I2119" i="2"/>
  <c r="I2101" i="2"/>
  <c r="I2129" i="2"/>
  <c r="I2140" i="2"/>
  <c r="I2133" i="2"/>
  <c r="I2126" i="2"/>
  <c r="I2228" i="2"/>
  <c r="I2131" i="2"/>
  <c r="I2144" i="2"/>
  <c r="I2136" i="2"/>
  <c r="I2124" i="2"/>
  <c r="I2158" i="2"/>
  <c r="I2150" i="2"/>
  <c r="I2118" i="2"/>
  <c r="I2142" i="2"/>
  <c r="I2148" i="2"/>
  <c r="I2152" i="2"/>
  <c r="I2102" i="2"/>
  <c r="I2116" i="2"/>
  <c r="I2146" i="2"/>
  <c r="I2156" i="2"/>
  <c r="I2092" i="2"/>
  <c r="I2134" i="2"/>
  <c r="I2086" i="2"/>
  <c r="I2154" i="2"/>
  <c r="I2084" i="2"/>
  <c r="I2090" i="2"/>
  <c r="I2122" i="2"/>
  <c r="I2098" i="2"/>
  <c r="I2112" i="2"/>
  <c r="I2100" i="2"/>
  <c r="I2088" i="2"/>
  <c r="I2110" i="2"/>
  <c r="I2114" i="2"/>
  <c r="I2096" i="2"/>
  <c r="I2108" i="2"/>
  <c r="I2104" i="2"/>
  <c r="I2094" i="2"/>
  <c r="I2135" i="2"/>
  <c r="I2212" i="2"/>
  <c r="I2188" i="2"/>
  <c r="I2106" i="2"/>
  <c r="I2220" i="2"/>
  <c r="I2120" i="2"/>
  <c r="I2127" i="2"/>
  <c r="I2192" i="2"/>
  <c r="I2172" i="2"/>
  <c r="I2164" i="2"/>
  <c r="I2176" i="2"/>
  <c r="I2208" i="2"/>
  <c r="I2204" i="2"/>
  <c r="I2165" i="2"/>
  <c r="I2196" i="2"/>
  <c r="I2200" i="2"/>
  <c r="I2252" i="2"/>
  <c r="I2244" i="2"/>
  <c r="I2145" i="2"/>
  <c r="I2236" i="2"/>
  <c r="I2147" i="2"/>
  <c r="I2137" i="2"/>
  <c r="I2139" i="2"/>
  <c r="I2214" i="2"/>
  <c r="I2149" i="2"/>
  <c r="I2157" i="2"/>
  <c r="I2232" i="2"/>
  <c r="I2222" i="2"/>
  <c r="I2256" i="2"/>
  <c r="I2151" i="2"/>
  <c r="I2248" i="2"/>
  <c r="I2167" i="2"/>
  <c r="I2173" i="2"/>
  <c r="I2141" i="2"/>
  <c r="I2155" i="2"/>
  <c r="I2240" i="2"/>
  <c r="I2143" i="2"/>
  <c r="I2159" i="2"/>
  <c r="I2169" i="2"/>
  <c r="I2153" i="2"/>
  <c r="I2171" i="2"/>
  <c r="I2161" i="2"/>
  <c r="I2163" i="2"/>
  <c r="I2177" i="2"/>
  <c r="I2216" i="2"/>
  <c r="I2181" i="2"/>
  <c r="I2224" i="2"/>
  <c r="I2185" i="2"/>
  <c r="I2226" i="2"/>
  <c r="I2179" i="2"/>
  <c r="I2178" i="2"/>
  <c r="I2180" i="2"/>
  <c r="I2234" i="2"/>
  <c r="I2206" i="2"/>
  <c r="I2190" i="2"/>
  <c r="I2202" i="2"/>
  <c r="I2198" i="2"/>
  <c r="I2183" i="2"/>
  <c r="I2182" i="2"/>
  <c r="I2238" i="2"/>
  <c r="I2194" i="2"/>
  <c r="I2230" i="2"/>
  <c r="I2186" i="2"/>
  <c r="I2218" i="2"/>
  <c r="I2184" i="2"/>
  <c r="I2242" i="2"/>
  <c r="I2187" i="2"/>
  <c r="I2250" i="2"/>
  <c r="I2210" i="2"/>
  <c r="I2258" i="2"/>
  <c r="I2246" i="2"/>
  <c r="I2193" i="2"/>
  <c r="I2191" i="2"/>
  <c r="I2254" i="2"/>
  <c r="I2189" i="2"/>
  <c r="I2243" i="2"/>
  <c r="I2213" i="2"/>
  <c r="I2225" i="2"/>
  <c r="I2211" i="2"/>
  <c r="I2237" i="2"/>
  <c r="I2245" i="2"/>
  <c r="I2199" i="2"/>
  <c r="I2205" i="2"/>
  <c r="I2215" i="2"/>
  <c r="I2227" i="2"/>
  <c r="I2241" i="2"/>
  <c r="I2253" i="2"/>
  <c r="I2203" i="2"/>
  <c r="I2233" i="2"/>
  <c r="I2251" i="2"/>
  <c r="I2235" i="2"/>
  <c r="I2221" i="2"/>
  <c r="I2207" i="2"/>
  <c r="I2201" i="2"/>
  <c r="I2229" i="2"/>
  <c r="I2257" i="2"/>
  <c r="I2249" i="2"/>
  <c r="I2197" i="2"/>
  <c r="I2219" i="2"/>
  <c r="I2239" i="2"/>
  <c r="I2247" i="2"/>
  <c r="I2223" i="2"/>
  <c r="I2209" i="2"/>
  <c r="I2195" i="2"/>
  <c r="I2231" i="2"/>
  <c r="I2217" i="2"/>
  <c r="I2255" i="2"/>
</calcChain>
</file>

<file path=xl/sharedStrings.xml><?xml version="1.0" encoding="utf-8"?>
<sst xmlns="http://schemas.openxmlformats.org/spreadsheetml/2006/main" count="31054" uniqueCount="3572">
  <si>
    <t>CUSIP</t>
  </si>
  <si>
    <t>Issuer Name</t>
  </si>
  <si>
    <t>Insured Bonds</t>
  </si>
  <si>
    <t>State Code</t>
  </si>
  <si>
    <t>U.S. County Of Issuance</t>
  </si>
  <si>
    <t>Mod Dur (Mid)</t>
  </si>
  <si>
    <t>Iss Spd Wst</t>
  </si>
  <si>
    <t>Issue Date</t>
  </si>
  <si>
    <t>Bond Purpose</t>
  </si>
  <si>
    <t>Cpn</t>
  </si>
  <si>
    <t>Maturity</t>
  </si>
  <si>
    <t>Mty Size</t>
  </si>
  <si>
    <t>Yield at Issue</t>
  </si>
  <si>
    <t>YTW Sprd to Mty at Iss</t>
  </si>
  <si>
    <t>BVAL Mid YTM</t>
  </si>
  <si>
    <t>Tax Prov</t>
  </si>
  <si>
    <t>Is Federal Taxable</t>
  </si>
  <si>
    <t>MSRB Volume</t>
  </si>
  <si>
    <t>BBG Composite</t>
  </si>
  <si>
    <t>LQA Score</t>
  </si>
  <si>
    <t>State of California</t>
  </si>
  <si>
    <t>California Infrastructure &amp; Economic Development Bank</t>
  </si>
  <si>
    <t>New York State Environmental Facilities Corp</t>
  </si>
  <si>
    <t>Lakeside Water Control &amp; Improvement District No 2-D</t>
  </si>
  <si>
    <t>South Dakota Conservancy District</t>
  </si>
  <si>
    <t>Illinois Finance Authority</t>
  </si>
  <si>
    <t>Utah Water Finance Agency</t>
  </si>
  <si>
    <t>Albuquerque Bernalillo County Water Utility Authority</t>
  </si>
  <si>
    <t>Iowa Finance Authority</t>
  </si>
  <si>
    <t>Yorba Linda Water District</t>
  </si>
  <si>
    <t>City of Tucson AZ Water System Revenue</t>
  </si>
  <si>
    <t>Texas Water Development Board</t>
  </si>
  <si>
    <t>County of Union NC Enterprise System Revenue</t>
  </si>
  <si>
    <t>Trinity River Authority Central Regional Wastewater System Revenue</t>
  </si>
  <si>
    <t>Padre Dam Municipal Water District</t>
  </si>
  <si>
    <t>State of Connecticut Clean Water Fund - State Revolving Fund</t>
  </si>
  <si>
    <t>County of Anne Arundel MD</t>
  </si>
  <si>
    <t>City of San Francisco CA Public Utilities Commission Water Revenue</t>
  </si>
  <si>
    <t>County of Greene OH</t>
  </si>
  <si>
    <t>City of Miami Beach FL Water &amp; Sewer Revenue</t>
  </si>
  <si>
    <t>City of Hagerstown MD</t>
  </si>
  <si>
    <t>Fairfax County Water Authority</t>
  </si>
  <si>
    <t>State of Rhode Island</t>
  </si>
  <si>
    <t>City of Tomah WI</t>
  </si>
  <si>
    <t>Los Angeles Department of Water &amp; Power Water System Revenue</t>
  </si>
  <si>
    <t>City of Tulare CA Water Revenue</t>
  </si>
  <si>
    <t>City of McKinney TX Waterworks &amp; Sewer System Revenue</t>
  </si>
  <si>
    <t>City of Mesa AZ Utility System Revenue</t>
  </si>
  <si>
    <t>Clark County Public Utility District No 1</t>
  </si>
  <si>
    <t>Town of North Hempstead NY</t>
  </si>
  <si>
    <t>Santa Clara Valley Water District</t>
  </si>
  <si>
    <t>Town of Hempstead NY</t>
  </si>
  <si>
    <t>Collin County Water Control &amp; Improvement District No 3</t>
  </si>
  <si>
    <t>City of Mesquite TX Waterworks &amp; Sewer System Revenue</t>
  </si>
  <si>
    <t>East Bay Municipal Utility District Water System Revenue</t>
  </si>
  <si>
    <t>City of Wichita KS Water &amp; Sewer Utility Revenue</t>
  </si>
  <si>
    <t>Mesa Water District</t>
  </si>
  <si>
    <t>Massachusetts Clean Water Trust/The</t>
  </si>
  <si>
    <t>Tulsa Metropolitan Utility Authority</t>
  </si>
  <si>
    <t>Town of Holden MA</t>
  </si>
  <si>
    <t>City of Salt Lake City UT Public Utilities Revenue</t>
  </si>
  <si>
    <t>Village of Naplate IL</t>
  </si>
  <si>
    <t>City of Woodbury NJ</t>
  </si>
  <si>
    <t>San Luis Water District</t>
  </si>
  <si>
    <t>City of Temple TX</t>
  </si>
  <si>
    <t>City of Norfolk VA</t>
  </si>
  <si>
    <t>City of Chandler AZ Excise Tax Revenue</t>
  </si>
  <si>
    <t>City of Galveston TX</t>
  </si>
  <si>
    <t>Casitas Municipal Water District</t>
  </si>
  <si>
    <t>Town of Plymouth MA</t>
  </si>
  <si>
    <t>City of Herculaneum MO</t>
  </si>
  <si>
    <t>City of Charlottesville VA</t>
  </si>
  <si>
    <t>City of Temple TX Utility System Revenue</t>
  </si>
  <si>
    <t>Opelika Utilities Board</t>
  </si>
  <si>
    <t>Town of Reading MA</t>
  </si>
  <si>
    <t>Town of Orleans MA</t>
  </si>
  <si>
    <t>City of Waco TX</t>
  </si>
  <si>
    <t>State of Vermont</t>
  </si>
  <si>
    <t>Charter Township of Lyon MI</t>
  </si>
  <si>
    <t>Eufaula Water Works &amp; Sewer Board</t>
  </si>
  <si>
    <t>Village of Sands Point NY</t>
  </si>
  <si>
    <t>City of Rockville MD</t>
  </si>
  <si>
    <t>City of Richland WA Waterworks Utility Revenue</t>
  </si>
  <si>
    <t>Town of Mattapoisett MA</t>
  </si>
  <si>
    <t>Town of Mount Pleasant NY</t>
  </si>
  <si>
    <t>City of Trenton NJ</t>
  </si>
  <si>
    <t>Discovery Bay Public Financing Authority</t>
  </si>
  <si>
    <t>City of Brookfield WI</t>
  </si>
  <si>
    <t>City of Baltimore MD</t>
  </si>
  <si>
    <t>City of Hutto TX</t>
  </si>
  <si>
    <t>Springfield Water &amp; Sewer Commission/MA</t>
  </si>
  <si>
    <t>Colorado Water Resources &amp; Power Development Authority</t>
  </si>
  <si>
    <t>City of Burlington VT Waterworks System Revenue</t>
  </si>
  <si>
    <t>Town of Cary NC Combined Utility Systems Revenue</t>
  </si>
  <si>
    <t>City of Buda TX</t>
  </si>
  <si>
    <t>City of Manvel TX</t>
  </si>
  <si>
    <t>Board of Water Commissioners City &amp; County of Denver/The</t>
  </si>
  <si>
    <t>Chester Metropolitan District</t>
  </si>
  <si>
    <t>City of St Robert MO Waterworks &amp; Sewerage System Revenue</t>
  </si>
  <si>
    <t>City of Abilene TX</t>
  </si>
  <si>
    <t>City of Fort Worth TX Water &amp; Sewer System Revenue</t>
  </si>
  <si>
    <t>City of Irving TX Waterworks &amp; Sewer System Revenue</t>
  </si>
  <si>
    <t>Massachusetts Water Resources Authority</t>
  </si>
  <si>
    <t>Milwaukee Metropolitan Sewerage District</t>
  </si>
  <si>
    <t>District of Columbia Water &amp; Sewer Authority</t>
  </si>
  <si>
    <t>Fort Bend County Municipal Utility District No 128</t>
  </si>
  <si>
    <t>Colton Utility Authority</t>
  </si>
  <si>
    <t>Fort Bend County Municipal Utility District No 25</t>
  </si>
  <si>
    <t>Paseo Del Este Municipal Utility District No 3</t>
  </si>
  <si>
    <t>Washington Suburban Sanitary Commission</t>
  </si>
  <si>
    <t>Village of McFarland WI</t>
  </si>
  <si>
    <t>City of Sachse TX</t>
  </si>
  <si>
    <t>Village of Richton Park IL</t>
  </si>
  <si>
    <t>City of Topeka KS Combined Utility Revenue</t>
  </si>
  <si>
    <t>City of Seguin TX Utility System Revenue</t>
  </si>
  <si>
    <t>City of Bloomington IN Waterworks Revenue</t>
  </si>
  <si>
    <t>County of Clark NV</t>
  </si>
  <si>
    <t>City of Menomonie WI</t>
  </si>
  <si>
    <t>City of Kansas City MO Water Revenue</t>
  </si>
  <si>
    <t>State of Arkansas</t>
  </si>
  <si>
    <t>Harris County Municipal Utility District No 495</t>
  </si>
  <si>
    <t>Board of Water Light &amp; Sinking Fund Commissioners of The City of Dalton/The</t>
  </si>
  <si>
    <t>City of North Las Vegas NV</t>
  </si>
  <si>
    <t>Town of West Newbury MA</t>
  </si>
  <si>
    <t>City of Wauwatosa WI Waterworks System Revenue</t>
  </si>
  <si>
    <t>Trinity River Authority</t>
  </si>
  <si>
    <t>City of Washington Terrace UT Water Sewer Storm Water &amp; Refuse Revenue</t>
  </si>
  <si>
    <t>County of Santa Fe NM</t>
  </si>
  <si>
    <t>City of Bessemer AL Water Revenue</t>
  </si>
  <si>
    <t>City of Beaumont TX Waterworks &amp; Sewer System Revenue</t>
  </si>
  <si>
    <t>City of Burnsville MN</t>
  </si>
  <si>
    <t>City of Olathe KS Water &amp; Sewer System Revenue</t>
  </si>
  <si>
    <t>City of Savage MN</t>
  </si>
  <si>
    <t>City of Danville KY</t>
  </si>
  <si>
    <t>City of Conroe TX</t>
  </si>
  <si>
    <t>Kentucky Rural Water Finance Corp</t>
  </si>
  <si>
    <t>City of Johnsonville SC Waterworks &amp; Sewer System Revenue</t>
  </si>
  <si>
    <t>Indiana Finance Authority</t>
  </si>
  <si>
    <t>City of New Ulm MN</t>
  </si>
  <si>
    <t>City of West Bend WI</t>
  </si>
  <si>
    <t>Bessemer Governmental Utility Services Corp</t>
  </si>
  <si>
    <t>Town of Clinton MA</t>
  </si>
  <si>
    <t>City of Oneonta NY</t>
  </si>
  <si>
    <t>Village of Oregon WI</t>
  </si>
  <si>
    <t>Scottsdale Municipal Property Corp</t>
  </si>
  <si>
    <t>City of Hermiston OR</t>
  </si>
  <si>
    <t>Fort Bend County Municipal Utility District No 133</t>
  </si>
  <si>
    <t>Johnson County Water District No 1</t>
  </si>
  <si>
    <t>Village of Johnstown OH</t>
  </si>
  <si>
    <t>Montgomery County Municipal Utility District No 88</t>
  </si>
  <si>
    <t>City of Kaukauna WI Waterworks System Revenue</t>
  </si>
  <si>
    <t>Paseo Del Este Municipal Utility District No 5</t>
  </si>
  <si>
    <t>Village of Larchmont NY</t>
  </si>
  <si>
    <t>City of Laredo TX Waterworks &amp; Sewer System Revenue</t>
  </si>
  <si>
    <t>City of Waller TX</t>
  </si>
  <si>
    <t>City of Universal City TX</t>
  </si>
  <si>
    <t>City of Amarillo TX Waterworks &amp; Sewer System Revenue</t>
  </si>
  <si>
    <t>Red River Authority Utility Revenue</t>
  </si>
  <si>
    <t>Belmont Fresh Water Supply District No 1</t>
  </si>
  <si>
    <t>Brazoria County Municipal Utility District No 28</t>
  </si>
  <si>
    <t>Easley Combined Utility System</t>
  </si>
  <si>
    <t>City of Irving TX</t>
  </si>
  <si>
    <t>City of Fort Stockton TX</t>
  </si>
  <si>
    <t>Montgomery County Municipal Utility District No 115</t>
  </si>
  <si>
    <t>Menifee Union School District</t>
  </si>
  <si>
    <t>City of Philadelphia MS Waterworks &amp; Sewage System Revenue</t>
  </si>
  <si>
    <t>City of Lubbock TX</t>
  </si>
  <si>
    <t>New Jersey Infrastructure Bank</t>
  </si>
  <si>
    <t>State of Texas</t>
  </si>
  <si>
    <t>Rhode Island Infrastructure Bank</t>
  </si>
  <si>
    <t>City of Romulus MI</t>
  </si>
  <si>
    <t>Santa Rosa Regional Resources Authority</t>
  </si>
  <si>
    <t>Camden County Public Water Supply District Number Four</t>
  </si>
  <si>
    <t>City of Canton KS</t>
  </si>
  <si>
    <t>City of Alburnett IA</t>
  </si>
  <si>
    <t>Aliquippa Municipal Water Authority Water &amp; Sewer Revenue</t>
  </si>
  <si>
    <t>City of Ankeny IA Water Revenue</t>
  </si>
  <si>
    <t>City of Bloomington MN</t>
  </si>
  <si>
    <t>Blue Ridge West Municipal Utility District</t>
  </si>
  <si>
    <t>City of Baytown TX</t>
  </si>
  <si>
    <t>Village of Butler WI</t>
  </si>
  <si>
    <t>City of Atlanta IL</t>
  </si>
  <si>
    <t>City of Deer Park TX</t>
  </si>
  <si>
    <t>Crosby Municipal Utility District</t>
  </si>
  <si>
    <t>City of Cascade IA</t>
  </si>
  <si>
    <t>City of Arlington TX Water &amp; Wastewater System Revenue</t>
  </si>
  <si>
    <t>City of Cleveland TX</t>
  </si>
  <si>
    <t>Denton County Fresh Water Supply District No 11-A</t>
  </si>
  <si>
    <t>City of Dixon CA</t>
  </si>
  <si>
    <t>Denton County Fresh Water Supply District No 11-C</t>
  </si>
  <si>
    <t>Denton County Municipal Utility District No 5</t>
  </si>
  <si>
    <t>City of Detroit Lakes MN</t>
  </si>
  <si>
    <t>Sedona Lakes Municipal Utility District No 1</t>
  </si>
  <si>
    <t>Oklahoma Water Resources Board</t>
  </si>
  <si>
    <t>City of Olive Branch MS Water &amp; Sewer System Revenue</t>
  </si>
  <si>
    <t>City of Newport News VA Water Revenue</t>
  </si>
  <si>
    <t>Town of Niskayuna NY</t>
  </si>
  <si>
    <t>City of Norborne MO Waterworks &amp; Sewer System Revenue</t>
  </si>
  <si>
    <t>Sienna Management District</t>
  </si>
  <si>
    <t>Siena Municipal Utility District No 1</t>
  </si>
  <si>
    <t>Siena Municipal Utility District No 2</t>
  </si>
  <si>
    <t>Sienna Municipal Utility District No 5</t>
  </si>
  <si>
    <t>Sienna Municipal Utility District No 4</t>
  </si>
  <si>
    <t>City of Springtown TX</t>
  </si>
  <si>
    <t>County of Onondaga NY</t>
  </si>
  <si>
    <t>San Bruno Public Financing Authority</t>
  </si>
  <si>
    <t>City of Plattsburgh NY</t>
  </si>
  <si>
    <t>City of Pleasanton TX</t>
  </si>
  <si>
    <t>Ralls County Public Water Supply District No 1</t>
  </si>
  <si>
    <t>South Buda Water Control &amp; Improvement District No 1</t>
  </si>
  <si>
    <t>City of Shelbyville TN</t>
  </si>
  <si>
    <t>City of Nichols Hills OK</t>
  </si>
  <si>
    <t>City of Verona WI</t>
  </si>
  <si>
    <t>Six Mile Creek Community Development District</t>
  </si>
  <si>
    <t>City of Van TX</t>
  </si>
  <si>
    <t>Vera Water &amp; Power</t>
  </si>
  <si>
    <t>Town of North Attleborough MA</t>
  </si>
  <si>
    <t>Village of North Aurora IL</t>
  </si>
  <si>
    <t>Presidential Glen Municipal Utility District</t>
  </si>
  <si>
    <t>Travis County Municipal Utility District No 4/TX</t>
  </si>
  <si>
    <t>Travis County Municipal Utility District No 15</t>
  </si>
  <si>
    <t>Travis County Municipal Utility District No 16</t>
  </si>
  <si>
    <t>Travis County Municipal Utility District No 21</t>
  </si>
  <si>
    <t>Travis County Water Control &amp; Improvement District No 17</t>
  </si>
  <si>
    <t>Travis County Municipal Utility District No 2</t>
  </si>
  <si>
    <t>City of Stoughton WI</t>
  </si>
  <si>
    <t>Startex-Jackson-Wellford-Duncan Water District</t>
  </si>
  <si>
    <t>Village of Somers WI Water &amp; Sewer Revenue</t>
  </si>
  <si>
    <t>Rancho Water District Financing Authority</t>
  </si>
  <si>
    <t>City of Sparta TN Water &amp; Sewer Revenue</t>
  </si>
  <si>
    <t>Randall Community Water District</t>
  </si>
  <si>
    <t>City of Spartanburg SC Water System Revenue</t>
  </si>
  <si>
    <t>Borough of Pitman NJ</t>
  </si>
  <si>
    <t>Village of Prairie du Sac WI</t>
  </si>
  <si>
    <t>City of Richmond TX</t>
  </si>
  <si>
    <t>Valley Ranch Municipal Utility District No 1</t>
  </si>
  <si>
    <t>Palmera Ridge Municipal Utility District</t>
  </si>
  <si>
    <t>Borough of Sayreville NJ</t>
  </si>
  <si>
    <t>Parkside at Mayfield Ranch Municipal District</t>
  </si>
  <si>
    <t>City of Pflugerville TX</t>
  </si>
  <si>
    <t>City of Dunlap TN</t>
  </si>
  <si>
    <t>County of Erie OH</t>
  </si>
  <si>
    <t>Borough of Pemberton NJ</t>
  </si>
  <si>
    <t>Township of Peninsula MI</t>
  </si>
  <si>
    <t>Champions Municipal Utility District</t>
  </si>
  <si>
    <t>City of Chandler TX</t>
  </si>
  <si>
    <t>Town of Bedford MA</t>
  </si>
  <si>
    <t>City of Bellaire TX</t>
  </si>
  <si>
    <t>City of Cedar Rapids IA Water Revenue</t>
  </si>
  <si>
    <t>Antelope Valley-East Kern Water Agency Financing Authority</t>
  </si>
  <si>
    <t>County of Berrien MI</t>
  </si>
  <si>
    <t>City of Brigantine NJ</t>
  </si>
  <si>
    <t>City of Brenham TX</t>
  </si>
  <si>
    <t>Town of Braintree MA</t>
  </si>
  <si>
    <t>Brazoria County Municipal Utility District No 34</t>
  </si>
  <si>
    <t>Brazoria County Municipal Utility District No 29</t>
  </si>
  <si>
    <t>Brazoria County Municipal Utility District No 39</t>
  </si>
  <si>
    <t>Brazoria County Municipal Utility District No 55</t>
  </si>
  <si>
    <t>Brazoria-Fort Bend County Municipal Utility District No 1</t>
  </si>
  <si>
    <t>City of Biloxi MS</t>
  </si>
  <si>
    <t>Brazoria County Municipal Utility District No 22</t>
  </si>
  <si>
    <t>Brazoria County Municipal Utility District No 31</t>
  </si>
  <si>
    <t>City of Buffalo MN</t>
  </si>
  <si>
    <t>City of Burleson TX</t>
  </si>
  <si>
    <t>City of Andover KS</t>
  </si>
  <si>
    <t>City of Chaska MN</t>
  </si>
  <si>
    <t>Borough of Chatham NJ</t>
  </si>
  <si>
    <t>City of Chenoa IL</t>
  </si>
  <si>
    <t>City of Brooklyn Center MN</t>
  </si>
  <si>
    <t>City of Carver MN</t>
  </si>
  <si>
    <t>City of Batavia NY</t>
  </si>
  <si>
    <t>City of Baudette MN</t>
  </si>
  <si>
    <t>Galveston County Municipal Utility District No 32</t>
  </si>
  <si>
    <t>Galveston County Municipal Utility District No 46</t>
  </si>
  <si>
    <t>Galveston County Municipal Utility District No 44</t>
  </si>
  <si>
    <t>Galveston County Water Control &amp; Improvement District No 8</t>
  </si>
  <si>
    <t>City of Garden City KS</t>
  </si>
  <si>
    <t>Harris-Fort Bend Counties Municipal Utility District No 3</t>
  </si>
  <si>
    <t>Harris-Waller Counties Municipal Utility District No 2</t>
  </si>
  <si>
    <t>Harris County Municipal Utility District No 109</t>
  </si>
  <si>
    <t>Harris County Municipal Utility District No 82</t>
  </si>
  <si>
    <t>Harris County Municipal Utility District No 49</t>
  </si>
  <si>
    <t>Harris County Municipal Utility District No 157</t>
  </si>
  <si>
    <t>Harris County Municipal Utility District No 168</t>
  </si>
  <si>
    <t>Town of Harrison/Village of Harrison NY</t>
  </si>
  <si>
    <t>County of Hudson NJ</t>
  </si>
  <si>
    <t>Town of Hudson MA</t>
  </si>
  <si>
    <t>Village of Fontana on Geneva Lake WI</t>
  </si>
  <si>
    <t>Forest Hills Municipal Utility District</t>
  </si>
  <si>
    <t>City of Manhattan KS</t>
  </si>
  <si>
    <t>City of Manistee MI Water Supply &amp; Sewage Disposal System Revenue</t>
  </si>
  <si>
    <t>City of Lake Forest IL</t>
  </si>
  <si>
    <t>City of Lake Jackson TX Waterworks and Sewer Revenue</t>
  </si>
  <si>
    <t>City of Lake Mills WI Combined Utility System Revenue</t>
  </si>
  <si>
    <t>Lake View Management and Development District</t>
  </si>
  <si>
    <t>City of Llano TX</t>
  </si>
  <si>
    <t>City of Jasper AL</t>
  </si>
  <si>
    <t>City of Horace ND</t>
  </si>
  <si>
    <t>Horizon Regional Municipal Utility District</t>
  </si>
  <si>
    <t>Fort Bend County Municipal Utility District No 24</t>
  </si>
  <si>
    <t>Fort Bend County Municipal Utility District No 116</t>
  </si>
  <si>
    <t>Fort Bend County Municipal Utility District No 142</t>
  </si>
  <si>
    <t>Fort Bend County Municipal Utility District No 148</t>
  </si>
  <si>
    <t>Fort Bend County Municipal Utility District No 185</t>
  </si>
  <si>
    <t>Fort Bend County Municipal Utility District No 169</t>
  </si>
  <si>
    <t>City of Evansdale IA</t>
  </si>
  <si>
    <t>City of Evanston IL</t>
  </si>
  <si>
    <t>City of Excelsior MN</t>
  </si>
  <si>
    <t>City of DeSoto TX</t>
  </si>
  <si>
    <t>City of Herrin IL</t>
  </si>
  <si>
    <t>Village of Hershey NE</t>
  </si>
  <si>
    <t>City of Frisco TX</t>
  </si>
  <si>
    <t>Fulshear Municipal Utility District No 1</t>
  </si>
  <si>
    <t>Cottonwood Creek Municipal Utility District No 1</t>
  </si>
  <si>
    <t>City of Grand Prairie TX Water &amp; Wastewater System Revenue</t>
  </si>
  <si>
    <t>Harris County Water Control &amp; Improvement District No 116</t>
  </si>
  <si>
    <t>Harris County Water Control &amp; Improvement District No 119</t>
  </si>
  <si>
    <t>Harris County Water Control &amp; Improvement District No 136</t>
  </si>
  <si>
    <t>Harris County Municipal Utility District No 481</t>
  </si>
  <si>
    <t>Harris County Water Control &amp; Improvement District No 161</t>
  </si>
  <si>
    <t>Harris County Municipal Utility District No 390</t>
  </si>
  <si>
    <t>Harris County Municipal Utility District No 321</t>
  </si>
  <si>
    <t>Harris County Municipal Utility District No 400</t>
  </si>
  <si>
    <t>Harris County Municipal Utility District No 282</t>
  </si>
  <si>
    <t>Harris County Municipal Utility District No 290</t>
  </si>
  <si>
    <t>Harris County Municipal Utility District No 419</t>
  </si>
  <si>
    <t>Harris County Municipal Utility District No 401</t>
  </si>
  <si>
    <t>Harris County Municipal Utility District No 450</t>
  </si>
  <si>
    <t>Harris County Municipal Utility District No 500</t>
  </si>
  <si>
    <t>Harris County Municipal Utility District No 406</t>
  </si>
  <si>
    <t>Harris County Municipal Utility District No 433</t>
  </si>
  <si>
    <t>Harris County Municipal Utility District No 451</t>
  </si>
  <si>
    <t>Harris County Municipal Utility District No 501</t>
  </si>
  <si>
    <t>Collin County Municipal Utility District No 1</t>
  </si>
  <si>
    <t>Harris County Municipal Utility District No 404</t>
  </si>
  <si>
    <t>Harris County Municipal Utility District No 504</t>
  </si>
  <si>
    <t>Harris County Municipal Utility District No 529</t>
  </si>
  <si>
    <t>Harris County Municipal Utility District No 530</t>
  </si>
  <si>
    <t>Harris County Municipal Utility District No 499</t>
  </si>
  <si>
    <t>Harris County Municipal Utility District No 416</t>
  </si>
  <si>
    <t>Hays County Water Control &amp; Improvement District No 1</t>
  </si>
  <si>
    <t>Hays County Water Control &amp; Improvement District No 2</t>
  </si>
  <si>
    <t>Town of East Bloomfield NY</t>
  </si>
  <si>
    <t>East Montgomery County Municipal Utility District No 6</t>
  </si>
  <si>
    <t>City of Corning NY</t>
  </si>
  <si>
    <t>City of Lorena TX</t>
  </si>
  <si>
    <t>City of Dover NH</t>
  </si>
  <si>
    <t>Dowdell Public Utility District/TX</t>
  </si>
  <si>
    <t>Greater Texoma Utility Authority</t>
  </si>
  <si>
    <t>Magna Water District</t>
  </si>
  <si>
    <t>Harris County Municipal Utility District No 537</t>
  </si>
  <si>
    <t>East Wenatchee Water District/WA</t>
  </si>
  <si>
    <t>Eastern Municipal Water District</t>
  </si>
  <si>
    <t>City of Haltom City TX</t>
  </si>
  <si>
    <t>City of Denison TX</t>
  </si>
  <si>
    <t>Denton County Fresh Water Supply District No 6</t>
  </si>
  <si>
    <t>Denton County Fresh Water Supply District No 8-A</t>
  </si>
  <si>
    <t>Village of Elk Rapids MI</t>
  </si>
  <si>
    <t>City of Elmhurst IL</t>
  </si>
  <si>
    <t>Encanto Real Utility District</t>
  </si>
  <si>
    <t>City of Ennis TX</t>
  </si>
  <si>
    <t>City of Franklin TN Water &amp; Sewer Revenue</t>
  </si>
  <si>
    <t>Fayette County Water Control &amp; Improvement District</t>
  </si>
  <si>
    <t>Finney County Rural Water District No 1</t>
  </si>
  <si>
    <t>Clear Brook City Municipal Utility District</t>
  </si>
  <si>
    <t>Clear Lake City Water Authority</t>
  </si>
  <si>
    <t>Fountainhead Municipal Utility District</t>
  </si>
  <si>
    <t>Village of Fox Crossing WI Waterworks System &amp; Sewerage System Revenue</t>
  </si>
  <si>
    <t>Public Water Supply District No 3 of Franklin County MO</t>
  </si>
  <si>
    <t>Village of Caledonia WI Water &amp; Sewer System Revenue</t>
  </si>
  <si>
    <t>Chowchilla Public Financing Authority</t>
  </si>
  <si>
    <t>Cimarron Municipal Utility District</t>
  </si>
  <si>
    <t>Village of Harriman NY</t>
  </si>
  <si>
    <t>Harris County Water Control &amp; Improvement District No 1</t>
  </si>
  <si>
    <t>Harris County Utility District No 16</t>
  </si>
  <si>
    <t>Harris County Municipal Utility District No 285</t>
  </si>
  <si>
    <t>Harris County Municipal Utility District No 284</t>
  </si>
  <si>
    <t>Harris County Municipal Utility District No 391</t>
  </si>
  <si>
    <t>Harris County Municipal Utility District No 096</t>
  </si>
  <si>
    <t>Harris County Fresh Water Supply District No 61</t>
  </si>
  <si>
    <t>Harris County Municipal Utility District No 1</t>
  </si>
  <si>
    <t>Harris County Municipal Utility District No 344</t>
  </si>
  <si>
    <t>Harris County Municipal Utility District No 459</t>
  </si>
  <si>
    <t>Harris County Municipal Utility District No 368</t>
  </si>
  <si>
    <t>City of Edina MN</t>
  </si>
  <si>
    <t>Findlay Township Municipal Authority</t>
  </si>
  <si>
    <t>Eastmark Community Facilities District No 1</t>
  </si>
  <si>
    <t>Town of Edisto Beach SC Combined Waterworks &amp; Sewer System Revenue</t>
  </si>
  <si>
    <t>Fort Bend County Municipal Utility District No 134C</t>
  </si>
  <si>
    <t>Fort Bend County Municipal Utility District NO 176</t>
  </si>
  <si>
    <t>Fort Bend County Municipal Utility District No 152</t>
  </si>
  <si>
    <t>Fort Bend County Municipal Utility District No 145</t>
  </si>
  <si>
    <t>Fort Bend County Municipal Utility District No 162</t>
  </si>
  <si>
    <t>Fort Bend County Municipal Utility District No 167</t>
  </si>
  <si>
    <t>Fort Bend County Municipal Utility District No 187</t>
  </si>
  <si>
    <t>Fort Bend County Municipal Utility District No 172</t>
  </si>
  <si>
    <t>Fort Bend County Municipal Utility District No 134D</t>
  </si>
  <si>
    <t>City of Highland Park IL</t>
  </si>
  <si>
    <t>Highlands at Mayfield Ranch Municipal Utility District</t>
  </si>
  <si>
    <t>Village of Hoffman Estates IL</t>
  </si>
  <si>
    <t>City of Mineola TX</t>
  </si>
  <si>
    <t>Town of Groveland MA</t>
  </si>
  <si>
    <t>Guadalupe-Blanco River Authority</t>
  </si>
  <si>
    <t>County of Ionia MI</t>
  </si>
  <si>
    <t>Keokuk Municipal Water Works</t>
  </si>
  <si>
    <t>City of Kerkhoven MN</t>
  </si>
  <si>
    <t>City of Kiel WI Water System Revenue</t>
  </si>
  <si>
    <t>City of Kilgore TX</t>
  </si>
  <si>
    <t>Greatrock North Water &amp; Sanitation District</t>
  </si>
  <si>
    <t>City of Green Forest AR Water &amp; Sewer Revenue</t>
  </si>
  <si>
    <t>Town of Greenburgh NY</t>
  </si>
  <si>
    <t>City of Giddings TX</t>
  </si>
  <si>
    <t>City of Gig Harbor WA Water &amp; Sewer Revenue</t>
  </si>
  <si>
    <t>Village of Giltner NE</t>
  </si>
  <si>
    <t>City of Glencoe MN</t>
  </si>
  <si>
    <t>City of Glendale WI</t>
  </si>
  <si>
    <t>City of Goddard KS</t>
  </si>
  <si>
    <t>City of Goodyear AZ</t>
  </si>
  <si>
    <t>City of League City TX</t>
  </si>
  <si>
    <t>City of Hurricane UT Water Revenue</t>
  </si>
  <si>
    <t>Jurupa Community Services District</t>
  </si>
  <si>
    <t>Kendall County Water Control &amp; Improvement District No 2A</t>
  </si>
  <si>
    <t>City of Greensboro NC Combined Water &amp; Sewer System Revenue</t>
  </si>
  <si>
    <t>Greenville Waterworks &amp; Sewer Board</t>
  </si>
  <si>
    <t>Greenwood Utility District/TX</t>
  </si>
  <si>
    <t>City of Grosse Pointe MI</t>
  </si>
  <si>
    <t>Fort Bend County Municipal Utility District No 30</t>
  </si>
  <si>
    <t>City of Fort Lupton CO Water Revenue</t>
  </si>
  <si>
    <t>Fort Wayne Storm Revenue District</t>
  </si>
  <si>
    <t>Lehigh County Authority</t>
  </si>
  <si>
    <t>Town of Hamilton MA</t>
  </si>
  <si>
    <t>Meadowhill Regional Municipal Utility District</t>
  </si>
  <si>
    <t>Montgomery County Municipal Utility District No 95</t>
  </si>
  <si>
    <t>Montgomery County Municipal Utility District No 98</t>
  </si>
  <si>
    <t>Montgomery County Municipal Utility District No 112</t>
  </si>
  <si>
    <t>Montgomery County Water Control &amp; Improvement District No 1</t>
  </si>
  <si>
    <t>Murrieta Valley Unified School District</t>
  </si>
  <si>
    <t>Muscatine Power and Water</t>
  </si>
  <si>
    <t>Montgomery County Municipal Utility District No 119</t>
  </si>
  <si>
    <t>Montgomery County Municipal Utility District No 105</t>
  </si>
  <si>
    <t>Montgomery County Municipal Utility District No 127</t>
  </si>
  <si>
    <t>City of Lake Elmo MN</t>
  </si>
  <si>
    <t>Lake Elsinore Unified School District Community Facilities District</t>
  </si>
  <si>
    <t>City of Kalamazoo MI Water Supply System Revenue</t>
  </si>
  <si>
    <t>City of Kasson MN</t>
  </si>
  <si>
    <t>Kaufman County Fresh Water Supply District No 1-C</t>
  </si>
  <si>
    <t>City of Keller TX</t>
  </si>
  <si>
    <t>Kelly Lane Water Control &amp; Improvement District No 1</t>
  </si>
  <si>
    <t>Kelly Lane Water Control &amp; Improvement District No 2</t>
  </si>
  <si>
    <t>Village of Montgomery IL</t>
  </si>
  <si>
    <t>Montgomery County Municipal Utility District No 67</t>
  </si>
  <si>
    <t>King County Water District No 49</t>
  </si>
  <si>
    <t>City of Kingsport TN</t>
  </si>
  <si>
    <t>Knox Chapman Utility District of Knox County TN</t>
  </si>
  <si>
    <t>City of Knoxville TN Water System Revenue</t>
  </si>
  <si>
    <t>Lancaster Municipal Utility District No 1</t>
  </si>
  <si>
    <t>Town of Mount Pleasent SC Water &amp; Sewer Revenue</t>
  </si>
  <si>
    <t>Village of Mount Prospect IL</t>
  </si>
  <si>
    <t>City of Memphis TN Water Revenue</t>
  </si>
  <si>
    <t>City of Monroe NC Enterprise System Revenue</t>
  </si>
  <si>
    <t>Lynwood Utility Authority</t>
  </si>
  <si>
    <t>City of St Louis Park MN</t>
  </si>
  <si>
    <t>City of Sanger TX</t>
  </si>
  <si>
    <t>San Leon Municipal Utility District/TX</t>
  </si>
  <si>
    <t>City of North Liberty IA</t>
  </si>
  <si>
    <t>Paseo del Este Municipal Utility District No 8</t>
  </si>
  <si>
    <t>Paseo del Este Municipal Utility District No 2</t>
  </si>
  <si>
    <t>Payette Lakes Recreational Water &amp; Sewer District</t>
  </si>
  <si>
    <t>Pecan Grove Municipal Utility District</t>
  </si>
  <si>
    <t>City of Peculiar MO Water &amp; Sewer Revenue</t>
  </si>
  <si>
    <t>City of Sacramento CA</t>
  </si>
  <si>
    <t>City of Sacramento CA Water Revenue</t>
  </si>
  <si>
    <t>Northeast Harris County Municipal Utility District No 1</t>
  </si>
  <si>
    <t>Northeast Travis County Utility District/TX</t>
  </si>
  <si>
    <t>Northgate Crossing Municipal Utility District 1</t>
  </si>
  <si>
    <t>County of Oconee GA Water &amp; Sewerage Revenue</t>
  </si>
  <si>
    <t>City of Osceola IA Water Revenue</t>
  </si>
  <si>
    <t>City of Oshkosh WI Water Revenue</t>
  </si>
  <si>
    <t>City of Ottawa KS</t>
  </si>
  <si>
    <t>City of Oxford MS</t>
  </si>
  <si>
    <t>City of Phillips WI Water &amp; Sewer System Revenue</t>
  </si>
  <si>
    <t>City of Pikeville KY</t>
  </si>
  <si>
    <t>City of Pilot Point TX</t>
  </si>
  <si>
    <t>City of Rosenberg TX</t>
  </si>
  <si>
    <t>City of Roswell NM Joint Water &amp; Sewer Revenue</t>
  </si>
  <si>
    <t>City of Royse City TX</t>
  </si>
  <si>
    <t>State of Minnesota</t>
  </si>
  <si>
    <t>Lazy Nine Municipal Utility District No 1B</t>
  </si>
  <si>
    <t>City of Le Sueur MN</t>
  </si>
  <si>
    <t>City of Petoskey MI Water &amp; Sewer Revenue</t>
  </si>
  <si>
    <t>City of Peosta IA</t>
  </si>
  <si>
    <t>Marin Water District Financing Authority</t>
  </si>
  <si>
    <t>City of Little Rock AR Water Reclamation System Revenue</t>
  </si>
  <si>
    <t>City of Las Vegas NV</t>
  </si>
  <si>
    <t>City of Las Vegas NV Special Improvement District No 813</t>
  </si>
  <si>
    <t>City of Laurel MS Water &amp; Sewer System Revenue</t>
  </si>
  <si>
    <t>City of Lawrence KS Water &amp; Sewage System Revenue</t>
  </si>
  <si>
    <t>Langham Creek Utility District</t>
  </si>
  <si>
    <t>Northwest Harris County Municipal Utility District No 16</t>
  </si>
  <si>
    <t>Northwest Harris County Municipal Utility District No 12</t>
  </si>
  <si>
    <t>City of Norwalk IA</t>
  </si>
  <si>
    <t>Northwest Harris County Municipal Utility District No 5/TX</t>
  </si>
  <si>
    <t>Northwest Harris County Municipal Utility District No 6</t>
  </si>
  <si>
    <t>State of Nevada</t>
  </si>
  <si>
    <t>Western Riverside Water &amp; Wastewater Financing Authority</t>
  </si>
  <si>
    <t>Stuart Municipal Utilities Electric Revenue</t>
  </si>
  <si>
    <t>City of Sugar Land TX Waterworks &amp; Sewer System Revenue</t>
  </si>
  <si>
    <t>City of Sulphur Springs TX</t>
  </si>
  <si>
    <t>Sunfield Municipal Utility District No 1</t>
  </si>
  <si>
    <t>Grand Mission Municipal Utility District No 2</t>
  </si>
  <si>
    <t>City of Upper Arlington OH</t>
  </si>
  <si>
    <t>Williamson County Municipal Utility District No 13</t>
  </si>
  <si>
    <t>Williamson County Municipal Utility District No 22</t>
  </si>
  <si>
    <t>Williamson County Municipal Utility District No 12</t>
  </si>
  <si>
    <t>Williamson County Municipal Utility District No 19</t>
  </si>
  <si>
    <t>City of West Liberty IA</t>
  </si>
  <si>
    <t>City of West Sacramento CA</t>
  </si>
  <si>
    <t>West Sacramento Financing Authority</t>
  </si>
  <si>
    <t>West Williamson County Municipal Utility District No 1</t>
  </si>
  <si>
    <t>County of Westchester NY</t>
  </si>
  <si>
    <t>City of Thief River Falls MN</t>
  </si>
  <si>
    <t>Wilbarger Creek Municipal Utility District No 2</t>
  </si>
  <si>
    <t>Wilkinsburg-Penn Joint Water Authority/The</t>
  </si>
  <si>
    <t>Williamson County Water Sewer Irrigation &amp; Drainage District No 3</t>
  </si>
  <si>
    <t>Turtle Run Community Development District</t>
  </si>
  <si>
    <t>Village of Sussex WI Water System Revenue</t>
  </si>
  <si>
    <t>City of Sweeny TX</t>
  </si>
  <si>
    <t>Sweetwater Authority</t>
  </si>
  <si>
    <t>Village of Wauconda IL</t>
  </si>
  <si>
    <t>City of Wausau WI Water System Revenue</t>
  </si>
  <si>
    <t>Town of Wayland MA</t>
  </si>
  <si>
    <t>Town of Westport CT</t>
  </si>
  <si>
    <t>Village of Tremont IL</t>
  </si>
  <si>
    <t>City of Waynesville MO</t>
  </si>
  <si>
    <t>Wayne County Water &amp; Sewer Authority</t>
  </si>
  <si>
    <t>St Marys Area Water Authority</t>
  </si>
  <si>
    <t>City of Wolfforth TX</t>
  </si>
  <si>
    <t>Wood Trace Municipal Utility District No 1</t>
  </si>
  <si>
    <t>Village of Woodbury NY</t>
  </si>
  <si>
    <t>Woodridge Municipal Utility District</t>
  </si>
  <si>
    <t>City of Woodway TX</t>
  </si>
  <si>
    <t>City of Windom MN</t>
  </si>
  <si>
    <t>City of Winston-Salem NC Water &amp; Sewer System Revenue</t>
  </si>
  <si>
    <t>City of Story City IA</t>
  </si>
  <si>
    <t>Town of Walpole MA</t>
  </si>
  <si>
    <t>City of Rensselaer IN Waterworks Revenue</t>
  </si>
  <si>
    <t>Reunion Ranch Water Control &amp; Improvement District</t>
  </si>
  <si>
    <t>Township of Rockaway NJ</t>
  </si>
  <si>
    <t>Village of Rockville Centre NY</t>
  </si>
  <si>
    <t>Porter Municipal Utility District Hendricks Defined Area</t>
  </si>
  <si>
    <t>Porter Municipal Utility District Auburn Trails Defined Area No 2</t>
  </si>
  <si>
    <t>Portland Water District Water System Revenue</t>
  </si>
  <si>
    <t>Porter Municipal Utility District Auburn Trails Defined Area No 1</t>
  </si>
  <si>
    <t>Washington County Water Conservancy District</t>
  </si>
  <si>
    <t>City of West Des Moines IA</t>
  </si>
  <si>
    <t>West Harris County Municipal Utility District No 2</t>
  </si>
  <si>
    <t>South Middleton Township Municipal Authority</t>
  </si>
  <si>
    <t>West Harris County Municipal Utility District No 21</t>
  </si>
  <si>
    <t>City of State Center IA</t>
  </si>
  <si>
    <t>City of Wylie TX</t>
  </si>
  <si>
    <t>Viridian Municipal Management District</t>
  </si>
  <si>
    <t>City of Robbinsdale MN</t>
  </si>
  <si>
    <t>Robinson Township Municipal Authority</t>
  </si>
  <si>
    <t>Summary</t>
  </si>
  <si>
    <t>SRCH Results</t>
  </si>
  <si>
    <t>Number of securities: 2,257</t>
  </si>
  <si>
    <t>Currency: USD</t>
  </si>
  <si>
    <t>Created by  DAN LI ( REGENTS OF THE UNIV. OF MICHIGAN,TH )  on  07/31/2022 14:25:21 GMT-0400 (EDT)</t>
  </si>
  <si>
    <t>SRCH Criteria</t>
  </si>
  <si>
    <t>Asset Classes: Municipals</t>
  </si>
  <si>
    <t>Sources: All Securities</t>
  </si>
  <si>
    <t xml:space="preserve">Security: </t>
  </si>
  <si>
    <t xml:space="preserve"> AND </t>
  </si>
  <si>
    <t>Security Status</t>
  </si>
  <si>
    <t>Include</t>
  </si>
  <si>
    <t>Municipals : Active</t>
  </si>
  <si>
    <t>Muni Bond Purpose</t>
  </si>
  <si>
    <t>Water Utility Improvements</t>
  </si>
  <si>
    <t>Country/Region of Risk</t>
  </si>
  <si>
    <t>United States of America</t>
  </si>
  <si>
    <t>In the range</t>
  </si>
  <si>
    <t>01/01/2017 to 12/31/2017</t>
  </si>
  <si>
    <t>Maturity Type</t>
  </si>
  <si>
    <t>Exclude [Match Any]</t>
  </si>
  <si>
    <t>Callable or Make Whole Call or Putable or Sinkable or Anticipated Sinking Fund</t>
  </si>
  <si>
    <t>13063DAQ1</t>
  </si>
  <si>
    <t>N</t>
  </si>
  <si>
    <t>CA</t>
  </si>
  <si>
    <t>Sacramento, CA</t>
  </si>
  <si>
    <t>9/12/2017</t>
  </si>
  <si>
    <t>SCHOOL IMPS. WATER UTILITY IMPS. REFUNDING NOTES</t>
  </si>
  <si>
    <t>11/1/2025</t>
  </si>
  <si>
    <t>#N/A Authorization</t>
  </si>
  <si>
    <t>FED &amp; ST TAX-EXEMPT</t>
  </si>
  <si>
    <t>AA-</t>
  </si>
  <si>
    <t>13034ARW2</t>
  </si>
  <si>
    <t>3/23/2017</t>
  </si>
  <si>
    <t>GREEN PURPOSE WATER UTILITY IMPS.</t>
  </si>
  <si>
    <t>10/1/2023</t>
  </si>
  <si>
    <t>AAA</t>
  </si>
  <si>
    <t>64986DDG7</t>
  </si>
  <si>
    <t>NY</t>
  </si>
  <si>
    <t>Albany, NY</t>
  </si>
  <si>
    <t>4/13/2017</t>
  </si>
  <si>
    <t>WATER UTILITY IMPS. CURRENT REFUNDING GREEN PURPOSE</t>
  </si>
  <si>
    <t>6/15/2025</t>
  </si>
  <si>
    <t>51219SFN3</t>
  </si>
  <si>
    <t>Y</t>
  </si>
  <si>
    <t>TX</t>
  </si>
  <si>
    <t>Travis, TX</t>
  </si>
  <si>
    <t>12/1/2017</t>
  </si>
  <si>
    <t>WATER UTILITY IMPS. SEWER IMPS.</t>
  </si>
  <si>
    <t>9/1/2023</t>
  </si>
  <si>
    <t>FED BQ</t>
  </si>
  <si>
    <t>A</t>
  </si>
  <si>
    <t>837545LL4</t>
  </si>
  <si>
    <t>SD</t>
  </si>
  <si>
    <t>Hughes, SD</t>
  </si>
  <si>
    <t>8/23/2017</t>
  </si>
  <si>
    <t>WATER UTILITY IMPS. SEWER IMPS. ADVANCE REFUNDING</t>
  </si>
  <si>
    <t>8/1/2026</t>
  </si>
  <si>
    <t>FED TAX-EXEMPT</t>
  </si>
  <si>
    <t>45204EXP8</t>
  </si>
  <si>
    <t>IL</t>
  </si>
  <si>
    <t>Cook, IL</t>
  </si>
  <si>
    <t>GREEN PURPOSE WATER UTILITY IMPS. SEWER IMPS.</t>
  </si>
  <si>
    <t>7/1/2025</t>
  </si>
  <si>
    <t>FED TAX-EXEMPT/ST TAXABLE</t>
  </si>
  <si>
    <t>13034ARZ5</t>
  </si>
  <si>
    <t>10/1/2026</t>
  </si>
  <si>
    <t>917572WH8</t>
  </si>
  <si>
    <t>UT</t>
  </si>
  <si>
    <t>Salt Lake, UT</t>
  </si>
  <si>
    <t>7/20/2017</t>
  </si>
  <si>
    <t>3/1/2024</t>
  </si>
  <si>
    <t>AA</t>
  </si>
  <si>
    <t>013493HD6</t>
  </si>
  <si>
    <t>NM</t>
  </si>
  <si>
    <t>Bernalillo, NM</t>
  </si>
  <si>
    <t>3/1/2017</t>
  </si>
  <si>
    <t>7/1/2023</t>
  </si>
  <si>
    <t>46246K3X8</t>
  </si>
  <si>
    <t>IA</t>
  </si>
  <si>
    <t>Polk, IA</t>
  </si>
  <si>
    <t>12/14/2017</t>
  </si>
  <si>
    <t>WATER UTILITY IMPS. GREEN PURPOSE ADVANCE REFUNDING</t>
  </si>
  <si>
    <t>8/1/2023</t>
  </si>
  <si>
    <t>98618FAH7</t>
  </si>
  <si>
    <t>Orange, CA</t>
  </si>
  <si>
    <t>5/11/2017</t>
  </si>
  <si>
    <t>ADVANCE REFUNDING WATER UTILITY IMPS.</t>
  </si>
  <si>
    <t>10/1/2024</t>
  </si>
  <si>
    <t>AA+</t>
  </si>
  <si>
    <t>898797EC5</t>
  </si>
  <si>
    <t>AZ</t>
  </si>
  <si>
    <t>Pima, AZ</t>
  </si>
  <si>
    <t>6/28/2017</t>
  </si>
  <si>
    <t>ADVANCE REFUNDING CURRENT REFUNDING WATER UTILITY IMPS.</t>
  </si>
  <si>
    <t>7/1/2024</t>
  </si>
  <si>
    <t>882854ZS4</t>
  </si>
  <si>
    <t>10/12/2017</t>
  </si>
  <si>
    <t>WATER UTILITY IMPS.</t>
  </si>
  <si>
    <t>4/15/2025</t>
  </si>
  <si>
    <t>64986DDF9</t>
  </si>
  <si>
    <t>6/15/2024</t>
  </si>
  <si>
    <t>906400DV5</t>
  </si>
  <si>
    <t>NC</t>
  </si>
  <si>
    <t>Union, NC</t>
  </si>
  <si>
    <t>8/30/2017</t>
  </si>
  <si>
    <t>6/1/2025</t>
  </si>
  <si>
    <t>89658HUY4</t>
  </si>
  <si>
    <t>Tarrant, TX</t>
  </si>
  <si>
    <t>5/1/2017</t>
  </si>
  <si>
    <t>ADVANCE REFUNDING WATER UTILITY IMPS. SEWER IMPS.</t>
  </si>
  <si>
    <t>695283CX7</t>
  </si>
  <si>
    <t>San Diego, CA</t>
  </si>
  <si>
    <t>6/15/2017</t>
  </si>
  <si>
    <t>64986DDJ1</t>
  </si>
  <si>
    <t>6/15/2027</t>
  </si>
  <si>
    <t>20775YCZ7</t>
  </si>
  <si>
    <t>CT</t>
  </si>
  <si>
    <t>Hartford, CT</t>
  </si>
  <si>
    <t>5/1/2024</t>
  </si>
  <si>
    <t>20775YDD5</t>
  </si>
  <si>
    <t>5/1/2026</t>
  </si>
  <si>
    <t>45204EXJ2</t>
  </si>
  <si>
    <t>1/1/2023</t>
  </si>
  <si>
    <t>882854ZU9</t>
  </si>
  <si>
    <t>4/15/2026</t>
  </si>
  <si>
    <t>03588HRT5</t>
  </si>
  <si>
    <t>MD</t>
  </si>
  <si>
    <t>Anne Arundel, MD</t>
  </si>
  <si>
    <t>4/12/2017</t>
  </si>
  <si>
    <t>13063DAM0</t>
  </si>
  <si>
    <t>11/1/2022</t>
  </si>
  <si>
    <t>79765RQ85</t>
  </si>
  <si>
    <t>San Francisco, CA</t>
  </si>
  <si>
    <t>12/13/2017</t>
  </si>
  <si>
    <t>GREEN PURPOSE WATER UTILITY IMPS. REFUNDING NOTES</t>
  </si>
  <si>
    <t>11/1/2024</t>
  </si>
  <si>
    <t>20775YDF0</t>
  </si>
  <si>
    <t>5/1/2027</t>
  </si>
  <si>
    <t>64986DFD2</t>
  </si>
  <si>
    <t>WATER UTILITY IMPS. GREEN PURPOSE</t>
  </si>
  <si>
    <t>6/15/2026</t>
  </si>
  <si>
    <t>98618FAG9</t>
  </si>
  <si>
    <t>394641MY7</t>
  </si>
  <si>
    <t>OH</t>
  </si>
  <si>
    <t>Greene, OH</t>
  </si>
  <si>
    <t>9/28/2017</t>
  </si>
  <si>
    <t>12/1/2022</t>
  </si>
  <si>
    <t>FED BQ/ST TAX-EXEMPT</t>
  </si>
  <si>
    <t>#N/A N/A</t>
  </si>
  <si>
    <t>593241BL5</t>
  </si>
  <si>
    <t>FL</t>
  </si>
  <si>
    <t>Dade, FL</t>
  </si>
  <si>
    <t>WATER UTILITY IMPS. SEWER IMPS. CURRENT REFUNDING</t>
  </si>
  <si>
    <t>9/1/2027</t>
  </si>
  <si>
    <t>405108SB8</t>
  </si>
  <si>
    <t>Washington, MD</t>
  </si>
  <si>
    <t>6/1/2017</t>
  </si>
  <si>
    <t>PUBLIC IMPS. WATER UTILITY IMPS. SEWER IMPS.</t>
  </si>
  <si>
    <t>6/1/2027</t>
  </si>
  <si>
    <t>FED TAXABLE/ST TAX-EXEMPT</t>
  </si>
  <si>
    <t>13063DAR9</t>
  </si>
  <si>
    <t>11/1/2026</t>
  </si>
  <si>
    <t>13034ARY8</t>
  </si>
  <si>
    <t>10/1/2025</t>
  </si>
  <si>
    <t>89658HUT5</t>
  </si>
  <si>
    <t>8/1/2024</t>
  </si>
  <si>
    <t>303891B53</t>
  </si>
  <si>
    <t>VA</t>
  </si>
  <si>
    <t>Fairfax, VA</t>
  </si>
  <si>
    <t>CURRENT REFUNDING WATER UTILITY IMPS.</t>
  </si>
  <si>
    <t>4/1/2025</t>
  </si>
  <si>
    <t>76222RVB5</t>
  </si>
  <si>
    <t>RI</t>
  </si>
  <si>
    <t>Providence, RI</t>
  </si>
  <si>
    <t>5/9/2017</t>
  </si>
  <si>
    <t>HOUSING UNIV. &amp; COLLEGE IMPS. WATER UTILITY IMPS.</t>
  </si>
  <si>
    <t>889753NM7</t>
  </si>
  <si>
    <t>WI</t>
  </si>
  <si>
    <t>Monroe, WI</t>
  </si>
  <si>
    <t>3/30/2017</t>
  </si>
  <si>
    <t>3/1/2023</t>
  </si>
  <si>
    <t>FED BQ/ST TAXABLE</t>
  </si>
  <si>
    <t>45204EXN3</t>
  </si>
  <si>
    <t>1/1/2025</t>
  </si>
  <si>
    <t>13034ARV4</t>
  </si>
  <si>
    <t>10/1/2022</t>
  </si>
  <si>
    <t>544525VU9</t>
  </si>
  <si>
    <t>Los Angeles, CA</t>
  </si>
  <si>
    <t>CURRENT REFUNDING WATER UTILITY IMPS. REPAYMENT OF BANK LOAN</t>
  </si>
  <si>
    <t>7/1/2026</t>
  </si>
  <si>
    <t>13034ARX0</t>
  </si>
  <si>
    <t>899138AF8</t>
  </si>
  <si>
    <t>#N/A Field Not Applicable</t>
  </si>
  <si>
    <t>12/6/2017</t>
  </si>
  <si>
    <t>12/1/2023</t>
  </si>
  <si>
    <t>581714VQ2</t>
  </si>
  <si>
    <t>Collin, TX</t>
  </si>
  <si>
    <t>8/1/2017</t>
  </si>
  <si>
    <t>3/15/2026</t>
  </si>
  <si>
    <t>13063DAN8</t>
  </si>
  <si>
    <t>11/1/2023</t>
  </si>
  <si>
    <t>590545YA1</t>
  </si>
  <si>
    <t>Maricopa, AZ</t>
  </si>
  <si>
    <t>5/24/2017</t>
  </si>
  <si>
    <t>WATER UTILITY IMPS. SEWER IMPS. MULT. UTILITY IMPS.</t>
  </si>
  <si>
    <t>181126LM3</t>
  </si>
  <si>
    <t>WA</t>
  </si>
  <si>
    <t>Clark, WA</t>
  </si>
  <si>
    <t>659666XH9</t>
  </si>
  <si>
    <t>Nassau, NY</t>
  </si>
  <si>
    <t>9/27/2017</t>
  </si>
  <si>
    <t>RECREATIONAL FAC. IMPS. WATER UTILITY IMPS. REFUNDING NOTES</t>
  </si>
  <si>
    <t>9/15/2024</t>
  </si>
  <si>
    <t>80168FMR4</t>
  </si>
  <si>
    <t>Santa Clara, CA</t>
  </si>
  <si>
    <t>3/7/2017</t>
  </si>
  <si>
    <t>2/1/2024</t>
  </si>
  <si>
    <t>424672WP4</t>
  </si>
  <si>
    <t>PUBLIC IMPS. HIGHWAY IMPS. WATER UTILITY IMPS.</t>
  </si>
  <si>
    <t>194749CK1</t>
  </si>
  <si>
    <t>9/15/2017</t>
  </si>
  <si>
    <t>9/15/2027</t>
  </si>
  <si>
    <t>424672WM1</t>
  </si>
  <si>
    <t>4/1/2023</t>
  </si>
  <si>
    <t>5907746Z3</t>
  </si>
  <si>
    <t>Dallas, TX</t>
  </si>
  <si>
    <t>271014E40</t>
  </si>
  <si>
    <t>San Mateo, CA</t>
  </si>
  <si>
    <t>6/22/2017</t>
  </si>
  <si>
    <t>ADVANCE REFUNDING WATER UTILITY IMPS. CURRENT REFUNDING</t>
  </si>
  <si>
    <t>967338D27</t>
  </si>
  <si>
    <t>KS</t>
  </si>
  <si>
    <t>Sedgwick, KS</t>
  </si>
  <si>
    <t>10/1/2027</t>
  </si>
  <si>
    <t>59059CAG4</t>
  </si>
  <si>
    <t>6/21/2017</t>
  </si>
  <si>
    <t>3/15/2024</t>
  </si>
  <si>
    <t>64985HXR3</t>
  </si>
  <si>
    <t>11/9/2017</t>
  </si>
  <si>
    <t>2/15/2025</t>
  </si>
  <si>
    <t>575829DB9</t>
  </si>
  <si>
    <t>MA</t>
  </si>
  <si>
    <t>Suffolk, MA</t>
  </si>
  <si>
    <t>2/1/2023</t>
  </si>
  <si>
    <t>899656QP0</t>
  </si>
  <si>
    <t>OK</t>
  </si>
  <si>
    <t>Tulsa, OK</t>
  </si>
  <si>
    <t>2/3/2017</t>
  </si>
  <si>
    <t>CURRENT REFUNDING WATER UTILITY IMPS. SEWER IMPS.</t>
  </si>
  <si>
    <t>544525VT2</t>
  </si>
  <si>
    <t>45204EXQ6</t>
  </si>
  <si>
    <t>1/1/2026</t>
  </si>
  <si>
    <t>89658HUV0</t>
  </si>
  <si>
    <t>8/1/2025</t>
  </si>
  <si>
    <t>434830SA4</t>
  </si>
  <si>
    <t>Worcester, MA</t>
  </si>
  <si>
    <t>REFUNDING NOTES WATER UTILITY IMPS. SEWER IMPS.</t>
  </si>
  <si>
    <t>6/15/2023</t>
  </si>
  <si>
    <t>795604AJ6</t>
  </si>
  <si>
    <t>4/5/2017</t>
  </si>
  <si>
    <t>2/1/2026</t>
  </si>
  <si>
    <t>63045RAF2</t>
  </si>
  <si>
    <t>La Salle, IL</t>
  </si>
  <si>
    <t>4/11/2017</t>
  </si>
  <si>
    <t>WATER UTILITY IMPS. PROPERTY ACQUISITION</t>
  </si>
  <si>
    <t>979149GB1</t>
  </si>
  <si>
    <t>NJ</t>
  </si>
  <si>
    <t>Gloucester, NJ</t>
  </si>
  <si>
    <t>6/7/2017</t>
  </si>
  <si>
    <t>13063DAS7</t>
  </si>
  <si>
    <t>11/1/2027</t>
  </si>
  <si>
    <t>798569BV0</t>
  </si>
  <si>
    <t>Merced, CA</t>
  </si>
  <si>
    <t>303891B61</t>
  </si>
  <si>
    <t>4/1/2026</t>
  </si>
  <si>
    <t>45204EXM5</t>
  </si>
  <si>
    <t>8800642E9</t>
  </si>
  <si>
    <t>Bell, TX</t>
  </si>
  <si>
    <t>11/8/2017</t>
  </si>
  <si>
    <t>03588HRR9</t>
  </si>
  <si>
    <t>655867VV8</t>
  </si>
  <si>
    <t>Norfolk, VA</t>
  </si>
  <si>
    <t>12/5/2017</t>
  </si>
  <si>
    <t>158855DS2</t>
  </si>
  <si>
    <t>12/19/2017</t>
  </si>
  <si>
    <t>364478TV9</t>
  </si>
  <si>
    <t>Galveston, TX</t>
  </si>
  <si>
    <t>2/15/2017</t>
  </si>
  <si>
    <t>882854ZR6</t>
  </si>
  <si>
    <t>4/15/2024</t>
  </si>
  <si>
    <t>14762PAG8</t>
  </si>
  <si>
    <t>Ventura, CA</t>
  </si>
  <si>
    <t>5/31/2017</t>
  </si>
  <si>
    <t>729654TG8</t>
  </si>
  <si>
    <t>Plymouth, MA</t>
  </si>
  <si>
    <t>5/4/2017</t>
  </si>
  <si>
    <t>REFUNDING NOTES WATER UTILITY IMPS. PUBLIC IMPS.</t>
  </si>
  <si>
    <t>5/1/2023</t>
  </si>
  <si>
    <t>42703JBB5</t>
  </si>
  <si>
    <t>MO</t>
  </si>
  <si>
    <t>Jefferson, MO</t>
  </si>
  <si>
    <t>ADVANCE REFUNDING PUBLIC IMPS. WATER UTILITY IMPS.</t>
  </si>
  <si>
    <t>10/15/2022</t>
  </si>
  <si>
    <t>161069S59</t>
  </si>
  <si>
    <t>Charlottesville, VA</t>
  </si>
  <si>
    <t>6/29/2017</t>
  </si>
  <si>
    <t>PUBLIC IMPS. SCHOOL IMPS. WATER UTILITY IMPS.</t>
  </si>
  <si>
    <t>12/15/2025</t>
  </si>
  <si>
    <t>303891B38</t>
  </si>
  <si>
    <t>880162EU2</t>
  </si>
  <si>
    <t>683548DJ7</t>
  </si>
  <si>
    <t>AL</t>
  </si>
  <si>
    <t>Lee, AL</t>
  </si>
  <si>
    <t>WATER UTILITY IMPS. ADVANCE REFUNDING</t>
  </si>
  <si>
    <t>A+</t>
  </si>
  <si>
    <t>882854ZQ8</t>
  </si>
  <si>
    <t>4/15/2023</t>
  </si>
  <si>
    <t>837545LK6</t>
  </si>
  <si>
    <t>755417ZZ8</t>
  </si>
  <si>
    <t>Middlesex, MA</t>
  </si>
  <si>
    <t>6/30/2017</t>
  </si>
  <si>
    <t>WATER UTILITY IMPS. SEWER IMPS. PUBLIC IMPS.</t>
  </si>
  <si>
    <t>686628VK1</t>
  </si>
  <si>
    <t>Barnstable, MA</t>
  </si>
  <si>
    <t>11/16/2017</t>
  </si>
  <si>
    <t>PUBLIC IMPS. REFUNDING NOTES WATER UTILITY IMPS.</t>
  </si>
  <si>
    <t>929831LX1</t>
  </si>
  <si>
    <t>McLennan, TX</t>
  </si>
  <si>
    <t>4/1/2017</t>
  </si>
  <si>
    <t>924258X84</t>
  </si>
  <si>
    <t>VT</t>
  </si>
  <si>
    <t>Washington, VT</t>
  </si>
  <si>
    <t>9/13/2017</t>
  </si>
  <si>
    <t>PUBLIC IMPS. WATER UTILITY IMPS. UNIV. &amp; COLLEGE IMPS.</t>
  </si>
  <si>
    <t>8/15/2024</t>
  </si>
  <si>
    <t>552048PX2</t>
  </si>
  <si>
    <t>MI</t>
  </si>
  <si>
    <t>Oakland, MI</t>
  </si>
  <si>
    <t>8/31/2017</t>
  </si>
  <si>
    <t>298163DL7</t>
  </si>
  <si>
    <t>Barbour, AL</t>
  </si>
  <si>
    <t>4/1/2024</t>
  </si>
  <si>
    <t>64986DFE0</t>
  </si>
  <si>
    <t>800086GR5</t>
  </si>
  <si>
    <t>RECREATIONAL FAC. IMPS. WATER UTILITY IMPS.</t>
  </si>
  <si>
    <t>729654TK9</t>
  </si>
  <si>
    <t>434830SC0</t>
  </si>
  <si>
    <t>774221ED3</t>
  </si>
  <si>
    <t>Montgomery, MD</t>
  </si>
  <si>
    <t>7/11/2017</t>
  </si>
  <si>
    <t>764279AV7</t>
  </si>
  <si>
    <t>Benton, WA</t>
  </si>
  <si>
    <t>WATER UTILITY IMPS. ADVANCE REFUNDING REFUNDING NOTES</t>
  </si>
  <si>
    <t>577030KX6</t>
  </si>
  <si>
    <t>8/18/2017</t>
  </si>
  <si>
    <t>WATER UTILITY IMPS. PUBLIC IMPS. CURRENT REFUNDING</t>
  </si>
  <si>
    <t>8/15/2023</t>
  </si>
  <si>
    <t>20775YCX2</t>
  </si>
  <si>
    <t>64986DDH5</t>
  </si>
  <si>
    <t>622503UY4</t>
  </si>
  <si>
    <t>Westchester, NY</t>
  </si>
  <si>
    <t>WATER UTILITY IMPS. PUBLIC IMPS. RECREATIONAL FAC. IMPS.</t>
  </si>
  <si>
    <t>895139GP2</t>
  </si>
  <si>
    <t>Mercer, NJ</t>
  </si>
  <si>
    <t>6/13/2017</t>
  </si>
  <si>
    <t>76222RVA7</t>
  </si>
  <si>
    <t>5/1/2025</t>
  </si>
  <si>
    <t>25471TBB8</t>
  </si>
  <si>
    <t>4/19/2017</t>
  </si>
  <si>
    <t>12/1/2027</t>
  </si>
  <si>
    <t>112857EB9</t>
  </si>
  <si>
    <t>Waukesha, WI</t>
  </si>
  <si>
    <t>6/5/2017</t>
  </si>
  <si>
    <t>PUBLIC IMPS. RECREATIONAL FAC. IMPS. WATER UTILITY IMPS.</t>
  </si>
  <si>
    <t>12/1/2025</t>
  </si>
  <si>
    <t>05922KYG8</t>
  </si>
  <si>
    <t>Baltimore City, MD</t>
  </si>
  <si>
    <t>2/9/2017</t>
  </si>
  <si>
    <t>448474NR3</t>
  </si>
  <si>
    <t>Williamson, TX</t>
  </si>
  <si>
    <t>79765RT58</t>
  </si>
  <si>
    <t>181126LN1</t>
  </si>
  <si>
    <t>1/1/2024</t>
  </si>
  <si>
    <t>59059CAF6</t>
  </si>
  <si>
    <t>3/15/2023</t>
  </si>
  <si>
    <t>593241BF8</t>
  </si>
  <si>
    <t>9/1/2022</t>
  </si>
  <si>
    <t>64985HXN2</t>
  </si>
  <si>
    <t>850777GR8</t>
  </si>
  <si>
    <t>Hampden, MA</t>
  </si>
  <si>
    <t>7/14/2017</t>
  </si>
  <si>
    <t>655867VW6</t>
  </si>
  <si>
    <t>9/1/2024</t>
  </si>
  <si>
    <t>695283CW9</t>
  </si>
  <si>
    <t>917572WJ4</t>
  </si>
  <si>
    <t>3/1/2025</t>
  </si>
  <si>
    <t>19679ERS0</t>
  </si>
  <si>
    <t>CO</t>
  </si>
  <si>
    <t>Denver, CO</t>
  </si>
  <si>
    <t>11/15/2017</t>
  </si>
  <si>
    <t>544525VR6</t>
  </si>
  <si>
    <t>80168FMQ6</t>
  </si>
  <si>
    <t>122106CQ8</t>
  </si>
  <si>
    <t>Chittenden, VT</t>
  </si>
  <si>
    <t>6/6/2017</t>
  </si>
  <si>
    <t>147056FQ3</t>
  </si>
  <si>
    <t>Wake, NC</t>
  </si>
  <si>
    <t>3/16/2017</t>
  </si>
  <si>
    <t>12/1/2024</t>
  </si>
  <si>
    <t>303891B46</t>
  </si>
  <si>
    <t>882854YV8</t>
  </si>
  <si>
    <t>FED TAXABLE</t>
  </si>
  <si>
    <t>118828HQ8</t>
  </si>
  <si>
    <t>Hays, TX</t>
  </si>
  <si>
    <t>8/15/2025</t>
  </si>
  <si>
    <t>56501MDB0</t>
  </si>
  <si>
    <t>Brazoria, TX</t>
  </si>
  <si>
    <t>12/15/2017</t>
  </si>
  <si>
    <t>45204EXL7</t>
  </si>
  <si>
    <t>906400DT0</t>
  </si>
  <si>
    <t>6/1/2023</t>
  </si>
  <si>
    <t>24916PFT9</t>
  </si>
  <si>
    <t>5/23/2017</t>
  </si>
  <si>
    <t>9/15/2023</t>
  </si>
  <si>
    <t>89658HUR9</t>
  </si>
  <si>
    <t>166231BN9</t>
  </si>
  <si>
    <t>SC</t>
  </si>
  <si>
    <t>Chester, SC</t>
  </si>
  <si>
    <t>3/8/2017</t>
  </si>
  <si>
    <t>CURRENT REFUNDING WATER UTILITY IMPS. REFUNDING NOTES</t>
  </si>
  <si>
    <t>89658HUP3</t>
  </si>
  <si>
    <t>8/1/2022</t>
  </si>
  <si>
    <t>793456BP8</t>
  </si>
  <si>
    <t>Pulaski, MO</t>
  </si>
  <si>
    <t>00344NQS6</t>
  </si>
  <si>
    <t>Taylor, TX</t>
  </si>
  <si>
    <t>7/1/2017</t>
  </si>
  <si>
    <t>2/15/2024</t>
  </si>
  <si>
    <t>05922KYF0</t>
  </si>
  <si>
    <t>349515XB7</t>
  </si>
  <si>
    <t>5/15/2017</t>
  </si>
  <si>
    <t>2/15/2023</t>
  </si>
  <si>
    <t>463831PN1</t>
  </si>
  <si>
    <t>4/4/2017</t>
  </si>
  <si>
    <t>8/15/2022</t>
  </si>
  <si>
    <t>576051QZ2</t>
  </si>
  <si>
    <t>5/18/2017</t>
  </si>
  <si>
    <t>WATER UTILITY IMPS. REFUNDING NOTES</t>
  </si>
  <si>
    <t>899656QR6</t>
  </si>
  <si>
    <t>2/1/2025</t>
  </si>
  <si>
    <t>76222RVC3</t>
  </si>
  <si>
    <t>00344NQT4</t>
  </si>
  <si>
    <t>602409KE3</t>
  </si>
  <si>
    <t>Milwaukee, WI</t>
  </si>
  <si>
    <t>6/12/2017</t>
  </si>
  <si>
    <t>WATER UTILITY IMPS. PUBLIC IMPS. SEWER IMPS.</t>
  </si>
  <si>
    <t>46246K4A7</t>
  </si>
  <si>
    <t>9242582D7</t>
  </si>
  <si>
    <t>89658HVA5</t>
  </si>
  <si>
    <t>8/1/2027</t>
  </si>
  <si>
    <t>98618FAJ3</t>
  </si>
  <si>
    <t>906400DX1</t>
  </si>
  <si>
    <t>795604AH0</t>
  </si>
  <si>
    <t>254845NH9</t>
  </si>
  <si>
    <t>DC</t>
  </si>
  <si>
    <t>District of Columbia, 11</t>
  </si>
  <si>
    <t>2/23/2017</t>
  </si>
  <si>
    <t>34680CFC8</t>
  </si>
  <si>
    <t>Fort Bend, TX</t>
  </si>
  <si>
    <t>11/1/2017</t>
  </si>
  <si>
    <t>WATER UTILITY IMPS. SEWER IMPS. REFUNDING NOTES</t>
  </si>
  <si>
    <t>197053AJ0</t>
  </si>
  <si>
    <t>San Bernardino, CA</t>
  </si>
  <si>
    <t>WATER UTILITY IMPS. CURRENT REFUNDING</t>
  </si>
  <si>
    <t>3/1/2026</t>
  </si>
  <si>
    <t>20775YDB9</t>
  </si>
  <si>
    <t>346901WV9</t>
  </si>
  <si>
    <t>2/1/2017</t>
  </si>
  <si>
    <t>45204EXS2</t>
  </si>
  <si>
    <t>1/1/2027</t>
  </si>
  <si>
    <t>702597CB9</t>
  </si>
  <si>
    <t>10/1/2017</t>
  </si>
  <si>
    <t>8/15/2026</t>
  </si>
  <si>
    <t>940157P53</t>
  </si>
  <si>
    <t>Prince George's, MD</t>
  </si>
  <si>
    <t>837545LJ9</t>
  </si>
  <si>
    <t>271014E32</t>
  </si>
  <si>
    <t>580441FU2</t>
  </si>
  <si>
    <t>Dane, WI</t>
  </si>
  <si>
    <t>PUBLIC IMPS. SEWER IMPS. WATER UTILITY IMPS.</t>
  </si>
  <si>
    <t>581714VP4</t>
  </si>
  <si>
    <t>3/15/2025</t>
  </si>
  <si>
    <t>63045RAG0</t>
  </si>
  <si>
    <t>785751PL6</t>
  </si>
  <si>
    <t>765531FB9</t>
  </si>
  <si>
    <t>882854ZV7</t>
  </si>
  <si>
    <t>4/15/2027</t>
  </si>
  <si>
    <t>89658HUZ1</t>
  </si>
  <si>
    <t>890680NF4</t>
  </si>
  <si>
    <t>Shawnee, KS</t>
  </si>
  <si>
    <t>9/5/2017</t>
  </si>
  <si>
    <t>24916PFV4</t>
  </si>
  <si>
    <t>9/15/2025</t>
  </si>
  <si>
    <t>815883MA8</t>
  </si>
  <si>
    <t>Henderson, TX</t>
  </si>
  <si>
    <t>ELEC. LT. &amp; PWR. IMPTS. WATER UTILITY IMPS. SEWER IMPS.</t>
  </si>
  <si>
    <t>094743MR9</t>
  </si>
  <si>
    <t>IN</t>
  </si>
  <si>
    <t>Monroe, IN</t>
  </si>
  <si>
    <t>7/25/2017</t>
  </si>
  <si>
    <t>181003NV2</t>
  </si>
  <si>
    <t>NV</t>
  </si>
  <si>
    <t>Clark, NV</t>
  </si>
  <si>
    <t>602409KF0</t>
  </si>
  <si>
    <t>587091UQ0</t>
  </si>
  <si>
    <t>Dunn, WI</t>
  </si>
  <si>
    <t>46246K3Z3</t>
  </si>
  <si>
    <t>590545XZ7</t>
  </si>
  <si>
    <t>485116WV5</t>
  </si>
  <si>
    <t>Jackson, MO</t>
  </si>
  <si>
    <t>2/24/2017</t>
  </si>
  <si>
    <t>12/1/2026</t>
  </si>
  <si>
    <t>64985HXM4</t>
  </si>
  <si>
    <t>89658HUW8</t>
  </si>
  <si>
    <t>013493HG9</t>
  </si>
  <si>
    <t>041042C67</t>
  </si>
  <si>
    <t>AR</t>
  </si>
  <si>
    <t>Pulaski, AR</t>
  </si>
  <si>
    <t>6/8/2017</t>
  </si>
  <si>
    <t>41424LAF2</t>
  </si>
  <si>
    <t>235586BU7</t>
  </si>
  <si>
    <t>GA</t>
  </si>
  <si>
    <t>Whitfield, GA</t>
  </si>
  <si>
    <t>11/21/2017</t>
  </si>
  <si>
    <t>A-</t>
  </si>
  <si>
    <t>64986DDE2</t>
  </si>
  <si>
    <t>64986DFB6</t>
  </si>
  <si>
    <t>66041HGH1</t>
  </si>
  <si>
    <t>SEWER IMPS. PUBLIC IMPS. WATER UTILITY IMPS.</t>
  </si>
  <si>
    <t>954736HT4</t>
  </si>
  <si>
    <t>Essex, MA</t>
  </si>
  <si>
    <t>9/15/2022</t>
  </si>
  <si>
    <t>943521PH1</t>
  </si>
  <si>
    <t>11/3/2017</t>
  </si>
  <si>
    <t>89657PHC0</t>
  </si>
  <si>
    <t>89658HUS7</t>
  </si>
  <si>
    <t>76222RUZ3</t>
  </si>
  <si>
    <t>940197AG1</t>
  </si>
  <si>
    <t>Weber, UT</t>
  </si>
  <si>
    <t>1/26/2017</t>
  </si>
  <si>
    <t>6/1/2024</t>
  </si>
  <si>
    <t>801889PW0</t>
  </si>
  <si>
    <t>Santa Fe, NM</t>
  </si>
  <si>
    <t>PUBLIC IMPS. WATER UTILITY IMPS. ADVANCE REFUNDING</t>
  </si>
  <si>
    <t>086419DU9</t>
  </si>
  <si>
    <t>Jefferson, AL</t>
  </si>
  <si>
    <t>12/28/2017</t>
  </si>
  <si>
    <t>074561NY3</t>
  </si>
  <si>
    <t>Jefferson, TX</t>
  </si>
  <si>
    <t>122458V58</t>
  </si>
  <si>
    <t>MN</t>
  </si>
  <si>
    <t>Dakota, MN</t>
  </si>
  <si>
    <t>PUBLIC FACILITIES WATER UTILITY IMPS.</t>
  </si>
  <si>
    <t>12/20/2023</t>
  </si>
  <si>
    <t>24916PFU6</t>
  </si>
  <si>
    <t>679468WX2</t>
  </si>
  <si>
    <t>Johnson, KS</t>
  </si>
  <si>
    <t>729654TJ2</t>
  </si>
  <si>
    <t>917572WL9</t>
  </si>
  <si>
    <t>3/1/2027</t>
  </si>
  <si>
    <t>80465PJC9</t>
  </si>
  <si>
    <t>Scott, MN</t>
  </si>
  <si>
    <t>7/12/2017</t>
  </si>
  <si>
    <t>PUBLIC IMPS. WATER UTILITY IMPS.</t>
  </si>
  <si>
    <t>236649HK8</t>
  </si>
  <si>
    <t>KY</t>
  </si>
  <si>
    <t>Boyle, KY</t>
  </si>
  <si>
    <t>208399H65</t>
  </si>
  <si>
    <t>Montgomery, TX</t>
  </si>
  <si>
    <t>9/1/2017</t>
  </si>
  <si>
    <t>11/15/2023</t>
  </si>
  <si>
    <t>49140M4Q9</t>
  </si>
  <si>
    <t>Warren, KY</t>
  </si>
  <si>
    <t>47928TAH9</t>
  </si>
  <si>
    <t>1/19/2017</t>
  </si>
  <si>
    <t>REFUNDING BONDS WATER UTILITY IMPS. SEWER IMPS.</t>
  </si>
  <si>
    <t>45506DG74</t>
  </si>
  <si>
    <t>Marion, IN</t>
  </si>
  <si>
    <t>GREEN PURPOSE SEWER IMPS. WATER UTILITY IMPS.</t>
  </si>
  <si>
    <t>6490245U6</t>
  </si>
  <si>
    <t>Brown, MN</t>
  </si>
  <si>
    <t>45204EXK9</t>
  </si>
  <si>
    <t>967338C69</t>
  </si>
  <si>
    <t>98618FAL8</t>
  </si>
  <si>
    <t>940157P46</t>
  </si>
  <si>
    <t>951428DC2</t>
  </si>
  <si>
    <t>Washington, WI</t>
  </si>
  <si>
    <t>086377DE5</t>
  </si>
  <si>
    <t>REFUNDING BONDS WATER UTILITY IMPS.</t>
  </si>
  <si>
    <t>6/1/2026</t>
  </si>
  <si>
    <t>187882PG4</t>
  </si>
  <si>
    <t>REFUNDING NOTES PUBLIC IMPS. WATER UTILITY IMPS.</t>
  </si>
  <si>
    <t>682709QU7</t>
  </si>
  <si>
    <t>Otsego, NY</t>
  </si>
  <si>
    <t>5/15/2023</t>
  </si>
  <si>
    <t>686084KC7</t>
  </si>
  <si>
    <t>686084KD5</t>
  </si>
  <si>
    <t>755417A28</t>
  </si>
  <si>
    <t>695283DA6</t>
  </si>
  <si>
    <t>810489SY1</t>
  </si>
  <si>
    <t>7/1/2027</t>
  </si>
  <si>
    <t>118828HS4</t>
  </si>
  <si>
    <t>8/15/2027</t>
  </si>
  <si>
    <t>298163DK9</t>
  </si>
  <si>
    <t>427542LW3</t>
  </si>
  <si>
    <t>OR</t>
  </si>
  <si>
    <t>Umatilla, OR</t>
  </si>
  <si>
    <t>349515XC5</t>
  </si>
  <si>
    <t>197053AY7</t>
  </si>
  <si>
    <t>254845NG1</t>
  </si>
  <si>
    <t>34683CKV7</t>
  </si>
  <si>
    <t>46246K4B5</t>
  </si>
  <si>
    <t>49140M4N6</t>
  </si>
  <si>
    <t>47875PBV8</t>
  </si>
  <si>
    <t>479610DB0</t>
  </si>
  <si>
    <t>Licking, OH</t>
  </si>
  <si>
    <t>11/7/2017</t>
  </si>
  <si>
    <t>590545YC7</t>
  </si>
  <si>
    <t>61370LDD6</t>
  </si>
  <si>
    <t>486323EL8</t>
  </si>
  <si>
    <t>Outagamie, WI</t>
  </si>
  <si>
    <t>10/3/2017</t>
  </si>
  <si>
    <t>64986DFA8</t>
  </si>
  <si>
    <t>80168FMS2</t>
  </si>
  <si>
    <t>702592BE5</t>
  </si>
  <si>
    <t>El Paso, TX</t>
  </si>
  <si>
    <t>659666WB3</t>
  </si>
  <si>
    <t>516768JJ8</t>
  </si>
  <si>
    <t>WATER UTILITY IMPS. PUBLIC IMPS.</t>
  </si>
  <si>
    <t>517039UB7</t>
  </si>
  <si>
    <t>Webb, TX</t>
  </si>
  <si>
    <t>575829DC7</t>
  </si>
  <si>
    <t>882854ZT2</t>
  </si>
  <si>
    <t>10/15/2025</t>
  </si>
  <si>
    <t>967338C93</t>
  </si>
  <si>
    <t>899138AK7</t>
  </si>
  <si>
    <t>932457EG5</t>
  </si>
  <si>
    <t>Waller, TX</t>
  </si>
  <si>
    <t>929831LW3</t>
  </si>
  <si>
    <t>940157N97</t>
  </si>
  <si>
    <t>913407HV7</t>
  </si>
  <si>
    <t>Bexar, TX</t>
  </si>
  <si>
    <t>13063DAP3</t>
  </si>
  <si>
    <t>023108LK7</t>
  </si>
  <si>
    <t>Potter, TX</t>
  </si>
  <si>
    <t>14762PAK9</t>
  </si>
  <si>
    <t>9/1/2026</t>
  </si>
  <si>
    <t>837545LN0</t>
  </si>
  <si>
    <t>75686JAF8</t>
  </si>
  <si>
    <t>Wichita, TX</t>
  </si>
  <si>
    <t>850777GQ0</t>
  </si>
  <si>
    <t>080375DE5</t>
  </si>
  <si>
    <t>10606PHF1</t>
  </si>
  <si>
    <t>PROPERTY ACQUISITION SEWER IMPS. WATER UTILITY IMPS.</t>
  </si>
  <si>
    <t>19679ERN1</t>
  </si>
  <si>
    <t>271014E24</t>
  </si>
  <si>
    <t>20775YDA1</t>
  </si>
  <si>
    <t>270371GU5</t>
  </si>
  <si>
    <t>Pickens, SC</t>
  </si>
  <si>
    <t>WATER UTILITY IMPS. SEWER IMPS. ELEC. LT. &amp; PWR. IMPTS.</t>
  </si>
  <si>
    <t>270371GV3</t>
  </si>
  <si>
    <t>46246K3W0</t>
  </si>
  <si>
    <t>46246K3Y6</t>
  </si>
  <si>
    <t>463777Q88</t>
  </si>
  <si>
    <t>59059CAJ8</t>
  </si>
  <si>
    <t>59059CAK5</t>
  </si>
  <si>
    <t>3/15/2027</t>
  </si>
  <si>
    <t>348838DY6</t>
  </si>
  <si>
    <t>Pecos, TX</t>
  </si>
  <si>
    <t>61370PLM8</t>
  </si>
  <si>
    <t>586810YE7</t>
  </si>
  <si>
    <t>Riverside, CA</t>
  </si>
  <si>
    <t>8/24/2017</t>
  </si>
  <si>
    <t>SCHOOL IMPS. WATER UTILITY IMPS. SEWER IMPS.</t>
  </si>
  <si>
    <t>64985HXP7</t>
  </si>
  <si>
    <t>63045RAH8</t>
  </si>
  <si>
    <t>717741CL4</t>
  </si>
  <si>
    <t>MS</t>
  </si>
  <si>
    <t>Neshoba, MS</t>
  </si>
  <si>
    <t>4/6/2017</t>
  </si>
  <si>
    <t>549188D64</t>
  </si>
  <si>
    <t>Lubbock, TX</t>
  </si>
  <si>
    <t>4/15/2017</t>
  </si>
  <si>
    <t>6457918B3</t>
  </si>
  <si>
    <t>5/25/2017</t>
  </si>
  <si>
    <t>64579SCD5</t>
  </si>
  <si>
    <t>WATER UTILITY IMPS. SEWER IMPS. GREEN PURPOSE</t>
  </si>
  <si>
    <t>AMT/ST TAX-EXEMPT</t>
  </si>
  <si>
    <t>9242582E5</t>
  </si>
  <si>
    <t>924258X92</t>
  </si>
  <si>
    <t>882724BA4</t>
  </si>
  <si>
    <t>6/20/2017</t>
  </si>
  <si>
    <t>882724BB2</t>
  </si>
  <si>
    <t>882724BE6</t>
  </si>
  <si>
    <t>882854YY2</t>
  </si>
  <si>
    <t>979149GA3</t>
  </si>
  <si>
    <t>76222FBV9</t>
  </si>
  <si>
    <t>5/10/2017</t>
  </si>
  <si>
    <t>776195FV6</t>
  </si>
  <si>
    <t>Wayne, MI</t>
  </si>
  <si>
    <t>11/29/2017</t>
  </si>
  <si>
    <t>940157P20</t>
  </si>
  <si>
    <t>802629AH8</t>
  </si>
  <si>
    <t>13279TBL6</t>
  </si>
  <si>
    <t>Camden, MO</t>
  </si>
  <si>
    <t>6/27/2017</t>
  </si>
  <si>
    <t>13279TBM4</t>
  </si>
  <si>
    <t>13279TBN2</t>
  </si>
  <si>
    <t>13822PBL6</t>
  </si>
  <si>
    <t>McPherson, KS</t>
  </si>
  <si>
    <t>013493HE4</t>
  </si>
  <si>
    <t>013493HF1</t>
  </si>
  <si>
    <t>013493HH7</t>
  </si>
  <si>
    <t>013662BV2</t>
  </si>
  <si>
    <t>Linn, IA</t>
  </si>
  <si>
    <t>013662BW0</t>
  </si>
  <si>
    <t>016332DN5</t>
  </si>
  <si>
    <t>PA</t>
  </si>
  <si>
    <t>Beaver, PA</t>
  </si>
  <si>
    <t>WATER UTILITY IMPS. ADVANCE REFUNDING CURRENT REFUNDING</t>
  </si>
  <si>
    <t>11/15/2022</t>
  </si>
  <si>
    <t>016332DP0</t>
  </si>
  <si>
    <t>035393FP7</t>
  </si>
  <si>
    <t>035393FQ5</t>
  </si>
  <si>
    <t>035393FR3</t>
  </si>
  <si>
    <t>03588HRP3</t>
  </si>
  <si>
    <t>03588HRQ1</t>
  </si>
  <si>
    <t>03588HRS7</t>
  </si>
  <si>
    <t>041042C59</t>
  </si>
  <si>
    <t>041042C75</t>
  </si>
  <si>
    <t>041042C91</t>
  </si>
  <si>
    <t>086377DB1</t>
  </si>
  <si>
    <t>086377DC9</t>
  </si>
  <si>
    <t>086377DD7</t>
  </si>
  <si>
    <t>086377DF2</t>
  </si>
  <si>
    <t>086419DQ8</t>
  </si>
  <si>
    <t>086419DR6</t>
  </si>
  <si>
    <t>086419DS4</t>
  </si>
  <si>
    <t>086419DT2</t>
  </si>
  <si>
    <t>094780M83</t>
  </si>
  <si>
    <t>Hennepin, MN</t>
  </si>
  <si>
    <t>094780M91</t>
  </si>
  <si>
    <t>094780N25</t>
  </si>
  <si>
    <t>094780N33</t>
  </si>
  <si>
    <t>094780N41</t>
  </si>
  <si>
    <t>2/1/2027</t>
  </si>
  <si>
    <t>096028JY2</t>
  </si>
  <si>
    <t>Harris, TX</t>
  </si>
  <si>
    <t>096028JZ9</t>
  </si>
  <si>
    <t>096028KA2</t>
  </si>
  <si>
    <t>13063DCN6</t>
  </si>
  <si>
    <t>13063DCP1</t>
  </si>
  <si>
    <t>073186MX3</t>
  </si>
  <si>
    <t>073186MY1</t>
  </si>
  <si>
    <t>073186MZ8</t>
  </si>
  <si>
    <t>073186NA2</t>
  </si>
  <si>
    <t>073186NB0</t>
  </si>
  <si>
    <t>074561NZ0</t>
  </si>
  <si>
    <t>074561PA3</t>
  </si>
  <si>
    <t>074561PB1</t>
  </si>
  <si>
    <t>9/1/2025</t>
  </si>
  <si>
    <t>074561PC9</t>
  </si>
  <si>
    <t>074561PD7</t>
  </si>
  <si>
    <t>122458V41</t>
  </si>
  <si>
    <t>12/20/2022</t>
  </si>
  <si>
    <t>122458V66</t>
  </si>
  <si>
    <t>12/20/2024</t>
  </si>
  <si>
    <t>122458V74</t>
  </si>
  <si>
    <t>12/20/2025</t>
  </si>
  <si>
    <t>122458V82</t>
  </si>
  <si>
    <t>12/20/2026</t>
  </si>
  <si>
    <t>123889GX9</t>
  </si>
  <si>
    <t>023108LG6</t>
  </si>
  <si>
    <t>023108LH4</t>
  </si>
  <si>
    <t>023108LJ0</t>
  </si>
  <si>
    <t>023108LL5</t>
  </si>
  <si>
    <t>4/1/2027</t>
  </si>
  <si>
    <t>047885CK2</t>
  </si>
  <si>
    <t>Logan, IL</t>
  </si>
  <si>
    <t>2441094M3</t>
  </si>
  <si>
    <t>2441094N1</t>
  </si>
  <si>
    <t>2441094Q4</t>
  </si>
  <si>
    <t>227384EP5</t>
  </si>
  <si>
    <t>227384EQ3</t>
  </si>
  <si>
    <t>227384EN0</t>
  </si>
  <si>
    <t>227384ER1</t>
  </si>
  <si>
    <t>147294CU4</t>
  </si>
  <si>
    <t>Dubuque, IA</t>
  </si>
  <si>
    <t>4/25/2017</t>
  </si>
  <si>
    <t>147294CV2</t>
  </si>
  <si>
    <t>147294CW0</t>
  </si>
  <si>
    <t>147294CX8</t>
  </si>
  <si>
    <t>14762PAF0</t>
  </si>
  <si>
    <t>14762PAH6</t>
  </si>
  <si>
    <t>14762PAJ2</t>
  </si>
  <si>
    <t>14762PAL7</t>
  </si>
  <si>
    <t>04184KSL0</t>
  </si>
  <si>
    <t>04184KSK2</t>
  </si>
  <si>
    <t>04184KSP1</t>
  </si>
  <si>
    <t>2441094P6</t>
  </si>
  <si>
    <t>25471TAW3</t>
  </si>
  <si>
    <t>25471TAY9</t>
  </si>
  <si>
    <t>254845NF3</t>
  </si>
  <si>
    <t>187882PE9</t>
  </si>
  <si>
    <t>187882PH2</t>
  </si>
  <si>
    <t>187882PJ8</t>
  </si>
  <si>
    <t>186594KZ9</t>
  </si>
  <si>
    <t>Liberty, TX</t>
  </si>
  <si>
    <t>WATER UTILITY IMPS. SEWER IMPS. PRT, AIRPRT &amp; MARINA IMPS</t>
  </si>
  <si>
    <t>186594LB1</t>
  </si>
  <si>
    <t>00344NQR8</t>
  </si>
  <si>
    <t>186594LA3</t>
  </si>
  <si>
    <t>00344NQU1</t>
  </si>
  <si>
    <t>2/15/2026</t>
  </si>
  <si>
    <t>094743MM0</t>
  </si>
  <si>
    <t>094743MQ1</t>
  </si>
  <si>
    <t>094743MS7</t>
  </si>
  <si>
    <t>24880AKP6</t>
  </si>
  <si>
    <t>Denton, TX</t>
  </si>
  <si>
    <t>1/1/2017</t>
  </si>
  <si>
    <t>04184KSM8</t>
  </si>
  <si>
    <t>04184KSN6</t>
  </si>
  <si>
    <t>25471TAX1</t>
  </si>
  <si>
    <t>25471TBA0</t>
  </si>
  <si>
    <t>25471TAZ6</t>
  </si>
  <si>
    <t>254845ND8</t>
  </si>
  <si>
    <t>254845NE6</t>
  </si>
  <si>
    <t>255650AZ6</t>
  </si>
  <si>
    <t>Solano, CA</t>
  </si>
  <si>
    <t>255650BA0</t>
  </si>
  <si>
    <t>255650BB8</t>
  </si>
  <si>
    <t>24880EBC7</t>
  </si>
  <si>
    <t>24880EBD5</t>
  </si>
  <si>
    <t>24880EBE3</t>
  </si>
  <si>
    <t>24880EBF0</t>
  </si>
  <si>
    <t>24880RDX0</t>
  </si>
  <si>
    <t>24880RDY8</t>
  </si>
  <si>
    <t>24880RDZ5</t>
  </si>
  <si>
    <t>24880RFW0</t>
  </si>
  <si>
    <t>24880RFX8</t>
  </si>
  <si>
    <t>24880RFY6</t>
  </si>
  <si>
    <t>24880RFZ3</t>
  </si>
  <si>
    <t>24916PFS1</t>
  </si>
  <si>
    <t>24916PFW2</t>
  </si>
  <si>
    <t>9/15/2026</t>
  </si>
  <si>
    <t>24916PFX0</t>
  </si>
  <si>
    <t>251001D75</t>
  </si>
  <si>
    <t>Becker, MN</t>
  </si>
  <si>
    <t>251001D83</t>
  </si>
  <si>
    <t>251001D91</t>
  </si>
  <si>
    <t>251001E25</t>
  </si>
  <si>
    <t>251001E33</t>
  </si>
  <si>
    <t>81568EFD0</t>
  </si>
  <si>
    <t>81568EFE8</t>
  </si>
  <si>
    <t>81568EFF5</t>
  </si>
  <si>
    <t>81568EFG3</t>
  </si>
  <si>
    <t>815883LX9</t>
  </si>
  <si>
    <t>815883LY7</t>
  </si>
  <si>
    <t>815883LZ4</t>
  </si>
  <si>
    <t>837545LG5</t>
  </si>
  <si>
    <t>837545LM2</t>
  </si>
  <si>
    <t>67920QKT4</t>
  </si>
  <si>
    <t>Oklahoma, OK</t>
  </si>
  <si>
    <t>67920QKU1</t>
  </si>
  <si>
    <t>67920QKV9</t>
  </si>
  <si>
    <t>67920QKW7</t>
  </si>
  <si>
    <t>67920QKX5</t>
  </si>
  <si>
    <t>67920QLN6</t>
  </si>
  <si>
    <t>67920QLP1</t>
  </si>
  <si>
    <t>67920QLQ9</t>
  </si>
  <si>
    <t>67920QLR7</t>
  </si>
  <si>
    <t>67920QLS5</t>
  </si>
  <si>
    <t>67920QLT3</t>
  </si>
  <si>
    <t>679468WV6</t>
  </si>
  <si>
    <t>679468WW4</t>
  </si>
  <si>
    <t>68072EJW0</t>
  </si>
  <si>
    <t>DeSoto, MS</t>
  </si>
  <si>
    <t>68072EJX8</t>
  </si>
  <si>
    <t>68072EJY6</t>
  </si>
  <si>
    <t>68072EJZ3</t>
  </si>
  <si>
    <t>68072EKA6</t>
  </si>
  <si>
    <t>68072EKB4</t>
  </si>
  <si>
    <t>4/1/2028</t>
  </si>
  <si>
    <t>68072EKC2</t>
  </si>
  <si>
    <t>4/1/2029</t>
  </si>
  <si>
    <t>652282CF9</t>
  </si>
  <si>
    <t>Newport News, VA</t>
  </si>
  <si>
    <t>7/15/2023</t>
  </si>
  <si>
    <t>652282CG7</t>
  </si>
  <si>
    <t>7/15/2024</t>
  </si>
  <si>
    <t>652282CH5</t>
  </si>
  <si>
    <t>7/15/2025</t>
  </si>
  <si>
    <t>652282CJ1</t>
  </si>
  <si>
    <t>7/15/2026</t>
  </si>
  <si>
    <t>654710RG9</t>
  </si>
  <si>
    <t>Schenectady, NY</t>
  </si>
  <si>
    <t>SEWER IMPS. WATER UTILITY IMPS. PUBLIC IMPS.</t>
  </si>
  <si>
    <t>655482AE7</t>
  </si>
  <si>
    <t>3/22/2017</t>
  </si>
  <si>
    <t>82621CMT4</t>
  </si>
  <si>
    <t>82621CMU1</t>
  </si>
  <si>
    <t>82621CMV9</t>
  </si>
  <si>
    <t>82621NCE4</t>
  </si>
  <si>
    <t>5/17/2017</t>
  </si>
  <si>
    <t>82621NCF1</t>
  </si>
  <si>
    <t>82621RBD8</t>
  </si>
  <si>
    <t>8/16/2017</t>
  </si>
  <si>
    <t>82621RBE6</t>
  </si>
  <si>
    <t>82621RBF3</t>
  </si>
  <si>
    <t>82621VCD8</t>
  </si>
  <si>
    <t>82621VCE6</t>
  </si>
  <si>
    <t>82621VCF3</t>
  </si>
  <si>
    <t>82621VCG1</t>
  </si>
  <si>
    <t>82621XCD4</t>
  </si>
  <si>
    <t>82621XCE2</t>
  </si>
  <si>
    <t>82621XCF9</t>
  </si>
  <si>
    <t>82621XCG7</t>
  </si>
  <si>
    <t>850777GP2</t>
  </si>
  <si>
    <t>850777GT4</t>
  </si>
  <si>
    <t>851830HR3</t>
  </si>
  <si>
    <t>Parker, TX</t>
  </si>
  <si>
    <t>682709QV5</t>
  </si>
  <si>
    <t>5/15/2024</t>
  </si>
  <si>
    <t>682709QW3</t>
  </si>
  <si>
    <t>5/15/2025</t>
  </si>
  <si>
    <t>68277DAE4</t>
  </si>
  <si>
    <t>Onondaga, NY</t>
  </si>
  <si>
    <t>7/26/2017</t>
  </si>
  <si>
    <t>RECREATIONAL FAC. IMPS. PUBLIC IMPS. WATER UTILITY IMPS.</t>
  </si>
  <si>
    <t>68277DAF1</t>
  </si>
  <si>
    <t>68277DAG9</t>
  </si>
  <si>
    <t>79689TAF5</t>
  </si>
  <si>
    <t>79689TAH1</t>
  </si>
  <si>
    <t>79689TAJ7</t>
  </si>
  <si>
    <t>728041XK5</t>
  </si>
  <si>
    <t>Clinton, NY</t>
  </si>
  <si>
    <t>11/2/2017</t>
  </si>
  <si>
    <t>REFUNDING BONDS WATER UTILITY IMPS. PUBLIC IMPS.</t>
  </si>
  <si>
    <t>728857MJ9</t>
  </si>
  <si>
    <t>Atascosa, TX</t>
  </si>
  <si>
    <t>729654TL7</t>
  </si>
  <si>
    <t>751140AF1</t>
  </si>
  <si>
    <t>Marion, MO</t>
  </si>
  <si>
    <t>4/27/2017</t>
  </si>
  <si>
    <t>WATER UTILITY IMPS. REFUNDING BONDS</t>
  </si>
  <si>
    <t>751140AJ3</t>
  </si>
  <si>
    <t>836809HD8</t>
  </si>
  <si>
    <t>837545LH3</t>
  </si>
  <si>
    <t>822346JC7</t>
  </si>
  <si>
    <t>TN</t>
  </si>
  <si>
    <t>Bedford, TN</t>
  </si>
  <si>
    <t>683548CJ8</t>
  </si>
  <si>
    <t>683548CK5</t>
  </si>
  <si>
    <t>683548CL3</t>
  </si>
  <si>
    <t>683548CM1</t>
  </si>
  <si>
    <t>683548CN9</t>
  </si>
  <si>
    <t>683548DE8</t>
  </si>
  <si>
    <t>683548DF5</t>
  </si>
  <si>
    <t>683548DG3</t>
  </si>
  <si>
    <t>683548DH1</t>
  </si>
  <si>
    <t>686084KN3</t>
  </si>
  <si>
    <t>686084KP8</t>
  </si>
  <si>
    <t>686084KQ6</t>
  </si>
  <si>
    <t>686084KR4</t>
  </si>
  <si>
    <t>822346JB9</t>
  </si>
  <si>
    <t>652282CK8</t>
  </si>
  <si>
    <t>7/15/2027</t>
  </si>
  <si>
    <t>653794SS7</t>
  </si>
  <si>
    <t>PUBLIC IMPS. WATER UTILITY IMPS. TRANSIT IMPS.</t>
  </si>
  <si>
    <t>9242582A3</t>
  </si>
  <si>
    <t>9242582B1</t>
  </si>
  <si>
    <t>9242582C9</t>
  </si>
  <si>
    <t>9242582F2</t>
  </si>
  <si>
    <t>924258X76</t>
  </si>
  <si>
    <t>924258Y26</t>
  </si>
  <si>
    <t>925088VL7</t>
  </si>
  <si>
    <t>83005TAT4</t>
  </si>
  <si>
    <t>Leon, FL</t>
  </si>
  <si>
    <t>12/7/2017</t>
  </si>
  <si>
    <t>WATER UTILITY IMPS. PUBLIC IMPS. CROSSOVER REFUNDING</t>
  </si>
  <si>
    <t>11/1/2029</t>
  </si>
  <si>
    <t>921237DA8</t>
  </si>
  <si>
    <t>Van Zandt, TX</t>
  </si>
  <si>
    <t>3/9/2017</t>
  </si>
  <si>
    <t>921237DB6</t>
  </si>
  <si>
    <t>921237DC4</t>
  </si>
  <si>
    <t>921237DD2</t>
  </si>
  <si>
    <t>923357CD7</t>
  </si>
  <si>
    <t>Spokane, WA</t>
  </si>
  <si>
    <t>4/7/2017</t>
  </si>
  <si>
    <t>ELEC. LT. &amp; PWR. IMPTS. WATER UTILITY IMPS.</t>
  </si>
  <si>
    <t>923357CE5</t>
  </si>
  <si>
    <t>654710RE4</t>
  </si>
  <si>
    <t>654710RF1</t>
  </si>
  <si>
    <t>655867VU0</t>
  </si>
  <si>
    <t>657339D20</t>
  </si>
  <si>
    <t>Bristol, MA</t>
  </si>
  <si>
    <t>PUBLIC IMPS. WATER UTILITY IMPS. SCHOOL IMPS.</t>
  </si>
  <si>
    <t>657339D38</t>
  </si>
  <si>
    <t>657339D46</t>
  </si>
  <si>
    <t>657407EC2</t>
  </si>
  <si>
    <t>Kane, IL</t>
  </si>
  <si>
    <t>657407ED0</t>
  </si>
  <si>
    <t>657407EE8</t>
  </si>
  <si>
    <t>764279AU9</t>
  </si>
  <si>
    <t>740871AC2</t>
  </si>
  <si>
    <t>10/24/2017</t>
  </si>
  <si>
    <t>740871AD0</t>
  </si>
  <si>
    <t>740871AE8</t>
  </si>
  <si>
    <t>889753NP0</t>
  </si>
  <si>
    <t>894389WU5</t>
  </si>
  <si>
    <t>11/14/2017</t>
  </si>
  <si>
    <t>894389WV3</t>
  </si>
  <si>
    <t>89439LJS7</t>
  </si>
  <si>
    <t>89439PFC7</t>
  </si>
  <si>
    <t>89439PFE3</t>
  </si>
  <si>
    <t>89440LDB7</t>
  </si>
  <si>
    <t>WATER UTILITY IMPS. SEWER IMPS. PROPERTY ACQUISITION</t>
  </si>
  <si>
    <t>89440LDC5</t>
  </si>
  <si>
    <t>89440LDE1</t>
  </si>
  <si>
    <t>8945205B7</t>
  </si>
  <si>
    <t>9/26/2017</t>
  </si>
  <si>
    <t>8945205C5</t>
  </si>
  <si>
    <t>894389WW1</t>
  </si>
  <si>
    <t>89439DFY6</t>
  </si>
  <si>
    <t>1/4/2017</t>
  </si>
  <si>
    <t>89439DFZ3</t>
  </si>
  <si>
    <t>89439DGA7</t>
  </si>
  <si>
    <t>89439LJQ1</t>
  </si>
  <si>
    <t>89439LJR9</t>
  </si>
  <si>
    <t>89439PFD5</t>
  </si>
  <si>
    <t>89439PFF0</t>
  </si>
  <si>
    <t>89440LDD3</t>
  </si>
  <si>
    <t>89440LDF8</t>
  </si>
  <si>
    <t>89440LDG6</t>
  </si>
  <si>
    <t>8945205D3</t>
  </si>
  <si>
    <t>862335PG5</t>
  </si>
  <si>
    <t>PUBLIC IMPS. WATER UTILITY IMPS. PROPERTY ACQUISITION</t>
  </si>
  <si>
    <t>862335PF7</t>
  </si>
  <si>
    <t>855685EF6</t>
  </si>
  <si>
    <t>Spartanburg, SC</t>
  </si>
  <si>
    <t>834610BB2</t>
  </si>
  <si>
    <t>St. Croix, WI</t>
  </si>
  <si>
    <t>834610BC0</t>
  </si>
  <si>
    <t>834610BD8</t>
  </si>
  <si>
    <t>834610BE6</t>
  </si>
  <si>
    <t>834610BF3</t>
  </si>
  <si>
    <t>836809HB2</t>
  </si>
  <si>
    <t>836809HC0</t>
  </si>
  <si>
    <t>752111MM3</t>
  </si>
  <si>
    <t>CURRENT REFUNDING SWAP TERMINATION WATER UTILITY IMPS.</t>
  </si>
  <si>
    <t>752111MP6</t>
  </si>
  <si>
    <t>752111MR2</t>
  </si>
  <si>
    <t>846694AF4</t>
  </si>
  <si>
    <t>846694AH0</t>
  </si>
  <si>
    <t>752274AF7</t>
  </si>
  <si>
    <t>Charles Mix, SD</t>
  </si>
  <si>
    <t>752274AH3</t>
  </si>
  <si>
    <t>847184UM8</t>
  </si>
  <si>
    <t>755417A44</t>
  </si>
  <si>
    <t>755417ZY1</t>
  </si>
  <si>
    <t>75686JAG6</t>
  </si>
  <si>
    <t>75686JAH4</t>
  </si>
  <si>
    <t>75686JAJ0</t>
  </si>
  <si>
    <t>850777GS6</t>
  </si>
  <si>
    <t>851830HS1</t>
  </si>
  <si>
    <t>751140AG9</t>
  </si>
  <si>
    <t>751140AH7</t>
  </si>
  <si>
    <t>751140AK0</t>
  </si>
  <si>
    <t>752111MN1</t>
  </si>
  <si>
    <t>752111MQ4</t>
  </si>
  <si>
    <t>752111MS0</t>
  </si>
  <si>
    <t>846694AE7</t>
  </si>
  <si>
    <t>846694AG2</t>
  </si>
  <si>
    <t>752274AG5</t>
  </si>
  <si>
    <t>752274AJ9</t>
  </si>
  <si>
    <t>847184UK2</t>
  </si>
  <si>
    <t>847184UL0</t>
  </si>
  <si>
    <t>847184UN6</t>
  </si>
  <si>
    <t>847184UP1</t>
  </si>
  <si>
    <t>755417A36</t>
  </si>
  <si>
    <t>728857MM2</t>
  </si>
  <si>
    <t>728857MN0</t>
  </si>
  <si>
    <t>729654TH6</t>
  </si>
  <si>
    <t>724428EM5</t>
  </si>
  <si>
    <t>728041XM1</t>
  </si>
  <si>
    <t>728857MH3</t>
  </si>
  <si>
    <t>728857MK6</t>
  </si>
  <si>
    <t>728857ML4</t>
  </si>
  <si>
    <t>728041XJ8</t>
  </si>
  <si>
    <t>728041XL3</t>
  </si>
  <si>
    <t>739545MP3</t>
  </si>
  <si>
    <t>Sauk, WI</t>
  </si>
  <si>
    <t>764279AR6</t>
  </si>
  <si>
    <t>764279AS4</t>
  </si>
  <si>
    <t>764279AT2</t>
  </si>
  <si>
    <t>765378PA6</t>
  </si>
  <si>
    <t>765378PB4</t>
  </si>
  <si>
    <t>765378PC2</t>
  </si>
  <si>
    <t>765378PD0</t>
  </si>
  <si>
    <t>765531EY0</t>
  </si>
  <si>
    <t>917572WK1</t>
  </si>
  <si>
    <t>92006TJD0</t>
  </si>
  <si>
    <t>695283CY5</t>
  </si>
  <si>
    <t>695283CZ2</t>
  </si>
  <si>
    <t>695283DB4</t>
  </si>
  <si>
    <t>69704PAD0</t>
  </si>
  <si>
    <t>69704PAF5</t>
  </si>
  <si>
    <t>69704PBC1</t>
  </si>
  <si>
    <t>10/26/2017</t>
  </si>
  <si>
    <t>69704PBD9</t>
  </si>
  <si>
    <t>80465PJD7</t>
  </si>
  <si>
    <t>80465PJF2</t>
  </si>
  <si>
    <t>805788VK9</t>
  </si>
  <si>
    <t>Middlesex, NJ</t>
  </si>
  <si>
    <t>PUBLIC IMPS. WATER UTILITY IMPS. RECREATIONAL FAC. IMPS.</t>
  </si>
  <si>
    <t>805788VM5</t>
  </si>
  <si>
    <t>70146RGP7</t>
  </si>
  <si>
    <t>810489SW5</t>
  </si>
  <si>
    <t>69704PAE8</t>
  </si>
  <si>
    <t>69704PBB3</t>
  </si>
  <si>
    <t>80465PJE5</t>
  </si>
  <si>
    <t>805788VL7</t>
  </si>
  <si>
    <t>805788VN3</t>
  </si>
  <si>
    <t>70146RGN2</t>
  </si>
  <si>
    <t>70146RGQ5</t>
  </si>
  <si>
    <t>917572WG0</t>
  </si>
  <si>
    <t>92006TJC2</t>
  </si>
  <si>
    <t>92006TJE8</t>
  </si>
  <si>
    <t>810489SU9</t>
  </si>
  <si>
    <t>810489SV7</t>
  </si>
  <si>
    <t>810489SX3</t>
  </si>
  <si>
    <t>724428EL7</t>
  </si>
  <si>
    <t>724428EN3</t>
  </si>
  <si>
    <t>717087F21</t>
  </si>
  <si>
    <t>SEWER IMPS. WATER UTILITY IMPS.</t>
  </si>
  <si>
    <t>717087J84</t>
  </si>
  <si>
    <t>717087K25</t>
  </si>
  <si>
    <t>717087K41</t>
  </si>
  <si>
    <t>265705FH1</t>
  </si>
  <si>
    <t>Davidson, TN</t>
  </si>
  <si>
    <t>10/5/2017</t>
  </si>
  <si>
    <t>295120AG4</t>
  </si>
  <si>
    <t>Erie, OH</t>
  </si>
  <si>
    <t>10/11/2017</t>
  </si>
  <si>
    <t>79765RW62</t>
  </si>
  <si>
    <t>79765RQ77</t>
  </si>
  <si>
    <t>79765RQ69</t>
  </si>
  <si>
    <t>79765RT66</t>
  </si>
  <si>
    <t>79765RW70</t>
  </si>
  <si>
    <t>79765RT74</t>
  </si>
  <si>
    <t>79765RW88</t>
  </si>
  <si>
    <t>79689TAG3</t>
  </si>
  <si>
    <t>79689TAK4</t>
  </si>
  <si>
    <t>706235BG2</t>
  </si>
  <si>
    <t>Burlington, NJ</t>
  </si>
  <si>
    <t>706235BH0</t>
  </si>
  <si>
    <t>706235BJ6</t>
  </si>
  <si>
    <t>706235BK3</t>
  </si>
  <si>
    <t>706235BL1</t>
  </si>
  <si>
    <t>706235BM9</t>
  </si>
  <si>
    <t>706235BN7</t>
  </si>
  <si>
    <t>11/1/2028</t>
  </si>
  <si>
    <t>706235BP2</t>
  </si>
  <si>
    <t>706235BQ0</t>
  </si>
  <si>
    <t>11/1/2030</t>
  </si>
  <si>
    <t>706235BR8</t>
  </si>
  <si>
    <t>11/1/2031</t>
  </si>
  <si>
    <t>706235BS6</t>
  </si>
  <si>
    <t>11/1/2032</t>
  </si>
  <si>
    <t>70718PBY5</t>
  </si>
  <si>
    <t>Grand Traverse, MI</t>
  </si>
  <si>
    <t>70718PBZ2</t>
  </si>
  <si>
    <t>70718PCA6</t>
  </si>
  <si>
    <t>70718PCB4</t>
  </si>
  <si>
    <t>70718PCC2</t>
  </si>
  <si>
    <t>15870QAF4</t>
  </si>
  <si>
    <t>15870QAG2</t>
  </si>
  <si>
    <t>158855DT0</t>
  </si>
  <si>
    <t>158855DU7</t>
  </si>
  <si>
    <t>158855DV5</t>
  </si>
  <si>
    <t>158855DW3</t>
  </si>
  <si>
    <t>159095AW8</t>
  </si>
  <si>
    <t>3/15/2017</t>
  </si>
  <si>
    <t>159095AX6</t>
  </si>
  <si>
    <t>10/15/2023</t>
  </si>
  <si>
    <t>076221M31</t>
  </si>
  <si>
    <t>076221M49</t>
  </si>
  <si>
    <t>076221M56</t>
  </si>
  <si>
    <t>076221M64</t>
  </si>
  <si>
    <t>076221M72</t>
  </si>
  <si>
    <t>2/15/2027</t>
  </si>
  <si>
    <t>0782753N2</t>
  </si>
  <si>
    <t>0782753P7</t>
  </si>
  <si>
    <t>0782753Q5</t>
  </si>
  <si>
    <t>0782753R3</t>
  </si>
  <si>
    <t>0782754N1</t>
  </si>
  <si>
    <t>0782754P6</t>
  </si>
  <si>
    <t>0782754Q4</t>
  </si>
  <si>
    <t>0782754R2</t>
  </si>
  <si>
    <t>150591GX7</t>
  </si>
  <si>
    <t>150591GY5</t>
  </si>
  <si>
    <t>150591GZ2</t>
  </si>
  <si>
    <t>080375DG0</t>
  </si>
  <si>
    <t>03672VAG7</t>
  </si>
  <si>
    <t>03672VAH5</t>
  </si>
  <si>
    <t>041042C83</t>
  </si>
  <si>
    <t>085667AF0</t>
  </si>
  <si>
    <t>Berrien, MI</t>
  </si>
  <si>
    <t>085667AG8</t>
  </si>
  <si>
    <t>085667AH6</t>
  </si>
  <si>
    <t>085667AJ2</t>
  </si>
  <si>
    <t>085667AK9</t>
  </si>
  <si>
    <t>094743MJ7</t>
  </si>
  <si>
    <t>094743ML2</t>
  </si>
  <si>
    <t>094743MP3</t>
  </si>
  <si>
    <t>109025ZE9</t>
  </si>
  <si>
    <t>Atlantic, NJ</t>
  </si>
  <si>
    <t>10/31/2017</t>
  </si>
  <si>
    <t>109025ZG4</t>
  </si>
  <si>
    <t>10/15/2024</t>
  </si>
  <si>
    <t>107115NX1</t>
  </si>
  <si>
    <t>Washington, TX</t>
  </si>
  <si>
    <t>12/21/2017</t>
  </si>
  <si>
    <t>080375DF2</t>
  </si>
  <si>
    <t>03672VAF9</t>
  </si>
  <si>
    <t>03672VAJ1</t>
  </si>
  <si>
    <t>105025Y79</t>
  </si>
  <si>
    <t>Norfolk, MA</t>
  </si>
  <si>
    <t>105025Y95</t>
  </si>
  <si>
    <t>5/15/2026</t>
  </si>
  <si>
    <t>10606RKL0</t>
  </si>
  <si>
    <t>10606RKM8</t>
  </si>
  <si>
    <t>10606TFN8</t>
  </si>
  <si>
    <t>10607FBE1</t>
  </si>
  <si>
    <t>10607FBG6</t>
  </si>
  <si>
    <t>10608MBF2</t>
  </si>
  <si>
    <t>094743MH1</t>
  </si>
  <si>
    <t>094743MK4</t>
  </si>
  <si>
    <t>094743MN8</t>
  </si>
  <si>
    <t>109025ZF6</t>
  </si>
  <si>
    <t>109025ZH2</t>
  </si>
  <si>
    <t>10607FBD3</t>
  </si>
  <si>
    <t>10608MBE5</t>
  </si>
  <si>
    <t>106147HS3</t>
  </si>
  <si>
    <t>0902213K6</t>
  </si>
  <si>
    <t>Harrison, MS</t>
  </si>
  <si>
    <t>107115NY9</t>
  </si>
  <si>
    <t>107115NZ6</t>
  </si>
  <si>
    <t>107115PA9</t>
  </si>
  <si>
    <t>107115PB7</t>
  </si>
  <si>
    <t>105025Y61</t>
  </si>
  <si>
    <t>105025Y87</t>
  </si>
  <si>
    <t>105025Z29</t>
  </si>
  <si>
    <t>5/15/2027</t>
  </si>
  <si>
    <t>10605QBE9</t>
  </si>
  <si>
    <t>10605QBF6</t>
  </si>
  <si>
    <t>10605QBG4</t>
  </si>
  <si>
    <t>10605QBH2</t>
  </si>
  <si>
    <t>10606KFZ0</t>
  </si>
  <si>
    <t>10606PHE4</t>
  </si>
  <si>
    <t>10606PHG9</t>
  </si>
  <si>
    <t>10606RKK2</t>
  </si>
  <si>
    <t>10606TFM0</t>
  </si>
  <si>
    <t>10607FBF8</t>
  </si>
  <si>
    <t>10608MBD7</t>
  </si>
  <si>
    <t>10608MBG0</t>
  </si>
  <si>
    <t>106147HT1</t>
  </si>
  <si>
    <t>0902213H3</t>
  </si>
  <si>
    <t>0902213J9</t>
  </si>
  <si>
    <t>118828HM7</t>
  </si>
  <si>
    <t>118828HN5</t>
  </si>
  <si>
    <t>118828HP0</t>
  </si>
  <si>
    <t>118828HR6</t>
  </si>
  <si>
    <t>119638YF5</t>
  </si>
  <si>
    <t>Wright, MN</t>
  </si>
  <si>
    <t>119638YG3</t>
  </si>
  <si>
    <t>119638YH1</t>
  </si>
  <si>
    <t>119638YJ7</t>
  </si>
  <si>
    <t>121385E87</t>
  </si>
  <si>
    <t>Johnson, TX</t>
  </si>
  <si>
    <t>121385E95</t>
  </si>
  <si>
    <t>121385F29</t>
  </si>
  <si>
    <t>121385F37</t>
  </si>
  <si>
    <t>121385F45</t>
  </si>
  <si>
    <t>122106CN5</t>
  </si>
  <si>
    <t>122106CP0</t>
  </si>
  <si>
    <t>122106CR6</t>
  </si>
  <si>
    <t>122106CS4</t>
  </si>
  <si>
    <t>034280K97</t>
  </si>
  <si>
    <t>Butler, KS</t>
  </si>
  <si>
    <t>034280L21</t>
  </si>
  <si>
    <t>161069S26</t>
  </si>
  <si>
    <t>12/15/2022</t>
  </si>
  <si>
    <t>161069S34</t>
  </si>
  <si>
    <t>12/15/2023</t>
  </si>
  <si>
    <t>161069S42</t>
  </si>
  <si>
    <t>12/15/2024</t>
  </si>
  <si>
    <t>161069S67</t>
  </si>
  <si>
    <t>12/15/2026</t>
  </si>
  <si>
    <t>161069S75</t>
  </si>
  <si>
    <t>12/15/2027</t>
  </si>
  <si>
    <t>161664GG6</t>
  </si>
  <si>
    <t>Carver, MN</t>
  </si>
  <si>
    <t>161664GH4</t>
  </si>
  <si>
    <t>161664GJ0</t>
  </si>
  <si>
    <t>161664GK7</t>
  </si>
  <si>
    <t>161664GL5</t>
  </si>
  <si>
    <t>161843FP7</t>
  </si>
  <si>
    <t>Morris, NJ</t>
  </si>
  <si>
    <t>161843FQ5</t>
  </si>
  <si>
    <t>161843FR3</t>
  </si>
  <si>
    <t>161843FS1</t>
  </si>
  <si>
    <t>161843FT9</t>
  </si>
  <si>
    <t>161843FU6</t>
  </si>
  <si>
    <t>161843FV4</t>
  </si>
  <si>
    <t>164121AY1</t>
  </si>
  <si>
    <t>McLean, IL</t>
  </si>
  <si>
    <t>164121AZ8</t>
  </si>
  <si>
    <t>112857DY0</t>
  </si>
  <si>
    <t>112857DZ7</t>
  </si>
  <si>
    <t>112857EA1</t>
  </si>
  <si>
    <t>112857EC7</t>
  </si>
  <si>
    <t>112857ED5</t>
  </si>
  <si>
    <t>113835Q21</t>
  </si>
  <si>
    <t>113835Q39</t>
  </si>
  <si>
    <t>113835Q47</t>
  </si>
  <si>
    <t>113835Q54</t>
  </si>
  <si>
    <t>147019NY5</t>
  </si>
  <si>
    <t>8/17/2017</t>
  </si>
  <si>
    <t>147019NZ2</t>
  </si>
  <si>
    <t>147019PA5</t>
  </si>
  <si>
    <t>147019PB3</t>
  </si>
  <si>
    <t>147019PC1</t>
  </si>
  <si>
    <t>147056FN0</t>
  </si>
  <si>
    <t>147056FP5</t>
  </si>
  <si>
    <t>147056FR1</t>
  </si>
  <si>
    <t>147056FS9</t>
  </si>
  <si>
    <t>05922KYD5</t>
  </si>
  <si>
    <t>05922KYE3</t>
  </si>
  <si>
    <t>070419KL9</t>
  </si>
  <si>
    <t>Genesee, NY</t>
  </si>
  <si>
    <t>SEWER IMPS. WATER UTILITY IMPS. REFUNDING NOTES</t>
  </si>
  <si>
    <t>070419KM7</t>
  </si>
  <si>
    <t>070419KN5</t>
  </si>
  <si>
    <t>070419LA2</t>
  </si>
  <si>
    <t>10/10/2017</t>
  </si>
  <si>
    <t>070419LB0</t>
  </si>
  <si>
    <t>070419LC8</t>
  </si>
  <si>
    <t>070419LD6</t>
  </si>
  <si>
    <t>071599BT0</t>
  </si>
  <si>
    <t>Lake of the Woods, MN</t>
  </si>
  <si>
    <t>7/13/2017</t>
  </si>
  <si>
    <t>071599BU7</t>
  </si>
  <si>
    <t>36422XDF5</t>
  </si>
  <si>
    <t>36422XDG3</t>
  </si>
  <si>
    <t>36422XDH1</t>
  </si>
  <si>
    <t>36422XDJ7</t>
  </si>
  <si>
    <t>36422XDK4</t>
  </si>
  <si>
    <t>36422YMU0</t>
  </si>
  <si>
    <t>36422YMV8</t>
  </si>
  <si>
    <t>36422YMW6</t>
  </si>
  <si>
    <t>36423BEH7</t>
  </si>
  <si>
    <t>36423BEJ3</t>
  </si>
  <si>
    <t>36423BEK0</t>
  </si>
  <si>
    <t>36423BEL8</t>
  </si>
  <si>
    <t>364334GT3</t>
  </si>
  <si>
    <t>364334GU0</t>
  </si>
  <si>
    <t>364478TR8</t>
  </si>
  <si>
    <t>364478TS6</t>
  </si>
  <si>
    <t>364478TT4</t>
  </si>
  <si>
    <t>364478TU1</t>
  </si>
  <si>
    <t>365028ZF9</t>
  </si>
  <si>
    <t>Finney, KS</t>
  </si>
  <si>
    <t>365028ZG7</t>
  </si>
  <si>
    <t>365028ZH5</t>
  </si>
  <si>
    <t>303891B79</t>
  </si>
  <si>
    <t>41454TGQ8</t>
  </si>
  <si>
    <t>41454TGR6</t>
  </si>
  <si>
    <t>414641CQ1</t>
  </si>
  <si>
    <t>414641CR9</t>
  </si>
  <si>
    <t>414641CS7</t>
  </si>
  <si>
    <t>414641CT5</t>
  </si>
  <si>
    <t>414910NC9</t>
  </si>
  <si>
    <t>414910ND7</t>
  </si>
  <si>
    <t>414910NE5</t>
  </si>
  <si>
    <t>414915MF2</t>
  </si>
  <si>
    <t>414915MG0</t>
  </si>
  <si>
    <t>414915MH8</t>
  </si>
  <si>
    <t>414945JC0</t>
  </si>
  <si>
    <t>414945JD8</t>
  </si>
  <si>
    <t>414964SC1</t>
  </si>
  <si>
    <t>414964SD9</t>
  </si>
  <si>
    <t>414976FH8</t>
  </si>
  <si>
    <t>414976FJ4</t>
  </si>
  <si>
    <t>414976FK1</t>
  </si>
  <si>
    <t>4153606M3</t>
  </si>
  <si>
    <t>PUBLIC IMPS. WATER UTILITY IMPS. REFUNDING NOTES</t>
  </si>
  <si>
    <t>4153606N1</t>
  </si>
  <si>
    <t>4153606P6</t>
  </si>
  <si>
    <t>4437262K9</t>
  </si>
  <si>
    <t>Hudson, NJ</t>
  </si>
  <si>
    <t>7/7/2017</t>
  </si>
  <si>
    <t>UNIV. &amp; COLLEGE IMPS. WATER UTILITY IMPS.</t>
  </si>
  <si>
    <t>4437262L7</t>
  </si>
  <si>
    <t>4437262M5</t>
  </si>
  <si>
    <t>4437262P8</t>
  </si>
  <si>
    <t>443852UQ9</t>
  </si>
  <si>
    <t>443852UR7</t>
  </si>
  <si>
    <t>344664LV7</t>
  </si>
  <si>
    <t>Walworth, WI</t>
  </si>
  <si>
    <t>3/2/2017</t>
  </si>
  <si>
    <t>344664LW5</t>
  </si>
  <si>
    <t>344664LX3</t>
  </si>
  <si>
    <t>344664LY1</t>
  </si>
  <si>
    <t>344664LZ8</t>
  </si>
  <si>
    <t>345757EY0</t>
  </si>
  <si>
    <t>345757EZ7</t>
  </si>
  <si>
    <t>345757FA1</t>
  </si>
  <si>
    <t>562895KK7</t>
  </si>
  <si>
    <t>Riley, KS</t>
  </si>
  <si>
    <t>562895KL5</t>
  </si>
  <si>
    <t>562895KM3</t>
  </si>
  <si>
    <t>562895KN1</t>
  </si>
  <si>
    <t>562895KP6</t>
  </si>
  <si>
    <t>562895KQ4</t>
  </si>
  <si>
    <t>563384GR1</t>
  </si>
  <si>
    <t>Manistee, MI</t>
  </si>
  <si>
    <t>56501MCZ8</t>
  </si>
  <si>
    <t>56501MDA2</t>
  </si>
  <si>
    <t>56501MDC8</t>
  </si>
  <si>
    <t>56501MDD6</t>
  </si>
  <si>
    <t>509696UX6</t>
  </si>
  <si>
    <t>Lake, IL</t>
  </si>
  <si>
    <t>509696UY4</t>
  </si>
  <si>
    <t>509696UZ1</t>
  </si>
  <si>
    <t>510066QH9</t>
  </si>
  <si>
    <t>510066QJ5</t>
  </si>
  <si>
    <t>510066QK2</t>
  </si>
  <si>
    <t>510066QL0</t>
  </si>
  <si>
    <t>510221FX7</t>
  </si>
  <si>
    <t>Jefferson, WI</t>
  </si>
  <si>
    <t>510221FY5</t>
  </si>
  <si>
    <t>510221FZ2</t>
  </si>
  <si>
    <t>511115AU1</t>
  </si>
  <si>
    <t>511115AV9</t>
  </si>
  <si>
    <t>511115AW7</t>
  </si>
  <si>
    <t>51219SFM5</t>
  </si>
  <si>
    <t>51219SFP8</t>
  </si>
  <si>
    <t>539345CW6</t>
  </si>
  <si>
    <t>Llano, TX</t>
  </si>
  <si>
    <t>539345CX4</t>
  </si>
  <si>
    <t>539345CY2</t>
  </si>
  <si>
    <t>539345CZ9</t>
  </si>
  <si>
    <t>539345DA3</t>
  </si>
  <si>
    <t>471250NP1</t>
  </si>
  <si>
    <t>Walker, AL</t>
  </si>
  <si>
    <t>471250NQ9</t>
  </si>
  <si>
    <t>471250NR7</t>
  </si>
  <si>
    <t>471250NS5</t>
  </si>
  <si>
    <t>471250NT3</t>
  </si>
  <si>
    <t>440365DX9</t>
  </si>
  <si>
    <t>ND</t>
  </si>
  <si>
    <t>Cass, ND</t>
  </si>
  <si>
    <t>7/10/2017</t>
  </si>
  <si>
    <t>440365DY7</t>
  </si>
  <si>
    <t>440365DZ4</t>
  </si>
  <si>
    <t>44044TGT3</t>
  </si>
  <si>
    <t>44044TGU0</t>
  </si>
  <si>
    <t>34679VFH8</t>
  </si>
  <si>
    <t>34679VFJ4</t>
  </si>
  <si>
    <t>34679VFK1</t>
  </si>
  <si>
    <t>34680CFD6</t>
  </si>
  <si>
    <t>34680CFE4</t>
  </si>
  <si>
    <t>346811NK4</t>
  </si>
  <si>
    <t>346811NL2</t>
  </si>
  <si>
    <t>346811NM0</t>
  </si>
  <si>
    <t>34681WRU0</t>
  </si>
  <si>
    <t>34681WRV8</t>
  </si>
  <si>
    <t>34681WRW6</t>
  </si>
  <si>
    <t>34682DCD5</t>
  </si>
  <si>
    <t>34682DCE3</t>
  </si>
  <si>
    <t>34682DCF0</t>
  </si>
  <si>
    <t>34682DCG8</t>
  </si>
  <si>
    <t>34682GGE2</t>
  </si>
  <si>
    <t>34682GGF9</t>
  </si>
  <si>
    <t>34682GGG7</t>
  </si>
  <si>
    <t>34682GGH5</t>
  </si>
  <si>
    <t>34682HKU9</t>
  </si>
  <si>
    <t>34682HKV7</t>
  </si>
  <si>
    <t>34682HKW5</t>
  </si>
  <si>
    <t>298163DM5</t>
  </si>
  <si>
    <t>298163DN3</t>
  </si>
  <si>
    <t>299216HA2</t>
  </si>
  <si>
    <t>Black Hawk, IA</t>
  </si>
  <si>
    <t>8/29/2017</t>
  </si>
  <si>
    <t>299216HB0</t>
  </si>
  <si>
    <t>299228BL9</t>
  </si>
  <si>
    <t>10/16/2017</t>
  </si>
  <si>
    <t>PUBLIC IMPS. PUBLIC FACILITIES WATER UTILITY IMPS.</t>
  </si>
  <si>
    <t>299228BM7</t>
  </si>
  <si>
    <t>299228BN5</t>
  </si>
  <si>
    <t>299228BP0</t>
  </si>
  <si>
    <t>299228BQ8</t>
  </si>
  <si>
    <t>299228BR6</t>
  </si>
  <si>
    <t>300767HJ2</t>
  </si>
  <si>
    <t>6/14/2017</t>
  </si>
  <si>
    <t>300767HK9</t>
  </si>
  <si>
    <t>300767HL7</t>
  </si>
  <si>
    <t>300767HM5</t>
  </si>
  <si>
    <t>24170PPJ1</t>
  </si>
  <si>
    <t>24170PPL6</t>
  </si>
  <si>
    <t>24170PPN2</t>
  </si>
  <si>
    <t>42703JBC3</t>
  </si>
  <si>
    <t>42703JBD1</t>
  </si>
  <si>
    <t>42703JBE9</t>
  </si>
  <si>
    <t>42703JBF6</t>
  </si>
  <si>
    <t>10/15/2026</t>
  </si>
  <si>
    <t>42703JBG4</t>
  </si>
  <si>
    <t>10/15/2027</t>
  </si>
  <si>
    <t>427542LV5</t>
  </si>
  <si>
    <t>427542LX1</t>
  </si>
  <si>
    <t>427542LY9</t>
  </si>
  <si>
    <t>427542LZ6</t>
  </si>
  <si>
    <t>427758DS3</t>
  </si>
  <si>
    <t>Williamson, IL</t>
  </si>
  <si>
    <t>427758DT1</t>
  </si>
  <si>
    <t>427758DU8</t>
  </si>
  <si>
    <t>427758DV6</t>
  </si>
  <si>
    <t>427877BF1</t>
  </si>
  <si>
    <t>NE</t>
  </si>
  <si>
    <t>Lincoln, NE</t>
  </si>
  <si>
    <t>358776QK1</t>
  </si>
  <si>
    <t>358776QL9</t>
  </si>
  <si>
    <t>358776QM7</t>
  </si>
  <si>
    <t>358776QN5</t>
  </si>
  <si>
    <t>358776QP0</t>
  </si>
  <si>
    <t>359863EB9</t>
  </si>
  <si>
    <t>359863EC7</t>
  </si>
  <si>
    <t>359863ED5</t>
  </si>
  <si>
    <t>221843DD4</t>
  </si>
  <si>
    <t>386168WF1</t>
  </si>
  <si>
    <t>10/15/2017</t>
  </si>
  <si>
    <t>1/15/2023</t>
  </si>
  <si>
    <t>386168WG9</t>
  </si>
  <si>
    <t>1/15/2024</t>
  </si>
  <si>
    <t>386168WH7</t>
  </si>
  <si>
    <t>1/15/2025</t>
  </si>
  <si>
    <t>386168WJ3</t>
  </si>
  <si>
    <t>1/15/2026</t>
  </si>
  <si>
    <t>386168WK0</t>
  </si>
  <si>
    <t>1/15/2027</t>
  </si>
  <si>
    <t>414511FJ9</t>
  </si>
  <si>
    <t>414513JR3</t>
  </si>
  <si>
    <t>414513JT9</t>
  </si>
  <si>
    <t>414521DG6</t>
  </si>
  <si>
    <t>414521DH4</t>
  </si>
  <si>
    <t>41453RCC8</t>
  </si>
  <si>
    <t>41453TBH4</t>
  </si>
  <si>
    <t>41420LMU0</t>
  </si>
  <si>
    <t>41420LMV8</t>
  </si>
  <si>
    <t>41420PEM8</t>
  </si>
  <si>
    <t>PROPERTY ACQUISITION WATER UTILITY IMPS. PUBLIC IMPS.</t>
  </si>
  <si>
    <t>41420PEN6</t>
  </si>
  <si>
    <t>41420QKV9</t>
  </si>
  <si>
    <t>41420QKW7</t>
  </si>
  <si>
    <t>41420QKX5</t>
  </si>
  <si>
    <t>41420WFC4</t>
  </si>
  <si>
    <t>41420XPM9</t>
  </si>
  <si>
    <t>41420XPN7</t>
  </si>
  <si>
    <t>41420XPP2</t>
  </si>
  <si>
    <t>41421DVN3</t>
  </si>
  <si>
    <t>41421FHL8</t>
  </si>
  <si>
    <t>WATER UTILITY IMPS. SEWER IMPS. RECREATIONAL FAC. IMPS.</t>
  </si>
  <si>
    <t>41422GFW3</t>
  </si>
  <si>
    <t>41422HBG0</t>
  </si>
  <si>
    <t>41422HBJ4</t>
  </si>
  <si>
    <t>41422JCW0</t>
  </si>
  <si>
    <t>41422PJH2</t>
  </si>
  <si>
    <t>41422PJJ8</t>
  </si>
  <si>
    <t>41422PJK5</t>
  </si>
  <si>
    <t>41422SEK4</t>
  </si>
  <si>
    <t>41422SEM0</t>
  </si>
  <si>
    <t>41422VBF1</t>
  </si>
  <si>
    <t>41422YCF4</t>
  </si>
  <si>
    <t>41422YCH0</t>
  </si>
  <si>
    <t>194748DC0</t>
  </si>
  <si>
    <t>194748DD8</t>
  </si>
  <si>
    <t>194749CE5</t>
  </si>
  <si>
    <t>194749CG0</t>
  </si>
  <si>
    <t>194749CJ4</t>
  </si>
  <si>
    <t>41421DVM5</t>
  </si>
  <si>
    <t>41421DVP8</t>
  </si>
  <si>
    <t>41421FHK0</t>
  </si>
  <si>
    <t>41421FHM6</t>
  </si>
  <si>
    <t>41422GFV5</t>
  </si>
  <si>
    <t>41422GFX1</t>
  </si>
  <si>
    <t>41422HBF2</t>
  </si>
  <si>
    <t>41422HBH8</t>
  </si>
  <si>
    <t>41422JCX8</t>
  </si>
  <si>
    <t>41422JCY6</t>
  </si>
  <si>
    <t>41422PJL3</t>
  </si>
  <si>
    <t>41422SEL2</t>
  </si>
  <si>
    <t>41422SFK3</t>
  </si>
  <si>
    <t>41422SFL1</t>
  </si>
  <si>
    <t>41422SFM9</t>
  </si>
  <si>
    <t>41422TCL2</t>
  </si>
  <si>
    <t>41422TCM0</t>
  </si>
  <si>
    <t>41422TCN8</t>
  </si>
  <si>
    <t>41422VBE4</t>
  </si>
  <si>
    <t>41422YCG2</t>
  </si>
  <si>
    <t>41422YCJ6</t>
  </si>
  <si>
    <t>41423RBG7</t>
  </si>
  <si>
    <t>41423RBH5</t>
  </si>
  <si>
    <t>41424LAD7</t>
  </si>
  <si>
    <t>41425EBG4</t>
  </si>
  <si>
    <t>41425UBF0</t>
  </si>
  <si>
    <t>41426XAF4</t>
  </si>
  <si>
    <t>41427PBF9</t>
  </si>
  <si>
    <t>41427PBG7</t>
  </si>
  <si>
    <t>235586BT0</t>
  </si>
  <si>
    <t>235586BV5</t>
  </si>
  <si>
    <t>235586BX1</t>
  </si>
  <si>
    <t>421032GL1</t>
  </si>
  <si>
    <t>421032GM9</t>
  </si>
  <si>
    <t>421033DJ7</t>
  </si>
  <si>
    <t>421033DK4</t>
  </si>
  <si>
    <t>236649HN2</t>
  </si>
  <si>
    <t>236649HQ5</t>
  </si>
  <si>
    <t>424672WN9</t>
  </si>
  <si>
    <t>235586BW3</t>
  </si>
  <si>
    <t>421032GK3</t>
  </si>
  <si>
    <t>421033DH1</t>
  </si>
  <si>
    <t>194749CF2</t>
  </si>
  <si>
    <t>194749CH8</t>
  </si>
  <si>
    <t>271101DF1</t>
  </si>
  <si>
    <t>Ontario, NY</t>
  </si>
  <si>
    <t>27373CAD7</t>
  </si>
  <si>
    <t>REFUNDING NOTES WATER UTILITY IMPS.</t>
  </si>
  <si>
    <t>27373CAF2</t>
  </si>
  <si>
    <t>236649HL6</t>
  </si>
  <si>
    <t>236649HM4</t>
  </si>
  <si>
    <t>236649HP7</t>
  </si>
  <si>
    <t>24170PPK8</t>
  </si>
  <si>
    <t>24170PPM4</t>
  </si>
  <si>
    <t>219399LE0</t>
  </si>
  <si>
    <t>Steuben, NY</t>
  </si>
  <si>
    <t>1/24/2017</t>
  </si>
  <si>
    <t>219399LF7</t>
  </si>
  <si>
    <t>221843DC6</t>
  </si>
  <si>
    <t>221843DE2</t>
  </si>
  <si>
    <t>544060FN1</t>
  </si>
  <si>
    <t>544060FP6</t>
  </si>
  <si>
    <t>544060FQ4</t>
  </si>
  <si>
    <t>544060FR2</t>
  </si>
  <si>
    <t>544060FS0</t>
  </si>
  <si>
    <t>4437262N3</t>
  </si>
  <si>
    <t>443852UP1</t>
  </si>
  <si>
    <t>260183F86</t>
  </si>
  <si>
    <t>NH</t>
  </si>
  <si>
    <t>Strafford, NH</t>
  </si>
  <si>
    <t>11/30/2017</t>
  </si>
  <si>
    <t>260183F94</t>
  </si>
  <si>
    <t>260183G28</t>
  </si>
  <si>
    <t>260183G36</t>
  </si>
  <si>
    <t>260183G44</t>
  </si>
  <si>
    <t>260655MB8</t>
  </si>
  <si>
    <t>39238R7B2</t>
  </si>
  <si>
    <t>Grayson, TX</t>
  </si>
  <si>
    <t>39238R7D8</t>
  </si>
  <si>
    <t>265705EQ2</t>
  </si>
  <si>
    <t>559315BA3</t>
  </si>
  <si>
    <t>9/20/2017</t>
  </si>
  <si>
    <t>559315BB1</t>
  </si>
  <si>
    <t>559315BC9</t>
  </si>
  <si>
    <t>559315BD7</t>
  </si>
  <si>
    <t>559315BE5</t>
  </si>
  <si>
    <t>414511FK6</t>
  </si>
  <si>
    <t>414513JS1</t>
  </si>
  <si>
    <t>414521DF8</t>
  </si>
  <si>
    <t>41453RCB0</t>
  </si>
  <si>
    <t>41453TBE1</t>
  </si>
  <si>
    <t>41453TBF8</t>
  </si>
  <si>
    <t>41453TBG6</t>
  </si>
  <si>
    <t>41423RBJ1</t>
  </si>
  <si>
    <t>41424LAE5</t>
  </si>
  <si>
    <t>41425EBF6</t>
  </si>
  <si>
    <t>41425UBG8</t>
  </si>
  <si>
    <t>41426HBE1</t>
  </si>
  <si>
    <t>41426XAE7</t>
  </si>
  <si>
    <t>295120AF6</t>
  </si>
  <si>
    <t>295120AH2</t>
  </si>
  <si>
    <t>219399LD2</t>
  </si>
  <si>
    <t>275791GC9</t>
  </si>
  <si>
    <t>Douglas, WA</t>
  </si>
  <si>
    <t>5/16/2017</t>
  </si>
  <si>
    <t>275791GG0</t>
  </si>
  <si>
    <t>27627MMQ7</t>
  </si>
  <si>
    <t>27627MNN3</t>
  </si>
  <si>
    <t>405108RC7</t>
  </si>
  <si>
    <t>405108RE3</t>
  </si>
  <si>
    <t>405108RY9</t>
  </si>
  <si>
    <t>406450ZW9</t>
  </si>
  <si>
    <t>406450ZZ2</t>
  </si>
  <si>
    <t>208399H81</t>
  </si>
  <si>
    <t>11/15/2025</t>
  </si>
  <si>
    <t>248379VP1</t>
  </si>
  <si>
    <t>248379VQ9</t>
  </si>
  <si>
    <t>248379VR7</t>
  </si>
  <si>
    <t>248379VS5</t>
  </si>
  <si>
    <t>24879PPQ9</t>
  </si>
  <si>
    <t>24879VGA1</t>
  </si>
  <si>
    <t>24879VGB9</t>
  </si>
  <si>
    <t>24879VGC7</t>
  </si>
  <si>
    <t>24879VGD5</t>
  </si>
  <si>
    <t>24880AKM3</t>
  </si>
  <si>
    <t>24880AKN1</t>
  </si>
  <si>
    <t>24880AKQ4</t>
  </si>
  <si>
    <t>287371FV5</t>
  </si>
  <si>
    <t>Antrim, MI</t>
  </si>
  <si>
    <t>287371FW3</t>
  </si>
  <si>
    <t>287371FX1</t>
  </si>
  <si>
    <t>287371FY9</t>
  </si>
  <si>
    <t>287371FZ6</t>
  </si>
  <si>
    <t>287371GA0</t>
  </si>
  <si>
    <t>289425VW7</t>
  </si>
  <si>
    <t>DuPage, IL</t>
  </si>
  <si>
    <t>289425VX5</t>
  </si>
  <si>
    <t>289425VY3</t>
  </si>
  <si>
    <t>292507HF0</t>
  </si>
  <si>
    <t>292507HG8</t>
  </si>
  <si>
    <t>293425YP3</t>
  </si>
  <si>
    <t>Ellis, TX</t>
  </si>
  <si>
    <t>8/15/2017</t>
  </si>
  <si>
    <t>293425YQ1</t>
  </si>
  <si>
    <t>293425YR9</t>
  </si>
  <si>
    <t>293425YS7</t>
  </si>
  <si>
    <t>293425YT5</t>
  </si>
  <si>
    <t>354783AF9</t>
  </si>
  <si>
    <t>Williamson, TN</t>
  </si>
  <si>
    <t>2/16/2017</t>
  </si>
  <si>
    <t>354783AG7</t>
  </si>
  <si>
    <t>354783AH5</t>
  </si>
  <si>
    <t>181003NT7</t>
  </si>
  <si>
    <t>181003NX8</t>
  </si>
  <si>
    <t>181126LQ4</t>
  </si>
  <si>
    <t>312526CR5</t>
  </si>
  <si>
    <t>Fayette, TX</t>
  </si>
  <si>
    <t>31803QAM8</t>
  </si>
  <si>
    <t>WATER UTILITY IMPS. REPAYMENT OF BANK LOAN ADVANCE REFUNDING</t>
  </si>
  <si>
    <t>31803QAP1</t>
  </si>
  <si>
    <t>18450CSM3</t>
  </si>
  <si>
    <t>1845764Z6</t>
  </si>
  <si>
    <t>1845765A0</t>
  </si>
  <si>
    <t>1845765B8</t>
  </si>
  <si>
    <t>1845765W2</t>
  </si>
  <si>
    <t>1845765X0</t>
  </si>
  <si>
    <t>1845765Y8</t>
  </si>
  <si>
    <t>349515XD3</t>
  </si>
  <si>
    <t>349515XE1</t>
  </si>
  <si>
    <t>349515XF8</t>
  </si>
  <si>
    <t>350832KN0</t>
  </si>
  <si>
    <t>350832KP5</t>
  </si>
  <si>
    <t>350832KQ3</t>
  </si>
  <si>
    <t>35138RAF8</t>
  </si>
  <si>
    <t>Winnebago, WI</t>
  </si>
  <si>
    <t>4/3/2017</t>
  </si>
  <si>
    <t>35138RAG6</t>
  </si>
  <si>
    <t>35138RAH4</t>
  </si>
  <si>
    <t>352882BR4</t>
  </si>
  <si>
    <t>Franklin, MO</t>
  </si>
  <si>
    <t>354783AJ1</t>
  </si>
  <si>
    <t>354783AK8</t>
  </si>
  <si>
    <t>19679ERM3</t>
  </si>
  <si>
    <t>19679ERP6</t>
  </si>
  <si>
    <t>19679ERQ4</t>
  </si>
  <si>
    <t>19679ERR2</t>
  </si>
  <si>
    <t>197053AF8</t>
  </si>
  <si>
    <t>197053AG6</t>
  </si>
  <si>
    <t>197053AH4</t>
  </si>
  <si>
    <t>197053AK7</t>
  </si>
  <si>
    <t>12946RBX9</t>
  </si>
  <si>
    <t>Racine, WI</t>
  </si>
  <si>
    <t>10/18/2017</t>
  </si>
  <si>
    <t>13034ASP6</t>
  </si>
  <si>
    <t>13034ASQ4</t>
  </si>
  <si>
    <t>13034ASR2</t>
  </si>
  <si>
    <t>13034ASS0</t>
  </si>
  <si>
    <t>13034AST8</t>
  </si>
  <si>
    <t>208399H73</t>
  </si>
  <si>
    <t>11/15/2024</t>
  </si>
  <si>
    <t>208399J22</t>
  </si>
  <si>
    <t>11/15/2027</t>
  </si>
  <si>
    <t>12946RBV3</t>
  </si>
  <si>
    <t>12946RBW1</t>
  </si>
  <si>
    <t>12946RBY7</t>
  </si>
  <si>
    <t>12946RBZ4</t>
  </si>
  <si>
    <t>166231BQ2</t>
  </si>
  <si>
    <t>166231BR0</t>
  </si>
  <si>
    <t>170473AA0</t>
  </si>
  <si>
    <t>Madera, CA</t>
  </si>
  <si>
    <t>170473AQ5</t>
  </si>
  <si>
    <t>170473AR3</t>
  </si>
  <si>
    <t>170473AS1</t>
  </si>
  <si>
    <t>171840NF4</t>
  </si>
  <si>
    <t>171840NG2</t>
  </si>
  <si>
    <t>171840NH0</t>
  </si>
  <si>
    <t>413772BS2</t>
  </si>
  <si>
    <t>Orange, NY</t>
  </si>
  <si>
    <t>9/19/2017</t>
  </si>
  <si>
    <t>413772BT0</t>
  </si>
  <si>
    <t>413772BU7</t>
  </si>
  <si>
    <t>413772BV5</t>
  </si>
  <si>
    <t>413905DB3</t>
  </si>
  <si>
    <t>1/15/2017</t>
  </si>
  <si>
    <t>413905DC1</t>
  </si>
  <si>
    <t>413905DD9</t>
  </si>
  <si>
    <t>413905DE7</t>
  </si>
  <si>
    <t>413924JW2</t>
  </si>
  <si>
    <t>413924JX0</t>
  </si>
  <si>
    <t>413924JY8</t>
  </si>
  <si>
    <t>413948SG6</t>
  </si>
  <si>
    <t>413948SH4</t>
  </si>
  <si>
    <t>413948SJ0</t>
  </si>
  <si>
    <t>413956JE4</t>
  </si>
  <si>
    <t>413956JF1</t>
  </si>
  <si>
    <t>413956JG9</t>
  </si>
  <si>
    <t>413958TS8</t>
  </si>
  <si>
    <t>413958TT6</t>
  </si>
  <si>
    <t>413958TU3</t>
  </si>
  <si>
    <t>413959HJ9</t>
  </si>
  <si>
    <t>413959HK6</t>
  </si>
  <si>
    <t>413959HL4</t>
  </si>
  <si>
    <t>414150TH5</t>
  </si>
  <si>
    <t>414150TJ1</t>
  </si>
  <si>
    <t>414150TK8</t>
  </si>
  <si>
    <t>414150TL6</t>
  </si>
  <si>
    <t>414199PV5</t>
  </si>
  <si>
    <t>WATER UTILITY IMPS. PROPERTY ACQUISITION SEWER IMPS.</t>
  </si>
  <si>
    <t>414199PW3</t>
  </si>
  <si>
    <t>414199PX1</t>
  </si>
  <si>
    <t>414199PY9</t>
  </si>
  <si>
    <t>41419KHF4</t>
  </si>
  <si>
    <t>PROPERTY ACQUISITION WATER UTILITY IMPS. SEWER IMPS.</t>
  </si>
  <si>
    <t>41419KHG2</t>
  </si>
  <si>
    <t>41419KHH0</t>
  </si>
  <si>
    <t>41419KHJ6</t>
  </si>
  <si>
    <t>41419QCB5</t>
  </si>
  <si>
    <t>41419RSS9</t>
  </si>
  <si>
    <t>CORRECTIONAL FAC. IMPS. WATER UTILITY IMPS. SEWER IMPS.</t>
  </si>
  <si>
    <t>41419RST7</t>
  </si>
  <si>
    <t>41419RSU4</t>
  </si>
  <si>
    <t>275791GE5</t>
  </si>
  <si>
    <t>27627MMR5</t>
  </si>
  <si>
    <t>280606AE4</t>
  </si>
  <si>
    <t>280606AF1</t>
  </si>
  <si>
    <t>271101DE4</t>
  </si>
  <si>
    <t>271101DG9</t>
  </si>
  <si>
    <t>27373CAE5</t>
  </si>
  <si>
    <t>166231BP4</t>
  </si>
  <si>
    <t>166231BS8</t>
  </si>
  <si>
    <t>181003NS9</t>
  </si>
  <si>
    <t>181003NU4</t>
  </si>
  <si>
    <t>181003NW0</t>
  </si>
  <si>
    <t>181126LP6</t>
  </si>
  <si>
    <t>181126LR2</t>
  </si>
  <si>
    <t>312526CS3</t>
  </si>
  <si>
    <t>31780CBJ2</t>
  </si>
  <si>
    <t>Allegheny, PA</t>
  </si>
  <si>
    <t>9/21/2017</t>
  </si>
  <si>
    <t>31803QAN6</t>
  </si>
  <si>
    <t>352882BQ6</t>
  </si>
  <si>
    <t>352882BS2</t>
  </si>
  <si>
    <t>275791GD7</t>
  </si>
  <si>
    <t>275791GF2</t>
  </si>
  <si>
    <t>27627MMP9</t>
  </si>
  <si>
    <t>27627MNM5</t>
  </si>
  <si>
    <t>27627MNP8</t>
  </si>
  <si>
    <t>277484DD0</t>
  </si>
  <si>
    <t>277484DE8</t>
  </si>
  <si>
    <t>277484DF5</t>
  </si>
  <si>
    <t>277484DG3</t>
  </si>
  <si>
    <t>277484DH1</t>
  </si>
  <si>
    <t>280606AG9</t>
  </si>
  <si>
    <t>280606AH7</t>
  </si>
  <si>
    <t>28106HAT3</t>
  </si>
  <si>
    <t>Colleton, SC</t>
  </si>
  <si>
    <t>7/18/2017</t>
  </si>
  <si>
    <t>28106HAU0</t>
  </si>
  <si>
    <t>28106HAV8</t>
  </si>
  <si>
    <t>28106HAW6</t>
  </si>
  <si>
    <t>20775YCY0</t>
  </si>
  <si>
    <t>20775YDE3</t>
  </si>
  <si>
    <t>208399H57</t>
  </si>
  <si>
    <t>20775YDC7</t>
  </si>
  <si>
    <t>208399H99</t>
  </si>
  <si>
    <t>11/15/2026</t>
  </si>
  <si>
    <t>186594KY2</t>
  </si>
  <si>
    <t>187882PF6</t>
  </si>
  <si>
    <t>270371GT8</t>
  </si>
  <si>
    <t>271101DH7</t>
  </si>
  <si>
    <t>544525VS4</t>
  </si>
  <si>
    <t>34682JQV7</t>
  </si>
  <si>
    <t>34682JQW5</t>
  </si>
  <si>
    <t>34682JQX3</t>
  </si>
  <si>
    <t>34682JSS2</t>
  </si>
  <si>
    <t>34682JST0</t>
  </si>
  <si>
    <t>34682JSU7</t>
  </si>
  <si>
    <t>34682KBE8</t>
  </si>
  <si>
    <t>34682KBF5</t>
  </si>
  <si>
    <t>34682LCZ8</t>
  </si>
  <si>
    <t>34682LDA2</t>
  </si>
  <si>
    <t>34682LDB0</t>
  </si>
  <si>
    <t>34682MCD5</t>
  </si>
  <si>
    <t>34682MCE3</t>
  </si>
  <si>
    <t>34682UFZ5</t>
  </si>
  <si>
    <t>34682UGA9</t>
  </si>
  <si>
    <t>34682UGB7</t>
  </si>
  <si>
    <t>34682YKZ1</t>
  </si>
  <si>
    <t>34682YLA5</t>
  </si>
  <si>
    <t>34682YLB3</t>
  </si>
  <si>
    <t>34683CKW5</t>
  </si>
  <si>
    <t>34683CKX3</t>
  </si>
  <si>
    <t>34683DJJ4</t>
  </si>
  <si>
    <t>34683DJK1</t>
  </si>
  <si>
    <t>34683DJL9</t>
  </si>
  <si>
    <t>34683FED7</t>
  </si>
  <si>
    <t>34683FEE5</t>
  </si>
  <si>
    <t>34683FEF2</t>
  </si>
  <si>
    <t>34683FEG0</t>
  </si>
  <si>
    <t>34683JAD3</t>
  </si>
  <si>
    <t>34683JAE1</t>
  </si>
  <si>
    <t>34683JAF8</t>
  </si>
  <si>
    <t>34683JBD2</t>
  </si>
  <si>
    <t>34683JBE0</t>
  </si>
  <si>
    <t>34683JBF7</t>
  </si>
  <si>
    <t>34683JBG5</t>
  </si>
  <si>
    <t>430434YH7</t>
  </si>
  <si>
    <t>2/7/2017</t>
  </si>
  <si>
    <t>12/30/2022</t>
  </si>
  <si>
    <t>430434YJ3</t>
  </si>
  <si>
    <t>12/30/2023</t>
  </si>
  <si>
    <t>430434YK0</t>
  </si>
  <si>
    <t>12/30/2024</t>
  </si>
  <si>
    <t>430883CL0</t>
  </si>
  <si>
    <t>430883CM8</t>
  </si>
  <si>
    <t>430883CN6</t>
  </si>
  <si>
    <t>434452LR7</t>
  </si>
  <si>
    <t>434452LS5</t>
  </si>
  <si>
    <t>434452LT3</t>
  </si>
  <si>
    <t>434452LU0</t>
  </si>
  <si>
    <t>434452LV8</t>
  </si>
  <si>
    <t>434830SB2</t>
  </si>
  <si>
    <t>434830SD8</t>
  </si>
  <si>
    <t>434830SE6</t>
  </si>
  <si>
    <t>602409KD5</t>
  </si>
  <si>
    <t>602409KG8</t>
  </si>
  <si>
    <t>602409KH6</t>
  </si>
  <si>
    <t>602771LK1</t>
  </si>
  <si>
    <t>Wood, TX</t>
  </si>
  <si>
    <t>602771LL9</t>
  </si>
  <si>
    <t>602771LM7</t>
  </si>
  <si>
    <t>602771LN5</t>
  </si>
  <si>
    <t>602771LP0</t>
  </si>
  <si>
    <t>399658GJ6</t>
  </si>
  <si>
    <t>399658GK3</t>
  </si>
  <si>
    <t>399658GL1</t>
  </si>
  <si>
    <t>399658GM9</t>
  </si>
  <si>
    <t>399658GN7</t>
  </si>
  <si>
    <t>400524JV7</t>
  </si>
  <si>
    <t>Guadalupe, TX</t>
  </si>
  <si>
    <t>400524JW5</t>
  </si>
  <si>
    <t>400524JX3</t>
  </si>
  <si>
    <t>400524JY1</t>
  </si>
  <si>
    <t>587091UN7</t>
  </si>
  <si>
    <t>462115RC2</t>
  </si>
  <si>
    <t>Ionia, MI</t>
  </si>
  <si>
    <t>462115RD0</t>
  </si>
  <si>
    <t>462115RE8</t>
  </si>
  <si>
    <t>462115RF5</t>
  </si>
  <si>
    <t>462115RG3</t>
  </si>
  <si>
    <t>463777Q96</t>
  </si>
  <si>
    <t>463777R20</t>
  </si>
  <si>
    <t>463777R38</t>
  </si>
  <si>
    <t>463777R46</t>
  </si>
  <si>
    <t>463777R53</t>
  </si>
  <si>
    <t>463777U59</t>
  </si>
  <si>
    <t>463777U67</t>
  </si>
  <si>
    <t>463777U75</t>
  </si>
  <si>
    <t>463777U83</t>
  </si>
  <si>
    <t>463777U91</t>
  </si>
  <si>
    <t>463777V25</t>
  </si>
  <si>
    <t>463831PP6</t>
  </si>
  <si>
    <t>463831PQ4</t>
  </si>
  <si>
    <t>463831PR2</t>
  </si>
  <si>
    <t>463831PS0</t>
  </si>
  <si>
    <t>463831PT8</t>
  </si>
  <si>
    <t>49140M4P1</t>
  </si>
  <si>
    <t>49140M4R7</t>
  </si>
  <si>
    <t>49140M4S5</t>
  </si>
  <si>
    <t>491863FN1</t>
  </si>
  <si>
    <t>Lee, IA</t>
  </si>
  <si>
    <t>492116DV7</t>
  </si>
  <si>
    <t>Swift, MN</t>
  </si>
  <si>
    <t>8/28/2017</t>
  </si>
  <si>
    <t>492116DW5</t>
  </si>
  <si>
    <t>492116DX3</t>
  </si>
  <si>
    <t>492116DY1</t>
  </si>
  <si>
    <t>492116DZ8</t>
  </si>
  <si>
    <t>493851AF6</t>
  </si>
  <si>
    <t>12/27/2017</t>
  </si>
  <si>
    <t>493851AG4</t>
  </si>
  <si>
    <t>494044KP4</t>
  </si>
  <si>
    <t>Gregg, TX</t>
  </si>
  <si>
    <t>494044KQ2</t>
  </si>
  <si>
    <t>494044KR0</t>
  </si>
  <si>
    <t>494044KS8</t>
  </si>
  <si>
    <t>392411AZ7</t>
  </si>
  <si>
    <t>Jefferson, CO</t>
  </si>
  <si>
    <t>393043DX9</t>
  </si>
  <si>
    <t>Carroll, AR</t>
  </si>
  <si>
    <t>1/18/2017</t>
  </si>
  <si>
    <t>393043DY7</t>
  </si>
  <si>
    <t>393731BB9</t>
  </si>
  <si>
    <t>393731BC7</t>
  </si>
  <si>
    <t>393731BD5</t>
  </si>
  <si>
    <t>394641MZ4</t>
  </si>
  <si>
    <t>394641NA8</t>
  </si>
  <si>
    <t>375064GY2</t>
  </si>
  <si>
    <t>Lee, TX</t>
  </si>
  <si>
    <t>7/15/2017</t>
  </si>
  <si>
    <t>375064GZ9</t>
  </si>
  <si>
    <t>375064HA3</t>
  </si>
  <si>
    <t>375064HB1</t>
  </si>
  <si>
    <t>375064HC9</t>
  </si>
  <si>
    <t>37517HCT5</t>
  </si>
  <si>
    <t>Pierce, WA</t>
  </si>
  <si>
    <t>37517HCU2</t>
  </si>
  <si>
    <t>37517HCV0</t>
  </si>
  <si>
    <t>37517HCW8</t>
  </si>
  <si>
    <t>37517HCX6</t>
  </si>
  <si>
    <t>376093BW9</t>
  </si>
  <si>
    <t>Hamilton, NE</t>
  </si>
  <si>
    <t>378136X42</t>
  </si>
  <si>
    <t>McLeod, MN</t>
  </si>
  <si>
    <t>378136X59</t>
  </si>
  <si>
    <t>378136X67</t>
  </si>
  <si>
    <t>378136X75</t>
  </si>
  <si>
    <t>378550YH4</t>
  </si>
  <si>
    <t>4/17/2017</t>
  </si>
  <si>
    <t>378550YJ0</t>
  </si>
  <si>
    <t>380270LK2</t>
  </si>
  <si>
    <t>380270LL0</t>
  </si>
  <si>
    <t>380270LM8</t>
  </si>
  <si>
    <t>380270LN6</t>
  </si>
  <si>
    <t>380270LP1</t>
  </si>
  <si>
    <t>382505KQ7</t>
  </si>
  <si>
    <t>RECREATIONAL FAC. IMPS. WATER UTILITY IMPS. PUBLIC IMPS.</t>
  </si>
  <si>
    <t>521769AF6</t>
  </si>
  <si>
    <t>521769AG4</t>
  </si>
  <si>
    <t>521769AH2</t>
  </si>
  <si>
    <t>521769AJ8</t>
  </si>
  <si>
    <t>521769AK5</t>
  </si>
  <si>
    <t>44780NAJ2</t>
  </si>
  <si>
    <t>44780NAK9</t>
  </si>
  <si>
    <t>47875PBR7</t>
  </si>
  <si>
    <t>47875PBS5</t>
  </si>
  <si>
    <t>47875PBT3</t>
  </si>
  <si>
    <t>47875PBU0</t>
  </si>
  <si>
    <t>47875PBW6</t>
  </si>
  <si>
    <t>47875PBX4</t>
  </si>
  <si>
    <t>47875PBY2</t>
  </si>
  <si>
    <t>47928TAG1</t>
  </si>
  <si>
    <t>479610DC8</t>
  </si>
  <si>
    <t>479610DD6</t>
  </si>
  <si>
    <t>4820975C2</t>
  </si>
  <si>
    <t>3/21/2017</t>
  </si>
  <si>
    <t>WATER UTILITY IMPS. SCHOOL IMPS. PUBLIC IMPS.</t>
  </si>
  <si>
    <t>4820975D0</t>
  </si>
  <si>
    <t>4820975E8</t>
  </si>
  <si>
    <t>4820976A5</t>
  </si>
  <si>
    <t>RECREATIONAL FAC. IMPS. WATER UTILITY IMPS. SCHOOL IMPS.</t>
  </si>
  <si>
    <t>4820976B3</t>
  </si>
  <si>
    <t>4820976C1</t>
  </si>
  <si>
    <t>44780NAF0</t>
  </si>
  <si>
    <t>44780NAG8</t>
  </si>
  <si>
    <t>44780NAH6</t>
  </si>
  <si>
    <t>448474NS1</t>
  </si>
  <si>
    <t>48872TAE0</t>
  </si>
  <si>
    <t>Kendall, TX</t>
  </si>
  <si>
    <t>48872TAF7</t>
  </si>
  <si>
    <t>48872TAG5</t>
  </si>
  <si>
    <t>590545YB9</t>
  </si>
  <si>
    <t>590545YD5</t>
  </si>
  <si>
    <t>59059CAH2</t>
  </si>
  <si>
    <t>5907747A7</t>
  </si>
  <si>
    <t>5907747B5</t>
  </si>
  <si>
    <t>5907747C3</t>
  </si>
  <si>
    <t>5907747D1</t>
  </si>
  <si>
    <t>395468KH3</t>
  </si>
  <si>
    <t>Guilford, NC</t>
  </si>
  <si>
    <t>395468KJ9</t>
  </si>
  <si>
    <t>395468KK6</t>
  </si>
  <si>
    <t>395468KL4</t>
  </si>
  <si>
    <t>395468KM2</t>
  </si>
  <si>
    <t>395874GB0</t>
  </si>
  <si>
    <t>Butler, AL</t>
  </si>
  <si>
    <t>395874GC8</t>
  </si>
  <si>
    <t>395874GD6</t>
  </si>
  <si>
    <t>397378FR6</t>
  </si>
  <si>
    <t>397378FS4</t>
  </si>
  <si>
    <t>397378FT2</t>
  </si>
  <si>
    <t>399064ES9</t>
  </si>
  <si>
    <t>ADVANCE REFUNDING WATER UTILITY IMPS. PUBLIC IMPS.</t>
  </si>
  <si>
    <t>399064ET7</t>
  </si>
  <si>
    <t>399064EU4</t>
  </si>
  <si>
    <t>399064EV2</t>
  </si>
  <si>
    <t>399064EW0</t>
  </si>
  <si>
    <t>399064EX8</t>
  </si>
  <si>
    <t>346900RK1</t>
  </si>
  <si>
    <t>346900RL9</t>
  </si>
  <si>
    <t>346900RM7</t>
  </si>
  <si>
    <t>346901WT4</t>
  </si>
  <si>
    <t>346901WU1</t>
  </si>
  <si>
    <t>347818AX4</t>
  </si>
  <si>
    <t>Weld, CO</t>
  </si>
  <si>
    <t>347818AY2</t>
  </si>
  <si>
    <t>347818AZ9</t>
  </si>
  <si>
    <t>347818BA3</t>
  </si>
  <si>
    <t>347818BB1</t>
  </si>
  <si>
    <t>347818BC9</t>
  </si>
  <si>
    <t>348838DX8</t>
  </si>
  <si>
    <t>348838DZ3</t>
  </si>
  <si>
    <t>348838EA7</t>
  </si>
  <si>
    <t>348838EB5</t>
  </si>
  <si>
    <t>34929MBB3</t>
  </si>
  <si>
    <t>Allen, IN</t>
  </si>
  <si>
    <t>34929MBC1</t>
  </si>
  <si>
    <t>34929MBD9</t>
  </si>
  <si>
    <t>34929MBE7</t>
  </si>
  <si>
    <t>34929MBF4</t>
  </si>
  <si>
    <t>34929MBG2</t>
  </si>
  <si>
    <t>524802DL6</t>
  </si>
  <si>
    <t>Lehigh, PA</t>
  </si>
  <si>
    <t>524802DM4</t>
  </si>
  <si>
    <t>524802DN2</t>
  </si>
  <si>
    <t>524802DP7</t>
  </si>
  <si>
    <t>524802DQ5</t>
  </si>
  <si>
    <t>405108RB9</t>
  </si>
  <si>
    <t>405108RD5</t>
  </si>
  <si>
    <t>405108RX1</t>
  </si>
  <si>
    <t>405108RZ6</t>
  </si>
  <si>
    <t>405108SA0</t>
  </si>
  <si>
    <t>406450ZV1</t>
  </si>
  <si>
    <t>406450ZX7</t>
  </si>
  <si>
    <t>406450ZY5</t>
  </si>
  <si>
    <t>407576EP8</t>
  </si>
  <si>
    <t>WATER UTILITY IMPS. RESOURCE RECOVERY IMPS. REFUNDING NOTES</t>
  </si>
  <si>
    <t>407576EQ6</t>
  </si>
  <si>
    <t>260183F78</t>
  </si>
  <si>
    <t>260655MA0</t>
  </si>
  <si>
    <t>39238R7A4</t>
  </si>
  <si>
    <t>39238R7C0</t>
  </si>
  <si>
    <t>39238R7E6</t>
  </si>
  <si>
    <t>58320LLK8</t>
  </si>
  <si>
    <t>58320LLL6</t>
  </si>
  <si>
    <t>58320LLM4</t>
  </si>
  <si>
    <t>45204EXR4</t>
  </si>
  <si>
    <t>45506DG58</t>
  </si>
  <si>
    <t>45506DG66</t>
  </si>
  <si>
    <t>45506DG82</t>
  </si>
  <si>
    <t>45506DG90</t>
  </si>
  <si>
    <t>45506DH24</t>
  </si>
  <si>
    <t>2/1/2028</t>
  </si>
  <si>
    <t>61370LDB0</t>
  </si>
  <si>
    <t>61370NEG4</t>
  </si>
  <si>
    <t>61370NEJ8</t>
  </si>
  <si>
    <t>61370PLN6</t>
  </si>
  <si>
    <t>61370RGG3</t>
  </si>
  <si>
    <t>61370YHS1</t>
  </si>
  <si>
    <t>613715NV9</t>
  </si>
  <si>
    <t>62719HZY3</t>
  </si>
  <si>
    <t>SCHOOL IMPS. WATER UTILITY IMPS.</t>
  </si>
  <si>
    <t>627298AE2</t>
  </si>
  <si>
    <t>Muscatine, IA</t>
  </si>
  <si>
    <t>627298AG7</t>
  </si>
  <si>
    <t>627298AJ1</t>
  </si>
  <si>
    <t>61371FJQ3</t>
  </si>
  <si>
    <t>61371TBD0</t>
  </si>
  <si>
    <t>61372GBF2</t>
  </si>
  <si>
    <t>509624NT5</t>
  </si>
  <si>
    <t>Washington, MN</t>
  </si>
  <si>
    <t>509624NU2</t>
  </si>
  <si>
    <t>509624NV0</t>
  </si>
  <si>
    <t>509640VJ4</t>
  </si>
  <si>
    <t>509640VK1</t>
  </si>
  <si>
    <t>509640VL9</t>
  </si>
  <si>
    <t>483278QX8</t>
  </si>
  <si>
    <t>Kalamazoo, MI</t>
  </si>
  <si>
    <t>5/2/2017</t>
  </si>
  <si>
    <t>483278QY6</t>
  </si>
  <si>
    <t>483278QZ3</t>
  </si>
  <si>
    <t>483278RA7</t>
  </si>
  <si>
    <t>483278RB5</t>
  </si>
  <si>
    <t>485116WR4</t>
  </si>
  <si>
    <t>485116WS2</t>
  </si>
  <si>
    <t>485116WT0</t>
  </si>
  <si>
    <t>485116WU7</t>
  </si>
  <si>
    <t>485818UP1</t>
  </si>
  <si>
    <t>Dodge, MN</t>
  </si>
  <si>
    <t>7/5/2017</t>
  </si>
  <si>
    <t>485818UQ9</t>
  </si>
  <si>
    <t>486189ES8</t>
  </si>
  <si>
    <t>Kaufman, TX</t>
  </si>
  <si>
    <t>486189ET6</t>
  </si>
  <si>
    <t>486189EU3</t>
  </si>
  <si>
    <t>486189EV1</t>
  </si>
  <si>
    <t>486189EW9</t>
  </si>
  <si>
    <t>486323EM6</t>
  </si>
  <si>
    <t>486323EN4</t>
  </si>
  <si>
    <t>486323EP9</t>
  </si>
  <si>
    <t>486323EQ7</t>
  </si>
  <si>
    <t>486323ER5</t>
  </si>
  <si>
    <t>593241BG6</t>
  </si>
  <si>
    <t>593241BH4</t>
  </si>
  <si>
    <t>593241BJ0</t>
  </si>
  <si>
    <t>593241BK7</t>
  </si>
  <si>
    <t>4876848B1</t>
  </si>
  <si>
    <t>4876848C9</t>
  </si>
  <si>
    <t>4876848D7</t>
  </si>
  <si>
    <t>4876848E5</t>
  </si>
  <si>
    <t>4876848F2</t>
  </si>
  <si>
    <t>488132FD8</t>
  </si>
  <si>
    <t>5/3/2017</t>
  </si>
  <si>
    <t>488132FE6</t>
  </si>
  <si>
    <t>488132FF3</t>
  </si>
  <si>
    <t>488133CB3</t>
  </si>
  <si>
    <t>488133CC1</t>
  </si>
  <si>
    <t>488133CD9</t>
  </si>
  <si>
    <t>613834GQ7</t>
  </si>
  <si>
    <t>Kendall, IL</t>
  </si>
  <si>
    <t>613834GR5</t>
  </si>
  <si>
    <t>613834GS3</t>
  </si>
  <si>
    <t>613834GT1</t>
  </si>
  <si>
    <t>613924LC1</t>
  </si>
  <si>
    <t>495322AX7</t>
  </si>
  <si>
    <t>King, WA</t>
  </si>
  <si>
    <t>7/6/2017</t>
  </si>
  <si>
    <t>495322AY5</t>
  </si>
  <si>
    <t>495322AZ2</t>
  </si>
  <si>
    <t>495322BA6</t>
  </si>
  <si>
    <t>495322BB4</t>
  </si>
  <si>
    <t>496443SW3</t>
  </si>
  <si>
    <t>Sullivan, TN</t>
  </si>
  <si>
    <t>9/8/2017</t>
  </si>
  <si>
    <t>496443SX1</t>
  </si>
  <si>
    <t>496443SY9</t>
  </si>
  <si>
    <t>499291FD9</t>
  </si>
  <si>
    <t>Knox, TN</t>
  </si>
  <si>
    <t>499291FE7</t>
  </si>
  <si>
    <t>499291FF4</t>
  </si>
  <si>
    <t>499291FG2</t>
  </si>
  <si>
    <t>499818L34</t>
  </si>
  <si>
    <t>499818L42</t>
  </si>
  <si>
    <t>499818L59</t>
  </si>
  <si>
    <t>622503UZ1</t>
  </si>
  <si>
    <t>514489DF7</t>
  </si>
  <si>
    <t>622634FC2</t>
  </si>
  <si>
    <t>Charleston, SC</t>
  </si>
  <si>
    <t>622634FE8</t>
  </si>
  <si>
    <t>622634FF5</t>
  </si>
  <si>
    <t>622634FG3</t>
  </si>
  <si>
    <t>622826UW3</t>
  </si>
  <si>
    <t>12/20/2017</t>
  </si>
  <si>
    <t>WATER UTILITY IMPS. SEWER IMPS. MISC. PURPOSES</t>
  </si>
  <si>
    <t>61370LDC8</t>
  </si>
  <si>
    <t>61370NEH2</t>
  </si>
  <si>
    <t>61370PLP1</t>
  </si>
  <si>
    <t>61370RGH1</t>
  </si>
  <si>
    <t>61370YHR3</t>
  </si>
  <si>
    <t>61370YHT9</t>
  </si>
  <si>
    <t>613715NU1</t>
  </si>
  <si>
    <t>62719HZX5</t>
  </si>
  <si>
    <t>62719HZZ0</t>
  </si>
  <si>
    <t>627298AF9</t>
  </si>
  <si>
    <t>627298AH5</t>
  </si>
  <si>
    <t>61371FJP5</t>
  </si>
  <si>
    <t>61371TBE8</t>
  </si>
  <si>
    <t>61372GBE5</t>
  </si>
  <si>
    <t>6490245S1</t>
  </si>
  <si>
    <t>6490245R3</t>
  </si>
  <si>
    <t>6490245T9</t>
  </si>
  <si>
    <t>407576ER4</t>
  </si>
  <si>
    <t>407576ES2</t>
  </si>
  <si>
    <t>407576ET0</t>
  </si>
  <si>
    <t>586226HH8</t>
  </si>
  <si>
    <t>Shelby, TN</t>
  </si>
  <si>
    <t>586226HK1</t>
  </si>
  <si>
    <t>586226HL9</t>
  </si>
  <si>
    <t>586226HM7</t>
  </si>
  <si>
    <t>586810YF4</t>
  </si>
  <si>
    <t>586810YG2</t>
  </si>
  <si>
    <t>586810ZY2</t>
  </si>
  <si>
    <t>586810ZZ9</t>
  </si>
  <si>
    <t>587091UP2</t>
  </si>
  <si>
    <t>587091UR8</t>
  </si>
  <si>
    <t>611190EM7</t>
  </si>
  <si>
    <t>611190EQ8</t>
  </si>
  <si>
    <t>586226HG0</t>
  </si>
  <si>
    <t>586226HJ4</t>
  </si>
  <si>
    <t>586810A29</t>
  </si>
  <si>
    <t>551803CK3</t>
  </si>
  <si>
    <t>9/7/2017</t>
  </si>
  <si>
    <t>552048QA1</t>
  </si>
  <si>
    <t>552048QB9</t>
  </si>
  <si>
    <t>64985HXL6</t>
  </si>
  <si>
    <t>64985HXQ5</t>
  </si>
  <si>
    <t>64985HXS1</t>
  </si>
  <si>
    <t>64985HXT9</t>
  </si>
  <si>
    <t>64985HXU6</t>
  </si>
  <si>
    <t>64985HXV4</t>
  </si>
  <si>
    <t>64985HXW2</t>
  </si>
  <si>
    <t>64986DFC4</t>
  </si>
  <si>
    <t>580441FS7</t>
  </si>
  <si>
    <t>581714VM1</t>
  </si>
  <si>
    <t>580441FT5</t>
  </si>
  <si>
    <t>581714VN9</t>
  </si>
  <si>
    <t>581714VR0</t>
  </si>
  <si>
    <t>717087E97</t>
  </si>
  <si>
    <t>717087F39</t>
  </si>
  <si>
    <t>717087F47</t>
  </si>
  <si>
    <t>717087F54</t>
  </si>
  <si>
    <t>717087F62</t>
  </si>
  <si>
    <t>717087J76</t>
  </si>
  <si>
    <t>717087J92</t>
  </si>
  <si>
    <t>717087K33</t>
  </si>
  <si>
    <t>576051QY5</t>
  </si>
  <si>
    <t>576051RA6</t>
  </si>
  <si>
    <t>577030KW8</t>
  </si>
  <si>
    <t>577030KY4</t>
  </si>
  <si>
    <t>577030KZ1</t>
  </si>
  <si>
    <t>63045RAJ4</t>
  </si>
  <si>
    <t>63045RAK1</t>
  </si>
  <si>
    <t>791740E82</t>
  </si>
  <si>
    <t>791740E90</t>
  </si>
  <si>
    <t>800086GS3</t>
  </si>
  <si>
    <t>800086GT1</t>
  </si>
  <si>
    <t>800086GU8</t>
  </si>
  <si>
    <t>800876FU3</t>
  </si>
  <si>
    <t>800876FV1</t>
  </si>
  <si>
    <t>800876FW9</t>
  </si>
  <si>
    <t>800876FX7</t>
  </si>
  <si>
    <t>80168FMT0</t>
  </si>
  <si>
    <t>798465EZ9</t>
  </si>
  <si>
    <t>798465FA3</t>
  </si>
  <si>
    <t>798465FB1</t>
  </si>
  <si>
    <t>798569BU2</t>
  </si>
  <si>
    <t>798569BW8</t>
  </si>
  <si>
    <t>660459MV7</t>
  </si>
  <si>
    <t>Johnson, IA</t>
  </si>
  <si>
    <t>5/30/2017</t>
  </si>
  <si>
    <t>PUBLIC IMPS. WATER UTILITY IMPS. CURRENT REFUNDING</t>
  </si>
  <si>
    <t>660459MW5</t>
  </si>
  <si>
    <t>702592BB1</t>
  </si>
  <si>
    <t>702592BC9</t>
  </si>
  <si>
    <t>702592BD7</t>
  </si>
  <si>
    <t>702592BF2</t>
  </si>
  <si>
    <t>702592BG0</t>
  </si>
  <si>
    <t>702594AE2</t>
  </si>
  <si>
    <t>702594AF9</t>
  </si>
  <si>
    <t>702594AG7</t>
  </si>
  <si>
    <t>702594AH5</t>
  </si>
  <si>
    <t>702594AJ1</t>
  </si>
  <si>
    <t>702594AK8</t>
  </si>
  <si>
    <t>702594BA9</t>
  </si>
  <si>
    <t>702594BB7</t>
  </si>
  <si>
    <t>702594BC5</t>
  </si>
  <si>
    <t>702594BD3</t>
  </si>
  <si>
    <t>702594BE1</t>
  </si>
  <si>
    <t>702594BF8</t>
  </si>
  <si>
    <t>702597BX2</t>
  </si>
  <si>
    <t>702597BY0</t>
  </si>
  <si>
    <t>702597BZ7</t>
  </si>
  <si>
    <t>702597CA1</t>
  </si>
  <si>
    <t>702597CC7</t>
  </si>
  <si>
    <t>70259PCZ6</t>
  </si>
  <si>
    <t>RECREATIONAL FAC. IMPS. WATER UTILITY IMPS. SEWER IMPS.</t>
  </si>
  <si>
    <t>70259PDA0</t>
  </si>
  <si>
    <t>70259PDB8</t>
  </si>
  <si>
    <t>70259PDC6</t>
  </si>
  <si>
    <t>70259PDD4</t>
  </si>
  <si>
    <t>70259PDE2</t>
  </si>
  <si>
    <t>70438YAE0</t>
  </si>
  <si>
    <t>ID</t>
  </si>
  <si>
    <t>Valley, ID</t>
  </si>
  <si>
    <t>70438YAF7</t>
  </si>
  <si>
    <t>70438YAG5</t>
  </si>
  <si>
    <t>70438YAH3</t>
  </si>
  <si>
    <t>70438YAJ9</t>
  </si>
  <si>
    <t>705116SG7</t>
  </si>
  <si>
    <t>705116SH5</t>
  </si>
  <si>
    <t>705116SJ1</t>
  </si>
  <si>
    <t>70529MCQ7</t>
  </si>
  <si>
    <t>Cass, MO</t>
  </si>
  <si>
    <t>70529MCR5</t>
  </si>
  <si>
    <t>70529MCS3</t>
  </si>
  <si>
    <t>70529MCT1</t>
  </si>
  <si>
    <t>70529MCU8</t>
  </si>
  <si>
    <t>786071MG2</t>
  </si>
  <si>
    <t>PUBLIC FACILITIES WATER UTILITY IMPS. SEWER IMPS.</t>
  </si>
  <si>
    <t>786071MH0</t>
  </si>
  <si>
    <t>786071MJ6</t>
  </si>
  <si>
    <t>786089HF2</t>
  </si>
  <si>
    <t>786089HG0</t>
  </si>
  <si>
    <t>786089HH8</t>
  </si>
  <si>
    <t>786089HJ4</t>
  </si>
  <si>
    <t>786089HK1</t>
  </si>
  <si>
    <t>786089HL9</t>
  </si>
  <si>
    <t>791740E66</t>
  </si>
  <si>
    <t>791740E74</t>
  </si>
  <si>
    <t>659666VZ1</t>
  </si>
  <si>
    <t>659666WA5</t>
  </si>
  <si>
    <t>659666WC1</t>
  </si>
  <si>
    <t>659666XF3</t>
  </si>
  <si>
    <t>659666XG1</t>
  </si>
  <si>
    <t>659666XJ5</t>
  </si>
  <si>
    <t>66416DFU9</t>
  </si>
  <si>
    <t>66416DFV7</t>
  </si>
  <si>
    <t>66416DFW5</t>
  </si>
  <si>
    <t>664387MX2</t>
  </si>
  <si>
    <t>664387MY0</t>
  </si>
  <si>
    <t>664387MZ7</t>
  </si>
  <si>
    <t>666412CW9</t>
  </si>
  <si>
    <t>666412CX7</t>
  </si>
  <si>
    <t>666412CY5</t>
  </si>
  <si>
    <t>675568CU1</t>
  </si>
  <si>
    <t>Oconee, GA</t>
  </si>
  <si>
    <t>10/17/2017</t>
  </si>
  <si>
    <t>675568CV9</t>
  </si>
  <si>
    <t>675568CW7</t>
  </si>
  <si>
    <t>675568CX5</t>
  </si>
  <si>
    <t>686628VH8</t>
  </si>
  <si>
    <t>686628VJ4</t>
  </si>
  <si>
    <t>686628VL9</t>
  </si>
  <si>
    <t>686628VM7</t>
  </si>
  <si>
    <t>686628VN5</t>
  </si>
  <si>
    <t>688058BH8</t>
  </si>
  <si>
    <t>Clarke, IA</t>
  </si>
  <si>
    <t>688058BJ4</t>
  </si>
  <si>
    <t>688259MA5</t>
  </si>
  <si>
    <t>688259MB3</t>
  </si>
  <si>
    <t>688259MC1</t>
  </si>
  <si>
    <t>688259MD9</t>
  </si>
  <si>
    <t>688259ME7</t>
  </si>
  <si>
    <t>689461VT5</t>
  </si>
  <si>
    <t>Franklin, KS</t>
  </si>
  <si>
    <t>689461VU2</t>
  </si>
  <si>
    <t>689461VV0</t>
  </si>
  <si>
    <t>691616PU4</t>
  </si>
  <si>
    <t>Lafayette, MS</t>
  </si>
  <si>
    <t>691616PV2</t>
  </si>
  <si>
    <t>691616PW0</t>
  </si>
  <si>
    <t>691616PX8</t>
  </si>
  <si>
    <t>691616PY6</t>
  </si>
  <si>
    <t>691616PZ3</t>
  </si>
  <si>
    <t>785751PM4</t>
  </si>
  <si>
    <t>717741CJ9</t>
  </si>
  <si>
    <t>717741CK6</t>
  </si>
  <si>
    <t>717741CM2</t>
  </si>
  <si>
    <t>717741CN0</t>
  </si>
  <si>
    <t>71861PBA0</t>
  </si>
  <si>
    <t>Price, WI</t>
  </si>
  <si>
    <t>71861PBB8</t>
  </si>
  <si>
    <t>721340DL8</t>
  </si>
  <si>
    <t>Pike, KY</t>
  </si>
  <si>
    <t>721340DM6</t>
  </si>
  <si>
    <t>721340DN4</t>
  </si>
  <si>
    <t>721340DP9</t>
  </si>
  <si>
    <t>721340DQ7</t>
  </si>
  <si>
    <t>721340DR5</t>
  </si>
  <si>
    <t>721595GR1</t>
  </si>
  <si>
    <t>721595GS9</t>
  </si>
  <si>
    <t>721595GT7</t>
  </si>
  <si>
    <t>721595GU4</t>
  </si>
  <si>
    <t>776195FX2</t>
  </si>
  <si>
    <t>776195FY0</t>
  </si>
  <si>
    <t>776195FZ7</t>
  </si>
  <si>
    <t>7776284J4</t>
  </si>
  <si>
    <t>7776284K1</t>
  </si>
  <si>
    <t>778561JW1</t>
  </si>
  <si>
    <t>Chaves, NM</t>
  </si>
  <si>
    <t>2/21/2017</t>
  </si>
  <si>
    <t>778561JY7</t>
  </si>
  <si>
    <t>778561JZ4</t>
  </si>
  <si>
    <t>780860JL7</t>
  </si>
  <si>
    <t>Rockwall, TX</t>
  </si>
  <si>
    <t>780860JN3</t>
  </si>
  <si>
    <t>780860JP8</t>
  </si>
  <si>
    <t>785751PN2</t>
  </si>
  <si>
    <t>785751PP7</t>
  </si>
  <si>
    <t>785751PQ5</t>
  </si>
  <si>
    <t>604146DS6</t>
  </si>
  <si>
    <t>Ramsey, MN</t>
  </si>
  <si>
    <t>FED TAXABLE/ST TAXABLE</t>
  </si>
  <si>
    <t>604146DT4</t>
  </si>
  <si>
    <t>604146DV9</t>
  </si>
  <si>
    <t>7776284H8</t>
  </si>
  <si>
    <t>7776284L9</t>
  </si>
  <si>
    <t>7776284M7</t>
  </si>
  <si>
    <t>778561JX9</t>
  </si>
  <si>
    <t>780860JK9</t>
  </si>
  <si>
    <t>780860JM5</t>
  </si>
  <si>
    <t>52109HGR8</t>
  </si>
  <si>
    <t>52109HGS6</t>
  </si>
  <si>
    <t>521453WU0</t>
  </si>
  <si>
    <t>Le Sueur, MN</t>
  </si>
  <si>
    <t>8/10/2017</t>
  </si>
  <si>
    <t>521453WV8</t>
  </si>
  <si>
    <t>521453WW6</t>
  </si>
  <si>
    <t>551803CJ6</t>
  </si>
  <si>
    <t>551803CL1</t>
  </si>
  <si>
    <t>551803CM9</t>
  </si>
  <si>
    <t>551803CN7</t>
  </si>
  <si>
    <t>552048PY0</t>
  </si>
  <si>
    <t>552048PZ7</t>
  </si>
  <si>
    <t>716418AX6</t>
  </si>
  <si>
    <t>Emmet, MI</t>
  </si>
  <si>
    <t>716418AY4</t>
  </si>
  <si>
    <t>716418AZ1</t>
  </si>
  <si>
    <t>716418BA5</t>
  </si>
  <si>
    <t>716418BB3</t>
  </si>
  <si>
    <t>713253CP5</t>
  </si>
  <si>
    <t>713253CQ3</t>
  </si>
  <si>
    <t>713253CR1</t>
  </si>
  <si>
    <t>713253CS9</t>
  </si>
  <si>
    <t>56782UAR0</t>
  </si>
  <si>
    <t>Marin, CA</t>
  </si>
  <si>
    <t>6457918A5</t>
  </si>
  <si>
    <t>6457918C1</t>
  </si>
  <si>
    <t>64579SAY1</t>
  </si>
  <si>
    <t>64579SBB0</t>
  </si>
  <si>
    <t>64579SCE3</t>
  </si>
  <si>
    <t>56782UAS8</t>
  </si>
  <si>
    <t>56782UAT6</t>
  </si>
  <si>
    <t>56782UAU3</t>
  </si>
  <si>
    <t>6457918E7</t>
  </si>
  <si>
    <t>64579SAX3</t>
  </si>
  <si>
    <t>64579SBA2</t>
  </si>
  <si>
    <t>64579SBC8</t>
  </si>
  <si>
    <t>64579SCC7</t>
  </si>
  <si>
    <t>64579SCF0</t>
  </si>
  <si>
    <t>64579SCG8</t>
  </si>
  <si>
    <t>516768JL3</t>
  </si>
  <si>
    <t>517039UD3</t>
  </si>
  <si>
    <t>517039UF8</t>
  </si>
  <si>
    <t>53746QAE0</t>
  </si>
  <si>
    <t>53746QAG5</t>
  </si>
  <si>
    <t>517708WP4</t>
  </si>
  <si>
    <t>517708WQ2</t>
  </si>
  <si>
    <t>517708WR0</t>
  </si>
  <si>
    <t>517708WS8</t>
  </si>
  <si>
    <t>517708WT6</t>
  </si>
  <si>
    <t>51778EAF9</t>
  </si>
  <si>
    <t>8/2/2017</t>
  </si>
  <si>
    <t>51778EAG7</t>
  </si>
  <si>
    <t>51778EAH5</t>
  </si>
  <si>
    <t>51778EAJ1</t>
  </si>
  <si>
    <t>51778EAK8</t>
  </si>
  <si>
    <t>518799BX8</t>
  </si>
  <si>
    <t>Jones, MS</t>
  </si>
  <si>
    <t>518799BY6</t>
  </si>
  <si>
    <t>518799BZ3</t>
  </si>
  <si>
    <t>518799CA7</t>
  </si>
  <si>
    <t>518799CB5</t>
  </si>
  <si>
    <t>520192PY5</t>
  </si>
  <si>
    <t>Douglas, KS</t>
  </si>
  <si>
    <t>520192PZ2</t>
  </si>
  <si>
    <t>520192QA6</t>
  </si>
  <si>
    <t>520192QB4</t>
  </si>
  <si>
    <t>520192QC2</t>
  </si>
  <si>
    <t>514489DE0</t>
  </si>
  <si>
    <t>514489DG5</t>
  </si>
  <si>
    <t>515723LS1</t>
  </si>
  <si>
    <t>516768JH2</t>
  </si>
  <si>
    <t>516768JK5</t>
  </si>
  <si>
    <t>517039UC5</t>
  </si>
  <si>
    <t>517039UE1</t>
  </si>
  <si>
    <t>53746QAF7</t>
  </si>
  <si>
    <t>53746QAH3</t>
  </si>
  <si>
    <t>52109HGT4</t>
  </si>
  <si>
    <t>521453WT3</t>
  </si>
  <si>
    <t>521453WX4</t>
  </si>
  <si>
    <t>549188D56</t>
  </si>
  <si>
    <t>549188D72</t>
  </si>
  <si>
    <t>549188D80</t>
  </si>
  <si>
    <t>549188D98</t>
  </si>
  <si>
    <t>611190EL9</t>
  </si>
  <si>
    <t>611190EN5</t>
  </si>
  <si>
    <t>611190EP0</t>
  </si>
  <si>
    <t>622503UX6</t>
  </si>
  <si>
    <t>622634FD0</t>
  </si>
  <si>
    <t>622826UU7</t>
  </si>
  <si>
    <t>622826UV5</t>
  </si>
  <si>
    <t>622826UX1</t>
  </si>
  <si>
    <t>56782UAV1</t>
  </si>
  <si>
    <t>6457918D9</t>
  </si>
  <si>
    <t>64579SAZ8</t>
  </si>
  <si>
    <t>64579SCH6</t>
  </si>
  <si>
    <t>667900FM1</t>
  </si>
  <si>
    <t>667900FN9</t>
  </si>
  <si>
    <t>667910GA5</t>
  </si>
  <si>
    <t>669045PZ3</t>
  </si>
  <si>
    <t>Warren, IA</t>
  </si>
  <si>
    <t>1/3/2017</t>
  </si>
  <si>
    <t>669045QR0</t>
  </si>
  <si>
    <t>667488QU7</t>
  </si>
  <si>
    <t>667488QV5</t>
  </si>
  <si>
    <t>667489GL6</t>
  </si>
  <si>
    <t>667489GM4</t>
  </si>
  <si>
    <t>667900FL3</t>
  </si>
  <si>
    <t>669045QA7</t>
  </si>
  <si>
    <t>669045QQ2</t>
  </si>
  <si>
    <t>641462BA3</t>
  </si>
  <si>
    <t>Carson City, NV</t>
  </si>
  <si>
    <t>641462BB1</t>
  </si>
  <si>
    <t>641462BC9</t>
  </si>
  <si>
    <t>641462BD7</t>
  </si>
  <si>
    <t>641462BE5</t>
  </si>
  <si>
    <t>641462DK9</t>
  </si>
  <si>
    <t>641462DL7</t>
  </si>
  <si>
    <t>641462DM5</t>
  </si>
  <si>
    <t>641462DN3</t>
  </si>
  <si>
    <t>641462DP8</t>
  </si>
  <si>
    <t>641462DQ6</t>
  </si>
  <si>
    <t>739545MQ1</t>
  </si>
  <si>
    <t>765531EZ7</t>
  </si>
  <si>
    <t>765531FC7</t>
  </si>
  <si>
    <t>765531FA1</t>
  </si>
  <si>
    <t>604146DR8</t>
  </si>
  <si>
    <t>604146DU1</t>
  </si>
  <si>
    <t>575829DD5</t>
  </si>
  <si>
    <t>924258X68</t>
  </si>
  <si>
    <t>924258Y34</t>
  </si>
  <si>
    <t>925088VK9</t>
  </si>
  <si>
    <t>95942TFV4</t>
  </si>
  <si>
    <t>95942TFW2</t>
  </si>
  <si>
    <t>95942TFX0</t>
  </si>
  <si>
    <t>863813CE9</t>
  </si>
  <si>
    <t>Guthrie, IA</t>
  </si>
  <si>
    <t>ELEC. LT. &amp; PWR. IMPTS. WATER UTILITY IMPS. CURRENT REFUNDING</t>
  </si>
  <si>
    <t>863813CF6</t>
  </si>
  <si>
    <t>863813CG4</t>
  </si>
  <si>
    <t>864881QX8</t>
  </si>
  <si>
    <t>864881QY6</t>
  </si>
  <si>
    <t>864881QZ3</t>
  </si>
  <si>
    <t>864881RA7</t>
  </si>
  <si>
    <t>864881RB5</t>
  </si>
  <si>
    <t>865525TJ8</t>
  </si>
  <si>
    <t>Hopkins, TX</t>
  </si>
  <si>
    <t>865525TK5</t>
  </si>
  <si>
    <t>865525TL3</t>
  </si>
  <si>
    <t>865525TM1</t>
  </si>
  <si>
    <t>865525TN9</t>
  </si>
  <si>
    <t>865525TP4</t>
  </si>
  <si>
    <t>867343GW9</t>
  </si>
  <si>
    <t>867343GX7</t>
  </si>
  <si>
    <t>867343GY5</t>
  </si>
  <si>
    <t>91529NGG9</t>
  </si>
  <si>
    <t>91529NGH7</t>
  </si>
  <si>
    <t>91529NGJ3</t>
  </si>
  <si>
    <t>915489XZ6</t>
  </si>
  <si>
    <t>Franklin, OH</t>
  </si>
  <si>
    <t>1/10/2017</t>
  </si>
  <si>
    <t>915489YA0</t>
  </si>
  <si>
    <t>915489YB8</t>
  </si>
  <si>
    <t>915489YC6</t>
  </si>
  <si>
    <t>97000RHS8</t>
  </si>
  <si>
    <t>2/28/2017</t>
  </si>
  <si>
    <t>97000RHT6</t>
  </si>
  <si>
    <t>97000RHU3</t>
  </si>
  <si>
    <t>97000VCD7</t>
  </si>
  <si>
    <t>97000VCE5</t>
  </si>
  <si>
    <t>97000VCF2</t>
  </si>
  <si>
    <t>97000WDF9</t>
  </si>
  <si>
    <t>97000WDG7</t>
  </si>
  <si>
    <t>97000WDH5</t>
  </si>
  <si>
    <t>97001LCL0</t>
  </si>
  <si>
    <t>97001LCM8</t>
  </si>
  <si>
    <t>97001LCN6</t>
  </si>
  <si>
    <t>953837FU0</t>
  </si>
  <si>
    <t>953837FV8</t>
  </si>
  <si>
    <t>953837FW6</t>
  </si>
  <si>
    <t>954736HU1</t>
  </si>
  <si>
    <t>954736HV9</t>
  </si>
  <si>
    <t>954736HW7</t>
  </si>
  <si>
    <t>954736HX5</t>
  </si>
  <si>
    <t>954736HY3</t>
  </si>
  <si>
    <t>955656QJ5</t>
  </si>
  <si>
    <t>Yolo, CA</t>
  </si>
  <si>
    <t>9/6/2017</t>
  </si>
  <si>
    <t>955656QK2</t>
  </si>
  <si>
    <t>955656QL0</t>
  </si>
  <si>
    <t>955656QM8</t>
  </si>
  <si>
    <t>955656QN6</t>
  </si>
  <si>
    <t>955656QP1</t>
  </si>
  <si>
    <t>955657CM1</t>
  </si>
  <si>
    <t>955657CN9</t>
  </si>
  <si>
    <t>955657CP4</t>
  </si>
  <si>
    <t>955657CQ2</t>
  </si>
  <si>
    <t>955657CR0</t>
  </si>
  <si>
    <t>955657CS8</t>
  </si>
  <si>
    <t>956875AD0</t>
  </si>
  <si>
    <t>956875AE8</t>
  </si>
  <si>
    <t>956875AF5</t>
  </si>
  <si>
    <t>95736U3G7</t>
  </si>
  <si>
    <t>95736U3H5</t>
  </si>
  <si>
    <t>95736U3J1</t>
  </si>
  <si>
    <t>95736U3K8</t>
  </si>
  <si>
    <t>95736U3L6</t>
  </si>
  <si>
    <t>882724AZ0</t>
  </si>
  <si>
    <t>882724BC0</t>
  </si>
  <si>
    <t>882724BD8</t>
  </si>
  <si>
    <t>882854YW6</t>
  </si>
  <si>
    <t>882854YX4</t>
  </si>
  <si>
    <t>882854YZ9</t>
  </si>
  <si>
    <t>882854ZA3</t>
  </si>
  <si>
    <t>882854ZW5</t>
  </si>
  <si>
    <t>883815P63</t>
  </si>
  <si>
    <t>Pennington, MN</t>
  </si>
  <si>
    <t>883815P71</t>
  </si>
  <si>
    <t>883815P89</t>
  </si>
  <si>
    <t>883815P97</t>
  </si>
  <si>
    <t>883815S52</t>
  </si>
  <si>
    <t>883815S60</t>
  </si>
  <si>
    <t>883815S78</t>
  </si>
  <si>
    <t>967338C51</t>
  </si>
  <si>
    <t>967338C77</t>
  </si>
  <si>
    <t>967338C85</t>
  </si>
  <si>
    <t>967792EG3</t>
  </si>
  <si>
    <t>967792EH1</t>
  </si>
  <si>
    <t>967792EJ7</t>
  </si>
  <si>
    <t>968546LU3</t>
  </si>
  <si>
    <t>4/26/2017</t>
  </si>
  <si>
    <t>970007PC8</t>
  </si>
  <si>
    <t>970007PD6</t>
  </si>
  <si>
    <t>970007PE4</t>
  </si>
  <si>
    <t>898797EB7</t>
  </si>
  <si>
    <t>898797EE1</t>
  </si>
  <si>
    <t>899138AE1</t>
  </si>
  <si>
    <t>899138AG6</t>
  </si>
  <si>
    <t>899138AH4</t>
  </si>
  <si>
    <t>899138AJ0</t>
  </si>
  <si>
    <t>900574BM5</t>
  </si>
  <si>
    <t>Broward, FL</t>
  </si>
  <si>
    <t>ECONOMIC IMPTS. WATER UTILITY IMPS.</t>
  </si>
  <si>
    <t>900574BQ6</t>
  </si>
  <si>
    <t>900574BS2</t>
  </si>
  <si>
    <t>5/1/2028</t>
  </si>
  <si>
    <t>869322BV8</t>
  </si>
  <si>
    <t>869322BW6</t>
  </si>
  <si>
    <t>869322BX4</t>
  </si>
  <si>
    <t>869322BY2</t>
  </si>
  <si>
    <t>870360DC5</t>
  </si>
  <si>
    <t>870360DD3</t>
  </si>
  <si>
    <t>870360DK7</t>
  </si>
  <si>
    <t>870360DL5</t>
  </si>
  <si>
    <t>870441CL4</t>
  </si>
  <si>
    <t>12/12/2017</t>
  </si>
  <si>
    <t>870441CM2</t>
  </si>
  <si>
    <t>870441CN0</t>
  </si>
  <si>
    <t>870441CP5</t>
  </si>
  <si>
    <t>870441CQ3</t>
  </si>
  <si>
    <t>870441CR1</t>
  </si>
  <si>
    <t>942809GJ7</t>
  </si>
  <si>
    <t>942809GK4</t>
  </si>
  <si>
    <t>942809GL2</t>
  </si>
  <si>
    <t>943384AZ0</t>
  </si>
  <si>
    <t>Marathon, WI</t>
  </si>
  <si>
    <t>943384BA4</t>
  </si>
  <si>
    <t>943384BB2</t>
  </si>
  <si>
    <t>943384BC0</t>
  </si>
  <si>
    <t>943384BD8</t>
  </si>
  <si>
    <t>943521PJ7</t>
  </si>
  <si>
    <t>943521PK4</t>
  </si>
  <si>
    <t>943521PL2</t>
  </si>
  <si>
    <t>943521PM0</t>
  </si>
  <si>
    <t>944216H78</t>
  </si>
  <si>
    <t>944216H94</t>
  </si>
  <si>
    <t>961301A57</t>
  </si>
  <si>
    <t>Fairfield, CT</t>
  </si>
  <si>
    <t>5/19/2017</t>
  </si>
  <si>
    <t>894758BR1</t>
  </si>
  <si>
    <t>Tazewell, IL</t>
  </si>
  <si>
    <t>894758BS9</t>
  </si>
  <si>
    <t>894758BT7</t>
  </si>
  <si>
    <t>895139GM9</t>
  </si>
  <si>
    <t>895139GN7</t>
  </si>
  <si>
    <t>89657PHB2</t>
  </si>
  <si>
    <t>89658HUQ1</t>
  </si>
  <si>
    <t>8800642C3</t>
  </si>
  <si>
    <t>8800642F6</t>
  </si>
  <si>
    <t>8800642G4</t>
  </si>
  <si>
    <t>880162ES7</t>
  </si>
  <si>
    <t>961301A32</t>
  </si>
  <si>
    <t>961301A40</t>
  </si>
  <si>
    <t>894758BU4</t>
  </si>
  <si>
    <t>894758BV2</t>
  </si>
  <si>
    <t>895139GL1</t>
  </si>
  <si>
    <t>895139GQ0</t>
  </si>
  <si>
    <t>89657PHA4</t>
  </si>
  <si>
    <t>89657PHD8</t>
  </si>
  <si>
    <t>89657PHE6</t>
  </si>
  <si>
    <t>89658HUU2</t>
  </si>
  <si>
    <t>89658HUX6</t>
  </si>
  <si>
    <t>898797ED3</t>
  </si>
  <si>
    <t>898797EF8</t>
  </si>
  <si>
    <t>899656QQ8</t>
  </si>
  <si>
    <t>900574BN3</t>
  </si>
  <si>
    <t>900574BP8</t>
  </si>
  <si>
    <t>900574BR4</t>
  </si>
  <si>
    <t>98618FAF1</t>
  </si>
  <si>
    <t>98618FAK0</t>
  </si>
  <si>
    <t>944216H86</t>
  </si>
  <si>
    <t>946732DW1</t>
  </si>
  <si>
    <t>7/27/2017</t>
  </si>
  <si>
    <t>945857BM1</t>
  </si>
  <si>
    <t>Wayne, NY</t>
  </si>
  <si>
    <t>945857BN9</t>
  </si>
  <si>
    <t>945857BP4</t>
  </si>
  <si>
    <t>945857BQ2</t>
  </si>
  <si>
    <t>945857BR0</t>
  </si>
  <si>
    <t>946732DV3</t>
  </si>
  <si>
    <t>946732DX9</t>
  </si>
  <si>
    <t>906400DW3</t>
  </si>
  <si>
    <t>906400DU7</t>
  </si>
  <si>
    <t>792716AU6</t>
  </si>
  <si>
    <t>Elk, PA</t>
  </si>
  <si>
    <t>940157P38</t>
  </si>
  <si>
    <t>940197AF3</t>
  </si>
  <si>
    <t>940197AH9</t>
  </si>
  <si>
    <t>977810GE4</t>
  </si>
  <si>
    <t>977810GF1</t>
  </si>
  <si>
    <t>977810GG9</t>
  </si>
  <si>
    <t>978642BG0</t>
  </si>
  <si>
    <t>978642BH8</t>
  </si>
  <si>
    <t>978642CF1</t>
  </si>
  <si>
    <t>978642CG9</t>
  </si>
  <si>
    <t>979149FX4</t>
  </si>
  <si>
    <t>979149FY2</t>
  </si>
  <si>
    <t>979149FZ9</t>
  </si>
  <si>
    <t>979208AJ4</t>
  </si>
  <si>
    <t>979208AK1</t>
  </si>
  <si>
    <t>979208AL9</t>
  </si>
  <si>
    <t>97989WBF6</t>
  </si>
  <si>
    <t>97989WBG4</t>
  </si>
  <si>
    <t>980805RS6</t>
  </si>
  <si>
    <t>980805RT4</t>
  </si>
  <si>
    <t>980805RU1</t>
  </si>
  <si>
    <t>980805RV9</t>
  </si>
  <si>
    <t>980805RW7</t>
  </si>
  <si>
    <t>980805RX5</t>
  </si>
  <si>
    <t>973449NK3</t>
  </si>
  <si>
    <t>Cottonwood, MN</t>
  </si>
  <si>
    <t>973449NL1</t>
  </si>
  <si>
    <t>973449NM9</t>
  </si>
  <si>
    <t>973449NN7</t>
  </si>
  <si>
    <t>975700NA9</t>
  </si>
  <si>
    <t>Forsyth, NC</t>
  </si>
  <si>
    <t>10/19/2017</t>
  </si>
  <si>
    <t>975700NB7</t>
  </si>
  <si>
    <t>975700NC5</t>
  </si>
  <si>
    <t>975700ND3</t>
  </si>
  <si>
    <t>975700NE1</t>
  </si>
  <si>
    <t>862233LB7</t>
  </si>
  <si>
    <t>Story, IA</t>
  </si>
  <si>
    <t>932457EE0</t>
  </si>
  <si>
    <t>932457EF7</t>
  </si>
  <si>
    <t>932457EH3</t>
  </si>
  <si>
    <t>933033TA0</t>
  </si>
  <si>
    <t>4/20/2017</t>
  </si>
  <si>
    <t>933033TB8</t>
  </si>
  <si>
    <t>933033TC6</t>
  </si>
  <si>
    <t>933033TD4</t>
  </si>
  <si>
    <t>933033TE2</t>
  </si>
  <si>
    <t>933033UA8</t>
  </si>
  <si>
    <t>11/10/2017</t>
  </si>
  <si>
    <t>933033UB6</t>
  </si>
  <si>
    <t>933033UC4</t>
  </si>
  <si>
    <t>933033UD2</t>
  </si>
  <si>
    <t>933033UE0</t>
  </si>
  <si>
    <t>933033UF7</t>
  </si>
  <si>
    <t>760074BR4</t>
  </si>
  <si>
    <t>Jasper, IN</t>
  </si>
  <si>
    <t>760074BS2</t>
  </si>
  <si>
    <t>760074BT0</t>
  </si>
  <si>
    <t>760074BU7</t>
  </si>
  <si>
    <t>760074BV5</t>
  </si>
  <si>
    <t>760074BW3</t>
  </si>
  <si>
    <t>7/1/2028</t>
  </si>
  <si>
    <t>76131MCC5</t>
  </si>
  <si>
    <t>76131MCD3</t>
  </si>
  <si>
    <t>76131MCE1</t>
  </si>
  <si>
    <t>76222FBR8</t>
  </si>
  <si>
    <t>76222FBS6</t>
  </si>
  <si>
    <t>76222FBT4</t>
  </si>
  <si>
    <t>76222FBU1</t>
  </si>
  <si>
    <t>76222RUY6</t>
  </si>
  <si>
    <t>929831LY9</t>
  </si>
  <si>
    <t>929831LZ6</t>
  </si>
  <si>
    <t>929831MA0</t>
  </si>
  <si>
    <t>772827SH5</t>
  </si>
  <si>
    <t>772827SJ1</t>
  </si>
  <si>
    <t>772827SK8</t>
  </si>
  <si>
    <t>772827SL6</t>
  </si>
  <si>
    <t>7741323F9</t>
  </si>
  <si>
    <t>PUBLIC IMPS. WATER UTILITY IMPS. ELEC. LT. &amp; PWR. IMPTS.</t>
  </si>
  <si>
    <t>7741323G7</t>
  </si>
  <si>
    <t>774221EB7</t>
  </si>
  <si>
    <t>774221EC5</t>
  </si>
  <si>
    <t>73629VBF5</t>
  </si>
  <si>
    <t>73629VBG3</t>
  </si>
  <si>
    <t>73629WBL0</t>
  </si>
  <si>
    <t>73629WBM8</t>
  </si>
  <si>
    <t>736606CU6</t>
  </si>
  <si>
    <t>ME</t>
  </si>
  <si>
    <t>Cumberland, ME</t>
  </si>
  <si>
    <t>736606CV4</t>
  </si>
  <si>
    <t>736606CX0</t>
  </si>
  <si>
    <t>736606CY8</t>
  </si>
  <si>
    <t>73629UCF6</t>
  </si>
  <si>
    <t>73629UCG4</t>
  </si>
  <si>
    <t>736606CT9</t>
  </si>
  <si>
    <t>736606CW2</t>
  </si>
  <si>
    <t>776195FW4</t>
  </si>
  <si>
    <t>938729BX7</t>
  </si>
  <si>
    <t>Washington, UT</t>
  </si>
  <si>
    <t>938729BZ2</t>
  </si>
  <si>
    <t>938729CB4</t>
  </si>
  <si>
    <t>940197AJ5</t>
  </si>
  <si>
    <t>9525303D3</t>
  </si>
  <si>
    <t>8/22/2017</t>
  </si>
  <si>
    <t>953079FQ8</t>
  </si>
  <si>
    <t>953079FR6</t>
  </si>
  <si>
    <t>953079FS4</t>
  </si>
  <si>
    <t>795604AF4</t>
  </si>
  <si>
    <t>795604AG2</t>
  </si>
  <si>
    <t>801889PY6</t>
  </si>
  <si>
    <t>838848DG1</t>
  </si>
  <si>
    <t>Cumberland, PA</t>
  </si>
  <si>
    <t>938729BW9</t>
  </si>
  <si>
    <t>938729BY5</t>
  </si>
  <si>
    <t>938729CA6</t>
  </si>
  <si>
    <t>772827SG7</t>
  </si>
  <si>
    <t>7741323H5</t>
  </si>
  <si>
    <t>774221EE1</t>
  </si>
  <si>
    <t>774221EF8</t>
  </si>
  <si>
    <t>951428DB4</t>
  </si>
  <si>
    <t>9525303E1</t>
  </si>
  <si>
    <t>9525303F8</t>
  </si>
  <si>
    <t>953079FT2</t>
  </si>
  <si>
    <t>95308HBY6</t>
  </si>
  <si>
    <t>95308HBZ3</t>
  </si>
  <si>
    <t>880162EQ1</t>
  </si>
  <si>
    <t>880162ET5</t>
  </si>
  <si>
    <t>802629AD7</t>
  </si>
  <si>
    <t>802629AF2</t>
  </si>
  <si>
    <t>8800642D1</t>
  </si>
  <si>
    <t>880162ER9</t>
  </si>
  <si>
    <t>801889PX8</t>
  </si>
  <si>
    <t>801889PZ3</t>
  </si>
  <si>
    <t>802629AE5</t>
  </si>
  <si>
    <t>802629AG0</t>
  </si>
  <si>
    <t>802629AJ4</t>
  </si>
  <si>
    <t>856618DG5</t>
  </si>
  <si>
    <t>Marshall, IA</t>
  </si>
  <si>
    <t>889753NN5</t>
  </si>
  <si>
    <t>890680NG2</t>
  </si>
  <si>
    <t>890680NH0</t>
  </si>
  <si>
    <t>890680NJ6</t>
  </si>
  <si>
    <t>983064WM4</t>
  </si>
  <si>
    <t>983064WN2</t>
  </si>
  <si>
    <t>983064WP7</t>
  </si>
  <si>
    <t>983064WQ5</t>
  </si>
  <si>
    <t>983064WR3</t>
  </si>
  <si>
    <t>92823PEL6</t>
  </si>
  <si>
    <t>92823PEM4</t>
  </si>
  <si>
    <t>92823PEN2</t>
  </si>
  <si>
    <t>770247RK2</t>
  </si>
  <si>
    <t>9/14/2017</t>
  </si>
  <si>
    <t>770247RL0</t>
  </si>
  <si>
    <t>770247RM8</t>
  </si>
  <si>
    <t>770873PV3</t>
  </si>
  <si>
    <t>770873PW1</t>
  </si>
  <si>
    <t>770873PX9</t>
  </si>
  <si>
    <t>770873PY7</t>
  </si>
  <si>
    <t>913407HY1</t>
  </si>
  <si>
    <t>913407HX3</t>
  </si>
  <si>
    <t>913407HW5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</si>
</sst>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1"/>
      <color indexed="9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  <fill>
      <patternFill patternType="solid">
        <fgColor rgb="FFFAC09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6">
    <xf numFmtId="0" fontId="0" fillId="0" borderId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9" fillId="12" borderId="0" applyNumberFormat="0" applyBorder="0" applyAlignment="0" applyProtection="0"/>
    <xf numFmtId="0" fontId="19" fillId="16" borderId="0" applyNumberFormat="0" applyBorder="0" applyAlignment="0" applyProtection="0"/>
    <xf numFmtId="0" fontId="19" fillId="20" borderId="0" applyNumberFormat="0" applyBorder="0" applyAlignment="0" applyProtection="0"/>
    <xf numFmtId="0" fontId="19" fillId="24" borderId="0" applyNumberFormat="0" applyBorder="0" applyAlignment="0" applyProtection="0"/>
    <xf numFmtId="0" fontId="19" fillId="28" borderId="0" applyNumberFormat="0" applyBorder="0" applyAlignment="0" applyProtection="0"/>
    <xf numFmtId="0" fontId="19" fillId="32" borderId="0" applyNumberFormat="0" applyBorder="0" applyAlignment="0" applyProtection="0"/>
    <xf numFmtId="0" fontId="19" fillId="9" borderId="0" applyNumberFormat="0" applyBorder="0" applyAlignment="0" applyProtection="0"/>
    <xf numFmtId="0" fontId="19" fillId="13" borderId="0" applyNumberFormat="0" applyBorder="0" applyAlignment="0" applyProtection="0"/>
    <xf numFmtId="0" fontId="19" fillId="17" borderId="0" applyNumberFormat="0" applyBorder="0" applyAlignment="0" applyProtection="0"/>
    <xf numFmtId="0" fontId="19" fillId="21" borderId="0" applyNumberFormat="0" applyBorder="0" applyAlignment="0" applyProtection="0"/>
    <xf numFmtId="0" fontId="19" fillId="25" borderId="0" applyNumberFormat="0" applyBorder="0" applyAlignment="0" applyProtection="0"/>
    <xf numFmtId="0" fontId="19" fillId="29" borderId="0" applyNumberFormat="0" applyBorder="0" applyAlignment="0" applyProtection="0"/>
    <xf numFmtId="0" fontId="9" fillId="3" borderId="0" applyNumberFormat="0" applyBorder="0" applyAlignment="0" applyProtection="0"/>
    <xf numFmtId="0" fontId="2" fillId="33" borderId="0"/>
    <xf numFmtId="0" fontId="1" fillId="0" borderId="0">
      <alignment horizontal="centerContinuous"/>
    </xf>
    <xf numFmtId="0" fontId="3" fillId="0" borderId="0" applyNumberFormat="0" applyFont="0" applyFill="0" applyBorder="0" applyProtection="0">
      <alignment wrapText="1"/>
    </xf>
    <xf numFmtId="0" fontId="1" fillId="34" borderId="0"/>
    <xf numFmtId="0" fontId="13" fillId="6" borderId="4" applyNumberFormat="0" applyAlignment="0" applyProtection="0"/>
    <xf numFmtId="0" fontId="15" fillId="7" borderId="7" applyNumberFormat="0" applyAlignment="0" applyProtection="0"/>
    <xf numFmtId="0" fontId="1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11" fillId="5" borderId="4" applyNumberFormat="0" applyAlignment="0" applyProtection="0"/>
    <xf numFmtId="0" fontId="14" fillId="0" borderId="6" applyNumberFormat="0" applyFill="0" applyAlignment="0" applyProtection="0"/>
    <xf numFmtId="0" fontId="10" fillId="4" borderId="0" applyNumberFormat="0" applyBorder="0" applyAlignment="0" applyProtection="0"/>
    <xf numFmtId="0" fontId="3" fillId="8" borderId="8" applyNumberFormat="0" applyFont="0" applyAlignment="0" applyProtection="0"/>
    <xf numFmtId="0" fontId="12" fillId="6" borderId="5" applyNumberFormat="0" applyAlignment="0" applyProtection="0"/>
    <xf numFmtId="0" fontId="4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6" fillId="0" borderId="0" applyNumberFormat="0" applyFill="0" applyBorder="0" applyAlignment="0" applyProtection="0"/>
  </cellStyleXfs>
  <cellXfs count="7">
    <xf numFmtId="0" fontId="0" fillId="0" borderId="0" xfId="0"/>
    <xf numFmtId="0" fontId="1" fillId="34" borderId="0" xfId="29" applyNumberFormat="1" applyFont="1" applyFill="1" applyBorder="1" applyAlignment="1" applyProtection="1"/>
    <xf numFmtId="0" fontId="2" fillId="33" borderId="0" xfId="26" applyNumberFormat="1" applyFont="1" applyFill="1" applyBorder="1" applyAlignment="1" applyProtection="1"/>
    <xf numFmtId="0" fontId="0" fillId="0" borderId="0" xfId="0"/>
    <xf numFmtId="0" fontId="1" fillId="0" borderId="0" xfId="27" applyNumberFormat="1" applyFont="1" applyFill="1" applyBorder="1" applyAlignment="1" applyProtection="1">
      <alignment horizontal="center"/>
    </xf>
    <xf numFmtId="0" fontId="2" fillId="33" borderId="0" xfId="26" applyNumberFormat="1" applyFont="1" applyFill="1" applyBorder="1" applyAlignment="1" applyProtection="1"/>
    <xf numFmtId="0" fontId="3" fillId="0" borderId="0" xfId="28" applyFont="1" applyAlignment="1">
      <alignment wrapText="1"/>
    </xf>
  </cellXfs>
  <cellStyles count="46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column_header" xfId="26"/>
    <cellStyle name="blp_financial_statement_name" xfId="27"/>
    <cellStyle name="blp_multiline_cell" xfId="28"/>
    <cellStyle name="blp_row_header" xfId="29"/>
    <cellStyle name="Calculation" xfId="30" builtinId="22" customBuiltin="1"/>
    <cellStyle name="Check Cell" xfId="31" builtinId="23" customBuiltin="1"/>
    <cellStyle name="Explanatory Text" xfId="32" builtinId="53" customBuiltin="1"/>
    <cellStyle name="Good" xfId="33" builtinId="26" customBuiltin="1"/>
    <cellStyle name="Heading 1" xfId="34" builtinId="16" customBuiltin="1"/>
    <cellStyle name="Heading 2" xfId="35" builtinId="17" customBuiltin="1"/>
    <cellStyle name="Heading 3" xfId="36" builtinId="18" customBuiltin="1"/>
    <cellStyle name="Heading 4" xfId="37" builtinId="19" customBuiltin="1"/>
    <cellStyle name="Input" xfId="38" builtinId="20" customBuiltin="1"/>
    <cellStyle name="Linked Cell" xfId="39" builtinId="24" customBuiltin="1"/>
    <cellStyle name="Neutral" xfId="40" builtinId="28" customBuiltin="1"/>
    <cellStyle name="Normal" xfId="0" builtinId="0"/>
    <cellStyle name="Note" xfId="41" builtinId="10" customBuiltin="1"/>
    <cellStyle name="Output" xfId="42" builtinId="21" customBuiltin="1"/>
    <cellStyle name="Title" xfId="43" builtinId="15" customBuiltin="1"/>
    <cellStyle name="Total" xfId="44" builtinId="25" customBuiltin="1"/>
    <cellStyle name="Warning Text" xfId="4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BDS|14528447541928978630</stp>
        <tr r="I145" s="2"/>
      </tp>
      <tp t="s">
        <v>#N/A N/A</v>
        <stp/>
        <stp>BDP|13461971416811422086</stp>
        <tr r="C1816" s="2"/>
      </tp>
      <tp t="s">
        <v>#N/A N/A</v>
        <stp/>
        <stp>BDP|16784784206253153810</stp>
        <tr r="C1519" s="2"/>
      </tp>
      <tp t="s">
        <v>#N/A N/A</v>
        <stp/>
        <stp>BDP|16931039750039625053</stp>
        <tr r="F41" s="2"/>
      </tp>
      <tp t="s">
        <v>#N/A N/A</v>
        <stp/>
        <stp>BDP|14913975329872664781</stp>
        <tr r="M592" s="2"/>
      </tp>
      <tp t="s">
        <v>#N/A N/A</v>
        <stp/>
        <stp>BDP|10171315414571458998</stp>
        <tr r="Q624" s="2"/>
      </tp>
      <tp t="s">
        <v>#N/A N/A</v>
        <stp/>
        <stp>BDP|17765648318499738353</stp>
        <tr r="G1349" s="2"/>
      </tp>
      <tp t="s">
        <v>#N/A N/A</v>
        <stp/>
        <stp>BDP|11502725652830815946</stp>
        <tr r="C1183" s="2"/>
      </tp>
      <tp t="s">
        <v>#N/A N/A</v>
        <stp/>
        <stp>BDP|17803938913773523644</stp>
        <tr r="H1776" s="2"/>
      </tp>
      <tp t="s">
        <v>#N/A N/A</v>
        <stp/>
        <stp>BDP|10378891465971012567</stp>
        <tr r="H1124" s="2"/>
      </tp>
      <tp t="s">
        <v>#N/A N/A</v>
        <stp/>
        <stp>BDP|14142910118684620279</stp>
        <tr r="G110" s="2"/>
      </tp>
      <tp t="s">
        <v>#N/A N/A</v>
        <stp/>
        <stp>BDP|13856521737306680926</stp>
        <tr r="D281" s="2"/>
      </tp>
      <tp t="s">
        <v>#N/A N/A</v>
        <stp/>
        <stp>BDP|16392523580176941716</stp>
        <tr r="Q474" s="2"/>
      </tp>
      <tp t="s">
        <v>#N/A N/A</v>
        <stp/>
        <stp>BDP|13059195786631790117</stp>
        <tr r="G1571" s="2"/>
      </tp>
      <tp t="s">
        <v>#N/A N/A</v>
        <stp/>
        <stp>BDP|12875210281360549248</stp>
        <tr r="T1670" s="2"/>
      </tp>
      <tp t="s">
        <v>#N/A N/A</v>
        <stp/>
        <stp>BDP|18180221537377944446</stp>
        <tr r="J1687" s="2"/>
      </tp>
      <tp t="s">
        <v>#N/A N/A</v>
        <stp/>
        <stp>BDP|15379860834226893204</stp>
        <tr r="S1672" s="2"/>
      </tp>
      <tp t="s">
        <v>#N/A N/A</v>
        <stp/>
        <stp>BDP|17252992690498258509</stp>
        <tr r="M1409" s="2"/>
      </tp>
      <tp t="s">
        <v>#N/A N/A</v>
        <stp/>
        <stp>BDP|15797841449733107020</stp>
        <tr r="G2029" s="2"/>
      </tp>
      <tp t="s">
        <v>#N/A N/A</v>
        <stp/>
        <stp>BDP|10584546177049860177</stp>
        <tr r="T52" s="2"/>
      </tp>
      <tp t="s">
        <v>#N/A N/A</v>
        <stp/>
        <stp>BDP|11764827029376140749</stp>
        <tr r="S782" s="2"/>
      </tp>
      <tp t="s">
        <v>#N/A N/A</v>
        <stp/>
        <stp>BDP|14993622884322334255</stp>
        <tr r="D1442" s="2"/>
      </tp>
      <tp t="s">
        <v>#N/A N/A</v>
        <stp/>
        <stp>BDP|15009367198040202559</stp>
        <tr r="R941" s="2"/>
      </tp>
      <tp t="s">
        <v>#N/A N/A</v>
        <stp/>
        <stp>BDP|10802254516870259907</stp>
        <tr r="N279" s="2"/>
      </tp>
      <tp t="s">
        <v>#N/A N/A</v>
        <stp/>
        <stp>BDP|12490342479005720977</stp>
        <tr r="D1962" s="2"/>
      </tp>
      <tp t="s">
        <v>#N/A N/A</v>
        <stp/>
        <stp>BDP|16218595285586170768</stp>
        <tr r="K496" s="2"/>
      </tp>
      <tp t="s">
        <v>#N/A N/A</v>
        <stp/>
        <stp>BDP|17697175088436609265</stp>
        <tr r="C1650" s="2"/>
      </tp>
      <tp t="s">
        <v>#N/A N/A</v>
        <stp/>
        <stp>BDP|17434818530984571298</stp>
        <tr r="E252" s="2"/>
      </tp>
      <tp t="s">
        <v>#N/A N/A</v>
        <stp/>
        <stp>BDP|10635062936808838177</stp>
        <tr r="J2174" s="2"/>
      </tp>
      <tp t="s">
        <v>#N/A N/A</v>
        <stp/>
        <stp>BDP|16602879549699078915</stp>
        <tr r="G1496" s="2"/>
      </tp>
      <tp t="s">
        <v>#N/A N/A</v>
        <stp/>
        <stp>BDP|12391661069231273970</stp>
        <tr r="C614" s="2"/>
      </tp>
      <tp t="s">
        <v>#N/A N/A</v>
        <stp/>
        <stp>BDP|13524695483474097367</stp>
        <tr r="M37" s="2"/>
      </tp>
      <tp t="s">
        <v>#N/A N/A</v>
        <stp/>
        <stp>BDP|10354904316985870743</stp>
        <tr r="N1434" s="2"/>
      </tp>
      <tp t="s">
        <v>#N/A N/A</v>
        <stp/>
        <stp>BDP|11978921459437376089</stp>
        <tr r="H449" s="2"/>
      </tp>
      <tp t="s">
        <v>#N/A N/A</v>
        <stp/>
        <stp>BDP|17712316530409990466</stp>
        <tr r="O1861" s="2"/>
      </tp>
      <tp t="s">
        <v>#N/A N/A</v>
        <stp/>
        <stp>BDP|12275984836975684731</stp>
        <tr r="H2042" s="2"/>
      </tp>
      <tp t="s">
        <v>#N/A N/A</v>
        <stp/>
        <stp>BDP|14431217992641964477</stp>
        <tr r="O1007" s="2"/>
      </tp>
      <tp t="s">
        <v>#N/A N/A</v>
        <stp/>
        <stp>BDP|10461697595042711763</stp>
        <tr r="M1193" s="2"/>
      </tp>
      <tp t="s">
        <v>#N/A N/A</v>
        <stp/>
        <stp>BDP|17542035591700656480</stp>
        <tr r="A908" s="2"/>
      </tp>
      <tp t="s">
        <v>#N/A N/A</v>
        <stp/>
        <stp>BDP|17752061309564477955</stp>
        <tr r="G1188" s="2"/>
      </tp>
      <tp t="s">
        <v>#N/A N/A</v>
        <stp/>
        <stp>BDP|15821841862694278550</stp>
        <tr r="D1964" s="2"/>
      </tp>
      <tp t="s">
        <v>#N/A N/A</v>
        <stp/>
        <stp>BDP|11002950125589120985</stp>
        <tr r="E1233" s="2"/>
      </tp>
      <tp t="s">
        <v>#N/A N/A</v>
        <stp/>
        <stp>BDP|17241896330212246406</stp>
        <tr r="N517" s="2"/>
      </tp>
      <tp t="s">
        <v>#N/A N/A</v>
        <stp/>
        <stp>BDP|15441034586420841702</stp>
        <tr r="K2002" s="2"/>
      </tp>
      <tp t="s">
        <v>#N/A N/A</v>
        <stp/>
        <stp>BDS|10721432724394249885</stp>
        <tr r="I1860" s="2"/>
      </tp>
      <tp t="s">
        <v>#N/A N/A</v>
        <stp/>
        <stp>BDP|14955666125642661851</stp>
        <tr r="R1196" s="2"/>
      </tp>
      <tp t="s">
        <v>#N/A N/A</v>
        <stp/>
        <stp>BDP|18128477454241304286</stp>
        <tr r="K751" s="2"/>
      </tp>
      <tp t="s">
        <v>#N/A N/A</v>
        <stp/>
        <stp>BDP|15858514575415377863</stp>
        <tr r="T1467" s="2"/>
      </tp>
      <tp t="s">
        <v>#N/A N/A</v>
        <stp/>
        <stp>BDP|17676492367989148608</stp>
        <tr r="C180" s="2"/>
      </tp>
      <tp t="s">
        <v>#N/A N/A</v>
        <stp/>
        <stp>BDP|17957530483553893389</stp>
        <tr r="Q1026" s="2"/>
      </tp>
      <tp t="s">
        <v>#N/A N/A</v>
        <stp/>
        <stp>BDP|12679741082185043293</stp>
        <tr r="K132" s="2"/>
      </tp>
      <tp t="s">
        <v>#N/A N/A</v>
        <stp/>
        <stp>BDP|10207212538288116336</stp>
        <tr r="S2176" s="2"/>
      </tp>
      <tp t="s">
        <v>#N/A N/A</v>
        <stp/>
        <stp>BDP|18144156805324841703</stp>
        <tr r="E758" s="2"/>
      </tp>
      <tp t="s">
        <v>#N/A N/A</v>
        <stp/>
        <stp>BDP|16850543586289268814</stp>
        <tr r="P1493" s="2"/>
      </tp>
      <tp t="s">
        <v>#N/A N/A</v>
        <stp/>
        <stp>BDP|10565761991186282298</stp>
        <tr r="Q949" s="2"/>
      </tp>
      <tp t="s">
        <v>#N/A N/A</v>
        <stp/>
        <stp>BDP|17579002915545878912</stp>
        <tr r="P164" s="2"/>
      </tp>
      <tp t="s">
        <v>#N/A N/A</v>
        <stp/>
        <stp>BDP|12031375248007777814</stp>
        <tr r="F8" s="2"/>
      </tp>
      <tp t="s">
        <v>#N/A N/A</v>
        <stp/>
        <stp>BDP|17458459259395122908</stp>
        <tr r="K1159" s="2"/>
      </tp>
      <tp t="s">
        <v>#N/A N/A</v>
        <stp/>
        <stp>BDP|11437646505319903453</stp>
        <tr r="C840" s="2"/>
      </tp>
      <tp t="s">
        <v>#N/A N/A</v>
        <stp/>
        <stp>BDP|12729384873515102946</stp>
        <tr r="S1783" s="2"/>
      </tp>
      <tp t="s">
        <v>#N/A N/A</v>
        <stp/>
        <stp>BDP|12699883403586629629</stp>
        <tr r="C538" s="2"/>
      </tp>
      <tp t="s">
        <v>#N/A N/A</v>
        <stp/>
        <stp>BDP|13479158143638997424</stp>
        <tr r="G2190" s="2"/>
      </tp>
      <tp t="s">
        <v>#N/A N/A</v>
        <stp/>
        <stp>BDP|11656527838105346863</stp>
        <tr r="R1464" s="2"/>
      </tp>
      <tp t="s">
        <v>#N/A N/A</v>
        <stp/>
        <stp>BDP|15494780908409499190</stp>
        <tr r="G1863" s="2"/>
      </tp>
      <tp t="s">
        <v>#N/A N/A</v>
        <stp/>
        <stp>BDP|17616609975718336487</stp>
        <tr r="H1813" s="2"/>
      </tp>
      <tp t="s">
        <v>#N/A N/A</v>
        <stp/>
        <stp>BDP|13412310088456592407</stp>
        <tr r="N1501" s="2"/>
      </tp>
      <tp t="s">
        <v>#N/A N/A</v>
        <stp/>
        <stp>BDP|18400680726425780357</stp>
        <tr r="D1061" s="2"/>
      </tp>
      <tp t="s">
        <v>#N/A N/A</v>
        <stp/>
        <stp>BDP|10897848984992571854</stp>
        <tr r="K1916" s="2"/>
      </tp>
      <tp t="s">
        <v>#N/A N/A</v>
        <stp/>
        <stp>BDP|17147839938982297406</stp>
        <tr r="J322" s="2"/>
      </tp>
      <tp t="s">
        <v>#N/A N/A</v>
        <stp/>
        <stp>BDP|14067997942047021439</stp>
        <tr r="K915" s="2"/>
      </tp>
      <tp t="s">
        <v>#N/A N/A</v>
        <stp/>
        <stp>BDP|14544527111883627983</stp>
        <tr r="H1853" s="2"/>
      </tp>
      <tp t="s">
        <v>#N/A N/A</v>
        <stp/>
        <stp>BDP|14898305428259130694</stp>
        <tr r="E2255" s="2"/>
      </tp>
      <tp t="s">
        <v>#N/A N/A</v>
        <stp/>
        <stp>BDP|13258839303339233884</stp>
        <tr r="H168" s="2"/>
      </tp>
      <tp t="s">
        <v>#N/A N/A</v>
        <stp/>
        <stp>BDP|13598191718361502893</stp>
        <tr r="Q889" s="2"/>
      </tp>
      <tp t="s">
        <v>#N/A N/A</v>
        <stp/>
        <stp>BDP|16792384560340055973</stp>
        <tr r="T301" s="2"/>
      </tp>
      <tp t="s">
        <v>#N/A N/A</v>
        <stp/>
        <stp>BDP|10080346680592560392</stp>
        <tr r="K519" s="2"/>
      </tp>
      <tp t="s">
        <v>#N/A N/A</v>
        <stp/>
        <stp>BDP|10528123089810008366</stp>
        <tr r="M1674" s="2"/>
      </tp>
      <tp t="s">
        <v>#N/A N/A</v>
        <stp/>
        <stp>BDP|10802619453528566175</stp>
        <tr r="G1093" s="2"/>
      </tp>
      <tp t="s">
        <v>#N/A N/A</v>
        <stp/>
        <stp>BDP|10748819323702813255</stp>
        <tr r="P1272" s="2"/>
      </tp>
      <tp t="s">
        <v>#N/A N/A</v>
        <stp/>
        <stp>BDP|14336858749902089074</stp>
        <tr r="T1413" s="2"/>
      </tp>
      <tp t="s">
        <v>#N/A N/A</v>
        <stp/>
        <stp>BDP|16296559283610505198</stp>
        <tr r="A1605" s="2"/>
      </tp>
      <tp t="s">
        <v>#N/A N/A</v>
        <stp/>
        <stp>BDP|17527088552539412130</stp>
        <tr r="A1100" s="2"/>
      </tp>
      <tp t="s">
        <v>#N/A N/A</v>
        <stp/>
        <stp>BDP|17584117821318988649</stp>
        <tr r="M1607" s="2"/>
      </tp>
      <tp t="s">
        <v>#N/A N/A</v>
        <stp/>
        <stp>BDP|15931031790985047323</stp>
        <tr r="A2099" s="2"/>
      </tp>
      <tp t="s">
        <v>#N/A N/A</v>
        <stp/>
        <stp>BDP|16794399863408614139</stp>
        <tr r="C1011" s="2"/>
      </tp>
      <tp t="s">
        <v>#N/A N/A</v>
        <stp/>
        <stp>BDP|13995489751010157899</stp>
        <tr r="J364" s="2"/>
      </tp>
      <tp t="s">
        <v>#N/A N/A</v>
        <stp/>
        <stp>BDP|10651890351835617200</stp>
        <tr r="Q885" s="2"/>
      </tp>
      <tp t="s">
        <v>#N/A N/A</v>
        <stp/>
        <stp>BDP|12725994515185728549</stp>
        <tr r="C2049" s="2"/>
      </tp>
      <tp t="s">
        <v>#N/A N/A</v>
        <stp/>
        <stp>BDP|10866194056727797980</stp>
        <tr r="P1105" s="2"/>
      </tp>
      <tp t="s">
        <v>#N/A N/A</v>
        <stp/>
        <stp>BDS|15929591483075076787</stp>
        <tr r="I545" s="2"/>
      </tp>
      <tp t="s">
        <v>#N/A N/A</v>
        <stp/>
        <stp>BDP|10916917413697314502</stp>
        <tr r="H134" s="2"/>
      </tp>
      <tp t="s">
        <v>#N/A N/A</v>
        <stp/>
        <stp>BDP|14562503462139900467</stp>
        <tr r="T10" s="2"/>
      </tp>
      <tp t="s">
        <v>#N/A N/A</v>
        <stp/>
        <stp>BDP|14158903415551511790</stp>
        <tr r="O48" s="2"/>
      </tp>
      <tp t="s">
        <v>#N/A N/A</v>
        <stp/>
        <stp>BDP|12153340172618605491</stp>
        <tr r="M1703" s="2"/>
      </tp>
      <tp t="s">
        <v>#N/A N/A</v>
        <stp/>
        <stp>BDP|12078305327250821973</stp>
        <tr r="E1446" s="2"/>
      </tp>
      <tp t="s">
        <v>#N/A N/A</v>
        <stp/>
        <stp>BDP|13240397132661238837</stp>
        <tr r="Q2167" s="2"/>
      </tp>
      <tp t="s">
        <v>#N/A N/A</v>
        <stp/>
        <stp>BDP|16314519418799582176</stp>
        <tr r="S1474" s="2"/>
      </tp>
      <tp t="s">
        <v>#N/A N/A</v>
        <stp/>
        <stp>BDP|11791979652820813728</stp>
        <tr r="E30" s="2"/>
      </tp>
      <tp t="s">
        <v>#N/A N/A</v>
        <stp/>
        <stp>BDP|13836580928829787773</stp>
        <tr r="N457" s="2"/>
      </tp>
      <tp t="s">
        <v>#N/A N/A</v>
        <stp/>
        <stp>BDP|18352707648211501060</stp>
        <tr r="T451" s="2"/>
      </tp>
      <tp t="s">
        <v>#N/A N/A</v>
        <stp/>
        <stp>BDP|12312346522720527982</stp>
        <tr r="P1007" s="2"/>
      </tp>
      <tp t="s">
        <v>#N/A N/A</v>
        <stp/>
        <stp>BDS|10965779214015394926</stp>
        <tr r="I185" s="2"/>
      </tp>
      <tp t="s">
        <v>#N/A N/A</v>
        <stp/>
        <stp>BDP|16841775096492323020</stp>
        <tr r="D1623" s="2"/>
      </tp>
      <tp t="s">
        <v>#N/A N/A</v>
        <stp/>
        <stp>BDP|14812826776463007244</stp>
        <tr r="G1371" s="2"/>
      </tp>
      <tp t="s">
        <v>#N/A N/A</v>
        <stp/>
        <stp>BDP|16555495823689198369</stp>
        <tr r="E838" s="2"/>
      </tp>
      <tp t="s">
        <v>#N/A N/A</v>
        <stp/>
        <stp>BDP|17671782764838030428</stp>
        <tr r="T1144" s="2"/>
      </tp>
      <tp t="s">
        <v>#N/A N/A</v>
        <stp/>
        <stp>BDS|10343851837087812622</stp>
        <tr r="I1085" s="2"/>
      </tp>
      <tp t="s">
        <v>#N/A N/A</v>
        <stp/>
        <stp>BDP|11038984967082267654</stp>
        <tr r="S1198" s="2"/>
      </tp>
      <tp t="s">
        <v>#N/A N/A</v>
        <stp/>
        <stp>BDP|15201834843717852423</stp>
        <tr r="M607" s="2"/>
      </tp>
      <tp t="s">
        <v>#N/A N/A</v>
        <stp/>
        <stp>BDS|11671278997144426499</stp>
        <tr r="I580" s="2"/>
      </tp>
      <tp t="s">
        <v>#N/A N/A</v>
        <stp/>
        <stp>BDP|16787215776918902111</stp>
        <tr r="K792" s="2"/>
      </tp>
      <tp t="s">
        <v>#N/A N/A</v>
        <stp/>
        <stp>BDP|10710812064860884426</stp>
        <tr r="S889" s="2"/>
      </tp>
      <tp t="s">
        <v>#N/A N/A</v>
        <stp/>
        <stp>BDP|16817815464683659132</stp>
        <tr r="G1943" s="2"/>
      </tp>
      <tp t="s">
        <v>#N/A N/A</v>
        <stp/>
        <stp>BDP|13731708846843964901</stp>
        <tr r="A921" s="2"/>
      </tp>
      <tp t="s">
        <v>#N/A N/A</v>
        <stp/>
        <stp>BDP|11036272684061303085</stp>
        <tr r="O47" s="2"/>
      </tp>
      <tp t="s">
        <v>#N/A N/A</v>
        <stp/>
        <stp>BDP|16358110145638807148</stp>
        <tr r="G1123" s="2"/>
      </tp>
      <tp t="s">
        <v>#N/A N/A</v>
        <stp/>
        <stp>BDP|16189386080057770052</stp>
        <tr r="J144" s="2"/>
      </tp>
      <tp t="s">
        <v>#N/A N/A</v>
        <stp/>
        <stp>BDP|10278473394826337194</stp>
        <tr r="C1721" s="2"/>
      </tp>
      <tp t="s">
        <v>#N/A N/A</v>
        <stp/>
        <stp>BDP|11751428099277645110</stp>
        <tr r="P57" s="2"/>
      </tp>
      <tp t="s">
        <v>#N/A N/A</v>
        <stp/>
        <stp>BDP|17691383477289574075</stp>
        <tr r="M1721" s="2"/>
      </tp>
      <tp t="s">
        <v>#N/A N/A</v>
        <stp/>
        <stp>BDP|11701899974770050412</stp>
        <tr r="Q957" s="2"/>
      </tp>
      <tp t="s">
        <v>#N/A N/A</v>
        <stp/>
        <stp>BDP|13593018747654967918</stp>
        <tr r="F1881" s="2"/>
      </tp>
      <tp t="s">
        <v>#N/A N/A</v>
        <stp/>
        <stp>BDP|14333606174696824949</stp>
        <tr r="P1057" s="2"/>
      </tp>
      <tp t="s">
        <v>#N/A N/A</v>
        <stp/>
        <stp>BDP|18100108223996904709</stp>
        <tr r="J1482" s="2"/>
      </tp>
      <tp t="s">
        <v>#N/A N/A</v>
        <stp/>
        <stp>BDP|14735788521449250272</stp>
        <tr r="J1178" s="2"/>
      </tp>
      <tp t="s">
        <v>#N/A N/A</v>
        <stp/>
        <stp>BDP|17111436991518957818</stp>
        <tr r="R1576" s="2"/>
      </tp>
      <tp t="s">
        <v>#N/A N/A</v>
        <stp/>
        <stp>BDP|11168612373178827208</stp>
        <tr r="S1298" s="2"/>
      </tp>
      <tp t="s">
        <v>#N/A N/A</v>
        <stp/>
        <stp>BDP|11866168691466542511</stp>
        <tr r="A2125" s="2"/>
      </tp>
      <tp t="s">
        <v>#N/A N/A</v>
        <stp/>
        <stp>BDP|17822136711479882497</stp>
        <tr r="O1810" s="2"/>
      </tp>
      <tp t="s">
        <v>#N/A N/A</v>
        <stp/>
        <stp>BDP|12293507799607766371</stp>
        <tr r="P1731" s="2"/>
      </tp>
      <tp t="s">
        <v>#N/A N/A</v>
        <stp/>
        <stp>BDP|10665842472580874538</stp>
        <tr r="N1955" s="2"/>
      </tp>
      <tp t="s">
        <v>#N/A N/A</v>
        <stp/>
        <stp>BDP|11803264097522669249</stp>
        <tr r="P1393" s="2"/>
      </tp>
      <tp t="s">
        <v>#N/A N/A</v>
        <stp/>
        <stp>BDP|10675926979551093563</stp>
        <tr r="S1125" s="2"/>
      </tp>
      <tp t="s">
        <v>#N/A N/A</v>
        <stp/>
        <stp>BDP|13293976267620029695</stp>
        <tr r="K1474" s="2"/>
      </tp>
      <tp t="s">
        <v>#N/A N/A</v>
        <stp/>
        <stp>BDP|17299083924167542801</stp>
        <tr r="K1615" s="2"/>
      </tp>
      <tp t="s">
        <v>#N/A N/A</v>
        <stp/>
        <stp>BDP|14521744707990932941</stp>
        <tr r="H1849" s="2"/>
      </tp>
      <tp t="s">
        <v>#N/A N/A</v>
        <stp/>
        <stp>BDP|16596282706396401845</stp>
        <tr r="J2223" s="2"/>
      </tp>
      <tp t="s">
        <v>#N/A N/A</v>
        <stp/>
        <stp>BDP|12096598880305496066</stp>
        <tr r="N782" s="2"/>
      </tp>
      <tp t="s">
        <v>#N/A N/A</v>
        <stp/>
        <stp>BDP|12462157193248992807</stp>
        <tr r="M505" s="2"/>
      </tp>
      <tp t="s">
        <v>#N/A N/A</v>
        <stp/>
        <stp>BDP|14937724380376687761</stp>
        <tr r="P1662" s="2"/>
      </tp>
      <tp t="s">
        <v>#N/A N/A</v>
        <stp/>
        <stp>BDP|14369191587195285243</stp>
        <tr r="E1493" s="2"/>
      </tp>
      <tp t="s">
        <v>#N/A N/A</v>
        <stp/>
        <stp>BDP|13898456182142211763</stp>
        <tr r="A1596" s="2"/>
      </tp>
      <tp t="s">
        <v>#N/A N/A</v>
        <stp/>
        <stp>BDS|17659616268874025975</stp>
        <tr r="I728" s="2"/>
      </tp>
      <tp t="s">
        <v>#N/A N/A</v>
        <stp/>
        <stp>BDP|16090090153039009015</stp>
        <tr r="H1076" s="2"/>
      </tp>
      <tp t="s">
        <v>#N/A N/A</v>
        <stp/>
        <stp>BDP|12911461731726281973</stp>
        <tr r="S1525" s="2"/>
      </tp>
      <tp t="s">
        <v>#N/A N/A</v>
        <stp/>
        <stp>BDP|14106296902994070814</stp>
        <tr r="S514" s="2"/>
      </tp>
      <tp t="s">
        <v>#N/A N/A</v>
        <stp/>
        <stp>BDP|16420981106476580343</stp>
        <tr r="Q1611" s="2"/>
      </tp>
      <tp t="s">
        <v>#N/A N/A</v>
        <stp/>
        <stp>BDP|11517580827698497452</stp>
        <tr r="H1978" s="2"/>
      </tp>
      <tp t="s">
        <v>#N/A N/A</v>
        <stp/>
        <stp>BDP|14879211094826748316</stp>
        <tr r="D2043" s="2"/>
      </tp>
      <tp t="s">
        <v>#N/A N/A</v>
        <stp/>
        <stp>BDP|15555092389764653389</stp>
        <tr r="T703" s="2"/>
      </tp>
      <tp t="s">
        <v>#N/A N/A</v>
        <stp/>
        <stp>BDP|17870660037839350116</stp>
        <tr r="P1848" s="2"/>
      </tp>
      <tp t="s">
        <v>#N/A N/A</v>
        <stp/>
        <stp>BDP|11024570945702848812</stp>
        <tr r="Q673" s="2"/>
      </tp>
      <tp t="s">
        <v>#N/A N/A</v>
        <stp/>
        <stp>BDP|12665077184258806860</stp>
        <tr r="C2039" s="2"/>
      </tp>
      <tp t="s">
        <v>#N/A N/A</v>
        <stp/>
        <stp>BDP|14532245339567539862</stp>
        <tr r="F426" s="2"/>
      </tp>
      <tp t="s">
        <v>#N/A N/A</v>
        <stp/>
        <stp>BDP|17732414638099403315</stp>
        <tr r="S413" s="2"/>
      </tp>
      <tp t="s">
        <v>#N/A N/A</v>
        <stp/>
        <stp>BDP|15023297903708673577</stp>
        <tr r="H1321" s="2"/>
      </tp>
      <tp t="s">
        <v>#N/A N/A</v>
        <stp/>
        <stp>BDP|16573927543650648190</stp>
        <tr r="P1472" s="2"/>
      </tp>
      <tp t="s">
        <v>#N/A N/A</v>
        <stp/>
        <stp>BDP|10242388070557808998</stp>
        <tr r="G858" s="2"/>
      </tp>
      <tp t="s">
        <v>#N/A N/A</v>
        <stp/>
        <stp>BDP|17439967348019601975</stp>
        <tr r="K1320" s="2"/>
      </tp>
      <tp t="s">
        <v>#N/A N/A</v>
        <stp/>
        <stp>BDS|15577816236652954633</stp>
        <tr r="I288" s="2"/>
      </tp>
      <tp t="s">
        <v>#N/A N/A</v>
        <stp/>
        <stp>BDP|14836390092436107296</stp>
        <tr r="T137" s="2"/>
      </tp>
      <tp t="s">
        <v>#N/A N/A</v>
        <stp/>
        <stp>BDS|17928559105490962888</stp>
        <tr r="I353" s="2"/>
      </tp>
      <tp t="s">
        <v>#N/A N/A</v>
        <stp/>
        <stp>BDP|14529336680114512184</stp>
        <tr r="E1309" s="2"/>
      </tp>
      <tp t="s">
        <v>#N/A N/A</v>
        <stp/>
        <stp>BDP|18045744518152719600</stp>
        <tr r="Q1218" s="2"/>
      </tp>
      <tp t="s">
        <v>#N/A N/A</v>
        <stp/>
        <stp>BDP|14969839335570032549</stp>
        <tr r="O672" s="2"/>
      </tp>
      <tp t="s">
        <v>#N/A N/A</v>
        <stp/>
        <stp>BDP|17059993135285158261</stp>
        <tr r="C647" s="2"/>
      </tp>
      <tp t="s">
        <v>#N/A N/A</v>
        <stp/>
        <stp>BDP|18411070662011297588</stp>
        <tr r="N955" s="2"/>
      </tp>
      <tp t="s">
        <v>#N/A N/A</v>
        <stp/>
        <stp>BDP|12718803465515932303</stp>
        <tr r="C1253" s="2"/>
      </tp>
      <tp t="s">
        <v>#N/A N/A</v>
        <stp/>
        <stp>BDP|14734701997541807130</stp>
        <tr r="P766" s="2"/>
      </tp>
      <tp t="s">
        <v>#N/A N/A</v>
        <stp/>
        <stp>BDP|12896052291949159860</stp>
        <tr r="J1281" s="2"/>
      </tp>
      <tp t="s">
        <v>#N/A N/A</v>
        <stp/>
        <stp>BDP|16905505080693679243</stp>
        <tr r="O1823" s="2"/>
      </tp>
      <tp t="s">
        <v>#N/A N/A</v>
        <stp/>
        <stp>BDP|16487051272008961318</stp>
        <tr r="J1915" s="2"/>
      </tp>
      <tp t="s">
        <v>#N/A N/A</v>
        <stp/>
        <stp>BDP|10002033499426903580</stp>
        <tr r="T2242" s="2"/>
      </tp>
      <tp t="s">
        <v>#N/A N/A</v>
        <stp/>
        <stp>BDP|10319771586766143385</stp>
        <tr r="O1919" s="2"/>
      </tp>
      <tp t="s">
        <v>#N/A N/A</v>
        <stp/>
        <stp>BDS|16958815103457645356</stp>
        <tr r="I1544" s="2"/>
      </tp>
      <tp t="s">
        <v>#N/A N/A</v>
        <stp/>
        <stp>BDP|15877123182303523563</stp>
        <tr r="M1504" s="2"/>
      </tp>
      <tp t="s">
        <v>#N/A N/A</v>
        <stp/>
        <stp>BDP|13748492039398505693</stp>
        <tr r="N1877" s="2"/>
      </tp>
      <tp t="s">
        <v>#N/A N/A</v>
        <stp/>
        <stp>BDP|11928576891107727031</stp>
        <tr r="O185" s="2"/>
      </tp>
      <tp t="s">
        <v>#N/A N/A</v>
        <stp/>
        <stp>BDP|16837523080665207430</stp>
        <tr r="H39" s="2"/>
      </tp>
      <tp t="s">
        <v>#N/A N/A</v>
        <stp/>
        <stp>BDP|16442930909725726024</stp>
        <tr r="R1259" s="2"/>
      </tp>
      <tp t="s">
        <v>#N/A N/A</v>
        <stp/>
        <stp>BDP|18273429655712942178</stp>
        <tr r="P599" s="2"/>
      </tp>
      <tp t="s">
        <v>#N/A N/A</v>
        <stp/>
        <stp>BDP|12407630852429839263</stp>
        <tr r="S1866" s="2"/>
      </tp>
      <tp t="s">
        <v>#N/A N/A</v>
        <stp/>
        <stp>BDP|14762405793310944360</stp>
        <tr r="D1196" s="2"/>
      </tp>
      <tp t="s">
        <v>#N/A N/A</v>
        <stp/>
        <stp>BDP|14886995519295116335</stp>
        <tr r="C1820" s="2"/>
      </tp>
      <tp t="s">
        <v>#N/A N/A</v>
        <stp/>
        <stp>BDP|17292646731720442897</stp>
        <tr r="R1869" s="2"/>
      </tp>
      <tp t="s">
        <v>#N/A N/A</v>
        <stp/>
        <stp>BDP|12133186694930275050</stp>
        <tr r="D1647" s="2"/>
      </tp>
      <tp t="s">
        <v>#N/A N/A</v>
        <stp/>
        <stp>BDP|16183173155381059996</stp>
        <tr r="D669" s="2"/>
      </tp>
      <tp t="s">
        <v>#N/A N/A</v>
        <stp/>
        <stp>BDP|18017148914400846223</stp>
        <tr r="M1509" s="2"/>
      </tp>
      <tp t="s">
        <v>#N/A N/A</v>
        <stp/>
        <stp>BDP|13823201217873483919</stp>
        <tr r="O975" s="2"/>
      </tp>
      <tp t="s">
        <v>#N/A N/A</v>
        <stp/>
        <stp>BDP|18283370049334076166</stp>
        <tr r="T535" s="2"/>
      </tp>
      <tp t="s">
        <v>#N/A N/A</v>
        <stp/>
        <stp>BDP|12563169086814753588</stp>
        <tr r="K1471" s="2"/>
      </tp>
      <tp t="s">
        <v>#N/A N/A</v>
        <stp/>
        <stp>BDP|17884835705752787738</stp>
        <tr r="H1714" s="2"/>
      </tp>
      <tp t="s">
        <v>#N/A N/A</v>
        <stp/>
        <stp>BDP|17970938043612242217</stp>
        <tr r="T1702" s="2"/>
      </tp>
      <tp t="s">
        <v>#N/A N/A</v>
        <stp/>
        <stp>BDP|14836197380092880535</stp>
        <tr r="F337" s="2"/>
      </tp>
      <tp t="s">
        <v>#N/A N/A</v>
        <stp/>
        <stp>BDP|10520036802229785397</stp>
        <tr r="O802" s="2"/>
      </tp>
      <tp t="s">
        <v>#N/A N/A</v>
        <stp/>
        <stp>BDP|14403612043565883946</stp>
        <tr r="G154" s="2"/>
      </tp>
      <tp t="s">
        <v>#N/A N/A</v>
        <stp/>
        <stp>BDP|15849967854856512553</stp>
        <tr r="J22" s="2"/>
      </tp>
      <tp t="s">
        <v>#N/A N/A</v>
        <stp/>
        <stp>BDP|16959629478738931500</stp>
        <tr r="O1564" s="2"/>
      </tp>
      <tp t="s">
        <v>#N/A N/A</v>
        <stp/>
        <stp>BDP|17872641424010799957</stp>
        <tr r="G138" s="2"/>
      </tp>
      <tp t="s">
        <v>#N/A N/A</v>
        <stp/>
        <stp>BDP|12258375240556621998</stp>
        <tr r="F1126" s="2"/>
      </tp>
      <tp t="s">
        <v>#N/A N/A</v>
        <stp/>
        <stp>BDP|14196755687085176484</stp>
        <tr r="J1835" s="2"/>
      </tp>
      <tp t="s">
        <v>#N/A N/A</v>
        <stp/>
        <stp>BDP|17172722928309813198</stp>
        <tr r="J1752" s="2"/>
      </tp>
      <tp t="s">
        <v>#N/A N/A</v>
        <stp/>
        <stp>BDP|12890406235109026673</stp>
        <tr r="C1842" s="2"/>
      </tp>
      <tp t="s">
        <v>#N/A N/A</v>
        <stp/>
        <stp>BDP|18081142788212413926</stp>
        <tr r="R572" s="2"/>
      </tp>
      <tp t="s">
        <v>#N/A N/A</v>
        <stp/>
        <stp>BDP|14300512471179148589</stp>
        <tr r="R2226" s="2"/>
      </tp>
      <tp t="s">
        <v>#N/A N/A</v>
        <stp/>
        <stp>BDP|18242188933044228410</stp>
        <tr r="A1359" s="2"/>
      </tp>
      <tp t="s">
        <v>#N/A N/A</v>
        <stp/>
        <stp>BDP|17564573569636644879</stp>
        <tr r="Q740" s="2"/>
      </tp>
      <tp t="s">
        <v>#N/A N/A</v>
        <stp/>
        <stp>BDP|15460505999534534728</stp>
        <tr r="R1049" s="2"/>
      </tp>
      <tp t="s">
        <v>#N/A N/A</v>
        <stp/>
        <stp>BDP|13235802472957841121</stp>
        <tr r="Q379" s="2"/>
      </tp>
      <tp t="s">
        <v>#N/A N/A</v>
        <stp/>
        <stp>BDP|18079593177809279966</stp>
        <tr r="T1831" s="2"/>
      </tp>
      <tp t="s">
        <v>#N/A N/A</v>
        <stp/>
        <stp>BDS|15250304506128945449</stp>
        <tr r="I1388" s="2"/>
      </tp>
      <tp t="s">
        <v>#N/A N/A</v>
        <stp/>
        <stp>BDP|10503199681095165663</stp>
        <tr r="K375" s="2"/>
      </tp>
      <tp t="s">
        <v>#N/A N/A</v>
        <stp/>
        <stp>BDP|10776771729259008637</stp>
        <tr r="J1705" s="2"/>
      </tp>
      <tp t="s">
        <v>#N/A N/A</v>
        <stp/>
        <stp>BDP|15523487123590030940</stp>
        <tr r="C146" s="2"/>
      </tp>
      <tp t="s">
        <v>#N/A N/A</v>
        <stp/>
        <stp>BDP|16604297259153457880</stp>
        <tr r="T1279" s="2"/>
      </tp>
      <tp t="s">
        <v>#N/A N/A</v>
        <stp/>
        <stp>BDP|14642283514074523956</stp>
        <tr r="F2142" s="2"/>
      </tp>
      <tp t="s">
        <v>#N/A N/A</v>
        <stp/>
        <stp>BDP|18265350309240129154</stp>
        <tr r="E1204" s="2"/>
      </tp>
      <tp t="s">
        <v>#N/A N/A</v>
        <stp/>
        <stp>BDP|10991438166359633103</stp>
        <tr r="D291" s="2"/>
      </tp>
      <tp t="s">
        <v>#N/A N/A</v>
        <stp/>
        <stp>BDP|14349572969758068576</stp>
        <tr r="F1907" s="2"/>
      </tp>
      <tp t="s">
        <v>#N/A N/A</v>
        <stp/>
        <stp>BDP|10852408096295674229</stp>
        <tr r="F859" s="2"/>
      </tp>
      <tp t="s">
        <v>#N/A N/A</v>
        <stp/>
        <stp>BDP|16912384059312106837</stp>
        <tr r="G1756" s="2"/>
      </tp>
      <tp t="s">
        <v>#N/A N/A</v>
        <stp/>
        <stp>BDP|14561769145504587993</stp>
        <tr r="N1428" s="2"/>
      </tp>
      <tp t="s">
        <v>#N/A N/A</v>
        <stp/>
        <stp>BDP|15784789384689358923</stp>
        <tr r="C1819" s="2"/>
      </tp>
      <tp t="s">
        <v>#N/A N/A</v>
        <stp/>
        <stp>BDP|12245534429748613747</stp>
        <tr r="F643" s="2"/>
      </tp>
      <tp t="s">
        <v>#N/A N/A</v>
        <stp/>
        <stp>BDP|18442392214387349700</stp>
        <tr r="K671" s="2"/>
      </tp>
      <tp t="s">
        <v>#N/A N/A</v>
        <stp/>
        <stp>BDP|10019591162098373126</stp>
        <tr r="F2217" s="2"/>
      </tp>
      <tp t="s">
        <v>#N/A N/A</v>
        <stp/>
        <stp>BDP|15812661931448233277</stp>
        <tr r="R1950" s="2"/>
      </tp>
      <tp t="s">
        <v>#N/A N/A</v>
        <stp/>
        <stp>BDP|15946876118921829749</stp>
        <tr r="E1127" s="2"/>
      </tp>
      <tp t="s">
        <v>#N/A N/A</v>
        <stp/>
        <stp>BDP|14953720280596791769</stp>
        <tr r="A820" s="2"/>
      </tp>
      <tp t="s">
        <v>#N/A N/A</v>
        <stp/>
        <stp>BDP|17972782096917989444</stp>
        <tr r="P1783" s="2"/>
      </tp>
      <tp t="s">
        <v>#N/A N/A</v>
        <stp/>
        <stp>BDP|14506543854639760784</stp>
        <tr r="D1817" s="2"/>
      </tp>
      <tp t="s">
        <v>#N/A N/A</v>
        <stp/>
        <stp>BDP|10865646953551410813</stp>
        <tr r="S234" s="2"/>
      </tp>
      <tp t="s">
        <v>#N/A N/A</v>
        <stp/>
        <stp>BDP|15075697313079011106</stp>
        <tr r="A683" s="2"/>
      </tp>
      <tp t="s">
        <v>#N/A N/A</v>
        <stp/>
        <stp>BDP|17712497294560215025</stp>
        <tr r="K661" s="2"/>
      </tp>
      <tp t="s">
        <v>#N/A N/A</v>
        <stp/>
        <stp>BDP|12836831732194744741</stp>
        <tr r="D677" s="2"/>
      </tp>
      <tp t="s">
        <v>#N/A N/A</v>
        <stp/>
        <stp>BDP|10470627998272717735</stp>
        <tr r="O2119" s="2"/>
      </tp>
      <tp t="s">
        <v>#N/A N/A</v>
        <stp/>
        <stp>BDP|16907363382385218257</stp>
        <tr r="O690" s="2"/>
      </tp>
      <tp t="s">
        <v>#N/A N/A</v>
        <stp/>
        <stp>BDP|11272704803238249493</stp>
        <tr r="E58" s="2"/>
      </tp>
      <tp t="s">
        <v>#N/A N/A</v>
        <stp/>
        <stp>BDP|14410550776074842853</stp>
        <tr r="T1478" s="2"/>
      </tp>
      <tp t="s">
        <v>#N/A N/A</v>
        <stp/>
        <stp>BDP|15356863767682930316</stp>
        <tr r="M2020" s="2"/>
      </tp>
      <tp t="s">
        <v>#N/A N/A</v>
        <stp/>
        <stp>BDP|10664510485481162691</stp>
        <tr r="N181" s="2"/>
      </tp>
      <tp t="s">
        <v>#N/A N/A</v>
        <stp/>
        <stp>BDP|15521863565522507391</stp>
        <tr r="O1423" s="2"/>
      </tp>
      <tp t="s">
        <v>#N/A N/A</v>
        <stp/>
        <stp>BDP|16828728386994262740</stp>
        <tr r="N1296" s="2"/>
      </tp>
      <tp t="s">
        <v>#N/A N/A</v>
        <stp/>
        <stp>BDP|16234883914232545712</stp>
        <tr r="G725" s="2"/>
      </tp>
      <tp t="s">
        <v>#N/A N/A</v>
        <stp/>
        <stp>BDP|15734410288607572416</stp>
        <tr r="N1876" s="2"/>
      </tp>
      <tp t="s">
        <v>#N/A N/A</v>
        <stp/>
        <stp>BDP|11083869958971424771</stp>
        <tr r="G652" s="2"/>
      </tp>
      <tp t="s">
        <v>#N/A N/A</v>
        <stp/>
        <stp>BDP|15772832446690817379</stp>
        <tr r="R434" s="2"/>
      </tp>
      <tp t="s">
        <v>#N/A N/A</v>
        <stp/>
        <stp>BDP|10488511184461804646</stp>
        <tr r="P1092" s="2"/>
      </tp>
      <tp t="s">
        <v>#N/A N/A</v>
        <stp/>
        <stp>BDP|15785082471790126825</stp>
        <tr r="C1179" s="2"/>
      </tp>
      <tp t="s">
        <v>#N/A N/A</v>
        <stp/>
        <stp>BDP|13689734662021237985</stp>
        <tr r="T945" s="2"/>
      </tp>
      <tp t="s">
        <v>#N/A N/A</v>
        <stp/>
        <stp>BDP|15426875669874137566</stp>
        <tr r="C761" s="2"/>
      </tp>
      <tp t="s">
        <v>#N/A N/A</v>
        <stp/>
        <stp>BDP|12590858212792648398</stp>
        <tr r="A701" s="2"/>
      </tp>
      <tp t="s">
        <v>#N/A N/A</v>
        <stp/>
        <stp>BDP|14962307524816535950</stp>
        <tr r="F1829" s="2"/>
      </tp>
      <tp t="s">
        <v>#N/A N/A</v>
        <stp/>
        <stp>BDP|16811972962854539751</stp>
        <tr r="A923" s="2"/>
      </tp>
      <tp t="s">
        <v>#N/A N/A</v>
        <stp/>
        <stp>BDP|10024362348388028538</stp>
        <tr r="J1891" s="2"/>
      </tp>
      <tp t="s">
        <v>#N/A N/A</v>
        <stp/>
        <stp>BDP|15806325569612720898</stp>
        <tr r="R1702" s="2"/>
      </tp>
      <tp t="s">
        <v>#N/A N/A</v>
        <stp/>
        <stp>BDS|18021850505718687284</stp>
        <tr r="I1774" s="2"/>
      </tp>
      <tp t="s">
        <v>#N/A N/A</v>
        <stp/>
        <stp>BDP|14566688920099721374</stp>
        <tr r="E98" s="2"/>
      </tp>
      <tp t="s">
        <v>#N/A N/A</v>
        <stp/>
        <stp>BDP|12332649966311934955</stp>
        <tr r="A1862" s="2"/>
      </tp>
      <tp t="s">
        <v>#N/A N/A</v>
        <stp/>
        <stp>BDP|10884016682311444326</stp>
        <tr r="M1349" s="2"/>
      </tp>
      <tp t="s">
        <v>#N/A N/A</v>
        <stp/>
        <stp>BDP|15915414332161783903</stp>
        <tr r="J242" s="2"/>
      </tp>
      <tp t="s">
        <v>#N/A N/A</v>
        <stp/>
        <stp>BDP|16914675306823167945</stp>
        <tr r="K1085" s="2"/>
      </tp>
      <tp t="s">
        <v>#N/A N/A</v>
        <stp/>
        <stp>BDP|15193079893851911717</stp>
        <tr r="P1168" s="2"/>
      </tp>
      <tp t="s">
        <v>#N/A N/A</v>
        <stp/>
        <stp>BDP|18397241509543319302</stp>
        <tr r="E51" s="2"/>
      </tp>
      <tp t="s">
        <v>#N/A N/A</v>
        <stp/>
        <stp>BDP|11646190570845279805</stp>
        <tr r="A1464" s="2"/>
      </tp>
      <tp t="s">
        <v>#N/A N/A</v>
        <stp/>
        <stp>BDP|12171918275436128097</stp>
        <tr r="C1823" s="2"/>
      </tp>
      <tp t="s">
        <v>#N/A N/A</v>
        <stp/>
        <stp>BDP|11840019894886130418</stp>
        <tr r="N608" s="2"/>
      </tp>
      <tp t="s">
        <v>#N/A N/A</v>
        <stp/>
        <stp>BDP|14750569077209200590</stp>
        <tr r="J2113" s="2"/>
      </tp>
      <tp t="s">
        <v>#N/A N/A</v>
        <stp/>
        <stp>BDP|13808301196432789143</stp>
        <tr r="H951" s="2"/>
      </tp>
      <tp t="s">
        <v>#N/A N/A</v>
        <stp/>
        <stp>BDP|11901665681564273119</stp>
        <tr r="N473" s="2"/>
      </tp>
      <tp t="s">
        <v>#N/A N/A</v>
        <stp/>
        <stp>BDS|14468328978188362234</stp>
        <tr r="I1659" s="2"/>
      </tp>
      <tp t="s">
        <v>#N/A N/A</v>
        <stp/>
        <stp>BDP|13287545125049686788</stp>
        <tr r="N1407" s="2"/>
      </tp>
      <tp t="s">
        <v>#N/A N/A</v>
        <stp/>
        <stp>BDP|17687207736535404997</stp>
        <tr r="P686" s="2"/>
      </tp>
      <tp t="s">
        <v>#N/A N/A</v>
        <stp/>
        <stp>BDP|16139999494109936584</stp>
        <tr r="S2003" s="2"/>
      </tp>
      <tp t="s">
        <v>#N/A N/A</v>
        <stp/>
        <stp>BDP|15135433613453429985</stp>
        <tr r="K1776" s="2"/>
      </tp>
      <tp t="s">
        <v>#N/A N/A</v>
        <stp/>
        <stp>BDP|15517864869214071573</stp>
        <tr r="M1630" s="2"/>
      </tp>
      <tp t="s">
        <v>#N/A N/A</v>
        <stp/>
        <stp>BDP|11528933654320745785</stp>
        <tr r="R1560" s="2"/>
      </tp>
      <tp t="s">
        <v>#N/A N/A</v>
        <stp/>
        <stp>BDP|12155432936408855715</stp>
        <tr r="S2001" s="2"/>
      </tp>
      <tp t="s">
        <v>#N/A N/A</v>
        <stp/>
        <stp>BDS|12559121975959562799</stp>
        <tr r="I1014" s="2"/>
      </tp>
      <tp t="s">
        <v>#N/A N/A</v>
        <stp/>
        <stp>BDP|11852712409288462492</stp>
        <tr r="J1626" s="2"/>
      </tp>
      <tp t="s">
        <v>#N/A N/A</v>
        <stp/>
        <stp>BDP|18246245603243141396</stp>
        <tr r="Q1934" s="2"/>
      </tp>
      <tp t="s">
        <v>#N/A N/A</v>
        <stp/>
        <stp>BDP|11932763554231067865</stp>
        <tr r="J1657" s="2"/>
      </tp>
      <tp t="s">
        <v>#N/A N/A</v>
        <stp/>
        <stp>BDP|14100531557206148897</stp>
        <tr r="F94" s="2"/>
      </tp>
      <tp t="s">
        <v>#N/A N/A</v>
        <stp/>
        <stp>BDP|15949057219518802606</stp>
        <tr r="C770" s="2"/>
      </tp>
      <tp t="s">
        <v>#N/A N/A</v>
        <stp/>
        <stp>BDP|13097479818595745951</stp>
        <tr r="H834" s="2"/>
      </tp>
      <tp t="s">
        <v>#N/A N/A</v>
        <stp/>
        <stp>BDP|11314317777729961610</stp>
        <tr r="M1032" s="2"/>
      </tp>
      <tp t="s">
        <v>#N/A N/A</v>
        <stp/>
        <stp>BDP|12964169802669387037</stp>
        <tr r="M1235" s="2"/>
      </tp>
      <tp t="s">
        <v>#N/A N/A</v>
        <stp/>
        <stp>BDP|17571953304582827615</stp>
        <tr r="N295" s="2"/>
      </tp>
      <tp t="s">
        <v>#N/A N/A</v>
        <stp/>
        <stp>BDP|14710556769658128575</stp>
        <tr r="S1727" s="2"/>
      </tp>
      <tp t="s">
        <v>#N/A N/A</v>
        <stp/>
        <stp>BDP|16369579965008814748</stp>
        <tr r="A2122" s="2"/>
      </tp>
      <tp t="s">
        <v>#N/A N/A</v>
        <stp/>
        <stp>BDP|11481127078504791945</stp>
        <tr r="T1703" s="2"/>
      </tp>
      <tp t="s">
        <v>#N/A N/A</v>
        <stp/>
        <stp>BDP|11141296514001539944</stp>
        <tr r="R824" s="2"/>
      </tp>
      <tp t="s">
        <v>#N/A N/A</v>
        <stp/>
        <stp>BDP|17547324914106717995</stp>
        <tr r="E618" s="2"/>
      </tp>
      <tp t="s">
        <v>#N/A N/A</v>
        <stp/>
        <stp>BDP|11859555347759657317</stp>
        <tr r="K1380" s="2"/>
      </tp>
      <tp t="s">
        <v>#N/A N/A</v>
        <stp/>
        <stp>BDP|11419129503118859209</stp>
        <tr r="M1658" s="2"/>
      </tp>
      <tp t="s">
        <v>#N/A N/A</v>
        <stp/>
        <stp>BDP|15481658158248400407</stp>
        <tr r="C1782" s="2"/>
      </tp>
      <tp t="s">
        <v>#N/A N/A</v>
        <stp/>
        <stp>BDP|12801549570338297236</stp>
        <tr r="G1046" s="2"/>
      </tp>
      <tp t="s">
        <v>#N/A N/A</v>
        <stp/>
        <stp>BDP|18259074079457233232</stp>
        <tr r="G1620" s="2"/>
      </tp>
      <tp t="s">
        <v>#N/A N/A</v>
        <stp/>
        <stp>BDP|13096516305448094496</stp>
        <tr r="P522" s="2"/>
      </tp>
      <tp t="s">
        <v>#N/A N/A</v>
        <stp/>
        <stp>BDP|10890419375539137002</stp>
        <tr r="F1421" s="2"/>
      </tp>
      <tp t="s">
        <v>#N/A N/A</v>
        <stp/>
        <stp>BDP|10251413594215815221</stp>
        <tr r="S1967" s="2"/>
      </tp>
      <tp t="s">
        <v>#N/A N/A</v>
        <stp/>
        <stp>BDP|15686136487376916068</stp>
        <tr r="T2068" s="2"/>
      </tp>
      <tp t="s">
        <v>#N/A N/A</v>
        <stp/>
        <stp>BDS|16688444496647358684</stp>
        <tr r="I912" s="2"/>
      </tp>
      <tp t="s">
        <v>#N/A N/A</v>
        <stp/>
        <stp>BDP|12650883530942554170</stp>
        <tr r="J1404" s="2"/>
      </tp>
      <tp t="s">
        <v>#N/A N/A</v>
        <stp/>
        <stp>BDS|13529140218888730113</stp>
        <tr r="I1189" s="2"/>
      </tp>
      <tp t="s">
        <v>#N/A N/A</v>
        <stp/>
        <stp>BDP|10219064016202994977</stp>
        <tr r="G1950" s="2"/>
      </tp>
      <tp t="s">
        <v>#N/A N/A</v>
        <stp/>
        <stp>BDP|14004318801194988958</stp>
        <tr r="T1501" s="2"/>
      </tp>
      <tp t="s">
        <v>#N/A N/A</v>
        <stp/>
        <stp>BDP|11444721129397470978</stp>
        <tr r="J547" s="2"/>
      </tp>
      <tp t="s">
        <v>#N/A N/A</v>
        <stp/>
        <stp>BDP|12078699189286836046</stp>
        <tr r="G227" s="2"/>
      </tp>
      <tp t="s">
        <v>#N/A N/A</v>
        <stp/>
        <stp>BDP|11818820331911417131</stp>
        <tr r="P336" s="2"/>
      </tp>
      <tp t="s">
        <v>#N/A N/A</v>
        <stp/>
        <stp>BDP|14125347118118849498</stp>
        <tr r="C1066" s="2"/>
      </tp>
      <tp t="s">
        <v>#N/A N/A</v>
        <stp/>
        <stp>BDP|10446605586140788490</stp>
        <tr r="P1619" s="2"/>
      </tp>
      <tp t="s">
        <v>#N/A N/A</v>
        <stp/>
        <stp>BDP|16207918848167238652</stp>
        <tr r="D785" s="2"/>
      </tp>
      <tp t="s">
        <v>#N/A N/A</v>
        <stp/>
        <stp>BDP|17352014376648886207</stp>
        <tr r="E251" s="2"/>
      </tp>
      <tp t="s">
        <v>#N/A N/A</v>
        <stp/>
        <stp>BDS|17158689467709975483</stp>
        <tr r="I773" s="2"/>
      </tp>
      <tp t="s">
        <v>#N/A N/A</v>
        <stp/>
        <stp>BDP|11140848422460840133</stp>
        <tr r="D1338" s="2"/>
      </tp>
      <tp t="s">
        <v>#N/A N/A</v>
        <stp/>
        <stp>BDP|13013582332898127777</stp>
        <tr r="D1437" s="2"/>
      </tp>
      <tp t="s">
        <v>#N/A N/A</v>
        <stp/>
        <stp>BDP|17892873134385258352</stp>
        <tr r="O946" s="2"/>
      </tp>
      <tp t="s">
        <v>#N/A N/A</v>
        <stp/>
        <stp>BDS|13283655072119300192</stp>
        <tr r="I2221" s="2"/>
      </tp>
      <tp t="s">
        <v>#N/A N/A</v>
        <stp/>
        <stp>BDP|12399605029664150872</stp>
        <tr r="C1043" s="2"/>
      </tp>
      <tp t="s">
        <v>#N/A N/A</v>
        <stp/>
        <stp>BDP|17285406845668212594</stp>
        <tr r="S635" s="2"/>
      </tp>
      <tp t="s">
        <v>#N/A N/A</v>
        <stp/>
        <stp>BDP|11590472673360428897</stp>
        <tr r="G509" s="2"/>
      </tp>
      <tp t="s">
        <v>#N/A N/A</v>
        <stp/>
        <stp>BDP|14028894016110683752</stp>
        <tr r="D2068" s="2"/>
      </tp>
      <tp t="s">
        <v>#N/A N/A</v>
        <stp/>
        <stp>BDP|18315410519315595226</stp>
        <tr r="C676" s="2"/>
      </tp>
      <tp t="s">
        <v>#N/A N/A</v>
        <stp/>
        <stp>BDP|16307171336817842960</stp>
        <tr r="F2015" s="2"/>
      </tp>
      <tp t="s">
        <v>#N/A N/A</v>
        <stp/>
        <stp>BDP|17569178265202258894</stp>
        <tr r="K1806" s="2"/>
      </tp>
      <tp t="s">
        <v>#N/A N/A</v>
        <stp/>
        <stp>BDP|10231621060948857243</stp>
        <tr r="N773" s="2"/>
      </tp>
      <tp t="s">
        <v>#N/A N/A</v>
        <stp/>
        <stp>BDP|12186992628404907752</stp>
        <tr r="D533" s="2"/>
      </tp>
      <tp t="s">
        <v>#N/A N/A</v>
        <stp/>
        <stp>BDP|17277944242730981010</stp>
        <tr r="M2209" s="2"/>
      </tp>
      <tp t="s">
        <v>#N/A N/A</v>
        <stp/>
        <stp>BDP|10157997057875276311</stp>
        <tr r="C611" s="2"/>
      </tp>
      <tp t="s">
        <v>#N/A N/A</v>
        <stp/>
        <stp>BDS|12715448798416622323</stp>
        <tr r="I1281" s="2"/>
      </tp>
      <tp t="s">
        <v>#N/A N/A</v>
        <stp/>
        <stp>BDP|10256852103671150398</stp>
        <tr r="F592" s="2"/>
      </tp>
      <tp t="s">
        <v>#N/A N/A</v>
        <stp/>
        <stp>BDP|14188125287910909718</stp>
        <tr r="G799" s="2"/>
      </tp>
      <tp t="s">
        <v>#N/A N/A</v>
        <stp/>
        <stp>BDP|17498389485264663237</stp>
        <tr r="Q1864" s="2"/>
      </tp>
      <tp t="s">
        <v>#N/A N/A</v>
        <stp/>
        <stp>BDP|17638086642109955092</stp>
        <tr r="O442" s="2"/>
      </tp>
      <tp t="s">
        <v>#N/A N/A</v>
        <stp/>
        <stp>BDP|10861709485586288331</stp>
        <tr r="H1426" s="2"/>
      </tp>
      <tp t="s">
        <v>#N/A N/A</v>
        <stp/>
        <stp>BDP|11871711592652124761</stp>
        <tr r="K1109" s="2"/>
      </tp>
      <tp t="s">
        <v>#N/A N/A</v>
        <stp/>
        <stp>BDP|16090770515622783894</stp>
        <tr r="D588" s="2"/>
      </tp>
      <tp t="s">
        <v>#N/A N/A</v>
        <stp/>
        <stp>BDP|18183437444066356499</stp>
        <tr r="D1370" s="2"/>
      </tp>
      <tp t="s">
        <v>#N/A N/A</v>
        <stp/>
        <stp>BDP|14373880125641726550</stp>
        <tr r="D1893" s="2"/>
      </tp>
      <tp t="s">
        <v>#N/A N/A</v>
        <stp/>
        <stp>BDP|11602555430029940463</stp>
        <tr r="F963" s="2"/>
      </tp>
      <tp t="s">
        <v>#N/A N/A</v>
        <stp/>
        <stp>BDP|12723571698225113152</stp>
        <tr r="P600" s="2"/>
      </tp>
      <tp t="s">
        <v>#N/A N/A</v>
        <stp/>
        <stp>BDP|12301378696597679588</stp>
        <tr r="N2063" s="2"/>
      </tp>
      <tp t="s">
        <v>#N/A N/A</v>
        <stp/>
        <stp>BDP|15704359457169835019</stp>
        <tr r="Q1406" s="2"/>
      </tp>
      <tp t="s">
        <v>#N/A N/A</v>
        <stp/>
        <stp>BDP|17223888750619297947</stp>
        <tr r="K571" s="2"/>
      </tp>
      <tp t="s">
        <v>#N/A N/A</v>
        <stp/>
        <stp>BDP|10669370293352810265</stp>
        <tr r="C1053" s="2"/>
      </tp>
      <tp t="s">
        <v>#N/A N/A</v>
        <stp/>
        <stp>BDP|13550790231724348927</stp>
        <tr r="F1858" s="2"/>
      </tp>
      <tp t="s">
        <v>#N/A N/A</v>
        <stp/>
        <stp>BDP|16741416981877325789</stp>
        <tr r="F1338" s="2"/>
      </tp>
      <tp t="s">
        <v>#N/A N/A</v>
        <stp/>
        <stp>BDP|13066425581102724781</stp>
        <tr r="E1698" s="2"/>
      </tp>
      <tp t="s">
        <v>#N/A N/A</v>
        <stp/>
        <stp>BDP|13865566961189096339</stp>
        <tr r="M380" s="2"/>
      </tp>
      <tp t="s">
        <v>#N/A N/A</v>
        <stp/>
        <stp>BDP|14894979893709956792</stp>
        <tr r="F1961" s="2"/>
      </tp>
      <tp t="s">
        <v>#N/A N/A</v>
        <stp/>
        <stp>BDP|18287244610896269782</stp>
        <tr r="G264" s="2"/>
      </tp>
      <tp t="s">
        <v>#N/A N/A</v>
        <stp/>
        <stp>BDP|17742353033134961940</stp>
        <tr r="O41" s="2"/>
      </tp>
      <tp t="s">
        <v>#N/A N/A</v>
        <stp/>
        <stp>BDP|17842627852587631922</stp>
        <tr r="Q502" s="2"/>
      </tp>
      <tp t="s">
        <v>#N/A N/A</v>
        <stp/>
        <stp>BDP|10531121215739612383</stp>
        <tr r="D617" s="2"/>
      </tp>
      <tp t="s">
        <v>#N/A N/A</v>
        <stp/>
        <stp>BDP|15916056893847415178</stp>
        <tr r="E194" s="2"/>
      </tp>
      <tp t="s">
        <v>#N/A N/A</v>
        <stp/>
        <stp>BDP|11931817208732566193</stp>
        <tr r="O1265" s="2"/>
      </tp>
      <tp t="s">
        <v>#N/A N/A</v>
        <stp/>
        <stp>BDP|12555730796702403484</stp>
        <tr r="N1000" s="2"/>
      </tp>
      <tp t="s">
        <v>#N/A N/A</v>
        <stp/>
        <stp>BDP|11504551165808986007</stp>
        <tr r="S1001" s="2"/>
      </tp>
      <tp t="s">
        <v>#N/A N/A</v>
        <stp/>
        <stp>BDP|10859703231599730726</stp>
        <tr r="K1316" s="2"/>
      </tp>
      <tp t="s">
        <v>#N/A N/A</v>
        <stp/>
        <stp>BDP|15460497786904195767</stp>
        <tr r="Q620" s="2"/>
      </tp>
      <tp t="s">
        <v>#N/A N/A</v>
        <stp/>
        <stp>BDP|16543857598639377474</stp>
        <tr r="N1245" s="2"/>
      </tp>
      <tp t="s">
        <v>#N/A N/A</v>
        <stp/>
        <stp>BDP|10472047726511809920</stp>
        <tr r="J1803" s="2"/>
      </tp>
      <tp t="s">
        <v>#N/A N/A</v>
        <stp/>
        <stp>BDP|16798005719429096424</stp>
        <tr r="O1818" s="2"/>
      </tp>
      <tp t="s">
        <v>#N/A N/A</v>
        <stp/>
        <stp>BDP|11480944298328790333</stp>
        <tr r="Q745" s="2"/>
      </tp>
      <tp t="s">
        <v>#N/A N/A</v>
        <stp/>
        <stp>BDP|17813808014127483345</stp>
        <tr r="P1186" s="2"/>
      </tp>
      <tp t="s">
        <v>#N/A N/A</v>
        <stp/>
        <stp>BDP|10194887395092093903</stp>
        <tr r="N742" s="2"/>
      </tp>
      <tp t="s">
        <v>#N/A N/A</v>
        <stp/>
        <stp>BDP|11862928122945078544</stp>
        <tr r="H1930" s="2"/>
      </tp>
      <tp t="s">
        <v>#N/A N/A</v>
        <stp/>
        <stp>BDP|12220157828199229212</stp>
        <tr r="R660" s="2"/>
      </tp>
      <tp t="s">
        <v>#N/A N/A</v>
        <stp/>
        <stp>BDP|16772403219428630147</stp>
        <tr r="N560" s="2"/>
      </tp>
      <tp t="s">
        <v>#N/A N/A</v>
        <stp/>
        <stp>BDP|15610234943189893016</stp>
        <tr r="E873" s="2"/>
      </tp>
      <tp t="s">
        <v>#N/A N/A</v>
        <stp/>
        <stp>BDP|15051652149158148528</stp>
        <tr r="M513" s="2"/>
      </tp>
      <tp t="s">
        <v>#N/A N/A</v>
        <stp/>
        <stp>BDP|15896077080353669461</stp>
        <tr r="R1183" s="2"/>
      </tp>
      <tp t="s">
        <v>#N/A N/A</v>
        <stp/>
        <stp>BDP|11286122944588303685</stp>
        <tr r="O52" s="2"/>
      </tp>
      <tp t="s">
        <v>#N/A N/A</v>
        <stp/>
        <stp>BDP|17545814723833130491</stp>
        <tr r="Q1029" s="2"/>
      </tp>
      <tp t="s">
        <v>#N/A N/A</v>
        <stp/>
        <stp>BDP|11664091529060944909</stp>
        <tr r="E1198" s="2"/>
      </tp>
      <tp t="s">
        <v>#N/A N/A</v>
        <stp/>
        <stp>BDP|14550323948050299926</stp>
        <tr r="F1710" s="2"/>
      </tp>
      <tp t="s">
        <v>#N/A N/A</v>
        <stp/>
        <stp>BDP|10899460340783926985</stp>
        <tr r="H881" s="2"/>
      </tp>
      <tp t="s">
        <v>#N/A N/A</v>
        <stp/>
        <stp>BDP|12296618098214083342</stp>
        <tr r="G1334" s="2"/>
      </tp>
      <tp t="s">
        <v>#N/A N/A</v>
        <stp/>
        <stp>BDP|10895451700758175631</stp>
        <tr r="S2119" s="2"/>
      </tp>
      <tp t="s">
        <v>#N/A N/A</v>
        <stp/>
        <stp>BDP|11768807427801902061</stp>
        <tr r="G293" s="2"/>
      </tp>
      <tp t="s">
        <v>#N/A N/A</v>
        <stp/>
        <stp>BDP|15472898813516212033</stp>
        <tr r="R1218" s="2"/>
      </tp>
      <tp t="s">
        <v>#N/A N/A</v>
        <stp/>
        <stp>BDP|15104734785313173398</stp>
        <tr r="G308" s="2"/>
      </tp>
      <tp t="s">
        <v>#N/A N/A</v>
        <stp/>
        <stp>BDP|16127296874969558060</stp>
        <tr r="K1413" s="2"/>
      </tp>
      <tp t="s">
        <v>#N/A N/A</v>
        <stp/>
        <stp>BDP|12559162089425440418</stp>
        <tr r="P1666" s="2"/>
      </tp>
      <tp t="s">
        <v>#N/A N/A</v>
        <stp/>
        <stp>BDP|17457870931943420590</stp>
        <tr r="G109" s="2"/>
      </tp>
      <tp t="s">
        <v>#N/A N/A</v>
        <stp/>
        <stp>BDP|15853664783979477861</stp>
        <tr r="P1464" s="2"/>
      </tp>
      <tp t="s">
        <v>#N/A N/A</v>
        <stp/>
        <stp>BDP|15526673142824919965</stp>
        <tr r="A995" s="2"/>
      </tp>
      <tp t="s">
        <v>#N/A N/A</v>
        <stp/>
        <stp>BDP|11534434285872405582</stp>
        <tr r="P478" s="2"/>
      </tp>
      <tp t="s">
        <v>#N/A N/A</v>
        <stp/>
        <stp>BDP|16000534289211194042</stp>
        <tr r="R1408" s="2"/>
      </tp>
      <tp t="s">
        <v>#N/A N/A</v>
        <stp/>
        <stp>BDP|17297496813150713803</stp>
        <tr r="M312" s="2"/>
      </tp>
      <tp t="s">
        <v>#N/A N/A</v>
        <stp/>
        <stp>BDP|11355678698763343702</stp>
        <tr r="N861" s="2"/>
      </tp>
      <tp t="s">
        <v>#N/A N/A</v>
        <stp/>
        <stp>BDP|10680724479742402867</stp>
        <tr r="D1917" s="2"/>
      </tp>
      <tp t="s">
        <v>#N/A N/A</v>
        <stp/>
        <stp>BDP|13995961353571423473</stp>
        <tr r="T203" s="2"/>
      </tp>
      <tp t="s">
        <v>#N/A N/A</v>
        <stp/>
        <stp>BDP|15839650460309051626</stp>
        <tr r="S2142" s="2"/>
      </tp>
      <tp t="s">
        <v>#N/A N/A</v>
        <stp/>
        <stp>BDP|11607824803582149196</stp>
        <tr r="F324" s="2"/>
      </tp>
      <tp t="s">
        <v>#N/A N/A</v>
        <stp/>
        <stp>BDP|12068986545357396219</stp>
        <tr r="P1575" s="2"/>
      </tp>
      <tp t="s">
        <v>#N/A N/A</v>
        <stp/>
        <stp>BDP|10921466975571634831</stp>
        <tr r="N1715" s="2"/>
      </tp>
      <tp t="s">
        <v>#N/A N/A</v>
        <stp/>
        <stp>BDP|11747103432358236184</stp>
        <tr r="Q1441" s="2"/>
      </tp>
      <tp t="s">
        <v>#N/A N/A</v>
        <stp/>
        <stp>BDP|16496056789966427237</stp>
        <tr r="H1912" s="2"/>
      </tp>
      <tp t="s">
        <v>#N/A N/A</v>
        <stp/>
        <stp>BDP|16298641307708957278</stp>
        <tr r="E1110" s="2"/>
      </tp>
      <tp t="s">
        <v>#N/A N/A</v>
        <stp/>
        <stp>BDP|10842613513095714824</stp>
        <tr r="N149" s="2"/>
      </tp>
      <tp t="s">
        <v>#N/A N/A</v>
        <stp/>
        <stp>BDP|17028482189743759290</stp>
        <tr r="S1587" s="2"/>
      </tp>
      <tp t="s">
        <v>#N/A N/A</v>
        <stp/>
        <stp>BDP|14406579271868805453</stp>
        <tr r="R935" s="2"/>
      </tp>
      <tp t="s">
        <v>#N/A N/A</v>
        <stp/>
        <stp>BDP|13801714714138643743</stp>
        <tr r="S1776" s="2"/>
      </tp>
      <tp t="s">
        <v>#N/A N/A</v>
        <stp/>
        <stp>BDP|12907685099637565027</stp>
        <tr r="K2064" s="2"/>
      </tp>
      <tp t="s">
        <v>#N/A N/A</v>
        <stp/>
        <stp>BDP|11598714831387282887</stp>
        <tr r="P17" s="2"/>
      </tp>
      <tp t="s">
        <v>#N/A N/A</v>
        <stp/>
        <stp>BDP|12107900205770318187</stp>
        <tr r="E2193" s="2"/>
      </tp>
      <tp t="s">
        <v>#N/A N/A</v>
        <stp/>
        <stp>BDP|11902612483694318174</stp>
        <tr r="K593" s="2"/>
      </tp>
      <tp t="s">
        <v>#N/A N/A</v>
        <stp/>
        <stp>BDP|13100049462209132699</stp>
        <tr r="P2136" s="2"/>
      </tp>
      <tp t="s">
        <v>#N/A N/A</v>
        <stp/>
        <stp>BDP|12920713883896297160</stp>
        <tr r="H305" s="2"/>
      </tp>
      <tp t="s">
        <v>#N/A N/A</v>
        <stp/>
        <stp>BDP|15402739609708577049</stp>
        <tr r="R126" s="2"/>
      </tp>
      <tp t="s">
        <v>#N/A N/A</v>
        <stp/>
        <stp>BDP|16531877239866046148</stp>
        <tr r="O558" s="2"/>
      </tp>
      <tp t="s">
        <v>#N/A N/A</v>
        <stp/>
        <stp>BDP|15608362060813690994</stp>
        <tr r="H1985" s="2"/>
      </tp>
      <tp t="s">
        <v>#N/A N/A</v>
        <stp/>
        <stp>BDP|16579133249070757976</stp>
        <tr r="H1412" s="2"/>
      </tp>
      <tp t="s">
        <v>#N/A N/A</v>
        <stp/>
        <stp>BDP|17024817729534456332</stp>
        <tr r="J1583" s="2"/>
      </tp>
      <tp t="s">
        <v>#N/A N/A</v>
        <stp/>
        <stp>BDP|17504152331537665886</stp>
        <tr r="C1490" s="2"/>
      </tp>
      <tp t="s">
        <v>#N/A N/A</v>
        <stp/>
        <stp>BDP|16635958855013950308</stp>
        <tr r="S451" s="2"/>
      </tp>
      <tp t="s">
        <v>#N/A N/A</v>
        <stp/>
        <stp>BDP|16565854972446931543</stp>
        <tr r="P1268" s="2"/>
      </tp>
      <tp t="s">
        <v>#N/A N/A</v>
        <stp/>
        <stp>BDP|10085394464896440966</stp>
        <tr r="E1102" s="2"/>
      </tp>
      <tp t="s">
        <v>#N/A N/A</v>
        <stp/>
        <stp>BDP|13053591683084437011</stp>
        <tr r="S1201" s="2"/>
      </tp>
      <tp t="s">
        <v>#N/A N/A</v>
        <stp/>
        <stp>BDP|13924546984070250447</stp>
        <tr r="H547" s="2"/>
      </tp>
      <tp t="s">
        <v>#N/A N/A</v>
        <stp/>
        <stp>BDP|10468782264312638912</stp>
        <tr r="N1729" s="2"/>
      </tp>
      <tp t="s">
        <v>#N/A N/A</v>
        <stp/>
        <stp>BDP|14096419536559114092</stp>
        <tr r="T744" s="2"/>
      </tp>
      <tp t="s">
        <v>#N/A N/A</v>
        <stp/>
        <stp>BDP|12917812503424775435</stp>
        <tr r="N1188" s="2"/>
      </tp>
      <tp t="s">
        <v>#N/A N/A</v>
        <stp/>
        <stp>BDP|10897140845629789612</stp>
        <tr r="A548" s="2"/>
      </tp>
      <tp t="s">
        <v>#N/A N/A</v>
        <stp/>
        <stp>BDP|13346041684312922351</stp>
        <tr r="P187" s="2"/>
      </tp>
      <tp t="s">
        <v>#N/A N/A</v>
        <stp/>
        <stp>BDS|14914342543711563877</stp>
        <tr r="I1884" s="2"/>
      </tp>
      <tp t="s">
        <v>#N/A N/A</v>
        <stp/>
        <stp>BDP|14008171595084528287</stp>
        <tr r="K121" s="2"/>
      </tp>
      <tp t="s">
        <v>#N/A N/A</v>
        <stp/>
        <stp>BDP|16502301442133921816</stp>
        <tr r="R757" s="2"/>
      </tp>
      <tp t="s">
        <v>#N/A N/A</v>
        <stp/>
        <stp>BDP|17857434005529984088</stp>
        <tr r="M125" s="2"/>
      </tp>
      <tp t="s">
        <v>#N/A N/A</v>
        <stp/>
        <stp>BDP|15777405978248628466</stp>
        <tr r="C20" s="2"/>
      </tp>
      <tp t="s">
        <v>#N/A N/A</v>
        <stp/>
        <stp>BDP|11070543891121882636</stp>
        <tr r="M1029" s="2"/>
      </tp>
      <tp t="s">
        <v>#N/A N/A</v>
        <stp/>
        <stp>BDP|10867409766560213820</stp>
        <tr r="O1478" s="2"/>
      </tp>
      <tp t="s">
        <v>#N/A N/A</v>
        <stp/>
        <stp>BDP|15518427929690829989</stp>
        <tr r="R1135" s="2"/>
      </tp>
      <tp t="s">
        <v>#N/A N/A</v>
        <stp/>
        <stp>BDP|11736416886861644683</stp>
        <tr r="N335" s="2"/>
      </tp>
      <tp t="s">
        <v>#N/A N/A</v>
        <stp/>
        <stp>BDP|15992752602149178117</stp>
        <tr r="C1129" s="2"/>
      </tp>
      <tp t="s">
        <v>#N/A N/A</v>
        <stp/>
        <stp>BDP|10971955821849504863</stp>
        <tr r="G1939" s="2"/>
      </tp>
      <tp t="s">
        <v>#N/A N/A</v>
        <stp/>
        <stp>BDP|14695874354691812232</stp>
        <tr r="T539" s="2"/>
      </tp>
      <tp t="s">
        <v>#N/A N/A</v>
        <stp/>
        <stp>BDP|15840212828087767888</stp>
        <tr r="R646" s="2"/>
      </tp>
      <tp t="s">
        <v>#N/A N/A</v>
        <stp/>
        <stp>BDP|12162149329502301912</stp>
        <tr r="G1957" s="2"/>
      </tp>
      <tp t="s">
        <v>#N/A N/A</v>
        <stp/>
        <stp>BDP|11663598434888782521</stp>
        <tr r="O2118" s="2"/>
      </tp>
      <tp t="s">
        <v>#N/A N/A</v>
        <stp/>
        <stp>BDP|17441828462786863522</stp>
        <tr r="E2154" s="2"/>
      </tp>
      <tp t="s">
        <v>#N/A N/A</v>
        <stp/>
        <stp>BDP|11007272031339885306</stp>
        <tr r="O1042" s="2"/>
      </tp>
      <tp t="s">
        <v>#N/A N/A</v>
        <stp/>
        <stp>BDP|12608508778483924991</stp>
        <tr r="A1437" s="2"/>
      </tp>
      <tp t="s">
        <v>#N/A N/A</v>
        <stp/>
        <stp>BDP|12935507240861302843</stp>
        <tr r="J122" s="2"/>
      </tp>
      <tp t="s">
        <v>#N/A N/A</v>
        <stp/>
        <stp>BDP|13418832819891960193</stp>
        <tr r="K490" s="2"/>
      </tp>
      <tp t="s">
        <v>#N/A N/A</v>
        <stp/>
        <stp>BDP|13596977124410823206</stp>
        <tr r="E2100" s="2"/>
      </tp>
      <tp t="s">
        <v>#N/A N/A</v>
        <stp/>
        <stp>BDP|13297149593352890334</stp>
        <tr r="G798" s="2"/>
      </tp>
      <tp t="s">
        <v>#N/A N/A</v>
        <stp/>
        <stp>BDP|13569098534722376853</stp>
        <tr r="S1603" s="2"/>
      </tp>
      <tp t="s">
        <v>#N/A N/A</v>
        <stp/>
        <stp>BDP|12178999265494254313</stp>
        <tr r="K933" s="2"/>
      </tp>
      <tp t="s">
        <v>#N/A N/A</v>
        <stp/>
        <stp>BDP|10264677142428091090</stp>
        <tr r="P920" s="2"/>
      </tp>
      <tp t="s">
        <v>#N/A N/A</v>
        <stp/>
        <stp>BDP|12026584293971772524</stp>
        <tr r="G6" s="2"/>
      </tp>
      <tp t="s">
        <v>#N/A N/A</v>
        <stp/>
        <stp>BDP|13781380480204088611</stp>
        <tr r="P901" s="2"/>
      </tp>
      <tp t="s">
        <v>#N/A N/A</v>
        <stp/>
        <stp>BDP|11532093970654462863</stp>
        <tr r="J1867" s="2"/>
      </tp>
      <tp t="s">
        <v>#N/A N/A</v>
        <stp/>
        <stp>BDP|16145274900058970614</stp>
        <tr r="E1510" s="2"/>
      </tp>
      <tp t="s">
        <v>#N/A N/A</v>
        <stp/>
        <stp>BDP|16499630096753645099</stp>
        <tr r="A1386" s="2"/>
      </tp>
      <tp t="s">
        <v>#N/A N/A</v>
        <stp/>
        <stp>BDP|13325901675885083280</stp>
        <tr r="F2014" s="2"/>
      </tp>
      <tp t="s">
        <v>#N/A N/A</v>
        <stp/>
        <stp>BDP|12071397035220016820</stp>
        <tr r="H1782" s="2"/>
      </tp>
      <tp t="s">
        <v>#N/A N/A</v>
        <stp/>
        <stp>BDP|16831845301022464673</stp>
        <tr r="A1670" s="2"/>
      </tp>
      <tp t="s">
        <v>#N/A N/A</v>
        <stp/>
        <stp>BDP|11093407818598091661</stp>
        <tr r="N145" s="2"/>
      </tp>
      <tp t="s">
        <v>#N/A N/A</v>
        <stp/>
        <stp>BDP|15294369142709808105</stp>
        <tr r="R154" s="2"/>
      </tp>
      <tp t="s">
        <v>#N/A N/A</v>
        <stp/>
        <stp>BDP|17180463588615170408</stp>
        <tr r="Q571" s="2"/>
      </tp>
      <tp t="s">
        <v>#N/A N/A</v>
        <stp/>
        <stp>BDP|12951630983600408631</stp>
        <tr r="Q1914" s="2"/>
      </tp>
      <tp t="s">
        <v>#N/A N/A</v>
        <stp/>
        <stp>BDS|16860267912386835990</stp>
        <tr r="I757" s="2"/>
      </tp>
      <tp t="s">
        <v>#N/A N/A</v>
        <stp/>
        <stp>BDP|15514643065107903832</stp>
        <tr r="T197" s="2"/>
      </tp>
      <tp t="s">
        <v>#N/A N/A</v>
        <stp/>
        <stp>BDP|11451610330227211997</stp>
        <tr r="H1159" s="2"/>
      </tp>
      <tp t="s">
        <v>#N/A N/A</v>
        <stp/>
        <stp>BDP|15850474067125521833</stp>
        <tr r="A31" s="2"/>
      </tp>
      <tp t="s">
        <v>#N/A N/A</v>
        <stp/>
        <stp>BDP|16084087661143795906</stp>
        <tr r="C1720" s="2"/>
      </tp>
      <tp t="s">
        <v>#N/A N/A</v>
        <stp/>
        <stp>BDP|17985968241082073207</stp>
        <tr r="J521" s="2"/>
      </tp>
      <tp t="s">
        <v>#N/A N/A</v>
        <stp/>
        <stp>BDP|13007614429129429427</stp>
        <tr r="C1691" s="2"/>
      </tp>
      <tp t="s">
        <v>#N/A N/A</v>
        <stp/>
        <stp>BDP|16123985063501039241</stp>
        <tr r="P160" s="2"/>
      </tp>
      <tp t="s">
        <v>#N/A N/A</v>
        <stp/>
        <stp>BDP|10070163188701478243</stp>
        <tr r="J807" s="2"/>
      </tp>
      <tp t="s">
        <v>#N/A N/A</v>
        <stp/>
        <stp>BDP|11106974852200366797</stp>
        <tr r="S529" s="2"/>
      </tp>
      <tp t="s">
        <v>#N/A N/A</v>
        <stp/>
        <stp>BDP|15898731386960206016</stp>
        <tr r="K986" s="2"/>
      </tp>
      <tp t="s">
        <v>#N/A N/A</v>
        <stp/>
        <stp>BDP|11933582189614724212</stp>
        <tr r="E1840" s="2"/>
      </tp>
      <tp t="s">
        <v>#N/A N/A</v>
        <stp/>
        <stp>BDP|18046490237435078001</stp>
        <tr r="F1446" s="2"/>
      </tp>
      <tp t="s">
        <v>#N/A N/A</v>
        <stp/>
        <stp>BDP|15884861934674382071</stp>
        <tr r="T618" s="2"/>
      </tp>
      <tp t="s">
        <v>#N/A N/A</v>
        <stp/>
        <stp>BDP|16764001805534855841</stp>
        <tr r="F2246" s="2"/>
      </tp>
      <tp t="s">
        <v>#N/A N/A</v>
        <stp/>
        <stp>BDP|16406524136269714391</stp>
        <tr r="D969" s="2"/>
      </tp>
      <tp t="s">
        <v>#N/A N/A</v>
        <stp/>
        <stp>BDP|10883347293838021813</stp>
        <tr r="F1705" s="2"/>
      </tp>
      <tp t="s">
        <v>#N/A N/A</v>
        <stp/>
        <stp>BDP|14030782793550721020</stp>
        <tr r="J191" s="2"/>
      </tp>
      <tp t="s">
        <v>#N/A N/A</v>
        <stp/>
        <stp>BDP|12332992251064114046</stp>
        <tr r="P1041" s="2"/>
      </tp>
      <tp t="s">
        <v>#N/A N/A</v>
        <stp/>
        <stp>BDP|13099915867746187095</stp>
        <tr r="H831" s="2"/>
      </tp>
      <tp t="s">
        <v>#N/A N/A</v>
        <stp/>
        <stp>BDP|16809943695548229452</stp>
        <tr r="E295" s="2"/>
      </tp>
      <tp t="s">
        <v>#N/A N/A</v>
        <stp/>
        <stp>BDP|11257967810435365695</stp>
        <tr r="G454" s="2"/>
      </tp>
      <tp t="s">
        <v>#N/A N/A</v>
        <stp/>
        <stp>BDP|12340221499140406321</stp>
        <tr r="R48" s="2"/>
      </tp>
      <tp t="s">
        <v>#N/A N/A</v>
        <stp/>
        <stp>BDP|17605763745268375683</stp>
        <tr r="G1018" s="2"/>
      </tp>
      <tp t="s">
        <v>#N/A N/A</v>
        <stp/>
        <stp>BDP|12321972797619428190</stp>
        <tr r="T1709" s="2"/>
      </tp>
      <tp t="s">
        <v>#N/A N/A</v>
        <stp/>
        <stp>BDP|11127967828000686079</stp>
        <tr r="N1016" s="2"/>
      </tp>
      <tp t="s">
        <v>#N/A N/A</v>
        <stp/>
        <stp>BDP|15033336938538622736</stp>
        <tr r="C997" s="2"/>
      </tp>
      <tp t="s">
        <v>#N/A N/A</v>
        <stp/>
        <stp>BDP|15540968059817406400</stp>
        <tr r="F1925" s="2"/>
      </tp>
      <tp t="s">
        <v>#N/A N/A</v>
        <stp/>
        <stp>BDP|14566358050438783096</stp>
        <tr r="J395" s="2"/>
      </tp>
      <tp t="s">
        <v>#N/A N/A</v>
        <stp/>
        <stp>BDP|11463297194360135065</stp>
        <tr r="A946" s="2"/>
      </tp>
      <tp t="s">
        <v>#N/A N/A</v>
        <stp/>
        <stp>BDP|15985392460829611387</stp>
        <tr r="R1221" s="2"/>
      </tp>
      <tp t="s">
        <v>#N/A N/A</v>
        <stp/>
        <stp>BDP|17052983332586312189</stp>
        <tr r="F687" s="2"/>
      </tp>
      <tp t="s">
        <v>#N/A N/A</v>
        <stp/>
        <stp>BDP|11414364383575624569</stp>
        <tr r="T1320" s="2"/>
      </tp>
      <tp t="s">
        <v>#N/A N/A</v>
        <stp/>
        <stp>BDP|10290831665025115142</stp>
        <tr r="C266" s="2"/>
      </tp>
      <tp t="s">
        <v>#N/A N/A</v>
        <stp/>
        <stp>BDP|15785054833684587859</stp>
        <tr r="O346" s="2"/>
      </tp>
      <tp t="s">
        <v>#N/A N/A</v>
        <stp/>
        <stp>BDS|15506732664818686668</stp>
        <tr r="I1691" s="2"/>
      </tp>
      <tp t="s">
        <v>#N/A N/A</v>
        <stp/>
        <stp>BDP|10501858193238180338</stp>
        <tr r="K192" s="2"/>
      </tp>
      <tp t="s">
        <v>#N/A N/A</v>
        <stp/>
        <stp>BDP|17862146223537981977</stp>
        <tr r="Q1942" s="2"/>
      </tp>
      <tp t="s">
        <v>#N/A N/A</v>
        <stp/>
        <stp>BDP|14745804877584988584</stp>
        <tr r="Q1185" s="2"/>
      </tp>
      <tp t="s">
        <v>#N/A N/A</v>
        <stp/>
        <stp>BDP|12903300429190402958</stp>
        <tr r="M585" s="2"/>
      </tp>
      <tp t="s">
        <v>#N/A N/A</v>
        <stp/>
        <stp>BDP|11133411796054088273</stp>
        <tr r="K1990" s="2"/>
      </tp>
      <tp t="s">
        <v>#N/A N/A</v>
        <stp/>
        <stp>BDP|11719409635218427471</stp>
        <tr r="R334" s="2"/>
      </tp>
      <tp t="s">
        <v>#N/A N/A</v>
        <stp/>
        <stp>BDP|17238775840448285663</stp>
        <tr r="H475" s="2"/>
      </tp>
      <tp t="s">
        <v>#N/A N/A</v>
        <stp/>
        <stp>BDP|11451885764844912100</stp>
        <tr r="S1558" s="2"/>
      </tp>
      <tp t="s">
        <v>#N/A N/A</v>
        <stp/>
        <stp>BDP|12509854104727589702</stp>
        <tr r="P1942" s="2"/>
      </tp>
      <tp t="s">
        <v>#N/A N/A</v>
        <stp/>
        <stp>BDP|13921313818799162209</stp>
        <tr r="S1289" s="2"/>
      </tp>
      <tp t="s">
        <v>#N/A N/A</v>
        <stp/>
        <stp>BDP|12822267797495104699</stp>
        <tr r="T1742" s="2"/>
      </tp>
      <tp t="s">
        <v>#N/A N/A</v>
        <stp/>
        <stp>BDP|12044937025287387441</stp>
        <tr r="C277" s="2"/>
      </tp>
      <tp t="s">
        <v>#N/A N/A</v>
        <stp/>
        <stp>BDP|16776069401019906586</stp>
        <tr r="K1904" s="2"/>
      </tp>
      <tp t="s">
        <v>#N/A N/A</v>
        <stp/>
        <stp>BDP|11493765047110706835</stp>
        <tr r="G1890" s="2"/>
      </tp>
      <tp t="s">
        <v>#N/A N/A</v>
        <stp/>
        <stp>BDP|10183742050960793832</stp>
        <tr r="C2023" s="2"/>
      </tp>
      <tp t="s">
        <v>#N/A N/A</v>
        <stp/>
        <stp>BDP|17621125914944937982</stp>
        <tr r="A1766" s="2"/>
      </tp>
      <tp t="s">
        <v>#N/A N/A</v>
        <stp/>
        <stp>BDP|14880536114462932876</stp>
        <tr r="G769" s="2"/>
      </tp>
      <tp t="s">
        <v>#N/A N/A</v>
        <stp/>
        <stp>BDP|17285553761557146965</stp>
        <tr r="G1016" s="2"/>
      </tp>
      <tp t="s">
        <v>#N/A N/A</v>
        <stp/>
        <stp>BDP|12633092594646319798</stp>
        <tr r="N1987" s="2"/>
      </tp>
      <tp t="s">
        <v>#N/A N/A</v>
        <stp/>
        <stp>BDP|15649339257290229913</stp>
        <tr r="N1353" s="2"/>
      </tp>
      <tp t="s">
        <v>#N/A N/A</v>
        <stp/>
        <stp>BDP|16580017076648070330</stp>
        <tr r="P100" s="2"/>
      </tp>
      <tp t="s">
        <v>#N/A N/A</v>
        <stp/>
        <stp>BDP|10584975916430362262</stp>
        <tr r="K1592" s="2"/>
      </tp>
      <tp t="s">
        <v>#N/A N/A</v>
        <stp/>
        <stp>BDP|10382103210439759357</stp>
        <tr r="T2241" s="2"/>
      </tp>
      <tp t="s">
        <v>#N/A N/A</v>
        <stp/>
        <stp>BDP|11432944719510993316</stp>
        <tr r="M1718" s="2"/>
      </tp>
      <tp t="s">
        <v>#N/A N/A</v>
        <stp/>
        <stp>BDP|18112767127555260238</stp>
        <tr r="C762" s="2"/>
      </tp>
      <tp t="s">
        <v>#N/A N/A</v>
        <stp/>
        <stp>BDP|10517321754308573479</stp>
        <tr r="Q2201" s="2"/>
      </tp>
      <tp t="s">
        <v>#N/A N/A</v>
        <stp/>
        <stp>BDP|14723542324881361852</stp>
        <tr r="F262" s="2"/>
      </tp>
      <tp t="s">
        <v>#N/A N/A</v>
        <stp/>
        <stp>BDP|14661939685147239831</stp>
        <tr r="T778" s="2"/>
      </tp>
      <tp t="s">
        <v>#N/A N/A</v>
        <stp/>
        <stp>BDP|12545005407500603858</stp>
        <tr r="E1207" s="2"/>
      </tp>
      <tp t="s">
        <v>#N/A N/A</v>
        <stp/>
        <stp>BDP|14487237168189696384</stp>
        <tr r="M117" s="2"/>
      </tp>
      <tp t="s">
        <v>#N/A N/A</v>
        <stp/>
        <stp>BDP|16904234674281722887</stp>
        <tr r="M726" s="2"/>
      </tp>
      <tp t="s">
        <v>#N/A N/A</v>
        <stp/>
        <stp>BDS|14313038996356015148</stp>
        <tr r="I1725" s="2"/>
      </tp>
      <tp t="s">
        <v>#N/A N/A</v>
        <stp/>
        <stp>BDP|16534173244049476034</stp>
        <tr r="D1075" s="2"/>
      </tp>
      <tp t="s">
        <v>#N/A N/A</v>
        <stp/>
        <stp>BDP|17932592698755835416</stp>
        <tr r="R2057" s="2"/>
      </tp>
      <tp t="s">
        <v>#N/A N/A</v>
        <stp/>
        <stp>BDP|13437974876137375073</stp>
        <tr r="Q614" s="2"/>
      </tp>
      <tp t="s">
        <v>#N/A N/A</v>
        <stp/>
        <stp>BDP|16955513514291420994</stp>
        <tr r="Q336" s="2"/>
      </tp>
      <tp t="s">
        <v>#N/A N/A</v>
        <stp/>
        <stp>BDP|12014444380091646533</stp>
        <tr r="F361" s="2"/>
      </tp>
      <tp t="s">
        <v>#N/A N/A</v>
        <stp/>
        <stp>BDP|13085896459947222337</stp>
        <tr r="E430" s="2"/>
      </tp>
      <tp t="s">
        <v>#N/A N/A</v>
        <stp/>
        <stp>BDP|12321958743506457308</stp>
        <tr r="S1845" s="2"/>
      </tp>
      <tp t="s">
        <v>#N/A N/A</v>
        <stp/>
        <stp>BDS|15040656360579409636</stp>
        <tr r="I418" s="2"/>
      </tp>
      <tp t="s">
        <v>#N/A N/A</v>
        <stp/>
        <stp>BDP|15701823264493532255</stp>
        <tr r="T925" s="2"/>
      </tp>
      <tp t="s">
        <v>#N/A N/A</v>
        <stp/>
        <stp>BDP|13023907954610451517</stp>
        <tr r="Q1713" s="2"/>
      </tp>
      <tp t="s">
        <v>#N/A N/A</v>
        <stp/>
        <stp>BDP|15794978804595120347</stp>
        <tr r="N464" s="2"/>
      </tp>
      <tp t="s">
        <v>#N/A N/A</v>
        <stp/>
        <stp>BDP|16031013189030170486</stp>
        <tr r="H79" s="2"/>
      </tp>
      <tp t="s">
        <v>#N/A N/A</v>
        <stp/>
        <stp>BDP|14145515272705048932</stp>
        <tr r="K270" s="2"/>
      </tp>
      <tp t="s">
        <v>#N/A N/A</v>
        <stp/>
        <stp>BDP|17630701892445632635</stp>
        <tr r="E963" s="2"/>
      </tp>
      <tp t="s">
        <v>#N/A N/A</v>
        <stp/>
        <stp>BDP|10521864265281512525</stp>
        <tr r="O311" s="2"/>
      </tp>
      <tp t="s">
        <v>#N/A N/A</v>
        <stp/>
        <stp>BDP|11008017375539341566</stp>
        <tr r="T684" s="2"/>
      </tp>
      <tp t="s">
        <v>#N/A N/A</v>
        <stp/>
        <stp>BDP|14772751563766488949</stp>
        <tr r="D651" s="2"/>
      </tp>
      <tp t="s">
        <v>#N/A N/A</v>
        <stp/>
        <stp>BDP|10554992858270363663</stp>
        <tr r="P791" s="2"/>
      </tp>
      <tp t="s">
        <v>#N/A N/A</v>
        <stp/>
        <stp>BDP|17099938500236375214</stp>
        <tr r="N57" s="2"/>
      </tp>
      <tp t="s">
        <v>#N/A N/A</v>
        <stp/>
        <stp>BDP|11486209230458520207</stp>
        <tr r="A2234" s="2"/>
      </tp>
      <tp t="s">
        <v>#N/A N/A</v>
        <stp/>
        <stp>BDP|10681404699136687185</stp>
        <tr r="H356" s="2"/>
      </tp>
      <tp t="s">
        <v>#N/A N/A</v>
        <stp/>
        <stp>BDP|17675661714149005357</stp>
        <tr r="E256" s="2"/>
      </tp>
      <tp t="s">
        <v>#N/A N/A</v>
        <stp/>
        <stp>BDP|14012258162223633908</stp>
        <tr r="D2217" s="2"/>
      </tp>
      <tp t="s">
        <v>#N/A N/A</v>
        <stp/>
        <stp>BDP|17601627388645824653</stp>
        <tr r="Q2203" s="2"/>
      </tp>
      <tp t="s">
        <v>#N/A N/A</v>
        <stp/>
        <stp>BDP|14528449591861055211</stp>
        <tr r="M1844" s="2"/>
      </tp>
      <tp t="s">
        <v>#N/A N/A</v>
        <stp/>
        <stp>BDS|13779310110139551214</stp>
        <tr r="I187" s="2"/>
      </tp>
      <tp t="s">
        <v>#N/A N/A</v>
        <stp/>
        <stp>BDS|17714724194967236418</stp>
        <tr r="I936" s="2"/>
      </tp>
      <tp t="s">
        <v>#N/A N/A</v>
        <stp/>
        <stp>BDS|11291258311140067841</stp>
        <tr r="I979" s="2"/>
      </tp>
      <tp t="s">
        <v>#N/A N/A</v>
        <stp/>
        <stp>BDP|17766132075373402840</stp>
        <tr r="N462" s="2"/>
      </tp>
      <tp t="s">
        <v>#N/A N/A</v>
        <stp/>
        <stp>BDP|11441091438090753836</stp>
        <tr r="H782" s="2"/>
      </tp>
      <tp t="s">
        <v>#N/A N/A</v>
        <stp/>
        <stp>BDP|11968395533718514373</stp>
        <tr r="H382" s="2"/>
      </tp>
      <tp t="s">
        <v>#N/A N/A</v>
        <stp/>
        <stp>BDP|12810313895827441598</stp>
        <tr r="E1869" s="2"/>
      </tp>
      <tp t="s">
        <v>#N/A N/A</v>
        <stp/>
        <stp>BDP|18116632572947253439</stp>
        <tr r="F2020" s="2"/>
      </tp>
      <tp t="s">
        <v>#N/A N/A</v>
        <stp/>
        <stp>BDP|14940621269617100925</stp>
        <tr r="Q1022" s="2"/>
      </tp>
      <tp t="s">
        <v>#N/A N/A</v>
        <stp/>
        <stp>BDP|16370402886909305979</stp>
        <tr r="N2019" s="2"/>
      </tp>
      <tp t="s">
        <v>#N/A N/A</v>
        <stp/>
        <stp>BDP|15187721889242265298</stp>
        <tr r="P76" s="2"/>
      </tp>
      <tp t="s">
        <v>#N/A N/A</v>
        <stp/>
        <stp>BDP|13620423659689566194</stp>
        <tr r="Q2133" s="2"/>
      </tp>
      <tp t="s">
        <v>#N/A N/A</v>
        <stp/>
        <stp>BDP|12701107653274465816</stp>
        <tr r="F1014" s="2"/>
      </tp>
      <tp t="s">
        <v>#N/A N/A</v>
        <stp/>
        <stp>BDP|17125531723803999996</stp>
        <tr r="T1504" s="2"/>
      </tp>
      <tp t="s">
        <v>#N/A N/A</v>
        <stp/>
        <stp>BDP|10092937353742141409</stp>
        <tr r="D1802" s="2"/>
      </tp>
      <tp t="s">
        <v>#N/A N/A</v>
        <stp/>
        <stp>BDP|10305819052926535147</stp>
        <tr r="J750" s="2"/>
      </tp>
      <tp t="s">
        <v>#N/A N/A</v>
        <stp/>
        <stp>BDP|12618540076532739823</stp>
        <tr r="G1405" s="2"/>
      </tp>
      <tp t="s">
        <v>#N/A N/A</v>
        <stp/>
        <stp>BDP|13768769550568626373</stp>
        <tr r="M940" s="2"/>
      </tp>
      <tp t="s">
        <v>#N/A N/A</v>
        <stp/>
        <stp>BDP|11434889039088297878</stp>
        <tr r="O839" s="2"/>
      </tp>
      <tp t="s">
        <v>#N/A N/A</v>
        <stp/>
        <stp>BDP|12084022562888702679</stp>
        <tr r="G1857" s="2"/>
      </tp>
      <tp t="s">
        <v>#N/A N/A</v>
        <stp/>
        <stp>BDP|15652904573910003153</stp>
        <tr r="J630" s="2"/>
      </tp>
      <tp t="s">
        <v>#N/A N/A</v>
        <stp/>
        <stp>BDP|14918201885860505493</stp>
        <tr r="S1373" s="2"/>
      </tp>
      <tp t="s">
        <v>#N/A N/A</v>
        <stp/>
        <stp>BDP|13841758560298857051</stp>
        <tr r="M1484" s="2"/>
      </tp>
      <tp t="s">
        <v>#N/A N/A</v>
        <stp/>
        <stp>BDP|15344904231560564579</stp>
        <tr r="T1551" s="2"/>
      </tp>
      <tp t="s">
        <v>#N/A N/A</v>
        <stp/>
        <stp>BDP|12196194249624741965</stp>
        <tr r="A1442" s="2"/>
      </tp>
      <tp t="s">
        <v>#N/A N/A</v>
        <stp/>
        <stp>BDP|12502073283700097017</stp>
        <tr r="N843" s="2"/>
      </tp>
      <tp t="s">
        <v>#N/A N/A</v>
        <stp/>
        <stp>BDP|14924767639843124975</stp>
        <tr r="H701" s="2"/>
      </tp>
      <tp t="s">
        <v>#N/A N/A</v>
        <stp/>
        <stp>BDP|15891504968579626563</stp>
        <tr r="T1307" s="2"/>
      </tp>
      <tp t="s">
        <v>#N/A N/A</v>
        <stp/>
        <stp>BDP|16272254563810011843</stp>
        <tr r="S1505" s="2"/>
      </tp>
      <tp t="s">
        <v>#N/A N/A</v>
        <stp/>
        <stp>BDP|17011980712954355194</stp>
        <tr r="F944" s="2"/>
      </tp>
      <tp t="s">
        <v>#N/A N/A</v>
        <stp/>
        <stp>BDP|10056887167881613593</stp>
        <tr r="P800" s="2"/>
      </tp>
      <tp t="s">
        <v>#N/A N/A</v>
        <stp/>
        <stp>BDP|10318922601820312332</stp>
        <tr r="G644" s="2"/>
      </tp>
      <tp t="s">
        <v>#N/A N/A</v>
        <stp/>
        <stp>BDP|18140369813410670026</stp>
        <tr r="P159" s="2"/>
      </tp>
      <tp t="s">
        <v>#N/A N/A</v>
        <stp/>
        <stp>BDP|16047709872085342911</stp>
        <tr r="N1425" s="2"/>
      </tp>
      <tp t="s">
        <v>#N/A N/A</v>
        <stp/>
        <stp>BDP|17115166856400081914</stp>
        <tr r="K1110" s="2"/>
      </tp>
      <tp t="s">
        <v>#N/A N/A</v>
        <stp/>
        <stp>BDP|17550094527938209797</stp>
        <tr r="G2191" s="2"/>
      </tp>
      <tp t="s">
        <v>#N/A N/A</v>
        <stp/>
        <stp>BDP|11124726332659185605</stp>
        <tr r="N383" s="2"/>
      </tp>
      <tp t="s">
        <v>#N/A N/A</v>
        <stp/>
        <stp>BDP|11914398721312153800</stp>
        <tr r="H1491" s="2"/>
      </tp>
      <tp t="s">
        <v>#N/A N/A</v>
        <stp/>
        <stp>BDP|16392930421646921182</stp>
        <tr r="A85" s="2"/>
      </tp>
      <tp t="s">
        <v>#N/A N/A</v>
        <stp/>
        <stp>BDP|16670338235858408449</stp>
        <tr r="S1228" s="2"/>
      </tp>
      <tp t="s">
        <v>#N/A N/A</v>
        <stp/>
        <stp>BDP|17253187885866767281</stp>
        <tr r="K1288" s="2"/>
      </tp>
      <tp t="s">
        <v>#N/A N/A</v>
        <stp/>
        <stp>BDP|13301323898077878419</stp>
        <tr r="T1885" s="2"/>
      </tp>
      <tp t="s">
        <v>#N/A N/A</v>
        <stp/>
        <stp>BDP|14279408189035379785</stp>
        <tr r="O561" s="2"/>
      </tp>
      <tp t="s">
        <v>#N/A N/A</v>
        <stp/>
        <stp>BDP|11659313619720793994</stp>
        <tr r="M91" s="2"/>
      </tp>
      <tp t="s">
        <v>#N/A N/A</v>
        <stp/>
        <stp>BDP|11817588040139340330</stp>
        <tr r="O351" s="2"/>
      </tp>
      <tp t="s">
        <v>#N/A N/A</v>
        <stp/>
        <stp>BDP|15020129087713511501</stp>
        <tr r="F823" s="2"/>
      </tp>
      <tp t="s">
        <v>#N/A N/A</v>
        <stp/>
        <stp>BDP|14592446364615094953</stp>
        <tr r="S2131" s="2"/>
      </tp>
      <tp t="s">
        <v>#N/A N/A</v>
        <stp/>
        <stp>BDP|10726506224055520865</stp>
        <tr r="S1875" s="2"/>
      </tp>
      <tp t="s">
        <v>#N/A N/A</v>
        <stp/>
        <stp>BDP|17657490807348871103</stp>
        <tr r="Q2121" s="2"/>
      </tp>
      <tp t="s">
        <v>#N/A N/A</v>
        <stp/>
        <stp>BDP|13487219647538503776</stp>
        <tr r="A2192" s="2"/>
      </tp>
      <tp t="s">
        <v>#N/A N/A</v>
        <stp/>
        <stp>BDP|16178935444077368656</stp>
        <tr r="S131" s="2"/>
      </tp>
      <tp t="s">
        <v>#N/A N/A</v>
        <stp/>
        <stp>BDP|14253716513429568150</stp>
        <tr r="H1037" s="2"/>
      </tp>
      <tp t="s">
        <v>#N/A N/A</v>
        <stp/>
        <stp>BDP|13711772081581772760</stp>
        <tr r="G283" s="2"/>
      </tp>
      <tp t="s">
        <v>#N/A N/A</v>
        <stp/>
        <stp>BDP|13136330372854995993</stp>
        <tr r="P1352" s="2"/>
      </tp>
      <tp t="s">
        <v>#N/A N/A</v>
        <stp/>
        <stp>BDP|12642675314079647634</stp>
        <tr r="C2036" s="2"/>
      </tp>
      <tp t="s">
        <v>#N/A N/A</v>
        <stp/>
        <stp>BDP|17922769718143520829</stp>
        <tr r="M1059" s="2"/>
      </tp>
      <tp t="s">
        <v>#N/A N/A</v>
        <stp/>
        <stp>BDP|16226506161416014930</stp>
        <tr r="E1578" s="2"/>
      </tp>
      <tp t="s">
        <v>#N/A N/A</v>
        <stp/>
        <stp>BDP|16672931621734765336</stp>
        <tr r="Q1004" s="2"/>
      </tp>
      <tp t="s">
        <v>#N/A N/A</v>
        <stp/>
        <stp>BDP|11093090830908872017</stp>
        <tr r="E1824" s="2"/>
      </tp>
      <tp t="s">
        <v>#N/A N/A</v>
        <stp/>
        <stp>BDP|18100524961415518471</stp>
        <tr r="Q1915" s="2"/>
      </tp>
      <tp t="s">
        <v>#N/A N/A</v>
        <stp/>
        <stp>BDS|15848481097092513014</stp>
        <tr r="I2188" s="2"/>
      </tp>
      <tp t="s">
        <v>#N/A N/A</v>
        <stp/>
        <stp>BDP|14379318277762781827</stp>
        <tr r="M1936" s="2"/>
      </tp>
      <tp t="s">
        <v>#N/A N/A</v>
        <stp/>
        <stp>BDP|16788204777538875189</stp>
        <tr r="G1538" s="2"/>
      </tp>
      <tp t="s">
        <v>#N/A N/A</v>
        <stp/>
        <stp>BDP|17005862707005848091</stp>
        <tr r="P973" s="2"/>
      </tp>
      <tp t="s">
        <v>#N/A N/A</v>
        <stp/>
        <stp>BDP|15850886234033206764</stp>
        <tr r="A676" s="2"/>
      </tp>
      <tp t="s">
        <v>#N/A N/A</v>
        <stp/>
        <stp>BDP|15604106070689279041</stp>
        <tr r="F2203" s="2"/>
      </tp>
      <tp t="s">
        <v>#N/A N/A</v>
        <stp/>
        <stp>BDP|15583942016456504128</stp>
        <tr r="O345" s="2"/>
      </tp>
      <tp t="s">
        <v>#N/A N/A</v>
        <stp/>
        <stp>BDP|16183587835609469389</stp>
        <tr r="C119" s="2"/>
      </tp>
      <tp t="s">
        <v>#N/A N/A</v>
        <stp/>
        <stp>BDS|11369708652649746059</stp>
        <tr r="I1114" s="2"/>
      </tp>
      <tp t="s">
        <v>#N/A N/A</v>
        <stp/>
        <stp>BDP|14777253581082694658</stp>
        <tr r="G2072" s="2"/>
      </tp>
      <tp t="s">
        <v>#N/A N/A</v>
        <stp/>
        <stp>BDP|17344864128246549183</stp>
        <tr r="K1283" s="2"/>
      </tp>
      <tp t="s">
        <v>#N/A N/A</v>
        <stp/>
        <stp>BDP|13065950502515576521</stp>
        <tr r="D1035" s="2"/>
      </tp>
      <tp t="s">
        <v>#N/A N/A</v>
        <stp/>
        <stp>BDP|16480940650396969698</stp>
        <tr r="N790" s="2"/>
      </tp>
      <tp t="s">
        <v>#N/A N/A</v>
        <stp/>
        <stp>BDP|16163718992543491166</stp>
        <tr r="P383" s="2"/>
      </tp>
      <tp t="s">
        <v>#N/A N/A</v>
        <stp/>
        <stp>BDP|15301201164943082874</stp>
        <tr r="O2237" s="2"/>
      </tp>
      <tp t="s">
        <v>#N/A N/A</v>
        <stp/>
        <stp>BDP|17103342699552861545</stp>
        <tr r="Q977" s="2"/>
      </tp>
      <tp t="s">
        <v>#N/A N/A</v>
        <stp/>
        <stp>BDP|10689224045684261838</stp>
        <tr r="S2236" s="2"/>
      </tp>
      <tp t="s">
        <v>#N/A N/A</v>
        <stp/>
        <stp>BDP|13503549191131069435</stp>
        <tr r="A1531" s="2"/>
      </tp>
      <tp t="s">
        <v>#N/A N/A</v>
        <stp/>
        <stp>BDP|18321274932566314569</stp>
        <tr r="G502" s="2"/>
      </tp>
      <tp t="s">
        <v>#N/A N/A</v>
        <stp/>
        <stp>BDP|18093907118892376888</stp>
        <tr r="F101" s="2"/>
      </tp>
      <tp t="s">
        <v>#N/A N/A</v>
        <stp/>
        <stp>BDP|17483687091295654781</stp>
        <tr r="H2217" s="2"/>
      </tp>
      <tp t="s">
        <v>#N/A N/A</v>
        <stp/>
        <stp>BDP|11628008095403334135</stp>
        <tr r="T1897" s="2"/>
      </tp>
      <tp t="s">
        <v>#N/A N/A</v>
        <stp/>
        <stp>BDP|13355809541502278736</stp>
        <tr r="H1277" s="2"/>
      </tp>
      <tp t="s">
        <v>#N/A N/A</v>
        <stp/>
        <stp>BDP|11623333781365685512</stp>
        <tr r="C1450" s="2"/>
      </tp>
      <tp t="s">
        <v>#N/A N/A</v>
        <stp/>
        <stp>BDP|15077883916342498496</stp>
        <tr r="Q466" s="2"/>
      </tp>
      <tp t="s">
        <v>#N/A N/A</v>
        <stp/>
        <stp>BDP|14048020503026480863</stp>
        <tr r="H1069" s="2"/>
      </tp>
      <tp t="s">
        <v>#N/A N/A</v>
        <stp/>
        <stp>BDP|10529489300266745892</stp>
        <tr r="R1810" s="2"/>
      </tp>
      <tp t="s">
        <v>#N/A N/A</v>
        <stp/>
        <stp>BDP|12977304879325084937</stp>
        <tr r="H1843" s="2"/>
      </tp>
      <tp t="s">
        <v>#N/A N/A</v>
        <stp/>
        <stp>BDP|14025830547903702104</stp>
        <tr r="P40" s="2"/>
      </tp>
      <tp t="s">
        <v>#N/A N/A</v>
        <stp/>
        <stp>BDP|16522258642318937285</stp>
        <tr r="C102" s="2"/>
      </tp>
      <tp t="s">
        <v>#N/A N/A</v>
        <stp/>
        <stp>BDP|11182011890407175524</stp>
        <tr r="K552" s="2"/>
      </tp>
      <tp t="s">
        <v>#N/A N/A</v>
        <stp/>
        <stp>BDP|14328194611056895801</stp>
        <tr r="N1463" s="2"/>
      </tp>
      <tp t="s">
        <v>#N/A N/A</v>
        <stp/>
        <stp>BDP|13809568251931490886</stp>
        <tr r="N1397" s="2"/>
      </tp>
      <tp t="s">
        <v>#N/A N/A</v>
        <stp/>
        <stp>BDP|17794994658519766820</stp>
        <tr r="R432" s="2"/>
      </tp>
      <tp t="s">
        <v>#N/A N/A</v>
        <stp/>
        <stp>BDP|10529755704805749805</stp>
        <tr r="S493" s="2"/>
      </tp>
      <tp t="s">
        <v>#N/A N/A</v>
        <stp/>
        <stp>BDP|11134356793165792433</stp>
        <tr r="O1904" s="2"/>
      </tp>
      <tp t="s">
        <v>#N/A N/A</v>
        <stp/>
        <stp>BDP|17163698989185485669</stp>
        <tr r="Q1065" s="2"/>
      </tp>
      <tp t="s">
        <v>#N/A N/A</v>
        <stp/>
        <stp>BDP|10683924665120277504</stp>
        <tr r="C1825" s="2"/>
      </tp>
      <tp t="s">
        <v>#N/A N/A</v>
        <stp/>
        <stp>BDP|13187090932029160383</stp>
        <tr r="P532" s="2"/>
      </tp>
      <tp t="s">
        <v>#N/A N/A</v>
        <stp/>
        <stp>BDP|18308880716878620387</stp>
        <tr r="T1188" s="2"/>
      </tp>
      <tp t="s">
        <v>#N/A N/A</v>
        <stp/>
        <stp>BDP|12452748917277107952</stp>
        <tr r="T878" s="2"/>
      </tp>
      <tp t="s">
        <v>#N/A N/A</v>
        <stp/>
        <stp>BDP|11456667543238643149</stp>
        <tr r="A2000" s="2"/>
      </tp>
      <tp t="s">
        <v>#N/A N/A</v>
        <stp/>
        <stp>BDP|17077530850045024809</stp>
        <tr r="M1174" s="2"/>
      </tp>
      <tp t="s">
        <v>#N/A N/A</v>
        <stp/>
        <stp>BDP|14372343500219622428</stp>
        <tr r="G955" s="2"/>
      </tp>
      <tp t="s">
        <v>#N/A N/A</v>
        <stp/>
        <stp>BDP|12463326779614519894</stp>
        <tr r="H314" s="2"/>
      </tp>
      <tp t="s">
        <v>#N/A N/A</v>
        <stp/>
        <stp>BDP|12373040500650176855</stp>
        <tr r="N167" s="2"/>
      </tp>
      <tp t="s">
        <v>#N/A N/A</v>
        <stp/>
        <stp>BDP|14452011298233974472</stp>
        <tr r="S1008" s="2"/>
      </tp>
      <tp t="s">
        <v>#N/A N/A</v>
        <stp/>
        <stp>BDP|10933722198647000304</stp>
        <tr r="E757" s="2"/>
      </tp>
      <tp t="s">
        <v>#N/A N/A</v>
        <stp/>
        <stp>BDP|11560590428779772505</stp>
        <tr r="S2140" s="2"/>
      </tp>
      <tp t="s">
        <v>#N/A N/A</v>
        <stp/>
        <stp>BDP|11814581491352338512</stp>
        <tr r="P1784" s="2"/>
      </tp>
      <tp t="s">
        <v>#N/A N/A</v>
        <stp/>
        <stp>BDP|16966507798800295002</stp>
        <tr r="C1848" s="2"/>
      </tp>
      <tp t="s">
        <v>#N/A N/A</v>
        <stp/>
        <stp>BDP|15577687132592438884</stp>
        <tr r="C827" s="2"/>
      </tp>
      <tp t="s">
        <v>#N/A N/A</v>
        <stp/>
        <stp>BDS|14748274980337264327</stp>
        <tr r="I1877" s="2"/>
      </tp>
      <tp t="s">
        <v>#N/A N/A</v>
        <stp/>
        <stp>BDP|16623540540279740466</stp>
        <tr r="T905" s="2"/>
      </tp>
      <tp t="s">
        <v>#N/A N/A</v>
        <stp/>
        <stp>BDP|18281979712798251262</stp>
        <tr r="A418" s="2"/>
      </tp>
      <tp t="s">
        <v>#N/A N/A</v>
        <stp/>
        <stp>BDP|17349536133973124818</stp>
        <tr r="C517" s="2"/>
      </tp>
      <tp t="s">
        <v>#N/A N/A</v>
        <stp/>
        <stp>BDP|16301568372757567918</stp>
        <tr r="N1767" s="2"/>
      </tp>
      <tp t="s">
        <v>#N/A N/A</v>
        <stp/>
        <stp>BDP|12341014725943297960</stp>
        <tr r="N586" s="2"/>
      </tp>
      <tp t="s">
        <v>#N/A N/A</v>
        <stp/>
        <stp>BDP|10221940268170848550</stp>
        <tr r="C1870" s="2"/>
      </tp>
      <tp t="s">
        <v>#N/A N/A</v>
        <stp/>
        <stp>BDP|16321679355909459660</stp>
        <tr r="R2196" s="2"/>
      </tp>
      <tp t="s">
        <v>#N/A N/A</v>
        <stp/>
        <stp>BDP|18047598987788546788</stp>
        <tr r="R1475" s="2"/>
      </tp>
      <tp t="s">
        <v>#N/A N/A</v>
        <stp/>
        <stp>BDP|16594412844894219814</stp>
        <tr r="D712" s="2"/>
      </tp>
      <tp t="s">
        <v>#N/A N/A</v>
        <stp/>
        <stp>BDP|14743172850458656251</stp>
        <tr r="O1895" s="2"/>
      </tp>
      <tp t="s">
        <v>#N/A N/A</v>
        <stp/>
        <stp>BDP|15567087979721666916</stp>
        <tr r="C2230" s="2"/>
      </tp>
      <tp t="s">
        <v>#N/A N/A</v>
        <stp/>
        <stp>BDP|15664726717339037006</stp>
        <tr r="F1553" s="2"/>
      </tp>
      <tp t="s">
        <v>#N/A N/A</v>
        <stp/>
        <stp>BDP|18122388120507385491</stp>
        <tr r="J2130" s="2"/>
      </tp>
      <tp t="s">
        <v>#N/A N/A</v>
        <stp/>
        <stp>BDP|17901697670928014439</stp>
        <tr r="F349" s="2"/>
      </tp>
      <tp t="s">
        <v>#N/A N/A</v>
        <stp/>
        <stp>BDP|12916443582201813547</stp>
        <tr r="G1380" s="2"/>
      </tp>
      <tp t="s">
        <v>#N/A N/A</v>
        <stp/>
        <stp>BDP|14200313944808199154</stp>
        <tr r="E1679" s="2"/>
      </tp>
      <tp t="s">
        <v>#N/A N/A</v>
        <stp/>
        <stp>BDP|13551239034519893196</stp>
        <tr r="Q1620" s="2"/>
      </tp>
      <tp t="s">
        <v>#N/A N/A</v>
        <stp/>
        <stp>BDP|10059956659754697298</stp>
        <tr r="C707" s="2"/>
      </tp>
      <tp t="s">
        <v>#N/A N/A</v>
        <stp/>
        <stp>BDP|17373358340599465319</stp>
        <tr r="E1753" s="2"/>
      </tp>
      <tp t="s">
        <v>#N/A N/A</v>
        <stp/>
        <stp>BDP|11850259964057213888</stp>
        <tr r="S164" s="2"/>
      </tp>
      <tp t="s">
        <v>#N/A N/A</v>
        <stp/>
        <stp>BDP|11491143793922751173</stp>
        <tr r="S95" s="2"/>
      </tp>
      <tp t="s">
        <v>#N/A N/A</v>
        <stp/>
        <stp>BDP|10692766072812657877</stp>
        <tr r="K677" s="2"/>
      </tp>
      <tp t="s">
        <v>#N/A N/A</v>
        <stp/>
        <stp>BDP|17025407415370370854</stp>
        <tr r="Q1899" s="2"/>
      </tp>
      <tp t="s">
        <v>#N/A N/A</v>
        <stp/>
        <stp>BDP|16269451723569339344</stp>
        <tr r="F1610" s="2"/>
      </tp>
      <tp t="s">
        <v>#N/A N/A</v>
        <stp/>
        <stp>BDP|13242845064816083114</stp>
        <tr r="P2166" s="2"/>
      </tp>
      <tp t="s">
        <v>#N/A N/A</v>
        <stp/>
        <stp>BDP|13155131457678164571</stp>
        <tr r="A649" s="2"/>
      </tp>
      <tp t="s">
        <v>#N/A N/A</v>
        <stp/>
        <stp>BDP|11633501335359079402</stp>
        <tr r="F1630" s="2"/>
      </tp>
      <tp t="s">
        <v>#N/A N/A</v>
        <stp/>
        <stp>BDP|12217864730186783508</stp>
        <tr r="Q666" s="2"/>
      </tp>
      <tp t="s">
        <v>#N/A N/A</v>
        <stp/>
        <stp>BDP|14427987649570406324</stp>
        <tr r="S432" s="2"/>
      </tp>
      <tp t="s">
        <v>#N/A N/A</v>
        <stp/>
        <stp>BDP|10921846438882352342</stp>
        <tr r="A1306" s="2"/>
      </tp>
      <tp t="s">
        <v>#N/A N/A</v>
        <stp/>
        <stp>BDP|15078750184168485875</stp>
        <tr r="N686" s="2"/>
      </tp>
      <tp t="s">
        <v>#N/A N/A</v>
        <stp/>
        <stp>BDP|17108249204646224916</stp>
        <tr r="Q685" s="2"/>
      </tp>
      <tp t="s">
        <v>#N/A N/A</v>
        <stp/>
        <stp>BDP|11691641895407705326</stp>
        <tr r="M539" s="2"/>
      </tp>
      <tp t="s">
        <v>#N/A N/A</v>
        <stp/>
        <stp>BDP|14356505507852519933</stp>
        <tr r="D187" s="2"/>
      </tp>
      <tp t="s">
        <v>#N/A N/A</v>
        <stp/>
        <stp>BDP|10254101905912645933</stp>
        <tr r="K1081" s="2"/>
      </tp>
      <tp t="s">
        <v>#N/A N/A</v>
        <stp/>
        <stp>BDP|11724790091954841155</stp>
        <tr r="K802" s="2"/>
      </tp>
      <tp t="s">
        <v>#N/A N/A</v>
        <stp/>
        <stp>BDP|11825639629838193710</stp>
        <tr r="S761" s="2"/>
      </tp>
      <tp t="s">
        <v>#N/A N/A</v>
        <stp/>
        <stp>BDP|11812982833974262535</stp>
        <tr r="D1404" s="2"/>
      </tp>
      <tp t="s">
        <v>#N/A N/A</v>
        <stp/>
        <stp>BDP|11320851427770140129</stp>
        <tr r="N652" s="2"/>
      </tp>
      <tp t="s">
        <v>#N/A N/A</v>
        <stp/>
        <stp>BDP|11388852374091711572</stp>
        <tr r="O349" s="2"/>
      </tp>
      <tp t="s">
        <v>#N/A N/A</v>
        <stp/>
        <stp>BDP|10023411966711659938</stp>
        <tr r="F1970" s="2"/>
      </tp>
      <tp t="s">
        <v>#N/A N/A</v>
        <stp/>
        <stp>BDP|18348003732964563560</stp>
        <tr r="D1643" s="2"/>
      </tp>
      <tp t="s">
        <v>#N/A N/A</v>
        <stp/>
        <stp>BDS|14535524846249053608</stp>
        <tr r="I1369" s="2"/>
      </tp>
      <tp t="s">
        <v>#N/A N/A</v>
        <stp/>
        <stp>BDP|17598875524494485308</stp>
        <tr r="R33" s="2"/>
      </tp>
      <tp t="s">
        <v>#N/A N/A</v>
        <stp/>
        <stp>BDP|10281881038764727574</stp>
        <tr r="O1497" s="2"/>
      </tp>
      <tp t="s">
        <v>#N/A N/A</v>
        <stp/>
        <stp>BDP|17231497996452974268</stp>
        <tr r="H789" s="2"/>
      </tp>
      <tp t="s">
        <v>#N/A N/A</v>
        <stp/>
        <stp>BDP|17446998299199555437</stp>
        <tr r="H1030" s="2"/>
      </tp>
      <tp t="s">
        <v>#N/A N/A</v>
        <stp/>
        <stp>BDP|15553424450907561901</stp>
        <tr r="R939" s="2"/>
      </tp>
      <tp t="s">
        <v>#N/A N/A</v>
        <stp/>
        <stp>BDP|17631558121148542251</stp>
        <tr r="N1564" s="2"/>
      </tp>
      <tp t="s">
        <v>#N/A N/A</v>
        <stp/>
        <stp>BDP|18280312360807291034</stp>
        <tr r="M88" s="2"/>
      </tp>
      <tp t="s">
        <v>#N/A N/A</v>
        <stp/>
        <stp>BDS|17770733794072039119</stp>
        <tr r="I1310" s="2"/>
      </tp>
      <tp t="s">
        <v>#N/A N/A</v>
        <stp/>
        <stp>BDP|15685712336123675852</stp>
        <tr r="N600" s="2"/>
      </tp>
      <tp t="s">
        <v>#N/A N/A</v>
        <stp/>
        <stp>BDP|11631941723374361409</stp>
        <tr r="M730" s="2"/>
      </tp>
      <tp t="s">
        <v>#N/A N/A</v>
        <stp/>
        <stp>BDP|12717346680003291030</stp>
        <tr r="F1988" s="2"/>
      </tp>
      <tp t="s">
        <v>#N/A N/A</v>
        <stp/>
        <stp>BDP|18028482499877218817</stp>
        <tr r="F3" s="2"/>
      </tp>
      <tp t="s">
        <v>#N/A N/A</v>
        <stp/>
        <stp>BDP|10647238455698567571</stp>
        <tr r="G1991" s="2"/>
      </tp>
      <tp t="s">
        <v>#N/A N/A</v>
        <stp/>
        <stp>BDP|10898870077430256585</stp>
        <tr r="G718" s="2"/>
      </tp>
      <tp t="s">
        <v>#N/A N/A</v>
        <stp/>
        <stp>BDP|16672909513664706005</stp>
        <tr r="C1101" s="2"/>
      </tp>
      <tp t="s">
        <v>#N/A N/A</v>
        <stp/>
        <stp>BDP|13815880517438011859</stp>
        <tr r="P519" s="2"/>
      </tp>
      <tp t="s">
        <v>#N/A N/A</v>
        <stp/>
        <stp>BDP|13886921601237159782</stp>
        <tr r="O1676" s="2"/>
      </tp>
      <tp t="s">
        <v>#N/A N/A</v>
        <stp/>
        <stp>BDP|10788068283140815283</stp>
        <tr r="C1047" s="2"/>
      </tp>
      <tp t="s">
        <v>#N/A N/A</v>
        <stp/>
        <stp>BDP|13271574241128135072</stp>
        <tr r="H1441" s="2"/>
      </tp>
      <tp t="s">
        <v>#N/A N/A</v>
        <stp/>
        <stp>BDS|17649803432266744023</stp>
        <tr r="I1648" s="2"/>
      </tp>
      <tp t="s">
        <v>#N/A N/A</v>
        <stp/>
        <stp>BDP|12114110797818786823</stp>
        <tr r="D1566" s="2"/>
      </tp>
      <tp t="s">
        <v>#N/A N/A</v>
        <stp/>
        <stp>BDP|15537434335749557147</stp>
        <tr r="O1683" s="2"/>
      </tp>
      <tp t="s">
        <v>#N/A N/A</v>
        <stp/>
        <stp>BDP|16873681413329654272</stp>
        <tr r="Q1310" s="2"/>
      </tp>
      <tp t="s">
        <v>#N/A N/A</v>
        <stp/>
        <stp>BDP|10685463496610584714</stp>
        <tr r="O2015" s="2"/>
      </tp>
      <tp t="s">
        <v>#N/A N/A</v>
        <stp/>
        <stp>BDP|17670672276148501405</stp>
        <tr r="P261" s="2"/>
      </tp>
      <tp t="s">
        <v>#N/A N/A</v>
        <stp/>
        <stp>BDS|14596864671663080232</stp>
        <tr r="I1190" s="2"/>
      </tp>
      <tp t="s">
        <v>#N/A N/A</v>
        <stp/>
        <stp>BDP|11091813202974805792</stp>
        <tr r="D1313" s="2"/>
      </tp>
      <tp t="s">
        <v>#N/A N/A</v>
        <stp/>
        <stp>BDP|18360586381409843601</stp>
        <tr r="C909" s="2"/>
      </tp>
      <tp t="s">
        <v>#N/A N/A</v>
        <stp/>
        <stp>BDS|17382083258311591970</stp>
        <tr r="I60" s="2"/>
      </tp>
      <tp t="s">
        <v>#N/A N/A</v>
        <stp/>
        <stp>BDP|12183598686662420785</stp>
        <tr r="E1018" s="2"/>
      </tp>
      <tp t="s">
        <v>#N/A N/A</v>
        <stp/>
        <stp>BDP|15562914007184747267</stp>
        <tr r="A2004" s="2"/>
      </tp>
      <tp t="s">
        <v>#N/A N/A</v>
        <stp/>
        <stp>BDP|18367860006493122900</stp>
        <tr r="A1974" s="2"/>
      </tp>
      <tp t="s">
        <v>#N/A N/A</v>
        <stp/>
        <stp>BDP|13099383500469962338</stp>
        <tr r="E1672" s="2"/>
      </tp>
      <tp t="s">
        <v>#N/A N/A</v>
        <stp/>
        <stp>BDP|12978473484130024487</stp>
        <tr r="N995" s="2"/>
      </tp>
      <tp t="s">
        <v>#N/A N/A</v>
        <stp/>
        <stp>BDP|12861557551268855066</stp>
        <tr r="T721" s="2"/>
      </tp>
      <tp t="s">
        <v>#N/A N/A</v>
        <stp/>
        <stp>BDP|14378985815031504792</stp>
        <tr r="F506" s="2"/>
      </tp>
      <tp t="s">
        <v>#N/A N/A</v>
        <stp/>
        <stp>BDP|15308220252899894191</stp>
        <tr r="Q649" s="2"/>
      </tp>
      <tp t="s">
        <v>#N/A N/A</v>
        <stp/>
        <stp>BDP|17521540770618722741</stp>
        <tr r="G1903" s="2"/>
      </tp>
      <tp t="s">
        <v>#N/A N/A</v>
        <stp/>
        <stp>BDP|14043726690249961991</stp>
        <tr r="S1804" s="2"/>
      </tp>
      <tp t="s">
        <v>#N/A N/A</v>
        <stp/>
        <stp>BDP|17262517691107404646</stp>
        <tr r="K195" s="2"/>
      </tp>
      <tp t="s">
        <v>#N/A N/A</v>
        <stp/>
        <stp>BDP|14241820487006236871</stp>
        <tr r="H1420" s="2"/>
      </tp>
      <tp t="s">
        <v>#N/A N/A</v>
        <stp/>
        <stp>BDP|14379163796286954085</stp>
        <tr r="S1947" s="2"/>
      </tp>
      <tp t="s">
        <v>#N/A N/A</v>
        <stp/>
        <stp>BDP|14843982083149412653</stp>
        <tr r="R758" s="2"/>
      </tp>
      <tp t="s">
        <v>#N/A N/A</v>
        <stp/>
        <stp>BDP|13038506890334164135</stp>
        <tr r="D642" s="2"/>
      </tp>
      <tp t="s">
        <v>#N/A N/A</v>
        <stp/>
        <stp>BDP|14003960460388519917</stp>
        <tr r="G1591" s="2"/>
      </tp>
      <tp t="s">
        <v>#N/A N/A</v>
        <stp/>
        <stp>BDP|16642870510762521764</stp>
        <tr r="K1873" s="2"/>
      </tp>
      <tp t="s">
        <v>#N/A N/A</v>
        <stp/>
        <stp>BDP|15735908162749718909</stp>
        <tr r="D1371" s="2"/>
      </tp>
      <tp t="s">
        <v>#N/A N/A</v>
        <stp/>
        <stp>BDP|17316783344526932840</stp>
        <tr r="O726" s="2"/>
      </tp>
      <tp t="s">
        <v>#N/A N/A</v>
        <stp/>
        <stp>BDP|12357618502207554901</stp>
        <tr r="K357" s="2"/>
      </tp>
      <tp t="s">
        <v>#N/A N/A</v>
        <stp/>
        <stp>BDP|10586825221403054337</stp>
        <tr r="P1756" s="2"/>
      </tp>
      <tp t="s">
        <v>#N/A N/A</v>
        <stp/>
        <stp>BDP|13804983712940027173</stp>
        <tr r="G282" s="2"/>
      </tp>
      <tp t="s">
        <v>#N/A N/A</v>
        <stp/>
        <stp>BDP|17438781858866996988</stp>
        <tr r="D2091" s="2"/>
      </tp>
      <tp t="s">
        <v>#N/A N/A</v>
        <stp/>
        <stp>BDP|10582417802056117824</stp>
        <tr r="C2148" s="2"/>
      </tp>
      <tp t="s">
        <v>#N/A N/A</v>
        <stp/>
        <stp>BDP|16388764720781395838</stp>
        <tr r="H1598" s="2"/>
      </tp>
      <tp t="s">
        <v>#N/A N/A</v>
        <stp/>
        <stp>BDP|12720671261838079045</stp>
        <tr r="T1729" s="2"/>
      </tp>
      <tp t="s">
        <v>#N/A N/A</v>
        <stp/>
        <stp>BDP|17232186489900560433</stp>
        <tr r="K1066" s="2"/>
      </tp>
      <tp t="s">
        <v>#N/A N/A</v>
        <stp/>
        <stp>BDP|10709497387155563398</stp>
        <tr r="F1888" s="2"/>
      </tp>
      <tp t="s">
        <v>#N/A N/A</v>
        <stp/>
        <stp>BDP|17632611722958968195</stp>
        <tr r="P1032" s="2"/>
      </tp>
      <tp t="s">
        <v>#N/A N/A</v>
        <stp/>
        <stp>BDP|16552438103300129814</stp>
        <tr r="P1555" s="2"/>
      </tp>
      <tp t="s">
        <v>#N/A N/A</v>
        <stp/>
        <stp>BDP|10444055694870454344</stp>
        <tr r="G2177" s="2"/>
      </tp>
      <tp t="s">
        <v>#N/A N/A</v>
        <stp/>
        <stp>BDP|16640808402405007110</stp>
        <tr r="N340" s="2"/>
      </tp>
      <tp t="s">
        <v>#N/A N/A</v>
        <stp/>
        <stp>BDP|15062845284527488811</stp>
        <tr r="J806" s="2"/>
      </tp>
      <tp t="s">
        <v>#N/A N/A</v>
        <stp/>
        <stp>BDP|11580361571979197666</stp>
        <tr r="S1550" s="2"/>
      </tp>
      <tp t="s">
        <v>#N/A N/A</v>
        <stp/>
        <stp>BDP|12659007616459317069</stp>
        <tr r="P789" s="2"/>
      </tp>
      <tp t="s">
        <v>#N/A N/A</v>
        <stp/>
        <stp>BDP|15718513670989438476</stp>
        <tr r="G1361" s="2"/>
      </tp>
      <tp t="s">
        <v>#N/A N/A</v>
        <stp/>
        <stp>BDP|13906488455711758964</stp>
        <tr r="R901" s="2"/>
      </tp>
      <tp t="s">
        <v>#N/A N/A</v>
        <stp/>
        <stp>BDP|10982481685731374727</stp>
        <tr r="F820" s="2"/>
      </tp>
      <tp t="s">
        <v>#N/A N/A</v>
        <stp/>
        <stp>BDP|13036921403275248569</stp>
        <tr r="Q923" s="2"/>
      </tp>
      <tp t="s">
        <v>#N/A N/A</v>
        <stp/>
        <stp>BDP|17444909586184154864</stp>
        <tr r="A1289" s="2"/>
      </tp>
      <tp t="s">
        <v>#N/A N/A</v>
        <stp/>
        <stp>BDP|14066878041391147324</stp>
        <tr r="C1891" s="2"/>
      </tp>
      <tp t="s">
        <v>#N/A N/A</v>
        <stp/>
        <stp>BDP|13172092145878866506</stp>
        <tr r="N1817" s="2"/>
      </tp>
      <tp t="s">
        <v>#N/A N/A</v>
        <stp/>
        <stp>BDP|12318377541847068804</stp>
        <tr r="F2071" s="2"/>
      </tp>
      <tp t="s">
        <v>#N/A N/A</v>
        <stp/>
        <stp>BDP|11256127678818811557</stp>
        <tr r="O281" s="2"/>
      </tp>
      <tp t="s">
        <v>#N/A N/A</v>
        <stp/>
        <stp>BDP|12169494372153673897</stp>
        <tr r="N1052" s="2"/>
      </tp>
      <tp t="s">
        <v>#N/A N/A</v>
        <stp/>
        <stp>BDP|13638616721944267919</stp>
        <tr r="Q1404" s="2"/>
      </tp>
      <tp t="s">
        <v>#N/A N/A</v>
        <stp/>
        <stp>BDS|12031323264674663962</stp>
        <tr r="I1233" s="2"/>
      </tp>
      <tp t="s">
        <v>#N/A N/A</v>
        <stp/>
        <stp>BDP|15197885641972570180</stp>
        <tr r="S1630" s="2"/>
      </tp>
      <tp t="s">
        <v>#N/A N/A</v>
        <stp/>
        <stp>BDP|16077190919919776528</stp>
        <tr r="A1738" s="2"/>
      </tp>
      <tp t="s">
        <v>#N/A N/A</v>
        <stp/>
        <stp>BDP|17853916646576218686</stp>
        <tr r="E120" s="2"/>
      </tp>
      <tp t="s">
        <v>#N/A N/A</v>
        <stp/>
        <stp>BDP|14249709710081743908</stp>
        <tr r="C449" s="2"/>
      </tp>
      <tp t="s">
        <v>#N/A N/A</v>
        <stp/>
        <stp>BDP|10397901363856695338</stp>
        <tr r="D1173" s="2"/>
      </tp>
      <tp t="s">
        <v>#N/A N/A</v>
        <stp/>
        <stp>BDP|10752817241281179736</stp>
        <tr r="Q1403" s="2"/>
      </tp>
      <tp t="s">
        <v>#N/A N/A</v>
        <stp/>
        <stp>BDP|12557912084998061158</stp>
        <tr r="R575" s="2"/>
      </tp>
      <tp t="s">
        <v>#N/A N/A</v>
        <stp/>
        <stp>BDP|16366514294607531767</stp>
        <tr r="C64" s="2"/>
      </tp>
      <tp t="s">
        <v>#N/A N/A</v>
        <stp/>
        <stp>BDP|14165354784550663531</stp>
        <tr r="S149" s="2"/>
      </tp>
      <tp t="s">
        <v>#N/A N/A</v>
        <stp/>
        <stp>BDP|16779114307605539816</stp>
        <tr r="A1797" s="2"/>
      </tp>
      <tp t="s">
        <v>#N/A N/A</v>
        <stp/>
        <stp>BDP|13846033868258621700</stp>
        <tr r="D1626" s="2"/>
      </tp>
      <tp t="s">
        <v>#N/A N/A</v>
        <stp/>
        <stp>BDP|15420736375066351946</stp>
        <tr r="D505" s="2"/>
      </tp>
      <tp t="s">
        <v>#N/A N/A</v>
        <stp/>
        <stp>BDP|17570244407819384604</stp>
        <tr r="E2240" s="2"/>
      </tp>
      <tp t="s">
        <v>#N/A N/A</v>
        <stp/>
        <stp>BDP|16844061915469836464</stp>
        <tr r="F2253" s="2"/>
      </tp>
      <tp t="s">
        <v>#N/A N/A</v>
        <stp/>
        <stp>BDP|12916503016284225884</stp>
        <tr r="T1258" s="2"/>
      </tp>
      <tp t="s">
        <v>#N/A N/A</v>
        <stp/>
        <stp>BDP|14208828536643109628</stp>
        <tr r="P571" s="2"/>
      </tp>
      <tp t="s">
        <v>#N/A N/A</v>
        <stp/>
        <stp>BDP|10758818079700360599</stp>
        <tr r="R629" s="2"/>
      </tp>
      <tp t="s">
        <v>#N/A N/A</v>
        <stp/>
        <stp>BDP|10237088735229989034</stp>
        <tr r="Q1941" s="2"/>
      </tp>
      <tp t="s">
        <v>#N/A N/A</v>
        <stp/>
        <stp>BDP|17657882326017411093</stp>
        <tr r="T2094" s="2"/>
      </tp>
      <tp t="s">
        <v>#N/A N/A</v>
        <stp/>
        <stp>BDP|11742417577059305176</stp>
        <tr r="E1159" s="2"/>
      </tp>
      <tp t="s">
        <v>#N/A N/A</v>
        <stp/>
        <stp>BDP|17278140600148606452</stp>
        <tr r="D1281" s="2"/>
      </tp>
      <tp t="s">
        <v>#N/A N/A</v>
        <stp/>
        <stp>BDP|14137560957377241970</stp>
        <tr r="C1996" s="2"/>
      </tp>
      <tp t="s">
        <v>#N/A N/A</v>
        <stp/>
        <stp>BDP|12276976406210056162</stp>
        <tr r="P1986" s="2"/>
      </tp>
      <tp t="s">
        <v>#N/A N/A</v>
        <stp/>
        <stp>BDP|11253385427232103896</stp>
        <tr r="D998" s="2"/>
      </tp>
      <tp t="s">
        <v>#N/A N/A</v>
        <stp/>
        <stp>BDP|16191828036144533357</stp>
        <tr r="P329" s="2"/>
      </tp>
      <tp t="s">
        <v>#N/A N/A</v>
        <stp/>
        <stp>BDP|14707614512680329924</stp>
        <tr r="J945" s="2"/>
      </tp>
      <tp t="s">
        <v>#N/A N/A</v>
        <stp/>
        <stp>BDP|17200457778166848839</stp>
        <tr r="T992" s="2"/>
      </tp>
      <tp t="s">
        <v>#N/A N/A</v>
        <stp/>
        <stp>BDP|11165931969997605394</stp>
        <tr r="E1790" s="2"/>
      </tp>
      <tp t="s">
        <v>#N/A N/A</v>
        <stp/>
        <stp>BDP|14102353975489640339</stp>
        <tr r="G634" s="2"/>
      </tp>
      <tp t="s">
        <v>#N/A N/A</v>
        <stp/>
        <stp>BDP|17190776585714789609</stp>
        <tr r="F727" s="2"/>
      </tp>
      <tp t="s">
        <v>#N/A N/A</v>
        <stp/>
        <stp>BDP|18064769932442014402</stp>
        <tr r="K238" s="2"/>
      </tp>
      <tp t="s">
        <v>#N/A N/A</v>
        <stp/>
        <stp>BDP|13486772924314440875</stp>
        <tr r="P1407" s="2"/>
      </tp>
      <tp t="s">
        <v>#N/A N/A</v>
        <stp/>
        <stp>BDP|17590465821359358252</stp>
        <tr r="C481" s="2"/>
      </tp>
      <tp t="s">
        <v>#N/A N/A</v>
        <stp/>
        <stp>BDP|17442215918768010698</stp>
        <tr r="K600" s="2"/>
      </tp>
      <tp t="s">
        <v>#N/A N/A</v>
        <stp/>
        <stp>BDP|12885903179300701627</stp>
        <tr r="N2238" s="2"/>
      </tp>
      <tp t="s">
        <v>#N/A N/A</v>
        <stp/>
        <stp>BDP|14419872714320769749</stp>
        <tr r="H1129" s="2"/>
      </tp>
      <tp t="s">
        <v>#N/A N/A</v>
        <stp/>
        <stp>BDP|14683137268858917109</stp>
        <tr r="F1288" s="2"/>
      </tp>
      <tp t="s">
        <v>#N/A N/A</v>
        <stp/>
        <stp>BDP|17007412791957127757</stp>
        <tr r="A711" s="2"/>
      </tp>
      <tp t="s">
        <v>#N/A N/A</v>
        <stp/>
        <stp>BDP|17423858541659331871</stp>
        <tr r="E2039" s="2"/>
      </tp>
      <tp t="s">
        <v>#N/A N/A</v>
        <stp/>
        <stp>BDP|17247808316953888780</stp>
        <tr r="G1133" s="2"/>
      </tp>
      <tp t="s">
        <v>#N/A N/A</v>
        <stp/>
        <stp>BDP|14600515512718187207</stp>
        <tr r="C928" s="2"/>
      </tp>
      <tp t="s">
        <v>#N/A N/A</v>
        <stp/>
        <stp>BDP|16925509972379716785</stp>
        <tr r="J872" s="2"/>
      </tp>
      <tp t="s">
        <v>#N/A N/A</v>
        <stp/>
        <stp>BDP|16998367649343251804</stp>
        <tr r="J377" s="2"/>
      </tp>
      <tp t="s">
        <v>#N/A N/A</v>
        <stp/>
        <stp>BDP|14955183085831513653</stp>
        <tr r="F1177" s="2"/>
      </tp>
      <tp t="s">
        <v>#N/A N/A</v>
        <stp/>
        <stp>BDS|17436309252508572344</stp>
        <tr r="I2001" s="2"/>
      </tp>
      <tp t="s">
        <v>#N/A N/A</v>
        <stp/>
        <stp>BDP|11364722046318308004</stp>
        <tr r="P399" s="2"/>
      </tp>
      <tp t="s">
        <v>#N/A N/A</v>
        <stp/>
        <stp>BDP|18269540353210505247</stp>
        <tr r="K1056" s="2"/>
      </tp>
      <tp t="s">
        <v>#N/A N/A</v>
        <stp/>
        <stp>BDP|12923224298262510126</stp>
        <tr r="E1713" s="2"/>
      </tp>
      <tp t="s">
        <v>#N/A N/A</v>
        <stp/>
        <stp>BDP|14165267273938093302</stp>
        <tr r="K1828" s="2"/>
      </tp>
      <tp t="s">
        <v>#N/A N/A</v>
        <stp/>
        <stp>BDP|17062815454563117304</stp>
        <tr r="G913" s="2"/>
      </tp>
      <tp t="s">
        <v>#N/A N/A</v>
        <stp/>
        <stp>BDP|18301051578470334595</stp>
        <tr r="C1075" s="2"/>
      </tp>
      <tp t="s">
        <v>#N/A N/A</v>
        <stp/>
        <stp>BDP|18115423566486933687</stp>
        <tr r="K232" s="2"/>
      </tp>
      <tp t="s">
        <v>#N/A N/A</v>
        <stp/>
        <stp>BDP|15504114084593274567</stp>
        <tr r="K33" s="2"/>
      </tp>
      <tp t="s">
        <v>#N/A N/A</v>
        <stp/>
        <stp>BDP|13528417735138269673</stp>
        <tr r="D346" s="2"/>
      </tp>
      <tp t="s">
        <v>#N/A N/A</v>
        <stp/>
        <stp>BDP|14643971468740973144</stp>
        <tr r="T1353" s="2"/>
      </tp>
      <tp t="s">
        <v>#N/A N/A</v>
        <stp/>
        <stp>BDP|12833460097237449295</stp>
        <tr r="F392" s="2"/>
      </tp>
      <tp t="s">
        <v>#N/A N/A</v>
        <stp/>
        <stp>BDP|11632410847239038242</stp>
        <tr r="D1937" s="2"/>
      </tp>
      <tp t="s">
        <v>#N/A N/A</v>
        <stp/>
        <stp>BDP|13631845660426665104</stp>
        <tr r="G893" s="2"/>
      </tp>
      <tp t="s">
        <v>#N/A N/A</v>
        <stp/>
        <stp>BDP|15575733920599400366</stp>
        <tr r="Q2223" s="2"/>
      </tp>
      <tp t="s">
        <v>#N/A N/A</v>
        <stp/>
        <stp>BDP|17103834456191049106</stp>
        <tr r="K1882" s="2"/>
      </tp>
      <tp t="s">
        <v>#N/A N/A</v>
        <stp/>
        <stp>BDP|11417603294900284464</stp>
        <tr r="O1318" s="2"/>
      </tp>
      <tp t="s">
        <v>#N/A N/A</v>
        <stp/>
        <stp>BDP|14465656612510713903</stp>
        <tr r="R1103" s="2"/>
      </tp>
      <tp t="s">
        <v>#N/A N/A</v>
        <stp/>
        <stp>BDP|11267923528551803146</stp>
        <tr r="M1902" s="2"/>
      </tp>
      <tp t="s">
        <v>#N/A N/A</v>
        <stp/>
        <stp>BDP|17024247431554102806</stp>
        <tr r="M163" s="2"/>
      </tp>
      <tp t="s">
        <v>#N/A N/A</v>
        <stp/>
        <stp>BDP|11637076359316858846</stp>
        <tr r="M2116" s="2"/>
      </tp>
      <tp t="s">
        <v>#N/A N/A</v>
        <stp/>
        <stp>BDP|14398828311435764236</stp>
        <tr r="O74" s="2"/>
      </tp>
      <tp t="s">
        <v>#N/A N/A</v>
        <stp/>
        <stp>BDP|17759009101508254509</stp>
        <tr r="G554" s="2"/>
      </tp>
      <tp t="s">
        <v>#N/A N/A</v>
        <stp/>
        <stp>BDP|11365218700948579135</stp>
        <tr r="F131" s="2"/>
      </tp>
      <tp t="s">
        <v>#N/A N/A</v>
        <stp/>
        <stp>BDP|11059090320519500085</stp>
        <tr r="D1052" s="2"/>
      </tp>
      <tp t="s">
        <v>#N/A N/A</v>
        <stp/>
        <stp>BDP|15880584857896132922</stp>
        <tr r="P1011" s="2"/>
      </tp>
      <tp t="s">
        <v>#N/A N/A</v>
        <stp/>
        <stp>BDP|18409850823200013866</stp>
        <tr r="A271" s="2"/>
      </tp>
      <tp t="s">
        <v>#N/A N/A</v>
        <stp/>
        <stp>BDP|17256616189194603786</stp>
        <tr r="C1402" s="2"/>
      </tp>
      <tp t="s">
        <v>#N/A N/A</v>
        <stp/>
        <stp>BDS|17666950453185015472</stp>
        <tr r="I1142" s="2"/>
      </tp>
      <tp t="s">
        <v>#N/A N/A</v>
        <stp/>
        <stp>BDP|11227555517489774630</stp>
        <tr r="G726" s="2"/>
      </tp>
      <tp t="s">
        <v>#N/A N/A</v>
        <stp/>
        <stp>BDP|13836906284048898008</stp>
        <tr r="G1268" s="2"/>
      </tp>
      <tp t="s">
        <v>#N/A N/A</v>
        <stp/>
        <stp>BDS|14413857562155248567</stp>
        <tr r="I2230" s="2"/>
      </tp>
      <tp t="s">
        <v>#N/A N/A</v>
        <stp/>
        <stp>BDP|12631580509018040533</stp>
        <tr r="H746" s="2"/>
      </tp>
      <tp t="s">
        <v>#N/A N/A</v>
        <stp/>
        <stp>BDP|11436400280502343536</stp>
        <tr r="J1938" s="2"/>
      </tp>
      <tp t="s">
        <v>#N/A N/A</v>
        <stp/>
        <stp>BDP|14522633522488898288</stp>
        <tr r="S1498" s="2"/>
      </tp>
      <tp t="s">
        <v>#N/A N/A</v>
        <stp/>
        <stp>BDP|10392065707383601934</stp>
        <tr r="Q1371" s="2"/>
      </tp>
      <tp t="s">
        <v>#N/A N/A</v>
        <stp/>
        <stp>BDP|14979351266923843850</stp>
        <tr r="P1630" s="2"/>
      </tp>
      <tp t="s">
        <v>#N/A N/A</v>
        <stp/>
        <stp>BDP|10001971535975243576</stp>
        <tr r="E1529" s="2"/>
      </tp>
      <tp t="s">
        <v>#N/A N/A</v>
        <stp/>
        <stp>BDP|16866120146088290196</stp>
        <tr r="P1261" s="2"/>
      </tp>
      <tp t="s">
        <v>#N/A N/A</v>
        <stp/>
        <stp>BDP|13265839875565642357</stp>
        <tr r="E5" s="2"/>
      </tp>
      <tp t="s">
        <v>#N/A N/A</v>
        <stp/>
        <stp>BDP|17908521487352292292</stp>
        <tr r="H843" s="2"/>
      </tp>
      <tp t="s">
        <v>#N/A N/A</v>
        <stp/>
        <stp>BDP|18064953357239392767</stp>
        <tr r="N1841" s="2"/>
      </tp>
      <tp t="s">
        <v>#N/A N/A</v>
        <stp/>
        <stp>BDP|14353226352999315073</stp>
        <tr r="J1848" s="2"/>
      </tp>
      <tp t="s">
        <v>#N/A N/A</v>
        <stp/>
        <stp>BDP|10099854879310373581</stp>
        <tr r="J1169" s="2"/>
      </tp>
      <tp t="s">
        <v>#N/A N/A</v>
        <stp/>
        <stp>BDP|10336858338141842016</stp>
        <tr r="F1194" s="2"/>
      </tp>
      <tp t="s">
        <v>#N/A N/A</v>
        <stp/>
        <stp>BDP|16922444099735083431</stp>
        <tr r="O215" s="2"/>
      </tp>
      <tp t="s">
        <v>#N/A N/A</v>
        <stp/>
        <stp>BDP|13108458083973192616</stp>
        <tr r="C1704" s="2"/>
      </tp>
      <tp t="s">
        <v>#N/A N/A</v>
        <stp/>
        <stp>BDP|12061037947354451879</stp>
        <tr r="R766" s="2"/>
      </tp>
      <tp t="s">
        <v>#N/A N/A</v>
        <stp/>
        <stp>BDP|15740398970412054993</stp>
        <tr r="O899" s="2"/>
      </tp>
      <tp t="s">
        <v>#N/A N/A</v>
        <stp/>
        <stp>BDP|10185360531163750962</stp>
        <tr r="N806" s="2"/>
      </tp>
      <tp t="s">
        <v>#N/A N/A</v>
        <stp/>
        <stp>BDP|16773531530862202810</stp>
        <tr r="N1768" s="2"/>
      </tp>
      <tp t="s">
        <v>#N/A N/A</v>
        <stp/>
        <stp>BDP|14228129280651047674</stp>
        <tr r="M2182" s="2"/>
      </tp>
      <tp t="s">
        <v>#N/A N/A</v>
        <stp/>
        <stp>BDP|12285760235248738414</stp>
        <tr r="G750" s="2"/>
      </tp>
      <tp t="s">
        <v>#N/A N/A</v>
        <stp/>
        <stp>BDP|15823547297360530398</stp>
        <tr r="G1175" s="2"/>
      </tp>
      <tp t="s">
        <v>#N/A N/A</v>
        <stp/>
        <stp>BDP|17107171291360084507</stp>
        <tr r="Q1105" s="2"/>
      </tp>
      <tp t="s">
        <v>#N/A N/A</v>
        <stp/>
        <stp>BDP|18437896605938780289</stp>
        <tr r="C1398" s="2"/>
      </tp>
      <tp t="s">
        <v>#N/A N/A</v>
        <stp/>
        <stp>BDS|15854744741934042891</stp>
        <tr r="I503" s="2"/>
      </tp>
      <tp t="s">
        <v>#N/A N/A</v>
        <stp/>
        <stp>BDP|14513744575916499879</stp>
        <tr r="Q235" s="2"/>
      </tp>
      <tp t="s">
        <v>#N/A N/A</v>
        <stp/>
        <stp>BDP|16093982346797000690</stp>
        <tr r="M105" s="2"/>
      </tp>
      <tp t="s">
        <v>#N/A N/A</v>
        <stp/>
        <stp>BDP|13117330339480912957</stp>
        <tr r="D337" s="2"/>
      </tp>
      <tp t="s">
        <v>#N/A N/A</v>
        <stp/>
        <stp>BDP|17060107944089104122</stp>
        <tr r="N1839" s="2"/>
      </tp>
      <tp t="s">
        <v>#N/A N/A</v>
        <stp/>
        <stp>BDP|11744917963622769650</stp>
        <tr r="R2030" s="2"/>
      </tp>
      <tp t="s">
        <v>#N/A N/A</v>
        <stp/>
        <stp>BDP|15769993401084853203</stp>
        <tr r="N324" s="2"/>
      </tp>
      <tp t="s">
        <v>#N/A N/A</v>
        <stp/>
        <stp>BDP|17122317467608540054</stp>
        <tr r="E2157" s="2"/>
      </tp>
      <tp t="s">
        <v>#N/A N/A</v>
        <stp/>
        <stp>BDS|16886414959278544518</stp>
        <tr r="I1364" s="2"/>
      </tp>
      <tp t="s">
        <v>#N/A N/A</v>
        <stp/>
        <stp>BDP|17576077790641449513</stp>
        <tr r="M426" s="2"/>
      </tp>
      <tp t="s">
        <v>#N/A N/A</v>
        <stp/>
        <stp>BDP|13025890818350366056</stp>
        <tr r="D2181" s="2"/>
      </tp>
      <tp t="s">
        <v>#N/A N/A</v>
        <stp/>
        <stp>BDP|14874274655801928848</stp>
        <tr r="H1291" s="2"/>
      </tp>
      <tp t="s">
        <v>#N/A N/A</v>
        <stp/>
        <stp>BDP|13467240497641402341</stp>
        <tr r="K2071" s="2"/>
      </tp>
      <tp t="s">
        <v>#N/A N/A</v>
        <stp/>
        <stp>BDP|12472356297025106700</stp>
        <tr r="P1940" s="2"/>
      </tp>
      <tp t="s">
        <v>#N/A N/A</v>
        <stp/>
        <stp>BDP|16805392759739835377</stp>
        <tr r="C945" s="2"/>
      </tp>
      <tp t="s">
        <v>#N/A N/A</v>
        <stp/>
        <stp>BDP|12119722001698167742</stp>
        <tr r="O1840" s="2"/>
      </tp>
      <tp t="s">
        <v>#N/A N/A</v>
        <stp/>
        <stp>BDP|12898839130834987750</stp>
        <tr r="E1906" s="2"/>
      </tp>
      <tp t="s">
        <v>#N/A N/A</v>
        <stp/>
        <stp>BDP|17002830438482460482</stp>
        <tr r="T864" s="2"/>
      </tp>
      <tp t="s">
        <v>#N/A N/A</v>
        <stp/>
        <stp>BDP|18165390918646560626</stp>
        <tr r="G576" s="2"/>
      </tp>
      <tp t="s">
        <v>#N/A N/A</v>
        <stp/>
        <stp>BDP|16673325957669605323</stp>
        <tr r="P1572" s="2"/>
      </tp>
      <tp t="s">
        <v>#N/A N/A</v>
        <stp/>
        <stp>BDP|13802066494469465993</stp>
        <tr r="O742" s="2"/>
      </tp>
      <tp t="s">
        <v>#N/A N/A</v>
        <stp/>
        <stp>BDP|15435905310110120722</stp>
        <tr r="M1363" s="2"/>
      </tp>
      <tp t="s">
        <v>#N/A N/A</v>
        <stp/>
        <stp>BDP|16013891041775973567</stp>
        <tr r="A1393" s="2"/>
      </tp>
      <tp t="s">
        <v>#N/A N/A</v>
        <stp/>
        <stp>BDP|15271547303222522877</stp>
        <tr r="M2045" s="2"/>
      </tp>
      <tp t="s">
        <v>#N/A N/A</v>
        <stp/>
        <stp>BDP|16681299692683943435</stp>
        <tr r="F980" s="2"/>
      </tp>
      <tp t="s">
        <v>#N/A N/A</v>
        <stp/>
        <stp>BDP|11765247083637799608</stp>
        <tr r="Q739" s="2"/>
      </tp>
      <tp t="s">
        <v>#N/A N/A</v>
        <stp/>
        <stp>BDP|17978420129553618835</stp>
        <tr r="M1185" s="2"/>
      </tp>
      <tp t="s">
        <v>#N/A N/A</v>
        <stp/>
        <stp>BDP|13247160162086228830</stp>
        <tr r="R372" s="2"/>
      </tp>
      <tp t="s">
        <v>#N/A N/A</v>
        <stp/>
        <stp>BDP|11272078012139181310</stp>
        <tr r="H1346" s="2"/>
      </tp>
      <tp t="s">
        <v>#N/A N/A</v>
        <stp/>
        <stp>BDP|13968014032492481898</stp>
        <tr r="K1762" s="2"/>
      </tp>
      <tp t="s">
        <v>#N/A N/A</v>
        <stp/>
        <stp>BDP|12029487169738735214</stp>
        <tr r="M340" s="2"/>
      </tp>
      <tp t="s">
        <v>#N/A N/A</v>
        <stp/>
        <stp>BDP|16513831411717371235</stp>
        <tr r="K1424" s="2"/>
      </tp>
      <tp t="s">
        <v>#N/A N/A</v>
        <stp/>
        <stp>BDP|13515858544296579369</stp>
        <tr r="S559" s="2"/>
      </tp>
      <tp t="s">
        <v>#N/A N/A</v>
        <stp/>
        <stp>BDP|15030959787739414719</stp>
        <tr r="J1187" s="2"/>
      </tp>
      <tp t="s">
        <v>#N/A N/A</v>
        <stp/>
        <stp>BDP|13505877766366676156</stp>
        <tr r="O2033" s="2"/>
      </tp>
      <tp t="s">
        <v>#N/A N/A</v>
        <stp/>
        <stp>BDP|15705112498793165487</stp>
        <tr r="O1870" s="2"/>
      </tp>
      <tp t="s">
        <v>#N/A N/A</v>
        <stp/>
        <stp>BDP|15339843101274720364</stp>
        <tr r="S154" s="2"/>
      </tp>
      <tp t="s">
        <v>#N/A N/A</v>
        <stp/>
        <stp>BDP|12693330395907329546</stp>
        <tr r="Q1500" s="2"/>
      </tp>
      <tp t="s">
        <v>#N/A N/A</v>
        <stp/>
        <stp>BDP|12355904995638125001</stp>
        <tr r="F1119" s="2"/>
      </tp>
      <tp t="s">
        <v>#N/A N/A</v>
        <stp/>
        <stp>BDP|10332993115604046686</stp>
        <tr r="R320" s="2"/>
      </tp>
      <tp t="s">
        <v>#N/A N/A</v>
        <stp/>
        <stp>BDP|11152039805142718978</stp>
        <tr r="H174" s="2"/>
      </tp>
      <tp t="s">
        <v>#N/A N/A</v>
        <stp/>
        <stp>BDP|14971913126622104786</stp>
        <tr r="M421" s="2"/>
      </tp>
      <tp t="s">
        <v>#N/A N/A</v>
        <stp/>
        <stp>BDP|17007304781540064663</stp>
        <tr r="A750" s="2"/>
      </tp>
      <tp t="s">
        <v>#N/A N/A</v>
        <stp/>
        <stp>BDP|11297474423938773567</stp>
        <tr r="F545" s="2"/>
      </tp>
      <tp t="s">
        <v>#N/A N/A</v>
        <stp/>
        <stp>BDP|12947867430897061496</stp>
        <tr r="M760" s="2"/>
      </tp>
      <tp t="s">
        <v>#N/A N/A</v>
        <stp/>
        <stp>BDP|15103514211929429234</stp>
        <tr r="G1628" s="2"/>
      </tp>
      <tp t="s">
        <v>#N/A N/A</v>
        <stp/>
        <stp>BDP|11392901132733166262</stp>
        <tr r="S1838" s="2"/>
      </tp>
      <tp t="s">
        <v>#N/A N/A</v>
        <stp/>
        <stp>BDP|14089038408888444697</stp>
        <tr r="A1360" s="2"/>
      </tp>
      <tp t="s">
        <v>#N/A N/A</v>
        <stp/>
        <stp>BDP|16048349580451478665</stp>
        <tr r="A761" s="2"/>
      </tp>
      <tp t="s">
        <v>#N/A N/A</v>
        <stp/>
        <stp>BDP|14125679589250978004</stp>
        <tr r="K913" s="2"/>
      </tp>
      <tp t="s">
        <v>#N/A N/A</v>
        <stp/>
        <stp>BDP|14099463032140025923</stp>
        <tr r="P402" s="2"/>
      </tp>
      <tp t="s">
        <v>#N/A N/A</v>
        <stp/>
        <stp>BDP|17632767232970367971</stp>
        <tr r="C2093" s="2"/>
      </tp>
      <tp t="s">
        <v>#N/A N/A</v>
        <stp/>
        <stp>BDS|11085213001629034054</stp>
        <tr r="I1871" s="2"/>
      </tp>
      <tp t="s">
        <v>#N/A N/A</v>
        <stp/>
        <stp>BDP|13774941382851070973</stp>
        <tr r="Q2208" s="2"/>
      </tp>
      <tp t="s">
        <v>#N/A N/A</v>
        <stp/>
        <stp>BDP|14027380608735180877</stp>
        <tr r="G1389" s="2"/>
      </tp>
      <tp t="s">
        <v>#N/A N/A</v>
        <stp/>
        <stp>BDP|18083657305462218643</stp>
        <tr r="N1346" s="2"/>
      </tp>
      <tp t="s">
        <v>#N/A N/A</v>
        <stp/>
        <stp>BDP|15407813027382707739</stp>
        <tr r="F369" s="2"/>
      </tp>
      <tp t="s">
        <v>#N/A N/A</v>
        <stp/>
        <stp>BDP|14856034863829646184</stp>
        <tr r="D872" s="2"/>
      </tp>
      <tp t="s">
        <v>#N/A N/A</v>
        <stp/>
        <stp>BDP|15587964985126246820</stp>
        <tr r="E27" s="2"/>
      </tp>
      <tp t="s">
        <v>#N/A N/A</v>
        <stp/>
        <stp>BDP|11484559257532847989</stp>
        <tr r="E238" s="2"/>
      </tp>
      <tp t="s">
        <v>#N/A N/A</v>
        <stp/>
        <stp>BDS|17875805277873951137</stp>
        <tr r="I278" s="2"/>
      </tp>
      <tp t="s">
        <v>#N/A N/A</v>
        <stp/>
        <stp>BDP|11574810835983030372</stp>
        <tr r="C633" s="2"/>
      </tp>
      <tp t="s">
        <v>#N/A N/A</v>
        <stp/>
        <stp>BDP|13311870712892277220</stp>
        <tr r="C1277" s="2"/>
      </tp>
      <tp t="s">
        <v>#N/A N/A</v>
        <stp/>
        <stp>BDP|16099377580172810590</stp>
        <tr r="R1232" s="2"/>
      </tp>
      <tp t="s">
        <v>#N/A N/A</v>
        <stp/>
        <stp>BDP|11432219944415559825</stp>
        <tr r="C1809" s="2"/>
      </tp>
      <tp t="s">
        <v>#N/A N/A</v>
        <stp/>
        <stp>BDP|14694593878238659470</stp>
        <tr r="A1608" s="2"/>
      </tp>
      <tp t="s">
        <v>#N/A N/A</v>
        <stp/>
        <stp>BDP|17237412964436013918</stp>
        <tr r="A339" s="2"/>
      </tp>
      <tp t="s">
        <v>#N/A N/A</v>
        <stp/>
        <stp>BDP|15126585701529784396</stp>
        <tr r="Q185" s="2"/>
      </tp>
      <tp t="s">
        <v>#N/A N/A</v>
        <stp/>
        <stp>BDP|14025563683231176228</stp>
        <tr r="T1451" s="2"/>
      </tp>
      <tp t="s">
        <v>#N/A N/A</v>
        <stp/>
        <stp>BDP|15266808507511244613</stp>
        <tr r="R1672" s="2"/>
      </tp>
      <tp t="s">
        <v>#N/A N/A</v>
        <stp/>
        <stp>BDP|17121300659008884366</stp>
        <tr r="G95" s="2"/>
      </tp>
      <tp t="s">
        <v>#N/A N/A</v>
        <stp/>
        <stp>BDP|16456621472374201904</stp>
        <tr r="R216" s="2"/>
      </tp>
      <tp t="s">
        <v>#N/A N/A</v>
        <stp/>
        <stp>BDS|17117888743057685692</stp>
        <tr r="I324" s="2"/>
      </tp>
      <tp t="s">
        <v>#N/A N/A</v>
        <stp/>
        <stp>BDS|17967965803063851714</stp>
        <tr r="I1545" s="2"/>
      </tp>
      <tp t="s">
        <v>#N/A N/A</v>
        <stp/>
        <stp>BDP|11230526966668905091</stp>
        <tr r="D1489" s="2"/>
      </tp>
      <tp t="s">
        <v>#N/A N/A</v>
        <stp/>
        <stp>BDP|17773614179258915402</stp>
        <tr r="G921" s="2"/>
      </tp>
      <tp t="s">
        <v>#N/A N/A</v>
        <stp/>
        <stp>BDP|11675499881617084081</stp>
        <tr r="S2174" s="2"/>
      </tp>
      <tp t="s">
        <v>#N/A N/A</v>
        <stp/>
        <stp>BDP|15139006642462402910</stp>
        <tr r="G133" s="2"/>
      </tp>
      <tp t="s">
        <v>#N/A N/A</v>
        <stp/>
        <stp>BDP|17213633195780420266</stp>
        <tr r="C1301" s="2"/>
      </tp>
      <tp t="s">
        <v>#N/A N/A</v>
        <stp/>
        <stp>BDP|10656366990186250646</stp>
        <tr r="K1714" s="2"/>
      </tp>
      <tp t="s">
        <v>#N/A N/A</v>
        <stp/>
        <stp>BDP|13326166571647177834</stp>
        <tr r="O1037" s="2"/>
      </tp>
      <tp t="s">
        <v>#N/A N/A</v>
        <stp/>
        <stp>BDP|10304684967502222883</stp>
        <tr r="G669" s="2"/>
      </tp>
      <tp t="s">
        <v>#N/A N/A</v>
        <stp/>
        <stp>BDP|17028432367619551673</stp>
        <tr r="M1501" s="2"/>
      </tp>
      <tp t="s">
        <v>#N/A N/A</v>
        <stp/>
        <stp>BDP|10521692690642369790</stp>
        <tr r="P1658" s="2"/>
      </tp>
      <tp t="s">
        <v>#N/A N/A</v>
        <stp/>
        <stp>BDP|16182628576358126521</stp>
        <tr r="K1366" s="2"/>
      </tp>
      <tp t="s">
        <v>#N/A N/A</v>
        <stp/>
        <stp>BDP|13921114615411910823</stp>
        <tr r="N1299" s="2"/>
      </tp>
      <tp t="s">
        <v>#N/A N/A</v>
        <stp/>
        <stp>BDP|18119695025593956524</stp>
        <tr r="N1689" s="2"/>
      </tp>
      <tp t="s">
        <v>#N/A N/A</v>
        <stp/>
        <stp>BDP|18334388370367893151</stp>
        <tr r="P204" s="2"/>
      </tp>
      <tp t="s">
        <v>#N/A N/A</v>
        <stp/>
        <stp>BDP|16232701984504626762</stp>
        <tr r="C1357" s="2"/>
      </tp>
      <tp t="s">
        <v>#N/A N/A</v>
        <stp/>
        <stp>BDS|16292646912003787860</stp>
        <tr r="I1849" s="2"/>
      </tp>
      <tp t="s">
        <v>#N/A N/A</v>
        <stp/>
        <stp>BDP|16003905350276008660</stp>
        <tr r="P1374" s="2"/>
      </tp>
      <tp t="s">
        <v>#N/A N/A</v>
        <stp/>
        <stp>BDP|15906382420398635615</stp>
        <tr r="T1747" s="2"/>
      </tp>
      <tp t="s">
        <v>#N/A N/A</v>
        <stp/>
        <stp>BDP|13880736596296834138</stp>
        <tr r="D2016" s="2"/>
      </tp>
      <tp t="s">
        <v>#N/A N/A</v>
        <stp/>
        <stp>BDP|15986114710598760798</stp>
        <tr r="J2177" s="2"/>
      </tp>
      <tp t="s">
        <v>#N/A N/A</v>
        <stp/>
        <stp>BDP|17024714625400427867</stp>
        <tr r="E369" s="2"/>
      </tp>
      <tp t="s">
        <v>#N/A N/A</v>
        <stp/>
        <stp>BDP|14882372150341061998</stp>
        <tr r="T1773" s="2"/>
      </tp>
      <tp t="s">
        <v>#N/A N/A</v>
        <stp/>
        <stp>BDP|15354945105332164452</stp>
        <tr r="Q398" s="2"/>
      </tp>
      <tp t="s">
        <v>#N/A N/A</v>
        <stp/>
        <stp>BDP|11488999449124505276</stp>
        <tr r="K172" s="2"/>
      </tp>
      <tp t="s">
        <v>#N/A N/A</v>
        <stp/>
        <stp>BDP|17260542183028208812</stp>
        <tr r="E2091" s="2"/>
      </tp>
      <tp t="s">
        <v>#N/A N/A</v>
        <stp/>
        <stp>BDP|17417978652328796905</stp>
        <tr r="D1259" s="2"/>
      </tp>
      <tp t="s">
        <v>#N/A N/A</v>
        <stp/>
        <stp>BDP|14183997309570781704</stp>
        <tr r="N1438" s="2"/>
      </tp>
      <tp t="s">
        <v>#N/A N/A</v>
        <stp/>
        <stp>BDP|15466810906792465511</stp>
        <tr r="P134" s="2"/>
      </tp>
      <tp t="s">
        <v>#N/A N/A</v>
        <stp/>
        <stp>BDP|11480819384459024271</stp>
        <tr r="M1139" s="2"/>
      </tp>
      <tp t="s">
        <v>#N/A N/A</v>
        <stp/>
        <stp>BDP|18065554449151202286</stp>
        <tr r="J1653" s="2"/>
      </tp>
      <tp t="s">
        <v>#N/A N/A</v>
        <stp/>
        <stp>BDP|11280102465859572540</stp>
        <tr r="C1351" s="2"/>
      </tp>
      <tp t="s">
        <v>#N/A N/A</v>
        <stp/>
        <stp>BDP|13665287538608032001</stp>
        <tr r="G1288" s="2"/>
      </tp>
      <tp t="s">
        <v>#N/A N/A</v>
        <stp/>
        <stp>BDP|15359348190513995685</stp>
        <tr r="C2159" s="2"/>
      </tp>
      <tp t="s">
        <v>#N/A N/A</v>
        <stp/>
        <stp>BDP|18247251463192505470</stp>
        <tr r="D269" s="2"/>
      </tp>
      <tp t="s">
        <v>#N/A N/A</v>
        <stp/>
        <stp>BDP|13210442193234353000</stp>
        <tr r="A1818" s="2"/>
      </tp>
      <tp t="s">
        <v>#N/A N/A</v>
        <stp/>
        <stp>BDS|11090919230687944729</stp>
        <tr r="I2186" s="2"/>
      </tp>
      <tp t="s">
        <v>#N/A N/A</v>
        <stp/>
        <stp>BDP|12124899861256823180</stp>
        <tr r="O684" s="2"/>
      </tp>
      <tp t="s">
        <v>#N/A N/A</v>
        <stp/>
        <stp>BDP|11880273975018418771</stp>
        <tr r="N1702" s="2"/>
      </tp>
      <tp t="s">
        <v>#N/A N/A</v>
        <stp/>
        <stp>BDP|12472104660348523689</stp>
        <tr r="C1693" s="2"/>
      </tp>
      <tp t="s">
        <v>#N/A N/A</v>
        <stp/>
        <stp>BDP|15113559248707433817</stp>
        <tr r="P2192" s="2"/>
      </tp>
      <tp t="s">
        <v>#N/A N/A</v>
        <stp/>
        <stp>BDP|16364042998895110177</stp>
        <tr r="O827" s="2"/>
      </tp>
      <tp t="s">
        <v>#N/A N/A</v>
        <stp/>
        <stp>BDP|10781778457319782091</stp>
        <tr r="Q476" s="2"/>
      </tp>
      <tp t="s">
        <v>#N/A N/A</v>
        <stp/>
        <stp>BDP|16950330541963200906</stp>
        <tr r="R1283" s="2"/>
      </tp>
      <tp t="s">
        <v>#N/A N/A</v>
        <stp/>
        <stp>BDP|11639882196118985381</stp>
        <tr r="A549" s="2"/>
      </tp>
      <tp t="s">
        <v>#N/A N/A</v>
        <stp/>
        <stp>BDP|10878048020961770828</stp>
        <tr r="T2005" s="2"/>
      </tp>
      <tp t="s">
        <v>#N/A N/A</v>
        <stp/>
        <stp>BDP|15132838128182265615</stp>
        <tr r="S552" s="2"/>
      </tp>
      <tp t="s">
        <v>#N/A N/A</v>
        <stp/>
        <stp>BDP|11064178374598947436</stp>
        <tr r="T236" s="2"/>
      </tp>
      <tp t="s">
        <v>#N/A N/A</v>
        <stp/>
        <stp>BDP|11686187402518534300</stp>
        <tr r="O1902" s="2"/>
      </tp>
      <tp t="s">
        <v>#N/A N/A</v>
        <stp/>
        <stp>BDP|15258357988914457127</stp>
        <tr r="J1591" s="2"/>
      </tp>
      <tp t="s">
        <v>#N/A N/A</v>
        <stp/>
        <stp>BDP|12947856901538262969</stp>
        <tr r="C1898" s="2"/>
      </tp>
      <tp t="s">
        <v>#N/A N/A</v>
        <stp/>
        <stp>BDP|17444509885758132991</stp>
        <tr r="P975" s="2"/>
      </tp>
      <tp t="s">
        <v>#N/A N/A</v>
        <stp/>
        <stp>BDP|14893412783635601655</stp>
        <tr r="P1300" s="2"/>
      </tp>
      <tp t="s">
        <v>#N/A N/A</v>
        <stp/>
        <stp>BDP|10400257189235983485</stp>
        <tr r="D1679" s="2"/>
      </tp>
      <tp t="s">
        <v>#N/A N/A</v>
        <stp/>
        <stp>BDP|13601563109969277425</stp>
        <tr r="A2155" s="2"/>
      </tp>
      <tp t="s">
        <v>#N/A N/A</v>
        <stp/>
        <stp>BDS|12422708668709424127</stp>
        <tr r="I225" s="2"/>
      </tp>
      <tp t="s">
        <v>#N/A N/A</v>
        <stp/>
        <stp>BDP|11915488299266552146</stp>
        <tr r="R2119" s="2"/>
      </tp>
      <tp t="s">
        <v>#N/A N/A</v>
        <stp/>
        <stp>BDP|17892503796070425037</stp>
        <tr r="P1922" s="2"/>
      </tp>
      <tp t="s">
        <v>#N/A N/A</v>
        <stp/>
        <stp>BDP|11780315244258857535</stp>
        <tr r="R468" s="2"/>
      </tp>
      <tp t="s">
        <v>#N/A N/A</v>
        <stp/>
        <stp>BDP|14441857088998726776</stp>
        <tr r="C1482" s="2"/>
      </tp>
      <tp t="s">
        <v>#N/A N/A</v>
        <stp/>
        <stp>BDP|11120140297491390381</stp>
        <tr r="N1513" s="2"/>
      </tp>
      <tp t="s">
        <v>#N/A N/A</v>
        <stp/>
        <stp>BDP|13353391410902743844</stp>
        <tr r="Q1033" s="2"/>
      </tp>
      <tp t="s">
        <v>#N/A N/A</v>
        <stp/>
        <stp>BDP|13398095243645378930</stp>
        <tr r="Q85" s="2"/>
      </tp>
      <tp t="s">
        <v>#N/A N/A</v>
        <stp/>
        <stp>BDP|17531635002972520880</stp>
        <tr r="N93" s="2"/>
      </tp>
      <tp t="s">
        <v>#N/A N/A</v>
        <stp/>
        <stp>BDP|11399260714791027881</stp>
        <tr r="P2030" s="2"/>
      </tp>
      <tp t="s">
        <v>#N/A N/A</v>
        <stp/>
        <stp>BDP|10148188646569515734</stp>
        <tr r="M440" s="2"/>
      </tp>
      <tp t="s">
        <v>#N/A N/A</v>
        <stp/>
        <stp>BDP|15335223693365399086</stp>
        <tr r="D300" s="2"/>
      </tp>
      <tp t="s">
        <v>#N/A N/A</v>
        <stp/>
        <stp>BDP|11677979750012056487</stp>
        <tr r="Q1706" s="2"/>
      </tp>
      <tp t="s">
        <v>#N/A N/A</v>
        <stp/>
        <stp>BDP|16317779186786395485</stp>
        <tr r="A1365" s="2"/>
      </tp>
      <tp t="s">
        <v>#N/A N/A</v>
        <stp/>
        <stp>BDP|10465994215923984080</stp>
        <tr r="A825" s="2"/>
      </tp>
      <tp t="s">
        <v>#N/A N/A</v>
        <stp/>
        <stp>BDP|17406586370516139842</stp>
        <tr r="K1322" s="2"/>
      </tp>
      <tp t="s">
        <v>#N/A N/A</v>
        <stp/>
        <stp>BDS|13703363830509800134</stp>
        <tr r="I574" s="2"/>
      </tp>
      <tp t="s">
        <v>#N/A N/A</v>
        <stp/>
        <stp>BDP|15109312415014979857</stp>
        <tr r="M1473" s="2"/>
      </tp>
      <tp t="s">
        <v>#N/A N/A</v>
        <stp/>
        <stp>BDP|12976834629042872126</stp>
        <tr r="D1207" s="2"/>
      </tp>
      <tp t="s">
        <v>#N/A N/A</v>
        <stp/>
        <stp>BDS|13182336996523793193</stp>
        <tr r="I893" s="2"/>
      </tp>
      <tp t="s">
        <v>#N/A N/A</v>
        <stp/>
        <stp>BDP|12922408090915740176</stp>
        <tr r="S1258" s="2"/>
      </tp>
      <tp t="s">
        <v>#N/A N/A</v>
        <stp/>
        <stp>BDP|10936826809600372384</stp>
        <tr r="H1122" s="2"/>
      </tp>
      <tp t="s">
        <v>#N/A N/A</v>
        <stp/>
        <stp>BDP|15914375950440715801</stp>
        <tr r="G2173" s="2"/>
      </tp>
      <tp t="s">
        <v>#N/A N/A</v>
        <stp/>
        <stp>BDP|11453776792396902210</stp>
        <tr r="H81" s="2"/>
      </tp>
      <tp t="s">
        <v>#N/A N/A</v>
        <stp/>
        <stp>BDP|17713230601086483889</stp>
        <tr r="F1998" s="2"/>
      </tp>
      <tp t="s">
        <v>#N/A N/A</v>
        <stp/>
        <stp>BDP|11097009823409950136</stp>
        <tr r="A1476" s="2"/>
      </tp>
      <tp t="s">
        <v>#N/A N/A</v>
        <stp/>
        <stp>BDP|14812680788506955786</stp>
        <tr r="J917" s="2"/>
      </tp>
      <tp t="s">
        <v>#N/A N/A</v>
        <stp/>
        <stp>BDP|11184112189967550451</stp>
        <tr r="A567" s="2"/>
      </tp>
      <tp t="s">
        <v>#N/A N/A</v>
        <stp/>
        <stp>BDP|18327380731124630757</stp>
        <tr r="Q490" s="2"/>
      </tp>
      <tp t="s">
        <v>#N/A N/A</v>
        <stp/>
        <stp>BDP|12864834070602239401</stp>
        <tr r="A1718" s="2"/>
      </tp>
      <tp t="s">
        <v>#N/A N/A</v>
        <stp/>
        <stp>BDS|12794041198051278139</stp>
        <tr r="I1894" s="2"/>
      </tp>
      <tp t="s">
        <v>#N/A N/A</v>
        <stp/>
        <stp>BDP|13001861912368919945</stp>
        <tr r="E115" s="2"/>
      </tp>
      <tp t="s">
        <v>#N/A N/A</v>
        <stp/>
        <stp>BDP|13755284603049315366</stp>
        <tr r="F1894" s="2"/>
      </tp>
      <tp t="s">
        <v>#N/A N/A</v>
        <stp/>
        <stp>BDP|13158459148978093059</stp>
        <tr r="F1344" s="2"/>
      </tp>
      <tp t="s">
        <v>#N/A N/A</v>
        <stp/>
        <stp>BDP|11907853895833062808</stp>
        <tr r="C2069" s="2"/>
      </tp>
      <tp t="s">
        <v>#N/A N/A</v>
        <stp/>
        <stp>BDP|17183095823487347918</stp>
        <tr r="D2154" s="2"/>
      </tp>
      <tp t="s">
        <v>#N/A N/A</v>
        <stp/>
        <stp>BDP|12181987967892511423</stp>
        <tr r="O1217" s="2"/>
      </tp>
      <tp t="s">
        <v>#N/A N/A</v>
        <stp/>
        <stp>BDP|14981809165143019255</stp>
        <tr r="G1353" s="2"/>
      </tp>
      <tp t="s">
        <v>#N/A N/A</v>
        <stp/>
        <stp>BDS|11635973028584104521</stp>
        <tr r="I1058" s="2"/>
      </tp>
      <tp t="s">
        <v>#N/A N/A</v>
        <stp/>
        <stp>BDP|11007444198652429514</stp>
        <tr r="F1573" s="2"/>
      </tp>
      <tp t="s">
        <v>#N/A N/A</v>
        <stp/>
        <stp>BDP|15927763663877280875</stp>
        <tr r="E836" s="2"/>
      </tp>
      <tp t="s">
        <v>#N/A N/A</v>
        <stp/>
        <stp>BDP|17857615389301864311</stp>
        <tr r="K1969" s="2"/>
      </tp>
      <tp t="s">
        <v>#N/A N/A</v>
        <stp/>
        <stp>BDP|11234503028038274513</stp>
        <tr r="O624" s="2"/>
      </tp>
      <tp t="s">
        <v>#N/A N/A</v>
        <stp/>
        <stp>BDP|10713759539367108820</stp>
        <tr r="P273" s="2"/>
      </tp>
      <tp t="s">
        <v>#N/A N/A</v>
        <stp/>
        <stp>BDP|11174046949887365974</stp>
        <tr r="R968" s="2"/>
      </tp>
      <tp t="s">
        <v>#N/A N/A</v>
        <stp/>
        <stp>BDP|10648829027647343685</stp>
        <tr r="H2060" s="2"/>
      </tp>
      <tp t="s">
        <v>#N/A N/A</v>
        <stp/>
        <stp>BDP|13055390994987411517</stp>
        <tr r="G1468" s="2"/>
      </tp>
      <tp t="s">
        <v>#N/A N/A</v>
        <stp/>
        <stp>BDP|15158838221690316480</stp>
        <tr r="K1000" s="2"/>
      </tp>
      <tp t="s">
        <v>#N/A N/A</v>
        <stp/>
        <stp>BDP|16385602667379831440</stp>
        <tr r="O801" s="2"/>
      </tp>
      <tp t="s">
        <v>#N/A N/A</v>
        <stp/>
        <stp>BDP|16231893120692658559</stp>
        <tr r="K710" s="2"/>
      </tp>
      <tp t="s">
        <v>#N/A N/A</v>
        <stp/>
        <stp>BDP|17151629593443953017</stp>
        <tr r="F1911" s="2"/>
      </tp>
      <tp t="s">
        <v>#N/A N/A</v>
        <stp/>
        <stp>BDP|13036409346691902975</stp>
        <tr r="A1800" s="2"/>
      </tp>
      <tp t="s">
        <v>#N/A N/A</v>
        <stp/>
        <stp>BDP|13787211812552843941</stp>
        <tr r="R1691" s="2"/>
      </tp>
      <tp t="s">
        <v>#N/A N/A</v>
        <stp/>
        <stp>BDP|17684408042044804849</stp>
        <tr r="J1677" s="2"/>
      </tp>
      <tp t="s">
        <v>#N/A N/A</v>
        <stp/>
        <stp>BDP|14579663201380363998</stp>
        <tr r="J1325" s="2"/>
      </tp>
      <tp t="s">
        <v>#N/A N/A</v>
        <stp/>
        <stp>BDP|10669059618789559365</stp>
        <tr r="E750" s="2"/>
      </tp>
      <tp t="s">
        <v>#N/A N/A</v>
        <stp/>
        <stp>BDP|16901538344029535533</stp>
        <tr r="R582" s="2"/>
      </tp>
      <tp t="s">
        <v>#N/A N/A</v>
        <stp/>
        <stp>BDS|15975280054869856062</stp>
        <tr r="I398" s="2"/>
      </tp>
      <tp t="s">
        <v>#N/A N/A</v>
        <stp/>
        <stp>BDP|16853265934669491560</stp>
        <tr r="F659" s="2"/>
      </tp>
      <tp t="s">
        <v>#N/A N/A</v>
        <stp/>
        <stp>BDP|17614481006780381830</stp>
        <tr r="H1644" s="2"/>
      </tp>
      <tp t="s">
        <v>#N/A N/A</v>
        <stp/>
        <stp>BDP|18334809699577089528</stp>
        <tr r="K2059" s="2"/>
      </tp>
      <tp t="s">
        <v>#N/A N/A</v>
        <stp/>
        <stp>BDP|18239387513535474459</stp>
        <tr r="G23" s="2"/>
      </tp>
      <tp t="s">
        <v>#N/A N/A</v>
        <stp/>
        <stp>BDP|14175888122826285310</stp>
        <tr r="G1843" s="2"/>
      </tp>
      <tp t="s">
        <v>#N/A N/A</v>
        <stp/>
        <stp>BDP|18217436096928979667</stp>
        <tr r="A1515" s="2"/>
      </tp>
      <tp t="s">
        <v>#N/A N/A</v>
        <stp/>
        <stp>BDP|13702913463556886150</stp>
        <tr r="M2068" s="2"/>
      </tp>
      <tp t="s">
        <v>#N/A N/A</v>
        <stp/>
        <stp>BDP|14585629232858563281</stp>
        <tr r="E409" s="2"/>
      </tp>
      <tp t="s">
        <v>#N/A N/A</v>
        <stp/>
        <stp>BDP|16281446956729877503</stp>
        <tr r="A18" s="2"/>
      </tp>
      <tp t="s">
        <v>#N/A N/A</v>
        <stp/>
        <stp>BDP|17378481859778390595</stp>
        <tr r="A2045" s="2"/>
      </tp>
      <tp t="s">
        <v>#N/A N/A</v>
        <stp/>
        <stp>BDP|12179908788689710165</stp>
        <tr r="H658" s="2"/>
      </tp>
      <tp t="s">
        <v>#N/A N/A</v>
        <stp/>
        <stp>BDP|12990450315524400851</stp>
        <tr r="R1515" s="2"/>
      </tp>
      <tp t="s">
        <v>#N/A N/A</v>
        <stp/>
        <stp>BDP|15718839278477315671</stp>
        <tr r="T313" s="2"/>
      </tp>
      <tp t="s">
        <v>#N/A N/A</v>
        <stp/>
        <stp>BDP|12596494647569202014</stp>
        <tr r="P2170" s="2"/>
      </tp>
      <tp t="s">
        <v>#N/A N/A</v>
        <stp/>
        <stp>BDP|17514529988595653414</stp>
        <tr r="J456" s="2"/>
      </tp>
      <tp t="s">
        <v>#N/A N/A</v>
        <stp/>
        <stp>BDP|13897556655689239126</stp>
        <tr r="J1892" s="2"/>
      </tp>
      <tp t="s">
        <v>#N/A N/A</v>
        <stp/>
        <stp>BDS|14901426567029325448</stp>
        <tr r="I679" s="2"/>
      </tp>
      <tp t="s">
        <v>#N/A N/A</v>
        <stp/>
        <stp>BDP|17280444919970003976</stp>
        <tr r="F1863" s="2"/>
      </tp>
      <tp t="s">
        <v>#N/A N/A</v>
        <stp/>
        <stp>BDP|18329294140440665547</stp>
        <tr r="S925" s="2"/>
      </tp>
      <tp t="s">
        <v>#N/A N/A</v>
        <stp/>
        <stp>BDP|10599357353915970823</stp>
        <tr r="H1868" s="2"/>
      </tp>
      <tp t="s">
        <v>#N/A N/A</v>
        <stp/>
        <stp>BDP|12498134036793104889</stp>
        <tr r="K1984" s="2"/>
      </tp>
      <tp t="s">
        <v>#N/A N/A</v>
        <stp/>
        <stp>BDP|17237054686384159082</stp>
        <tr r="N1525" s="2"/>
      </tp>
      <tp t="s">
        <v>#N/A N/A</v>
        <stp/>
        <stp>BDP|14510728298878547926</stp>
        <tr r="O895" s="2"/>
      </tp>
      <tp t="s">
        <v>#N/A N/A</v>
        <stp/>
        <stp>BDP|18293148359071366645</stp>
        <tr r="O1269" s="2"/>
      </tp>
      <tp t="s">
        <v>#N/A N/A</v>
        <stp/>
        <stp>BDP|18116391557452114767</stp>
        <tr r="K814" s="2"/>
      </tp>
      <tp t="s">
        <v>#N/A N/A</v>
        <stp/>
        <stp>BDP|12446287514989185313</stp>
        <tr r="N1279" s="2"/>
      </tp>
      <tp t="s">
        <v>#N/A N/A</v>
        <stp/>
        <stp>BDP|15141773029092010977</stp>
        <tr r="J1850" s="2"/>
      </tp>
      <tp t="s">
        <v>#N/A N/A</v>
        <stp/>
        <stp>BDP|16881542596482097326</stp>
        <tr r="M165" s="2"/>
      </tp>
      <tp t="s">
        <v>#N/A N/A</v>
        <stp/>
        <stp>BDP|11097260679129310648</stp>
        <tr r="T1807" s="2"/>
      </tp>
      <tp t="s">
        <v>#N/A N/A</v>
        <stp/>
        <stp>BDP|15193309382094246194</stp>
        <tr r="P272" s="2"/>
      </tp>
      <tp t="s">
        <v>#N/A N/A</v>
        <stp/>
        <stp>BDP|14508586043097147972</stp>
        <tr r="C1911" s="2"/>
      </tp>
      <tp t="s">
        <v>#N/A N/A</v>
        <stp/>
        <stp>BDP|18142197213527271411</stp>
        <tr r="J1650" s="2"/>
      </tp>
      <tp t="s">
        <v>#N/A N/A</v>
        <stp/>
        <stp>BDP|15559591684161512253</stp>
        <tr r="D826" s="2"/>
      </tp>
      <tp t="s">
        <v>#N/A N/A</v>
        <stp/>
        <stp>BDP|17438990541766100753</stp>
        <tr r="C1391" s="2"/>
      </tp>
      <tp t="s">
        <v>#N/A N/A</v>
        <stp/>
        <stp>BDP|14015182454778652326</stp>
        <tr r="F1769" s="2"/>
      </tp>
      <tp t="s">
        <v>#N/A N/A</v>
        <stp/>
        <stp>BDP|15661151392634900206</stp>
        <tr r="P1797" s="2"/>
      </tp>
      <tp t="s">
        <v>#N/A N/A</v>
        <stp/>
        <stp>BDP|13102425248210761846</stp>
        <tr r="E169" s="2"/>
      </tp>
      <tp t="s">
        <v>#N/A N/A</v>
        <stp/>
        <stp>BDP|15768695157379926484</stp>
        <tr r="C1157" s="2"/>
      </tp>
      <tp t="s">
        <v>#N/A N/A</v>
        <stp/>
        <stp>BDP|14416991624290973483</stp>
        <tr r="S120" s="2"/>
      </tp>
      <tp t="s">
        <v>#N/A N/A</v>
        <stp/>
        <stp>BDP|16809690570394012894</stp>
        <tr r="H753" s="2"/>
      </tp>
      <tp t="s">
        <v>#N/A N/A</v>
        <stp/>
        <stp>BDP|13261298491976514570</stp>
        <tr r="F121" s="2"/>
      </tp>
      <tp t="s">
        <v>#N/A N/A</v>
        <stp/>
        <stp>BDP|12754896309606767785</stp>
        <tr r="H1527" s="2"/>
      </tp>
      <tp t="s">
        <v>#N/A N/A</v>
        <stp/>
        <stp>BDP|16811666322168724132</stp>
        <tr r="E1078" s="2"/>
      </tp>
      <tp t="s">
        <v>#N/A N/A</v>
        <stp/>
        <stp>BDP|10807835051206638041</stp>
        <tr r="H1350" s="2"/>
      </tp>
      <tp t="s">
        <v>#N/A N/A</v>
        <stp/>
        <stp>BDP|13883776192081120749</stp>
        <tr r="K67" s="2"/>
      </tp>
      <tp t="s">
        <v>#N/A N/A</v>
        <stp/>
        <stp>BDP|11750796237526716862</stp>
        <tr r="P1356" s="2"/>
      </tp>
      <tp t="s">
        <v>#N/A N/A</v>
        <stp/>
        <stp>BDP|12813953193031710816</stp>
        <tr r="M1535" s="2"/>
      </tp>
      <tp t="s">
        <v>#N/A N/A</v>
        <stp/>
        <stp>BDP|13938451542679272147</stp>
        <tr r="D1824" s="2"/>
      </tp>
      <tp t="s">
        <v>#N/A N/A</v>
        <stp/>
        <stp>BDP|17542852117203688698</stp>
        <tr r="F829" s="2"/>
      </tp>
      <tp t="s">
        <v>#N/A N/A</v>
        <stp/>
        <stp>BDP|12240166455185959802</stp>
        <tr r="D2128" s="2"/>
      </tp>
      <tp t="s">
        <v>#N/A N/A</v>
        <stp/>
        <stp>BDP|16323820322133974420</stp>
        <tr r="P1447" s="2"/>
      </tp>
      <tp t="s">
        <v>#N/A N/A</v>
        <stp/>
        <stp>BDP|17295966763205569690</stp>
        <tr r="M7" s="2"/>
      </tp>
      <tp t="s">
        <v>#N/A N/A</v>
        <stp/>
        <stp>BDP|15746254698132329728</stp>
        <tr r="H1886" s="2"/>
      </tp>
      <tp t="s">
        <v>#N/A N/A</v>
        <stp/>
        <stp>BDP|13057530063198282396</stp>
        <tr r="S791" s="2"/>
      </tp>
      <tp t="s">
        <v>#N/A N/A</v>
        <stp/>
        <stp>BDP|13567384600882615901</stp>
        <tr r="K149" s="2"/>
      </tp>
      <tp t="s">
        <v>#N/A N/A</v>
        <stp/>
        <stp>BDP|12949858420710735302</stp>
        <tr r="D446" s="2"/>
      </tp>
      <tp t="s">
        <v>#N/A N/A</v>
        <stp/>
        <stp>BDP|15245942971432916259</stp>
        <tr r="G1497" s="2"/>
      </tp>
      <tp t="s">
        <v>#N/A N/A</v>
        <stp/>
        <stp>BDP|10346915438393700268</stp>
        <tr r="M1787" s="2"/>
      </tp>
      <tp t="s">
        <v>#N/A N/A</v>
        <stp/>
        <stp>BDP|18350964872124887941</stp>
        <tr r="T636" s="2"/>
      </tp>
      <tp t="s">
        <v>#N/A N/A</v>
        <stp/>
        <stp>BDP|14678903269748222868</stp>
        <tr r="T1391" s="2"/>
      </tp>
      <tp t="s">
        <v>#N/A N/A</v>
        <stp/>
        <stp>BDP|17644828746180053091</stp>
        <tr r="O315" s="2"/>
      </tp>
      <tp t="s">
        <v>#N/A N/A</v>
        <stp/>
        <stp>BDP|13781216838128313166</stp>
        <tr r="M561" s="2"/>
      </tp>
      <tp t="s">
        <v>#N/A N/A</v>
        <stp/>
        <stp>BDP|13782683083260070676</stp>
        <tr r="T477" s="2"/>
      </tp>
      <tp t="s">
        <v>#N/A N/A</v>
        <stp/>
        <stp>BDP|17127108296256447284</stp>
        <tr r="E1391" s="2"/>
      </tp>
      <tp t="s">
        <v>#N/A N/A</v>
        <stp/>
        <stp>BDP|18152889112038047200</stp>
        <tr r="T1063" s="2"/>
      </tp>
      <tp t="s">
        <v>#N/A N/A</v>
        <stp/>
        <stp>BDP|16817346974401698852</stp>
        <tr r="R2169" s="2"/>
      </tp>
      <tp t="s">
        <v>#N/A N/A</v>
        <stp/>
        <stp>BDP|13699917170737929153</stp>
        <tr r="E1571" s="2"/>
      </tp>
      <tp t="s">
        <v>#N/A N/A</v>
        <stp/>
        <stp>BDP|15391895007647359150</stp>
        <tr r="F1942" s="2"/>
      </tp>
      <tp t="s">
        <v>#N/A N/A</v>
        <stp/>
        <stp>BDP|12117082487830068153</stp>
        <tr r="N1175" s="2"/>
      </tp>
      <tp t="s">
        <v>#N/A N/A</v>
        <stp/>
        <stp>BDP|14735773280884365480</stp>
        <tr r="O1388" s="2"/>
      </tp>
      <tp t="s">
        <v>#N/A N/A</v>
        <stp/>
        <stp>BDP|12901842345377663259</stp>
        <tr r="M1776" s="2"/>
      </tp>
      <tp t="s">
        <v>#N/A N/A</v>
        <stp/>
        <stp>BDP|11359868458396211142</stp>
        <tr r="E2030" s="2"/>
      </tp>
      <tp t="s">
        <v>#N/A N/A</v>
        <stp/>
        <stp>BDP|12813779677050063933</stp>
        <tr r="F1134" s="2"/>
      </tp>
      <tp t="s">
        <v>#N/A N/A</v>
        <stp/>
        <stp>BDP|16859696374905647982</stp>
        <tr r="G187" s="2"/>
      </tp>
      <tp t="s">
        <v>#N/A N/A</v>
        <stp/>
        <stp>BDP|17758793659569864749</stp>
        <tr r="R242" s="2"/>
      </tp>
      <tp t="s">
        <v>#N/A N/A</v>
        <stp/>
        <stp>BDP|11598242168609750754</stp>
        <tr r="G1764" s="2"/>
      </tp>
      <tp t="s">
        <v>#N/A N/A</v>
        <stp/>
        <stp>BDS|15685310015189834526</stp>
        <tr r="I2153" s="2"/>
      </tp>
      <tp t="s">
        <v>#N/A N/A</v>
        <stp/>
        <stp>BDP|10800854344992142535</stp>
        <tr r="R265" s="2"/>
      </tp>
      <tp t="s">
        <v>#N/A N/A</v>
        <stp/>
        <stp>BDP|13069757360410991970</stp>
        <tr r="P242" s="2"/>
      </tp>
      <tp t="s">
        <v>#N/A N/A</v>
        <stp/>
        <stp>BDP|15922865825911039511</stp>
        <tr r="H2247" s="2"/>
      </tp>
      <tp t="s">
        <v>#N/A N/A</v>
        <stp/>
        <stp>BDP|10291302885499459989</stp>
        <tr r="O187" s="2"/>
      </tp>
      <tp t="s">
        <v>#N/A N/A</v>
        <stp/>
        <stp>BDP|13164066285132942206</stp>
        <tr r="A2204" s="2"/>
      </tp>
      <tp t="s">
        <v>#N/A N/A</v>
        <stp/>
        <stp>BDP|11233484002219144722</stp>
        <tr r="E435" s="2"/>
      </tp>
      <tp t="s">
        <v>#N/A N/A</v>
        <stp/>
        <stp>BDP|13142789255318180265</stp>
        <tr r="H352" s="2"/>
      </tp>
      <tp t="s">
        <v>#N/A N/A</v>
        <stp/>
        <stp>BDS|16646799781280453228</stp>
        <tr r="I670" s="2"/>
      </tp>
      <tp t="s">
        <v>#N/A N/A</v>
        <stp/>
        <stp>BDP|12635907260257460192</stp>
        <tr r="P692" s="2"/>
      </tp>
      <tp t="s">
        <v>#N/A N/A</v>
        <stp/>
        <stp>BDP|14443798676997802884</stp>
        <tr r="F1000" s="2"/>
      </tp>
      <tp t="s">
        <v>#N/A N/A</v>
        <stp/>
        <stp>BDP|14966354958148703182</stp>
        <tr r="N1294" s="2"/>
      </tp>
      <tp t="s">
        <v>#N/A N/A</v>
        <stp/>
        <stp>BDP|12974302869385851932</stp>
        <tr r="P1299" s="2"/>
      </tp>
      <tp t="s">
        <v>#N/A N/A</v>
        <stp/>
        <stp>BDP|10043762787500865424</stp>
        <tr r="G1979" s="2"/>
      </tp>
      <tp t="s">
        <v>#N/A N/A</v>
        <stp/>
        <stp>BDP|15869292899403423673</stp>
        <tr r="N1318" s="2"/>
      </tp>
      <tp t="s">
        <v>#N/A N/A</v>
        <stp/>
        <stp>BDP|12995876022077588427</stp>
        <tr r="A1768" s="2"/>
      </tp>
      <tp t="s">
        <v>#N/A N/A</v>
        <stp/>
        <stp>BDP|10285898782372402963</stp>
        <tr r="T502" s="2"/>
      </tp>
      <tp t="s">
        <v>#N/A N/A</v>
        <stp/>
        <stp>BDP|13512124554295909917</stp>
        <tr r="C48" s="2"/>
      </tp>
      <tp t="s">
        <v>#N/A N/A</v>
        <stp/>
        <stp>BDP|13482580167883598859</stp>
        <tr r="A1176" s="2"/>
      </tp>
      <tp t="s">
        <v>#N/A N/A</v>
        <stp/>
        <stp>BDP|10159700538119572674</stp>
        <tr r="C1860" s="2"/>
      </tp>
      <tp t="s">
        <v>#N/A N/A</v>
        <stp/>
        <stp>BDP|16802600941037166831</stp>
        <tr r="D663" s="2"/>
      </tp>
      <tp t="s">
        <v>#N/A N/A</v>
        <stp/>
        <stp>BDP|10669193423271191969</stp>
        <tr r="J50" s="2"/>
      </tp>
      <tp t="s">
        <v>#N/A N/A</v>
        <stp/>
        <stp>BDP|17073559284840811120</stp>
        <tr r="D1252" s="2"/>
      </tp>
      <tp t="s">
        <v>#N/A N/A</v>
        <stp/>
        <stp>BDP|14661902699708450701</stp>
        <tr r="G1023" s="2"/>
      </tp>
      <tp t="s">
        <v>#N/A N/A</v>
        <stp/>
        <stp>BDP|11461136319499347366</stp>
        <tr r="K1477" s="2"/>
      </tp>
      <tp t="s">
        <v>#N/A N/A</v>
        <stp/>
        <stp>BDP|13281004060198937608</stp>
        <tr r="N1902" s="2"/>
      </tp>
      <tp t="s">
        <v>#N/A N/A</v>
        <stp/>
        <stp>BDP|11258957129212332365</stp>
        <tr r="P1140" s="2"/>
      </tp>
      <tp t="s">
        <v>#N/A N/A</v>
        <stp/>
        <stp>BDP|15472354188506686348</stp>
        <tr r="R207" s="2"/>
      </tp>
      <tp t="s">
        <v>#N/A N/A</v>
        <stp/>
        <stp>BDP|12507043209568055135</stp>
        <tr r="E610" s="2"/>
      </tp>
      <tp t="s">
        <v>#N/A N/A</v>
        <stp/>
        <stp>BDP|13915174251845090942</stp>
        <tr r="E1046" s="2"/>
      </tp>
      <tp t="s">
        <v>#N/A N/A</v>
        <stp/>
        <stp>BDP|15841453266114281828</stp>
        <tr r="P1502" s="2"/>
      </tp>
      <tp t="s">
        <v>#N/A N/A</v>
        <stp/>
        <stp>BDP|14304975522496866252</stp>
        <tr r="E721" s="2"/>
      </tp>
      <tp t="s">
        <v>#N/A N/A</v>
        <stp/>
        <stp>BDP|14190600065466702988</stp>
        <tr r="G1176" s="2"/>
      </tp>
      <tp t="s">
        <v>#N/A N/A</v>
        <stp/>
        <stp>BDP|14034606355295728990</stp>
        <tr r="C390" s="2"/>
      </tp>
      <tp t="s">
        <v>#N/A N/A</v>
        <stp/>
        <stp>BDP|18130426979186850694</stp>
        <tr r="A2207" s="2"/>
      </tp>
      <tp t="s">
        <v>#N/A N/A</v>
        <stp/>
        <stp>BDP|10323058190464991643</stp>
        <tr r="J1958" s="2"/>
      </tp>
      <tp t="s">
        <v>#N/A N/A</v>
        <stp/>
        <stp>BDP|16523064699410430455</stp>
        <tr r="K1482" s="2"/>
      </tp>
      <tp t="s">
        <v>#N/A N/A</v>
        <stp/>
        <stp>BDS|13223840904296342690</stp>
        <tr r="I132" s="2"/>
      </tp>
      <tp t="s">
        <v>#N/A N/A</v>
        <stp/>
        <stp>BDP|18020727618987662261</stp>
        <tr r="E561" s="2"/>
      </tp>
      <tp t="s">
        <v>#N/A N/A</v>
        <stp/>
        <stp>BDP|15513106938118154468</stp>
        <tr r="J426" s="2"/>
      </tp>
      <tp t="s">
        <v>#N/A N/A</v>
        <stp/>
        <stp>BDP|11959069214562513943</stp>
        <tr r="F612" s="2"/>
      </tp>
      <tp t="s">
        <v>#N/A N/A</v>
        <stp/>
        <stp>BDP|17862500551948469472</stp>
        <tr r="H775" s="2"/>
      </tp>
      <tp t="s">
        <v>#N/A N/A</v>
        <stp/>
        <stp>BDP|10434184463859570503</stp>
        <tr r="N186" s="2"/>
      </tp>
      <tp t="s">
        <v>#N/A N/A</v>
        <stp/>
        <stp>BDS|10153406883922325582</stp>
        <tr r="I2080" s="2"/>
      </tp>
      <tp t="s">
        <v>#N/A N/A</v>
        <stp/>
        <stp>BDP|11914209391707122637</stp>
        <tr r="N1145" s="2"/>
      </tp>
      <tp t="s">
        <v>#N/A N/A</v>
        <stp/>
        <stp>BDP|12612855109811007006</stp>
        <tr r="S1625" s="2"/>
      </tp>
      <tp t="s">
        <v>#N/A N/A</v>
        <stp/>
        <stp>BDP|16247969065170913227</stp>
        <tr r="G874" s="2"/>
      </tp>
      <tp t="s">
        <v>#N/A N/A</v>
        <stp/>
        <stp>BDP|13366169404699376087</stp>
        <tr r="A2064" s="2"/>
      </tp>
      <tp t="s">
        <v>#N/A N/A</v>
        <stp/>
        <stp>BDP|11796913969342693739</stp>
        <tr r="A278" s="2"/>
      </tp>
      <tp t="s">
        <v>#N/A N/A</v>
        <stp/>
        <stp>BDP|16732388364740226837</stp>
        <tr r="E1079" s="2"/>
      </tp>
      <tp t="s">
        <v>#N/A N/A</v>
        <stp/>
        <stp>BDP|15161929653294272682</stp>
        <tr r="M2084" s="2"/>
      </tp>
      <tp t="s">
        <v>#N/A N/A</v>
        <stp/>
        <stp>BDP|13583125653938758499</stp>
        <tr r="K4" s="2"/>
      </tp>
      <tp t="s">
        <v>#N/A N/A</v>
        <stp/>
        <stp>BDS|16950139794446103360</stp>
        <tr r="I1033" s="2"/>
      </tp>
      <tp t="s">
        <v>#N/A N/A</v>
        <stp/>
        <stp>BDP|13995044688423972366</stp>
        <tr r="T194" s="2"/>
      </tp>
      <tp t="s">
        <v>#N/A N/A</v>
        <stp/>
        <stp>BDS|15480846997896692987</stp>
        <tr r="I960" s="2"/>
      </tp>
      <tp t="s">
        <v>#N/A N/A</v>
        <stp/>
        <stp>BDP|10638689562389629204</stp>
        <tr r="C1436" s="2"/>
      </tp>
      <tp t="s">
        <v>#N/A N/A</v>
        <stp/>
        <stp>BDP|11999932361137815294</stp>
        <tr r="N1426" s="2"/>
      </tp>
      <tp t="s">
        <v>#N/A N/A</v>
        <stp/>
        <stp>BDP|14642239550111643997</stp>
        <tr r="P1030" s="2"/>
      </tp>
      <tp t="s">
        <v>#N/A N/A</v>
        <stp/>
        <stp>BDP|13499877653461879422</stp>
        <tr r="J1117" s="2"/>
      </tp>
      <tp t="s">
        <v>#N/A N/A</v>
        <stp/>
        <stp>BDP|11244726979533181921</stp>
        <tr r="K1841" s="2"/>
      </tp>
      <tp t="s">
        <v>#N/A N/A</v>
        <stp/>
        <stp>BDP|10068411188720272719</stp>
        <tr r="O245" s="2"/>
      </tp>
      <tp t="s">
        <v>#N/A N/A</v>
        <stp/>
        <stp>BDP|10299825963103859616</stp>
        <tr r="P1717" s="2"/>
      </tp>
      <tp t="s">
        <v>#N/A N/A</v>
        <stp/>
        <stp>BDP|11882023564199507514</stp>
        <tr r="T1484" s="2"/>
      </tp>
      <tp t="s">
        <v>#N/A N/A</v>
        <stp/>
        <stp>BDP|13493881326192200027</stp>
        <tr r="F38" s="2"/>
      </tp>
      <tp t="s">
        <v>#N/A N/A</v>
        <stp/>
        <stp>BDP|13642388943477514827</stp>
        <tr r="M1269" s="2"/>
      </tp>
      <tp t="s">
        <v>#N/A N/A</v>
        <stp/>
        <stp>BDP|17053497960807332907</stp>
        <tr r="S1535" s="2"/>
      </tp>
      <tp t="s">
        <v>#N/A N/A</v>
        <stp/>
        <stp>BDS|11004532478948775052</stp>
        <tr r="I1225" s="2"/>
      </tp>
      <tp t="s">
        <v>#N/A N/A</v>
        <stp/>
        <stp>BDS|12736588802304123857</stp>
        <tr r="I1793" s="2"/>
      </tp>
      <tp t="s">
        <v>#N/A N/A</v>
        <stp/>
        <stp>BDP|12511836905978010992</stp>
        <tr r="M387" s="2"/>
      </tp>
      <tp t="s">
        <v>#N/A N/A</v>
        <stp/>
        <stp>BDP|13857197899854733454</stp>
        <tr r="K1352" s="2"/>
      </tp>
      <tp t="s">
        <v>#N/A N/A</v>
        <stp/>
        <stp>BDP|15627488792410727311</stp>
        <tr r="Q1179" s="2"/>
      </tp>
      <tp t="s">
        <v>#N/A N/A</v>
        <stp/>
        <stp>BDP|13039950446933055693</stp>
        <tr r="K1890" s="2"/>
      </tp>
      <tp t="s">
        <v>#N/A N/A</v>
        <stp/>
        <stp>BDP|17949722227990358956</stp>
        <tr r="T888" s="2"/>
      </tp>
      <tp t="s">
        <v>#N/A N/A</v>
        <stp/>
        <stp>BDP|18347681262302152120</stp>
        <tr r="T2206" s="2"/>
      </tp>
      <tp t="s">
        <v>#N/A N/A</v>
        <stp/>
        <stp>BDP|10866937914627106445</stp>
        <tr r="A903" s="2"/>
      </tp>
      <tp t="s">
        <v>#N/A N/A</v>
        <stp/>
        <stp>BDP|16256408550615038989</stp>
        <tr r="T719" s="2"/>
      </tp>
      <tp t="s">
        <v>#N/A N/A</v>
        <stp/>
        <stp>BDP|12988578688332818643</stp>
        <tr r="T2185" s="2"/>
      </tp>
      <tp t="s">
        <v>#N/A N/A</v>
        <stp/>
        <stp>BDP|12415272721158051186</stp>
        <tr r="M507" s="2"/>
      </tp>
      <tp t="s">
        <v>#N/A N/A</v>
        <stp/>
        <stp>BDP|14143280217118566412</stp>
        <tr r="F2065" s="2"/>
      </tp>
      <tp t="s">
        <v>#N/A N/A</v>
        <stp/>
        <stp>BDP|11825211388802894233</stp>
        <tr r="K1364" s="2"/>
      </tp>
      <tp t="s">
        <v>#N/A N/A</v>
        <stp/>
        <stp>BDP|16712682916778672253</stp>
        <tr r="Q1463" s="2"/>
      </tp>
      <tp t="s">
        <v>#N/A N/A</v>
        <stp/>
        <stp>BDP|17298968105743949622</stp>
        <tr r="H1758" s="2"/>
      </tp>
      <tp t="s">
        <v>#N/A N/A</v>
        <stp/>
        <stp>BDP|17204632439500136934</stp>
        <tr r="E1604" s="2"/>
      </tp>
      <tp t="s">
        <v>#N/A N/A</v>
        <stp/>
        <stp>BDP|12196962410859934840</stp>
        <tr r="N580" s="2"/>
      </tp>
      <tp t="s">
        <v>#N/A N/A</v>
        <stp/>
        <stp>BDP|15980253089837847370</stp>
        <tr r="D1947" s="2"/>
      </tp>
      <tp t="s">
        <v>#N/A N/A</v>
        <stp/>
        <stp>BDP|12528232401368965343</stp>
        <tr r="S1479" s="2"/>
      </tp>
      <tp t="s">
        <v>#N/A N/A</v>
        <stp/>
        <stp>BDP|12984737775650778928</stp>
        <tr r="R1006" s="2"/>
      </tp>
      <tp t="s">
        <v>#N/A N/A</v>
        <stp/>
        <stp>BDP|12661990931284319773</stp>
        <tr r="N765" s="2"/>
      </tp>
      <tp t="s">
        <v>#N/A N/A</v>
        <stp/>
        <stp>BDP|15473675786261648192</stp>
        <tr r="F13" s="2"/>
      </tp>
      <tp t="s">
        <v>#N/A N/A</v>
        <stp/>
        <stp>BDP|17449782597827184500</stp>
        <tr r="Q2110" s="2"/>
      </tp>
      <tp t="s">
        <v>#N/A N/A</v>
        <stp/>
        <stp>BDP|14099848278775049564</stp>
        <tr r="C1154" s="2"/>
      </tp>
      <tp t="s">
        <v>#N/A N/A</v>
        <stp/>
        <stp>BDP|16256987024325721335</stp>
        <tr r="R51" s="2"/>
      </tp>
      <tp t="s">
        <v>#N/A N/A</v>
        <stp/>
        <stp>BDP|11012060581415932740</stp>
        <tr r="M4" s="2"/>
      </tp>
      <tp t="s">
        <v>#N/A N/A</v>
        <stp/>
        <stp>BDP|13675812170305440294</stp>
        <tr r="J295" s="2"/>
      </tp>
      <tp t="s">
        <v>#N/A N/A</v>
        <stp/>
        <stp>BDP|15388016152953817823</stp>
        <tr r="K306" s="2"/>
      </tp>
      <tp t="s">
        <v>#N/A N/A</v>
        <stp/>
        <stp>BDP|15511653378447607843</stp>
        <tr r="A1868" s="2"/>
      </tp>
      <tp t="s">
        <v>#N/A N/A</v>
        <stp/>
        <stp>BDP|16347903387225894969</stp>
        <tr r="Q730" s="2"/>
      </tp>
      <tp t="s">
        <v>#N/A N/A</v>
        <stp/>
        <stp>BDP|16577485870049014777</stp>
        <tr r="G832" s="2"/>
      </tp>
      <tp t="s">
        <v>#N/A N/A</v>
        <stp/>
        <stp>BDP|17864046186330859482</stp>
        <tr r="R2180" s="2"/>
      </tp>
      <tp t="s">
        <v>#N/A N/A</v>
        <stp/>
        <stp>BDP|11732505569078239161</stp>
        <tr r="A1780" s="2"/>
      </tp>
      <tp t="s">
        <v>#N/A N/A</v>
        <stp/>
        <stp>BDP|16541283869849728099</stp>
        <tr r="G1553" s="2"/>
      </tp>
      <tp t="s">
        <v>#N/A N/A</v>
        <stp/>
        <stp>BDP|16148188654669688016</stp>
        <tr r="M202" s="2"/>
      </tp>
      <tp t="s">
        <v>#N/A N/A</v>
        <stp/>
        <stp>BDS|12286484555698505041</stp>
        <tr r="I323" s="2"/>
      </tp>
      <tp t="s">
        <v>#N/A N/A</v>
        <stp/>
        <stp>BDP|15392887777747126600</stp>
        <tr r="M547" s="2"/>
      </tp>
      <tp t="s">
        <v>#N/A N/A</v>
        <stp/>
        <stp>BDP|10795043199521647310</stp>
        <tr r="O253" s="2"/>
      </tp>
      <tp t="s">
        <v>#N/A N/A</v>
        <stp/>
        <stp>BDP|10269646518509295516</stp>
        <tr r="A1660" s="2"/>
      </tp>
      <tp t="s">
        <v>#N/A N/A</v>
        <stp/>
        <stp>BDP|12978967543221205538</stp>
        <tr r="N1664" s="2"/>
      </tp>
      <tp t="s">
        <v>#N/A N/A</v>
        <stp/>
        <stp>BDP|13813748176921131969</stp>
        <tr r="J244" s="2"/>
      </tp>
      <tp t="s">
        <v>#N/A N/A</v>
        <stp/>
        <stp>BDP|12421781524679070558</stp>
        <tr r="Q841" s="2"/>
      </tp>
      <tp t="s">
        <v>#N/A N/A</v>
        <stp/>
        <stp>BDP|18421035119311682356</stp>
        <tr r="G1539" s="2"/>
      </tp>
      <tp t="s">
        <v>#N/A N/A</v>
        <stp/>
        <stp>BDP|17378082543840402814</stp>
        <tr r="E1142" s="2"/>
      </tp>
      <tp t="s">
        <v>#N/A N/A</v>
        <stp/>
        <stp>BDP|15544881104555787331</stp>
        <tr r="K1710" s="2"/>
      </tp>
      <tp t="s">
        <v>#N/A N/A</v>
        <stp/>
        <stp>BDP|10556171084835974722</stp>
        <tr r="D424" s="2"/>
      </tp>
      <tp t="s">
        <v>#N/A N/A</v>
        <stp/>
        <stp>BDP|16202405089937350650</stp>
        <tr r="N1396" s="2"/>
      </tp>
      <tp t="s">
        <v>#N/A N/A</v>
        <stp/>
        <stp>BDP|10413285601191184815</stp>
        <tr r="R1138" s="2"/>
      </tp>
      <tp t="s">
        <v>#N/A N/A</v>
        <stp/>
        <stp>BDP|11311005609222287856</stp>
        <tr r="P624" s="2"/>
      </tp>
      <tp t="s">
        <v>#N/A N/A</v>
        <stp/>
        <stp>BDP|10988082567254826935</stp>
        <tr r="J1825" s="2"/>
      </tp>
      <tp t="s">
        <v>#N/A N/A</v>
        <stp/>
        <stp>BDP|18378923969894275875</stp>
        <tr r="F865" s="2"/>
      </tp>
      <tp t="s">
        <v>#N/A N/A</v>
        <stp/>
        <stp>BDP|15898252040300757873</stp>
        <tr r="T413" s="2"/>
      </tp>
      <tp t="s">
        <v>#N/A N/A</v>
        <stp/>
        <stp>BDP|10117087425030009918</stp>
        <tr r="D1692" s="2"/>
      </tp>
      <tp t="s">
        <v>#N/A N/A</v>
        <stp/>
        <stp>BDP|15881222886444376027</stp>
        <tr r="F1676" s="2"/>
      </tp>
      <tp t="s">
        <v>#N/A N/A</v>
        <stp/>
        <stp>BDP|12585381893040556361</stp>
        <tr r="C1212" s="2"/>
      </tp>
      <tp t="s">
        <v>#N/A N/A</v>
        <stp/>
        <stp>BDP|16375554928302743849</stp>
        <tr r="F821" s="2"/>
      </tp>
      <tp t="s">
        <v>#N/A N/A</v>
        <stp/>
        <stp>BDP|11968913194992638872</stp>
        <tr r="O565" s="2"/>
      </tp>
      <tp t="s">
        <v>#N/A N/A</v>
        <stp/>
        <stp>BDP|13717669932749902472</stp>
        <tr r="M1781" s="2"/>
      </tp>
      <tp t="s">
        <v>#N/A N/A</v>
        <stp/>
        <stp>BDP|17496464298787457632</stp>
        <tr r="O269" s="2"/>
      </tp>
      <tp t="s">
        <v>#N/A N/A</v>
        <stp/>
        <stp>BDP|15343822218584093347</stp>
        <tr r="C2140" s="2"/>
      </tp>
      <tp t="s">
        <v>#N/A N/A</v>
        <stp/>
        <stp>BDP|16733857124843960427</stp>
        <tr r="C732" s="2"/>
      </tp>
      <tp t="s">
        <v>#N/A N/A</v>
        <stp/>
        <stp>BDP|18336969591465835610</stp>
        <tr r="A1889" s="2"/>
      </tp>
      <tp t="s">
        <v>#N/A N/A</v>
        <stp/>
        <stp>BDP|10147163066205584990</stp>
        <tr r="G1201" s="2"/>
      </tp>
      <tp t="s">
        <v>#N/A N/A</v>
        <stp/>
        <stp>BDP|15974090179061799832</stp>
        <tr r="M66" s="2"/>
      </tp>
      <tp t="s">
        <v>#N/A N/A</v>
        <stp/>
        <stp>BDP|17472306059322005801</stp>
        <tr r="S1619" s="2"/>
      </tp>
      <tp t="s">
        <v>#N/A N/A</v>
        <stp/>
        <stp>BDP|10487695483637580260</stp>
        <tr r="T1377" s="2"/>
      </tp>
      <tp t="s">
        <v>#N/A N/A</v>
        <stp/>
        <stp>BDS|17831770535450401804</stp>
        <tr r="I2101" s="2"/>
      </tp>
      <tp t="s">
        <v>#N/A N/A</v>
        <stp/>
        <stp>BDP|13273961048462536742</stp>
        <tr r="O1168" s="2"/>
      </tp>
      <tp t="s">
        <v>#N/A N/A</v>
        <stp/>
        <stp>BDP|16650452492163431386</stp>
        <tr r="N860" s="2"/>
      </tp>
      <tp t="s">
        <v>#N/A N/A</v>
        <stp/>
        <stp>BDP|10533284693148328806</stp>
        <tr r="M744" s="2"/>
      </tp>
      <tp t="s">
        <v>#N/A N/A</v>
        <stp/>
        <stp>BDP|17697565067776395990</stp>
        <tr r="O1778" s="2"/>
      </tp>
      <tp t="s">
        <v>#N/A N/A</v>
        <stp/>
        <stp>BDS|13644020050519822421</stp>
        <tr r="I1414" s="2"/>
      </tp>
      <tp t="s">
        <v>#N/A N/A</v>
        <stp/>
        <stp>BDP|13821880102729804977</stp>
        <tr r="E1536" s="2"/>
      </tp>
      <tp t="s">
        <v>#N/A N/A</v>
        <stp/>
        <stp>BDP|11933497156418300382</stp>
        <tr r="C1279" s="2"/>
      </tp>
      <tp t="s">
        <v>#N/A N/A</v>
        <stp/>
        <stp>BDP|17614880020071358705</stp>
        <tr r="A1282" s="2"/>
      </tp>
      <tp t="s">
        <v>#N/A N/A</v>
        <stp/>
        <stp>BDS|10950292101739827073</stp>
        <tr r="I1244" s="2"/>
      </tp>
      <tp t="s">
        <v>#N/A N/A</v>
        <stp/>
        <stp>BDP|14688981370424645559</stp>
        <tr r="P1862" s="2"/>
      </tp>
      <tp t="s">
        <v>#N/A N/A</v>
        <stp/>
        <stp>BDP|13998811714054584540</stp>
        <tr r="M2148" s="2"/>
      </tp>
      <tp t="s">
        <v>#N/A N/A</v>
        <stp/>
        <stp>BDP|13318867493551311882</stp>
        <tr r="P1665" s="2"/>
      </tp>
      <tp t="s">
        <v>#N/A N/A</v>
        <stp/>
        <stp>BDP|16358372459039115216</stp>
        <tr r="O2193" s="2"/>
      </tp>
      <tp t="s">
        <v>#N/A N/A</v>
        <stp/>
        <stp>BDP|14035996613005546221</stp>
        <tr r="D1157" s="2"/>
      </tp>
      <tp t="s">
        <v>#N/A N/A</v>
        <stp/>
        <stp>BDP|11391529402007941874</stp>
        <tr r="O1713" s="2"/>
      </tp>
      <tp t="s">
        <v>#N/A N/A</v>
        <stp/>
        <stp>BDP|14162975558254373706</stp>
        <tr r="E2028" s="2"/>
      </tp>
      <tp t="s">
        <v>#N/A N/A</v>
        <stp/>
        <stp>BDP|17870860723342212425</stp>
        <tr r="P718" s="2"/>
      </tp>
      <tp t="s">
        <v>#N/A N/A</v>
        <stp/>
        <stp>BDP|16819350373101434874</stp>
        <tr r="N763" s="2"/>
      </tp>
      <tp t="s">
        <v>#N/A N/A</v>
        <stp/>
        <stp>BDP|11852820604216151425</stp>
        <tr r="Q1880" s="2"/>
      </tp>
      <tp t="s">
        <v>#N/A N/A</v>
        <stp/>
        <stp>BDP|15287852317213961449</stp>
        <tr r="P1895" s="2"/>
      </tp>
      <tp t="s">
        <v>#N/A N/A</v>
        <stp/>
        <stp>BDP|14462648522903701880</stp>
        <tr r="Q1175" s="2"/>
      </tp>
      <tp t="s">
        <v>#N/A N/A</v>
        <stp/>
        <stp>BDP|12777128674887909850</stp>
        <tr r="T513" s="2"/>
      </tp>
      <tp t="s">
        <v>#N/A N/A</v>
        <stp/>
        <stp>BDP|16050141993627269283</stp>
        <tr r="F701" s="2"/>
      </tp>
      <tp t="s">
        <v>#N/A N/A</v>
        <stp/>
        <stp>BDP|16143112075173140895</stp>
        <tr r="K1674" s="2"/>
      </tp>
      <tp t="s">
        <v>#N/A N/A</v>
        <stp/>
        <stp>BDP|12973293104663059892</stp>
        <tr r="N1792" s="2"/>
      </tp>
      <tp t="s">
        <v>#N/A N/A</v>
        <stp/>
        <stp>BDP|14892255038907873907</stp>
        <tr r="R2092" s="2"/>
      </tp>
      <tp t="s">
        <v>#N/A N/A</v>
        <stp/>
        <stp>BDP|12820444767959731219</stp>
        <tr r="H1400" s="2"/>
      </tp>
      <tp t="s">
        <v>#N/A N/A</v>
        <stp/>
        <stp>BDP|13968061539058235390</stp>
        <tr r="O11" s="2"/>
      </tp>
      <tp t="s">
        <v>#N/A N/A</v>
        <stp/>
        <stp>BDP|18301911069635663905</stp>
        <tr r="N803" s="2"/>
      </tp>
      <tp t="s">
        <v>#N/A N/A</v>
        <stp/>
        <stp>BDP|17998706750849297775</stp>
        <tr r="O1914" s="2"/>
      </tp>
      <tp t="s">
        <v>#N/A N/A</v>
        <stp/>
        <stp>BDP|13589345496306263493</stp>
        <tr r="O378" s="2"/>
      </tp>
      <tp t="s">
        <v>#N/A N/A</v>
        <stp/>
        <stp>BDP|13491823365183851575</stp>
        <tr r="C682" s="2"/>
      </tp>
      <tp t="s">
        <v>#N/A N/A</v>
        <stp/>
        <stp>BDP|14271094573509681125</stp>
        <tr r="S877" s="2"/>
      </tp>
      <tp t="s">
        <v>#N/A N/A</v>
        <stp/>
        <stp>BDP|15385906505763817423</stp>
        <tr r="A717" s="2"/>
      </tp>
      <tp t="s">
        <v>#N/A N/A</v>
        <stp/>
        <stp>BDP|17570793051986829894</stp>
        <tr r="A1965" s="2"/>
      </tp>
      <tp t="s">
        <v>#N/A N/A</v>
        <stp/>
        <stp>BDP|17075872282334090895</stp>
        <tr r="D1730" s="2"/>
      </tp>
      <tp t="s">
        <v>#N/A N/A</v>
        <stp/>
        <stp>BDP|11304414863378899054</stp>
        <tr r="E1299" s="2"/>
      </tp>
      <tp t="s">
        <v>#N/A N/A</v>
        <stp/>
        <stp>BDP|13294681644752709856</stp>
        <tr r="D634" s="2"/>
      </tp>
      <tp t="s">
        <v>#N/A N/A</v>
        <stp/>
        <stp>BDS|11379118175995161999</stp>
        <tr r="I1226" s="2"/>
      </tp>
      <tp t="s">
        <v>#N/A N/A</v>
        <stp/>
        <stp>BDP|18228681332707687124</stp>
        <tr r="A1006" s="2"/>
      </tp>
      <tp t="s">
        <v>#N/A N/A</v>
        <stp/>
        <stp>BDP|10677166752807908871</stp>
        <tr r="D1288" s="2"/>
      </tp>
      <tp t="s">
        <v>#N/A N/A</v>
        <stp/>
        <stp>BDP|17603910148034406578</stp>
        <tr r="P254" s="2"/>
      </tp>
      <tp t="s">
        <v>#N/A N/A</v>
        <stp/>
        <stp>BDP|14837714797766163739</stp>
        <tr r="P1180" s="2"/>
      </tp>
      <tp t="s">
        <v>#N/A N/A</v>
        <stp/>
        <stp>BDP|15857905626317383214</stp>
        <tr r="T616" s="2"/>
      </tp>
      <tp t="s">
        <v>#N/A N/A</v>
        <stp/>
        <stp>BDP|11132831421886960662</stp>
        <tr r="R1993" s="2"/>
      </tp>
      <tp t="s">
        <v>#N/A N/A</v>
        <stp/>
        <stp>BDP|14827704187557183725</stp>
        <tr r="J670" s="2"/>
      </tp>
      <tp t="s">
        <v>#N/A N/A</v>
        <stp/>
        <stp>BDP|12821442793805705146</stp>
        <tr r="D35" s="2"/>
      </tp>
      <tp t="s">
        <v>#N/A N/A</v>
        <stp/>
        <stp>BDP|12626514293612048789</stp>
        <tr r="J1191" s="2"/>
      </tp>
      <tp t="s">
        <v>#N/A N/A</v>
        <stp/>
        <stp>BDP|16023629504569378294</stp>
        <tr r="S307" s="2"/>
      </tp>
      <tp t="s">
        <v>#N/A N/A</v>
        <stp/>
        <stp>BDP|15089978935833604785</stp>
        <tr r="E601" s="2"/>
      </tp>
      <tp t="s">
        <v>#N/A N/A</v>
        <stp/>
        <stp>BDP|11652261180151884140</stp>
        <tr r="R694" s="2"/>
      </tp>
      <tp t="s">
        <v>#N/A N/A</v>
        <stp/>
        <stp>BDP|16937433105631539869</stp>
        <tr r="C512" s="2"/>
      </tp>
      <tp t="s">
        <v>#N/A N/A</v>
        <stp/>
        <stp>BDP|13309401421669695782</stp>
        <tr r="S168" s="2"/>
      </tp>
      <tp t="s">
        <v>#N/A N/A</v>
        <stp/>
        <stp>BDP|14809622843199662439</stp>
        <tr r="S28" s="2"/>
      </tp>
      <tp t="s">
        <v>#N/A N/A</v>
        <stp/>
        <stp>BDP|18278949228690773853</stp>
        <tr r="C304" s="2"/>
      </tp>
      <tp t="s">
        <v>#N/A N/A</v>
        <stp/>
        <stp>BDP|18116430459661668313</stp>
        <tr r="C1547" s="2"/>
      </tp>
      <tp t="s">
        <v>#N/A N/A</v>
        <stp/>
        <stp>BDP|14972571542517381939</stp>
        <tr r="D1581" s="2"/>
      </tp>
      <tp t="s">
        <v>#N/A N/A</v>
        <stp/>
        <stp>BDP|13384342519123296903</stp>
        <tr r="J1337" s="2"/>
      </tp>
      <tp t="s">
        <v>#N/A N/A</v>
        <stp/>
        <stp>BDP|10361714890677618284</stp>
        <tr r="R2235" s="2"/>
      </tp>
      <tp t="s">
        <v>#N/A N/A</v>
        <stp/>
        <stp>BDP|10310196364404278804</stp>
        <tr r="T1819" s="2"/>
      </tp>
      <tp t="s">
        <v>#N/A N/A</v>
        <stp/>
        <stp>BDP|15600500538221612943</stp>
        <tr r="A968" s="2"/>
      </tp>
      <tp t="s">
        <v>#N/A N/A</v>
        <stp/>
        <stp>BDP|15543331480774830121</stp>
        <tr r="K995" s="2"/>
      </tp>
      <tp t="s">
        <v>#N/A N/A</v>
        <stp/>
        <stp>BDP|12645178105460966819</stp>
        <tr r="T113" s="2"/>
      </tp>
      <tp t="s">
        <v>#N/A N/A</v>
        <stp/>
        <stp>BDP|15518159829938022554</stp>
        <tr r="O2160" s="2"/>
      </tp>
      <tp t="s">
        <v>#N/A N/A</v>
        <stp/>
        <stp>BDP|16877305487240124625</stp>
        <tr r="M519" s="2"/>
      </tp>
      <tp t="s">
        <v>#N/A N/A</v>
        <stp/>
        <stp>BDP|13301516118429117575</stp>
        <tr r="Q637" s="2"/>
      </tp>
      <tp t="s">
        <v>#N/A N/A</v>
        <stp/>
        <stp>BDP|16335178669678925289</stp>
        <tr r="A614" s="2"/>
      </tp>
      <tp t="s">
        <v>#N/A N/A</v>
        <stp/>
        <stp>BDP|14844592329660671821</stp>
        <tr r="N787" s="2"/>
      </tp>
      <tp t="s">
        <v>#N/A N/A</v>
        <stp/>
        <stp>BDP|11226149702598885303</stp>
        <tr r="A1063" s="2"/>
      </tp>
      <tp t="s">
        <v>#N/A N/A</v>
        <stp/>
        <stp>BDP|18161952961499035596</stp>
        <tr r="T1362" s="2"/>
      </tp>
      <tp t="s">
        <v>#N/A N/A</v>
        <stp/>
        <stp>BDP|10335861828303300225</stp>
        <tr r="N731" s="2"/>
      </tp>
      <tp t="s">
        <v>#N/A N/A</v>
        <stp/>
        <stp>BDP|10355879558392732478</stp>
        <tr r="Q1721" s="2"/>
      </tp>
      <tp t="s">
        <v>#N/A N/A</v>
        <stp/>
        <stp>BDP|13401036270717909825</stp>
        <tr r="C675" s="2"/>
      </tp>
      <tp t="s">
        <v>#N/A N/A</v>
        <stp/>
        <stp>BDP|14630877716713841533</stp>
        <tr r="G2086" s="2"/>
      </tp>
      <tp t="s">
        <v>#N/A N/A</v>
        <stp/>
        <stp>BDP|15807754113710224805</stp>
        <tr r="P1776" s="2"/>
      </tp>
      <tp t="s">
        <v>#N/A N/A</v>
        <stp/>
        <stp>BDP|16302184697366000303</stp>
        <tr r="T1631" s="2"/>
      </tp>
      <tp t="s">
        <v>#N/A N/A</v>
        <stp/>
        <stp>BDP|11983053506248639231</stp>
        <tr r="S364" s="2"/>
      </tp>
      <tp t="s">
        <v>#N/A N/A</v>
        <stp/>
        <stp>BDP|12867383919433028868</stp>
        <tr r="A774" s="2"/>
      </tp>
      <tp t="s">
        <v>#N/A N/A</v>
        <stp/>
        <stp>BDP|13091223393535745690</stp>
        <tr r="R1187" s="2"/>
      </tp>
      <tp t="s">
        <v>#N/A N/A</v>
        <stp/>
        <stp>BDP|11365776820836869935</stp>
        <tr r="P544" s="2"/>
      </tp>
      <tp t="s">
        <v>#N/A N/A</v>
        <stp/>
        <stp>BDP|16166586120569267348</stp>
        <tr r="A1366" s="2"/>
      </tp>
      <tp t="s">
        <v>#N/A N/A</v>
        <stp/>
        <stp>BDP|15079746992953864315</stp>
        <tr r="Q1268" s="2"/>
      </tp>
      <tp t="s">
        <v>#N/A N/A</v>
        <stp/>
        <stp>BDP|10286598768820820841</stp>
        <tr r="P1611" s="2"/>
      </tp>
      <tp t="s">
        <v>#N/A N/A</v>
        <stp/>
        <stp>BDP|10609970511025690693</stp>
        <tr r="S1811" s="2"/>
      </tp>
      <tp t="s">
        <v>#N/A N/A</v>
        <stp/>
        <stp>BDP|18128260248553781675</stp>
        <tr r="C665" s="2"/>
      </tp>
      <tp t="s">
        <v>#N/A N/A</v>
        <stp/>
        <stp>BDP|13348857759347422248</stp>
        <tr r="F360" s="2"/>
      </tp>
      <tp t="s">
        <v>#N/A N/A</v>
        <stp/>
        <stp>BDP|17048890661972712006</stp>
        <tr r="R2243" s="2"/>
      </tp>
      <tp t="s">
        <v>#N/A N/A</v>
        <stp/>
        <stp>BDP|12751975659993574634</stp>
        <tr r="T359" s="2"/>
      </tp>
      <tp t="s">
        <v>#N/A N/A</v>
        <stp/>
        <stp>BDP|17457833926101899764</stp>
        <tr r="F1560" s="2"/>
      </tp>
      <tp t="s">
        <v>#N/A N/A</v>
        <stp/>
        <stp>BDP|14317477754547814978</stp>
        <tr r="K1274" s="2"/>
      </tp>
      <tp t="s">
        <v>#N/A N/A</v>
        <stp/>
        <stp>BDP|12594548495546377389</stp>
        <tr r="F329" s="2"/>
      </tp>
      <tp t="s">
        <v>#N/A N/A</v>
        <stp/>
        <stp>BDS|10409160618218430328</stp>
        <tr r="I2210" s="2"/>
      </tp>
      <tp t="s">
        <v>#N/A N/A</v>
        <stp/>
        <stp>BDP|14422910669957716743</stp>
        <tr r="C163" s="2"/>
      </tp>
      <tp t="s">
        <v>#N/A N/A</v>
        <stp/>
        <stp>BDS|14045588117272612956</stp>
        <tr r="I234" s="2"/>
      </tp>
      <tp t="s">
        <v>#N/A N/A</v>
        <stp/>
        <stp>BDP|10494891867391338460</stp>
        <tr r="K1715" s="2"/>
      </tp>
      <tp t="s">
        <v>#N/A N/A</v>
        <stp/>
        <stp>BDP|14390650448118399529</stp>
        <tr r="G1165" s="2"/>
      </tp>
      <tp t="s">
        <v>#N/A N/A</v>
        <stp/>
        <stp>BDP|18271872891195358789</stp>
        <tr r="D1276" s="2"/>
      </tp>
      <tp t="s">
        <v>#N/A N/A</v>
        <stp/>
        <stp>BDP|14697638375998767681</stp>
        <tr r="A1710" s="2"/>
      </tp>
      <tp t="s">
        <v>#N/A N/A</v>
        <stp/>
        <stp>BDP|13657627069578285000</stp>
        <tr r="P796" s="2"/>
      </tp>
      <tp t="s">
        <v>#N/A N/A</v>
        <stp/>
        <stp>BDP|15801802025267282307</stp>
        <tr r="F1340" s="2"/>
      </tp>
      <tp t="s">
        <v>#N/A N/A</v>
        <stp/>
        <stp>BDP|11909575110687446958</stp>
        <tr r="G182" s="2"/>
      </tp>
      <tp t="s">
        <v>#N/A N/A</v>
        <stp/>
        <stp>BDP|13800757205867308841</stp>
        <tr r="R712" s="2"/>
      </tp>
      <tp t="s">
        <v>#N/A N/A</v>
        <stp/>
        <stp>BDP|15288741790943094397</stp>
        <tr r="S678" s="2"/>
      </tp>
      <tp t="s">
        <v>#N/A N/A</v>
        <stp/>
        <stp>BDP|12795653469351729836</stp>
        <tr r="F1464" s="2"/>
      </tp>
      <tp t="s">
        <v>#N/A N/A</v>
        <stp/>
        <stp>BDP|12723589487233548720</stp>
        <tr r="Q1927" s="2"/>
      </tp>
      <tp t="s">
        <v>#N/A N/A</v>
        <stp/>
        <stp>BDP|12762154534523899813</stp>
        <tr r="C485" s="2"/>
      </tp>
      <tp t="s">
        <v>#N/A N/A</v>
        <stp/>
        <stp>BDP|14876705960948452633</stp>
        <tr r="H369" s="2"/>
      </tp>
      <tp t="s">
        <v>#N/A N/A</v>
        <stp/>
        <stp>BDP|14892922567599634940</stp>
        <tr r="J2060" s="2"/>
      </tp>
      <tp t="s">
        <v>#N/A N/A</v>
        <stp/>
        <stp>BDP|14723812351214865609</stp>
        <tr r="M1143" s="2"/>
      </tp>
      <tp t="s">
        <v>#N/A N/A</v>
        <stp/>
        <stp>BDP|17553481777818333762</stp>
        <tr r="N223" s="2"/>
      </tp>
      <tp t="s">
        <v>#N/A N/A</v>
        <stp/>
        <stp>BDP|12207325889044205649</stp>
        <tr r="R1541" s="2"/>
      </tp>
      <tp t="s">
        <v>#N/A N/A</v>
        <stp/>
        <stp>BDP|14035327000745477998</stp>
        <tr r="P1730" s="2"/>
      </tp>
      <tp t="s">
        <v>#N/A N/A</v>
        <stp/>
        <stp>BDP|12345959778063065417</stp>
        <tr r="R85" s="2"/>
      </tp>
      <tp t="s">
        <v>#N/A N/A</v>
        <stp/>
        <stp>BDP|13762043369896059854</stp>
        <tr r="O368" s="2"/>
      </tp>
      <tp t="s">
        <v>#N/A N/A</v>
        <stp/>
        <stp>BDP|14457918619201002633</stp>
        <tr r="G161" s="2"/>
      </tp>
      <tp t="s">
        <v>#N/A N/A</v>
        <stp/>
        <stp>BDP|10318787235197591842</stp>
        <tr r="F948" s="2"/>
      </tp>
      <tp t="s">
        <v>#N/A N/A</v>
        <stp/>
        <stp>BDP|13508695392087281031</stp>
        <tr r="M377" s="2"/>
      </tp>
      <tp t="s">
        <v>#N/A N/A</v>
        <stp/>
        <stp>BDP|13989669996182527531</stp>
        <tr r="Q681" s="2"/>
      </tp>
      <tp t="s">
        <v>#N/A N/A</v>
        <stp/>
        <stp>BDP|15866221213534578936</stp>
        <tr r="Q659" s="2"/>
      </tp>
      <tp t="s">
        <v>#N/A N/A</v>
        <stp/>
        <stp>BDP|17329863328354241205</stp>
        <tr r="M1729" s="2"/>
      </tp>
      <tp t="s">
        <v>#N/A N/A</v>
        <stp/>
        <stp>BDP|14019033598155550315</stp>
        <tr r="F710" s="2"/>
      </tp>
      <tp t="s">
        <v>#N/A N/A</v>
        <stp/>
        <stp>BDP|18174538330446598381</stp>
        <tr r="G362" s="2"/>
      </tp>
      <tp t="s">
        <v>#N/A N/A</v>
        <stp/>
        <stp>BDS|17093069701249978527</stp>
        <tr r="I2107" s="2"/>
      </tp>
      <tp t="s">
        <v>#N/A N/A</v>
        <stp/>
        <stp>BDP|10182859123043100293</stp>
        <tr r="J60" s="2"/>
      </tp>
      <tp t="s">
        <v>#N/A N/A</v>
        <stp/>
        <stp>BDP|14556338367322781894</stp>
        <tr r="S1167" s="2"/>
      </tp>
      <tp t="s">
        <v>#N/A N/A</v>
        <stp/>
        <stp>BDP|11973169503409015239</stp>
        <tr r="S1899" s="2"/>
      </tp>
      <tp t="s">
        <v>#N/A N/A</v>
        <stp/>
        <stp>BDP|14539596182720763265</stp>
        <tr r="H2069" s="2"/>
      </tp>
      <tp t="s">
        <v>#N/A N/A</v>
        <stp/>
        <stp>BDP|10378386622999496320</stp>
        <tr r="O974" s="2"/>
      </tp>
      <tp t="s">
        <v>#N/A N/A</v>
        <stp/>
        <stp>BDP|10210516145888997206</stp>
        <tr r="O226" s="2"/>
      </tp>
      <tp t="s">
        <v>#N/A N/A</v>
        <stp/>
        <stp>BDP|17780677063175486986</stp>
        <tr r="G1026" s="2"/>
      </tp>
      <tp t="s">
        <v>#N/A N/A</v>
        <stp/>
        <stp>BDP|17931257998584803331</stp>
        <tr r="A828" s="2"/>
      </tp>
      <tp t="s">
        <v>#N/A N/A</v>
        <stp/>
        <stp>BDP|10476664192603815774</stp>
        <tr r="K456" s="2"/>
      </tp>
      <tp t="s">
        <v>#N/A N/A</v>
        <stp/>
        <stp>BDP|17342605076645904837</stp>
        <tr r="C1615" s="2"/>
      </tp>
      <tp t="s">
        <v>#N/A N/A</v>
        <stp/>
        <stp>BDP|10810144494000778305</stp>
        <tr r="T617" s="2"/>
      </tp>
      <tp t="s">
        <v>#N/A N/A</v>
        <stp/>
        <stp>BDP|11863204072457485819</stp>
        <tr r="N2208" s="2"/>
      </tp>
      <tp t="s">
        <v>#N/A N/A</v>
        <stp/>
        <stp>BDP|17074997080075134875</stp>
        <tr r="M278" s="2"/>
      </tp>
      <tp t="s">
        <v>#N/A N/A</v>
        <stp/>
        <stp>BDP|10450631409275742864</stp>
        <tr r="M2011" s="2"/>
      </tp>
      <tp t="s">
        <v>#N/A N/A</v>
        <stp/>
        <stp>BDP|10570227786469870865</stp>
        <tr r="S1135" s="2"/>
      </tp>
      <tp t="s">
        <v>#N/A N/A</v>
        <stp/>
        <stp>BDP|15691726089899056827</stp>
        <tr r="Q689" s="2"/>
      </tp>
      <tp t="s">
        <v>#N/A N/A</v>
        <stp/>
        <stp>BDS|10424440589575438211</stp>
        <tr r="I1022" s="2"/>
      </tp>
      <tp t="s">
        <v>#N/A N/A</v>
        <stp/>
        <stp>BDP|14207253746598640187</stp>
        <tr r="S395" s="2"/>
      </tp>
      <tp t="s">
        <v>#N/A N/A</v>
        <stp/>
        <stp>BDP|14126895732916686233</stp>
        <tr r="S1678" s="2"/>
      </tp>
      <tp t="s">
        <v>#N/A N/A</v>
        <stp/>
        <stp>BDS|14640093722405351823</stp>
        <tr r="I1661" s="2"/>
      </tp>
      <tp t="s">
        <v>#N/A N/A</v>
        <stp/>
        <stp>BDP|12813849171635282303</stp>
        <tr r="S270" s="2"/>
      </tp>
      <tp t="s">
        <v>#N/A N/A</v>
        <stp/>
        <stp>BDP|13728847035952901108</stp>
        <tr r="T1056" s="2"/>
      </tp>
      <tp t="s">
        <v>#N/A N/A</v>
        <stp/>
        <stp>BDP|16462132998066827382</stp>
        <tr r="N855" s="2"/>
      </tp>
      <tp t="s">
        <v>#N/A N/A</v>
        <stp/>
        <stp>BDP|17725290273558226101</stp>
        <tr r="K2192" s="2"/>
      </tp>
      <tp t="s">
        <v>#N/A N/A</v>
        <stp/>
        <stp>BDP|13558219909048496261</stp>
        <tr r="G914" s="2"/>
      </tp>
      <tp t="s">
        <v>#N/A N/A</v>
        <stp/>
        <stp>BDP|17632629396010872359</stp>
        <tr r="H651" s="2"/>
      </tp>
      <tp t="s">
        <v>#N/A N/A</v>
        <stp/>
        <stp>BDP|11997971385338428312</stp>
        <tr r="N2099" s="2"/>
      </tp>
      <tp t="s">
        <v>#N/A N/A</v>
        <stp/>
        <stp>BDP|14046951459193164039</stp>
        <tr r="K488" s="2"/>
      </tp>
      <tp t="s">
        <v>#N/A N/A</v>
        <stp/>
        <stp>BDP|13447242688282262049</stp>
        <tr r="F911" s="2"/>
      </tp>
      <tp t="s">
        <v>#N/A N/A</v>
        <stp/>
        <stp>BDP|15664436884904609692</stp>
        <tr r="S1040" s="2"/>
      </tp>
      <tp t="s">
        <v>#N/A N/A</v>
        <stp/>
        <stp>BDP|10179104393902843144</stp>
        <tr r="G1646" s="2"/>
      </tp>
      <tp t="s">
        <v>#N/A N/A</v>
        <stp/>
        <stp>BDP|17900092063899930343</stp>
        <tr r="T2084" s="2"/>
      </tp>
      <tp t="s">
        <v>#N/A N/A</v>
        <stp/>
        <stp>BDP|10931349910008130123</stp>
        <tr r="N282" s="2"/>
      </tp>
      <tp t="s">
        <v>#N/A N/A</v>
        <stp/>
        <stp>BDP|13153986042901552405</stp>
        <tr r="F1054" s="2"/>
      </tp>
      <tp t="s">
        <v>#N/A N/A</v>
        <stp/>
        <stp>BDP|15429384877502091850</stp>
        <tr r="G125" s="2"/>
      </tp>
      <tp t="s">
        <v>#N/A N/A</v>
        <stp/>
        <stp>BDP|17244931834440994621</stp>
        <tr r="P182" s="2"/>
      </tp>
      <tp t="s">
        <v>#N/A N/A</v>
        <stp/>
        <stp>BDP|10494814332619040996</stp>
        <tr r="O2108" s="2"/>
      </tp>
      <tp t="s">
        <v>#N/A N/A</v>
        <stp/>
        <stp>BDP|11356195449527955848</stp>
        <tr r="D1267" s="2"/>
      </tp>
      <tp t="s">
        <v>#N/A N/A</v>
        <stp/>
        <stp>BDP|13614805379173345429</stp>
        <tr r="P1875" s="2"/>
      </tp>
      <tp t="s">
        <v>#N/A N/A</v>
        <stp/>
        <stp>BDP|18089456927753595698</stp>
        <tr r="M1775" s="2"/>
      </tp>
      <tp t="s">
        <v>#N/A N/A</v>
        <stp/>
        <stp>BDP|15869533487893507075</stp>
        <tr r="E1751" s="2"/>
      </tp>
      <tp t="s">
        <v>#N/A N/A</v>
        <stp/>
        <stp>BDP|16509624208303506848</stp>
        <tr r="C1591" s="2"/>
      </tp>
      <tp t="s">
        <v>#N/A N/A</v>
        <stp/>
        <stp>BDP|15053573070759189586</stp>
        <tr r="T27" s="2"/>
      </tp>
      <tp t="s">
        <v>#N/A N/A</v>
        <stp/>
        <stp>BDP|17668825820887909134</stp>
        <tr r="T590" s="2"/>
      </tp>
      <tp t="s">
        <v>#N/A N/A</v>
        <stp/>
        <stp>BDP|16051718581322675086</stp>
        <tr r="M230" s="2"/>
      </tp>
      <tp t="s">
        <v>#N/A N/A</v>
        <stp/>
        <stp>BDP|17251315513289653789</stp>
        <tr r="D2254" s="2"/>
      </tp>
      <tp t="s">
        <v>#N/A N/A</v>
        <stp/>
        <stp>BDP|13131198887864697574</stp>
        <tr r="D1435" s="2"/>
      </tp>
      <tp t="s">
        <v>#N/A N/A</v>
        <stp/>
        <stp>BDP|18149669368364097719</stp>
        <tr r="N1932" s="2"/>
      </tp>
      <tp t="s">
        <v>#N/A N/A</v>
        <stp/>
        <stp>BDP|14959923864372293232</stp>
        <tr r="F570" s="2"/>
      </tp>
      <tp t="s">
        <v>#N/A N/A</v>
        <stp/>
        <stp>BDP|13488450853171950852</stp>
        <tr r="M59" s="2"/>
      </tp>
      <tp t="s">
        <v>#N/A N/A</v>
        <stp/>
        <stp>BDP|10876494429054197974</stp>
        <tr r="E7" s="2"/>
      </tp>
      <tp t="s">
        <v>#N/A N/A</v>
        <stp/>
        <stp>BDP|10051560689867752165</stp>
        <tr r="R1896" s="2"/>
      </tp>
      <tp t="s">
        <v>#N/A N/A</v>
        <stp/>
        <stp>BDP|13017884123761770329</stp>
        <tr r="O182" s="2"/>
      </tp>
      <tp t="s">
        <v>#N/A N/A</v>
        <stp/>
        <stp>BDP|17257371505918943775</stp>
        <tr r="O627" s="2"/>
      </tp>
      <tp t="s">
        <v>#N/A N/A</v>
        <stp/>
        <stp>BDP|11076002418653598839</stp>
        <tr r="C737" s="2"/>
      </tp>
      <tp t="s">
        <v>#N/A N/A</v>
        <stp/>
        <stp>BDP|11386228859938796513</stp>
        <tr r="A1543" s="2"/>
      </tp>
      <tp t="s">
        <v>#N/A N/A</v>
        <stp/>
        <stp>BDP|13602831697580949953</stp>
        <tr r="K2131" s="2"/>
      </tp>
      <tp t="s">
        <v>#N/A N/A</v>
        <stp/>
        <stp>BDP|15473883092378331737</stp>
        <tr r="K1785" s="2"/>
      </tp>
      <tp t="s">
        <v>#N/A N/A</v>
        <stp/>
        <stp>BDP|17481053063848903250</stp>
        <tr r="R669" s="2"/>
      </tp>
      <tp t="s">
        <v>#N/A N/A</v>
        <stp/>
        <stp>BDS|18284634963343740089</stp>
        <tr r="I1775" s="2"/>
      </tp>
      <tp t="s">
        <v>#N/A N/A</v>
        <stp/>
        <stp>BDP|11815862442926091021</stp>
        <tr r="R651" s="2"/>
      </tp>
      <tp t="s">
        <v>#N/A N/A</v>
        <stp/>
        <stp>BDP|17729463893267525693</stp>
        <tr r="F138" s="2"/>
      </tp>
      <tp t="s">
        <v>#N/A N/A</v>
        <stp/>
        <stp>BDP|12175966053222979734</stp>
        <tr r="J1243" s="2"/>
      </tp>
      <tp t="s">
        <v>#N/A N/A</v>
        <stp/>
        <stp>BDP|11474065919052502902</stp>
        <tr r="E1068" s="2"/>
      </tp>
      <tp t="s">
        <v>#N/A N/A</v>
        <stp/>
        <stp>BDP|15429680119010323980</stp>
        <tr r="C1471" s="2"/>
      </tp>
      <tp t="s">
        <v>#N/A N/A</v>
        <stp/>
        <stp>BDS|15206510324458320196</stp>
        <tr r="I1288" s="2"/>
      </tp>
      <tp t="s">
        <v>#N/A N/A</v>
        <stp/>
        <stp>BDP|13150236978909585415</stp>
        <tr r="M194" s="2"/>
      </tp>
      <tp t="s">
        <v>#N/A N/A</v>
        <stp/>
        <stp>BDP|15392175564941716893</stp>
        <tr r="K871" s="2"/>
      </tp>
      <tp t="s">
        <v>#N/A N/A</v>
        <stp/>
        <stp>BDP|14599098553698434253</stp>
        <tr r="H1913" s="2"/>
      </tp>
      <tp t="s">
        <v>#N/A N/A</v>
        <stp/>
        <stp>BDP|18068500555541924227</stp>
        <tr r="E1189" s="2"/>
      </tp>
      <tp t="s">
        <v>#N/A N/A</v>
        <stp/>
        <stp>BDP|16678710743118976637</stp>
        <tr r="Q997" s="2"/>
      </tp>
      <tp t="s">
        <v>#N/A N/A</v>
        <stp/>
        <stp>BDP|10203573697200440783</stp>
        <tr r="S850" s="2"/>
      </tp>
      <tp t="s">
        <v>#N/A N/A</v>
        <stp/>
        <stp>BDP|18437616433310083688</stp>
        <tr r="K1551" s="2"/>
      </tp>
      <tp t="s">
        <v>#N/A N/A</v>
        <stp/>
        <stp>BDP|11065246582263935317</stp>
        <tr r="T181" s="2"/>
      </tp>
      <tp t="s">
        <v>#N/A N/A</v>
        <stp/>
        <stp>BDP|13243224310642945977</stp>
        <tr r="T1042" s="2"/>
      </tp>
      <tp t="s">
        <v>#N/A N/A</v>
        <stp/>
        <stp>BDP|17038694863265576917</stp>
        <tr r="A175" s="2"/>
      </tp>
      <tp t="s">
        <v>#N/A N/A</v>
        <stp/>
        <stp>BDS|14047706785424820401</stp>
        <tr r="I1960" s="2"/>
      </tp>
      <tp t="s">
        <v>#N/A N/A</v>
        <stp/>
        <stp>BDP|14802116886215305320</stp>
        <tr r="M456" s="2"/>
      </tp>
      <tp t="s">
        <v>#N/A N/A</v>
        <stp/>
        <stp>BDP|17587412194281797095</stp>
        <tr r="K174" s="2"/>
      </tp>
      <tp t="s">
        <v>#N/A N/A</v>
        <stp/>
        <stp>BDP|11215387531953122949</stp>
        <tr r="R2091" s="2"/>
      </tp>
      <tp t="s">
        <v>#N/A N/A</v>
        <stp/>
        <stp>BDP|12010797153503214899</stp>
        <tr r="E1875" s="2"/>
      </tp>
      <tp t="s">
        <v>#N/A N/A</v>
        <stp/>
        <stp>BDP|11789615037959981696</stp>
        <tr r="C1718" s="2"/>
      </tp>
      <tp t="s">
        <v>#N/A N/A</v>
        <stp/>
        <stp>BDP|12247638928735802801</stp>
        <tr r="F993" s="2"/>
      </tp>
      <tp t="s">
        <v>#N/A N/A</v>
        <stp/>
        <stp>BDP|15674993839024790007</stp>
        <tr r="E906" s="2"/>
      </tp>
      <tp t="s">
        <v>#N/A N/A</v>
        <stp/>
        <stp>BDP|10655306682493441319</stp>
        <tr r="P1405" s="2"/>
      </tp>
      <tp t="s">
        <v>#N/A N/A</v>
        <stp/>
        <stp>BDP|15602512093885780728</stp>
        <tr r="O665" s="2"/>
      </tp>
      <tp t="s">
        <v>#N/A N/A</v>
        <stp/>
        <stp>BDP|10919049928201464806</stp>
        <tr r="S848" s="2"/>
      </tp>
      <tp t="s">
        <v>#N/A N/A</v>
        <stp/>
        <stp>BDP|13011110341179936489</stp>
        <tr r="C226" s="2"/>
      </tp>
      <tp t="s">
        <v>#N/A N/A</v>
        <stp/>
        <stp>BDP|17854927696834902840</stp>
        <tr r="M1628" s="2"/>
      </tp>
      <tp t="s">
        <v>#N/A N/A</v>
        <stp/>
        <stp>BDP|17340863901306745229</stp>
        <tr r="F453" s="2"/>
      </tp>
      <tp t="s">
        <v>#N/A N/A</v>
        <stp/>
        <stp>BDP|17762570356309198565</stp>
        <tr r="R74" s="2"/>
      </tp>
      <tp t="s">
        <v>#N/A N/A</v>
        <stp/>
        <stp>BDP|11330157693965238767</stp>
        <tr r="K1626" s="2"/>
      </tp>
      <tp t="s">
        <v>#N/A N/A</v>
        <stp/>
        <stp>BDP|16807498848239012483</stp>
        <tr r="Q2207" s="2"/>
      </tp>
      <tp t="s">
        <v>#N/A N/A</v>
        <stp/>
        <stp>BDP|16943052391450531499</stp>
        <tr r="N2068" s="2"/>
      </tp>
      <tp t="s">
        <v>#N/A N/A</v>
        <stp/>
        <stp>BDP|15204446412259482214</stp>
        <tr r="E830" s="2"/>
      </tp>
      <tp t="s">
        <v>#N/A N/A</v>
        <stp/>
        <stp>BDP|13207114823462608978</stp>
        <tr r="N1705" s="2"/>
      </tp>
      <tp t="s">
        <v>#N/A N/A</v>
        <stp/>
        <stp>BDP|11617970530989659965</stp>
        <tr r="T1468" s="2"/>
      </tp>
      <tp t="s">
        <v>#N/A N/A</v>
        <stp/>
        <stp>BDP|14300839400402366523</stp>
        <tr r="P1624" s="2"/>
      </tp>
      <tp t="s">
        <v>#N/A N/A</v>
        <stp/>
        <stp>BDP|13815367683344593793</stp>
        <tr r="R1264" s="2"/>
      </tp>
      <tp t="s">
        <v>#N/A N/A</v>
        <stp/>
        <stp>BDP|15128312947868260141</stp>
        <tr r="A264" s="2"/>
      </tp>
      <tp t="s">
        <v>#N/A N/A</v>
        <stp/>
        <stp>BDP|12090455094583805787</stp>
        <tr r="C2120" s="2"/>
      </tp>
      <tp t="s">
        <v>#N/A N/A</v>
        <stp/>
        <stp>BDP|15215622040048197404</stp>
        <tr r="E759" s="2"/>
      </tp>
      <tp t="s">
        <v>#N/A N/A</v>
        <stp/>
        <stp>BDP|15939868951162636197</stp>
        <tr r="D1854" s="2"/>
      </tp>
      <tp t="s">
        <v>#N/A N/A</v>
        <stp/>
        <stp>BDP|17899561475658276684</stp>
        <tr r="G883" s="2"/>
      </tp>
      <tp t="s">
        <v>#N/A N/A</v>
        <stp/>
        <stp>BDP|17569822124160515679</stp>
        <tr r="F1026" s="2"/>
      </tp>
      <tp t="s">
        <v>#N/A N/A</v>
        <stp/>
        <stp>BDP|10452909029544971453</stp>
        <tr r="T198" s="2"/>
      </tp>
      <tp t="s">
        <v>#N/A N/A</v>
        <stp/>
        <stp>BDP|10095975387579247330</stp>
        <tr r="K2168" s="2"/>
      </tp>
      <tp t="s">
        <v>#N/A N/A</v>
        <stp/>
        <stp>BDP|13072124395567296742</stp>
        <tr r="J732" s="2"/>
      </tp>
      <tp t="s">
        <v>#N/A N/A</v>
        <stp/>
        <stp>BDP|11089410783683176524</stp>
        <tr r="G398" s="2"/>
      </tp>
      <tp t="s">
        <v>#N/A N/A</v>
        <stp/>
        <stp>BDP|15187653776078067730</stp>
        <tr r="G65" s="2"/>
      </tp>
      <tp t="s">
        <v>#N/A N/A</v>
        <stp/>
        <stp>BDP|16356958973176756535</stp>
        <tr r="N2085" s="2"/>
      </tp>
      <tp t="s">
        <v>#N/A N/A</v>
        <stp/>
        <stp>BDP|12375980868423567579</stp>
        <tr r="Q533" s="2"/>
      </tp>
      <tp t="s">
        <v>#N/A N/A</v>
        <stp/>
        <stp>BDP|10049447994215954388</stp>
        <tr r="E2213" s="2"/>
      </tp>
      <tp t="s">
        <v>#N/A N/A</v>
        <stp/>
        <stp>BDP|14000151133168243558</stp>
        <tr r="K1499" s="2"/>
      </tp>
      <tp t="s">
        <v>#N/A N/A</v>
        <stp/>
        <stp>BDP|11301363884410028109</stp>
        <tr r="H495" s="2"/>
      </tp>
      <tp t="s">
        <v>#N/A N/A</v>
        <stp/>
        <stp>BDP|17633954373202764060</stp>
        <tr r="C720" s="2"/>
      </tp>
      <tp t="s">
        <v>#N/A N/A</v>
        <stp/>
        <stp>BDP|14684261414838014453</stp>
        <tr r="H742" s="2"/>
      </tp>
      <tp t="s">
        <v>#N/A N/A</v>
        <stp/>
        <stp>BDP|13575884306413351391</stp>
        <tr r="K1932" s="2"/>
      </tp>
      <tp t="s">
        <v>#N/A N/A</v>
        <stp/>
        <stp>BDP|17876381497893795515</stp>
        <tr r="C2119" s="2"/>
      </tp>
      <tp t="s">
        <v>#N/A N/A</v>
        <stp/>
        <stp>BDS|14702940090419677671</stp>
        <tr r="I1605" s="2"/>
      </tp>
      <tp t="s">
        <v>#N/A N/A</v>
        <stp/>
        <stp>BDP|11270904473210613462</stp>
        <tr r="G1284" s="2"/>
      </tp>
      <tp t="s">
        <v>#N/A N/A</v>
        <stp/>
        <stp>BDP|18240430158861097387</stp>
        <tr r="M1577" s="2"/>
      </tp>
      <tp t="s">
        <v>#N/A N/A</v>
        <stp/>
        <stp>BDP|14921587703709565366</stp>
        <tr r="C235" s="2"/>
      </tp>
      <tp t="s">
        <v>#N/A N/A</v>
        <stp/>
        <stp>BDP|17137948562583371058</stp>
        <tr r="S356" s="2"/>
      </tp>
      <tp t="s">
        <v>#N/A N/A</v>
        <stp/>
        <stp>BDP|11187951429341432088</stp>
        <tr r="F923" s="2"/>
      </tp>
      <tp t="s">
        <v>#N/A N/A</v>
        <stp/>
        <stp>BDP|10717760419498024597</stp>
        <tr r="E112" s="2"/>
      </tp>
      <tp t="s">
        <v>#N/A N/A</v>
        <stp/>
        <stp>BDP|11439594342972793997</stp>
        <tr r="G368" s="2"/>
      </tp>
      <tp t="s">
        <v>#N/A N/A</v>
        <stp/>
        <stp>BDP|18064655239111969744</stp>
        <tr r="J1980" s="2"/>
      </tp>
      <tp t="s">
        <v>#N/A N/A</v>
        <stp/>
        <stp>BDP|11610717191310238456</stp>
        <tr r="A530" s="2"/>
      </tp>
      <tp t="s">
        <v>#N/A N/A</v>
        <stp/>
        <stp>BDP|12232603258889310389</stp>
        <tr r="C819" s="2"/>
      </tp>
      <tp t="s">
        <v>#N/A N/A</v>
        <stp/>
        <stp>BDP|16722941426541245762</stp>
        <tr r="C758" s="2"/>
      </tp>
      <tp t="s">
        <v>#N/A N/A</v>
        <stp/>
        <stp>BDP|16204563494215497458</stp>
        <tr r="P2018" s="2"/>
      </tp>
      <tp t="s">
        <v>#N/A N/A</v>
        <stp/>
        <stp>BDP|16617041545538563133</stp>
        <tr r="D275" s="2"/>
      </tp>
      <tp t="s">
        <v>#N/A N/A</v>
        <stp/>
        <stp>BDP|14293030573989053132</stp>
        <tr r="F194" s="2"/>
      </tp>
      <tp t="s">
        <v>#N/A N/A</v>
        <stp/>
        <stp>BDP|16236053845179164020</stp>
        <tr r="J1444" s="2"/>
      </tp>
      <tp t="s">
        <v>#N/A N/A</v>
        <stp/>
        <stp>BDP|17442822623353559517</stp>
        <tr r="R1694" s="2"/>
      </tp>
      <tp t="s">
        <v>#N/A N/A</v>
        <stp/>
        <stp>BDP|16779446104929080067</stp>
        <tr r="J766" s="2"/>
      </tp>
      <tp t="s">
        <v>#N/A N/A</v>
        <stp/>
        <stp>BDP|12366495590674220090</stp>
        <tr r="D1831" s="2"/>
      </tp>
      <tp t="s">
        <v>#N/A N/A</v>
        <stp/>
        <stp>BDP|14559205096380557471</stp>
        <tr r="K1163" s="2"/>
      </tp>
      <tp t="s">
        <v>#N/A N/A</v>
        <stp/>
        <stp>BDP|15221164222515574823</stp>
        <tr r="T834" s="2"/>
      </tp>
      <tp t="s">
        <v>#N/A N/A</v>
        <stp/>
        <stp>BDP|10356000697141151347</stp>
        <tr r="D341" s="2"/>
      </tp>
      <tp t="s">
        <v>#N/A N/A</v>
        <stp/>
        <stp>BDP|14267284876099935347</stp>
        <tr r="T1192" s="2"/>
      </tp>
      <tp t="s">
        <v>#N/A N/A</v>
        <stp/>
        <stp>BDS|10235113227371213944</stp>
        <tr r="I2006" s="2"/>
      </tp>
      <tp t="s">
        <v>#N/A N/A</v>
        <stp/>
        <stp>BDP|12289946861181796713</stp>
        <tr r="P2048" s="2"/>
      </tp>
      <tp t="s">
        <v>#N/A N/A</v>
        <stp/>
        <stp>BDP|17562532096182332223</stp>
        <tr r="C2083" s="2"/>
      </tp>
      <tp t="s">
        <v>#N/A N/A</v>
        <stp/>
        <stp>BDP|15110662573466319963</stp>
        <tr r="E1310" s="2"/>
      </tp>
      <tp t="s">
        <v>#N/A N/A</v>
        <stp/>
        <stp>BDP|12013909102474081431</stp>
        <tr r="J1022" s="2"/>
      </tp>
      <tp t="s">
        <v>#N/A N/A</v>
        <stp/>
        <stp>BDP|17565313762948617118</stp>
        <tr r="P586" s="2"/>
      </tp>
      <tp t="s">
        <v>#N/A N/A</v>
        <stp/>
        <stp>BDP|15495809814010425756</stp>
        <tr r="N1088" s="2"/>
      </tp>
      <tp t="s">
        <v>#N/A N/A</v>
        <stp/>
        <stp>BDP|10781813342825258272</stp>
        <tr r="J1440" s="2"/>
      </tp>
      <tp t="s">
        <v>#N/A N/A</v>
        <stp/>
        <stp>BDP|13972715887671867666</stp>
        <tr r="C493" s="2"/>
      </tp>
      <tp t="s">
        <v>#N/A N/A</v>
        <stp/>
        <stp>BDP|14146010384311373664</stp>
        <tr r="K185" s="2"/>
      </tp>
      <tp t="s">
        <v>#N/A N/A</v>
        <stp/>
        <stp>BDP|17643949533610785677</stp>
        <tr r="G1689" s="2"/>
      </tp>
      <tp t="s">
        <v>#N/A N/A</v>
        <stp/>
        <stp>BDP|16372525197756590737</stp>
        <tr r="C627" s="2"/>
      </tp>
      <tp t="s">
        <v>#N/A N/A</v>
        <stp/>
        <stp>BDP|10316524616517523829</stp>
        <tr r="C1144" s="2"/>
      </tp>
      <tp t="s">
        <v>#N/A N/A</v>
        <stp/>
        <stp>BDP|16144030984577128278</stp>
        <tr r="N1183" s="2"/>
      </tp>
      <tp t="s">
        <v>#N/A N/A</v>
        <stp/>
        <stp>BDP|18241826574605686927</stp>
        <tr r="S16" s="2"/>
      </tp>
      <tp t="s">
        <v>#N/A N/A</v>
        <stp/>
        <stp>BDP|18300578364166727670</stp>
        <tr r="M1086" s="2"/>
      </tp>
      <tp t="s">
        <v>#N/A N/A</v>
        <stp/>
        <stp>BDP|18395134790819588257</stp>
        <tr r="R1639" s="2"/>
      </tp>
      <tp t="s">
        <v>#N/A N/A</v>
        <stp/>
        <stp>BDP|13153349154748864697</stp>
        <tr r="R986" s="2"/>
      </tp>
      <tp t="s">
        <v>#N/A N/A</v>
        <stp/>
        <stp>BDP|12413068626519269263</stp>
        <tr r="N574" s="2"/>
      </tp>
      <tp t="s">
        <v>#N/A N/A</v>
        <stp/>
        <stp>BDP|16676620396207252509</stp>
        <tr r="T693" s="2"/>
      </tp>
      <tp t="s">
        <v>#N/A N/A</v>
        <stp/>
        <stp>BDP|10308518815818602719</stp>
        <tr r="D1949" s="2"/>
      </tp>
      <tp t="s">
        <v>#N/A N/A</v>
        <stp/>
        <stp>BDP|13378549021426101972</stp>
        <tr r="F491" s="2"/>
      </tp>
      <tp t="s">
        <v>#N/A N/A</v>
        <stp/>
        <stp>BDP|17435078724948330649</stp>
        <tr r="G1959" s="2"/>
      </tp>
      <tp t="s">
        <v>#N/A N/A</v>
        <stp/>
        <stp>BDP|18369329502696349602</stp>
        <tr r="O1390" s="2"/>
      </tp>
      <tp t="s">
        <v>#N/A N/A</v>
        <stp/>
        <stp>BDP|14670296943791485881</stp>
        <tr r="G1567" s="2"/>
      </tp>
      <tp t="s">
        <v>#N/A N/A</v>
        <stp/>
        <stp>BDP|12465423287333083611</stp>
        <tr r="S2240" s="2"/>
      </tp>
      <tp t="s">
        <v>#N/A N/A</v>
        <stp/>
        <stp>BDP|13905584196824046077</stp>
        <tr r="J1637" s="2"/>
      </tp>
      <tp t="s">
        <v>#N/A N/A</v>
        <stp/>
        <stp>BDP|18435646563956475574</stp>
        <tr r="E660" s="2"/>
      </tp>
      <tp t="s">
        <v>#N/A N/A</v>
        <stp/>
        <stp>BDP|12272471869963981859</stp>
        <tr r="E1609" s="2"/>
      </tp>
      <tp t="s">
        <v>#N/A N/A</v>
        <stp/>
        <stp>BDP|11297512911118253601</stp>
        <tr r="O1267" s="2"/>
      </tp>
      <tp t="s">
        <v>#N/A N/A</v>
        <stp/>
        <stp>BDP|11583915817160657257</stp>
        <tr r="F1006" s="2"/>
      </tp>
      <tp t="s">
        <v>#N/A N/A</v>
        <stp/>
        <stp>BDP|13845922410805885528</stp>
        <tr r="R101" s="2"/>
      </tp>
      <tp t="s">
        <v>#N/A N/A</v>
        <stp/>
        <stp>BDP|17267187490474833028</stp>
        <tr r="K689" s="2"/>
      </tp>
      <tp t="s">
        <v>#N/A N/A</v>
        <stp/>
        <stp>BDP|16184802497648477425</stp>
        <tr r="T2111" s="2"/>
      </tp>
      <tp t="s">
        <v>#N/A N/A</v>
        <stp/>
        <stp>BDP|10436951618170193387</stp>
        <tr r="R585" s="2"/>
      </tp>
      <tp t="s">
        <v>#N/A N/A</v>
        <stp/>
        <stp>BDP|13976481781672291624</stp>
        <tr r="M1115" s="2"/>
      </tp>
      <tp t="s">
        <v>#N/A N/A</v>
        <stp/>
        <stp>BDP|11388548528494905969</stp>
        <tr r="J928" s="2"/>
      </tp>
      <tp t="s">
        <v>#N/A N/A</v>
        <stp/>
        <stp>BDP|15000123095421633719</stp>
        <tr r="P1394" s="2"/>
      </tp>
      <tp t="s">
        <v>#N/A N/A</v>
        <stp/>
        <stp>BDP|11427463889331881736</stp>
        <tr r="E2233" s="2"/>
      </tp>
      <tp t="s">
        <v>#N/A N/A</v>
        <stp/>
        <stp>BDP|12353097640168867529</stp>
        <tr r="M1485" s="2"/>
      </tp>
      <tp t="s">
        <v>#N/A N/A</v>
        <stp/>
        <stp>BDP|12507974701147582761</stp>
        <tr r="A1278" s="2"/>
      </tp>
      <tp t="s">
        <v>#N/A N/A</v>
        <stp/>
        <stp>BDP|14438429320970441924</stp>
        <tr r="O963" s="2"/>
      </tp>
      <tp t="s">
        <v>#N/A N/A</v>
        <stp/>
        <stp>BDS|14330021217186717821</stp>
        <tr r="I690" s="2"/>
      </tp>
      <tp t="s">
        <v>#N/A N/A</v>
        <stp/>
        <stp>BDP|15971791156785620900</stp>
        <tr r="N1539" s="2"/>
      </tp>
      <tp t="s">
        <v>#N/A N/A</v>
        <stp/>
        <stp>BDP|16802416650389024594</stp>
        <tr r="D1386" s="2"/>
      </tp>
      <tp t="s">
        <v>#N/A N/A</v>
        <stp/>
        <stp>BDP|18393282253891093589</stp>
        <tr r="F1518" s="2"/>
      </tp>
      <tp t="s">
        <v>#N/A N/A</v>
        <stp/>
        <stp>BDP|17648522217509090139</stp>
        <tr r="J647" s="2"/>
      </tp>
      <tp t="s">
        <v>#N/A N/A</v>
        <stp/>
        <stp>BDP|14936687947275159870</stp>
        <tr r="N1161" s="2"/>
      </tp>
      <tp t="s">
        <v>#N/A N/A</v>
        <stp/>
        <stp>BDP|15747081788601121762</stp>
        <tr r="P1772" s="2"/>
      </tp>
      <tp t="s">
        <v>#N/A N/A</v>
        <stp/>
        <stp>BDS|17864926722006250196</stp>
        <tr r="I206" s="2"/>
      </tp>
      <tp t="s">
        <v>#N/A N/A</v>
        <stp/>
        <stp>BDP|16348548246439580542</stp>
        <tr r="C338" s="2"/>
      </tp>
      <tp t="s">
        <v>#N/A N/A</v>
        <stp/>
        <stp>BDP|16636498364449398684</stp>
        <tr r="J1941" s="2"/>
      </tp>
      <tp t="s">
        <v>#N/A N/A</v>
        <stp/>
        <stp>BDP|17023853110720075553</stp>
        <tr r="F593" s="2"/>
      </tp>
      <tp t="s">
        <v>#N/A N/A</v>
        <stp/>
        <stp>BDP|12873990380670356826</stp>
        <tr r="D1545" s="2"/>
      </tp>
      <tp t="s">
        <v>#N/A N/A</v>
        <stp/>
        <stp>BDP|13853894206118051877</stp>
        <tr r="E2170" s="2"/>
      </tp>
      <tp t="s">
        <v>#N/A N/A</v>
        <stp/>
        <stp>BDP|12251965014403521254</stp>
        <tr r="H818" s="2"/>
      </tp>
      <tp t="s">
        <v>#N/A N/A</v>
        <stp/>
        <stp>BDP|13359823364561313763</stp>
        <tr r="T1023" s="2"/>
      </tp>
      <tp t="s">
        <v>#N/A N/A</v>
        <stp/>
        <stp>BDP|17732554976219227767</stp>
        <tr r="R1356" s="2"/>
      </tp>
      <tp t="s">
        <v>#N/A N/A</v>
        <stp/>
        <stp>BDP|17781209937079943495</stp>
        <tr r="K864" s="2"/>
      </tp>
      <tp t="s">
        <v>#N/A N/A</v>
        <stp/>
        <stp>BDP|18198177316041675269</stp>
        <tr r="H2240" s="2"/>
      </tp>
      <tp t="s">
        <v>#N/A N/A</v>
        <stp/>
        <stp>BDP|15534552180684138714</stp>
        <tr r="H500" s="2"/>
      </tp>
      <tp t="s">
        <v>#N/A N/A</v>
        <stp/>
        <stp>BDP|15146299276953637887</stp>
        <tr r="N1937" s="2"/>
      </tp>
      <tp t="s">
        <v>#N/A N/A</v>
        <stp/>
        <stp>BDP|14512735950645272842</stp>
        <tr r="K675" s="2"/>
      </tp>
      <tp t="s">
        <v>#N/A N/A</v>
        <stp/>
        <stp>BDP|11418664157830780922</stp>
        <tr r="A1208" s="2"/>
      </tp>
      <tp t="s">
        <v>#N/A N/A</v>
        <stp/>
        <stp>BDP|14246372334079738662</stp>
        <tr r="F148" s="2"/>
      </tp>
      <tp t="s">
        <v>#N/A N/A</v>
        <stp/>
        <stp>BDP|13305704277578567010</stp>
        <tr r="M9" s="2"/>
      </tp>
      <tp t="s">
        <v>#N/A N/A</v>
        <stp/>
        <stp>BDP|13636537227268510770</stp>
        <tr r="D1746" s="2"/>
      </tp>
      <tp t="s">
        <v>#N/A N/A</v>
        <stp/>
        <stp>BDP|10748366496501093078</stp>
        <tr r="P2132" s="2"/>
      </tp>
      <tp t="s">
        <v>#N/A N/A</v>
        <stp/>
        <stp>BDP|11413276894512465332</stp>
        <tr r="D1768" s="2"/>
      </tp>
      <tp t="s">
        <v>#N/A N/A</v>
        <stp/>
        <stp>BDP|17086048272693462826</stp>
        <tr r="F1775" s="2"/>
      </tp>
      <tp t="s">
        <v>#N/A N/A</v>
        <stp/>
        <stp>BDP|14841156157569338292</stp>
        <tr r="M804" s="2"/>
      </tp>
      <tp t="s">
        <v>#N/A N/A</v>
        <stp/>
        <stp>BDP|15707802220987497334</stp>
        <tr r="T1202" s="2"/>
      </tp>
      <tp t="s">
        <v>#N/A N/A</v>
        <stp/>
        <stp>BDP|12867887337147008575</stp>
        <tr r="J1016" s="2"/>
      </tp>
      <tp t="s">
        <v>#N/A N/A</v>
        <stp/>
        <stp>BDP|11437175286037171444</stp>
        <tr r="F729" s="2"/>
      </tp>
      <tp t="s">
        <v>#N/A N/A</v>
        <stp/>
        <stp>BDP|15486984036845382199</stp>
        <tr r="H1016" s="2"/>
      </tp>
      <tp t="s">
        <v>#N/A N/A</v>
        <stp/>
        <stp>BDP|13018274326210065815</stp>
        <tr r="F814" s="2"/>
      </tp>
      <tp t="s">
        <v>#N/A N/A</v>
        <stp/>
        <stp>BDP|12525952805333627335</stp>
        <tr r="F108" s="2"/>
      </tp>
      <tp t="s">
        <v>#N/A N/A</v>
        <stp/>
        <stp>BDP|13437476964068181269</stp>
        <tr r="T2125" s="2"/>
      </tp>
      <tp t="s">
        <v>#N/A N/A</v>
        <stp/>
        <stp>BDP|14190412655166279879</stp>
        <tr r="N1371" s="2"/>
      </tp>
      <tp t="s">
        <v>#N/A N/A</v>
        <stp/>
        <stp>BDP|10515905327519745951</stp>
        <tr r="O2207" s="2"/>
      </tp>
      <tp t="s">
        <v>#N/A N/A</v>
        <stp/>
        <stp>BDP|11315356182238245965</stp>
        <tr r="O458" s="2"/>
      </tp>
      <tp t="s">
        <v>#N/A N/A</v>
        <stp/>
        <stp>BDP|13194124917738157064</stp>
        <tr r="J882" s="2"/>
      </tp>
      <tp t="s">
        <v>#N/A N/A</v>
        <stp/>
        <stp>BDP|14993906650634272785</stp>
        <tr r="F1764" s="2"/>
      </tp>
      <tp t="s">
        <v>#N/A N/A</v>
        <stp/>
        <stp>BDP|17432268391040114711</stp>
        <tr r="P1598" s="2"/>
      </tp>
      <tp t="s">
        <v>#N/A N/A</v>
        <stp/>
        <stp>BDP|10594955061064422065</stp>
        <tr r="O1602" s="2"/>
      </tp>
      <tp t="s">
        <v>#N/A N/A</v>
        <stp/>
        <stp>BDS|14858895762958559967</stp>
        <tr r="I1798" s="2"/>
      </tp>
      <tp t="s">
        <v>#N/A N/A</v>
        <stp/>
        <stp>BDP|15354860609173699597</stp>
        <tr r="H1736" s="2"/>
      </tp>
      <tp t="s">
        <v>#N/A N/A</v>
        <stp/>
        <stp>BDP|10715016783415091660</stp>
        <tr r="F1548" s="2"/>
      </tp>
      <tp t="s">
        <v>#N/A N/A</v>
        <stp/>
        <stp>BDP|14642928581686132870</stp>
        <tr r="F47" s="2"/>
      </tp>
      <tp t="s">
        <v>#N/A N/A</v>
        <stp/>
        <stp>BDP|13587290890434802775</stp>
        <tr r="G948" s="2"/>
      </tp>
      <tp t="s">
        <v>#N/A N/A</v>
        <stp/>
        <stp>BDP|15389491198525301625</stp>
        <tr r="Q901" s="2"/>
      </tp>
      <tp t="s">
        <v>#N/A N/A</v>
        <stp/>
        <stp>BDP|14671519174445836880</stp>
        <tr r="A1097" s="2"/>
      </tp>
      <tp t="s">
        <v>#N/A N/A</v>
        <stp/>
        <stp>BDP|16348555052778093577</stp>
        <tr r="O1459" s="2"/>
      </tp>
      <tp t="s">
        <v>#N/A N/A</v>
        <stp/>
        <stp>BDP|14485805300911288654</stp>
        <tr r="Q1008" s="2"/>
      </tp>
      <tp t="s">
        <v>#N/A N/A</v>
        <stp/>
        <stp>BDP|18342647391964008852</stp>
        <tr r="E846" s="2"/>
      </tp>
      <tp t="s">
        <v>#N/A N/A</v>
        <stp/>
        <stp>BDP|10125866561694131149</stp>
        <tr r="T2118" s="2"/>
      </tp>
      <tp t="s">
        <v>#N/A N/A</v>
        <stp/>
        <stp>BDP|14645744583993791358</stp>
        <tr r="A365" s="2"/>
      </tp>
      <tp t="s">
        <v>#N/A N/A</v>
        <stp/>
        <stp>BDP|11881225984750547086</stp>
        <tr r="N461" s="2"/>
      </tp>
      <tp t="s">
        <v>#N/A N/A</v>
        <stp/>
        <stp>BDP|11130367587895258411</stp>
        <tr r="D842" s="2"/>
      </tp>
      <tp t="s">
        <v>#N/A N/A</v>
        <stp/>
        <stp>BDP|12087994754826696385</stp>
        <tr r="C687" s="2"/>
      </tp>
      <tp t="s">
        <v>#N/A N/A</v>
        <stp/>
        <stp>BDP|17508792188487396447</stp>
        <tr r="N1101" s="2"/>
      </tp>
      <tp t="s">
        <v>#N/A N/A</v>
        <stp/>
        <stp>BDP|16649449092568599869</stp>
        <tr r="D409" s="2"/>
      </tp>
      <tp t="s">
        <v>#N/A N/A</v>
        <stp/>
        <stp>BDP|10306315497413293240</stp>
        <tr r="E363" s="2"/>
      </tp>
      <tp t="s">
        <v>#N/A N/A</v>
        <stp/>
        <stp>BDP|11426299698727341650</stp>
        <tr r="P1838" s="2"/>
      </tp>
      <tp t="s">
        <v>#N/A N/A</v>
        <stp/>
        <stp>BDS|11449347857508782406</stp>
        <tr r="I2211" s="2"/>
      </tp>
      <tp t="s">
        <v>#N/A N/A</v>
        <stp/>
        <stp>BDP|17217403188533987307</stp>
        <tr r="E362" s="2"/>
      </tp>
      <tp t="s">
        <v>#N/A N/A</v>
        <stp/>
        <stp>BDP|14522657486496295777</stp>
        <tr r="N169" s="2"/>
      </tp>
      <tp t="s">
        <v>#N/A N/A</v>
        <stp/>
        <stp>BDP|12212969316826667779</stp>
        <tr r="P1702" s="2"/>
      </tp>
      <tp t="s">
        <v>#N/A N/A</v>
        <stp/>
        <stp>BDP|12490165081333152315</stp>
        <tr r="P210" s="2"/>
      </tp>
      <tp t="s">
        <v>#N/A N/A</v>
        <stp/>
        <stp>BDP|18154512865992106271</stp>
        <tr r="R377" s="2"/>
      </tp>
      <tp t="s">
        <v>#N/A N/A</v>
        <stp/>
        <stp>BDP|10156983148896243004</stp>
        <tr r="S36" s="2"/>
      </tp>
      <tp t="s">
        <v>#N/A N/A</v>
        <stp/>
        <stp>BDP|14839700221129855329</stp>
        <tr r="K1913" s="2"/>
      </tp>
      <tp t="s">
        <v>#N/A N/A</v>
        <stp/>
        <stp>BDP|16035959261980446239</stp>
        <tr r="T1872" s="2"/>
      </tp>
      <tp t="s">
        <v>#N/A N/A</v>
        <stp/>
        <stp>BDP|11971783811998234410</stp>
        <tr r="F215" s="2"/>
      </tp>
      <tp t="s">
        <v>#N/A N/A</v>
        <stp/>
        <stp>BDS|10860826068421724458</stp>
        <tr r="I1696" s="2"/>
      </tp>
      <tp t="s">
        <v>#N/A N/A</v>
        <stp/>
        <stp>BDS|12380574282660457421</stp>
        <tr r="I253" s="2"/>
      </tp>
      <tp t="s">
        <v>#N/A N/A</v>
        <stp/>
        <stp>BDP|13777330189992670184</stp>
        <tr r="N1243" s="2"/>
      </tp>
      <tp t="s">
        <v>#N/A N/A</v>
        <stp/>
        <stp>BDP|11762758241759001004</stp>
        <tr r="H262" s="2"/>
      </tp>
      <tp t="s">
        <v>#N/A N/A</v>
        <stp/>
        <stp>BDP|12327921008830350093</stp>
        <tr r="A1983" s="2"/>
      </tp>
      <tp t="s">
        <v>#N/A N/A</v>
        <stp/>
        <stp>BDP|12618712182127370159</stp>
        <tr r="F1939" s="2"/>
      </tp>
      <tp t="s">
        <v>#N/A N/A</v>
        <stp/>
        <stp>BDP|13805643701738906678</stp>
        <tr r="A1443" s="2"/>
      </tp>
      <tp t="s">
        <v>#N/A N/A</v>
        <stp/>
        <stp>BDP|12549658105056160979</stp>
        <tr r="E480" s="2"/>
      </tp>
      <tp t="s">
        <v>#N/A N/A</v>
        <stp/>
        <stp>BDP|15607656917951354849</stp>
        <tr r="K387" s="2"/>
      </tp>
      <tp t="s">
        <v>#N/A N/A</v>
        <stp/>
        <stp>BDP|12034037492327073723</stp>
        <tr r="E1164" s="2"/>
      </tp>
      <tp t="s">
        <v>#N/A N/A</v>
        <stp/>
        <stp>BDP|17374361386417997098</stp>
        <tr r="T1512" s="2"/>
      </tp>
      <tp t="s">
        <v>#N/A N/A</v>
        <stp/>
        <stp>BDP|15197305532867944993</stp>
        <tr r="P1965" s="2"/>
      </tp>
      <tp t="s">
        <v>#N/A N/A</v>
        <stp/>
        <stp>BDP|10407540081657079123</stp>
        <tr r="J1179" s="2"/>
      </tp>
      <tp t="s">
        <v>#N/A N/A</v>
        <stp/>
        <stp>BDP|17549815332201560607</stp>
        <tr r="J289" s="2"/>
      </tp>
      <tp t="s">
        <v>#N/A N/A</v>
        <stp/>
        <stp>BDP|11828863647222208481</stp>
        <tr r="D1117" s="2"/>
      </tp>
      <tp t="s">
        <v>#N/A N/A</v>
        <stp/>
        <stp>BDP|10629014089693466094</stp>
        <tr r="N694" s="2"/>
      </tp>
      <tp t="s">
        <v>#N/A N/A</v>
        <stp/>
        <stp>BDP|15675832662267164753</stp>
        <tr r="O1826" s="2"/>
      </tp>
      <tp t="s">
        <v>#N/A N/A</v>
        <stp/>
        <stp>BDS|10157651922447077866</stp>
        <tr r="I1987" s="2"/>
      </tp>
      <tp t="s">
        <v>#N/A N/A</v>
        <stp/>
        <stp>BDS|16249757016652221936</stp>
        <tr r="I1474" s="2"/>
      </tp>
      <tp t="s">
        <v>#N/A N/A</v>
        <stp/>
        <stp>BDS|16519740991681351233</stp>
        <tr r="I1205" s="2"/>
      </tp>
      <tp t="s">
        <v>#N/A N/A</v>
        <stp/>
        <stp>BDP|16399931848840370086</stp>
        <tr r="J408" s="2"/>
      </tp>
      <tp t="s">
        <v>#N/A N/A</v>
        <stp/>
        <stp>BDP|13773867757163074657</stp>
        <tr r="C1006" s="2"/>
      </tp>
      <tp t="s">
        <v>#N/A N/A</v>
        <stp/>
        <stp>BDP|16518312838648722586</stp>
        <tr r="C622" s="2"/>
      </tp>
      <tp t="s">
        <v>#N/A N/A</v>
        <stp/>
        <stp>BDP|12650268396950007255</stp>
        <tr r="F668" s="2"/>
      </tp>
      <tp t="s">
        <v>#N/A N/A</v>
        <stp/>
        <stp>BDP|15735569188325817629</stp>
        <tr r="E463" s="2"/>
      </tp>
      <tp t="s">
        <v>#N/A N/A</v>
        <stp/>
        <stp>BDP|11177830175617313270</stp>
        <tr r="C1292" s="2"/>
      </tp>
      <tp t="s">
        <v>#N/A N/A</v>
        <stp/>
        <stp>BDP|12125311116778714325</stp>
        <tr r="N1533" s="2"/>
      </tp>
      <tp t="s">
        <v>#N/A N/A</v>
        <stp/>
        <stp>BDS|11619392805751952831</stp>
        <tr r="I919" s="2"/>
      </tp>
      <tp t="s">
        <v>#N/A N/A</v>
        <stp/>
        <stp>BDS|18278266592141146973</stp>
        <tr r="I1565" s="2"/>
      </tp>
      <tp t="s">
        <v>#N/A N/A</v>
        <stp/>
        <stp>BDP|11376370473287141956</stp>
        <tr r="P1009" s="2"/>
      </tp>
      <tp t="s">
        <v>#N/A N/A</v>
        <stp/>
        <stp>BDP|14869090585532644510</stp>
        <tr r="S478" s="2"/>
      </tp>
      <tp t="s">
        <v>#N/A N/A</v>
        <stp/>
        <stp>BDP|14705604934302506850</stp>
        <tr r="P366" s="2"/>
      </tp>
      <tp t="s">
        <v>#N/A N/A</v>
        <stp/>
        <stp>BDP|11942543908447072862</stp>
        <tr r="H504" s="2"/>
      </tp>
      <tp t="s">
        <v>#N/A N/A</v>
        <stp/>
        <stp>BDP|18041325722756099439</stp>
        <tr r="G475" s="2"/>
      </tp>
      <tp t="s">
        <v>#N/A N/A</v>
        <stp/>
        <stp>BDS|11779885070256606396</stp>
        <tr r="I937" s="2"/>
      </tp>
      <tp t="s">
        <v>#N/A N/A</v>
        <stp/>
        <stp>BDP|12412999388978077060</stp>
        <tr r="E1282" s="2"/>
      </tp>
      <tp t="s">
        <v>#N/A N/A</v>
        <stp/>
        <stp>BDP|17560151610384407871</stp>
        <tr r="K729" s="2"/>
      </tp>
      <tp t="s">
        <v>#N/A N/A</v>
        <stp/>
        <stp>BDP|16140767062145400927</stp>
        <tr r="N224" s="2"/>
      </tp>
      <tp t="s">
        <v>#N/A N/A</v>
        <stp/>
        <stp>BDP|10165854136103133305</stp>
        <tr r="D1547" s="2"/>
      </tp>
      <tp t="s">
        <v>#N/A N/A</v>
        <stp/>
        <stp>BDP|11739258314989663031</stp>
        <tr r="J809" s="2"/>
      </tp>
      <tp t="s">
        <v>#N/A N/A</v>
        <stp/>
        <stp>BDP|17714027787315351125</stp>
        <tr r="Q894" s="2"/>
      </tp>
      <tp t="s">
        <v>#N/A N/A</v>
        <stp/>
        <stp>BDP|14312986525646513284</stp>
        <tr r="K1012" s="2"/>
      </tp>
      <tp t="s">
        <v>#N/A N/A</v>
        <stp/>
        <stp>BDP|17299962642252546316</stp>
        <tr r="R2214" s="2"/>
      </tp>
      <tp t="s">
        <v>#N/A N/A</v>
        <stp/>
        <stp>BDP|15994689937028688322</stp>
        <tr r="H685" s="2"/>
      </tp>
      <tp t="s">
        <v>#N/A N/A</v>
        <stp/>
        <stp>BDP|12451275735978607023</stp>
        <tr r="K338" s="2"/>
      </tp>
      <tp t="s">
        <v>#N/A N/A</v>
        <stp/>
        <stp>BDP|15006844929466728288</stp>
        <tr r="P523" s="2"/>
      </tp>
      <tp t="s">
        <v>#N/A N/A</v>
        <stp/>
        <stp>BDP|11928588917467457901</stp>
        <tr r="P647" s="2"/>
      </tp>
      <tp t="s">
        <v>#N/A N/A</v>
        <stp/>
        <stp>BDP|14227040445959935282</stp>
        <tr r="F2172" s="2"/>
      </tp>
      <tp t="s">
        <v>#N/A N/A</v>
        <stp/>
        <stp>BDP|14773649835118369273</stp>
        <tr r="P26" s="2"/>
      </tp>
      <tp t="s">
        <v>#N/A N/A</v>
        <stp/>
        <stp>BDP|17218029684220137470</stp>
        <tr r="R1068" s="2"/>
      </tp>
      <tp t="s">
        <v>#N/A N/A</v>
        <stp/>
        <stp>BDP|15082178611477443909</stp>
        <tr r="E231" s="2"/>
      </tp>
      <tp t="s">
        <v>#N/A N/A</v>
        <stp/>
        <stp>BDP|13490998601870982178</stp>
        <tr r="J1499" s="2"/>
      </tp>
      <tp t="s">
        <v>#N/A N/A</v>
        <stp/>
        <stp>BDP|16609290549972326973</stp>
        <tr r="D1224" s="2"/>
      </tp>
      <tp t="s">
        <v>#N/A N/A</v>
        <stp/>
        <stp>BDP|15746826036172034718</stp>
        <tr r="M1984" s="2"/>
      </tp>
      <tp t="s">
        <v>#N/A N/A</v>
        <stp/>
        <stp>BDP|12116372054996748976</stp>
        <tr r="R1638" s="2"/>
      </tp>
      <tp t="s">
        <v>#N/A N/A</v>
        <stp/>
        <stp>BDP|17632543094412185254</stp>
        <tr r="S1460" s="2"/>
      </tp>
      <tp t="s">
        <v>#N/A N/A</v>
        <stp/>
        <stp>BDP|11154874111387398464</stp>
        <tr r="H1162" s="2"/>
      </tp>
      <tp t="s">
        <v>#N/A N/A</v>
        <stp/>
        <stp>BDP|15376500581037186410</stp>
        <tr r="O1522" s="2"/>
      </tp>
      <tp t="s">
        <v>#N/A N/A</v>
        <stp/>
        <stp>BDP|16950132129646785866</stp>
        <tr r="M228" s="2"/>
      </tp>
      <tp t="s">
        <v>#N/A N/A</v>
        <stp/>
        <stp>BDS|14740150352353716869</stp>
        <tr r="I1559" s="2"/>
      </tp>
      <tp t="s">
        <v>#N/A N/A</v>
        <stp/>
        <stp>BDP|16715136986692676669</stp>
        <tr r="F1215" s="2"/>
      </tp>
      <tp t="s">
        <v>#N/A N/A</v>
        <stp/>
        <stp>BDP|16122579522222567830</stp>
        <tr r="D1759" s="2"/>
      </tp>
      <tp t="s">
        <v>#N/A N/A</v>
        <stp/>
        <stp>BDP|11487987417171870317</stp>
        <tr r="S2237" s="2"/>
      </tp>
      <tp t="s">
        <v>#N/A N/A</v>
        <stp/>
        <stp>BDP|12290641319859462798</stp>
        <tr r="O1821" s="2"/>
      </tp>
      <tp t="s">
        <v>#N/A N/A</v>
        <stp/>
        <stp>BDP|11779455040492739878</stp>
        <tr r="Q1992" s="2"/>
      </tp>
      <tp t="s">
        <v>#N/A N/A</v>
        <stp/>
        <stp>BDP|17311564988515691494</stp>
        <tr r="T303" s="2"/>
      </tp>
      <tp t="s">
        <v>#N/A N/A</v>
        <stp/>
        <stp>BDP|17368458391249344865</stp>
        <tr r="S1401" s="2"/>
      </tp>
      <tp t="s">
        <v>#N/A N/A</v>
        <stp/>
        <stp>BDP|15084659083078747838</stp>
        <tr r="G406" s="2"/>
      </tp>
      <tp t="s">
        <v>#N/A N/A</v>
        <stp/>
        <stp>BDP|10361836136552690220</stp>
        <tr r="P1790" s="2"/>
      </tp>
      <tp t="s">
        <v>#N/A N/A</v>
        <stp/>
        <stp>BDP|16226817827225369252</stp>
        <tr r="F260" s="2"/>
      </tp>
      <tp t="s">
        <v>#N/A N/A</v>
        <stp/>
        <stp>BDP|13863820140197850300</stp>
        <tr r="E1978" s="2"/>
      </tp>
      <tp t="s">
        <v>#N/A N/A</v>
        <stp/>
        <stp>BDP|12263954103715539534</stp>
        <tr r="J813" s="2"/>
      </tp>
      <tp t="s">
        <v>#N/A N/A</v>
        <stp/>
        <stp>BDP|14489632994399523949</stp>
        <tr r="E2034" s="2"/>
      </tp>
      <tp t="s">
        <v>#N/A N/A</v>
        <stp/>
        <stp>BDP|11429226782164218446</stp>
        <tr r="G1555" s="2"/>
      </tp>
      <tp t="s">
        <v>#N/A N/A</v>
        <stp/>
        <stp>BDP|17050009247758507009</stp>
        <tr r="G1639" s="2"/>
      </tp>
      <tp t="s">
        <v>#N/A N/A</v>
        <stp/>
        <stp>BDP|13934552434579954733</stp>
        <tr r="J308" s="2"/>
      </tp>
      <tp t="s">
        <v>#N/A N/A</v>
        <stp/>
        <stp>BDP|14925329581945977117</stp>
        <tr r="S619" s="2"/>
      </tp>
      <tp t="s">
        <v>#N/A N/A</v>
        <stp/>
        <stp>BDP|17364121288621846437</stp>
        <tr r="J2112" s="2"/>
      </tp>
      <tp t="s">
        <v>#N/A N/A</v>
        <stp/>
        <stp>BDP|14069056100129432633</stp>
        <tr r="Q1118" s="2"/>
      </tp>
      <tp t="s">
        <v>#N/A N/A</v>
        <stp/>
        <stp>BDP|17890781743289997682</stp>
        <tr r="C688" s="2"/>
      </tp>
      <tp t="s">
        <v>#N/A N/A</v>
        <stp/>
        <stp>BDP|11965929424361986045</stp>
        <tr r="P1656" s="2"/>
      </tp>
      <tp t="s">
        <v>#N/A N/A</v>
        <stp/>
        <stp>BDP|15091890664650670099</stp>
        <tr r="O207" s="2"/>
      </tp>
      <tp t="s">
        <v>#N/A N/A</v>
        <stp/>
        <stp>BDP|17902722823471330895</stp>
        <tr r="Q1679" s="2"/>
      </tp>
      <tp t="s">
        <v>#N/A N/A</v>
        <stp/>
        <stp>BDP|13114277360638558415</stp>
        <tr r="S2147" s="2"/>
      </tp>
      <tp t="s">
        <v>#N/A N/A</v>
        <stp/>
        <stp>BDP|14180630770988261627</stp>
        <tr r="T271" s="2"/>
      </tp>
      <tp t="s">
        <v>#N/A N/A</v>
        <stp/>
        <stp>BDP|17920821145401446183</stp>
        <tr r="N971" s="2"/>
      </tp>
      <tp t="s">
        <v>#N/A N/A</v>
        <stp/>
        <stp>BDP|14041934110894488350</stp>
        <tr r="H1365" s="2"/>
      </tp>
      <tp t="s">
        <v>#N/A N/A</v>
        <stp/>
        <stp>BDP|14605617262327234857</stp>
        <tr r="R1472" s="2"/>
      </tp>
      <tp t="s">
        <v>#N/A N/A</v>
        <stp/>
        <stp>BDP|16823037608204824995</stp>
        <tr r="N1273" s="2"/>
      </tp>
      <tp t="s">
        <v>#N/A N/A</v>
        <stp/>
        <stp>BDS|15532154580251913684</stp>
        <tr r="I1089" s="2"/>
      </tp>
      <tp t="s">
        <v>#N/A N/A</v>
        <stp/>
        <stp>BDP|10428814522067307661</stp>
        <tr r="D1456" s="2"/>
      </tp>
      <tp t="s">
        <v>#N/A N/A</v>
        <stp/>
        <stp>BDP|13751027164477448975</stp>
        <tr r="O724" s="2"/>
      </tp>
      <tp t="s">
        <v>#N/A N/A</v>
        <stp/>
        <stp>BDP|15661573090691707344</stp>
        <tr r="E1049" s="2"/>
      </tp>
      <tp t="s">
        <v>#N/A N/A</v>
        <stp/>
        <stp>BDP|15258032156278535300</stp>
        <tr r="E762" s="2"/>
      </tp>
      <tp t="s">
        <v>#N/A N/A</v>
        <stp/>
        <stp>BDS|16588808916915494166</stp>
        <tr r="I38" s="2"/>
      </tp>
      <tp t="s">
        <v>#N/A N/A</v>
        <stp/>
        <stp>BDP|18013055209641878260</stp>
        <tr r="G444" s="2"/>
      </tp>
      <tp t="s">
        <v>#N/A N/A</v>
        <stp/>
        <stp>BDP|11998545783682889547</stp>
        <tr r="S767" s="2"/>
      </tp>
      <tp t="s">
        <v>#N/A N/A</v>
        <stp/>
        <stp>BDP|13589043188241885134</stp>
        <tr r="K598" s="2"/>
      </tp>
      <tp t="s">
        <v>#N/A N/A</v>
        <stp/>
        <stp>BDS|11551204736379314216</stp>
        <tr r="I995" s="2"/>
      </tp>
      <tp t="s">
        <v>#N/A N/A</v>
        <stp/>
        <stp>BDP|10447367595976282777</stp>
        <tr r="O1772" s="2"/>
      </tp>
      <tp t="s">
        <v>#N/A N/A</v>
        <stp/>
        <stp>BDP|15358465763709563515</stp>
        <tr r="T1962" s="2"/>
      </tp>
      <tp t="s">
        <v>#N/A N/A</v>
        <stp/>
        <stp>BDP|11262563700897682801</stp>
        <tr r="K30" s="2"/>
      </tp>
      <tp t="s">
        <v>#N/A N/A</v>
        <stp/>
        <stp>BDP|14592468005208369371</stp>
        <tr r="G1287" s="2"/>
      </tp>
      <tp t="s">
        <v>#N/A N/A</v>
        <stp/>
        <stp>BDP|17738434891228198968</stp>
        <tr r="P2178" s="2"/>
      </tp>
      <tp t="s">
        <v>#N/A N/A</v>
        <stp/>
        <stp>BDP|13592219758827891865</stp>
        <tr r="E2103" s="2"/>
      </tp>
      <tp t="s">
        <v>#N/A N/A</v>
        <stp/>
        <stp>BDP|14822058840388847306</stp>
        <tr r="G1896" s="2"/>
      </tp>
      <tp t="s">
        <v>#N/A N/A</v>
        <stp/>
        <stp>BDP|14789851538375706180</stp>
        <tr r="D2212" s="2"/>
      </tp>
      <tp t="s">
        <v>#N/A N/A</v>
        <stp/>
        <stp>BDP|16425860145185195430</stp>
        <tr r="T653" s="2"/>
      </tp>
      <tp t="s">
        <v>#N/A N/A</v>
        <stp/>
        <stp>BDP|12581505992406270304</stp>
        <tr r="F1892" s="2"/>
      </tp>
      <tp t="s">
        <v>#N/A N/A</v>
        <stp/>
        <stp>BDP|14477600187961344050</stp>
        <tr r="Q449" s="2"/>
      </tp>
      <tp t="s">
        <v>#N/A N/A</v>
        <stp/>
        <stp>BDP|10501957025803630366</stp>
        <tr r="G1033" s="2"/>
      </tp>
      <tp t="s">
        <v>#N/A N/A</v>
        <stp/>
        <stp>BDP|10596859582163527829</stp>
        <tr r="Q31" s="2"/>
      </tp>
      <tp t="s">
        <v>#N/A N/A</v>
        <stp/>
        <stp>BDP|11108263293531868099</stp>
        <tr r="P1631" s="2"/>
      </tp>
      <tp t="s">
        <v>#N/A N/A</v>
        <stp/>
        <stp>BDP|18200495829524619118</stp>
        <tr r="K1057" s="2"/>
      </tp>
      <tp t="s">
        <v>#N/A N/A</v>
        <stp/>
        <stp>BDP|11150437175279319019</stp>
        <tr r="M1133" s="2"/>
      </tp>
      <tp t="s">
        <v>#N/A N/A</v>
        <stp/>
        <stp>BDP|14276962205752587412</stp>
        <tr r="S2248" s="2"/>
      </tp>
      <tp t="s">
        <v>#N/A N/A</v>
        <stp/>
        <stp>BDP|11652086185463874168</stp>
        <tr r="J827" s="2"/>
      </tp>
      <tp t="s">
        <v>#N/A N/A</v>
        <stp/>
        <stp>BDP|10602940623530797034</stp>
        <tr r="P1518" s="2"/>
      </tp>
      <tp t="s">
        <v>#N/A N/A</v>
        <stp/>
        <stp>BDP|11446812109917065591</stp>
        <tr r="P1000" s="2"/>
      </tp>
      <tp t="s">
        <v>#N/A N/A</v>
        <stp/>
        <stp>BDP|18286055304135435627</stp>
        <tr r="F2008" s="2"/>
      </tp>
      <tp t="s">
        <v>#N/A N/A</v>
        <stp/>
        <stp>BDP|11955122816052890801</stp>
        <tr r="A1363" s="2"/>
      </tp>
      <tp t="s">
        <v>#N/A N/A</v>
        <stp/>
        <stp>BDP|13700414151948426160</stp>
        <tr r="P953" s="2"/>
      </tp>
      <tp t="s">
        <v>#N/A N/A</v>
        <stp/>
        <stp>BDP|13349731791035483303</stp>
        <tr r="A163" s="2"/>
      </tp>
      <tp t="s">
        <v>#N/A N/A</v>
        <stp/>
        <stp>BDP|13611165985302712378</stp>
        <tr r="A205" s="2"/>
      </tp>
      <tp t="s">
        <v>#N/A N/A</v>
        <stp/>
        <stp>BDP|11777175093220593237</stp>
        <tr r="O2001" s="2"/>
      </tp>
      <tp t="s">
        <v>#N/A N/A</v>
        <stp/>
        <stp>BDP|13005862668280399687</stp>
        <tr r="P1749" s="2"/>
      </tp>
      <tp t="s">
        <v>#N/A N/A</v>
        <stp/>
        <stp>BDP|10315044083494343728</stp>
        <tr r="G839" s="2"/>
      </tp>
      <tp t="s">
        <v>#N/A N/A</v>
        <stp/>
        <stp>BDP|15435878626113358732</stp>
        <tr r="Q1225" s="2"/>
      </tp>
      <tp t="s">
        <v>#N/A N/A</v>
        <stp/>
        <stp>BDP|10791905840297772154</stp>
        <tr r="M57" s="2"/>
      </tp>
      <tp t="s">
        <v>#N/A N/A</v>
        <stp/>
        <stp>BDP|11480124488617859433</stp>
        <tr r="A1456" s="2"/>
      </tp>
      <tp t="s">
        <v>#N/A N/A</v>
        <stp/>
        <stp>BDP|11435809670335250030</stp>
        <tr r="H435" s="2"/>
      </tp>
      <tp t="s">
        <v>#N/A N/A</v>
        <stp/>
        <stp>BDP|18219773530722510557</stp>
        <tr r="G1494" s="2"/>
      </tp>
      <tp t="s">
        <v>#N/A N/A</v>
        <stp/>
        <stp>BDP|12900967056610516593</stp>
        <tr r="Q1088" s="2"/>
      </tp>
      <tp t="s">
        <v>#N/A N/A</v>
        <stp/>
        <stp>BDP|16306120685274170006</stp>
        <tr r="S593" s="2"/>
      </tp>
      <tp t="s">
        <v>#N/A N/A</v>
        <stp/>
        <stp>BDP|14752566428951902959</stp>
        <tr r="S1109" s="2"/>
      </tp>
      <tp t="s">
        <v>#N/A N/A</v>
        <stp/>
        <stp>BDP|15779607592481634064</stp>
        <tr r="O2247" s="2"/>
      </tp>
      <tp t="s">
        <v>#N/A N/A</v>
        <stp/>
        <stp>BDP|17745704050349471767</stp>
        <tr r="M174" s="2"/>
      </tp>
      <tp t="s">
        <v>#N/A N/A</v>
        <stp/>
        <stp>BDP|11459432281794120221</stp>
        <tr r="A563" s="2"/>
      </tp>
      <tp t="s">
        <v>#N/A N/A</v>
        <stp/>
        <stp>BDP|16541536900949605159</stp>
        <tr r="F1770" s="2"/>
      </tp>
      <tp t="s">
        <v>#N/A N/A</v>
        <stp/>
        <stp>BDP|12981854600877018697</stp>
        <tr r="M1474" s="2"/>
      </tp>
      <tp t="s">
        <v>#N/A N/A</v>
        <stp/>
        <stp>BDP|14731157946378477252</stp>
        <tr r="M964" s="2"/>
      </tp>
      <tp t="s">
        <v>#N/A N/A</v>
        <stp/>
        <stp>BDP|14777987223024161084</stp>
        <tr r="T1984" s="2"/>
      </tp>
      <tp t="s">
        <v>#N/A N/A</v>
        <stp/>
        <stp>BDP|17666887638977324008</stp>
        <tr r="R348" s="2"/>
      </tp>
      <tp t="s">
        <v>#N/A N/A</v>
        <stp/>
        <stp>BDP|18347589628972134675</stp>
        <tr r="J2258" s="2"/>
      </tp>
      <tp t="s">
        <v>#N/A N/A</v>
        <stp/>
        <stp>BDP|17899592864816228920</stp>
        <tr r="F266" s="2"/>
      </tp>
      <tp t="s">
        <v>#N/A N/A</v>
        <stp/>
        <stp>BDP|16680961362517454538</stp>
        <tr r="R2210" s="2"/>
      </tp>
      <tp t="s">
        <v>#N/A N/A</v>
        <stp/>
        <stp>BDP|13001467882513029711</stp>
        <tr r="D1361" s="2"/>
      </tp>
      <tp t="s">
        <v>#N/A N/A</v>
        <stp/>
        <stp>BDP|15821037818498231743</stp>
        <tr r="N2010" s="2"/>
      </tp>
      <tp t="s">
        <v>#N/A N/A</v>
        <stp/>
        <stp>BDP|15735102395324034270</stp>
        <tr r="O1405" s="2"/>
      </tp>
      <tp t="s">
        <v>#N/A N/A</v>
        <stp/>
        <stp>BDP|15369926972271354156</stp>
        <tr r="N1067" s="2"/>
      </tp>
      <tp t="s">
        <v>#N/A N/A</v>
        <stp/>
        <stp>BDP|11353729512924579832</stp>
        <tr r="N1472" s="2"/>
      </tp>
      <tp t="s">
        <v>#N/A N/A</v>
        <stp/>
        <stp>BDP|11187344874647423908</stp>
        <tr r="P1617" s="2"/>
      </tp>
      <tp t="s">
        <v>#N/A N/A</v>
        <stp/>
        <stp>BDP|16760968971224253779</stp>
        <tr r="J1142" s="2"/>
      </tp>
      <tp t="s">
        <v>#N/A N/A</v>
        <stp/>
        <stp>BDP|16017012474413617966</stp>
        <tr r="H1108" s="2"/>
      </tp>
      <tp t="s">
        <v>#N/A N/A</v>
        <stp/>
        <stp>BDP|15343797791004760495</stp>
        <tr r="O1869" s="2"/>
      </tp>
      <tp t="s">
        <v>#N/A N/A</v>
        <stp/>
        <stp>BDP|14641747464217312900</stp>
        <tr r="Q459" s="2"/>
      </tp>
      <tp t="s">
        <v>#N/A N/A</v>
        <stp/>
        <stp>BDP|16147675910549275314</stp>
        <tr r="Q882" s="2"/>
      </tp>
      <tp t="s">
        <v>#N/A N/A</v>
        <stp/>
        <stp>BDP|13538803750530259527</stp>
        <tr r="O775" s="2"/>
      </tp>
      <tp t="s">
        <v>#N/A N/A</v>
        <stp/>
        <stp>BDP|12045952957992002778</stp>
        <tr r="S1835" s="2"/>
      </tp>
      <tp t="s">
        <v>#N/A N/A</v>
        <stp/>
        <stp>BDP|14166737397627997699</stp>
        <tr r="N336" s="2"/>
      </tp>
      <tp t="s">
        <v>#N/A N/A</v>
        <stp/>
        <stp>BDP|15069572243567612876</stp>
        <tr r="T759" s="2"/>
      </tp>
      <tp t="s">
        <v>#N/A N/A</v>
        <stp/>
        <stp>BDP|11068911945406339126</stp>
        <tr r="S27" s="2"/>
      </tp>
      <tp t="s">
        <v>#N/A N/A</v>
        <stp/>
        <stp>BDP|11403310930428540256</stp>
        <tr r="J509" s="2"/>
      </tp>
      <tp t="s">
        <v>#N/A N/A</v>
        <stp/>
        <stp>BDP|11658961565767813284</stp>
        <tr r="K246" s="2"/>
      </tp>
      <tp t="s">
        <v>#N/A N/A</v>
        <stp/>
        <stp>BDP|11869400375449130094</stp>
        <tr r="R442" s="2"/>
      </tp>
      <tp t="s">
        <v>#N/A N/A</v>
        <stp/>
        <stp>BDP|15928064282316880008</stp>
        <tr r="F728" s="2"/>
      </tp>
      <tp t="s">
        <v>#N/A N/A</v>
        <stp/>
        <stp>BDP|11635172813103068973</stp>
        <tr r="O1758" s="2"/>
      </tp>
      <tp t="s">
        <v>#N/A N/A</v>
        <stp/>
        <stp>BDP|18372967450637122811</stp>
        <tr r="T1312" s="2"/>
      </tp>
      <tp t="s">
        <v>#N/A N/A</v>
        <stp/>
        <stp>BDP|11045714091416456214</stp>
        <tr r="T1713" s="2"/>
      </tp>
      <tp t="s">
        <v>#N/A N/A</v>
        <stp/>
        <stp>BDP|12068890604820131199</stp>
        <tr r="Q1651" s="2"/>
      </tp>
      <tp t="s">
        <v>#N/A N/A</v>
        <stp/>
        <stp>BDP|10239392683470503081</stp>
        <tr r="G1596" s="2"/>
      </tp>
      <tp t="s">
        <v>#N/A N/A</v>
        <stp/>
        <stp>BDP|10423851792618560237</stp>
        <tr r="Q609" s="2"/>
      </tp>
      <tp t="s">
        <v>#N/A N/A</v>
        <stp/>
        <stp>BDP|12504429898380381496</stp>
        <tr r="S169" s="2"/>
      </tp>
      <tp t="s">
        <v>#N/A N/A</v>
        <stp/>
        <stp>BDP|10984646417104687893</stp>
        <tr r="E642" s="2"/>
      </tp>
      <tp t="s">
        <v>#N/A N/A</v>
        <stp/>
        <stp>BDP|12344388797814193789</stp>
        <tr r="M1520" s="2"/>
      </tp>
      <tp t="s">
        <v>#N/A N/A</v>
        <stp/>
        <stp>BDP|10072823753776694031</stp>
        <tr r="R1057" s="2"/>
      </tp>
      <tp t="s">
        <v>#N/A N/A</v>
        <stp/>
        <stp>BDP|15349163587284262348</stp>
        <tr r="E901" s="2"/>
      </tp>
      <tp t="s">
        <v>#N/A N/A</v>
        <stp/>
        <stp>BDP|16613437455814400805</stp>
        <tr r="K1459" s="2"/>
      </tp>
      <tp t="s">
        <v>#N/A N/A</v>
        <stp/>
        <stp>BDP|13366030737979546260</stp>
        <tr r="G2222" s="2"/>
      </tp>
      <tp t="s">
        <v>#N/A N/A</v>
        <stp/>
        <stp>BDP|17970358613468905622</stp>
        <tr r="T543" s="2"/>
      </tp>
      <tp t="s">
        <v>#N/A N/A</v>
        <stp/>
        <stp>BDP|10357269668748835711</stp>
        <tr r="P1381" s="2"/>
      </tp>
      <tp t="s">
        <v>#N/A N/A</v>
        <stp/>
        <stp>BDP|10945052316513899962</stp>
        <tr r="E18" s="2"/>
      </tp>
      <tp t="s">
        <v>#N/A N/A</v>
        <stp/>
        <stp>BDP|13750559592844289064</stp>
        <tr r="E1243" s="2"/>
      </tp>
      <tp t="s">
        <v>#N/A N/A</v>
        <stp/>
        <stp>BDP|11578974085238080331</stp>
        <tr r="H1618" s="2"/>
      </tp>
      <tp t="s">
        <v>#N/A N/A</v>
        <stp/>
        <stp>BDP|14370769491316561753</stp>
        <tr r="P1970" s="2"/>
      </tp>
      <tp t="s">
        <v>#N/A N/A</v>
        <stp/>
        <stp>BDP|17971009498120533504</stp>
        <tr r="N1020" s="2"/>
      </tp>
      <tp t="s">
        <v>#N/A N/A</v>
        <stp/>
        <stp>BDP|10199575012856933998</stp>
        <tr r="C1817" s="2"/>
      </tp>
      <tp t="s">
        <v>#N/A N/A</v>
        <stp/>
        <stp>BDP|11203975031715486545</stp>
        <tr r="N374" s="2"/>
      </tp>
      <tp t="s">
        <v>#N/A N/A</v>
        <stp/>
        <stp>BDP|17180059390254791175</stp>
        <tr r="G1817" s="2"/>
      </tp>
      <tp t="s">
        <v>#N/A N/A</v>
        <stp/>
        <stp>BDP|17410960893165369969</stp>
        <tr r="C191" s="2"/>
      </tp>
      <tp t="s">
        <v>#N/A N/A</v>
        <stp/>
        <stp>BDP|15736749906371104807</stp>
        <tr r="M1158" s="2"/>
      </tp>
      <tp t="s">
        <v>#N/A N/A</v>
        <stp/>
        <stp>BDP|10927318561098904644</stp>
        <tr r="F1851" s="2"/>
      </tp>
      <tp t="s">
        <v>#N/A N/A</v>
        <stp/>
        <stp>BDS|16943851901734256189</stp>
        <tr r="I1630" s="2"/>
      </tp>
      <tp t="s">
        <v>#N/A N/A</v>
        <stp/>
        <stp>BDP|12242990782989575184</stp>
        <tr r="O1864" s="2"/>
      </tp>
      <tp t="s">
        <v>#N/A N/A</v>
        <stp/>
        <stp>BDP|16780931230534277325</stp>
        <tr r="A1664" s="2"/>
      </tp>
      <tp t="s">
        <v>#N/A N/A</v>
        <stp/>
        <stp>BDP|18105239622205251660</stp>
        <tr r="Q362" s="2"/>
      </tp>
      <tp t="s">
        <v>#N/A N/A</v>
        <stp/>
        <stp>BDP|16986290200488248765</stp>
        <tr r="S1386" s="2"/>
      </tp>
      <tp t="s">
        <v>#N/A N/A</v>
        <stp/>
        <stp>BDP|11926833197889039297</stp>
        <tr r="S2006" s="2"/>
      </tp>
      <tp t="s">
        <v>#N/A N/A</v>
        <stp/>
        <stp>BDP|13890398692340063279</stp>
        <tr r="T649" s="2"/>
      </tp>
      <tp t="s">
        <v>#N/A N/A</v>
        <stp/>
        <stp>BDP|11087802524005902597</stp>
        <tr r="E1684" s="2"/>
      </tp>
      <tp t="s">
        <v>#N/A N/A</v>
        <stp/>
        <stp>BDP|11641360702160793911</stp>
        <tr r="F1353" s="2"/>
      </tp>
      <tp t="s">
        <v>#N/A N/A</v>
        <stp/>
        <stp>BDP|17551479884137214700</stp>
        <tr r="A650" s="2"/>
      </tp>
      <tp t="s">
        <v>#N/A N/A</v>
        <stp/>
        <stp>BDP|15027059464439719122</stp>
        <tr r="P1566" s="2"/>
      </tp>
      <tp t="s">
        <v>#N/A N/A</v>
        <stp/>
        <stp>BDP|13990267695755977672</stp>
        <tr r="S1388" s="2"/>
      </tp>
      <tp t="s">
        <v>#N/A N/A</v>
        <stp/>
        <stp>BDP|10513220882558857992</stp>
        <tr r="G912" s="2"/>
      </tp>
      <tp t="s">
        <v>#N/A N/A</v>
        <stp/>
        <stp>BDS|13349883446832247688</stp>
        <tr r="I372" s="2"/>
      </tp>
      <tp t="s">
        <v>#N/A N/A</v>
        <stp/>
        <stp>BDP|11543725673382856884</stp>
        <tr r="M593" s="2"/>
      </tp>
      <tp t="s">
        <v>#N/A N/A</v>
        <stp/>
        <stp>BDP|13242761527294255951</stp>
        <tr r="H728" s="2"/>
      </tp>
      <tp t="s">
        <v>#N/A N/A</v>
        <stp/>
        <stp>BDP|18365767347591414126</stp>
        <tr r="D580" s="2"/>
      </tp>
      <tp t="s">
        <v>#N/A N/A</v>
        <stp/>
        <stp>BDP|12816134845555251986</stp>
        <tr r="K1230" s="2"/>
      </tp>
      <tp t="s">
        <v>#N/A N/A</v>
        <stp/>
        <stp>BDP|13842138531998854263</stp>
        <tr r="F482" s="2"/>
      </tp>
      <tp t="s">
        <v>#N/A N/A</v>
        <stp/>
        <stp>BDP|13015734197771477746</stp>
        <tr r="C2012" s="2"/>
      </tp>
      <tp t="s">
        <v>#N/A N/A</v>
        <stp/>
        <stp>BDP|14335282657549177190</stp>
        <tr r="F796" s="2"/>
      </tp>
      <tp t="s">
        <v>#N/A N/A</v>
        <stp/>
        <stp>BDP|15692636402859641150</stp>
        <tr r="S1420" s="2"/>
      </tp>
      <tp t="s">
        <v>#N/A N/A</v>
        <stp/>
        <stp>BDP|15948053225264503887</stp>
        <tr r="J1089" s="2"/>
      </tp>
      <tp t="s">
        <v>#N/A N/A</v>
        <stp/>
        <stp>BDP|10499068402712252961</stp>
        <tr r="F2114" s="2"/>
      </tp>
      <tp t="s">
        <v>#N/A N/A</v>
        <stp/>
        <stp>BDP|16655305537444540902</stp>
        <tr r="J981" s="2"/>
      </tp>
      <tp t="s">
        <v>#N/A N/A</v>
        <stp/>
        <stp>BDP|12676866171825294372</stp>
        <tr r="Q1499" s="2"/>
      </tp>
      <tp t="s">
        <v>#N/A N/A</v>
        <stp/>
        <stp>BDP|16424160696145347035</stp>
        <tr r="N2095" s="2"/>
      </tp>
      <tp t="s">
        <v>#N/A N/A</v>
        <stp/>
        <stp>BDP|18243538824987071310</stp>
        <tr r="O1133" s="2"/>
      </tp>
      <tp t="s">
        <v>#N/A N/A</v>
        <stp/>
        <stp>BDP|13788924471355184316</stp>
        <tr r="A1759" s="2"/>
      </tp>
      <tp t="s">
        <v>#N/A N/A</v>
        <stp/>
        <stp>BDP|18314647414166169260</stp>
        <tr r="K740" s="2"/>
      </tp>
      <tp t="s">
        <v>#N/A N/A</v>
        <stp/>
        <stp>BDP|12398798795644971321</stp>
        <tr r="M282" s="2"/>
      </tp>
      <tp t="s">
        <v>#N/A N/A</v>
        <stp/>
        <stp>BDP|13384037542304383855</stp>
        <tr r="Q1965" s="2"/>
      </tp>
      <tp t="s">
        <v>#N/A N/A</v>
        <stp/>
        <stp>BDP|18403370048892783687</stp>
        <tr r="R828" s="2"/>
      </tp>
      <tp t="s">
        <v>#N/A N/A</v>
        <stp/>
        <stp>BDP|10626897823105919412</stp>
        <tr r="K1690" s="2"/>
      </tp>
      <tp t="s">
        <v>#N/A N/A</v>
        <stp/>
        <stp>BDP|17609681478495572875</stp>
        <tr r="J1341" s="2"/>
      </tp>
      <tp t="s">
        <v>#N/A N/A</v>
        <stp/>
        <stp>BDP|13974539370173602988</stp>
        <tr r="C960" s="2"/>
      </tp>
      <tp t="s">
        <v>#N/A N/A</v>
        <stp/>
        <stp>BDP|17475532909478859123</stp>
        <tr r="A1874" s="2"/>
      </tp>
      <tp t="s">
        <v>#N/A N/A</v>
        <stp/>
        <stp>BDP|11936965873261945516</stp>
        <tr r="T2103" s="2"/>
      </tp>
      <tp t="s">
        <v>#N/A N/A</v>
        <stp/>
        <stp>BDP|12397728879260921957</stp>
        <tr r="N972" s="2"/>
      </tp>
      <tp t="s">
        <v>#N/A N/A</v>
        <stp/>
        <stp>BDP|17003277423214666865</stp>
        <tr r="M233" s="2"/>
      </tp>
      <tp t="s">
        <v>#N/A N/A</v>
        <stp/>
        <stp>BDP|10404880638337274721</stp>
        <tr r="Q665" s="2"/>
      </tp>
      <tp t="s">
        <v>#N/A N/A</v>
        <stp/>
        <stp>BDP|12120614054729711375</stp>
        <tr r="K1054" s="2"/>
      </tp>
      <tp t="s">
        <v>#N/A N/A</v>
        <stp/>
        <stp>BDP|17358383327874083982</stp>
        <tr r="D573" s="2"/>
      </tp>
      <tp t="s">
        <v>#N/A N/A</v>
        <stp/>
        <stp>BDP|13107592169193374860</stp>
        <tr r="D1791" s="2"/>
      </tp>
      <tp t="s">
        <v>#N/A N/A</v>
        <stp/>
        <stp>BDP|14182809844834843799</stp>
        <tr r="F892" s="2"/>
      </tp>
      <tp t="s">
        <v>#N/A N/A</v>
        <stp/>
        <stp>BDP|12731346987373648166</stp>
        <tr r="E59" s="2"/>
      </tp>
      <tp t="s">
        <v>#N/A N/A</v>
        <stp/>
        <stp>BDP|10899569127074529886</stp>
        <tr r="C234" s="2"/>
      </tp>
      <tp t="s">
        <v>#N/A N/A</v>
        <stp/>
        <stp>BDP|16924305779009742037</stp>
        <tr r="T483" s="2"/>
      </tp>
      <tp t="s">
        <v>#N/A N/A</v>
        <stp/>
        <stp>BDP|15655754404801539851</stp>
        <tr r="T382" s="2"/>
      </tp>
      <tp t="s">
        <v>#N/A N/A</v>
        <stp/>
        <stp>BDP|14797624206891779839</stp>
        <tr r="S681" s="2"/>
      </tp>
      <tp t="s">
        <v>#N/A N/A</v>
        <stp/>
        <stp>BDP|13892481417429612466</stp>
        <tr r="J1256" s="2"/>
      </tp>
      <tp t="s">
        <v>#N/A N/A</v>
        <stp/>
        <stp>BDP|17593575591588338871</stp>
        <tr r="Q883" s="2"/>
      </tp>
      <tp t="s">
        <v>#N/A N/A</v>
        <stp/>
        <stp>BDP|10723346083176084676</stp>
        <tr r="G1543" s="2"/>
      </tp>
      <tp t="s">
        <v>#N/A N/A</v>
        <stp/>
        <stp>BDP|15037194900667997872</stp>
        <tr r="J278" s="2"/>
      </tp>
      <tp t="s">
        <v>#N/A N/A</v>
        <stp/>
        <stp>BDP|14700426694176584435</stp>
        <tr r="E1616" s="2"/>
      </tp>
      <tp t="s">
        <v>#N/A N/A</v>
        <stp/>
        <stp>BDP|15851791676418583652</stp>
        <tr r="P2081" s="2"/>
      </tp>
      <tp t="s">
        <v>#N/A N/A</v>
        <stp/>
        <stp>BDP|17347865920567444169</stp>
        <tr r="R1504" s="2"/>
      </tp>
      <tp t="s">
        <v>#N/A N/A</v>
        <stp/>
        <stp>BDP|15584085375468834173</stp>
        <tr r="C244" s="2"/>
      </tp>
      <tp t="s">
        <v>#N/A N/A</v>
        <stp/>
        <stp>BDS|11074333573908613625</stp>
        <tr r="I1260" s="2"/>
      </tp>
      <tp t="s">
        <v>#N/A N/A</v>
        <stp/>
        <stp>BDP|16095815471183047171</stp>
        <tr r="K123" s="2"/>
      </tp>
      <tp t="s">
        <v>#N/A N/A</v>
        <stp/>
        <stp>BDP|17804848698629019437</stp>
        <tr r="M1993" s="2"/>
      </tp>
      <tp t="s">
        <v>#N/A N/A</v>
        <stp/>
        <stp>BDP|16751559198848491995</stp>
        <tr r="S422" s="2"/>
      </tp>
      <tp t="s">
        <v>#N/A N/A</v>
        <stp/>
        <stp>BDP|12184852503458630965</stp>
        <tr r="K877" s="2"/>
      </tp>
      <tp t="s">
        <v>#N/A N/A</v>
        <stp/>
        <stp>BDP|18377435204332310508</stp>
        <tr r="Q1988" s="2"/>
      </tp>
      <tp t="s">
        <v>#N/A N/A</v>
        <stp/>
        <stp>BDP|16932309182287898149</stp>
        <tr r="G753" s="2"/>
      </tp>
      <tp t="s">
        <v>#N/A N/A</v>
        <stp/>
        <stp>BDP|17204628124860591861</stp>
        <tr r="S1831" s="2"/>
      </tp>
      <tp t="s">
        <v>#N/A N/A</v>
        <stp/>
        <stp>BDP|11731948666125550070</stp>
        <tr r="Q817" s="2"/>
      </tp>
      <tp t="s">
        <v>#N/A N/A</v>
        <stp/>
        <stp>BDP|12885219157928062691</stp>
        <tr r="K1822" s="2"/>
      </tp>
      <tp t="s">
        <v>#N/A N/A</v>
        <stp/>
        <stp>BDP|11377405243519612319</stp>
        <tr r="J351" s="2"/>
      </tp>
      <tp t="s">
        <v>#N/A N/A</v>
        <stp/>
        <stp>BDP|11259282269178415609</stp>
        <tr r="A331" s="2"/>
      </tp>
      <tp t="s">
        <v>#N/A N/A</v>
        <stp/>
        <stp>BDP|12653988218519048812</stp>
        <tr r="O940" s="2"/>
      </tp>
      <tp t="s">
        <v>#N/A N/A</v>
        <stp/>
        <stp>BDP|17352349681265995289</stp>
        <tr r="M1302" s="2"/>
      </tp>
      <tp t="s">
        <v>#N/A N/A</v>
        <stp/>
        <stp>BDP|16641534613759681071</stp>
        <tr r="J1763" s="2"/>
      </tp>
      <tp t="s">
        <v>#N/A N/A</v>
        <stp/>
        <stp>BDP|14007159971398245110</stp>
        <tr r="G112" s="2"/>
      </tp>
      <tp t="s">
        <v>#N/A N/A</v>
        <stp/>
        <stp>BDP|12781529159550313988</stp>
        <tr r="E2138" s="2"/>
      </tp>
      <tp t="s">
        <v>#N/A N/A</v>
        <stp/>
        <stp>BDP|15315530796432097011</stp>
        <tr r="J373" s="2"/>
      </tp>
      <tp t="s">
        <v>#N/A N/A</v>
        <stp/>
        <stp>BDP|17747278696505557241</stp>
        <tr r="C259" s="2"/>
      </tp>
      <tp t="s">
        <v>#N/A N/A</v>
        <stp/>
        <stp>BDP|11728519184026169140</stp>
        <tr r="N1261" s="2"/>
      </tp>
      <tp t="s">
        <v>#N/A N/A</v>
        <stp/>
        <stp>BDP|15121436994654281736</stp>
        <tr r="E858" s="2"/>
      </tp>
      <tp t="s">
        <v>#N/A N/A</v>
        <stp/>
        <stp>BDP|16279667127759226069</stp>
        <tr r="E848" s="2"/>
      </tp>
      <tp t="s">
        <v>#N/A N/A</v>
        <stp/>
        <stp>BDP|12979224796921959333</stp>
        <tr r="G191" s="2"/>
      </tp>
      <tp t="s">
        <v>#N/A N/A</v>
        <stp/>
        <stp>BDP|16087857152219050904</stp>
        <tr r="O641" s="2"/>
      </tp>
      <tp t="s">
        <v>#N/A N/A</v>
        <stp/>
        <stp>BDP|17586277046212010830</stp>
        <tr r="E2159" s="2"/>
      </tp>
      <tp t="s">
        <v>#N/A N/A</v>
        <stp/>
        <stp>BDS|18117301842010070474</stp>
        <tr r="I508" s="2"/>
      </tp>
      <tp t="s">
        <v>#N/A N/A</v>
        <stp/>
        <stp>BDP|14243134411858099772</stp>
        <tr r="J1438" s="2"/>
      </tp>
      <tp t="s">
        <v>#N/A N/A</v>
        <stp/>
        <stp>BDP|12932742108808496663</stp>
        <tr r="G944" s="2"/>
      </tp>
      <tp t="s">
        <v>#N/A N/A</v>
        <stp/>
        <stp>BDP|17247357730588225426</stp>
        <tr r="R176" s="2"/>
      </tp>
      <tp t="s">
        <v>#N/A N/A</v>
        <stp/>
        <stp>BDP|15657926272582473253</stp>
        <tr r="M2073" s="2"/>
      </tp>
      <tp t="s">
        <v>#N/A N/A</v>
        <stp/>
        <stp>BDP|17800320239754329877</stp>
        <tr r="J1745" s="2"/>
      </tp>
      <tp t="s">
        <v>#N/A N/A</v>
        <stp/>
        <stp>BDP|16545593136272877950</stp>
        <tr r="C953" s="2"/>
      </tp>
      <tp t="s">
        <v>#N/A N/A</v>
        <stp/>
        <stp>BDP|10159953174664002171</stp>
        <tr r="R1082" s="2"/>
      </tp>
      <tp t="s">
        <v>#N/A N/A</v>
        <stp/>
        <stp>BDP|17000087996606905300</stp>
        <tr r="S984" s="2"/>
      </tp>
      <tp t="s">
        <v>#N/A N/A</v>
        <stp/>
        <stp>BDP|10759511861780571855</stp>
        <tr r="R1440" s="2"/>
      </tp>
      <tp t="s">
        <v>#N/A N/A</v>
        <stp/>
        <stp>BDP|10563501823259569542</stp>
        <tr r="T161" s="2"/>
      </tp>
      <tp t="s">
        <v>#N/A N/A</v>
        <stp/>
        <stp>BDP|15971737199021481109</stp>
        <tr r="R679" s="2"/>
      </tp>
      <tp t="s">
        <v>#N/A N/A</v>
        <stp/>
        <stp>BDP|13709160156115204921</stp>
        <tr r="J1140" s="2"/>
      </tp>
      <tp t="s">
        <v>#N/A N/A</v>
        <stp/>
        <stp>BDP|11992208519198560126</stp>
        <tr r="C1078" s="2"/>
      </tp>
      <tp t="s">
        <v>#N/A N/A</v>
        <stp/>
        <stp>BDP|17843802616764178186</stp>
        <tr r="C1600" s="2"/>
      </tp>
      <tp t="s">
        <v>#N/A N/A</v>
        <stp/>
        <stp>BDP|11217010536160391919</stp>
        <tr r="R1500" s="2"/>
      </tp>
      <tp t="s">
        <v>#N/A N/A</v>
        <stp/>
        <stp>BDP|13382813459970465584</stp>
        <tr r="T95" s="2"/>
      </tp>
      <tp t="s">
        <v>#N/A N/A</v>
        <stp/>
        <stp>BDP|10364503380440474606</stp>
        <tr r="Q391" s="2"/>
      </tp>
      <tp t="s">
        <v>#N/A N/A</v>
        <stp/>
        <stp>BDP|12225942534637142442</stp>
        <tr r="N39" s="2"/>
      </tp>
      <tp t="s">
        <v>#N/A N/A</v>
        <stp/>
        <stp>BDS|11554481064031429991</stp>
        <tr r="I392" s="2"/>
      </tp>
      <tp t="s">
        <v>#N/A N/A</v>
        <stp/>
        <stp>BDP|18126550913203437444</stp>
        <tr r="P283" s="2"/>
      </tp>
      <tp t="s">
        <v>#N/A N/A</v>
        <stp/>
        <stp>BDP|14311340663228515265</stp>
        <tr r="K1214" s="2"/>
      </tp>
      <tp t="s">
        <v>#N/A N/A</v>
        <stp/>
        <stp>BDP|11043273599056041794</stp>
        <tr r="P1976" s="2"/>
      </tp>
      <tp t="s">
        <v>#N/A N/A</v>
        <stp/>
        <stp>BDP|11591106055697794906</stp>
        <tr r="J184" s="2"/>
      </tp>
      <tp t="s">
        <v>#N/A N/A</v>
        <stp/>
        <stp>BDP|11948421596037252086</stp>
        <tr r="J121" s="2"/>
      </tp>
      <tp t="s">
        <v>#N/A N/A</v>
        <stp/>
        <stp>BDP|16001855981305616851</stp>
        <tr r="P533" s="2"/>
      </tp>
      <tp t="s">
        <v>#N/A N/A</v>
        <stp/>
        <stp>BDP|17866628168575680935</stp>
        <tr r="A435" s="2"/>
      </tp>
      <tp t="s">
        <v>#N/A N/A</v>
        <stp/>
        <stp>BDP|13083150570339146739</stp>
        <tr r="P70" s="2"/>
      </tp>
      <tp t="s">
        <v>#N/A N/A</v>
        <stp/>
        <stp>BDP|10976781497444408157</stp>
        <tr r="G92" s="2"/>
      </tp>
      <tp t="s">
        <v>#N/A N/A</v>
        <stp/>
        <stp>BDP|13552659606977009910</stp>
        <tr r="P1957" s="2"/>
      </tp>
      <tp t="s">
        <v>#N/A N/A</v>
        <stp/>
        <stp>BDP|17123031354101731864</stp>
        <tr r="N1718" s="2"/>
      </tp>
      <tp t="s">
        <v>#N/A N/A</v>
        <stp/>
        <stp>BDP|17370858393829360414</stp>
        <tr r="G481" s="2"/>
      </tp>
      <tp t="s">
        <v>#N/A N/A</v>
        <stp/>
        <stp>BDP|10282668161642057926</stp>
        <tr r="F1168" s="2"/>
      </tp>
      <tp t="s">
        <v>#N/A N/A</v>
        <stp/>
        <stp>BDP|12918680966791460844</stp>
        <tr r="C2137" s="2"/>
      </tp>
      <tp t="s">
        <v>#N/A N/A</v>
        <stp/>
        <stp>BDS|11552814776360759513</stp>
        <tr r="I2164" s="2"/>
      </tp>
      <tp t="s">
        <v>#N/A N/A</v>
        <stp/>
        <stp>BDP|14543518322828097019</stp>
        <tr r="D1972" s="2"/>
      </tp>
      <tp t="s">
        <v>#N/A N/A</v>
        <stp/>
        <stp>BDP|12727574473682034958</stp>
        <tr r="O800" s="2"/>
      </tp>
      <tp t="s">
        <v>#N/A N/A</v>
        <stp/>
        <stp>BDP|14835040831864365886</stp>
        <tr r="P1383" s="2"/>
      </tp>
      <tp t="s">
        <v>#N/A N/A</v>
        <stp/>
        <stp>BDP|10974849239066308615</stp>
        <tr r="T1718" s="2"/>
      </tp>
      <tp t="s">
        <v>#N/A N/A</v>
        <stp/>
        <stp>BDP|13192521018295961947</stp>
        <tr r="D2034" s="2"/>
      </tp>
      <tp t="s">
        <v>#N/A N/A</v>
        <stp/>
        <stp>BDP|17350914813610483434</stp>
        <tr r="T1723" s="2"/>
      </tp>
      <tp t="s">
        <v>#N/A N/A</v>
        <stp/>
        <stp>BDS|17562750595751092303</stp>
        <tr r="I2213" s="2"/>
      </tp>
      <tp t="s">
        <v>#N/A N/A</v>
        <stp/>
        <stp>BDP|10174661681871407445</stp>
        <tr r="H2078" s="2"/>
      </tp>
      <tp t="s">
        <v>#N/A N/A</v>
        <stp/>
        <stp>BDP|13555952860575796211</stp>
        <tr r="K2156" s="2"/>
      </tp>
      <tp t="s">
        <v>#N/A N/A</v>
        <stp/>
        <stp>BDP|16074901253685281472</stp>
        <tr r="F1654" s="2"/>
      </tp>
      <tp t="s">
        <v>#N/A N/A</v>
        <stp/>
        <stp>BDP|12562760837949407465</stp>
        <tr r="S480" s="2"/>
      </tp>
      <tp t="s">
        <v>#N/A N/A</v>
        <stp/>
        <stp>BDP|10007875860956709366</stp>
        <tr r="D1747" s="2"/>
      </tp>
      <tp t="s">
        <v>#N/A N/A</v>
        <stp/>
        <stp>BDP|14265289709415650834</stp>
        <tr r="R1997" s="2"/>
      </tp>
      <tp t="s">
        <v>#N/A N/A</v>
        <stp/>
        <stp>BDP|11580438880965382338</stp>
        <tr r="O1789" s="2"/>
      </tp>
      <tp t="s">
        <v>#N/A N/A</v>
        <stp/>
        <stp>BDP|13083948822073980091</stp>
        <tr r="F1102" s="2"/>
      </tp>
      <tp t="s">
        <v>#N/A N/A</v>
        <stp/>
        <stp>BDP|10645672922298090754</stp>
        <tr r="A1299" s="2"/>
      </tp>
      <tp t="s">
        <v>#N/A N/A</v>
        <stp/>
        <stp>BDP|16096303251108021370</stp>
        <tr r="H1919" s="2"/>
      </tp>
      <tp t="s">
        <v>#N/A N/A</v>
        <stp/>
        <stp>BDP|11456786083296082391</stp>
        <tr r="D630" s="2"/>
      </tp>
      <tp t="s">
        <v>#N/A N/A</v>
        <stp/>
        <stp>BDP|12566797588482196434</stp>
        <tr r="F1186" s="2"/>
      </tp>
      <tp t="s">
        <v>#N/A N/A</v>
        <stp/>
        <stp>BDP|16780195888710143416</stp>
        <tr r="S1916" s="2"/>
      </tp>
      <tp t="s">
        <v>#N/A N/A</v>
        <stp/>
        <stp>BDP|10576017503463584843</stp>
        <tr r="A1131" s="2"/>
      </tp>
      <tp t="s">
        <v>#N/A N/A</v>
        <stp/>
        <stp>BDS|12876877964211951679</stp>
        <tr r="I91" s="2"/>
      </tp>
      <tp t="s">
        <v>#N/A N/A</v>
        <stp/>
        <stp>BDP|16551145965803433965</stp>
        <tr r="M932" s="2"/>
      </tp>
      <tp t="s">
        <v>#N/A N/A</v>
        <stp/>
        <stp>BDP|12048843567885154244</stp>
        <tr r="H2015" s="2"/>
      </tp>
      <tp t="s">
        <v>#N/A N/A</v>
        <stp/>
        <stp>BDS|14952861565141620099</stp>
        <tr r="I1197" s="2"/>
      </tp>
      <tp t="s">
        <v>#N/A N/A</v>
        <stp/>
        <stp>BDP|18416515872354599540</stp>
        <tr r="A1275" s="2"/>
      </tp>
      <tp t="s">
        <v>#N/A N/A</v>
        <stp/>
        <stp>BDP|11524306108480383985</stp>
        <tr r="R1862" s="2"/>
      </tp>
      <tp t="s">
        <v>#N/A N/A</v>
        <stp/>
        <stp>BDP|12287701926149664543</stp>
        <tr r="C572" s="2"/>
      </tp>
      <tp t="s">
        <v>#N/A N/A</v>
        <stp/>
        <stp>BDP|16985603608892762908</stp>
        <tr r="Q2174" s="2"/>
      </tp>
      <tp t="s">
        <v>#N/A N/A</v>
        <stp/>
        <stp>BDP|10117314042848100450</stp>
        <tr r="S1979" s="2"/>
      </tp>
      <tp t="s">
        <v>#N/A N/A</v>
        <stp/>
        <stp>BDP|10093176263388327412</stp>
        <tr r="K1659" s="2"/>
      </tp>
      <tp t="s">
        <v>#N/A N/A</v>
        <stp/>
        <stp>BDP|12674825813600792061</stp>
        <tr r="S1432" s="2"/>
      </tp>
      <tp t="s">
        <v>#N/A N/A</v>
        <stp/>
        <stp>BDP|13427763675839904185</stp>
        <tr r="C763" s="2"/>
      </tp>
      <tp t="s">
        <v>#N/A N/A</v>
        <stp/>
        <stp>BDP|10184060757707771914</stp>
        <tr r="E591" s="2"/>
      </tp>
      <tp t="s">
        <v>#N/A N/A</v>
        <stp/>
        <stp>BDP|12973561738419408651</stp>
        <tr r="D404" s="2"/>
      </tp>
      <tp t="s">
        <v>#N/A N/A</v>
        <stp/>
        <stp>BDP|13137915278424981279</stp>
        <tr r="O1260" s="2"/>
      </tp>
      <tp t="s">
        <v>#N/A N/A</v>
        <stp/>
        <stp>BDS|15413411396553764010</stp>
        <tr r="I1835" s="2"/>
      </tp>
      <tp t="s">
        <v>#N/A N/A</v>
        <stp/>
        <stp>BDP|12549425484606450310</stp>
        <tr r="S1320" s="2"/>
      </tp>
      <tp t="s">
        <v>#N/A N/A</v>
        <stp/>
        <stp>BDP|12558347856289107602</stp>
        <tr r="O2183" s="2"/>
      </tp>
      <tp t="s">
        <v>#N/A N/A</v>
        <stp/>
        <stp>BDP|12560842153085441102</stp>
        <tr r="J1924" s="2"/>
      </tp>
      <tp t="s">
        <v>#N/A N/A</v>
        <stp/>
        <stp>BDP|18040513739171971473</stp>
        <tr r="M935" s="2"/>
      </tp>
      <tp t="s">
        <v>#N/A N/A</v>
        <stp/>
        <stp>BDP|15673771192544748426</stp>
        <tr r="G386" s="2"/>
      </tp>
      <tp t="s">
        <v>#N/A N/A</v>
        <stp/>
        <stp>BDP|17769250485453206533</stp>
        <tr r="M1018" s="2"/>
      </tp>
      <tp t="s">
        <v>#N/A N/A</v>
        <stp/>
        <stp>BDP|15454652180091308146</stp>
        <tr r="N890" s="2"/>
      </tp>
      <tp t="s">
        <v>#N/A N/A</v>
        <stp/>
        <stp>BDP|10136967243554597279</stp>
        <tr r="K748" s="2"/>
      </tp>
      <tp t="s">
        <v>#N/A N/A</v>
        <stp/>
        <stp>BDP|17614494179356333934</stp>
        <tr r="S1522" s="2"/>
      </tp>
      <tp t="s">
        <v>#N/A N/A</v>
        <stp/>
        <stp>BDP|10018426481934198347</stp>
        <tr r="K1586" s="2"/>
      </tp>
      <tp t="s">
        <v>#N/A N/A</v>
        <stp/>
        <stp>BDP|11844490417458033703</stp>
        <tr r="C1833" s="2"/>
      </tp>
      <tp t="s">
        <v>#N/A N/A</v>
        <stp/>
        <stp>BDP|13747372915832682851</stp>
        <tr r="R1824" s="2"/>
      </tp>
      <tp t="s">
        <v>#N/A N/A</v>
        <stp/>
        <stp>BDP|14775183898666555140</stp>
        <tr r="O1027" s="2"/>
      </tp>
      <tp t="s">
        <v>#N/A N/A</v>
        <stp/>
        <stp>BDP|17756418539998812312</stp>
        <tr r="T1273" s="2"/>
      </tp>
      <tp t="s">
        <v>#N/A N/A</v>
        <stp/>
        <stp>BDS|12993615288594568308</stp>
        <tr r="I103" s="2"/>
      </tp>
      <tp t="s">
        <v>#N/A N/A</v>
        <stp/>
        <stp>BDP|16732910116146144371</stp>
        <tr r="S1658" s="2"/>
      </tp>
      <tp t="s">
        <v>#N/A N/A</v>
        <stp/>
        <stp>BDP|17409512089773331290</stp>
        <tr r="J442" s="2"/>
      </tp>
      <tp t="s">
        <v>#N/A N/A</v>
        <stp/>
        <stp>BDP|10368464965631256847</stp>
        <tr r="R810" s="2"/>
      </tp>
      <tp t="s">
        <v>#N/A N/A</v>
        <stp/>
        <stp>BDP|12269873802564450550</stp>
        <tr r="Q516" s="2"/>
      </tp>
      <tp t="s">
        <v>#N/A N/A</v>
        <stp/>
        <stp>BDP|13598419833466631972</stp>
        <tr r="N1529" s="2"/>
      </tp>
      <tp t="s">
        <v>#N/A N/A</v>
        <stp/>
        <stp>BDP|18183628316561267516</stp>
        <tr r="C2233" s="2"/>
      </tp>
      <tp t="s">
        <v>#N/A N/A</v>
        <stp/>
        <stp>BDP|16674375472769365066</stp>
        <tr r="E976" s="2"/>
      </tp>
      <tp t="s">
        <v>#N/A N/A</v>
        <stp/>
        <stp>BDP|17304771755077227956</stp>
        <tr r="G952" s="2"/>
      </tp>
      <tp t="s">
        <v>#N/A N/A</v>
        <stp/>
        <stp>BDP|11318953427296249750</stp>
        <tr r="G694" s="2"/>
      </tp>
      <tp t="s">
        <v>#N/A N/A</v>
        <stp/>
        <stp>BDP|12978864713691879126</stp>
        <tr r="N1732" s="2"/>
      </tp>
      <tp t="s">
        <v>#N/A N/A</v>
        <stp/>
        <stp>BDP|16669838506861252477</stp>
        <tr r="M2005" s="2"/>
      </tp>
      <tp t="s">
        <v>#N/A N/A</v>
        <stp/>
        <stp>BDP|14777937773326428755</stp>
        <tr r="P1195" s="2"/>
      </tp>
      <tp t="s">
        <v>#N/A N/A</v>
        <stp/>
        <stp>BDP|15434021920298061402</stp>
        <tr r="P727" s="2"/>
      </tp>
      <tp t="s">
        <v>#N/A N/A</v>
        <stp/>
        <stp>BDP|14754974302473457504</stp>
        <tr r="P471" s="2"/>
      </tp>
      <tp t="s">
        <v>#N/A N/A</v>
        <stp/>
        <stp>BDP|13538297713769958202</stp>
        <tr r="E1342" s="2"/>
      </tp>
      <tp t="s">
        <v>#N/A N/A</v>
        <stp/>
        <stp>BDP|13975441950128383274</stp>
        <tr r="Q1171" s="2"/>
      </tp>
      <tp t="s">
        <v>#N/A N/A</v>
        <stp/>
        <stp>BDP|14447976405861992468</stp>
        <tr r="F946" s="2"/>
      </tp>
      <tp t="s">
        <v>#N/A N/A</v>
        <stp/>
        <stp>BDP|13021851069812751725</stp>
        <tr r="Q1290" s="2"/>
      </tp>
      <tp t="s">
        <v>#N/A N/A</v>
        <stp/>
        <stp>BDP|18429169234457952560</stp>
        <tr r="H306" s="2"/>
      </tp>
      <tp t="s">
        <v>#N/A N/A</v>
        <stp/>
        <stp>BDP|18101740118692487404</stp>
        <tr r="K2189" s="2"/>
      </tp>
      <tp t="s">
        <v>#N/A N/A</v>
        <stp/>
        <stp>BDP|10215953084199295080</stp>
        <tr r="P2216" s="2"/>
      </tp>
      <tp t="s">
        <v>#N/A N/A</v>
        <stp/>
        <stp>BDP|16354060985303957509</stp>
        <tr r="T481" s="2"/>
      </tp>
      <tp t="s">
        <v>#N/A N/A</v>
        <stp/>
        <stp>BDP|14578272989971123734</stp>
        <tr r="H1666" s="2"/>
      </tp>
      <tp t="s">
        <v>#N/A N/A</v>
        <stp/>
        <stp>BDP|15436312478868606123</stp>
        <tr r="O907" s="2"/>
      </tp>
      <tp t="s">
        <v>#N/A N/A</v>
        <stp/>
        <stp>BDP|11202193530429578279</stp>
        <tr r="O1612" s="2"/>
      </tp>
      <tp t="s">
        <v>#N/A N/A</v>
        <stp/>
        <stp>BDP|12728623541870972847</stp>
        <tr r="D643" s="2"/>
      </tp>
      <tp t="s">
        <v>#N/A N/A</v>
        <stp/>
        <stp>BDP|12606857786879437385</stp>
        <tr r="C1620" s="2"/>
      </tp>
      <tp t="s">
        <v>#N/A N/A</v>
        <stp/>
        <stp>BDP|11910640625648380526</stp>
        <tr r="H1604" s="2"/>
      </tp>
      <tp t="s">
        <v>#N/A N/A</v>
        <stp/>
        <stp>BDP|17011562672525889856</stp>
        <tr r="P1963" s="2"/>
      </tp>
      <tp t="s">
        <v>#N/A N/A</v>
        <stp/>
        <stp>BDP|15160129889625765147</stp>
        <tr r="E1275" s="2"/>
      </tp>
      <tp t="s">
        <v>#N/A N/A</v>
        <stp/>
        <stp>BDP|12302027828479259129</stp>
        <tr r="R522" s="2"/>
      </tp>
      <tp t="s">
        <v>#N/A N/A</v>
        <stp/>
        <stp>BDP|11040184132379081234</stp>
        <tr r="H201" s="2"/>
      </tp>
      <tp t="s">
        <v>#N/A N/A</v>
        <stp/>
        <stp>BDP|12895618617918734504</stp>
        <tr r="E1162" s="2"/>
      </tp>
      <tp t="s">
        <v>#N/A N/A</v>
        <stp/>
        <stp>BDP|12105582635428381461</stp>
        <tr r="S337" s="2"/>
      </tp>
      <tp t="s">
        <v>#N/A N/A</v>
        <stp/>
        <stp>BDP|13140847504804929717</stp>
        <tr r="R1536" s="2"/>
      </tp>
      <tp t="s">
        <v>#N/A N/A</v>
        <stp/>
        <stp>BDP|17688941128003645753</stp>
        <tr r="K1979" s="2"/>
      </tp>
      <tp t="s">
        <v>#N/A N/A</v>
        <stp/>
        <stp>BDP|15749636755966830806</stp>
        <tr r="K1987" s="2"/>
      </tp>
      <tp t="s">
        <v>#N/A N/A</v>
        <stp/>
        <stp>BDP|15064362898467790007</stp>
        <tr r="A1311" s="2"/>
      </tp>
      <tp t="s">
        <v>#N/A N/A</v>
        <stp/>
        <stp>BDP|10203997556525644128</stp>
        <tr r="N43" s="2"/>
      </tp>
      <tp t="s">
        <v>#N/A N/A</v>
        <stp/>
        <stp>BDP|10711874171832088588</stp>
        <tr r="A202" s="2"/>
      </tp>
      <tp t="s">
        <v>#N/A N/A</v>
        <stp/>
        <stp>BDP|16630169698370564642</stp>
        <tr r="F822" s="2"/>
      </tp>
      <tp t="s">
        <v>#N/A N/A</v>
        <stp/>
        <stp>BDP|18203220617646931578</stp>
        <tr r="K2233" s="2"/>
      </tp>
      <tp t="s">
        <v>#N/A N/A</v>
        <stp/>
        <stp>BDP|11930863033486207478</stp>
        <tr r="F1138" s="2"/>
      </tp>
      <tp t="s">
        <v>#N/A N/A</v>
        <stp/>
        <stp>BDP|15154467203451521888</stp>
        <tr r="M242" s="2"/>
      </tp>
      <tp t="s">
        <v>#N/A N/A</v>
        <stp/>
        <stp>BDP|16499874778915356412</stp>
        <tr r="H1662" s="2"/>
      </tp>
      <tp t="s">
        <v>#N/A N/A</v>
        <stp/>
        <stp>BDP|12965955670601316567</stp>
        <tr r="E2212" s="2"/>
      </tp>
      <tp t="s">
        <v>#N/A N/A</v>
        <stp/>
        <stp>BDP|14280990751146595663</stp>
        <tr r="T1991" s="2"/>
      </tp>
      <tp t="s">
        <v>#N/A N/A</v>
        <stp/>
        <stp>BDP|13876046191442013047</stp>
        <tr r="K354" s="2"/>
      </tp>
      <tp t="s">
        <v>#N/A N/A</v>
        <stp/>
        <stp>BDP|11838167165338749650</stp>
        <tr r="K1154" s="2"/>
      </tp>
      <tp t="s">
        <v>#N/A N/A</v>
        <stp/>
        <stp>BDP|16276190162070642960</stp>
        <tr r="P616" s="2"/>
      </tp>
      <tp t="s">
        <v>#N/A N/A</v>
        <stp/>
        <stp>BDP|15316571827818220288</stp>
        <tr r="D2157" s="2"/>
      </tp>
      <tp t="s">
        <v>#N/A N/A</v>
        <stp/>
        <stp>BDP|15427371835008825573</stp>
        <tr r="G886" s="2"/>
      </tp>
      <tp t="s">
        <v>#N/A N/A</v>
        <stp/>
        <stp>BDP|17616530890243879046</stp>
        <tr r="C1276" s="2"/>
      </tp>
      <tp t="s">
        <v>#N/A N/A</v>
        <stp/>
        <stp>BDP|11095069993689968951</stp>
        <tr r="G1941" s="2"/>
      </tp>
      <tp t="s">
        <v>#N/A N/A</v>
        <stp/>
        <stp>BDP|11505626386734939313</stp>
        <tr r="E1194" s="2"/>
      </tp>
      <tp t="s">
        <v>#N/A N/A</v>
        <stp/>
        <stp>BDP|12613940040390225791</stp>
        <tr r="G1906" s="2"/>
      </tp>
      <tp t="s">
        <v>#N/A N/A</v>
        <stp/>
        <stp>BDP|16908918221816524353</stp>
        <tr r="S1032" s="2"/>
      </tp>
      <tp t="s">
        <v>#N/A N/A</v>
        <stp/>
        <stp>BDP|15983316430559680472</stp>
        <tr r="H1629" s="2"/>
      </tp>
      <tp t="s">
        <v>#N/A N/A</v>
        <stp/>
        <stp>BDS|12231507398206768070</stp>
        <tr r="I2216" s="2"/>
      </tp>
      <tp t="s">
        <v>#N/A N/A</v>
        <stp/>
        <stp>BDP|15736993362557745521</stp>
        <tr r="A1147" s="2"/>
      </tp>
      <tp t="s">
        <v>#N/A N/A</v>
        <stp/>
        <stp>BDP|13053104541017156994</stp>
        <tr r="Q1402" s="2"/>
      </tp>
      <tp t="s">
        <v>#N/A N/A</v>
        <stp/>
        <stp>BDP|13904896772845285196</stp>
        <tr r="O1129" s="2"/>
      </tp>
      <tp t="s">
        <v>#N/A N/A</v>
        <stp/>
        <stp>BDP|16336584182515944696</stp>
        <tr r="H920" s="2"/>
      </tp>
      <tp t="s">
        <v>#N/A N/A</v>
        <stp/>
        <stp>BDP|16818933176545690529</stp>
        <tr r="M503" s="2"/>
      </tp>
      <tp t="s">
        <v>#N/A N/A</v>
        <stp/>
        <stp>BDP|11995526320026498861</stp>
        <tr r="N1164" s="2"/>
      </tp>
      <tp t="s">
        <v>#N/A N/A</v>
        <stp/>
        <stp>BDP|15363814830664832230</stp>
        <tr r="O352" s="2"/>
      </tp>
      <tp t="s">
        <v>#N/A N/A</v>
        <stp/>
        <stp>BDP|16507821455091314287</stp>
        <tr r="A1432" s="2"/>
      </tp>
      <tp t="s">
        <v>#N/A N/A</v>
        <stp/>
        <stp>BDP|14543573063119186699</stp>
        <tr r="P569" s="2"/>
      </tp>
      <tp t="s">
        <v>#N/A N/A</v>
        <stp/>
        <stp>BDP|16060802669714216425</stp>
        <tr r="M795" s="2"/>
      </tp>
      <tp t="s">
        <v>#N/A N/A</v>
        <stp/>
        <stp>BDP|10584842254972903754</stp>
        <tr r="Q563" s="2"/>
      </tp>
      <tp t="s">
        <v>#N/A N/A</v>
        <stp/>
        <stp>BDP|10761700518296144876</stp>
        <tr r="A2119" s="2"/>
      </tp>
      <tp t="s">
        <v>#N/A N/A</v>
        <stp/>
        <stp>BDP|14109897071457255420</stp>
        <tr r="T875" s="2"/>
      </tp>
      <tp t="s">
        <v>#N/A N/A</v>
        <stp/>
        <stp>BDP|17928061047849554248</stp>
        <tr r="R1336" s="2"/>
      </tp>
      <tp t="s">
        <v>#N/A N/A</v>
        <stp/>
        <stp>BDP|12004818779380191504</stp>
        <tr r="J1071" s="2"/>
      </tp>
      <tp t="s">
        <v>#N/A N/A</v>
        <stp/>
        <stp>BDP|12653914722065845443</stp>
        <tr r="Q2212" s="2"/>
      </tp>
      <tp t="s">
        <v>#N/A N/A</v>
        <stp/>
        <stp>BDP|14978109233127736949</stp>
        <tr r="J810" s="2"/>
      </tp>
      <tp t="s">
        <v>#N/A N/A</v>
        <stp/>
        <stp>BDP|13458146899400229320</stp>
        <tr r="C1119" s="2"/>
      </tp>
      <tp t="s">
        <v>#N/A N/A</v>
        <stp/>
        <stp>BDP|16814832358152358192</stp>
        <tr r="C1115" s="2"/>
      </tp>
      <tp t="s">
        <v>#N/A N/A</v>
        <stp/>
        <stp>BDS|17200609549075085814</stp>
        <tr r="I1065" s="2"/>
      </tp>
      <tp t="s">
        <v>#N/A N/A</v>
        <stp/>
        <stp>BDP|10821178231978435235</stp>
        <tr r="E893" s="2"/>
      </tp>
      <tp t="s">
        <v>#N/A N/A</v>
        <stp/>
        <stp>BDP|13259140801448816264</stp>
        <tr r="H2248" s="2"/>
      </tp>
      <tp t="s">
        <v>#N/A N/A</v>
        <stp/>
        <stp>BDP|17681888956346991491</stp>
        <tr r="Q236" s="2"/>
      </tp>
      <tp t="s">
        <v>#N/A N/A</v>
        <stp/>
        <stp>BDP|11426274596054880655</stp>
        <tr r="D582" s="2"/>
      </tp>
      <tp t="s">
        <v>#N/A N/A</v>
        <stp/>
        <stp>BDP|17577819778295723534</stp>
        <tr r="N1632" s="2"/>
      </tp>
      <tp t="s">
        <v>#N/A N/A</v>
        <stp/>
        <stp>BDP|16273491160958550460</stp>
        <tr r="A327" s="2"/>
      </tp>
      <tp t="s">
        <v>#N/A N/A</v>
        <stp/>
        <stp>BDP|11433653595806506092</stp>
        <tr r="N2198" s="2"/>
      </tp>
      <tp t="s">
        <v>#N/A N/A</v>
        <stp/>
        <stp>BDP|17099617288949086816</stp>
        <tr r="K2184" s="2"/>
      </tp>
      <tp t="s">
        <v>#N/A N/A</v>
        <stp/>
        <stp>BDS|16300694721923260922</stp>
        <tr r="I606" s="2"/>
      </tp>
      <tp t="s">
        <v>#N/A N/A</v>
        <stp/>
        <stp>BDP|12955935150714493267</stp>
        <tr r="D1286" s="2"/>
      </tp>
      <tp t="s">
        <v>#N/A N/A</v>
        <stp/>
        <stp>BDP|13110449089611261661</stp>
        <tr r="O408" s="2"/>
      </tp>
      <tp t="s">
        <v>#N/A N/A</v>
        <stp/>
        <stp>BDP|13431789997097271214</stp>
        <tr r="H1094" s="2"/>
      </tp>
      <tp t="s">
        <v>#N/A N/A</v>
        <stp/>
        <stp>BDP|12960403379898956110</stp>
        <tr r="R2043" s="2"/>
      </tp>
      <tp t="s">
        <v>#N/A N/A</v>
        <stp/>
        <stp>BDP|12105842738948203973</stp>
        <tr r="H870" s="2"/>
      </tp>
      <tp t="s">
        <v>#N/A N/A</v>
        <stp/>
        <stp>BDP|14150640184914936607</stp>
        <tr r="E263" s="2"/>
      </tp>
      <tp t="s">
        <v>#N/A N/A</v>
        <stp/>
        <stp>BDP|14181235476411455884</stp>
        <tr r="S826" s="2"/>
      </tp>
      <tp t="s">
        <v>#N/A N/A</v>
        <stp/>
        <stp>BDP|11362611925524785985</stp>
        <tr r="O1230" s="2"/>
      </tp>
      <tp t="s">
        <v>#N/A N/A</v>
        <stp/>
        <stp>BDP|16468893695747486845</stp>
        <tr r="Q1131" s="2"/>
      </tp>
      <tp t="s">
        <v>#N/A N/A</v>
        <stp/>
        <stp>BDP|18041794495498085643</stp>
        <tr r="K1895" s="2"/>
      </tp>
      <tp t="s">
        <v>#N/A N/A</v>
        <stp/>
        <stp>BDP|18088304539538115807</stp>
        <tr r="O5" s="2"/>
      </tp>
      <tp t="s">
        <v>#N/A N/A</v>
        <stp/>
        <stp>BDP|10935268986333115106</stp>
        <tr r="O1871" s="2"/>
      </tp>
      <tp t="s">
        <v>#N/A N/A</v>
        <stp/>
        <stp>BDP|11852413733517684944</stp>
        <tr r="R1570" s="2"/>
      </tp>
      <tp t="s">
        <v>#N/A N/A</v>
        <stp/>
        <stp>BDS|16017852873131946048</stp>
        <tr r="I878" s="2"/>
      </tp>
      <tp t="s">
        <v>#N/A N/A</v>
        <stp/>
        <stp>BDP|13426898190862450819</stp>
        <tr r="D578" s="2"/>
      </tp>
      <tp t="s">
        <v>#N/A N/A</v>
        <stp/>
        <stp>BDP|11801810315667489703</stp>
        <tr r="Q1387" s="2"/>
      </tp>
      <tp t="s">
        <v>#N/A N/A</v>
        <stp/>
        <stp>BDP|14812902535851423714</stp>
        <tr r="Q1186" s="2"/>
      </tp>
      <tp t="s">
        <v>#N/A N/A</v>
        <stp/>
        <stp>BDP|14775762098846599448</stp>
        <tr r="S304" s="2"/>
      </tp>
      <tp t="s">
        <v>#N/A N/A</v>
        <stp/>
        <stp>BDP|16042833637784557199</stp>
        <tr r="G1072" s="2"/>
      </tp>
      <tp t="s">
        <v>#N/A N/A</v>
        <stp/>
        <stp>BDP|13914662171893516936</stp>
        <tr r="N2107" s="2"/>
      </tp>
      <tp t="s">
        <v>#N/A N/A</v>
        <stp/>
        <stp>BDP|17533468383750876307</stp>
        <tr r="F2175" s="2"/>
      </tp>
      <tp t="s">
        <v>#N/A N/A</v>
        <stp/>
        <stp>BDP|14864927504226498329</stp>
        <tr r="J1165" s="2"/>
      </tp>
      <tp t="s">
        <v>#N/A N/A</v>
        <stp/>
        <stp>BDS|14168950378405350744</stp>
        <tr r="I343" s="2"/>
      </tp>
      <tp t="s">
        <v>#N/A N/A</v>
        <stp/>
        <stp>BDP|15233642993077924541</stp>
        <tr r="G807" s="2"/>
      </tp>
      <tp t="s">
        <v>#N/A N/A</v>
        <stp/>
        <stp>BDP|16121775898438633802</stp>
        <tr r="E2254" s="2"/>
      </tp>
      <tp t="s">
        <v>#N/A N/A</v>
        <stp/>
        <stp>BDP|11293028188886922799</stp>
        <tr r="Q154" s="2"/>
      </tp>
      <tp t="s">
        <v>#N/A N/A</v>
        <stp/>
        <stp>BDP|13458590239309942450</stp>
        <tr r="A926" s="2"/>
      </tp>
      <tp t="s">
        <v>#N/A N/A</v>
        <stp/>
        <stp>BDP|13556020281673952074</stp>
        <tr r="T2107" s="2"/>
      </tp>
      <tp t="s">
        <v>#N/A N/A</v>
        <stp/>
        <stp>BDS|11879905915029121872</stp>
        <tr r="I556" s="2"/>
      </tp>
      <tp t="s">
        <v>#N/A N/A</v>
        <stp/>
        <stp>BDP|14632608382350499280</stp>
        <tr r="P150" s="2"/>
      </tp>
      <tp t="s">
        <v>#N/A N/A</v>
        <stp/>
        <stp>BDP|18151287917372722112</stp>
        <tr r="E1074" s="2"/>
      </tp>
      <tp t="s">
        <v>#N/A N/A</v>
        <stp/>
        <stp>BDP|16614690987305517552</stp>
        <tr r="F1876" s="2"/>
      </tp>
      <tp t="s">
        <v>#N/A N/A</v>
        <stp/>
        <stp>BDP|11398877274774199291</stp>
        <tr r="N824" s="2"/>
      </tp>
      <tp t="s">
        <v>#N/A N/A</v>
        <stp/>
        <stp>BDS|16925155513067221964</stp>
        <tr r="I1941" s="2"/>
      </tp>
      <tp t="s">
        <v>#N/A N/A</v>
        <stp/>
        <stp>BDP|16100786119490877805</stp>
        <tr r="J739" s="2"/>
      </tp>
      <tp t="s">
        <v>#N/A N/A</v>
        <stp/>
        <stp>BDP|18443004539482756121</stp>
        <tr r="R1910" s="2"/>
      </tp>
      <tp t="s">
        <v>#N/A N/A</v>
        <stp/>
        <stp>BDP|11429161335283859874</stp>
        <tr r="S882" s="2"/>
      </tp>
      <tp t="s">
        <v>#N/A N/A</v>
        <stp/>
        <stp>BDP|18280090348472354689</stp>
        <tr r="E453" s="2"/>
      </tp>
      <tp t="s">
        <v>#N/A N/A</v>
        <stp/>
        <stp>BDP|10097298690476141506</stp>
        <tr r="H1689" s="2"/>
      </tp>
      <tp t="s">
        <v>#N/A N/A</v>
        <stp/>
        <stp>BDP|15223847381415666890</stp>
        <tr r="E1498" s="2"/>
      </tp>
      <tp t="s">
        <v>#N/A N/A</v>
        <stp/>
        <stp>BDP|12323953893288443290</stp>
        <tr r="K1208" s="2"/>
      </tp>
      <tp t="s">
        <v>#N/A N/A</v>
        <stp/>
        <stp>BDP|14561126958720389848</stp>
        <tr r="T360" s="2"/>
      </tp>
      <tp t="s">
        <v>#N/A N/A</v>
        <stp/>
        <stp>BDP|17532405979765637924</stp>
        <tr r="H1847" s="2"/>
      </tp>
      <tp t="s">
        <v>#N/A N/A</v>
        <stp/>
        <stp>BDP|11315197092957197610</stp>
        <tr r="J2123" s="2"/>
      </tp>
      <tp t="s">
        <v>#N/A N/A</v>
        <stp/>
        <stp>BDP|14335182865153159873</stp>
        <tr r="G346" s="2"/>
      </tp>
      <tp t="s">
        <v>#N/A N/A</v>
        <stp/>
        <stp>BDP|16035885823693274711</stp>
        <tr r="Q782" s="2"/>
      </tp>
      <tp t="s">
        <v>#N/A N/A</v>
        <stp/>
        <stp>BDP|15016722291523845034</stp>
        <tr r="G2022" s="2"/>
      </tp>
      <tp t="s">
        <v>#N/A N/A</v>
        <stp/>
        <stp>BDP|10478658088322816498</stp>
        <tr r="K733" s="2"/>
      </tp>
      <tp t="s">
        <v>#N/A N/A</v>
        <stp/>
        <stp>BDP|15602097560558618316</stp>
        <tr r="D1525" s="2"/>
      </tp>
      <tp t="s">
        <v>#N/A N/A</v>
        <stp/>
        <stp>BDP|10177521699567130335</stp>
        <tr r="N891" s="2"/>
      </tp>
      <tp t="s">
        <v>#N/A N/A</v>
        <stp/>
        <stp>BDP|12539504093150701692</stp>
        <tr r="R195" s="2"/>
      </tp>
      <tp t="s">
        <v>#N/A N/A</v>
        <stp/>
        <stp>BDP|10456665993651045696</stp>
        <tr r="R457" s="2"/>
      </tp>
      <tp t="s">
        <v>#N/A N/A</v>
        <stp/>
        <stp>BDP|14411232263041521995</stp>
        <tr r="P1569" s="2"/>
      </tp>
      <tp t="s">
        <v>#N/A N/A</v>
        <stp/>
        <stp>BDP|14488021922169441788</stp>
        <tr r="P324" s="2"/>
      </tp>
      <tp t="s">
        <v>#N/A N/A</v>
        <stp/>
        <stp>BDP|15540554399473055215</stp>
        <tr r="R197" s="2"/>
      </tp>
      <tp t="s">
        <v>#N/A N/A</v>
        <stp/>
        <stp>BDP|10540340117203821960</stp>
        <tr r="D1413" s="2"/>
      </tp>
      <tp t="s">
        <v>#N/A N/A</v>
        <stp/>
        <stp>BDP|11472057601279140092</stp>
        <tr r="T1395" s="2"/>
      </tp>
      <tp t="s">
        <v>#N/A N/A</v>
        <stp/>
        <stp>BDP|11346121589073136312</stp>
        <tr r="F1648" s="2"/>
      </tp>
      <tp t="s">
        <v>#N/A N/A</v>
        <stp/>
        <stp>BDP|18314531121337824015</stp>
        <tr r="Q812" s="2"/>
      </tp>
      <tp t="s">
        <v>#N/A N/A</v>
        <stp/>
        <stp>BDP|10944340360899041463</stp>
        <tr r="H772" s="2"/>
      </tp>
      <tp t="s">
        <v>#N/A N/A</v>
        <stp/>
        <stp>BDP|13491636367042359981</stp>
        <tr r="M1909" s="2"/>
      </tp>
      <tp t="s">
        <v>#N/A N/A</v>
        <stp/>
        <stp>BDP|13856719102354349830</stp>
        <tr r="E777" s="2"/>
      </tp>
      <tp t="s">
        <v>#N/A N/A</v>
        <stp/>
        <stp>BDP|18181114238237024537</stp>
        <tr r="E52" s="2"/>
      </tp>
      <tp t="s">
        <v>#N/A N/A</v>
        <stp/>
        <stp>BDP|14571234307946285889</stp>
        <tr r="H1531" s="2"/>
      </tp>
      <tp t="s">
        <v>#N/A N/A</v>
        <stp/>
        <stp>BDP|16554971909153984497</stp>
        <tr r="H1694" s="2"/>
      </tp>
      <tp t="s">
        <v>#N/A N/A</v>
        <stp/>
        <stp>BDP|14829624076469100468</stp>
        <tr r="G889" s="2"/>
      </tp>
      <tp t="s">
        <v>#N/A N/A</v>
        <stp/>
        <stp>BDP|13175035114162589881</stp>
        <tr r="C1880" s="2"/>
      </tp>
      <tp t="s">
        <v>#N/A N/A</v>
        <stp/>
        <stp>BDP|14288815799274623977</stp>
        <tr r="O1637" s="2"/>
      </tp>
      <tp t="s">
        <v>#N/A N/A</v>
        <stp/>
        <stp>BDP|17137798177896195953</stp>
        <tr r="E2010" s="2"/>
      </tp>
      <tp t="s">
        <v>#N/A N/A</v>
        <stp/>
        <stp>BDP|14592477795565947456</stp>
        <tr r="N2217" s="2"/>
      </tp>
      <tp t="s">
        <v>#N/A N/A</v>
        <stp/>
        <stp>BDP|15957173261812246863</stp>
        <tr r="D486" s="2"/>
      </tp>
      <tp t="s">
        <v>#N/A N/A</v>
        <stp/>
        <stp>BDP|14131096798775384082</stp>
        <tr r="T1734" s="2"/>
      </tp>
      <tp t="s">
        <v>#N/A N/A</v>
        <stp/>
        <stp>BDP|13868829642497614052</stp>
        <tr r="M1632" s="2"/>
      </tp>
      <tp t="s">
        <v>#N/A N/A</v>
        <stp/>
        <stp>BDP|14299217804049472786</stp>
        <tr r="P2148" s="2"/>
      </tp>
      <tp t="s">
        <v>#N/A N/A</v>
        <stp/>
        <stp>BDP|14400088790115135065</stp>
        <tr r="Q1308" s="2"/>
      </tp>
      <tp t="s">
        <v>#N/A N/A</v>
        <stp/>
        <stp>BDP|14217509493007201787</stp>
        <tr r="H1961" s="2"/>
      </tp>
      <tp t="s">
        <v>#N/A N/A</v>
        <stp/>
        <stp>BDP|17886086783081834603</stp>
        <tr r="M238" s="2"/>
      </tp>
      <tp t="s">
        <v>#N/A N/A</v>
        <stp/>
        <stp>BDP|16451359315865883972</stp>
        <tr r="M934" s="2"/>
      </tp>
      <tp t="s">
        <v>#N/A N/A</v>
        <stp/>
        <stp>BDP|11147045134013886927</stp>
        <tr r="H1648" s="2"/>
      </tp>
      <tp t="s">
        <v>#N/A N/A</v>
        <stp/>
        <stp>BDP|11770798130918583500</stp>
        <tr r="J644" s="2"/>
      </tp>
      <tp t="s">
        <v>#N/A N/A</v>
        <stp/>
        <stp>BDP|17824529747549169775</stp>
        <tr r="R1498" s="2"/>
      </tp>
      <tp t="s">
        <v>#N/A N/A</v>
        <stp/>
        <stp>BDP|11938650544769591260</stp>
        <tr r="E911" s="2"/>
      </tp>
      <tp t="s">
        <v>#N/A N/A</v>
        <stp/>
        <stp>BDP|13141965319005745628</stp>
        <tr r="D1395" s="2"/>
      </tp>
      <tp t="s">
        <v>#N/A N/A</v>
        <stp/>
        <stp>BDP|13643247826999643293</stp>
        <tr r="N1471" s="2"/>
      </tp>
      <tp t="s">
        <v>#N/A N/A</v>
        <stp/>
        <stp>BDP|17096975668111290169</stp>
        <tr r="J699" s="2"/>
      </tp>
      <tp t="s">
        <v>#N/A N/A</v>
        <stp/>
        <stp>BDP|16998341072188143250</stp>
        <tr r="C2059" s="2"/>
      </tp>
      <tp t="s">
        <v>#N/A N/A</v>
        <stp/>
        <stp>BDP|15935852526096797164</stp>
        <tr r="D1275" s="2"/>
      </tp>
      <tp t="s">
        <v>#N/A N/A</v>
        <stp/>
        <stp>BDP|10189949627350163388</stp>
        <tr r="H425" s="2"/>
      </tp>
      <tp t="s">
        <v>#N/A N/A</v>
        <stp/>
        <stp>BDP|14875726687833579032</stp>
        <tr r="T1458" s="2"/>
      </tp>
      <tp t="s">
        <v>#N/A N/A</v>
        <stp/>
        <stp>BDP|10991138799579117999</stp>
        <tr r="C1694" s="2"/>
      </tp>
      <tp t="s">
        <v>#N/A N/A</v>
        <stp/>
        <stp>BDP|16957835624402191641</stp>
        <tr r="J2164" s="2"/>
      </tp>
      <tp t="s">
        <v>#N/A N/A</v>
        <stp/>
        <stp>BDP|13997369739012442998</stp>
        <tr r="R1317" s="2"/>
      </tp>
      <tp t="s">
        <v>#N/A N/A</v>
        <stp/>
        <stp>BDP|18216264223827875746</stp>
        <tr r="C406" s="2"/>
      </tp>
      <tp t="s">
        <v>#N/A N/A</v>
        <stp/>
        <stp>BDP|14349299157652591931</stp>
        <tr r="O174" s="2"/>
      </tp>
      <tp t="s">
        <v>#N/A N/A</v>
        <stp/>
        <stp>BDP|16540384542939134059</stp>
        <tr r="N942" s="2"/>
      </tp>
      <tp t="s">
        <v>#N/A N/A</v>
        <stp/>
        <stp>BDP|14209876055855853439</stp>
        <tr r="S639" s="2"/>
      </tp>
      <tp t="s">
        <v>#N/A N/A</v>
        <stp/>
        <stp>BDS|11003590624578167641</stp>
        <tr r="I2030" s="2"/>
      </tp>
      <tp t="s">
        <v>#N/A N/A</v>
        <stp/>
        <stp>BDP|12586558147669930257</stp>
        <tr r="K2127" s="2"/>
      </tp>
      <tp t="s">
        <v>#N/A N/A</v>
        <stp/>
        <stp>BDP|17447736002509736196</stp>
        <tr r="T432" s="2"/>
      </tp>
      <tp t="s">
        <v>#N/A N/A</v>
        <stp/>
        <stp>BDP|10056859214538825929</stp>
        <tr r="D45" s="2"/>
      </tp>
      <tp t="s">
        <v>#N/A N/A</v>
        <stp/>
        <stp>BDP|17818348222248731629</stp>
        <tr r="F2037" s="2"/>
      </tp>
      <tp t="s">
        <v>#N/A N/A</v>
        <stp/>
        <stp>BDP|14817549795963409361</stp>
        <tr r="S1688" s="2"/>
      </tp>
      <tp t="s">
        <v>#N/A N/A</v>
        <stp/>
        <stp>BDP|11644850725690912343</stp>
        <tr r="Q1911" s="2"/>
      </tp>
      <tp t="s">
        <v>#N/A N/A</v>
        <stp/>
        <stp>BDP|12977680509414753846</stp>
        <tr r="Q1343" s="2"/>
      </tp>
      <tp t="s">
        <v>#N/A N/A</v>
        <stp/>
        <stp>BDP|16632394689751861456</stp>
        <tr r="T1894" s="2"/>
      </tp>
      <tp t="s">
        <v>#N/A N/A</v>
        <stp/>
        <stp>BDP|13232710187484733083</stp>
        <tr r="S405" s="2"/>
      </tp>
      <tp t="s">
        <v>#N/A N/A</v>
        <stp/>
        <stp>BDP|14863344326678065515</stp>
        <tr r="P259" s="2"/>
      </tp>
      <tp t="s">
        <v>#N/A N/A</v>
        <stp/>
        <stp>BDP|16819470028150435885</stp>
        <tr r="O1751" s="2"/>
      </tp>
      <tp t="s">
        <v>#N/A N/A</v>
        <stp/>
        <stp>BDP|13754102306178996239</stp>
        <tr r="K182" s="2"/>
      </tp>
      <tp t="s">
        <v>#N/A N/A</v>
        <stp/>
        <stp>BDP|17046224317734980879</stp>
        <tr r="Q1408" s="2"/>
      </tp>
      <tp t="s">
        <v>#N/A N/A</v>
        <stp/>
        <stp>BDP|16327796705520503917</stp>
        <tr r="S1293" s="2"/>
      </tp>
      <tp t="s">
        <v>#N/A N/A</v>
        <stp/>
        <stp>BDS|10622837162736923066</stp>
        <tr r="I558" s="2"/>
      </tp>
      <tp t="s">
        <v>#N/A N/A</v>
        <stp/>
        <stp>BDP|11864645703608321771</stp>
        <tr r="O2003" s="2"/>
      </tp>
      <tp t="s">
        <v>#N/A N/A</v>
        <stp/>
        <stp>BDP|10538413234699368685</stp>
        <tr r="H1272" s="2"/>
      </tp>
      <tp t="s">
        <v>#N/A N/A</v>
        <stp/>
        <stp>BDP|17867615292279359931</stp>
        <tr r="G2088" s="2"/>
      </tp>
      <tp t="s">
        <v>#N/A N/A</v>
        <stp/>
        <stp>BDP|11692084183904767517</stp>
        <tr r="S1621" s="2"/>
      </tp>
      <tp t="s">
        <v>#N/A N/A</v>
        <stp/>
        <stp>BDP|16560140480600260783</stp>
        <tr r="T1459" s="2"/>
      </tp>
      <tp t="s">
        <v>#N/A N/A</v>
        <stp/>
        <stp>BDP|15370513209639707177</stp>
        <tr r="T2077" s="2"/>
      </tp>
      <tp t="s">
        <v>#N/A N/A</v>
        <stp/>
        <stp>BDP|15304614487185989678</stp>
        <tr r="C745" s="2"/>
      </tp>
      <tp t="s">
        <v>#N/A N/A</v>
        <stp/>
        <stp>BDP|16530395614075403973</stp>
        <tr r="K141" s="2"/>
      </tp>
      <tp t="s">
        <v>#N/A N/A</v>
        <stp/>
        <stp>BDP|11960707486483584519</stp>
        <tr r="N1087" s="2"/>
      </tp>
      <tp t="s">
        <v>#N/A N/A</v>
        <stp/>
        <stp>BDP|11147897635197643502</stp>
        <tr r="A733" s="2"/>
      </tp>
      <tp t="s">
        <v>#N/A N/A</v>
        <stp/>
        <stp>BDP|12380693651041293826</stp>
        <tr r="S1540" s="2"/>
      </tp>
      <tp t="s">
        <v>#N/A N/A</v>
        <stp/>
        <stp>BDP|12932743656320057802</stp>
        <tr r="D2112" s="2"/>
      </tp>
      <tp t="s">
        <v>#N/A N/A</v>
        <stp/>
        <stp>BDP|10112191885387351652</stp>
        <tr r="P1522" s="2"/>
      </tp>
      <tp t="s">
        <v>#N/A N/A</v>
        <stp/>
        <stp>BDP|15310199824218639622</stp>
        <tr r="T1494" s="2"/>
      </tp>
      <tp t="s">
        <v>#N/A N/A</v>
        <stp/>
        <stp>BDP|11772847927812846166</stp>
        <tr r="K1128" s="2"/>
      </tp>
      <tp t="s">
        <v>#N/A N/A</v>
        <stp/>
        <stp>BDP|13963828520584901581</stp>
        <tr r="P408" s="2"/>
      </tp>
      <tp t="s">
        <v>#N/A N/A</v>
        <stp/>
        <stp>BDP|17751008994351827716</stp>
        <tr r="K2198" s="2"/>
      </tp>
      <tp t="s">
        <v>#N/A N/A</v>
        <stp/>
        <stp>BDP|10246094764679487714</stp>
        <tr r="R841" s="2"/>
      </tp>
      <tp t="s">
        <v>#N/A N/A</v>
        <stp/>
        <stp>BDP|14685050779088517351</stp>
        <tr r="S1897" s="2"/>
      </tp>
      <tp t="s">
        <v>#N/A N/A</v>
        <stp/>
        <stp>BDP|13590752464373988978</stp>
        <tr r="O302" s="2"/>
      </tp>
      <tp t="s">
        <v>#N/A N/A</v>
        <stp/>
        <stp>BDP|11637042498353192313</stp>
        <tr r="M1317" s="2"/>
      </tp>
      <tp t="s">
        <v>#N/A N/A</v>
        <stp/>
        <stp>BDP|17017290757231124959</stp>
        <tr r="J2083" s="2"/>
      </tp>
      <tp t="s">
        <v>#N/A N/A</v>
        <stp/>
        <stp>BDP|13300264781584762598</stp>
        <tr r="Q1475" s="2"/>
      </tp>
      <tp t="s">
        <v>#N/A N/A</v>
        <stp/>
        <stp>BDP|16372966851937620585</stp>
        <tr r="A1959" s="2"/>
      </tp>
      <tp t="s">
        <v>#N/A N/A</v>
        <stp/>
        <stp>BDS|14961495592354899537</stp>
        <tr r="I125" s="2"/>
      </tp>
      <tp t="s">
        <v>#N/A N/A</v>
        <stp/>
        <stp>BDP|16355184103437786853</stp>
        <tr r="T1613" s="2"/>
      </tp>
      <tp t="s">
        <v>#N/A N/A</v>
        <stp/>
        <stp>BDP|17984755097478132904</stp>
        <tr r="C176" s="2"/>
      </tp>
      <tp t="s">
        <v>#N/A N/A</v>
        <stp/>
        <stp>BDP|14528216982607876148</stp>
        <tr r="N319" s="2"/>
      </tp>
      <tp t="s">
        <v>#N/A N/A</v>
        <stp/>
        <stp>BDP|14994920159082004285</stp>
        <tr r="C958" s="2"/>
      </tp>
      <tp t="s">
        <v>#N/A N/A</v>
        <stp/>
        <stp>BDP|18013070418562018359</stp>
        <tr r="S616" s="2"/>
      </tp>
      <tp t="s">
        <v>#N/A N/A</v>
        <stp/>
        <stp>BDS|10763379198241722363</stp>
        <tr r="I1355" s="2"/>
      </tp>
      <tp t="s">
        <v>#N/A N/A</v>
        <stp/>
        <stp>BDP|14425924858487083746</stp>
        <tr r="G207" s="2"/>
      </tp>
      <tp t="s">
        <v>#N/A N/A</v>
        <stp/>
        <stp>BDP|17757571961738954425</stp>
        <tr r="A1807" s="2"/>
      </tp>
      <tp t="s">
        <v>#N/A N/A</v>
        <stp/>
        <stp>BDP|11466896632214757624</stp>
        <tr r="O1184" s="2"/>
      </tp>
      <tp t="s">
        <v>#N/A N/A</v>
        <stp/>
        <stp>BDS|12032575079061764903</stp>
        <tr r="I1966" s="2"/>
      </tp>
      <tp t="s">
        <v>#N/A N/A</v>
        <stp/>
        <stp>BDP|17847112092565482258</stp>
        <tr r="G1775" s="2"/>
      </tp>
      <tp t="s">
        <v>#N/A N/A</v>
        <stp/>
        <stp>BDP|15077052044351210894</stp>
        <tr r="G1069" s="2"/>
      </tp>
      <tp t="s">
        <v>#N/A N/A</v>
        <stp/>
        <stp>BDP|17859501856298071743</stp>
        <tr r="E753" s="2"/>
      </tp>
      <tp t="s">
        <v>#N/A N/A</v>
        <stp/>
        <stp>BDP|16900296300974854828</stp>
        <tr r="P1853" s="2"/>
      </tp>
      <tp t="s">
        <v>#N/A N/A</v>
        <stp/>
        <stp>BDP|11047080677138511606</stp>
        <tr r="K199" s="2"/>
      </tp>
      <tp t="s">
        <v>#N/A N/A</v>
        <stp/>
        <stp>BDP|14391094775418014359</stp>
        <tr r="E1201" s="2"/>
      </tp>
      <tp t="s">
        <v>#N/A N/A</v>
        <stp/>
        <stp>BDP|13057459176409904109</stp>
        <tr r="N1724" s="2"/>
      </tp>
      <tp t="s">
        <v>#N/A N/A</v>
        <stp/>
        <stp>BDP|17982224527178792715</stp>
        <tr r="S1830" s="2"/>
      </tp>
      <tp t="s">
        <v>#N/A N/A</v>
        <stp/>
        <stp>BDP|11940326943259141734</stp>
        <tr r="S2234" s="2"/>
      </tp>
      <tp t="s">
        <v>#N/A N/A</v>
        <stp/>
        <stp>BDP|14821595235658938272</stp>
        <tr r="R1372" s="2"/>
      </tp>
      <tp t="s">
        <v>#N/A N/A</v>
        <stp/>
        <stp>BDP|12614852410120907302</stp>
        <tr r="H109" s="2"/>
      </tp>
      <tp t="s">
        <v>#N/A N/A</v>
        <stp/>
        <stp>BDP|12104474146619852327</stp>
        <tr r="M114" s="2"/>
      </tp>
      <tp t="s">
        <v>#N/A N/A</v>
        <stp/>
        <stp>BDP|11049980756111723430</stp>
        <tr r="S1242" s="2"/>
      </tp>
      <tp t="s">
        <v>#N/A N/A</v>
        <stp/>
        <stp>BDP|16167602187764841440</stp>
        <tr r="R631" s="2"/>
      </tp>
      <tp t="s">
        <v>#N/A N/A</v>
        <stp/>
        <stp>BDP|15204093162089260213</stp>
        <tr r="Q2087" s="2"/>
      </tp>
      <tp t="s">
        <v>#N/A N/A</v>
        <stp/>
        <stp>BDP|17461939178832198348</stp>
        <tr r="F1343" s="2"/>
      </tp>
      <tp t="s">
        <v>#N/A N/A</v>
        <stp/>
        <stp>BDP|14043691826898296072</stp>
        <tr r="K589" s="2"/>
      </tp>
      <tp t="s">
        <v>#N/A N/A</v>
        <stp/>
        <stp>BDP|15942823533062416460</stp>
        <tr r="T704" s="2"/>
      </tp>
      <tp t="s">
        <v>#N/A N/A</v>
        <stp/>
        <stp>BDP|15949343965368041026</stp>
        <tr r="S1302" s="2"/>
      </tp>
      <tp t="s">
        <v>#N/A N/A</v>
        <stp/>
        <stp>BDP|16070195693075511355</stp>
        <tr r="C2237" s="2"/>
      </tp>
      <tp t="s">
        <v>#N/A N/A</v>
        <stp/>
        <stp>BDP|15553735573298960561</stp>
        <tr r="E297" s="2"/>
      </tp>
      <tp t="s">
        <v>#N/A N/A</v>
        <stp/>
        <stp>BDP|17161406986612501183</stp>
        <tr r="K1004" s="2"/>
      </tp>
      <tp t="s">
        <v>#N/A N/A</v>
        <stp/>
        <stp>BDP|12202305785691958043</stp>
        <tr r="N1241" s="2"/>
      </tp>
      <tp t="s">
        <v>#N/A N/A</v>
        <stp/>
        <stp>BDP|13573353340848888420</stp>
        <tr r="H682" s="2"/>
      </tp>
      <tp t="s">
        <v>#N/A N/A</v>
        <stp/>
        <stp>BDP|17810356929157740996</stp>
        <tr r="H1668" s="2"/>
      </tp>
      <tp t="s">
        <v>#N/A N/A</v>
        <stp/>
        <stp>BDP|18151093827263661136</stp>
        <tr r="F996" s="2"/>
      </tp>
      <tp t="s">
        <v>#N/A N/A</v>
        <stp/>
        <stp>BDP|18407128801052493395</stp>
        <tr r="S361" s="2"/>
      </tp>
      <tp t="s">
        <v>#N/A N/A</v>
        <stp/>
        <stp>BDP|13404712234079220694</stp>
        <tr r="H428" s="2"/>
      </tp>
      <tp t="s">
        <v>#N/A N/A</v>
        <stp/>
        <stp>BDS|13141064688074060762</stp>
        <tr r="I1460" s="2"/>
      </tp>
      <tp t="s">
        <v>#N/A N/A</v>
        <stp/>
        <stp>BDP|14777707154616014893</stp>
        <tr r="Q1504" s="2"/>
      </tp>
      <tp t="s">
        <v>#N/A N/A</v>
        <stp/>
        <stp>BDP|14650695398797250489</stp>
        <tr r="G1499" s="2"/>
      </tp>
      <tp t="s">
        <v>#N/A N/A</v>
        <stp/>
        <stp>BDP|11731725427128752489</stp>
        <tr r="F933" s="2"/>
      </tp>
      <tp t="s">
        <v>#N/A N/A</v>
        <stp/>
        <stp>BDP|11987419245920254926</stp>
        <tr r="J1107" s="2"/>
      </tp>
      <tp t="s">
        <v>#N/A N/A</v>
        <stp/>
        <stp>BDP|17488893437387727301</stp>
        <tr r="D612" s="2"/>
      </tp>
      <tp t="s">
        <v>#N/A N/A</v>
        <stp/>
        <stp>BDP|17555808853486827430</stp>
        <tr r="E1168" s="2"/>
      </tp>
      <tp t="s">
        <v>#N/A N/A</v>
        <stp/>
        <stp>BDP|16143960266983466281</stp>
        <tr r="M53" s="2"/>
      </tp>
      <tp t="s">
        <v>#N/A N/A</v>
        <stp/>
        <stp>BDP|14110380843423064879</stp>
        <tr r="H871" s="2"/>
      </tp>
      <tp t="s">
        <v>#N/A N/A</v>
        <stp/>
        <stp>BDP|13983708964533562959</stp>
        <tr r="S50" s="2"/>
      </tp>
      <tp t="s">
        <v>#N/A N/A</v>
        <stp/>
        <stp>BDP|13522724425796825879</stp>
        <tr r="Q318" s="2"/>
      </tp>
      <tp t="s">
        <v>#N/A N/A</v>
        <stp/>
        <stp>BDP|10116988903298200951</stp>
        <tr r="J210" s="2"/>
      </tp>
      <tp t="s">
        <v>#N/A N/A</v>
        <stp/>
        <stp>BDP|14793989343060836199</stp>
        <tr r="C921" s="2"/>
      </tp>
      <tp t="s">
        <v>#N/A N/A</v>
        <stp/>
        <stp>BDS|16757626001351289980</stp>
        <tr r="I454" s="2"/>
      </tp>
      <tp t="s">
        <v>#N/A N/A</v>
        <stp/>
        <stp>BDP|11483834018403587378</stp>
        <tr r="T2025" s="2"/>
      </tp>
      <tp t="s">
        <v>#N/A N/A</v>
        <stp/>
        <stp>BDP|18171592242174290555</stp>
        <tr r="O452" s="2"/>
      </tp>
      <tp t="s">
        <v>#N/A N/A</v>
        <stp/>
        <stp>BDP|15522052569103188856</stp>
        <tr r="A587" s="2"/>
      </tp>
      <tp t="s">
        <v>#N/A N/A</v>
        <stp/>
        <stp>BDP|16999484674015847806</stp>
        <tr r="C1968" s="2"/>
      </tp>
      <tp t="s">
        <v>#N/A N/A</v>
        <stp/>
        <stp>BDP|11273010121689892277</stp>
        <tr r="Q377" s="2"/>
      </tp>
      <tp t="s">
        <v>#N/A N/A</v>
        <stp/>
        <stp>BDP|10999438816824617977</stp>
        <tr r="R1235" s="2"/>
      </tp>
      <tp t="s">
        <v>#N/A N/A</v>
        <stp/>
        <stp>BDP|17855075893006991087</stp>
        <tr r="P2183" s="2"/>
      </tp>
      <tp t="s">
        <v>#N/A N/A</v>
        <stp/>
        <stp>BDP|17219248864918989366</stp>
        <tr r="N2132" s="2"/>
      </tp>
      <tp t="s">
        <v>#N/A N/A</v>
        <stp/>
        <stp>BDP|11700368737181307887</stp>
        <tr r="M1156" s="2"/>
      </tp>
      <tp t="s">
        <v>#N/A N/A</v>
        <stp/>
        <stp>BDP|16929734259429691585</stp>
        <tr r="E913" s="2"/>
      </tp>
      <tp t="s">
        <v>#N/A N/A</v>
        <stp/>
        <stp>BDP|15519585451965221832</stp>
        <tr r="H1558" s="2"/>
      </tp>
      <tp t="s">
        <v>#N/A N/A</v>
        <stp/>
        <stp>BDP|11934890342223750689</stp>
        <tr r="R1427" s="2"/>
      </tp>
      <tp t="s">
        <v>#N/A N/A</v>
        <stp/>
        <stp>BDP|16559495871528692561</stp>
        <tr r="M120" s="2"/>
      </tp>
      <tp t="s">
        <v>#N/A N/A</v>
        <stp/>
        <stp>BDP|15596595941195515951</stp>
        <tr r="T1683" s="2"/>
      </tp>
      <tp t="s">
        <v>#N/A N/A</v>
        <stp/>
        <stp>BDP|16865550912208197231</stp>
        <tr r="O2209" s="2"/>
      </tp>
      <tp t="s">
        <v>#N/A N/A</v>
        <stp/>
        <stp>BDP|17017432786710802308</stp>
        <tr r="D1781" s="2"/>
      </tp>
      <tp t="s">
        <v>#N/A N/A</v>
        <stp/>
        <stp>BDP|11305396918369943262</stp>
        <tr r="J693" s="2"/>
      </tp>
      <tp t="s">
        <v>#N/A N/A</v>
        <stp/>
        <stp>BDP|12847563293255618367</stp>
        <tr r="Q1703" s="2"/>
      </tp>
      <tp t="s">
        <v>#N/A N/A</v>
        <stp/>
        <stp>BDS|10861850429085376792</stp>
        <tr r="I1552" s="2"/>
      </tp>
      <tp t="s">
        <v>#N/A N/A</v>
        <stp/>
        <stp>BDP|15980813402985376046</stp>
        <tr r="E1729" s="2"/>
      </tp>
      <tp t="s">
        <v>#N/A N/A</v>
        <stp/>
        <stp>BDS|12047456789556200004</stp>
        <tr r="I1664" s="2"/>
      </tp>
      <tp t="s">
        <v>#N/A N/A</v>
        <stp/>
        <stp>BDP|16375234578043572807</stp>
        <tr r="E441" s="2"/>
      </tp>
      <tp t="s">
        <v>#N/A N/A</v>
        <stp/>
        <stp>BDP|15138167192693910610</stp>
        <tr r="G340" s="2"/>
      </tp>
      <tp t="s">
        <v>#N/A N/A</v>
        <stp/>
        <stp>BDP|16562512764839864458</stp>
        <tr r="N909" s="2"/>
      </tp>
      <tp t="s">
        <v>#N/A N/A</v>
        <stp/>
        <stp>BDP|17481547058626331968</stp>
        <tr r="J1639" s="2"/>
      </tp>
      <tp t="s">
        <v>#N/A N/A</v>
        <stp/>
        <stp>BDP|12914314294811059119</stp>
        <tr r="D937" s="2"/>
      </tp>
      <tp t="s">
        <v>#N/A N/A</v>
        <stp/>
        <stp>BDP|12932963667996786320</stp>
        <tr r="F669" s="2"/>
      </tp>
      <tp t="s">
        <v>#N/A N/A</v>
        <stp/>
        <stp>BDP|11719404714338748493</stp>
        <tr r="G2127" s="2"/>
      </tp>
      <tp t="s">
        <v>#N/A N/A</v>
        <stp/>
        <stp>BDP|13481924198928257311</stp>
        <tr r="K446" s="2"/>
      </tp>
      <tp t="s">
        <v>#N/A N/A</v>
        <stp/>
        <stp>BDP|16774488496374245769</stp>
        <tr r="R1391" s="2"/>
      </tp>
      <tp t="s">
        <v>#N/A N/A</v>
        <stp/>
        <stp>BDP|17034141838709704465</stp>
        <tr r="T1035" s="2"/>
      </tp>
      <tp t="s">
        <v>#N/A N/A</v>
        <stp/>
        <stp>BDP|12125688565333786961</stp>
        <tr r="N2007" s="2"/>
      </tp>
      <tp t="s">
        <v>#N/A N/A</v>
        <stp/>
        <stp>BDP|11067111833078618396</stp>
        <tr r="A2127" s="2"/>
      </tp>
      <tp t="s">
        <v>#N/A N/A</v>
        <stp/>
        <stp>BDP|13096789476172565967</stp>
        <tr r="H2084" s="2"/>
      </tp>
      <tp t="s">
        <v>#N/A N/A</v>
        <stp/>
        <stp>BDP|13353400665151302884</stp>
        <tr r="S829" s="2"/>
      </tp>
      <tp t="s">
        <v>#N/A N/A</v>
        <stp/>
        <stp>BDP|15344572372919264699</stp>
        <tr r="A1968" s="2"/>
      </tp>
      <tp t="s">
        <v>#N/A N/A</v>
        <stp/>
        <stp>BDP|18151815332478827376</stp>
        <tr r="T1663" s="2"/>
      </tp>
      <tp t="s">
        <v>#N/A N/A</v>
        <stp/>
        <stp>BDS|11916618003147700828</stp>
        <tr r="I792" s="2"/>
      </tp>
      <tp t="s">
        <v>#N/A N/A</v>
        <stp/>
        <stp>BDP|13929575695001740614</stp>
        <tr r="C1843" s="2"/>
      </tp>
      <tp t="s">
        <v>#N/A N/A</v>
        <stp/>
        <stp>BDP|12845930525784266512</stp>
        <tr r="C70" s="2"/>
      </tp>
      <tp t="s">
        <v>#N/A N/A</v>
        <stp/>
        <stp>BDP|16038809162543886370</stp>
        <tr r="M1741" s="2"/>
      </tp>
      <tp t="s">
        <v>#N/A N/A</v>
        <stp/>
        <stp>BDP|13860213101379012050</stp>
        <tr r="M1340" s="2"/>
      </tp>
      <tp t="s">
        <v>#N/A N/A</v>
        <stp/>
        <stp>BDP|16718943408292271540</stp>
        <tr r="R2250" s="2"/>
      </tp>
      <tp t="s">
        <v>#N/A N/A</v>
        <stp/>
        <stp>BDP|13547131770319977426</stp>
        <tr r="O1615" s="2"/>
      </tp>
      <tp t="s">
        <v>#N/A N/A</v>
        <stp/>
        <stp>BDP|13886228595408102833</stp>
        <tr r="A724" s="2"/>
      </tp>
      <tp t="s">
        <v>#N/A N/A</v>
        <stp/>
        <stp>BDS|18321399262742637708</stp>
        <tr r="I1319" s="2"/>
      </tp>
      <tp t="s">
        <v>#N/A N/A</v>
        <stp/>
        <stp>BDP|17979950774390444117</stp>
        <tr r="D384" s="2"/>
      </tp>
      <tp t="s">
        <v>#N/A N/A</v>
        <stp/>
        <stp>BDP|10413262031398955173</stp>
        <tr r="H370" s="2"/>
      </tp>
      <tp t="s">
        <v>#N/A N/A</v>
        <stp/>
        <stp>BDP|12947653469249108393</stp>
        <tr r="Q1426" s="2"/>
      </tp>
      <tp t="s">
        <v>#N/A N/A</v>
        <stp/>
        <stp>BDP|17364657438012148823</stp>
        <tr r="P1532" s="2"/>
      </tp>
      <tp t="s">
        <v>#N/A N/A</v>
        <stp/>
        <stp>BDP|16138909478747482703</stp>
        <tr r="O1831" s="2"/>
      </tp>
      <tp t="s">
        <v>#N/A N/A</v>
        <stp/>
        <stp>BDP|13304252193093949310</stp>
        <tr r="A307" s="2"/>
      </tp>
      <tp t="s">
        <v>#N/A N/A</v>
        <stp/>
        <stp>BDP|17979452994684148641</stp>
        <tr r="F310" s="2"/>
      </tp>
      <tp t="s">
        <v>#N/A N/A</v>
        <stp/>
        <stp>BDP|14573026672429004283</stp>
        <tr r="M20" s="2"/>
      </tp>
      <tp t="s">
        <v>#N/A N/A</v>
        <stp/>
        <stp>BDP|17933176444602625817</stp>
        <tr r="H412" s="2"/>
      </tp>
      <tp t="s">
        <v>#N/A N/A</v>
        <stp/>
        <stp>BDP|17337078518789681771</stp>
        <tr r="E812" s="2"/>
      </tp>
      <tp t="s">
        <v>#N/A N/A</v>
        <stp/>
        <stp>BDP|11959986798308024147</stp>
        <tr r="T1926" s="2"/>
      </tp>
      <tp t="s">
        <v>#N/A N/A</v>
        <stp/>
        <stp>BDP|10218814485658964021</stp>
        <tr r="Q1291" s="2"/>
      </tp>
      <tp t="s">
        <v>#N/A N/A</v>
        <stp/>
        <stp>BDP|16004297641099676134</stp>
        <tr r="E692" s="2"/>
      </tp>
      <tp t="s">
        <v>#N/A N/A</v>
        <stp/>
        <stp>BDP|12100597027128338511</stp>
        <tr r="C907" s="2"/>
      </tp>
      <tp t="s">
        <v>#N/A N/A</v>
        <stp/>
        <stp>BDP|14118954815100875447</stp>
        <tr r="A1652" s="2"/>
      </tp>
      <tp t="s">
        <v>#N/A N/A</v>
        <stp/>
        <stp>BDP|15822455180641133016</stp>
        <tr r="R2154" s="2"/>
      </tp>
      <tp t="s">
        <v>#N/A N/A</v>
        <stp/>
        <stp>BDP|16850306371769082348</stp>
        <tr r="Q246" s="2"/>
      </tp>
      <tp t="s">
        <v>#N/A N/A</v>
        <stp/>
        <stp>BDP|17699884523061956483</stp>
        <tr r="Q684" s="2"/>
      </tp>
      <tp t="s">
        <v>#N/A N/A</v>
        <stp/>
        <stp>BDP|14920557541118987587</stp>
        <tr r="E1156" s="2"/>
      </tp>
      <tp t="s">
        <v>#N/A N/A</v>
        <stp/>
        <stp>BDP|10151241994686594581</stp>
        <tr r="Q717" s="2"/>
      </tp>
      <tp t="s">
        <v>#N/A N/A</v>
        <stp/>
        <stp>BDS|13581184062175740973</stp>
        <tr r="I1011" s="2"/>
      </tp>
      <tp t="s">
        <v>#N/A N/A</v>
        <stp/>
        <stp>BDP|13429770453489946058</stp>
        <tr r="T848" s="2"/>
      </tp>
      <tp t="s">
        <v>#N/A N/A</v>
        <stp/>
        <stp>BDP|16357733282469784893</stp>
        <tr r="O162" s="2"/>
      </tp>
      <tp t="s">
        <v>#N/A N/A</v>
        <stp/>
        <stp>BDP|12490253689013601323</stp>
        <tr r="P1417" s="2"/>
      </tp>
      <tp t="s">
        <v>#N/A N/A</v>
        <stp/>
        <stp>BDP|11690331948019084718</stp>
        <tr r="O246" s="2"/>
      </tp>
      <tp t="s">
        <v>#N/A N/A</v>
        <stp/>
        <stp>BDP|12537182544199717629</stp>
        <tr r="E168" s="2"/>
      </tp>
      <tp t="s">
        <v>#N/A N/A</v>
        <stp/>
        <stp>BDP|16910853773906768745</stp>
        <tr r="A329" s="2"/>
      </tp>
      <tp t="s">
        <v>#N/A N/A</v>
        <stp/>
        <stp>BDP|16946447407102785812</stp>
        <tr r="P652" s="2"/>
      </tp>
      <tp t="s">
        <v>#N/A N/A</v>
        <stp/>
        <stp>BDP|15778823545221569098</stp>
        <tr r="F2088" s="2"/>
      </tp>
      <tp t="s">
        <v>#N/A N/A</v>
        <stp/>
        <stp>BDP|15467861524910222784</stp>
        <tr r="K1588" s="2"/>
      </tp>
      <tp t="s">
        <v>#N/A N/A</v>
        <stp/>
        <stp>BDP|15798782962249785569</stp>
        <tr r="G269" s="2"/>
      </tp>
      <tp t="s">
        <v>#N/A N/A</v>
        <stp/>
        <stp>BDP|16060405551347502888</stp>
        <tr r="G614" s="2"/>
      </tp>
      <tp t="s">
        <v>#N/A N/A</v>
        <stp/>
        <stp>BDP|14393144044770736981</stp>
        <tr r="E2022" s="2"/>
      </tp>
      <tp t="s">
        <v>#N/A N/A</v>
        <stp/>
        <stp>BDP|12623324699504199405</stp>
        <tr r="D115" s="2"/>
      </tp>
      <tp t="s">
        <v>#N/A N/A</v>
        <stp/>
        <stp>BDP|12050498185716328037</stp>
        <tr r="J56" s="2"/>
      </tp>
      <tp t="s">
        <v>#N/A N/A</v>
        <stp/>
        <stp>BDP|16966639527512141801</stp>
        <tr r="J1294" s="2"/>
      </tp>
      <tp t="s">
        <v>#N/A N/A</v>
        <stp/>
        <stp>BDP|10158057460306190896</stp>
        <tr r="F1551" s="2"/>
      </tp>
      <tp t="s">
        <v>#N/A N/A</v>
        <stp/>
        <stp>BDP|10847417794817268233</stp>
        <tr r="P2198" s="2"/>
      </tp>
      <tp t="s">
        <v>#N/A N/A</v>
        <stp/>
        <stp>BDP|11665551085327890323</stp>
        <tr r="J776" s="2"/>
      </tp>
      <tp t="s">
        <v>#N/A N/A</v>
        <stp/>
        <stp>BDP|10937898447241308584</stp>
        <tr r="J1251" s="2"/>
      </tp>
      <tp t="s">
        <v>#N/A N/A</v>
        <stp/>
        <stp>BDS|17886335982046544234</stp>
        <tr r="I1925" s="2"/>
      </tp>
      <tp t="s">
        <v>#N/A N/A</v>
        <stp/>
        <stp>BDP|13858529764730324814</stp>
        <tr r="K400" s="2"/>
      </tp>
      <tp t="s">
        <v>#N/A N/A</v>
        <stp/>
        <stp>BDP|13414489323819483474</stp>
        <tr r="O1464" s="2"/>
      </tp>
      <tp t="s">
        <v>#N/A N/A</v>
        <stp/>
        <stp>BDP|11768338199293217031</stp>
        <tr r="O989" s="2"/>
      </tp>
      <tp t="s">
        <v>#N/A N/A</v>
        <stp/>
        <stp>BDP|15361971259382616376</stp>
        <tr r="M983" s="2"/>
      </tp>
      <tp t="s">
        <v>#N/A N/A</v>
        <stp/>
        <stp>BDP|13675615846700412997</stp>
        <tr r="K114" s="2"/>
      </tp>
      <tp t="s">
        <v>#N/A N/A</v>
        <stp/>
        <stp>BDP|18330979814301922958</stp>
        <tr r="F819" s="2"/>
      </tp>
      <tp t="s">
        <v>#N/A N/A</v>
        <stp/>
        <stp>BDP|12684452466470181885</stp>
        <tr r="J873" s="2"/>
      </tp>
      <tp t="s">
        <v>#N/A N/A</v>
        <stp/>
        <stp>BDP|16974191294871897704</stp>
        <tr r="S1435" s="2"/>
      </tp>
      <tp t="s">
        <v>#N/A N/A</v>
        <stp/>
        <stp>BDP|17244168996585885262</stp>
        <tr r="O2023" s="2"/>
      </tp>
      <tp t="s">
        <v>#N/A N/A</v>
        <stp/>
        <stp>BDP|12271682353281468812</stp>
        <tr r="H786" s="2"/>
      </tp>
      <tp t="s">
        <v>#N/A N/A</v>
        <stp/>
        <stp>BDP|15394020491450869449</stp>
        <tr r="K741" s="2"/>
      </tp>
      <tp t="s">
        <v>#N/A N/A</v>
        <stp/>
        <stp>BDP|15918073200368653546</stp>
        <tr r="J10" s="2"/>
      </tp>
      <tp t="s">
        <v>#N/A N/A</v>
        <stp/>
        <stp>BDP|12905251992634141531</stp>
        <tr r="Q210" s="2"/>
      </tp>
      <tp t="s">
        <v>#N/A N/A</v>
        <stp/>
        <stp>BDP|10015218132601780885</stp>
        <tr r="H944" s="2"/>
      </tp>
      <tp t="s">
        <v>#N/A N/A</v>
        <stp/>
        <stp>BDP|12652194393601345331</stp>
        <tr r="K489" s="2"/>
      </tp>
      <tp t="s">
        <v>#N/A N/A</v>
        <stp/>
        <stp>BDP|16856201587346723247</stp>
        <tr r="F1372" s="2"/>
      </tp>
      <tp t="s">
        <v>#N/A N/A</v>
        <stp/>
        <stp>BDP|16244592092250610237</stp>
        <tr r="M524" s="2"/>
      </tp>
      <tp t="s">
        <v>#N/A N/A</v>
        <stp/>
        <stp>BDP|13726570920249407581</stp>
        <tr r="H301" s="2"/>
      </tp>
      <tp t="s">
        <v>#N/A N/A</v>
        <stp/>
        <stp>BDP|15803708912903525832</stp>
        <tr r="P1509" s="2"/>
      </tp>
      <tp t="s">
        <v>#N/A N/A</v>
        <stp/>
        <stp>BDP|18439210545061924750</stp>
        <tr r="P149" s="2"/>
      </tp>
      <tp t="s">
        <v>#N/A N/A</v>
        <stp/>
        <stp>BDS|11295714189024458219</stp>
        <tr r="I1749" s="2"/>
      </tp>
      <tp t="s">
        <v>#N/A N/A</v>
        <stp/>
        <stp>BDP|18323892284250451066</stp>
        <tr r="C421" s="2"/>
      </tp>
      <tp t="s">
        <v>#N/A N/A</v>
        <stp/>
        <stp>BDP|13621899723896459747</stp>
        <tr r="C969" s="2"/>
      </tp>
      <tp t="s">
        <v>#N/A N/A</v>
        <stp/>
        <stp>BDP|17004810659053001141</stp>
        <tr r="F2113" s="2"/>
      </tp>
      <tp t="s">
        <v>#N/A N/A</v>
        <stp/>
        <stp>BDP|15177493480374764530</stp>
        <tr r="O1480" s="2"/>
      </tp>
      <tp t="s">
        <v>#N/A N/A</v>
        <stp/>
        <stp>BDP|13732888674936119263</stp>
        <tr r="E1146" s="2"/>
      </tp>
      <tp t="s">
        <v>#N/A N/A</v>
        <stp/>
        <stp>BDP|10238490992067560205</stp>
        <tr r="R35" s="2"/>
      </tp>
      <tp t="s">
        <v>#N/A N/A</v>
        <stp/>
        <stp>BDP|12735110631369366186</stp>
        <tr r="N653" s="2"/>
      </tp>
      <tp t="s">
        <v>#N/A N/A</v>
        <stp/>
        <stp>BDP|11899119446425021931</stp>
        <tr r="K1807" s="2"/>
      </tp>
      <tp t="s">
        <v>#N/A N/A</v>
        <stp/>
        <stp>BDP|10864678384681177768</stp>
        <tr r="R2221" s="2"/>
      </tp>
      <tp t="s">
        <v>#N/A N/A</v>
        <stp/>
        <stp>BDP|10322432079469311262</stp>
        <tr r="J1222" s="2"/>
      </tp>
      <tp t="s">
        <v>#N/A N/A</v>
        <stp/>
        <stp>BDP|17278770285338581899</stp>
        <tr r="E1707" s="2"/>
      </tp>
      <tp t="s">
        <v>#N/A N/A</v>
        <stp/>
        <stp>BDP|13929278447544392963</stp>
        <tr r="H865" s="2"/>
      </tp>
      <tp t="s">
        <v>#N/A N/A</v>
        <stp/>
        <stp>BDP|10508373382195906657</stp>
        <tr r="H972" s="2"/>
      </tp>
      <tp t="s">
        <v>#N/A N/A</v>
        <stp/>
        <stp>BDP|16264501491130641297</stp>
        <tr r="S1232" s="2"/>
      </tp>
      <tp t="s">
        <v>#N/A N/A</v>
        <stp/>
        <stp>BDP|12761357966067854800</stp>
        <tr r="T74" s="2"/>
      </tp>
      <tp t="s">
        <v>#N/A N/A</v>
        <stp/>
        <stp>BDP|17664827539596562246</stp>
        <tr r="Q1127" s="2"/>
      </tp>
      <tp t="s">
        <v>#N/A N/A</v>
        <stp/>
        <stp>BDP|13802688916675112985</stp>
        <tr r="P1962" s="2"/>
      </tp>
      <tp t="s">
        <v>#N/A N/A</v>
        <stp/>
        <stp>BDP|11703473209989530433</stp>
        <tr r="O155" s="2"/>
      </tp>
      <tp t="s">
        <v>#N/A N/A</v>
        <stp/>
        <stp>BDP|15320182145030834899</stp>
        <tr r="P751" s="2"/>
      </tp>
      <tp t="s">
        <v>#N/A N/A</v>
        <stp/>
        <stp>BDP|15543956562061929349</stp>
        <tr r="O1407" s="2"/>
      </tp>
      <tp t="s">
        <v>#N/A N/A</v>
        <stp/>
        <stp>BDP|12815469860589821196</stp>
        <tr r="D1069" s="2"/>
      </tp>
      <tp t="s">
        <v>#N/A N/A</v>
        <stp/>
        <stp>BDP|11593156091230839166</stp>
        <tr r="O708" s="2"/>
      </tp>
      <tp t="s">
        <v>#N/A N/A</v>
        <stp/>
        <stp>BDP|14827318730468500436</stp>
        <tr r="R339" s="2"/>
      </tp>
      <tp t="s">
        <v>#N/A N/A</v>
        <stp/>
        <stp>BDP|10062490875829759243</stp>
        <tr r="O816" s="2"/>
      </tp>
      <tp t="s">
        <v>#N/A N/A</v>
        <stp/>
        <stp>BDP|13152692320556737909</stp>
        <tr r="P69" s="2"/>
      </tp>
      <tp t="s">
        <v>#N/A N/A</v>
        <stp/>
        <stp>BDP|10376047553648999521</stp>
        <tr r="J1485" s="2"/>
      </tp>
      <tp t="s">
        <v>#N/A N/A</v>
        <stp/>
        <stp>BDP|15292190786261677542</stp>
        <tr r="F1278" s="2"/>
      </tp>
      <tp t="s">
        <v>#N/A N/A</v>
        <stp/>
        <stp>BDP|12191904838702626205</stp>
        <tr r="A385" s="2"/>
      </tp>
      <tp t="s">
        <v>#N/A N/A</v>
        <stp/>
        <stp>BDP|13029857236274988452</stp>
        <tr r="K1889" s="2"/>
      </tp>
      <tp t="s">
        <v>#N/A N/A</v>
        <stp/>
        <stp>BDP|12330594066829714043</stp>
        <tr r="Q1386" s="2"/>
      </tp>
      <tp t="s">
        <v>#N/A N/A</v>
        <stp/>
        <stp>BDP|12387872544645857374</stp>
        <tr r="R229" s="2"/>
      </tp>
      <tp t="s">
        <v>#N/A N/A</v>
        <stp/>
        <stp>BDP|10006794547359494252</stp>
        <tr r="M1095" s="2"/>
      </tp>
      <tp t="s">
        <v>#N/A N/A</v>
        <stp/>
        <stp>BDP|12628946119543530111</stp>
        <tr r="P307" s="2"/>
      </tp>
      <tp t="s">
        <v>#N/A N/A</v>
        <stp/>
        <stp>BDP|12196931107986340596</stp>
        <tr r="A966" s="2"/>
      </tp>
      <tp t="s">
        <v>#N/A N/A</v>
        <stp/>
        <stp>BDP|14185280660319007168</stp>
        <tr r="J1252" s="2"/>
      </tp>
      <tp t="s">
        <v>#N/A N/A</v>
        <stp/>
        <stp>BDP|14739443987350914021</stp>
        <tr r="T1109" s="2"/>
      </tp>
      <tp t="s">
        <v>#N/A N/A</v>
        <stp/>
        <stp>BDP|15169301841719810372</stp>
        <tr r="Q981" s="2"/>
      </tp>
      <tp t="s">
        <v>#N/A N/A</v>
        <stp/>
        <stp>BDP|14508806335876951169</stp>
        <tr r="Q936" s="2"/>
      </tp>
      <tp t="s">
        <v>#N/A N/A</v>
        <stp/>
        <stp>BDP|15168784452818104758</stp>
        <tr r="A753" s="2"/>
      </tp>
      <tp t="s">
        <v>#N/A N/A</v>
        <stp/>
        <stp>BDP|16714766090786804662</stp>
        <tr r="R1771" s="2"/>
      </tp>
      <tp t="s">
        <v>#N/A N/A</v>
        <stp/>
        <stp>BDP|10611805202293851331</stp>
        <tr r="H172" s="2"/>
      </tp>
      <tp t="s">
        <v>#N/A N/A</v>
        <stp/>
        <stp>BDP|10699336699683097132</stp>
        <tr r="N197" s="2"/>
      </tp>
      <tp t="s">
        <v>#N/A N/A</v>
        <stp/>
        <stp>BDP|17770900322931282584</stp>
        <tr r="M323" s="2"/>
      </tp>
      <tp t="s">
        <v>#N/A N/A</v>
        <stp/>
        <stp>BDP|12277809732788997961</stp>
        <tr r="N529" s="2"/>
      </tp>
      <tp t="s">
        <v>#N/A N/A</v>
        <stp/>
        <stp>BDP|13302180897157417471</stp>
        <tr r="Q337" s="2"/>
      </tp>
      <tp t="s">
        <v>#N/A N/A</v>
        <stp/>
        <stp>BDP|12246261765389943773</stp>
        <tr r="C851" s="2"/>
      </tp>
      <tp t="s">
        <v>#N/A N/A</v>
        <stp/>
        <stp>BDP|12045013425451862934</stp>
        <tr r="D2193" s="2"/>
      </tp>
      <tp t="s">
        <v>#N/A N/A</v>
        <stp/>
        <stp>BDP|17170824319070269675</stp>
        <tr r="D1981" s="2"/>
      </tp>
      <tp t="s">
        <v>#N/A N/A</v>
        <stp/>
        <stp>BDP|14662948177884932635</stp>
        <tr r="A294" s="2"/>
      </tp>
      <tp t="s">
        <v>#N/A N/A</v>
        <stp/>
        <stp>BDP|18429992820688031325</stp>
        <tr r="M1263" s="2"/>
      </tp>
      <tp t="s">
        <v>#N/A N/A</v>
        <stp/>
        <stp>BDP|12437821209016731471</stp>
        <tr r="H938" s="2"/>
      </tp>
      <tp t="s">
        <v>#N/A N/A</v>
        <stp/>
        <stp>BDP|17088816295636888830</stp>
        <tr r="G162" s="2"/>
      </tp>
      <tp t="s">
        <v>#N/A N/A</v>
        <stp/>
        <stp>BDP|10321484834628432744</stp>
        <tr r="K249" s="2"/>
      </tp>
      <tp t="s">
        <v>#N/A N/A</v>
        <stp/>
        <stp>BDP|14250982835863604568</stp>
        <tr r="M661" s="2"/>
      </tp>
      <tp t="s">
        <v>#N/A N/A</v>
        <stp/>
        <stp>BDP|14180804406803845707</stp>
        <tr r="A648" s="2"/>
      </tp>
      <tp t="s">
        <v>#N/A N/A</v>
        <stp/>
        <stp>BDP|12211785792614744001</stp>
        <tr r="N2048" s="2"/>
      </tp>
      <tp t="s">
        <v>#N/A N/A</v>
        <stp/>
        <stp>BDP|11116658434318781485</stp>
        <tr r="M2038" s="2"/>
      </tp>
      <tp t="s">
        <v>#N/A N/A</v>
        <stp/>
        <stp>BDP|11097413088901462423</stp>
        <tr r="C679" s="2"/>
      </tp>
      <tp t="s">
        <v>#N/A N/A</v>
        <stp/>
        <stp>BDP|11231407294662019696</stp>
        <tr r="E834" s="2"/>
      </tp>
      <tp t="s">
        <v>#N/A N/A</v>
        <stp/>
        <stp>BDP|13663891514462429004</stp>
        <tr r="T1838" s="2"/>
      </tp>
      <tp t="s">
        <v>#N/A N/A</v>
        <stp/>
        <stp>BDP|17401293896281018545</stp>
        <tr r="A1045" s="2"/>
      </tp>
      <tp t="s">
        <v>#N/A N/A</v>
        <stp/>
        <stp>BDP|16528149150573695982</stp>
        <tr r="G978" s="2"/>
      </tp>
      <tp t="s">
        <v>#N/A N/A</v>
        <stp/>
        <stp>BDP|18348219729095285560</stp>
        <tr r="D1586" s="2"/>
      </tp>
      <tp t="s">
        <v>#N/A N/A</v>
        <stp/>
        <stp>BDP|15976451446064776924</stp>
        <tr r="K631" s="2"/>
      </tp>
      <tp t="s">
        <v>#N/A N/A</v>
        <stp/>
        <stp>BDP|13143934160062449690</stp>
        <tr r="C370" s="2"/>
      </tp>
      <tp t="s">
        <v>#N/A N/A</v>
        <stp/>
        <stp>BDP|10543999963772581556</stp>
        <tr r="A1260" s="2"/>
      </tp>
      <tp t="s">
        <v>#N/A N/A</v>
        <stp/>
        <stp>BDP|18015154266393500492</stp>
        <tr r="Q1949" s="2"/>
      </tp>
      <tp t="s">
        <v>#N/A N/A</v>
        <stp/>
        <stp>BDP|15112285984341657646</stp>
        <tr r="P189" s="2"/>
      </tp>
      <tp t="s">
        <v>#N/A N/A</v>
        <stp/>
        <stp>BDP|12111543031089362580</stp>
        <tr r="R1752" s="2"/>
      </tp>
      <tp t="s">
        <v>#N/A N/A</v>
        <stp/>
        <stp>BDP|10277166022129161282</stp>
        <tr r="M2025" s="2"/>
      </tp>
      <tp t="s">
        <v>#N/A N/A</v>
        <stp/>
        <stp>BDP|16123249329958261610</stp>
        <tr r="T1989" s="2"/>
      </tp>
      <tp t="s">
        <v>#N/A N/A</v>
        <stp/>
        <stp>BDP|11182177399976371735</stp>
        <tr r="H235" s="2"/>
      </tp>
      <tp t="s">
        <v>#N/A N/A</v>
        <stp/>
        <stp>BDP|11530302582123017185</stp>
        <tr r="H1730" s="2"/>
      </tp>
      <tp t="s">
        <v>#N/A N/A</v>
        <stp/>
        <stp>BDP|15632114323059858729</stp>
        <tr r="D1308" s="2"/>
      </tp>
      <tp t="s">
        <v>#N/A N/A</v>
        <stp/>
        <stp>BDP|17903315927946851892</stp>
        <tr r="R594" s="2"/>
      </tp>
      <tp t="s">
        <v>#N/A N/A</v>
        <stp/>
        <stp>BDP|18357468218597742247</stp>
        <tr r="G510" s="2"/>
      </tp>
      <tp t="s">
        <v>#N/A N/A</v>
        <stp/>
        <stp>BDP|11386490432147643906</stp>
        <tr r="G1036" s="2"/>
      </tp>
      <tp t="s">
        <v>#N/A N/A</v>
        <stp/>
        <stp>BDS|12130864869942738647</stp>
        <tr r="I1982" s="2"/>
      </tp>
      <tp t="s">
        <v>#N/A N/A</v>
        <stp/>
        <stp>BDP|17429173786462955429</stp>
        <tr r="F422" s="2"/>
      </tp>
      <tp t="s">
        <v>#N/A N/A</v>
        <stp/>
        <stp>BDP|15335601122889673094</stp>
        <tr r="R900" s="2"/>
      </tp>
      <tp t="s">
        <v>#N/A N/A</v>
        <stp/>
        <stp>BDS|10840963291681285900</stp>
        <tr r="I178" s="2"/>
      </tp>
      <tp t="s">
        <v>#N/A N/A</v>
        <stp/>
        <stp>BDP|13439634189714207129</stp>
        <tr r="P1259" s="2"/>
      </tp>
      <tp t="s">
        <v>#N/A N/A</v>
        <stp/>
        <stp>BDP|16617883971977720660</stp>
        <tr r="R2200" s="2"/>
      </tp>
      <tp t="s">
        <v>#N/A N/A</v>
        <stp/>
        <stp>BDP|17967876315053199540</stp>
        <tr r="R2238" s="2"/>
      </tp>
      <tp t="s">
        <v>#N/A N/A</v>
        <stp/>
        <stp>BDP|13130189898525761680</stp>
        <tr r="J1239" s="2"/>
      </tp>
      <tp t="s">
        <v>#N/A N/A</v>
        <stp/>
        <stp>BDP|12013877343986338095</stp>
        <tr r="R2070" s="2"/>
      </tp>
      <tp t="s">
        <v>#N/A N/A</v>
        <stp/>
        <stp>BDP|17978935245717842599</stp>
        <tr r="A1025" s="2"/>
      </tp>
      <tp t="s">
        <v>#N/A N/A</v>
        <stp/>
        <stp>BDS|12389210386252908202</stp>
        <tr r="I823" s="2"/>
      </tp>
      <tp t="s">
        <v>#N/A N/A</v>
        <stp/>
        <stp>BDP|14600488257299154460</stp>
        <tr r="S18" s="2"/>
      </tp>
      <tp t="s">
        <v>#N/A N/A</v>
        <stp/>
        <stp>BDP|15146688059407607987</stp>
        <tr r="Q1272" s="2"/>
      </tp>
      <tp t="s">
        <v>#N/A N/A</v>
        <stp/>
        <stp>BDP|13643965620371859169</stp>
        <tr r="Q1167" s="2"/>
      </tp>
      <tp t="s">
        <v>#N/A N/A</v>
        <stp/>
        <stp>BDP|13495277690804802458</stp>
        <tr r="M1640" s="2"/>
      </tp>
      <tp t="s">
        <v>#N/A N/A</v>
        <stp/>
        <stp>BDP|17769210029906028913</stp>
        <tr r="S1018" s="2"/>
      </tp>
      <tp t="s">
        <v>#N/A N/A</v>
        <stp/>
        <stp>BDP|12407218055535719891</stp>
        <tr r="A111" s="2"/>
      </tp>
      <tp t="s">
        <v>#N/A N/A</v>
        <stp/>
        <stp>BDP|14870882670813720092</stp>
        <tr r="M2254" s="2"/>
      </tp>
      <tp t="s">
        <v>#N/A N/A</v>
        <stp/>
        <stp>BDP|10502162054199198587</stp>
        <tr r="F860" s="2"/>
      </tp>
      <tp t="s">
        <v>#N/A N/A</v>
        <stp/>
        <stp>BDP|15718325631819247484</stp>
        <tr r="N444" s="2"/>
      </tp>
      <tp t="s">
        <v>#N/A N/A</v>
        <stp/>
        <stp>BDP|13936714593310189540</stp>
        <tr r="T628" s="2"/>
      </tp>
      <tp t="s">
        <v>#N/A N/A</v>
        <stp/>
        <stp>BDP|13582281238269220395</stp>
        <tr r="D1998" s="2"/>
      </tp>
      <tp t="s">
        <v>#N/A N/A</v>
        <stp/>
        <stp>BDP|17550539593106296598</stp>
        <tr r="M1447" s="2"/>
      </tp>
      <tp t="s">
        <v>#N/A N/A</v>
        <stp/>
        <stp>BDP|11978748267248788036</stp>
        <tr r="J1902" s="2"/>
      </tp>
      <tp t="s">
        <v>#N/A N/A</v>
        <stp/>
        <stp>BDP|17953901015575045226</stp>
        <tr r="Q1195" s="2"/>
      </tp>
      <tp t="s">
        <v>#N/A N/A</v>
        <stp/>
        <stp>BDP|16152322981447565297</stp>
        <tr r="J1359" s="2"/>
      </tp>
      <tp t="s">
        <v>#N/A N/A</v>
        <stp/>
        <stp>BDP|15434087911005138925</stp>
        <tr r="J305" s="2"/>
      </tp>
      <tp t="s">
        <v>#N/A N/A</v>
        <stp/>
        <stp>BDP|16129304509028229546</stp>
        <tr r="F421" s="2"/>
      </tp>
      <tp t="s">
        <v>#N/A N/A</v>
        <stp/>
        <stp>BDS|12785126787553607099</stp>
        <tr r="I262" s="2"/>
      </tp>
      <tp t="s">
        <v>#N/A N/A</v>
        <stp/>
        <stp>BDP|14759471488680558036</stp>
        <tr r="M1588" s="2"/>
      </tp>
      <tp t="s">
        <v>#N/A N/A</v>
        <stp/>
        <stp>BDP|16258889750776585512</stp>
        <tr r="A1517" s="2"/>
      </tp>
      <tp t="s">
        <v>#N/A N/A</v>
        <stp/>
        <stp>BDP|17484811676155508589</stp>
        <tr r="R1034" s="2"/>
      </tp>
      <tp t="s">
        <v>#N/A N/A</v>
        <stp/>
        <stp>BDP|14918233150649327277</stp>
        <tr r="K1660" s="2"/>
      </tp>
      <tp t="s">
        <v>#N/A N/A</v>
        <stp/>
        <stp>BDP|10536818673264803318</stp>
        <tr r="O1708" s="2"/>
      </tp>
      <tp t="s">
        <v>#N/A N/A</v>
        <stp/>
        <stp>BDP|14552452670856765998</stp>
        <tr r="N677" s="2"/>
      </tp>
      <tp t="s">
        <v>#N/A N/A</v>
        <stp/>
        <stp>BDP|17353223499615042165</stp>
        <tr r="E1454" s="2"/>
      </tp>
      <tp t="s">
        <v>#N/A N/A</v>
        <stp/>
        <stp>BDP|14976324345113447847</stp>
        <tr r="T867" s="2"/>
      </tp>
      <tp t="s">
        <v>#N/A N/A</v>
        <stp/>
        <stp>BDP|18387215319392278179</stp>
        <tr r="Q162" s="2"/>
      </tp>
      <tp t="s">
        <v>#N/A N/A</v>
        <stp/>
        <stp>BDP|14027999470754647618</stp>
        <tr r="A187" s="2"/>
      </tp>
      <tp t="s">
        <v>#N/A N/A</v>
        <stp/>
        <stp>BDP|14929976849233012297</stp>
        <tr r="P416" s="2"/>
      </tp>
      <tp t="s">
        <v>#N/A N/A</v>
        <stp/>
        <stp>BDP|10807351818923983927</stp>
        <tr r="F1647" s="2"/>
      </tp>
      <tp t="s">
        <v>#N/A N/A</v>
        <stp/>
        <stp>BDP|16249902958604378670</stp>
        <tr r="J1025" s="2"/>
      </tp>
      <tp t="s">
        <v>#N/A N/A</v>
        <stp/>
        <stp>BDP|15985115642879330171</stp>
        <tr r="K1986" s="2"/>
      </tp>
      <tp t="s">
        <v>#N/A N/A</v>
        <stp/>
        <stp>BDS|17958230529318758794</stp>
        <tr r="I742" s="2"/>
      </tp>
      <tp t="s">
        <v>#N/A N/A</v>
        <stp/>
        <stp>BDP|11926421783762721711</stp>
        <tr r="C993" s="2"/>
      </tp>
      <tp t="s">
        <v>#N/A N/A</v>
        <stp/>
        <stp>BDP|16592790588898221985</stp>
        <tr r="N2013" s="2"/>
      </tp>
      <tp t="s">
        <v>#N/A N/A</v>
        <stp/>
        <stp>BDP|14838462773778260716</stp>
        <tr r="S674" s="2"/>
      </tp>
      <tp t="s">
        <v>#N/A N/A</v>
        <stp/>
        <stp>BDP|11622204949917801899</stp>
        <tr r="F1870" s="2"/>
      </tp>
      <tp t="s">
        <v>#N/A N/A</v>
        <stp/>
        <stp>BDP|13824114392315472614</stp>
        <tr r="E1815" s="2"/>
      </tp>
      <tp t="s">
        <v>#N/A N/A</v>
        <stp/>
        <stp>BDP|13590438623219305485</stp>
        <tr r="T126" s="2"/>
      </tp>
      <tp t="s">
        <v>#N/A N/A</v>
        <stp/>
        <stp>BDP|10138271069159134505</stp>
        <tr r="P1712" s="2"/>
      </tp>
      <tp t="s">
        <v>#N/A N/A</v>
        <stp/>
        <stp>BDP|13803924229825907549</stp>
        <tr r="T800" s="2"/>
      </tp>
      <tp t="s">
        <v>#N/A N/A</v>
        <stp/>
        <stp>BDP|13447453654779816334</stp>
        <tr r="J1542" s="2"/>
      </tp>
      <tp t="s">
        <v>#N/A N/A</v>
        <stp/>
        <stp>BDP|11606924059683203616</stp>
        <tr r="H1349" s="2"/>
      </tp>
      <tp t="s">
        <v>#N/A N/A</v>
        <stp/>
        <stp>BDS|17081619122919699285</stp>
        <tr r="I2191" s="2"/>
      </tp>
      <tp t="s">
        <v>#N/A N/A</v>
        <stp/>
        <stp>BDP|12821093090041950260</stp>
        <tr r="K1595" s="2"/>
      </tp>
      <tp t="s">
        <v>#N/A N/A</v>
        <stp/>
        <stp>BDP|12861737942989584024</stp>
        <tr r="R2083" s="2"/>
      </tp>
      <tp t="s">
        <v>#N/A N/A</v>
        <stp/>
        <stp>BDP|12477589772781704982</stp>
        <tr r="F1403" s="2"/>
      </tp>
      <tp t="s">
        <v>#N/A N/A</v>
        <stp/>
        <stp>BDP|12699074358007063880</stp>
        <tr r="N1206" s="2"/>
      </tp>
      <tp t="s">
        <v>#N/A N/A</v>
        <stp/>
        <stp>BDP|13062924907945177757</stp>
        <tr r="R1020" s="2"/>
      </tp>
      <tp t="s">
        <v>#N/A N/A</v>
        <stp/>
        <stp>BDP|17521409851017442914</stp>
        <tr r="M2210" s="2"/>
      </tp>
      <tp t="s">
        <v>#N/A N/A</v>
        <stp/>
        <stp>BDP|10306448738209676686</stp>
        <tr r="T788" s="2"/>
      </tp>
      <tp t="s">
        <v>#N/A N/A</v>
        <stp/>
        <stp>BDP|13507015622221242858</stp>
        <tr r="A822" s="2"/>
      </tp>
      <tp t="s">
        <v>#N/A N/A</v>
        <stp/>
        <stp>BDP|13406899422260717190</stp>
        <tr r="S1920" s="2"/>
      </tp>
      <tp t="s">
        <v>#N/A N/A</v>
        <stp/>
        <stp>BDP|12056045565918040407</stp>
        <tr r="M157" s="2"/>
      </tp>
      <tp t="s">
        <v>#N/A N/A</v>
        <stp/>
        <stp>BDP|11659524458459452099</stp>
        <tr r="Q1433" s="2"/>
      </tp>
      <tp t="s">
        <v>#N/A N/A</v>
        <stp/>
        <stp>BDP|13383853824021033031</stp>
        <tr r="S1327" s="2"/>
      </tp>
      <tp t="s">
        <v>#N/A N/A</v>
        <stp/>
        <stp>BDP|14542918242831599024</stp>
        <tr r="K1087" s="2"/>
      </tp>
      <tp t="s">
        <v>#N/A N/A</v>
        <stp/>
        <stp>BDP|17284983178304081539</stp>
        <tr r="N1409" s="2"/>
      </tp>
      <tp t="s">
        <v>#N/A N/A</v>
        <stp/>
        <stp>BDP|17471295508644146959</stp>
        <tr r="J1730" s="2"/>
      </tp>
      <tp t="s">
        <v>#N/A N/A</v>
        <stp/>
        <stp>BDP|13829434818617010928</stp>
        <tr r="F2081" s="2"/>
      </tp>
      <tp t="s">
        <v>#N/A N/A</v>
        <stp/>
        <stp>BDP|15379161436927702857</stp>
        <tr r="K1032" s="2"/>
      </tp>
      <tp t="s">
        <v>#N/A N/A</v>
        <stp/>
        <stp>BDP|13535449296283661506</stp>
        <tr r="M1636" s="2"/>
      </tp>
      <tp t="s">
        <v>#N/A N/A</v>
        <stp/>
        <stp>BDP|11437896818840541011</stp>
        <tr r="D94" s="2"/>
      </tp>
      <tp t="s">
        <v>#N/A N/A</v>
        <stp/>
        <stp>BDS|10287594038137971982</stp>
        <tr r="I1090" s="2"/>
      </tp>
      <tp t="s">
        <v>#N/A N/A</v>
        <stp/>
        <stp>BDP|10809792516886619804</stp>
        <tr r="C1225" s="2"/>
      </tp>
      <tp t="s">
        <v>#N/A N/A</v>
        <stp/>
        <stp>BDP|17703554586833269175</stp>
        <tr r="M1709" s="2"/>
      </tp>
      <tp t="s">
        <v>#N/A N/A</v>
        <stp/>
        <stp>BDP|18040329377397162357</stp>
        <tr r="A1213" s="2"/>
      </tp>
      <tp t="s">
        <v>#N/A N/A</v>
        <stp/>
        <stp>BDP|16983257278013593809</stp>
        <tr r="T518" s="2"/>
      </tp>
      <tp t="s">
        <v>#N/A N/A</v>
        <stp/>
        <stp>BDP|17686413629540836972</stp>
        <tr r="F1032" s="2"/>
      </tp>
      <tp t="s">
        <v>#N/A N/A</v>
        <stp/>
        <stp>BDP|10639665364791596906</stp>
        <tr r="E705" s="2"/>
      </tp>
      <tp t="s">
        <v>#N/A N/A</v>
        <stp/>
        <stp>BDS|16456001551853403832</stp>
        <tr r="I52" s="2"/>
      </tp>
      <tp t="s">
        <v>#N/A N/A</v>
        <stp/>
        <stp>BDP|15388728882936144433</stp>
        <tr r="S1093" s="2"/>
      </tp>
      <tp t="s">
        <v>#N/A N/A</v>
        <stp/>
        <stp>BDP|10537664197944324362</stp>
        <tr r="N734" s="2"/>
      </tp>
      <tp t="s">
        <v>#N/A N/A</v>
        <stp/>
        <stp>BDP|12626564544758185347</stp>
        <tr r="O674" s="2"/>
      </tp>
      <tp t="s">
        <v>#N/A N/A</v>
        <stp/>
        <stp>BDP|17592934451087254445</stp>
        <tr r="D2257" s="2"/>
      </tp>
      <tp t="s">
        <v>#N/A N/A</v>
        <stp/>
        <stp>BDP|14543109787811010439</stp>
        <tr r="C300" s="2"/>
      </tp>
      <tp t="s">
        <v>#N/A N/A</v>
        <stp/>
        <stp>BDP|17750266607475296853</stp>
        <tr r="S2207" s="2"/>
      </tp>
      <tp t="s">
        <v>#N/A N/A</v>
        <stp/>
        <stp>BDP|11298942563400122651</stp>
        <tr r="D1886" s="2"/>
      </tp>
      <tp t="s">
        <v>#N/A N/A</v>
        <stp/>
        <stp>BDP|14053374730509403528</stp>
        <tr r="Q356" s="2"/>
      </tp>
      <tp t="s">
        <v>#N/A N/A</v>
        <stp/>
        <stp>BDP|17410786318351096851</stp>
        <tr r="K1113" s="2"/>
      </tp>
      <tp t="s">
        <v>#N/A N/A</v>
        <stp/>
        <stp>BDP|12782764582654699140</stp>
        <tr r="G172" s="2"/>
      </tp>
      <tp t="s">
        <v>#N/A N/A</v>
        <stp/>
        <stp>BDP|14178205794785377271</stp>
        <tr r="K478" s="2"/>
      </tp>
      <tp t="s">
        <v>#N/A N/A</v>
        <stp/>
        <stp>BDP|17015546365314137814</stp>
        <tr r="A1728" s="2"/>
      </tp>
      <tp t="s">
        <v>#N/A N/A</v>
        <stp/>
        <stp>BDP|11253446439588643680</stp>
        <tr r="D878" s="2"/>
      </tp>
      <tp t="s">
        <v>#N/A N/A</v>
        <stp/>
        <stp>BDP|13671270997251737104</stp>
        <tr r="C2004" s="2"/>
      </tp>
      <tp t="s">
        <v>#N/A N/A</v>
        <stp/>
        <stp>BDP|18296043003032784230</stp>
        <tr r="A133" s="2"/>
      </tp>
      <tp t="s">
        <v>#N/A N/A</v>
        <stp/>
        <stp>BDP|10614592331207861976</stp>
        <tr r="P1025" s="2"/>
      </tp>
      <tp t="s">
        <v>#N/A N/A</v>
        <stp/>
        <stp>BDP|12603474050129767272</stp>
        <tr r="M287" s="2"/>
      </tp>
      <tp t="s">
        <v>#N/A N/A</v>
        <stp/>
        <stp>BDP|17324601240135024821</stp>
        <tr r="O729" s="2"/>
      </tp>
      <tp t="s">
        <v>#N/A N/A</v>
        <stp/>
        <stp>BDP|17376064775629732167</stp>
        <tr r="D940" s="2"/>
      </tp>
      <tp t="s">
        <v>#N/A N/A</v>
        <stp/>
        <stp>BDP|15063587219358174114</stp>
        <tr r="T2065" s="2"/>
      </tp>
      <tp t="s">
        <v>#N/A N/A</v>
        <stp/>
        <stp>BDP|16273927845192032143</stp>
        <tr r="G624" s="2"/>
      </tp>
      <tp t="s">
        <v>#N/A N/A</v>
        <stp/>
        <stp>BDS|17464870053531614343</stp>
        <tr r="I279" s="2"/>
      </tp>
      <tp t="s">
        <v>#N/A N/A</v>
        <stp/>
        <stp>BDP|13825774926706013880</stp>
        <tr r="G720" s="2"/>
      </tp>
      <tp t="s">
        <v>#N/A N/A</v>
        <stp/>
        <stp>BDP|17449372102055553953</stp>
        <tr r="S1966" s="2"/>
      </tp>
      <tp t="s">
        <v>#N/A N/A</v>
        <stp/>
        <stp>BDP|16436936744580513371</stp>
        <tr r="N2235" s="2"/>
      </tp>
      <tp t="s">
        <v>#N/A N/A</v>
        <stp/>
        <stp>BDP|14945591181232930394</stp>
        <tr r="K54" s="2"/>
      </tp>
      <tp t="s">
        <v>#N/A N/A</v>
        <stp/>
        <stp>BDP|13293403887722324578</stp>
        <tr r="N493" s="2"/>
      </tp>
      <tp t="s">
        <v>#N/A N/A</v>
        <stp/>
        <stp>BDP|12485327689189694880</stp>
        <tr r="C122" s="2"/>
      </tp>
      <tp t="s">
        <v>#N/A N/A</v>
        <stp/>
        <stp>BDP|15382622240336194917</stp>
        <tr r="M2228" s="2"/>
      </tp>
      <tp t="s">
        <v>#N/A N/A</v>
        <stp/>
        <stp>BDP|11294689639645387919</stp>
        <tr r="R1847" s="2"/>
      </tp>
      <tp t="s">
        <v>#N/A N/A</v>
        <stp/>
        <stp>BDP|15034255198554451281</stp>
        <tr r="E2128" s="2"/>
      </tp>
      <tp t="s">
        <v>#N/A N/A</v>
        <stp/>
        <stp>BDP|16239656826338973296</stp>
        <tr r="H1403" s="2"/>
      </tp>
      <tp t="s">
        <v>#N/A N/A</v>
        <stp/>
        <stp>BDP|10059046683603310352</stp>
        <tr r="F2134" s="2"/>
      </tp>
      <tp t="s">
        <v>#N/A N/A</v>
        <stp/>
        <stp>BDP|16698355397432770629</stp>
        <tr r="Q2022" s="2"/>
      </tp>
      <tp t="s">
        <v>#N/A N/A</v>
        <stp/>
        <stp>BDP|15944745623500645896</stp>
        <tr r="A1709" s="2"/>
      </tp>
      <tp t="s">
        <v>#N/A N/A</v>
        <stp/>
        <stp>BDP|12645626330626007952</stp>
        <tr r="N302" s="2"/>
      </tp>
      <tp t="s">
        <v>#N/A N/A</v>
        <stp/>
        <stp>BDP|15522850431090226625</stp>
        <tr r="O866" s="2"/>
      </tp>
      <tp t="s">
        <v>#N/A N/A</v>
        <stp/>
        <stp>BDP|14356955524673079435</stp>
        <tr r="Q2136" s="2"/>
      </tp>
      <tp t="s">
        <v>#N/A N/A</v>
        <stp/>
        <stp>BDP|16536508083432328149</stp>
        <tr r="F1254" s="2"/>
      </tp>
      <tp t="s">
        <v>#N/A N/A</v>
        <stp/>
        <stp>BDP|10356240188291812362</stp>
        <tr r="F2180" s="2"/>
      </tp>
      <tp t="s">
        <v>#N/A N/A</v>
        <stp/>
        <stp>BDP|16696506278954733881</stp>
        <tr r="A474" s="2"/>
      </tp>
      <tp t="s">
        <v>#N/A N/A</v>
        <stp/>
        <stp>BDP|10466202736450499962</stp>
        <tr r="P347" s="2"/>
      </tp>
      <tp t="s">
        <v>#N/A N/A</v>
        <stp/>
        <stp>BDP|10682982534381234381</stp>
        <tr r="N893" s="2"/>
      </tp>
      <tp t="s">
        <v>#N/A N/A</v>
        <stp/>
        <stp>BDP|13520211877628571669</stp>
        <tr r="A599" s="2"/>
      </tp>
      <tp t="s">
        <v>#N/A N/A</v>
        <stp/>
        <stp>BDP|10878477212544984946</stp>
        <tr r="E1743" s="2"/>
      </tp>
      <tp t="s">
        <v>#N/A N/A</v>
        <stp/>
        <stp>BDP|16809869307362019490</stp>
        <tr r="J747" s="2"/>
      </tp>
      <tp t="s">
        <v>#N/A N/A</v>
        <stp/>
        <stp>BDP|17163701007468613009</stp>
        <tr r="N1929" s="2"/>
      </tp>
      <tp t="s">
        <v>#N/A N/A</v>
        <stp/>
        <stp>BDP|11875974676857055095</stp>
        <tr r="P1507" s="2"/>
      </tp>
      <tp t="s">
        <v>#N/A N/A</v>
        <stp/>
        <stp>BDP|16685199938854634810</stp>
        <tr r="D619" s="2"/>
      </tp>
      <tp t="s">
        <v>#N/A N/A</v>
        <stp/>
        <stp>BDP|10530870717727699637</stp>
        <tr r="D2214" s="2"/>
      </tp>
      <tp t="s">
        <v>#N/A N/A</v>
        <stp/>
        <stp>BDP|12349362536328472278</stp>
        <tr r="T696" s="2"/>
      </tp>
      <tp t="s">
        <v>#N/A N/A</v>
        <stp/>
        <stp>BDP|11461922286420235829</stp>
        <tr r="R306" s="2"/>
      </tp>
      <tp t="s">
        <v>#N/A N/A</v>
        <stp/>
        <stp>BDP|12300401957818009343</stp>
        <tr r="D586" s="2"/>
      </tp>
      <tp t="s">
        <v>#N/A N/A</v>
        <stp/>
        <stp>BDP|16891178889173501439</stp>
        <tr r="H2203" s="2"/>
      </tp>
      <tp t="s">
        <v>#N/A N/A</v>
        <stp/>
        <stp>BDP|15676758994284605714</stp>
        <tr r="A2130" s="2"/>
      </tp>
      <tp t="s">
        <v>#N/A N/A</v>
        <stp/>
        <stp>BDP|11349185538832290918</stp>
        <tr r="J1196" s="2"/>
      </tp>
      <tp t="s">
        <v>#N/A N/A</v>
        <stp/>
        <stp>BDP|12830071578099095473</stp>
        <tr r="M1934" s="2"/>
      </tp>
      <tp t="s">
        <v>#N/A N/A</v>
        <stp/>
        <stp>BDP|14160859062674202641</stp>
        <tr r="O2206" s="2"/>
      </tp>
      <tp t="s">
        <v>#N/A N/A</v>
        <stp/>
        <stp>BDP|13599405782116348141</stp>
        <tr r="D2089" s="2"/>
      </tp>
      <tp t="s">
        <v>#N/A N/A</v>
        <stp/>
        <stp>BDP|13221999949685106335</stp>
        <tr r="Q2228" s="2"/>
      </tp>
      <tp t="s">
        <v>#N/A N/A</v>
        <stp/>
        <stp>BDP|11171150717169391007</stp>
        <tr r="C724" s="2"/>
      </tp>
      <tp t="s">
        <v>#N/A N/A</v>
        <stp/>
        <stp>BDP|17165969721997712318</stp>
        <tr r="C1161" s="2"/>
      </tp>
      <tp t="s">
        <v>#N/A N/A</v>
        <stp/>
        <stp>BDP|18210219372480922581</stp>
        <tr r="D699" s="2"/>
      </tp>
      <tp t="s">
        <v>#N/A N/A</v>
        <stp/>
        <stp>BDP|14527460513800537956</stp>
        <tr r="G61" s="2"/>
      </tp>
      <tp t="s">
        <v>#N/A N/A</v>
        <stp/>
        <stp>BDP|17330389250730904922</stp>
        <tr r="T917" s="2"/>
      </tp>
      <tp t="s">
        <v>#N/A N/A</v>
        <stp/>
        <stp>BDP|17658833398016403898</stp>
        <tr r="O596" s="2"/>
      </tp>
      <tp t="s">
        <v>#N/A N/A</v>
        <stp/>
        <stp>BDP|15893693597276316457</stp>
        <tr r="A1558" s="2"/>
      </tp>
      <tp t="s">
        <v>#N/A N/A</v>
        <stp/>
        <stp>BDS|13881299146515380872</stp>
        <tr r="I1218" s="2"/>
      </tp>
      <tp t="s">
        <v>#N/A N/A</v>
        <stp/>
        <stp>BDP|18397236331133548247</stp>
        <tr r="K2045" s="2"/>
      </tp>
      <tp t="s">
        <v>#N/A N/A</v>
        <stp/>
        <stp>BDP|14596175410539104534</stp>
        <tr r="E1150" s="2"/>
      </tp>
      <tp t="s">
        <v>#N/A N/A</v>
        <stp/>
        <stp>BDP|12812313565969476681</stp>
        <tr r="Q1831" s="2"/>
      </tp>
      <tp t="s">
        <v>#N/A N/A</v>
        <stp/>
        <stp>BDP|13982989958250089796</stp>
        <tr r="J1793" s="2"/>
      </tp>
      <tp t="s">
        <v>#N/A N/A</v>
        <stp/>
        <stp>BDP|18220574170262290070</stp>
        <tr r="G764" s="2"/>
      </tp>
      <tp t="s">
        <v>#N/A N/A</v>
        <stp/>
        <stp>BDP|14376548266158857796</stp>
        <tr r="G1519" s="2"/>
      </tp>
      <tp t="s">
        <v>#N/A N/A</v>
        <stp/>
        <stp>BDP|10517799368138627126</stp>
        <tr r="O1877" s="2"/>
      </tp>
      <tp t="s">
        <v>#N/A N/A</v>
        <stp/>
        <stp>BDP|17146599382484374692</stp>
        <tr r="J1597" s="2"/>
      </tp>
      <tp t="s">
        <v>#N/A N/A</v>
        <stp/>
        <stp>BDP|14924392870138847089</stp>
        <tr r="Q1234" s="2"/>
      </tp>
      <tp t="s">
        <v>#N/A N/A</v>
        <stp/>
        <stp>BDP|16494909861780180143</stp>
        <tr r="C130" s="2"/>
      </tp>
      <tp t="s">
        <v>#N/A N/A</v>
        <stp/>
        <stp>BDP|12336414677030768922</stp>
        <tr r="D1914" s="2"/>
      </tp>
      <tp t="s">
        <v>#N/A N/A</v>
        <stp/>
        <stp>BDP|18109683779557810684</stp>
        <tr r="S1378" s="2"/>
      </tp>
      <tp t="s">
        <v>#N/A N/A</v>
        <stp/>
        <stp>BDP|18302324453652225403</stp>
        <tr r="T2071" s="2"/>
      </tp>
      <tp t="s">
        <v>#N/A N/A</v>
        <stp/>
        <stp>BDP|18431609822924336052</stp>
        <tr r="T403" s="2"/>
      </tp>
      <tp t="s">
        <v>#N/A N/A</v>
        <stp/>
        <stp>BDP|15729805490004531826</stp>
        <tr r="A597" s="2"/>
      </tp>
      <tp t="s">
        <v>#N/A N/A</v>
        <stp/>
        <stp>BDP|17489042442413055829</stp>
        <tr r="E2151" s="2"/>
      </tp>
      <tp t="s">
        <v>#N/A N/A</v>
        <stp/>
        <stp>BDP|13547026532709559102</stp>
        <tr r="C1499" s="2"/>
      </tp>
      <tp t="s">
        <v>#N/A N/A</v>
        <stp/>
        <stp>BDP|16534230281211676514</stp>
        <tr r="A1412" s="2"/>
      </tp>
      <tp t="s">
        <v>#N/A N/A</v>
        <stp/>
        <stp>BDP|12865502992826381095</stp>
        <tr r="R1376" s="2"/>
      </tp>
      <tp t="s">
        <v>#N/A N/A</v>
        <stp/>
        <stp>BDP|12669186969165742804</stp>
        <tr r="N856" s="2"/>
      </tp>
      <tp t="s">
        <v>#N/A N/A</v>
        <stp/>
        <stp>BDP|14255314123965505859</stp>
        <tr r="F1044" s="2"/>
      </tp>
      <tp t="s">
        <v>#N/A N/A</v>
        <stp/>
        <stp>BDP|12544093648056417807</stp>
        <tr r="A1228" s="2"/>
      </tp>
      <tp t="s">
        <v>#N/A N/A</v>
        <stp/>
        <stp>BDP|13057626631488114626</stp>
        <tr r="H1383" s="2"/>
      </tp>
      <tp t="s">
        <v>#N/A N/A</v>
        <stp/>
        <stp>BDP|16536104501619229663</stp>
        <tr r="O1120" s="2"/>
      </tp>
      <tp t="s">
        <v>#N/A N/A</v>
        <stp/>
        <stp>BDP|13132836501764024730</stp>
        <tr r="M471" s="2"/>
      </tp>
      <tp t="s">
        <v>#N/A N/A</v>
        <stp/>
        <stp>BDP|11035534144359150161</stp>
        <tr r="S1506" s="2"/>
      </tp>
      <tp t="s">
        <v>#N/A N/A</v>
        <stp/>
        <stp>BDP|16610777135503733930</stp>
        <tr r="G873" s="2"/>
      </tp>
      <tp t="s">
        <v>#N/A N/A</v>
        <stp/>
        <stp>BDP|10197825792980540946</stp>
        <tr r="A1077" s="2"/>
      </tp>
      <tp t="s">
        <v>#N/A N/A</v>
        <stp/>
        <stp>BDP|10692688550082664980</stp>
        <tr r="H1733" s="2"/>
      </tp>
      <tp t="s">
        <v>#N/A N/A</v>
        <stp/>
        <stp>BDP|18426470271124653741</stp>
        <tr r="D2058" s="2"/>
      </tp>
      <tp t="s">
        <v>#N/A N/A</v>
        <stp/>
        <stp>BDP|15046311430755333826</stp>
        <tr r="S222" s="2"/>
      </tp>
      <tp t="s">
        <v>#N/A N/A</v>
        <stp/>
        <stp>BDP|13310976134315006403</stp>
        <tr r="Q1363" s="2"/>
      </tp>
      <tp t="s">
        <v>#N/A N/A</v>
        <stp/>
        <stp>BDP|14973512452978830428</stp>
        <tr r="J2071" s="2"/>
      </tp>
      <tp t="s">
        <v>#N/A N/A</v>
        <stp/>
        <stp>BDP|17601855052571136304</stp>
        <tr r="S1608" s="2"/>
      </tp>
      <tp t="s">
        <v>#N/A N/A</v>
        <stp/>
        <stp>BDP|18406130935777225503</stp>
        <tr r="K1115" s="2"/>
      </tp>
      <tp t="s">
        <v>#N/A N/A</v>
        <stp/>
        <stp>BDP|10068703530248092408</stp>
        <tr r="K1689" s="2"/>
      </tp>
      <tp t="s">
        <v>#N/A N/A</v>
        <stp/>
        <stp>BDP|10176742762660551920</stp>
        <tr r="D1819" s="2"/>
      </tp>
      <tp t="s">
        <v>#N/A N/A</v>
        <stp/>
        <stp>BDP|13242829867693583625</stp>
        <tr r="A510" s="2"/>
      </tp>
      <tp t="s">
        <v>#N/A N/A</v>
        <stp/>
        <stp>BDP|12333312361319042630</stp>
        <tr r="O567" s="2"/>
      </tp>
      <tp t="s">
        <v>#N/A N/A</v>
        <stp/>
        <stp>BDP|13557440548069976204</stp>
        <tr r="K2154" s="2"/>
      </tp>
      <tp t="s">
        <v>#N/A N/A</v>
        <stp/>
        <stp>BDS|15491204093496647028</stp>
        <tr r="I1042" s="2"/>
      </tp>
      <tp t="s">
        <v>#N/A N/A</v>
        <stp/>
        <stp>BDP|16549055683764611252</stp>
        <tr r="D1236" s="2"/>
      </tp>
      <tp t="s">
        <v>#N/A N/A</v>
        <stp/>
        <stp>BDP|16492845420717378338</stp>
        <tr r="C265" s="2"/>
      </tp>
      <tp t="s">
        <v>#N/A N/A</v>
        <stp/>
        <stp>BDP|14871787936400421822</stp>
        <tr r="K1483" s="2"/>
      </tp>
      <tp t="s">
        <v>#N/A N/A</v>
        <stp/>
        <stp>BDP|18145049847127661371</stp>
        <tr r="Q2131" s="2"/>
      </tp>
      <tp t="s">
        <v>#N/A N/A</v>
        <stp/>
        <stp>BDP|14688131341961626819</stp>
        <tr r="P389" s="2"/>
      </tp>
      <tp t="s">
        <v>#N/A N/A</v>
        <stp/>
        <stp>BDP|16588060711307485858</stp>
        <tr r="D736" s="2"/>
      </tp>
      <tp t="s">
        <v>#N/A N/A</v>
        <stp/>
        <stp>BDP|17301948292458313756</stp>
        <tr r="R995" s="2"/>
      </tp>
      <tp t="s">
        <v>#N/A N/A</v>
        <stp/>
        <stp>BDP|14533968322341742657</stp>
        <tr r="Q1810" s="2"/>
      </tp>
      <tp t="s">
        <v>#N/A N/A</v>
        <stp/>
        <stp>BDP|17702740491659493854</stp>
        <tr r="A1271" s="2"/>
      </tp>
      <tp t="s">
        <v>#N/A N/A</v>
        <stp/>
        <stp>BDP|12710119189776874543</stp>
        <tr r="O1680" s="2"/>
      </tp>
      <tp t="s">
        <v>#N/A N/A</v>
        <stp/>
        <stp>BDP|12688876440850554679</stp>
        <tr r="M1540" s="2"/>
      </tp>
      <tp t="s">
        <v>#N/A N/A</v>
        <stp/>
        <stp>BDP|15122365401209388767</stp>
        <tr r="J527" s="2"/>
      </tp>
      <tp t="s">
        <v>#N/A N/A</v>
        <stp/>
        <stp>BDP|17829584285361064369</stp>
        <tr r="O1865" s="2"/>
      </tp>
      <tp t="s">
        <v>#N/A N/A</v>
        <stp/>
        <stp>BDP|14114113581990630542</stp>
        <tr r="K1948" s="2"/>
      </tp>
      <tp t="s">
        <v>#N/A N/A</v>
        <stp/>
        <stp>BDP|15647708948657453995</stp>
        <tr r="S893" s="2"/>
      </tp>
      <tp t="s">
        <v>#N/A N/A</v>
        <stp/>
        <stp>BDS|10266907827441562209</stp>
        <tr r="I2070" s="2"/>
      </tp>
      <tp t="s">
        <v>#N/A N/A</v>
        <stp/>
        <stp>BDS|11823887265486193142</stp>
        <tr r="I301" s="2"/>
      </tp>
      <tp t="s">
        <v>#N/A N/A</v>
        <stp/>
        <stp>BDP|17448069136758299459</stp>
        <tr r="T1461" s="2"/>
      </tp>
      <tp t="s">
        <v>#N/A N/A</v>
        <stp/>
        <stp>BDP|15383368565211611959</stp>
        <tr r="P580" s="2"/>
      </tp>
      <tp t="s">
        <v>#N/A N/A</v>
        <stp/>
        <stp>BDP|13801492585216337149</stp>
        <tr r="M1796" s="2"/>
      </tp>
      <tp t="s">
        <v>#N/A N/A</v>
        <stp/>
        <stp>BDP|10928856219384383556</stp>
        <tr r="A1950" s="2"/>
      </tp>
      <tp t="s">
        <v>#N/A N/A</v>
        <stp/>
        <stp>BDS|15127328791177524070</stp>
        <tr r="I340" s="2"/>
      </tp>
      <tp t="s">
        <v>#N/A N/A</v>
        <stp/>
        <stp>BDP|15660507706610689857</stp>
        <tr r="G986" s="2"/>
      </tp>
      <tp t="s">
        <v>#N/A N/A</v>
        <stp/>
        <stp>BDP|17382272114294775847</stp>
        <tr r="N868" s="2"/>
      </tp>
      <tp t="s">
        <v>#N/A N/A</v>
        <stp/>
        <stp>BDP|16119487809139197326</stp>
        <tr r="E174" s="2"/>
      </tp>
      <tp t="s">
        <v>#N/A N/A</v>
        <stp/>
        <stp>BDP|18091584587585808840</stp>
        <tr r="S1026" s="2"/>
      </tp>
      <tp t="s">
        <v>#N/A N/A</v>
        <stp/>
        <stp>BDP|10469288074588976524</stp>
        <tr r="C1660" s="2"/>
      </tp>
      <tp t="s">
        <v>#N/A N/A</v>
        <stp/>
        <stp>BDP|13072042492317281576</stp>
        <tr r="Q403" s="2"/>
      </tp>
      <tp t="s">
        <v>#N/A N/A</v>
        <stp/>
        <stp>BDP|13524971520218974889</stp>
        <tr r="H402" s="2"/>
      </tp>
      <tp t="s">
        <v>#N/A N/A</v>
        <stp/>
        <stp>BDP|10733408354180350931</stp>
        <tr r="C1393" s="2"/>
      </tp>
      <tp t="s">
        <v>#N/A N/A</v>
        <stp/>
        <stp>BDP|13749744292393598674</stp>
        <tr r="N1699" s="2"/>
      </tp>
      <tp t="s">
        <v>#N/A N/A</v>
        <stp/>
        <stp>BDP|13725818419003575193</stp>
        <tr r="K1144" s="2"/>
      </tp>
      <tp t="s">
        <v>#N/A N/A</v>
        <stp/>
        <stp>BDP|10209239322961285925</stp>
        <tr r="T561" s="2"/>
      </tp>
      <tp t="s">
        <v>#N/A N/A</v>
        <stp/>
        <stp>BDP|16585782293141852153</stp>
        <tr r="D2123" s="2"/>
      </tp>
      <tp t="s">
        <v>#N/A N/A</v>
        <stp/>
        <stp>BDP|16323112281131251629</stp>
        <tr r="E1796" s="2"/>
      </tp>
      <tp t="s">
        <v>#N/A N/A</v>
        <stp/>
        <stp>BDP|14459591598094717418</stp>
        <tr r="C1614" s="2"/>
      </tp>
      <tp t="s">
        <v>#N/A N/A</v>
        <stp/>
        <stp>BDP|10528774320444681976</stp>
        <tr r="S1346" s="2"/>
      </tp>
      <tp t="s">
        <v>#N/A N/A</v>
        <stp/>
        <stp>BDP|15591348527844259870</stp>
        <tr r="H1111" s="2"/>
      </tp>
      <tp t="s">
        <v>#N/A N/A</v>
        <stp/>
        <stp>BDP|14991703159028039635</stp>
        <tr r="N1297" s="2"/>
      </tp>
      <tp t="s">
        <v>#N/A N/A</v>
        <stp/>
        <stp>BDP|15425579533992682956</stp>
        <tr r="D228" s="2"/>
      </tp>
      <tp t="s">
        <v>#N/A N/A</v>
        <stp/>
        <stp>BDP|15531830863623611008</stp>
        <tr r="Q2144" s="2"/>
      </tp>
      <tp t="s">
        <v>#N/A N/A</v>
        <stp/>
        <stp>BDP|10414619582922042449</stp>
        <tr r="M1777" s="2"/>
      </tp>
      <tp t="s">
        <v>#N/A N/A</v>
        <stp/>
        <stp>BDP|14988489853915140800</stp>
        <tr r="O482" s="2"/>
      </tp>
      <tp t="s">
        <v>#N/A N/A</v>
        <stp/>
        <stp>BDP|15970159736469121684</stp>
        <tr r="N152" s="2"/>
      </tp>
      <tp t="s">
        <v>#N/A N/A</v>
        <stp/>
        <stp>BDS|11405977311314559572</stp>
        <tr r="I1163" s="2"/>
      </tp>
      <tp t="s">
        <v>#N/A N/A</v>
        <stp/>
        <stp>BDP|10830976965176077190</stp>
        <tr r="K1963" s="2"/>
      </tp>
      <tp t="s">
        <v>#N/A N/A</v>
        <stp/>
        <stp>BDP|18028989299325331518</stp>
        <tr r="R1724" s="2"/>
      </tp>
      <tp t="s">
        <v>#N/A N/A</v>
        <stp/>
        <stp>BDP|13986797801884702854</stp>
        <tr r="P707" s="2"/>
      </tp>
      <tp t="s">
        <v>#N/A N/A</v>
        <stp/>
        <stp>BDP|17069856911254185269</stp>
        <tr r="N2091" s="2"/>
      </tp>
      <tp t="s">
        <v>#N/A N/A</v>
        <stp/>
        <stp>BDP|11759359491283857088</stp>
        <tr r="F1392" s="2"/>
      </tp>
      <tp t="s">
        <v>#N/A N/A</v>
        <stp/>
        <stp>BDP|16955726110638945012</stp>
        <tr r="K563" s="2"/>
      </tp>
      <tp t="s">
        <v>#N/A N/A</v>
        <stp/>
        <stp>BDP|12859693023169631776</stp>
        <tr r="J1014" s="2"/>
      </tp>
      <tp t="s">
        <v>#N/A N/A</v>
        <stp/>
        <stp>BDP|11804345995584951737</stp>
        <tr r="G2217" s="2"/>
      </tp>
      <tp t="s">
        <v>#N/A N/A</v>
        <stp/>
        <stp>BDP|14166875845165468546</stp>
        <tr r="T1570" s="2"/>
      </tp>
      <tp t="s">
        <v>#N/A N/A</v>
        <stp/>
        <stp>BDP|15402546446794273877</stp>
        <tr r="F1399" s="2"/>
      </tp>
      <tp t="s">
        <v>#N/A N/A</v>
        <stp/>
        <stp>BDP|14535958862832917183</stp>
        <tr r="M1309" s="2"/>
      </tp>
      <tp t="s">
        <v>#N/A N/A</v>
        <stp/>
        <stp>BDP|17604299059059408118</stp>
        <tr r="K164" s="2"/>
      </tp>
      <tp t="s">
        <v>#N/A N/A</v>
        <stp/>
        <stp>BDP|10616041590880513148</stp>
        <tr r="F887" s="2"/>
      </tp>
      <tp t="s">
        <v>#N/A N/A</v>
        <stp/>
        <stp>BDP|17302852817127623140</stp>
        <tr r="N1271" s="2"/>
      </tp>
      <tp t="s">
        <v>#N/A N/A</v>
        <stp/>
        <stp>BDP|13756508622154485825</stp>
        <tr r="T648" s="2"/>
      </tp>
      <tp t="s">
        <v>#N/A N/A</v>
        <stp/>
        <stp>BDP|18323151077480371610</stp>
        <tr r="E2228" s="2"/>
      </tp>
      <tp t="s">
        <v>#N/A N/A</v>
        <stp/>
        <stp>BDP|16902292161442361810</stp>
        <tr r="G2123" s="2"/>
      </tp>
      <tp t="s">
        <v>#N/A N/A</v>
        <stp/>
        <stp>BDP|14814091297142313760</stp>
        <tr r="O1227" s="2"/>
      </tp>
      <tp t="s">
        <v>#N/A N/A</v>
        <stp/>
        <stp>BDP|13819304059514478967</stp>
        <tr r="E1516" s="2"/>
      </tp>
      <tp t="s">
        <v>#N/A N/A</v>
        <stp/>
        <stp>BDP|15766996238172240575</stp>
        <tr r="E596" s="2"/>
      </tp>
      <tp t="s">
        <v>#N/A N/A</v>
        <stp/>
        <stp>BDP|16739754621402570953</stp>
        <tr r="H1473" s="2"/>
      </tp>
      <tp t="s">
        <v>#N/A N/A</v>
        <stp/>
        <stp>BDS|17935580750316028915</stp>
        <tr r="I631" s="2"/>
      </tp>
      <tp t="s">
        <v>#N/A N/A</v>
        <stp/>
        <stp>BDP|11365233134520712806</stp>
        <tr r="O880" s="2"/>
      </tp>
      <tp t="s">
        <v>#N/A N/A</v>
        <stp/>
        <stp>BDP|15412524030068473315</stp>
        <tr r="M2016" s="2"/>
      </tp>
      <tp t="s">
        <v>#N/A N/A</v>
        <stp/>
        <stp>BDP|13452309154558187526</stp>
        <tr r="C537" s="2"/>
      </tp>
      <tp t="s">
        <v>#N/A N/A</v>
        <stp/>
        <stp>BDP|14152127082550698548</stp>
        <tr r="O1992" s="2"/>
      </tp>
      <tp t="s">
        <v>#N/A N/A</v>
        <stp/>
        <stp>BDP|14686067041861598978</stp>
        <tr r="P530" s="2"/>
      </tp>
      <tp t="s">
        <v>#N/A N/A</v>
        <stp/>
        <stp>BDP|13327157591794430707</stp>
        <tr r="D1872" s="2"/>
      </tp>
      <tp t="s">
        <v>#N/A N/A</v>
        <stp/>
        <stp>BDP|11385646128444883944</stp>
        <tr r="S713" s="2"/>
      </tp>
      <tp t="s">
        <v>#N/A N/A</v>
        <stp/>
        <stp>BDP|11672952166141529733</stp>
        <tr r="N2030" s="2"/>
      </tp>
      <tp t="s">
        <v>#N/A N/A</v>
        <stp/>
        <stp>BDP|14903265647658305286</stp>
        <tr r="C839" s="2"/>
      </tp>
      <tp t="s">
        <v>#N/A N/A</v>
        <stp/>
        <stp>BDP|13417575677559470033</stp>
        <tr r="N1580" s="2"/>
      </tp>
      <tp t="s">
        <v>#N/A N/A</v>
        <stp/>
        <stp>BDP|15475320361280356874</stp>
        <tr r="O2159" s="2"/>
      </tp>
      <tp t="s">
        <v>#N/A N/A</v>
        <stp/>
        <stp>BDP|12787955148450157788</stp>
        <tr r="M1613" s="2"/>
      </tp>
      <tp t="s">
        <v>#N/A N/A</v>
        <stp/>
        <stp>BDS|13601234681752143353</stp>
        <tr r="I715" s="2"/>
      </tp>
      <tp t="s">
        <v>#N/A N/A</v>
        <stp/>
        <stp>BDP|11186641740159444228</stp>
        <tr r="A1186" s="2"/>
      </tp>
      <tp t="s">
        <v>#N/A N/A</v>
        <stp/>
        <stp>BDP|11234927309651952133</stp>
        <tr r="D1733" s="2"/>
      </tp>
      <tp t="s">
        <v>#N/A N/A</v>
        <stp/>
        <stp>BDP|13242835302564154715</stp>
        <tr r="E496" s="2"/>
      </tp>
      <tp t="s">
        <v>#N/A N/A</v>
        <stp/>
        <stp>BDP|11582687298474497239</stp>
        <tr r="D1807" s="2"/>
      </tp>
      <tp t="s">
        <v>#N/A N/A</v>
        <stp/>
        <stp>BDP|12827235661966954810</stp>
        <tr r="T433" s="2"/>
      </tp>
      <tp t="s">
        <v>#N/A N/A</v>
        <stp/>
        <stp>BDP|12484826027672655257</stp>
        <tr r="J286" s="2"/>
      </tp>
      <tp t="s">
        <v>#N/A N/A</v>
        <stp/>
        <stp>BDP|14484057111754011923</stp>
        <tr r="F1016" s="2"/>
      </tp>
      <tp t="s">
        <v>#N/A N/A</v>
        <stp/>
        <stp>BDP|13919304374808768781</stp>
        <tr r="D1158" s="2"/>
      </tp>
      <tp t="s">
        <v>#N/A N/A</v>
        <stp/>
        <stp>BDP|17862474796473940128</stp>
        <tr r="G1124" s="2"/>
      </tp>
      <tp t="s">
        <v>#N/A N/A</v>
        <stp/>
        <stp>BDP|13141088478105348900</stp>
        <tr r="P1115" s="2"/>
      </tp>
      <tp t="s">
        <v>#N/A N/A</v>
        <stp/>
        <stp>BDP|16230003087356138069</stp>
        <tr r="J1555" s="2"/>
      </tp>
      <tp t="s">
        <v>#N/A N/A</v>
        <stp/>
        <stp>BDS|11189963675603136427</stp>
        <tr r="I1328" s="2"/>
      </tp>
      <tp t="s">
        <v>#N/A N/A</v>
        <stp/>
        <stp>BDP|13417929338229975854</stp>
        <tr r="A639" s="2"/>
      </tp>
      <tp t="s">
        <v>#N/A N/A</v>
        <stp/>
        <stp>BDP|10319591303874914921</stp>
        <tr r="M361" s="2"/>
      </tp>
      <tp t="s">
        <v>#N/A N/A</v>
        <stp/>
        <stp>BDP|17224484258329781775</stp>
        <tr r="M1571" s="2"/>
      </tp>
      <tp t="s">
        <v>#N/A N/A</v>
        <stp/>
        <stp>BDP|11050848107704827590</stp>
        <tr r="A204" s="2"/>
      </tp>
      <tp t="s">
        <v>#N/A N/A</v>
        <stp/>
        <stp>BDP|13355540010868442711</stp>
        <tr r="Q1615" s="2"/>
      </tp>
      <tp t="s">
        <v>#N/A N/A</v>
        <stp/>
        <stp>BDP|13984945469865545139</stp>
        <tr r="J72" s="2"/>
      </tp>
      <tp t="s">
        <v>#N/A N/A</v>
        <stp/>
        <stp>BDP|14839581086136287764</stp>
        <tr r="D1358" s="2"/>
      </tp>
      <tp t="s">
        <v>#N/A N/A</v>
        <stp/>
        <stp>BDP|16631300174012590855</stp>
        <tr r="A171" s="2"/>
      </tp>
      <tp t="s">
        <v>#N/A N/A</v>
        <stp/>
        <stp>BDP|14021867204987910393</stp>
        <tr r="S537" s="2"/>
      </tp>
      <tp t="s">
        <v>#N/A N/A</v>
        <stp/>
        <stp>BDP|11375094321772136989</stp>
        <tr r="G1402" s="2"/>
      </tp>
      <tp t="s">
        <v>#N/A N/A</v>
        <stp/>
        <stp>BDP|11167728854458304367</stp>
        <tr r="J2011" s="2"/>
      </tp>
      <tp t="s">
        <v>#N/A N/A</v>
        <stp/>
        <stp>BDP|11651206100778012348</stp>
        <tr r="P799" s="2"/>
      </tp>
      <tp t="s">
        <v>#N/A N/A</v>
        <stp/>
        <stp>BDP|11155517392542385732</stp>
        <tr r="A1846" s="2"/>
      </tp>
      <tp t="s">
        <v>#N/A N/A</v>
        <stp/>
        <stp>BDP|10580574325419123647</stp>
        <tr r="O2216" s="2"/>
      </tp>
      <tp t="s">
        <v>#N/A N/A</v>
        <stp/>
        <stp>BDP|15083972527876270008</stp>
        <tr r="F75" s="2"/>
      </tp>
      <tp t="s">
        <v>#N/A N/A</v>
        <stp/>
        <stp>BDP|11507983273806569191</stp>
        <tr r="C1562" s="2"/>
      </tp>
      <tp t="s">
        <v>#N/A N/A</v>
        <stp/>
        <stp>BDP|16444028886085608340</stp>
        <tr r="P711" s="2"/>
      </tp>
      <tp t="s">
        <v>#N/A N/A</v>
        <stp/>
        <stp>BDP|10396338226118681124</stp>
        <tr r="P1255" s="2"/>
      </tp>
      <tp t="s">
        <v>#N/A N/A</v>
        <stp/>
        <stp>BDP|17790172242329336337</stp>
        <tr r="A518" s="2"/>
      </tp>
      <tp t="s">
        <v>#N/A N/A</v>
        <stp/>
        <stp>BDP|15395356637119013433</stp>
        <tr r="A214" s="2"/>
      </tp>
      <tp t="s">
        <v>#N/A N/A</v>
        <stp/>
        <stp>BDP|17881988210875336217</stp>
        <tr r="C514" s="2"/>
      </tp>
      <tp t="s">
        <v>#N/A N/A</v>
        <stp/>
        <stp>BDP|18333136907651711021</stp>
        <tr r="F309" s="2"/>
      </tp>
      <tp t="s">
        <v>#N/A N/A</v>
        <stp/>
        <stp>BDP|15487872536211299752</stp>
        <tr r="Q895" s="2"/>
      </tp>
      <tp t="s">
        <v>#N/A N/A</v>
        <stp/>
        <stp>BDP|15713980132380740785</stp>
        <tr r="J1373" s="2"/>
      </tp>
      <tp t="s">
        <v>#N/A N/A</v>
        <stp/>
        <stp>BDP|15133112949349352185</stp>
        <tr r="M876" s="2"/>
      </tp>
      <tp t="s">
        <v>#N/A N/A</v>
        <stp/>
        <stp>BDP|17337831463002356325</stp>
        <tr r="R2058" s="2"/>
      </tp>
      <tp t="s">
        <v>#N/A N/A</v>
        <stp/>
        <stp>BDP|12968099564885445921</stp>
        <tr r="G2078" s="2"/>
      </tp>
      <tp t="s">
        <v>#N/A N/A</v>
        <stp/>
        <stp>BDP|17362972337555264035</stp>
        <tr r="H1131" s="2"/>
      </tp>
      <tp t="s">
        <v>#N/A N/A</v>
        <stp/>
        <stp>BDP|17422116171130550932</stp>
        <tr r="N1258" s="2"/>
      </tp>
      <tp t="s">
        <v>#N/A N/A</v>
        <stp/>
        <stp>BDP|16616346586793314651</stp>
        <tr r="O1472" s="2"/>
      </tp>
      <tp t="s">
        <v>#N/A N/A</v>
        <stp/>
        <stp>BDP|12266529086892538514</stp>
        <tr r="E1219" s="2"/>
      </tp>
      <tp t="s">
        <v>#N/A N/A</v>
        <stp/>
        <stp>BDP|11614033322668627336</stp>
        <tr r="K340" s="2"/>
      </tp>
      <tp t="s">
        <v>#N/A N/A</v>
        <stp/>
        <stp>BDP|10017420132699652645</stp>
        <tr r="S1031" s="2"/>
      </tp>
      <tp t="s">
        <v>#N/A N/A</v>
        <stp/>
        <stp>BDP|16652290860243481998</stp>
        <tr r="G1235" s="2"/>
      </tp>
      <tp t="s">
        <v>#N/A N/A</v>
        <stp/>
        <stp>BDS|11118184035323835852</stp>
        <tr r="I1502" s="2"/>
      </tp>
      <tp t="s">
        <v>#N/A N/A</v>
        <stp/>
        <stp>BDS|15551044927457164864</stp>
        <tr r="I1844" s="2"/>
      </tp>
      <tp t="s">
        <v>#N/A N/A</v>
        <stp/>
        <stp>BDP|13413041653627870996</stp>
        <tr r="S1467" s="2"/>
      </tp>
      <tp t="s">
        <v>#N/A N/A</v>
        <stp/>
        <stp>BDP|11535827306253482279</stp>
        <tr r="C2142" s="2"/>
      </tp>
      <tp t="s">
        <v>#N/A N/A</v>
        <stp/>
        <stp>BDP|12829821516685705692</stp>
        <tr r="M1048" s="2"/>
      </tp>
      <tp t="s">
        <v>#N/A N/A</v>
        <stp/>
        <stp>BDP|14494215995656745158</stp>
        <tr r="R1594" s="2"/>
      </tp>
      <tp t="s">
        <v>#N/A N/A</v>
        <stp/>
        <stp>BDP|14918526488836501749</stp>
        <tr r="M1488" s="2"/>
      </tp>
      <tp t="s">
        <v>#N/A N/A</v>
        <stp/>
        <stp>BDP|16286815956410285357</stp>
        <tr r="G2063" s="2"/>
      </tp>
      <tp t="s">
        <v>#N/A N/A</v>
        <stp/>
        <stp>BDP|11562005694625121521</stp>
        <tr r="G458" s="2"/>
      </tp>
      <tp t="s">
        <v>#N/A N/A</v>
        <stp/>
        <stp>BDP|11811521188963197716</stp>
        <tr r="D2078" s="2"/>
      </tp>
      <tp t="s">
        <v>#N/A N/A</v>
        <stp/>
        <stp>BDP|13953758365443899935</stp>
        <tr r="A240" s="2"/>
      </tp>
      <tp t="s">
        <v>#N/A N/A</v>
        <stp/>
        <stp>BDP|10041860358673469681</stp>
        <tr r="J614" s="2"/>
      </tp>
      <tp t="s">
        <v>#N/A N/A</v>
        <stp/>
        <stp>BDP|17614502547196217816</stp>
        <tr r="O851" s="2"/>
      </tp>
      <tp t="s">
        <v>#N/A N/A</v>
        <stp/>
        <stp>BDP|14838607251236370984</stp>
        <tr r="H189" s="2"/>
      </tp>
      <tp t="s">
        <v>#N/A N/A</v>
        <stp/>
        <stp>BDP|17210603150549432541</stp>
        <tr r="J1708" s="2"/>
      </tp>
      <tp t="s">
        <v>#N/A N/A</v>
        <stp/>
        <stp>BDP|15602935087275634961</stp>
        <tr r="E1710" s="2"/>
      </tp>
      <tp t="s">
        <v>#N/A N/A</v>
        <stp/>
        <stp>BDP|10670100741244783928</stp>
        <tr r="R1354" s="2"/>
      </tp>
      <tp t="s">
        <v>#N/A N/A</v>
        <stp/>
        <stp>BDP|17447460009318835311</stp>
        <tr r="M1227" s="2"/>
      </tp>
      <tp t="s">
        <v>#N/A N/A</v>
        <stp/>
        <stp>BDP|18427399758276185064</stp>
        <tr r="E1769" s="2"/>
      </tp>
      <tp t="s">
        <v>#N/A N/A</v>
        <stp/>
        <stp>BDP|15230906901751509546</stp>
        <tr r="E2237" s="2"/>
      </tp>
      <tp t="s">
        <v>#N/A N/A</v>
        <stp/>
        <stp>BDP|11961401249629516074</stp>
        <tr r="J54" s="2"/>
      </tp>
      <tp t="s">
        <v>#N/A N/A</v>
        <stp/>
        <stp>BDP|10100439304864706835</stp>
        <tr r="H1308" s="2"/>
      </tp>
      <tp t="s">
        <v>#N/A N/A</v>
        <stp/>
        <stp>BDP|11059522728346973868</stp>
        <tr r="M899" s="2"/>
      </tp>
      <tp t="s">
        <v>#N/A N/A</v>
        <stp/>
        <stp>BDP|12493176778838887464</stp>
        <tr r="T1074" s="2"/>
      </tp>
      <tp t="s">
        <v>#N/A N/A</v>
        <stp/>
        <stp>BDP|10306325481743695030</stp>
        <tr r="E1801" s="2"/>
      </tp>
      <tp t="s">
        <v>#N/A N/A</v>
        <stp/>
        <stp>BDP|16635462244346311828</stp>
        <tr r="N1883" s="2"/>
      </tp>
      <tp t="s">
        <v>#N/A N/A</v>
        <stp/>
        <stp>BDP|12353829701206349460</stp>
        <tr r="C1778" s="2"/>
      </tp>
      <tp t="s">
        <v>#N/A N/A</v>
        <stp/>
        <stp>BDP|16255710891639795900</stp>
        <tr r="K1222" s="2"/>
      </tp>
      <tp t="s">
        <v>#N/A N/A</v>
        <stp/>
        <stp>BDP|12103223395939436873</stp>
        <tr r="Q2093" s="2"/>
      </tp>
      <tp t="s">
        <v>#N/A N/A</v>
        <stp/>
        <stp>BDP|18043027090869780009</stp>
        <tr r="F1089" s="2"/>
      </tp>
      <tp t="s">
        <v>#N/A N/A</v>
        <stp/>
        <stp>BDP|13096868736636144649</stp>
        <tr r="C686" s="2"/>
      </tp>
      <tp t="s">
        <v>#N/A N/A</v>
        <stp/>
        <stp>BDP|12326907322846512716</stp>
        <tr r="C1703" s="2"/>
      </tp>
      <tp t="s">
        <v>#N/A N/A</v>
        <stp/>
        <stp>BDP|11120856643984670143</stp>
        <tr r="C796" s="2"/>
      </tp>
      <tp t="s">
        <v>#N/A N/A</v>
        <stp/>
        <stp>BDP|10477731148878859322</stp>
        <tr r="R2074" s="2"/>
      </tp>
      <tp t="s">
        <v>#N/A N/A</v>
        <stp/>
        <stp>BDP|18018241715285632628</stp>
        <tr r="R336" s="2"/>
      </tp>
      <tp t="s">
        <v>#N/A N/A</v>
        <stp/>
        <stp>BDP|15167828277337176503</stp>
        <tr r="O1218" s="2"/>
      </tp>
      <tp t="s">
        <v>#N/A N/A</v>
        <stp/>
        <stp>BDP|17609416086736793530</stp>
        <tr r="G43" s="2"/>
      </tp>
      <tp t="s">
        <v>#N/A N/A</v>
        <stp/>
        <stp>BDP|15412290946869928273</stp>
        <tr r="G1034" s="2"/>
      </tp>
      <tp t="s">
        <v>#N/A N/A</v>
        <stp/>
        <stp>BDP|17097252412008376414</stp>
        <tr r="J2182" s="2"/>
      </tp>
      <tp t="s">
        <v>#N/A N/A</v>
        <stp/>
        <stp>BDP|10780592189802720758</stp>
        <tr r="A190" s="2"/>
      </tp>
      <tp t="s">
        <v>#N/A N/A</v>
        <stp/>
        <stp>BDP|12734041046137497942</stp>
        <tr r="K427" s="2"/>
      </tp>
      <tp t="s">
        <v>#N/A N/A</v>
        <stp/>
        <stp>BDP|11388648483692189501</stp>
        <tr r="T1025" s="2"/>
      </tp>
      <tp t="s">
        <v>#N/A N/A</v>
        <stp/>
        <stp>BDP|14741841762861579315</stp>
        <tr r="K1093" s="2"/>
      </tp>
      <tp t="s">
        <v>#N/A N/A</v>
        <stp/>
        <stp>BDP|10494474377019803292</stp>
        <tr r="H2193" s="2"/>
      </tp>
      <tp t="s">
        <v>#N/A N/A</v>
        <stp/>
        <stp>BDP|16044803548157891550</stp>
        <tr r="M1945" s="2"/>
      </tp>
      <tp t="s">
        <v>#N/A N/A</v>
        <stp/>
        <stp>BDP|10774968409433431297</stp>
        <tr r="G962" s="2"/>
      </tp>
      <tp t="s">
        <v>#N/A N/A</v>
        <stp/>
        <stp>BDP|13838647713424374899</stp>
        <tr r="E1307" s="2"/>
      </tp>
      <tp t="s">
        <v>#N/A N/A</v>
        <stp/>
        <stp>BDP|14880557082710229184</stp>
        <tr r="D1453" s="2"/>
      </tp>
      <tp t="s">
        <v>#N/A N/A</v>
        <stp/>
        <stp>BDP|16528876919017785092</stp>
        <tr r="R1618" s="2"/>
      </tp>
      <tp t="s">
        <v>#N/A N/A</v>
        <stp/>
        <stp>BDP|18315093716466900708</stp>
        <tr r="J1270" s="2"/>
      </tp>
      <tp t="s">
        <v>#N/A N/A</v>
        <stp/>
        <stp>BDP|13362391895235299482</stp>
        <tr r="J514" s="2"/>
      </tp>
      <tp t="s">
        <v>#N/A N/A</v>
        <stp/>
        <stp>BDP|14574958717013042725</stp>
        <tr r="Q1573" s="2"/>
      </tp>
      <tp t="s">
        <v>#N/A N/A</v>
        <stp/>
        <stp>BDS|17645153594373009419</stp>
        <tr r="I926" s="2"/>
      </tp>
      <tp t="s">
        <v>#N/A N/A</v>
        <stp/>
        <stp>BDP|16258269091163597659</stp>
        <tr r="A1111" s="2"/>
      </tp>
      <tp t="s">
        <v>#N/A N/A</v>
        <stp/>
        <stp>BDP|17642727036549083273</stp>
        <tr r="D2115" s="2"/>
      </tp>
      <tp t="s">
        <v>#N/A N/A</v>
        <stp/>
        <stp>BDP|11936189089213860353</stp>
        <tr r="T1045" s="2"/>
      </tp>
      <tp t="s">
        <v>#N/A N/A</v>
        <stp/>
        <stp>BDP|16568121984970379755</stp>
        <tr r="K308" s="2"/>
      </tp>
      <tp t="s">
        <v>#N/A N/A</v>
        <stp/>
        <stp>BDP|12017808217085256600</stp>
        <tr r="H1543" s="2"/>
      </tp>
      <tp t="s">
        <v>#N/A N/A</v>
        <stp/>
        <stp>BDP|18446289016740673391</stp>
        <tr r="P1608" s="2"/>
      </tp>
      <tp t="s">
        <v>#N/A N/A</v>
        <stp/>
        <stp>BDP|14730168976428549277</stp>
        <tr r="R1964" s="2"/>
      </tp>
      <tp t="s">
        <v>#N/A N/A</v>
        <stp/>
        <stp>BDP|14219290543209990349</stp>
        <tr r="O328" s="2"/>
      </tp>
      <tp t="s">
        <v>#N/A N/A</v>
        <stp/>
        <stp>BDP|13231867458834969209</stp>
        <tr r="O1149" s="2"/>
      </tp>
      <tp t="s">
        <v>#N/A N/A</v>
        <stp/>
        <stp>BDP|17527999630337887213</stp>
        <tr r="E1648" s="2"/>
      </tp>
      <tp t="s">
        <v>#N/A N/A</v>
        <stp/>
        <stp>BDS|14483211199821810623</stp>
        <tr r="I100" s="2"/>
      </tp>
      <tp t="s">
        <v>#N/A N/A</v>
        <stp/>
        <stp>BDP|18433531752577678762</stp>
        <tr r="Q674" s="2"/>
      </tp>
      <tp t="s">
        <v>#N/A N/A</v>
        <stp/>
        <stp>BDP|18110766716703506512</stp>
        <tr r="A405" s="2"/>
      </tp>
      <tp t="s">
        <v>#N/A N/A</v>
        <stp/>
        <stp>BDP|14907895541123463300</stp>
        <tr r="D1108" s="2"/>
      </tp>
      <tp t="s">
        <v>#N/A N/A</v>
        <stp/>
        <stp>BDP|11547552105674703872</stp>
        <tr r="S1086" s="2"/>
      </tp>
      <tp t="s">
        <v>#N/A N/A</v>
        <stp/>
        <stp>BDP|13227845303192331134</stp>
        <tr r="K1137" s="2"/>
      </tp>
      <tp t="s">
        <v>#N/A N/A</v>
        <stp/>
        <stp>BDP|12242046603398036203</stp>
        <tr r="C1487" s="2"/>
      </tp>
      <tp t="s">
        <v>#N/A N/A</v>
        <stp/>
        <stp>BDP|15114965859470220193</stp>
        <tr r="N501" s="2"/>
      </tp>
      <tp t="s">
        <v>#N/A N/A</v>
        <stp/>
        <stp>BDP|12720532034334369864</stp>
        <tr r="O2088" s="2"/>
      </tp>
      <tp t="s">
        <v>#N/A N/A</v>
        <stp/>
        <stp>BDP|12040551498507853104</stp>
        <tr r="T1321" s="2"/>
      </tp>
      <tp t="s">
        <v>#N/A N/A</v>
        <stp/>
        <stp>BDP|16886130148882039962</stp>
        <tr r="P1944" s="2"/>
      </tp>
      <tp t="s">
        <v>#N/A N/A</v>
        <stp/>
        <stp>BDP|10283261623900308810</stp>
        <tr r="N2241" s="2"/>
      </tp>
      <tp t="s">
        <v>#N/A N/A</v>
        <stp/>
        <stp>BDP|10660129623332284904</stp>
        <tr r="R22" s="2"/>
      </tp>
      <tp t="s">
        <v>#N/A N/A</v>
        <stp/>
        <stp>BDP|12548005035510514902</stp>
        <tr r="D557" s="2"/>
      </tp>
      <tp t="s">
        <v>#N/A N/A</v>
        <stp/>
        <stp>BDP|15845357658799845287</stp>
        <tr r="O1114" s="2"/>
      </tp>
      <tp t="s">
        <v>#N/A N/A</v>
        <stp/>
        <stp>BDP|10505541061788384369</stp>
        <tr r="J298" s="2"/>
      </tp>
      <tp t="s">
        <v>#N/A N/A</v>
        <stp/>
        <stp>BDP|13788573435135198814</stp>
        <tr r="S346" s="2"/>
      </tp>
      <tp t="s">
        <v>#N/A N/A</v>
        <stp/>
        <stp>BDP|17473363058478674190</stp>
        <tr r="F1195" s="2"/>
      </tp>
      <tp t="s">
        <v>#N/A N/A</v>
        <stp/>
        <stp>BDP|12527950853152309454</stp>
        <tr r="F1230" s="2"/>
      </tp>
      <tp t="s">
        <v>#N/A N/A</v>
        <stp/>
        <stp>BDP|13074972926706434607</stp>
        <tr r="D64" s="2"/>
      </tp>
      <tp t="s">
        <v>#N/A N/A</v>
        <stp/>
        <stp>BDP|15481929865492605003</stp>
        <tr r="A41" s="2"/>
      </tp>
      <tp t="s">
        <v>#N/A N/A</v>
        <stp/>
        <stp>BDP|11907905615336845714</stp>
        <tr r="G1722" s="2"/>
      </tp>
      <tp t="s">
        <v>#N/A N/A</v>
        <stp/>
        <stp>BDP|17717870206591093638</stp>
        <tr r="D827" s="2"/>
      </tp>
      <tp t="s">
        <v>#N/A N/A</v>
        <stp/>
        <stp>BDP|12959894346445586368</stp>
        <tr r="M191" s="2"/>
      </tp>
      <tp t="s">
        <v>#N/A N/A</v>
        <stp/>
        <stp>BDP|16256796296469909912</stp>
        <tr r="O31" s="2"/>
      </tp>
      <tp t="s">
        <v>#N/A N/A</v>
        <stp/>
        <stp>BDP|13972142991681173281</stp>
        <tr r="H1570" s="2"/>
      </tp>
      <tp t="s">
        <v>#N/A N/A</v>
        <stp/>
        <stp>BDP|16719787197770813054</stp>
        <tr r="K1096" s="2"/>
      </tp>
      <tp t="s">
        <v>#N/A N/A</v>
        <stp/>
        <stp>BDP|18328234984918629279</stp>
        <tr r="G1417" s="2"/>
      </tp>
      <tp t="s">
        <v>#N/A N/A</v>
        <stp/>
        <stp>BDP|13464916012654244706</stp>
        <tr r="K1331" s="2"/>
      </tp>
      <tp t="s">
        <v>#N/A N/A</v>
        <stp/>
        <stp>BDP|11303801103654513502</stp>
        <tr r="K1929" s="2"/>
      </tp>
      <tp t="s">
        <v>#N/A N/A</v>
        <stp/>
        <stp>BDP|10007173534179742312</stp>
        <tr r="D1000" s="2"/>
      </tp>
      <tp t="s">
        <v>#N/A N/A</v>
        <stp/>
        <stp>BDP|13441720584766654212</stp>
        <tr r="H594" s="2"/>
      </tp>
      <tp t="s">
        <v>#N/A N/A</v>
        <stp/>
        <stp>BDS|16032095964580855832</stp>
        <tr r="I628" s="2"/>
      </tp>
      <tp t="s">
        <v>#N/A N/A</v>
        <stp/>
        <stp>BDP|13287434208859451685</stp>
        <tr r="A1995" s="2"/>
      </tp>
      <tp t="s">
        <v>#N/A N/A</v>
        <stp/>
        <stp>BDP|17651717544548171474</stp>
        <tr r="M915" s="2"/>
      </tp>
      <tp t="s">
        <v>#N/A N/A</v>
        <stp/>
        <stp>BDP|11003187129479175350</stp>
        <tr r="Q1448" s="2"/>
      </tp>
      <tp t="s">
        <v>#N/A N/A</v>
        <stp/>
        <stp>BDP|11897242983061388297</stp>
        <tr r="K963" s="2"/>
      </tp>
      <tp t="s">
        <v>#N/A N/A</v>
        <stp/>
        <stp>BDP|11126914239590401398</stp>
        <tr r="S742" s="2"/>
      </tp>
      <tp t="s">
        <v>#N/A N/A</v>
        <stp/>
        <stp>BDP|13203677483762580773</stp>
        <tr r="A745" s="2"/>
      </tp>
      <tp t="s">
        <v>#N/A N/A</v>
        <stp/>
        <stp>BDP|13438988910185980618</stp>
        <tr r="S240" s="2"/>
      </tp>
      <tp t="s">
        <v>#N/A N/A</v>
        <stp/>
        <stp>BDP|15480831851649538976</stp>
        <tr r="M189" s="2"/>
      </tp>
      <tp t="s">
        <v>#N/A N/A</v>
        <stp/>
        <stp>BDP|11660621342703182832</stp>
        <tr r="O327" s="2"/>
      </tp>
      <tp t="s">
        <v>#N/A N/A</v>
        <stp/>
        <stp>BDP|16680860823046356244</stp>
        <tr r="H180" s="2"/>
      </tp>
      <tp t="s">
        <v>#N/A N/A</v>
        <stp/>
        <stp>BDP|14758802936905464211</stp>
        <tr r="N1034" s="2"/>
      </tp>
      <tp t="s">
        <v>#N/A N/A</v>
        <stp/>
        <stp>BDP|11869758238639518440</stp>
        <tr r="P976" s="2"/>
      </tp>
      <tp t="s">
        <v>#N/A N/A</v>
        <stp/>
        <stp>BDP|11804994026081550369</stp>
        <tr r="N809" s="2"/>
      </tp>
      <tp t="s">
        <v>#N/A N/A</v>
        <stp/>
        <stp>BDP|11597475232266649822</stp>
        <tr r="Q320" s="2"/>
      </tp>
      <tp t="s">
        <v>#N/A N/A</v>
        <stp/>
        <stp>BDP|17741023392843253512</stp>
        <tr r="D1777" s="2"/>
      </tp>
      <tp t="s">
        <v>#N/A N/A</v>
        <stp/>
        <stp>BDP|11415839236214441616</stp>
        <tr r="M34" s="2"/>
      </tp>
      <tp t="s">
        <v>#N/A N/A</v>
        <stp/>
        <stp>BDP|10302635364960155811</stp>
        <tr r="F1523" s="2"/>
      </tp>
      <tp t="s">
        <v>#N/A N/A</v>
        <stp/>
        <stp>BDP|12658919921240637145</stp>
        <tr r="K1646" s="2"/>
      </tp>
      <tp t="s">
        <v>#N/A N/A</v>
        <stp/>
        <stp>BDP|10146863886631676939</stp>
        <tr r="M43" s="2"/>
      </tp>
      <tp t="s">
        <v>#N/A N/A</v>
        <stp/>
        <stp>BDP|10839008237889996225</stp>
        <tr r="M141" s="2"/>
      </tp>
      <tp t="s">
        <v>#N/A N/A</v>
        <stp/>
        <stp>BDP|18245343337372483213</stp>
        <tr r="O1489" s="2"/>
      </tp>
      <tp t="s">
        <v>#N/A N/A</v>
        <stp/>
        <stp>BDP|14425577776156938889</stp>
        <tr r="G226" s="2"/>
      </tp>
      <tp t="s">
        <v>#N/A N/A</v>
        <stp/>
        <stp>BDP|17713157668551995974</stp>
        <tr r="K1664" s="2"/>
      </tp>
      <tp t="s">
        <v>#N/A N/A</v>
        <stp/>
        <stp>BDP|14466747789217897454</stp>
        <tr r="Q768" s="2"/>
      </tp>
      <tp t="s">
        <v>#N/A N/A</v>
        <stp/>
        <stp>BDP|16187612084553485349</stp>
        <tr r="G1416" s="2"/>
      </tp>
      <tp t="s">
        <v>#N/A N/A</v>
        <stp/>
        <stp>BDP|17520149162409011170</stp>
        <tr r="S622" s="2"/>
      </tp>
      <tp t="s">
        <v>#N/A N/A</v>
        <stp/>
        <stp>BDP|18350484250867749680</stp>
        <tr r="P2226" s="2"/>
      </tp>
      <tp t="s">
        <v>#N/A N/A</v>
        <stp/>
        <stp>BDP|12072915128985854453</stp>
        <tr r="A489" s="2"/>
      </tp>
      <tp t="s">
        <v>#N/A N/A</v>
        <stp/>
        <stp>BDP|12246955776010651439</stp>
        <tr r="A260" s="2"/>
      </tp>
      <tp t="s">
        <v>#N/A N/A</v>
        <stp/>
        <stp>BDP|11388731160451314970</stp>
        <tr r="N465" s="2"/>
      </tp>
      <tp t="s">
        <v>#N/A N/A</v>
        <stp/>
        <stp>BDP|14074114186971509466</stp>
        <tr r="Q1953" s="2"/>
      </tp>
      <tp t="s">
        <v>#N/A N/A</v>
        <stp/>
        <stp>BDP|10578701697494260248</stp>
        <tr r="C2095" s="2"/>
      </tp>
      <tp t="s">
        <v>#N/A N/A</v>
        <stp/>
        <stp>BDP|14063319305699883682</stp>
        <tr r="S306" s="2"/>
      </tp>
      <tp t="s">
        <v>#N/A N/A</v>
        <stp/>
        <stp>BDP|18361252773760983588</stp>
        <tr r="R1153" s="2"/>
      </tp>
      <tp t="s">
        <v>#N/A N/A</v>
        <stp/>
        <stp>BDP|11385517517965829896</stp>
        <tr r="N1203" s="2"/>
      </tp>
      <tp t="s">
        <v>#N/A N/A</v>
        <stp/>
        <stp>BDP|15106109947129292103</stp>
        <tr r="O2208" s="2"/>
      </tp>
      <tp t="s">
        <v>#N/A N/A</v>
        <stp/>
        <stp>BDP|13499982168586788274</stp>
        <tr r="C1712" s="2"/>
      </tp>
      <tp t="s">
        <v>#N/A N/A</v>
        <stp/>
        <stp>BDP|13532975712027472403</stp>
        <tr r="N1334" s="2"/>
      </tp>
      <tp t="s">
        <v>#N/A N/A</v>
        <stp/>
        <stp>BDS|14316059764439577309</stp>
        <tr r="I2162" s="2"/>
      </tp>
      <tp t="s">
        <v>#N/A N/A</v>
        <stp/>
        <stp>BDP|10559732991285729345</stp>
        <tr r="F1113" s="2"/>
      </tp>
      <tp t="s">
        <v>#N/A N/A</v>
        <stp/>
        <stp>BDP|14448616024288070055</stp>
        <tr r="P1906" s="2"/>
      </tp>
      <tp t="s">
        <v>#N/A N/A</v>
        <stp/>
        <stp>BDP|11755786680371936721</stp>
        <tr r="E1963" s="2"/>
      </tp>
      <tp t="s">
        <v>#N/A N/A</v>
        <stp/>
        <stp>BDP|18170962495711318152</stp>
        <tr r="K52" s="2"/>
      </tp>
      <tp t="s">
        <v>#N/A N/A</v>
        <stp/>
        <stp>BDP|15941417340999887443</stp>
        <tr r="J702" s="2"/>
      </tp>
      <tp t="s">
        <v>#N/A N/A</v>
        <stp/>
        <stp>BDP|13747919893842654971</stp>
        <tr r="O1995" s="2"/>
      </tp>
      <tp t="s">
        <v>#N/A N/A</v>
        <stp/>
        <stp>BDP|11516655462279131074</stp>
        <tr r="P479" s="2"/>
      </tp>
      <tp t="s">
        <v>#N/A N/A</v>
        <stp/>
        <stp>BDP|14702874602415654104</stp>
        <tr r="O2062" s="2"/>
      </tp>
      <tp t="s">
        <v>#N/A N/A</v>
        <stp/>
        <stp>BDP|16526094861668168087</stp>
        <tr r="K856" s="2"/>
      </tp>
      <tp t="s">
        <v>#N/A N/A</v>
        <stp/>
        <stp>BDP|14853825578644620705</stp>
        <tr r="S938" s="2"/>
      </tp>
      <tp t="s">
        <v>#N/A N/A</v>
        <stp/>
        <stp>BDP|14529897562525943734</stp>
        <tr r="K1088" s="2"/>
      </tp>
      <tp t="s">
        <v>#N/A N/A</v>
        <stp/>
        <stp>BDP|11129871417248103841</stp>
        <tr r="T1306" s="2"/>
      </tp>
      <tp t="s">
        <v>#N/A N/A</v>
        <stp/>
        <stp>BDP|15864131363638411280</stp>
        <tr r="C1572" s="2"/>
      </tp>
      <tp t="s">
        <v>#N/A N/A</v>
        <stp/>
        <stp>BDP|14422984449805567448</stp>
        <tr r="Q1740" s="2"/>
      </tp>
      <tp t="s">
        <v>#N/A N/A</v>
        <stp/>
        <stp>BDS|15782559083712312257</stp>
        <tr r="I1857" s="2"/>
      </tp>
      <tp t="s">
        <v>#N/A N/A</v>
        <stp/>
        <stp>BDP|12283730187956397318</stp>
        <tr r="M1893" s="2"/>
      </tp>
      <tp t="s">
        <v>#N/A N/A</v>
        <stp/>
        <stp>BDP|13610660761393641831</stp>
        <tr r="P1949" s="2"/>
      </tp>
      <tp t="s">
        <v>#N/A N/A</v>
        <stp/>
        <stp>BDP|13830564979311477874</stp>
        <tr r="D716" s="2"/>
      </tp>
      <tp t="s">
        <v>#N/A N/A</v>
        <stp/>
        <stp>BDP|13318916334605070421</stp>
        <tr r="J899" s="2"/>
      </tp>
      <tp t="s">
        <v>#N/A N/A</v>
        <stp/>
        <stp>BDP|10993883902935454530</stp>
        <tr r="K1374" s="2"/>
      </tp>
      <tp t="s">
        <v>#N/A N/A</v>
        <stp/>
        <stp>BDP|17473901961839380920</stp>
        <tr r="E1324" s="2"/>
      </tp>
      <tp t="s">
        <v>#N/A N/A</v>
        <stp/>
        <stp>BDP|15175807572493461134</stp>
        <tr r="H765" s="2"/>
      </tp>
      <tp t="s">
        <v>#N/A N/A</v>
        <stp/>
        <stp>BDP|17194534166509271529</stp>
        <tr r="H1550" s="2"/>
      </tp>
      <tp t="s">
        <v>#N/A N/A</v>
        <stp/>
        <stp>BDP|12649954732105549503</stp>
        <tr r="D918" s="2"/>
      </tp>
      <tp t="s">
        <v>#N/A N/A</v>
        <stp/>
        <stp>BDS|12051468612097538868</stp>
        <tr r="I1936" s="2"/>
      </tp>
      <tp t="s">
        <v>#N/A N/A</v>
        <stp/>
        <stp>BDP|11459928409997225790</stp>
        <tr r="H601" s="2"/>
      </tp>
      <tp t="s">
        <v>#N/A N/A</v>
        <stp/>
        <stp>BDP|14542300291430432645</stp>
        <tr r="O694" s="2"/>
      </tp>
      <tp t="s">
        <v>#N/A N/A</v>
        <stp/>
        <stp>BDS|12010424332455476830</stp>
        <tr r="I1024" s="2"/>
      </tp>
      <tp t="s">
        <v>#N/A N/A</v>
        <stp/>
        <stp>BDP|17725402175414229843</stp>
        <tr r="M129" s="2"/>
      </tp>
      <tp t="s">
        <v>#N/A N/A</v>
        <stp/>
        <stp>BDP|13379306254958256518</stp>
        <tr r="S1978" s="2"/>
      </tp>
      <tp t="s">
        <v>#N/A N/A</v>
        <stp/>
        <stp>BDP|11485861606816124716</stp>
        <tr r="R1710" s="2"/>
      </tp>
      <tp t="s">
        <v>#N/A N/A</v>
        <stp/>
        <stp>BDP|15331575190138465944</stp>
        <tr r="F1426" s="2"/>
      </tp>
      <tp t="s">
        <v>#N/A N/A</v>
        <stp/>
        <stp>BDP|13508187625998887043</stp>
        <tr r="M812" s="2"/>
      </tp>
      <tp t="s">
        <v>#N/A N/A</v>
        <stp/>
        <stp>BDP|16858680383795422535</stp>
        <tr r="E1553" s="2"/>
      </tp>
      <tp t="s">
        <v>#N/A N/A</v>
        <stp/>
        <stp>BDS|14667241301329646725</stp>
        <tr r="I916" s="2"/>
      </tp>
      <tp t="s">
        <v>#N/A N/A</v>
        <stp/>
        <stp>BDP|15670027900439500450</stp>
        <tr r="K256" s="2"/>
      </tp>
      <tp t="s">
        <v>#N/A N/A</v>
        <stp/>
        <stp>BDP|10320936449711511486</stp>
        <tr r="T959" s="2"/>
      </tp>
      <tp t="s">
        <v>#N/A N/A</v>
        <stp/>
        <stp>BDP|14848604759288766720</stp>
        <tr r="J479" s="2"/>
      </tp>
      <tp t="s">
        <v>#N/A N/A</v>
        <stp/>
        <stp>BDP|18039995642564882940</stp>
        <tr r="D938" s="2"/>
      </tp>
      <tp t="s">
        <v>#N/A N/A</v>
        <stp/>
        <stp>BDP|12191105670068776410</stp>
        <tr r="A2003" s="2"/>
      </tp>
      <tp t="s">
        <v>#N/A N/A</v>
        <stp/>
        <stp>BDP|18417100193018936099</stp>
        <tr r="H1798" s="2"/>
      </tp>
      <tp t="s">
        <v>#N/A N/A</v>
        <stp/>
        <stp>BDP|17105642767837653834</stp>
        <tr r="K1225" s="2"/>
      </tp>
      <tp t="s">
        <v>#N/A N/A</v>
        <stp/>
        <stp>BDP|10628959612377135771</stp>
        <tr r="Q478" s="2"/>
      </tp>
      <tp t="s">
        <v>#N/A N/A</v>
        <stp/>
        <stp>BDS|17518068086252481559</stp>
        <tr r="I170" s="2"/>
      </tp>
      <tp t="s">
        <v>#N/A N/A</v>
        <stp/>
        <stp>BDP|18320249649704963200</stp>
        <tr r="F480" s="2"/>
      </tp>
      <tp t="s">
        <v>#N/A N/A</v>
        <stp/>
        <stp>BDP|11374479230668157627</stp>
        <tr r="D999" s="2"/>
      </tp>
      <tp t="s">
        <v>#N/A N/A</v>
        <stp/>
        <stp>BDP|12092202036609964282</stp>
        <tr r="N647" s="2"/>
      </tp>
      <tp t="s">
        <v>#N/A N/A</v>
        <stp/>
        <stp>BDP|15322393434845850815</stp>
        <tr r="H735" s="2"/>
      </tp>
      <tp t="s">
        <v>#N/A N/A</v>
        <stp/>
        <stp>BDP|10404155480317565638</stp>
        <tr r="J577" s="2"/>
      </tp>
      <tp t="s">
        <v>#N/A N/A</v>
        <stp/>
        <stp>BDP|11386669493900213631</stp>
        <tr r="K1794" s="2"/>
      </tp>
      <tp t="s">
        <v>#N/A N/A</v>
        <stp/>
        <stp>BDP|10115837124994835693</stp>
        <tr r="P350" s="2"/>
      </tp>
      <tp t="s">
        <v>#N/A N/A</v>
        <stp/>
        <stp>BDP|11730133453114084906</stp>
        <tr r="C451" s="2"/>
      </tp>
      <tp t="s">
        <v>#N/A N/A</v>
        <stp/>
        <stp>BDP|14711235398697399084</stp>
        <tr r="F720" s="2"/>
      </tp>
      <tp t="s">
        <v>#N/A N/A</v>
        <stp/>
        <stp>BDP|15592569254084686966</stp>
        <tr r="K2253" s="2"/>
      </tp>
      <tp t="s">
        <v>#N/A N/A</v>
        <stp/>
        <stp>BDP|11936889071405211351</stp>
        <tr r="M401" s="2"/>
      </tp>
      <tp t="s">
        <v>#N/A N/A</v>
        <stp/>
        <stp>BDP|11775653282652782504</stp>
        <tr r="K2119" s="2"/>
      </tp>
      <tp t="s">
        <v>#N/A N/A</v>
        <stp/>
        <stp>BDP|12756275409498698083</stp>
        <tr r="R1120" s="2"/>
      </tp>
      <tp t="s">
        <v>#N/A N/A</v>
        <stp/>
        <stp>BDP|17342478059218920632</stp>
        <tr r="T471" s="2"/>
      </tp>
      <tp t="s">
        <v>#N/A N/A</v>
        <stp/>
        <stp>BDP|15552459686475541442</stp>
        <tr r="N1468" s="2"/>
      </tp>
      <tp t="s">
        <v>#N/A N/A</v>
        <stp/>
        <stp>BDP|16960661118221921899</stp>
        <tr r="N2086" s="2"/>
      </tp>
      <tp t="s">
        <v>#N/A N/A</v>
        <stp/>
        <stp>BDP|15704266964649294004</stp>
        <tr r="G675" s="2"/>
      </tp>
      <tp t="s">
        <v>#N/A N/A</v>
        <stp/>
        <stp>BDP|16130945311187794143</stp>
        <tr r="R844" s="2"/>
      </tp>
      <tp t="s">
        <v>#N/A N/A</v>
        <stp/>
        <stp>BDP|11999352412233829816</stp>
        <tr r="A417" s="2"/>
      </tp>
      <tp t="s">
        <v>#N/A N/A</v>
        <stp/>
        <stp>BDS|11324479591047610376</stp>
        <tr r="I1165" s="2"/>
      </tp>
      <tp t="s">
        <v>#N/A N/A</v>
        <stp/>
        <stp>BDP|17523419647538562714</stp>
        <tr r="E1725" s="2"/>
      </tp>
      <tp t="s">
        <v>#N/A N/A</v>
        <stp/>
        <stp>BDP|11405695940932992936</stp>
        <tr r="F1454" s="2"/>
      </tp>
      <tp t="s">
        <v>#N/A N/A</v>
        <stp/>
        <stp>BDP|12263922900063572020</stp>
        <tr r="E1550" s="2"/>
      </tp>
      <tp t="s">
        <v>#N/A N/A</v>
        <stp/>
        <stp>BDP|10417055892622334372</stp>
        <tr r="E673" s="2"/>
      </tp>
      <tp t="s">
        <v>#N/A N/A</v>
        <stp/>
        <stp>BDP|17281289829557627825</stp>
        <tr r="R1194" s="2"/>
      </tp>
      <tp t="s">
        <v>#N/A N/A</v>
        <stp/>
        <stp>BDP|10448667182635360340</stp>
        <tr r="H1709" s="2"/>
      </tp>
      <tp t="s">
        <v>#N/A N/A</v>
        <stp/>
        <stp>BDP|13717353315909791071</stp>
        <tr r="R1144" s="2"/>
      </tp>
      <tp t="s">
        <v>#N/A N/A</v>
        <stp/>
        <stp>BDP|10615277840337343953</stp>
        <tr r="H2086" s="2"/>
      </tp>
      <tp t="s">
        <v>#N/A N/A</v>
        <stp/>
        <stp>BDP|10356896951004916150</stp>
        <tr r="M550" s="2"/>
      </tp>
      <tp t="s">
        <v>#N/A N/A</v>
        <stp/>
        <stp>BDP|12656753311684348866</stp>
        <tr r="J2072" s="2"/>
      </tp>
      <tp t="s">
        <v>#N/A N/A</v>
        <stp/>
        <stp>BDP|15977868156940867062</stp>
        <tr r="O843" s="2"/>
      </tp>
      <tp t="s">
        <v>#N/A N/A</v>
        <stp/>
        <stp>BDP|11813540665763804964</stp>
        <tr r="J1849" s="2"/>
      </tp>
      <tp t="s">
        <v>#N/A N/A</v>
        <stp/>
        <stp>BDP|17233249263122484961</stp>
        <tr r="H1372" s="2"/>
      </tp>
      <tp t="s">
        <v>#N/A N/A</v>
        <stp/>
        <stp>BDP|10286831127962627070</stp>
        <tr r="M1992" s="2"/>
      </tp>
      <tp t="s">
        <v>#N/A N/A</v>
        <stp/>
        <stp>BDP|16468418735799690011</stp>
        <tr r="P1273" s="2"/>
      </tp>
      <tp t="s">
        <v>#N/A N/A</v>
        <stp/>
        <stp>BDP|13796100869925113981</stp>
        <tr r="E2152" s="2"/>
      </tp>
      <tp t="s">
        <v>#N/A N/A</v>
        <stp/>
        <stp>BDP|13074205570199556726</stp>
        <tr r="M641" s="2"/>
      </tp>
      <tp t="s">
        <v>#N/A N/A</v>
        <stp/>
        <stp>BDP|17528644790155433524</stp>
        <tr r="M1629" s="2"/>
      </tp>
      <tp t="s">
        <v>#N/A N/A</v>
        <stp/>
        <stp>BDP|11135363491401409254</stp>
        <tr r="F1072" s="2"/>
      </tp>
      <tp t="s">
        <v>#N/A N/A</v>
        <stp/>
        <stp>BDP|17803775188123669365</stp>
        <tr r="N1368" s="2"/>
      </tp>
      <tp t="s">
        <v>#N/A N/A</v>
        <stp/>
        <stp>BDP|11514160141018022454</stp>
        <tr r="E2210" s="2"/>
      </tp>
      <tp t="s">
        <v>#N/A N/A</v>
        <stp/>
        <stp>BDP|10336865151205607053</stp>
        <tr r="K429" s="2"/>
      </tp>
      <tp t="s">
        <v>#N/A N/A</v>
        <stp/>
        <stp>BDP|10363740386891215649</stp>
        <tr r="K772" s="2"/>
      </tp>
      <tp t="s">
        <v>#N/A N/A</v>
        <stp/>
        <stp>BDP|13200852057522571426</stp>
        <tr r="C2073" s="2"/>
      </tp>
      <tp t="s">
        <v>#N/A N/A</v>
        <stp/>
        <stp>BDP|17753844547412738142</stp>
        <tr r="A1317" s="2"/>
      </tp>
      <tp t="s">
        <v>#N/A N/A</v>
        <stp/>
        <stp>BDP|16766786905550914940</stp>
        <tr r="A2046" s="2"/>
      </tp>
      <tp t="s">
        <v>#N/A N/A</v>
        <stp/>
        <stp>BDP|14239195684997022289</stp>
        <tr r="T1138" s="2"/>
      </tp>
      <tp t="s">
        <v>#N/A N/A</v>
        <stp/>
        <stp>BDP|14704111212535521962</stp>
        <tr r="D196" s="2"/>
      </tp>
      <tp t="s">
        <v>#N/A N/A</v>
        <stp/>
        <stp>BDS|10063745154128044242</stp>
        <tr r="I1455" s="2"/>
      </tp>
      <tp t="s">
        <v>#N/A N/A</v>
        <stp/>
        <stp>BDP|18361442524212552417</stp>
        <tr r="K1053" s="2"/>
      </tp>
      <tp t="s">
        <v>#N/A N/A</v>
        <stp/>
        <stp>BDP|15051463798053852317</stp>
        <tr r="P1521" s="2"/>
      </tp>
      <tp t="s">
        <v>#N/A N/A</v>
        <stp/>
        <stp>BDP|10663518445111139857</stp>
        <tr r="D219" s="2"/>
      </tp>
      <tp t="s">
        <v>#N/A N/A</v>
        <stp/>
        <stp>BDP|13605749047299613151</stp>
        <tr r="C1907" s="2"/>
      </tp>
      <tp t="s">
        <v>#N/A N/A</v>
        <stp/>
        <stp>BDP|11672738133968081505</stp>
        <tr r="A1683" s="2"/>
      </tp>
      <tp t="s">
        <v>#N/A N/A</v>
        <stp/>
        <stp>BDP|11610324874304658908</stp>
        <tr r="G262" s="2"/>
      </tp>
      <tp t="s">
        <v>#N/A N/A</v>
        <stp/>
        <stp>BDP|17295914372418424930</stp>
        <tr r="M1583" s="2"/>
      </tp>
      <tp t="s">
        <v>#N/A N/A</v>
        <stp/>
        <stp>BDP|10287307792502792018</stp>
        <tr r="H224" s="2"/>
      </tp>
      <tp t="s">
        <v>#N/A N/A</v>
        <stp/>
        <stp>BDS|10331771483764399316</stp>
        <tr r="I1174" s="2"/>
      </tp>
      <tp t="s">
        <v>#N/A N/A</v>
        <stp/>
        <stp>BDP|18302784260348945949</stp>
        <tr r="H1173" s="2"/>
      </tp>
      <tp t="s">
        <v>#N/A N/A</v>
        <stp/>
        <stp>BDP|11347890215908039897</stp>
        <tr r="J2109" s="2"/>
      </tp>
      <tp t="s">
        <v>#N/A N/A</v>
        <stp/>
        <stp>BDP|13475157305593691945</stp>
        <tr r="A1338" s="2"/>
      </tp>
      <tp t="s">
        <v>#N/A N/A</v>
        <stp/>
        <stp>BDP|17754517846229208749</stp>
        <tr r="A2240" s="2"/>
      </tp>
      <tp t="s">
        <v>#N/A N/A</v>
        <stp/>
        <stp>BDP|18335249404613526107</stp>
        <tr r="M778" s="2"/>
      </tp>
      <tp t="s">
        <v>#N/A N/A</v>
        <stp/>
        <stp>BDP|18406511891889037523</stp>
        <tr r="C979" s="2"/>
      </tp>
      <tp t="s">
        <v>#N/A N/A</v>
        <stp/>
        <stp>BDP|18245638474959688855</stp>
        <tr r="J68" s="2"/>
      </tp>
      <tp t="s">
        <v>#N/A N/A</v>
        <stp/>
        <stp>BDP|11812009820553938876</stp>
        <tr r="R2133" s="2"/>
      </tp>
      <tp t="s">
        <v>#N/A N/A</v>
        <stp/>
        <stp>BDP|14829925006090997536</stp>
        <tr r="D135" s="2"/>
      </tp>
      <tp t="s">
        <v>#N/A N/A</v>
        <stp/>
        <stp>BDP|10951451160572896820</stp>
        <tr r="A1255" s="2"/>
      </tp>
      <tp t="s">
        <v>#N/A N/A</v>
        <stp/>
        <stp>BDP|18181360579550810404</stp>
        <tr r="R1848" s="2"/>
      </tp>
      <tp t="s">
        <v>#N/A N/A</v>
        <stp/>
        <stp>BDP|17688738802898059015</stp>
        <tr r="M23" s="2"/>
      </tp>
      <tp t="s">
        <v>#N/A N/A</v>
        <stp/>
        <stp>BDP|14586256603416042856</stp>
        <tr r="D1042" s="2"/>
      </tp>
      <tp t="s">
        <v>#N/A N/A</v>
        <stp/>
        <stp>BDP|10328289465044875803</stp>
        <tr r="M971" s="2"/>
      </tp>
      <tp t="s">
        <v>#N/A N/A</v>
        <stp/>
        <stp>BDP|16649299271333114890</stp>
        <tr r="O392" s="2"/>
      </tp>
      <tp t="s">
        <v>#N/A N/A</v>
        <stp/>
        <stp>BDP|17224685653924801871</stp>
        <tr r="S752" s="2"/>
      </tp>
      <tp t="s">
        <v>#N/A N/A</v>
        <stp/>
        <stp>BDP|12430808523003075313</stp>
        <tr r="E2176" s="2"/>
      </tp>
      <tp t="s">
        <v>#N/A N/A</v>
        <stp/>
        <stp>BDP|17484756836299435250</stp>
        <tr r="K1745" s="2"/>
      </tp>
      <tp t="s">
        <v>#N/A N/A</v>
        <stp/>
        <stp>BDP|10445809478170825721</stp>
        <tr r="G1166" s="2"/>
      </tp>
      <tp t="s">
        <v>#N/A N/A</v>
        <stp/>
        <stp>BDP|13310081549919147653</stp>
        <tr r="D2216" s="2"/>
      </tp>
      <tp t="s">
        <v>#N/A N/A</v>
        <stp/>
        <stp>BDP|17766360217945013800</stp>
        <tr r="Q238" s="2"/>
      </tp>
      <tp t="s">
        <v>#N/A N/A</v>
        <stp/>
        <stp>BDP|17423133897224566338</stp>
        <tr r="E309" s="2"/>
      </tp>
      <tp t="s">
        <v>#N/A N/A</v>
        <stp/>
        <stp>BDP|11269560632546576958</stp>
        <tr r="M1631" s="2"/>
      </tp>
      <tp t="s">
        <v>#N/A N/A</v>
        <stp/>
        <stp>BDP|13689429889472389581</stp>
        <tr r="P891" s="2"/>
      </tp>
      <tp t="s">
        <v>#N/A N/A</v>
        <stp/>
        <stp>BDP|15171903676996454554</stp>
        <tr r="F212" s="2"/>
      </tp>
      <tp t="s">
        <v>#N/A N/A</v>
        <stp/>
        <stp>BDP|13832633089211184456</stp>
        <tr r="G443" s="2"/>
      </tp>
      <tp t="s">
        <v>#N/A N/A</v>
        <stp/>
        <stp>BDP|18363244400775193700</stp>
        <tr r="R1924" s="2"/>
      </tp>
      <tp t="s">
        <v>#N/A N/A</v>
        <stp/>
        <stp>BDP|17814345200148300499</stp>
        <tr r="T830" s="2"/>
      </tp>
      <tp t="s">
        <v>#N/A N/A</v>
        <stp/>
        <stp>BDP|11324417691260618435</stp>
        <tr r="S43" s="2"/>
      </tp>
      <tp t="s">
        <v>#N/A N/A</v>
        <stp/>
        <stp>BDP|13830775769688260225</stp>
        <tr r="G1493" s="2"/>
      </tp>
      <tp t="s">
        <v>#N/A N/A</v>
        <stp/>
        <stp>BDP|17149252004639174474</stp>
        <tr r="J2247" s="2"/>
      </tp>
      <tp t="s">
        <v>#N/A N/A</v>
        <stp/>
        <stp>BDS|18421040778880414798</stp>
        <tr r="I2113" s="2"/>
      </tp>
      <tp t="s">
        <v>#N/A N/A</v>
        <stp/>
        <stp>BDP|14275305603458704705</stp>
        <tr r="J2079" s="2"/>
      </tp>
      <tp t="s">
        <v>#N/A N/A</v>
        <stp/>
        <stp>BDP|10901021268487670930</stp>
        <tr r="S915" s="2"/>
      </tp>
      <tp t="s">
        <v>#N/A N/A</v>
        <stp/>
        <stp>BDS|12408140237291308910</stp>
        <tr r="I199" s="2"/>
      </tp>
      <tp t="s">
        <v>#N/A N/A</v>
        <stp/>
        <stp>BDP|14034977501660922592</stp>
        <tr r="D819" s="2"/>
      </tp>
      <tp t="s">
        <v>#N/A N/A</v>
        <stp/>
        <stp>BDS|18252092259041360443</stp>
        <tr r="I1253" s="2"/>
      </tp>
      <tp t="s">
        <v>#N/A N/A</v>
        <stp/>
        <stp>BDP|18087321777640645459</stp>
        <tr r="T1029" s="2"/>
      </tp>
      <tp t="s">
        <v>#N/A N/A</v>
        <stp/>
        <stp>BDP|12072847522459832985</stp>
        <tr r="K1663" s="2"/>
      </tp>
      <tp t="s">
        <v>#N/A N/A</v>
        <stp/>
        <stp>BDP|14165390194137374192</stp>
        <tr r="D516" s="2"/>
      </tp>
      <tp t="s">
        <v>#N/A N/A</v>
        <stp/>
        <stp>BDP|16438446805879690355</stp>
        <tr r="E695" s="2"/>
      </tp>
      <tp t="s">
        <v>#N/A N/A</v>
        <stp/>
        <stp>BDP|10249253239569832001</stp>
        <tr r="G1529" s="2"/>
      </tp>
      <tp t="s">
        <v>#N/A N/A</v>
        <stp/>
        <stp>BDP|10491589837788444693</stp>
        <tr r="E894" s="2"/>
      </tp>
      <tp t="s">
        <v>#N/A N/A</v>
        <stp/>
        <stp>BDP|12485090089272181032</stp>
        <tr r="Q906" s="2"/>
      </tp>
      <tp t="s">
        <v>#N/A N/A</v>
        <stp/>
        <stp>BDP|14611732230458082038</stp>
        <tr r="T1562" s="2"/>
      </tp>
      <tp t="s">
        <v>#N/A N/A</v>
        <stp/>
        <stp>BDP|10194436711208635539</stp>
        <tr r="J163" s="2"/>
      </tp>
      <tp t="s">
        <v>#N/A N/A</v>
        <stp/>
        <stp>BDP|12359554087267559021</stp>
        <tr r="T1311" s="2"/>
      </tp>
      <tp t="s">
        <v>#N/A N/A</v>
        <stp/>
        <stp>BDP|10742268495432178139</stp>
        <tr r="R513" s="2"/>
      </tp>
      <tp t="s">
        <v>#N/A N/A</v>
        <stp/>
        <stp>BDP|13200883826314901536</stp>
        <tr r="K298" s="2"/>
      </tp>
      <tp t="s">
        <v>#N/A N/A</v>
        <stp/>
        <stp>BDP|11527926252261479477</stp>
        <tr r="M209" s="2"/>
      </tp>
      <tp t="s">
        <v>#N/A N/A</v>
        <stp/>
        <stp>BDP|13618546062028310050</stp>
        <tr r="H1424" s="2"/>
      </tp>
      <tp t="s">
        <v>#N/A N/A</v>
        <stp/>
        <stp>BDP|17035069411289363728</stp>
        <tr r="D1601" s="2"/>
      </tp>
      <tp t="s">
        <v>#N/A N/A</v>
        <stp/>
        <stp>BDP|11175021175569426747</stp>
        <tr r="H737" s="2"/>
      </tp>
      <tp t="s">
        <v>#N/A N/A</v>
        <stp/>
        <stp>BDP|16405921823671005432</stp>
        <tr r="F409" s="2"/>
      </tp>
      <tp t="s">
        <v>#N/A N/A</v>
        <stp/>
        <stp>BDP|18008693430775944065</stp>
        <tr r="A1263" s="2"/>
      </tp>
      <tp t="s">
        <v>#N/A N/A</v>
        <stp/>
        <stp>BDP|10069996011440836062</stp>
        <tr r="O746" s="2"/>
      </tp>
      <tp t="s">
        <v>#N/A N/A</v>
        <stp/>
        <stp>BDP|12144607561123372950</stp>
        <tr r="O1289" s="2"/>
      </tp>
      <tp t="s">
        <v>#N/A N/A</v>
        <stp/>
        <stp>BDP|13603033083616283528</stp>
        <tr r="D1337" s="2"/>
      </tp>
      <tp t="s">
        <v>#N/A N/A</v>
        <stp/>
        <stp>BDP|12110921347311742652</stp>
        <tr r="G1427" s="2"/>
      </tp>
      <tp t="s">
        <v>#N/A N/A</v>
        <stp/>
        <stp>BDP|12635930162172830794</stp>
        <tr r="D1430" s="2"/>
      </tp>
      <tp t="s">
        <v>#N/A N/A</v>
        <stp/>
        <stp>BDP|14838655069304515870</stp>
        <tr r="M1771" s="2"/>
      </tp>
      <tp t="s">
        <v>#N/A N/A</v>
        <stp/>
        <stp>BDP|16647920322992784771</stp>
        <tr r="M1598" s="2"/>
      </tp>
      <tp t="s">
        <v>#N/A N/A</v>
        <stp/>
        <stp>BDP|10516959611698781802</stp>
        <tr r="Q1672" s="2"/>
      </tp>
      <tp t="s">
        <v>#N/A N/A</v>
        <stp/>
        <stp>BDP|12333384933119901372</stp>
        <tr r="N1870" s="2"/>
      </tp>
      <tp t="s">
        <v>#N/A N/A</v>
        <stp/>
        <stp>BDP|16708849457460290300</stp>
        <tr r="N621" s="2"/>
      </tp>
      <tp t="s">
        <v>#N/A N/A</v>
        <stp/>
        <stp>BDP|11689559044469198108</stp>
        <tr r="A1191" s="2"/>
      </tp>
      <tp t="s">
        <v>#N/A N/A</v>
        <stp/>
        <stp>BDP|16071916408517653095</stp>
        <tr r="R1930" s="2"/>
      </tp>
      <tp t="s">
        <v>#N/A N/A</v>
        <stp/>
        <stp>BDP|12562060892350639312</stp>
        <tr r="N2176" s="2"/>
      </tp>
      <tp t="s">
        <v>#N/A N/A</v>
        <stp/>
        <stp>BDP|16556923826026893204</stp>
        <tr r="N578" s="2"/>
      </tp>
      <tp t="s">
        <v>#N/A N/A</v>
        <stp/>
        <stp>BDP|13362512269918276101</stp>
        <tr r="F1562" s="2"/>
      </tp>
      <tp t="s">
        <v>#N/A N/A</v>
        <stp/>
        <stp>BDP|12533200318469549119</stp>
        <tr r="M545" s="2"/>
      </tp>
      <tp t="s">
        <v>#N/A N/A</v>
        <stp/>
        <stp>BDP|14640186892773561609</stp>
        <tr r="R610" s="2"/>
      </tp>
      <tp t="s">
        <v>#N/A N/A</v>
        <stp/>
        <stp>BDP|17264821417856673182</stp>
        <tr r="M830" s="2"/>
      </tp>
      <tp t="s">
        <v>#N/A N/A</v>
        <stp/>
        <stp>BDP|18155449704710023583</stp>
        <tr r="T1612" s="2"/>
      </tp>
      <tp t="s">
        <v>#N/A N/A</v>
        <stp/>
        <stp>BDP|16828269431118110672</stp>
        <tr r="E910" s="2"/>
      </tp>
      <tp t="s">
        <v>#N/A N/A</v>
        <stp/>
        <stp>BDP|11916627594893074460</stp>
        <tr r="S1456" s="2"/>
      </tp>
      <tp t="s">
        <v>#N/A N/A</v>
        <stp/>
        <stp>BDP|17200328378743569940</stp>
        <tr r="R1008" s="2"/>
      </tp>
      <tp t="s">
        <v>#N/A N/A</v>
        <stp/>
        <stp>BDP|10945529154909385055</stp>
        <tr r="A1905" s="2"/>
      </tp>
      <tp t="s">
        <v>#N/A N/A</v>
        <stp/>
        <stp>BDS|11646890954920461553</stp>
        <tr r="I1609" s="2"/>
      </tp>
      <tp t="s">
        <v>#N/A N/A</v>
        <stp/>
        <stp>BDP|16487935540697935570</stp>
        <tr r="R688" s="2"/>
      </tp>
      <tp t="s">
        <v>#N/A N/A</v>
        <stp/>
        <stp>BDP|14067489404501457817</stp>
        <tr r="H2157" s="2"/>
      </tp>
      <tp t="s">
        <v>#N/A N/A</v>
        <stp/>
        <stp>BDP|15733011989940639400</stp>
        <tr r="S949" s="2"/>
      </tp>
      <tp t="s">
        <v>#N/A N/A</v>
        <stp/>
        <stp>BDP|11824683252518896335</stp>
        <tr r="A107" s="2"/>
      </tp>
      <tp t="s">
        <v>#N/A N/A</v>
        <stp/>
        <stp>BDP|15331791975838054460</stp>
        <tr r="J1229" s="2"/>
      </tp>
      <tp t="s">
        <v>#N/A N/A</v>
        <stp/>
        <stp>BDP|13956939071245179136</stp>
        <tr r="F548" s="2"/>
      </tp>
      <tp t="s">
        <v>#N/A N/A</v>
        <stp/>
        <stp>BDP|12903909281562943887</stp>
        <tr r="S430" s="2"/>
      </tp>
      <tp t="s">
        <v>#N/A N/A</v>
        <stp/>
        <stp>BDP|14418408835592871805</stp>
        <tr r="N2195" s="2"/>
      </tp>
      <tp t="s">
        <v>#N/A N/A</v>
        <stp/>
        <stp>BDP|10162167348875140973</stp>
        <tr r="J2242" s="2"/>
      </tp>
      <tp t="s">
        <v>#N/A N/A</v>
        <stp/>
        <stp>BDP|11755653436358597582</stp>
        <tr r="T1762" s="2"/>
      </tp>
      <tp t="s">
        <v>#N/A N/A</v>
        <stp/>
        <stp>BDP|16524042107318686795</stp>
        <tr r="K191" s="2"/>
      </tp>
      <tp t="s">
        <v>#N/A N/A</v>
        <stp/>
        <stp>BDP|16017012870431135999</stp>
        <tr r="D1944" s="2"/>
      </tp>
      <tp t="s">
        <v>#N/A N/A</v>
        <stp/>
        <stp>BDP|10733805360994929370</stp>
        <tr r="R183" s="2"/>
      </tp>
      <tp t="s">
        <v>#N/A N/A</v>
        <stp/>
        <stp>BDP|16026624591797348798</stp>
        <tr r="F1771" s="2"/>
      </tp>
      <tp t="s">
        <v>#N/A N/A</v>
        <stp/>
        <stp>BDP|14769182408128904479</stp>
        <tr r="N738" s="2"/>
      </tp>
      <tp t="s">
        <v>#N/A N/A</v>
        <stp/>
        <stp>BDP|18196952354075857812</stp>
        <tr r="M622" s="2"/>
      </tp>
      <tp t="s">
        <v>#N/A N/A</v>
        <stp/>
        <stp>BDP|16211909593716063985</stp>
        <tr r="M1780" s="2"/>
      </tp>
      <tp t="s">
        <v>#N/A N/A</v>
        <stp/>
        <stp>BDP|10958566520689007769</stp>
        <tr r="T99" s="2"/>
      </tp>
      <tp t="s">
        <v>#N/A N/A</v>
        <stp/>
        <stp>BDP|12351397283021638162</stp>
        <tr r="T1636" s="2"/>
      </tp>
      <tp t="s">
        <v>#N/A N/A</v>
        <stp/>
        <stp>BDP|13681407493050985754</stp>
        <tr r="M2139" s="2"/>
      </tp>
      <tp t="s">
        <v>#N/A N/A</v>
        <stp/>
        <stp>BDP|17470016120174434880</stp>
        <tr r="G452" s="2"/>
      </tp>
      <tp t="s">
        <v>#N/A N/A</v>
        <stp/>
        <stp>BDP|12754093996327503547</stp>
        <tr r="R1613" s="2"/>
      </tp>
      <tp t="s">
        <v>#N/A N/A</v>
        <stp/>
        <stp>BDP|12768394144139323503</stp>
        <tr r="A2238" s="2"/>
      </tp>
      <tp t="s">
        <v>#N/A N/A</v>
        <stp/>
        <stp>BDP|17332463374665950811</stp>
        <tr r="M796" s="2"/>
      </tp>
      <tp t="s">
        <v>#N/A N/A</v>
        <stp/>
        <stp>BDP|12208801979426622245</stp>
        <tr r="A212" s="2"/>
      </tp>
      <tp t="s">
        <v>#N/A N/A</v>
        <stp/>
        <stp>BDP|10730948568977162136</stp>
        <tr r="O507" s="2"/>
      </tp>
      <tp t="s">
        <v>#N/A N/A</v>
        <stp/>
        <stp>BDP|16596194909468539698</stp>
        <tr r="Q268" s="2"/>
      </tp>
      <tp t="s">
        <v>#N/A N/A</v>
        <stp/>
        <stp>BDP|16576540852577921831</stp>
        <tr r="K1024" s="2"/>
      </tp>
      <tp t="s">
        <v>#N/A N/A</v>
        <stp/>
        <stp>BDP|16987944359413904049</stp>
        <tr r="H1289" s="2"/>
      </tp>
      <tp t="s">
        <v>#N/A N/A</v>
        <stp/>
        <stp>BDP|15978888179024678779</stp>
        <tr r="S1994" s="2"/>
      </tp>
      <tp t="s">
        <v>#N/A N/A</v>
        <stp/>
        <stp>BDP|13050366427353013880</stp>
        <tr r="F1609" s="2"/>
      </tp>
      <tp t="s">
        <v>#N/A N/A</v>
        <stp/>
        <stp>BDP|13367673263813789992</stp>
        <tr r="H529" s="2"/>
      </tp>
      <tp t="s">
        <v>#N/A N/A</v>
        <stp/>
        <stp>BDP|17138235468692138824</stp>
        <tr r="O1828" s="2"/>
      </tp>
      <tp t="s">
        <v>#N/A N/A</v>
        <stp/>
        <stp>BDP|15508402379877683835</stp>
        <tr r="T740" s="2"/>
      </tp>
      <tp t="s">
        <v>#N/A N/A</v>
        <stp/>
        <stp>BDP|13731590647788157316</stp>
        <tr r="P2175" s="2"/>
      </tp>
      <tp t="s">
        <v>#N/A N/A</v>
        <stp/>
        <stp>BDP|12216260853139677580</stp>
        <tr r="E199" s="2"/>
      </tp>
      <tp t="s">
        <v>#N/A N/A</v>
        <stp/>
        <stp>BDP|18123981399508176986</stp>
        <tr r="O1115" s="2"/>
      </tp>
      <tp t="s">
        <v>#N/A N/A</v>
        <stp/>
        <stp>BDP|12324263240648542594</stp>
        <tr r="Q2016" s="2"/>
      </tp>
      <tp t="s">
        <v>#N/A N/A</v>
        <stp/>
        <stp>BDP|15832525002678236134</stp>
        <tr r="G747" s="2"/>
      </tp>
      <tp t="s">
        <v>#N/A N/A</v>
        <stp/>
        <stp>BDP|14639052015749691599</stp>
        <tr r="M1816" s="2"/>
      </tp>
      <tp t="s">
        <v>#N/A N/A</v>
        <stp/>
        <stp>BDP|16496484397097029529</stp>
        <tr r="S1162" s="2"/>
      </tp>
      <tp t="s">
        <v>#N/A N/A</v>
        <stp/>
        <stp>BDP|12317950760130973461</stp>
        <tr r="G1278" s="2"/>
      </tp>
      <tp t="s">
        <v>#N/A N/A</v>
        <stp/>
        <stp>BDP|10950626958283804924</stp>
        <tr r="H886" s="2"/>
      </tp>
      <tp t="s">
        <v>#N/A N/A</v>
        <stp/>
        <stp>BDP|13027575541078851377</stp>
        <tr r="A602" s="2"/>
      </tp>
      <tp t="s">
        <v>#N/A N/A</v>
        <stp/>
        <stp>BDP|13826887808173789169</stp>
        <tr r="M643" s="2"/>
      </tp>
      <tp t="s">
        <v>#N/A N/A</v>
        <stp/>
        <stp>BDP|11927602262421444965</stp>
        <tr r="M621" s="2"/>
      </tp>
      <tp t="s">
        <v>#N/A N/A</v>
        <stp/>
        <stp>BDP|12451390462217049967</stp>
        <tr r="A1155" s="2"/>
      </tp>
      <tp t="s">
        <v>#N/A N/A</v>
        <stp/>
        <stp>BDP|16818108705859324777</stp>
        <tr r="C76" s="2"/>
      </tp>
      <tp t="s">
        <v>#N/A N/A</v>
        <stp/>
        <stp>BDP|10810973857556219332</stp>
        <tr r="T914" s="2"/>
      </tp>
      <tp t="s">
        <v>#N/A N/A</v>
        <stp/>
        <stp>BDP|16835268999484626089</stp>
        <tr r="R277" s="2"/>
      </tp>
      <tp t="s">
        <v>#N/A N/A</v>
        <stp/>
        <stp>BDP|16969011930725350921</stp>
        <tr r="E29" s="2"/>
      </tp>
      <tp t="s">
        <v>#N/A N/A</v>
        <stp/>
        <stp>BDP|17183495287626138463</stp>
        <tr r="E1485" s="2"/>
      </tp>
      <tp t="s">
        <v>#N/A N/A</v>
        <stp/>
        <stp>BDP|18392263838074619430</stp>
        <tr r="T150" s="2"/>
      </tp>
      <tp t="s">
        <v>#N/A N/A</v>
        <stp/>
        <stp>BDP|10741768369331466942</stp>
        <tr r="T1672" s="2"/>
      </tp>
      <tp t="s">
        <v>#N/A N/A</v>
        <stp/>
        <stp>BDS|15692531009510205956</stp>
        <tr r="I1522" s="2"/>
      </tp>
      <tp t="s">
        <v>#N/A N/A</v>
        <stp/>
        <stp>BDS|13382272880321954166</stp>
        <tr r="I1170" s="2"/>
      </tp>
      <tp t="s">
        <v>#N/A N/A</v>
        <stp/>
        <stp>BDP|16393951877067175685</stp>
        <tr r="O143" s="2"/>
      </tp>
      <tp t="s">
        <v>#N/A N/A</v>
        <stp/>
        <stp>BDP|12216402701859805631</stp>
        <tr r="S1020" s="2"/>
      </tp>
      <tp t="s">
        <v>#N/A N/A</v>
        <stp/>
        <stp>BDP|13518182441398124758</stp>
        <tr r="K1318" s="2"/>
      </tp>
      <tp t="s">
        <v>#N/A N/A</v>
        <stp/>
        <stp>BDP|15155937247422547388</stp>
        <tr r="H468" s="2"/>
      </tp>
      <tp t="s">
        <v>#N/A N/A</v>
        <stp/>
        <stp>BDS|12727289998544827445</stp>
        <tr r="I1792" s="2"/>
      </tp>
      <tp t="s">
        <v>#N/A N/A</v>
        <stp/>
        <stp>BDP|13689856309306254401</stp>
        <tr r="K554" s="2"/>
      </tp>
      <tp t="s">
        <v>#N/A N/A</v>
        <stp/>
        <stp>BDP|15800689552418957731</stp>
        <tr r="A2188" s="2"/>
      </tp>
      <tp t="s">
        <v>#N/A N/A</v>
        <stp/>
        <stp>BDP|15502398003486274953</stp>
        <tr r="F718" s="2"/>
      </tp>
      <tp t="s">
        <v>#N/A N/A</v>
        <stp/>
        <stp>BDP|12361492484213181476</stp>
        <tr r="G701" s="2"/>
      </tp>
      <tp t="s">
        <v>#N/A N/A</v>
        <stp/>
        <stp>BDP|13928841027882004223</stp>
        <tr r="A6" s="2"/>
      </tp>
      <tp t="s">
        <v>#N/A N/A</v>
        <stp/>
        <stp>BDP|13316190093726294437</stp>
        <tr r="E1260" s="2"/>
      </tp>
      <tp t="s">
        <v>#N/A N/A</v>
        <stp/>
        <stp>BDP|15519815539975707222</stp>
        <tr r="D1149" s="2"/>
      </tp>
      <tp t="s">
        <v>#N/A N/A</v>
        <stp/>
        <stp>BDP|18239567779876367565</stp>
        <tr r="C317" s="2"/>
      </tp>
      <tp t="s">
        <v>#N/A N/A</v>
        <stp/>
        <stp>BDP|13641935778521684533</stp>
        <tr r="D566" s="2"/>
      </tp>
      <tp t="s">
        <v>#N/A N/A</v>
        <stp/>
        <stp>BDP|11116535991490374488</stp>
        <tr r="G474" s="2"/>
      </tp>
      <tp t="s">
        <v>#N/A N/A</v>
        <stp/>
        <stp>BDP|10883329961405135928</stp>
        <tr r="H588" s="2"/>
      </tp>
      <tp t="s">
        <v>#N/A N/A</v>
        <stp/>
        <stp>BDP|15499606277275332880</stp>
        <tr r="E383" s="2"/>
      </tp>
      <tp t="s">
        <v>#N/A N/A</v>
        <stp/>
        <stp>BDP|11389336325449504084</stp>
        <tr r="G680" s="2"/>
      </tp>
      <tp t="s">
        <v>#N/A N/A</v>
        <stp/>
        <stp>BDP|11648763076988966076</stp>
        <tr r="S1735" s="2"/>
      </tp>
      <tp t="s">
        <v>#N/A N/A</v>
        <stp/>
        <stp>BDP|10459045380709008889</stp>
        <tr r="F339" s="2"/>
      </tp>
      <tp t="s">
        <v>#N/A N/A</v>
        <stp/>
        <stp>BDP|16174371865679383385</stp>
        <tr r="H1216" s="2"/>
      </tp>
      <tp t="s">
        <v>#N/A N/A</v>
        <stp/>
        <stp>BDP|15376192800384693942</stp>
        <tr r="E2219" s="2"/>
      </tp>
      <tp t="s">
        <v>#N/A N/A</v>
        <stp/>
        <stp>BDP|10270539112248965527</stp>
        <tr r="C1750" s="2"/>
      </tp>
      <tp t="s">
        <v>#N/A N/A</v>
        <stp/>
        <stp>BDP|15451691041889369777</stp>
        <tr r="R1584" s="2"/>
      </tp>
      <tp t="s">
        <v>#N/A N/A</v>
        <stp/>
        <stp>BDP|14982383076388929167</stp>
        <tr r="A1844" s="2"/>
      </tp>
      <tp t="s">
        <v>#N/A N/A</v>
        <stp/>
        <stp>BDP|13263452929344580833</stp>
        <tr r="N760" s="2"/>
      </tp>
      <tp t="s">
        <v>#N/A N/A</v>
        <stp/>
        <stp>BDP|17098458404913106984</stp>
        <tr r="T838" s="2"/>
      </tp>
      <tp t="s">
        <v>#N/A N/A</v>
        <stp/>
        <stp>BDS|11017094210330293903</stp>
        <tr r="I423" s="2"/>
      </tp>
      <tp t="s">
        <v>#N/A N/A</v>
        <stp/>
        <stp>BDP|11844628003549661773</stp>
        <tr r="N29" s="2"/>
      </tp>
      <tp t="s">
        <v>#N/A N/A</v>
        <stp/>
        <stp>BDP|18237705760284265481</stp>
        <tr r="N587" s="2"/>
      </tp>
      <tp t="s">
        <v>#N/A N/A</v>
        <stp/>
        <stp>BDS|14879112254148415126</stp>
        <tr r="I2120" s="2"/>
      </tp>
      <tp t="s">
        <v>#N/A N/A</v>
        <stp/>
        <stp>BDP|12977906045101473704</stp>
        <tr r="D1446" s="2"/>
      </tp>
      <tp t="s">
        <v>#N/A N/A</v>
        <stp/>
        <stp>BDS|10894023001809313030</stp>
        <tr r="I622" s="2"/>
      </tp>
      <tp t="s">
        <v>#N/A N/A</v>
        <stp/>
        <stp>BDP|13442189053147588926</stp>
        <tr r="G1918" s="2"/>
      </tp>
      <tp t="s">
        <v>#N/A N/A</v>
        <stp/>
        <stp>BDP|14194108195813880640</stp>
        <tr r="N12" s="2"/>
      </tp>
      <tp t="s">
        <v>#N/A N/A</v>
        <stp/>
        <stp>BDP|10795289127171510851</stp>
        <tr r="M1795" s="2"/>
      </tp>
      <tp t="s">
        <v>#N/A N/A</v>
        <stp/>
        <stp>BDP|16088725288921157131</stp>
        <tr r="M909" s="2"/>
      </tp>
      <tp t="s">
        <v>#N/A N/A</v>
        <stp/>
        <stp>BDP|13026205482498951836</stp>
        <tr r="J1952" s="2"/>
      </tp>
      <tp t="s">
        <v>#N/A N/A</v>
        <stp/>
        <stp>BDP|12447887411370234273</stp>
        <tr r="S1440" s="2"/>
      </tp>
      <tp t="s">
        <v>#N/A N/A</v>
        <stp/>
        <stp>BDS|18266458459659397961</stp>
        <tr r="I1351" s="2"/>
      </tp>
      <tp t="s">
        <v>#N/A N/A</v>
        <stp/>
        <stp>BDP|17959887270256129785</stp>
        <tr r="G946" s="2"/>
      </tp>
      <tp t="s">
        <v>#N/A N/A</v>
        <stp/>
        <stp>BDP|11786857744066611289</stp>
        <tr r="D1595" s="2"/>
      </tp>
      <tp t="s">
        <v>#N/A N/A</v>
        <stp/>
        <stp>BDP|11331325599537326536</stp>
        <tr r="C650" s="2"/>
      </tp>
      <tp t="s">
        <v>#N/A N/A</v>
        <stp/>
        <stp>BDP|16826738292973142200</stp>
        <tr r="O1052" s="2"/>
      </tp>
      <tp t="s">
        <v>#N/A N/A</v>
        <stp/>
        <stp>BDS|16366943721464926044</stp>
        <tr r="I1841" s="2"/>
      </tp>
      <tp t="s">
        <v>#N/A N/A</v>
        <stp/>
        <stp>BDP|12784646791160315499</stp>
        <tr r="D982" s="2"/>
      </tp>
      <tp t="s">
        <v>#N/A N/A</v>
        <stp/>
        <stp>BDP|14695609198672063067</stp>
        <tr r="R1352" s="2"/>
      </tp>
      <tp t="s">
        <v>#N/A N/A</v>
        <stp/>
        <stp>BDS|15299182385425285061</stp>
        <tr r="I1258" s="2"/>
      </tp>
      <tp t="s">
        <v>#N/A N/A</v>
        <stp/>
        <stp>BDP|10109835416558940852</stp>
        <tr r="R453" s="2"/>
      </tp>
      <tp t="s">
        <v>#N/A N/A</v>
        <stp/>
        <stp>BDP|16154280923428378710</stp>
        <tr r="P2247" s="2"/>
      </tp>
      <tp t="s">
        <v>#N/A N/A</v>
        <stp/>
        <stp>BDP|11517554408209145415</stp>
        <tr r="K101" s="2"/>
      </tp>
      <tp t="s">
        <v>#N/A N/A</v>
        <stp/>
        <stp>BDP|16283999857502118153</stp>
        <tr r="K1553" s="2"/>
      </tp>
      <tp t="s">
        <v>#N/A N/A</v>
        <stp/>
        <stp>BDP|14051290923268430560</stp>
        <tr r="D113" s="2"/>
      </tp>
      <tp t="s">
        <v>#N/A N/A</v>
        <stp/>
        <stp>BDP|17822884969341108101</stp>
        <tr r="H6" s="2"/>
      </tp>
      <tp t="s">
        <v>#N/A N/A</v>
        <stp/>
        <stp>BDP|14577842733874984231</stp>
        <tr r="H1003" s="2"/>
      </tp>
      <tp t="s">
        <v>#N/A N/A</v>
        <stp/>
        <stp>BDP|17348579528740385949</stp>
        <tr r="K274" s="2"/>
      </tp>
      <tp t="s">
        <v>#N/A N/A</v>
        <stp/>
        <stp>BDP|17548378498256032216</stp>
        <tr r="T2204" s="2"/>
      </tp>
      <tp t="s">
        <v>#N/A N/A</v>
        <stp/>
        <stp>BDP|14641402135998013285</stp>
        <tr r="T494" s="2"/>
      </tp>
      <tp t="s">
        <v>#N/A N/A</v>
        <stp/>
        <stp>BDP|12199250101249738093</stp>
        <tr r="G862" s="2"/>
      </tp>
      <tp t="s">
        <v>#N/A N/A</v>
        <stp/>
        <stp>BDP|17905015365481189972</stp>
        <tr r="J349" s="2"/>
      </tp>
      <tp t="s">
        <v>#N/A N/A</v>
        <stp/>
        <stp>BDP|10103889716034416403</stp>
        <tr r="E2183" s="2"/>
      </tp>
      <tp t="s">
        <v>#N/A N/A</v>
        <stp/>
        <stp>BDP|13741714317625983935</stp>
        <tr r="C949" s="2"/>
      </tp>
      <tp t="s">
        <v>#N/A N/A</v>
        <stp/>
        <stp>BDP|16414461548256396920</stp>
        <tr r="A408" s="2"/>
      </tp>
      <tp t="s">
        <v>#N/A N/A</v>
        <stp/>
        <stp>BDP|11806761920778156549</stp>
        <tr r="O589" s="2"/>
      </tp>
      <tp t="s">
        <v>#N/A N/A</v>
        <stp/>
        <stp>BDP|18181214364215714085</stp>
        <tr r="Q153" s="2"/>
      </tp>
      <tp t="s">
        <v>#N/A N/A</v>
        <stp/>
        <stp>BDP|16004759385120225090</stp>
        <tr r="T2030" s="2"/>
      </tp>
      <tp t="s">
        <v>#N/A N/A</v>
        <stp/>
        <stp>BDP|12653573062610818808</stp>
        <tr r="C2025" s="2"/>
      </tp>
      <tp t="s">
        <v>#N/A N/A</v>
        <stp/>
        <stp>BDP|15959650300659598323</stp>
        <tr r="S803" s="2"/>
      </tp>
      <tp t="s">
        <v>#N/A N/A</v>
        <stp/>
        <stp>BDP|16861205444960642917</stp>
        <tr r="S1488" s="2"/>
      </tp>
      <tp t="s">
        <v>#N/A N/A</v>
        <stp/>
        <stp>BDP|14465223798296260079</stp>
        <tr r="K1379" s="2"/>
      </tp>
      <tp t="s">
        <v>#N/A N/A</v>
        <stp/>
        <stp>BDP|15192568991728893857</stp>
        <tr r="D417" s="2"/>
      </tp>
      <tp t="s">
        <v>#N/A N/A</v>
        <stp/>
        <stp>BDP|10812116747888179440</stp>
        <tr r="S774" s="2"/>
      </tp>
      <tp t="s">
        <v>#N/A N/A</v>
        <stp/>
        <stp>BDP|18332728284738954671</stp>
        <tr r="T1218" s="2"/>
      </tp>
      <tp t="s">
        <v>#N/A N/A</v>
        <stp/>
        <stp>BDP|12719488981873304469</stp>
        <tr r="R116" s="2"/>
      </tp>
      <tp t="s">
        <v>#N/A N/A</v>
        <stp/>
        <stp>BDP|12671589042083234952</stp>
        <tr r="H93" s="2"/>
      </tp>
      <tp t="s">
        <v>#N/A N/A</v>
        <stp/>
        <stp>BDP|12188351356545016892</stp>
        <tr r="F730" s="2"/>
      </tp>
      <tp t="s">
        <v>#N/A N/A</v>
        <stp/>
        <stp>BDP|14421249477469850145</stp>
        <tr r="G1575" s="2"/>
      </tp>
      <tp t="s">
        <v>#N/A N/A</v>
        <stp/>
        <stp>BDP|17386818627910612487</stp>
        <tr r="S1508" s="2"/>
      </tp>
      <tp t="s">
        <v>#N/A N/A</v>
        <stp/>
        <stp>BDP|11198685146259781338</stp>
        <tr r="J1585" s="2"/>
      </tp>
      <tp t="s">
        <v>#N/A N/A</v>
        <stp/>
        <stp>BDP|15949807550931500074</stp>
        <tr r="J1128" s="2"/>
      </tp>
      <tp t="s">
        <v>#N/A N/A</v>
        <stp/>
        <stp>BDP|10559851732256005498</stp>
        <tr r="Q177" s="2"/>
      </tp>
      <tp t="s">
        <v>#N/A N/A</v>
        <stp/>
        <stp>BDP|10231179948365656902</stp>
        <tr r="T217" s="2"/>
      </tp>
      <tp t="s">
        <v>#N/A N/A</v>
        <stp/>
        <stp>BDP|11990242225841593964</stp>
        <tr r="J1510" s="2"/>
      </tp>
      <tp t="s">
        <v>#N/A N/A</v>
        <stp/>
        <stp>BDP|10093270636841890926</stp>
        <tr r="C1579" s="2"/>
      </tp>
      <tp t="s">
        <v>#N/A N/A</v>
        <stp/>
        <stp>BDP|12121958129148527837</stp>
        <tr r="F1651" s="2"/>
      </tp>
      <tp t="s">
        <v>#N/A N/A</v>
        <stp/>
        <stp>BDS|12996061071049071561</stp>
        <tr r="I127" s="2"/>
      </tp>
      <tp t="s">
        <v>#N/A N/A</v>
        <stp/>
        <stp>BDP|12021642094580816438</stp>
        <tr r="F969" s="2"/>
      </tp>
      <tp t="s">
        <v>#N/A N/A</v>
        <stp/>
        <stp>BDP|13293221281004856421</stp>
        <tr r="S943" s="2"/>
      </tp>
      <tp t="s">
        <v>#N/A N/A</v>
        <stp/>
        <stp>BDP|18071329128521474150</stp>
        <tr r="F1744" s="2"/>
      </tp>
      <tp t="s">
        <v>#N/A N/A</v>
        <stp/>
        <stp>BDP|12753761105735860979</stp>
        <tr r="P1210" s="2"/>
      </tp>
      <tp t="s">
        <v>#N/A N/A</v>
        <stp/>
        <stp>BDP|16690273709528104523</stp>
        <tr r="P1828" s="2"/>
      </tp>
      <tp t="s">
        <v>#N/A N/A</v>
        <stp/>
        <stp>BDP|17809533824269196054</stp>
        <tr r="G844" s="2"/>
      </tp>
      <tp t="s">
        <v>#N/A N/A</v>
        <stp/>
        <stp>BDP|10831024510931714963</stp>
        <tr r="Q1416" s="2"/>
      </tp>
      <tp t="s">
        <v>#N/A N/A</v>
        <stp/>
        <stp>BDP|14483737013999789282</stp>
        <tr r="R1737" s="2"/>
      </tp>
      <tp t="s">
        <v>#N/A N/A</v>
        <stp/>
        <stp>BDP|17031072065791930906</stp>
        <tr r="P556" s="2"/>
      </tp>
      <tp t="s">
        <v>#N/A N/A</v>
        <stp/>
        <stp>BDP|10362974174546807134</stp>
        <tr r="G1762" s="2"/>
      </tp>
      <tp t="s">
        <v>#N/A N/A</v>
        <stp/>
        <stp>BDP|13940887490413349891</stp>
        <tr r="J576" s="2"/>
      </tp>
      <tp t="s">
        <v>#N/A N/A</v>
        <stp/>
        <stp>BDP|10048025171409003787</stp>
        <tr r="C2077" s="2"/>
      </tp>
      <tp t="s">
        <v>#N/A N/A</v>
        <stp/>
        <stp>BDP|14665196317604733947</stp>
        <tr r="Q961" s="2"/>
      </tp>
      <tp t="s">
        <v>#N/A N/A</v>
        <stp/>
        <stp>BDP|16531772028408475250</stp>
        <tr r="G905" s="2"/>
      </tp>
      <tp t="s">
        <v>#N/A N/A</v>
        <stp/>
        <stp>BDP|12877144687200126211</stp>
        <tr r="A596" s="2"/>
      </tp>
      <tp t="s">
        <v>#N/A N/A</v>
        <stp/>
        <stp>BDP|12757146022529266182</stp>
        <tr r="C1358" s="2"/>
      </tp>
      <tp t="s">
        <v>#N/A N/A</v>
        <stp/>
        <stp>BDP|12584780972628568319</stp>
        <tr r="T2104" s="2"/>
      </tp>
      <tp t="s">
        <v>#N/A N/A</v>
        <stp/>
        <stp>BDP|15500095770573067877</stp>
        <tr r="F1162" s="2"/>
      </tp>
      <tp t="s">
        <v>#N/A N/A</v>
        <stp/>
        <stp>BDS|10192145818851109845</stp>
        <tr r="I1828" s="2"/>
      </tp>
      <tp t="s">
        <v>#N/A N/A</v>
        <stp/>
        <stp>BDP|14921134628779810711</stp>
        <tr r="J675" s="2"/>
      </tp>
      <tp t="s">
        <v>#N/A N/A</v>
        <stp/>
        <stp>BDP|17165199211688000629</stp>
        <tr r="G1821" s="2"/>
      </tp>
      <tp t="s">
        <v>#N/A N/A</v>
        <stp/>
        <stp>BDP|16919074682523033473</stp>
        <tr r="C576" s="2"/>
      </tp>
      <tp t="s">
        <v>#N/A N/A</v>
        <stp/>
        <stp>BDP|14275097940209557057</stp>
        <tr r="K670" s="2"/>
      </tp>
      <tp t="s">
        <v>#N/A N/A</v>
        <stp/>
        <stp>BDP|16211850373596730687</stp>
        <tr r="O805" s="2"/>
      </tp>
      <tp t="s">
        <v>#N/A N/A</v>
        <stp/>
        <stp>BDP|12600955328059433946</stp>
        <tr r="S1955" s="2"/>
      </tp>
      <tp t="s">
        <v>#N/A N/A</v>
        <stp/>
        <stp>BDP|16460893747762737161</stp>
        <tr r="F707" s="2"/>
      </tp>
      <tp t="s">
        <v>#N/A N/A</v>
        <stp/>
        <stp>BDP|17985837054867711426</stp>
        <tr r="A1761" s="2"/>
      </tp>
      <tp t="s">
        <v>#N/A N/A</v>
        <stp/>
        <stp>BDP|16801610183117845693</stp>
        <tr r="K1607" s="2"/>
      </tp>
      <tp t="s">
        <v>#N/A N/A</v>
        <stp/>
        <stp>BDP|17036374673233945967</stp>
        <tr r="O506" s="2"/>
      </tp>
      <tp t="s">
        <v>#N/A N/A</v>
        <stp/>
        <stp>BDP|11746981285448023115</stp>
        <tr r="E1295" s="2"/>
      </tp>
      <tp t="s">
        <v>#N/A N/A</v>
        <stp/>
        <stp>BDP|12345288992465643549</stp>
        <tr r="N328" s="2"/>
      </tp>
      <tp t="s">
        <v>#N/A N/A</v>
        <stp/>
        <stp>BDP|17756988003624363348</stp>
        <tr r="M887" s="2"/>
      </tp>
      <tp t="s">
        <v>#N/A N/A</v>
        <stp/>
        <stp>BDP|15873345545883170826</stp>
        <tr r="S682" s="2"/>
      </tp>
      <tp t="s">
        <v>#N/A N/A</v>
        <stp/>
        <stp>BDP|14965938071560227332</stp>
        <tr r="J88" s="2"/>
      </tp>
      <tp t="s">
        <v>#N/A N/A</v>
        <stp/>
        <stp>BDP|17924225851108689164</stp>
        <tr r="T2244" s="2"/>
      </tp>
      <tp t="s">
        <v>#N/A N/A</v>
        <stp/>
        <stp>BDP|10265738081361965731</stp>
        <tr r="F336" s="2"/>
      </tp>
      <tp t="s">
        <v>#N/A N/A</v>
        <stp/>
        <stp>BDP|11886911822042956185</stp>
        <tr r="Q1780" s="2"/>
      </tp>
      <tp t="s">
        <v>#N/A N/A</v>
        <stp/>
        <stp>BDP|13778538729328635516</stp>
        <tr r="Q396" s="2"/>
      </tp>
      <tp t="s">
        <v>#N/A N/A</v>
        <stp/>
        <stp>BDP|17298095338435982809</stp>
        <tr r="D1145" s="2"/>
      </tp>
      <tp t="s">
        <v>#N/A N/A</v>
        <stp/>
        <stp>BDP|12905155263854121846</stp>
        <tr r="G1392" s="2"/>
      </tp>
      <tp t="s">
        <v>#N/A N/A</v>
        <stp/>
        <stp>BDP|16695224164913858829</stp>
        <tr r="N597" s="2"/>
      </tp>
      <tp t="s">
        <v>#N/A N/A</v>
        <stp/>
        <stp>BDS|11000616828944207827</stp>
        <tr r="I1920" s="2"/>
      </tp>
      <tp t="s">
        <v>#N/A N/A</v>
        <stp/>
        <stp>BDP|10862900335982258152</stp>
        <tr r="T1724" s="2"/>
      </tp>
      <tp t="s">
        <v>#N/A N/A</v>
        <stp/>
        <stp>BDP|11506815441602892672</stp>
        <tr r="G768" s="2"/>
      </tp>
      <tp t="s">
        <v>#N/A N/A</v>
        <stp/>
        <stp>BDP|14304024889910641546</stp>
        <tr r="G961" s="2"/>
      </tp>
      <tp t="s">
        <v>#N/A N/A</v>
        <stp/>
        <stp>BDP|14920957782699244568</stp>
        <tr r="J95" s="2"/>
      </tp>
      <tp t="s">
        <v>#N/A N/A</v>
        <stp/>
        <stp>BDP|10684856211334173495</stp>
        <tr r="N761" s="2"/>
      </tp>
      <tp t="s">
        <v>#N/A N/A</v>
        <stp/>
        <stp>BDP|14133588858364271991</stp>
        <tr r="A762" s="2"/>
      </tp>
      <tp t="s">
        <v>#N/A N/A</v>
        <stp/>
        <stp>BDP|10639015460706894956</stp>
        <tr r="D802" s="2"/>
      </tp>
      <tp t="s">
        <v>#N/A N/A</v>
        <stp/>
        <stp>BDP|12269447192154967278</stp>
        <tr r="E1543" s="2"/>
      </tp>
      <tp t="s">
        <v>#N/A N/A</v>
        <stp/>
        <stp>BDP|13455754809998426564</stp>
        <tr r="M1330" s="2"/>
      </tp>
      <tp t="s">
        <v>#N/A N/A</v>
        <stp/>
        <stp>BDP|11815155853338629428</stp>
        <tr r="P2168" s="2"/>
      </tp>
      <tp t="s">
        <v>#N/A N/A</v>
        <stp/>
        <stp>BDP|12202404098932723472</stp>
        <tr r="R1850" s="2"/>
      </tp>
      <tp t="s">
        <v>#N/A N/A</v>
        <stp/>
        <stp>BDP|10804356034290393901</stp>
        <tr r="J138" s="2"/>
      </tp>
      <tp t="s">
        <v>#N/A N/A</v>
        <stp/>
        <stp>BDP|12174373299373728229</stp>
        <tr r="O862" s="2"/>
      </tp>
      <tp t="s">
        <v>#N/A N/A</v>
        <stp/>
        <stp>BDP|15701889551142221366</stp>
        <tr r="A874" s="2"/>
      </tp>
      <tp t="s">
        <v>#N/A N/A</v>
        <stp/>
        <stp>BDP|16815923736287016262</stp>
        <tr r="R837" s="2"/>
      </tp>
      <tp t="s">
        <v>#N/A N/A</v>
        <stp/>
        <stp>BDP|11240863050065768092</stp>
        <tr r="A804" s="2"/>
      </tp>
      <tp t="s">
        <v>#N/A N/A</v>
        <stp/>
        <stp>BDP|10628589947538554068</stp>
        <tr r="O1274" s="2"/>
      </tp>
      <tp t="s">
        <v>#N/A N/A</v>
        <stp/>
        <stp>BDP|16286247339727596902</stp>
        <tr r="P101" s="2"/>
      </tp>
      <tp t="s">
        <v>#N/A N/A</v>
        <stp/>
        <stp>BDP|13641830309745526732</stp>
        <tr r="P1308" s="2"/>
      </tp>
      <tp t="s">
        <v>#N/A N/A</v>
        <stp/>
        <stp>BDP|18052145000458675880</stp>
        <tr r="E490" s="2"/>
      </tp>
      <tp t="s">
        <v>#N/A N/A</v>
        <stp/>
        <stp>BDP|14884920090845068804</stp>
        <tr r="R1192" s="2"/>
      </tp>
      <tp t="s">
        <v>#N/A N/A</v>
        <stp/>
        <stp>BDP|16248391511318734577</stp>
        <tr r="S1357" s="2"/>
      </tp>
      <tp t="s">
        <v>#N/A N/A</v>
        <stp/>
        <stp>BDP|15021882543116472654</stp>
        <tr r="M798" s="2"/>
      </tp>
      <tp t="s">
        <v>#N/A N/A</v>
        <stp/>
        <stp>BDP|17555382584111026436</stp>
        <tr r="D30" s="2"/>
      </tp>
      <tp t="s">
        <v>#N/A N/A</v>
        <stp/>
        <stp>BDS|11067413115748894559</stp>
        <tr r="I751" s="2"/>
      </tp>
      <tp t="s">
        <v>#N/A N/A</v>
        <stp/>
        <stp>BDP|14217547484429948917</stp>
        <tr r="A798" s="2"/>
      </tp>
      <tp t="s">
        <v>#N/A N/A</v>
        <stp/>
        <stp>BDP|14865584291074859536</stp>
        <tr r="D199" s="2"/>
      </tp>
      <tp t="s">
        <v>#N/A N/A</v>
        <stp/>
        <stp>BDP|15536851355240868177</stp>
        <tr r="F56" s="2"/>
      </tp>
      <tp t="s">
        <v>#N/A N/A</v>
        <stp/>
        <stp>BDP|12356663670603795988</stp>
        <tr r="P154" s="2"/>
      </tp>
      <tp t="s">
        <v>#N/A N/A</v>
        <stp/>
        <stp>BDP|16616280825796452952</stp>
        <tr r="N1615" s="2"/>
      </tp>
      <tp t="s">
        <v>#N/A N/A</v>
        <stp/>
        <stp>BDP|18393518601506940201</stp>
        <tr r="A2050" s="2"/>
      </tp>
      <tp t="s">
        <v>#N/A N/A</v>
        <stp/>
        <stp>BDP|10808946964415704353</stp>
        <tr r="F434" s="2"/>
      </tp>
      <tp t="s">
        <v>#N/A N/A</v>
        <stp/>
        <stp>BDP|17236163214168292689</stp>
        <tr r="C2072" s="2"/>
      </tp>
      <tp t="s">
        <v>#N/A N/A</v>
        <stp/>
        <stp>BDP|17718290202838189470</stp>
        <tr r="K1336" s="2"/>
      </tp>
      <tp t="s">
        <v>#N/A N/A</v>
        <stp/>
        <stp>BDP|15290824224904621287</stp>
        <tr r="F9" s="2"/>
      </tp>
      <tp t="s">
        <v>#N/A N/A</v>
        <stp/>
        <stp>BDP|17351605489178491849</stp>
        <tr r="S722" s="2"/>
      </tp>
      <tp t="s">
        <v>#N/A N/A</v>
        <stp/>
        <stp>BDP|16377060893727434183</stp>
        <tr r="D1078" s="2"/>
      </tp>
      <tp t="s">
        <v>#N/A N/A</v>
        <stp/>
        <stp>BDP|15204245588282633424</stp>
        <tr r="Q1637" s="2"/>
      </tp>
      <tp t="s">
        <v>#N/A N/A</v>
        <stp/>
        <stp>BDS|12722501489214767207</stp>
        <tr r="I2012" s="2"/>
      </tp>
      <tp t="s">
        <v>#N/A N/A</v>
        <stp/>
        <stp>BDP|13009547620184814967</stp>
        <tr r="E1558" s="2"/>
      </tp>
      <tp t="s">
        <v>#N/A N/A</v>
        <stp/>
        <stp>BDP|11482827859285180045</stp>
        <tr r="J1783" s="2"/>
      </tp>
      <tp t="s">
        <v>#N/A N/A</v>
        <stp/>
        <stp>BDP|13101708144188681196</stp>
        <tr r="K284" s="2"/>
      </tp>
      <tp t="s">
        <v>#N/A N/A</v>
        <stp/>
        <stp>BDP|10365524998965151029</stp>
        <tr r="T1070" s="2"/>
      </tp>
      <tp t="s">
        <v>#N/A N/A</v>
        <stp/>
        <stp>BDP|12079840156804183290</stp>
        <tr r="C695" s="2"/>
      </tp>
      <tp t="s">
        <v>#N/A N/A</v>
        <stp/>
        <stp>BDP|13382885534507166649</stp>
        <tr r="M1035" s="2"/>
      </tp>
      <tp t="s">
        <v>#N/A N/A</v>
        <stp/>
        <stp>BDP|16019991968888990827</stp>
        <tr r="S885" s="2"/>
      </tp>
      <tp t="s">
        <v>#N/A N/A</v>
        <stp/>
        <stp>BDP|12556051081101317282</stp>
        <tr r="E1266" s="2"/>
      </tp>
      <tp t="s">
        <v>#N/A N/A</v>
        <stp/>
        <stp>BDP|15552900259506440622</stp>
        <tr r="S849" s="2"/>
      </tp>
      <tp t="s">
        <v>#N/A N/A</v>
        <stp/>
        <stp>BDS|11979134972019703765</stp>
        <tr r="I1829" s="2"/>
      </tp>
      <tp t="s">
        <v>#N/A N/A</v>
        <stp/>
        <stp>BDP|11666597330799523701</stp>
        <tr r="H2126" s="2"/>
      </tp>
      <tp t="s">
        <v>#N/A N/A</v>
        <stp/>
        <stp>BDP|14227096674799307366</stp>
        <tr r="F1969" s="2"/>
      </tp>
      <tp t="s">
        <v>#N/A N/A</v>
        <stp/>
        <stp>BDP|17192768983125877462</stp>
        <tr r="S1664" s="2"/>
      </tp>
      <tp t="s">
        <v>#N/A N/A</v>
        <stp/>
        <stp>BDP|12775947054132855551</stp>
        <tr r="C293" s="2"/>
      </tp>
      <tp t="s">
        <v>#N/A N/A</v>
        <stp/>
        <stp>BDS|12767289426542564959</stp>
        <tr r="I1572" s="2"/>
      </tp>
      <tp t="s">
        <v>#N/A N/A</v>
        <stp/>
        <stp>BDP|16936934034287720233</stp>
        <tr r="T1992" s="2"/>
      </tp>
      <tp t="s">
        <v>#N/A N/A</v>
        <stp/>
        <stp>BDP|15434806178343109072</stp>
        <tr r="C1065" s="2"/>
      </tp>
      <tp t="s">
        <v>#N/A N/A</v>
        <stp/>
        <stp>BDP|13814366002788727116</stp>
        <tr r="A979" s="2"/>
      </tp>
      <tp t="s">
        <v>#N/A N/A</v>
        <stp/>
        <stp>BDP|10415627246919392292</stp>
        <tr r="G1435" s="2"/>
      </tp>
      <tp t="s">
        <v>#N/A N/A</v>
        <stp/>
        <stp>BDP|10666513769033615920</stp>
        <tr r="E702" s="2"/>
      </tp>
      <tp t="s">
        <v>#N/A N/A</v>
        <stp/>
        <stp>BDP|16113282115954089819</stp>
        <tr r="S2144" s="2"/>
      </tp>
      <tp t="s">
        <v>#N/A N/A</v>
        <stp/>
        <stp>BDP|13775808818523197038</stp>
        <tr r="C419" s="2"/>
      </tp>
      <tp t="s">
        <v>#N/A N/A</v>
        <stp/>
        <stp>BDP|10938474480481790441</stp>
        <tr r="Q1840" s="2"/>
      </tp>
      <tp t="s">
        <v>#N/A N/A</v>
        <stp/>
        <stp>BDP|13201935599559435318</stp>
        <tr r="T1453" s="2"/>
      </tp>
      <tp t="s">
        <v>#N/A N/A</v>
        <stp/>
        <stp>BDP|12587896150596348024</stp>
        <tr r="Q542" s="2"/>
      </tp>
      <tp t="s">
        <v>#N/A N/A</v>
        <stp/>
        <stp>BDP|13175089053138515725</stp>
        <tr r="H158" s="2"/>
      </tp>
      <tp t="s">
        <v>#N/A N/A</v>
        <stp/>
        <stp>BDP|14272411187284064598</stp>
        <tr r="H726" s="2"/>
      </tp>
      <tp t="s">
        <v>#N/A N/A</v>
        <stp/>
        <stp>BDP|11006932254577358398</stp>
        <tr r="O1126" s="2"/>
      </tp>
      <tp t="s">
        <v>#N/A N/A</v>
        <stp/>
        <stp>BDP|11797150286055834410</stp>
        <tr r="O129" s="2"/>
      </tp>
      <tp t="s">
        <v>#N/A N/A</v>
        <stp/>
        <stp>BDP|10823312686344390613</stp>
        <tr r="T1368" s="2"/>
      </tp>
      <tp t="s">
        <v>#N/A N/A</v>
        <stp/>
        <stp>BDP|16364071687951866661</stp>
        <tr r="S751" s="2"/>
      </tp>
      <tp t="s">
        <v>#N/A N/A</v>
        <stp/>
        <stp>BDP|15152113469652200969</stp>
        <tr r="H1567" s="2"/>
      </tp>
      <tp t="s">
        <v>#N/A N/A</v>
        <stp/>
        <stp>BDP|17190992265283559255</stp>
        <tr r="A402" s="2"/>
      </tp>
      <tp t="s">
        <v>#N/A N/A</v>
        <stp/>
        <stp>BDP|12506629045090742985</stp>
        <tr r="N1756" s="2"/>
      </tp>
      <tp t="s">
        <v>#N/A N/A</v>
        <stp/>
        <stp>BDP|11706412018499305409</stp>
        <tr r="C1916" s="2"/>
      </tp>
      <tp t="s">
        <v>#N/A N/A</v>
        <stp/>
        <stp>BDP|12822614754809040105</stp>
        <tr r="R1927" s="2"/>
      </tp>
      <tp t="s">
        <v>#N/A N/A</v>
        <stp/>
        <stp>BDP|10775804424870962372</stp>
        <tr r="Q1153" s="2"/>
      </tp>
      <tp t="s">
        <v>#N/A N/A</v>
        <stp/>
        <stp>BDP|10985917782031596929</stp>
        <tr r="M1834" s="2"/>
      </tp>
      <tp t="s">
        <v>#N/A N/A</v>
        <stp/>
        <stp>BDP|12139793933827225845</stp>
        <tr r="A1743" s="2"/>
      </tp>
      <tp t="s">
        <v>#N/A N/A</v>
        <stp/>
        <stp>BDP|11172087395139894897</stp>
        <tr r="T1600" s="2"/>
      </tp>
      <tp t="s">
        <v>#N/A N/A</v>
        <stp/>
        <stp>BDP|10267566188571080512</stp>
        <tr r="M2022" s="2"/>
      </tp>
      <tp t="s">
        <v>#N/A N/A</v>
        <stp/>
        <stp>BDP|18422265719802325052</stp>
        <tr r="P683" s="2"/>
      </tp>
      <tp t="s">
        <v>#N/A N/A</v>
        <stp/>
        <stp>BDP|15455571988899177874</stp>
        <tr r="P2009" s="2"/>
      </tp>
      <tp t="s">
        <v>#N/A N/A</v>
        <stp/>
        <stp>BDP|11660849263244523291</stp>
        <tr r="K1007" s="2"/>
      </tp>
      <tp t="s">
        <v>#N/A N/A</v>
        <stp/>
        <stp>BDP|18250218638423764311</stp>
        <tr r="J663" s="2"/>
      </tp>
      <tp t="s">
        <v>#N/A N/A</v>
        <stp/>
        <stp>BDP|18004168501988394895</stp>
        <tr r="N513" s="2"/>
      </tp>
      <tp t="s">
        <v>#N/A N/A</v>
        <stp/>
        <stp>BDP|11986713305559225621</stp>
        <tr r="H2171" s="2"/>
      </tp>
      <tp t="s">
        <v>#N/A N/A</v>
        <stp/>
        <stp>BDP|14982745747416644810</stp>
        <tr r="P2121" s="2"/>
      </tp>
      <tp t="s">
        <v>#N/A N/A</v>
        <stp/>
        <stp>BDP|15024805909676053248</stp>
        <tr r="H1208" s="2"/>
      </tp>
      <tp t="s">
        <v>#N/A N/A</v>
        <stp/>
        <stp>BDP|17733390747869279060</stp>
        <tr r="J1589" s="2"/>
      </tp>
      <tp t="s">
        <v>#N/A N/A</v>
        <stp/>
        <stp>BDP|17963583220150413989</stp>
        <tr r="D170" s="2"/>
      </tp>
      <tp t="s">
        <v>#N/A N/A</v>
        <stp/>
        <stp>BDP|13037577095126896070</stp>
        <tr r="A1510" s="2"/>
      </tp>
      <tp t="s">
        <v>#N/A N/A</v>
        <stp/>
        <stp>BDP|15946233695861045627</stp>
        <tr r="O2238" s="2"/>
      </tp>
      <tp t="s">
        <v>#N/A N/A</v>
        <stp/>
        <stp>BDP|12592848590292966856</stp>
        <tr r="G972" s="2"/>
      </tp>
      <tp t="s">
        <v>#N/A N/A</v>
        <stp/>
        <stp>BDP|14917576294726560725</stp>
        <tr r="P422" s="2"/>
      </tp>
      <tp t="s">
        <v>#N/A N/A</v>
        <stp/>
        <stp>BDP|11080954517522791283</stp>
        <tr r="S1729" s="2"/>
      </tp>
      <tp t="s">
        <v>#N/A N/A</v>
        <stp/>
        <stp>BDP|16825573590316197538</stp>
        <tr r="G1645" s="2"/>
      </tp>
      <tp t="s">
        <v>#N/A N/A</v>
        <stp/>
        <stp>BDP|16865644489158075987</stp>
        <tr r="C603" s="2"/>
      </tp>
      <tp t="s">
        <v>#N/A N/A</v>
        <stp/>
        <stp>BDP|11142776444502746980</stp>
        <tr r="E1687" s="2"/>
      </tp>
      <tp t="s">
        <v>#N/A N/A</v>
        <stp/>
        <stp>BDP|11813309487010285303</stp>
        <tr r="F2045" s="2"/>
      </tp>
      <tp t="s">
        <v>#N/A N/A</v>
        <stp/>
        <stp>BDP|15442587499311914112</stp>
        <tr r="H1388" s="2"/>
      </tp>
      <tp t="s">
        <v>#N/A N/A</v>
        <stp/>
        <stp>BDS|16668475838391634911</stp>
        <tr r="I1610" s="2"/>
      </tp>
      <tp t="s">
        <v>#N/A N/A</v>
        <stp/>
        <stp>BDP|17265373088041848483</stp>
        <tr r="J2215" s="2"/>
      </tp>
      <tp t="s">
        <v>#N/A N/A</v>
        <stp/>
        <stp>BDP|17144252039559255624</stp>
        <tr r="H1793" s="2"/>
      </tp>
      <tp t="s">
        <v>#N/A N/A</v>
        <stp/>
        <stp>BDP|13317860167831899571</stp>
        <tr r="E1958" s="2"/>
      </tp>
      <tp t="s">
        <v>#N/A N/A</v>
        <stp/>
        <stp>BDP|14370781962218314474</stp>
        <tr r="H1158" s="2"/>
      </tp>
      <tp t="s">
        <v>#N/A N/A</v>
        <stp/>
        <stp>BDP|17957067984523208546</stp>
        <tr r="H1740" s="2"/>
      </tp>
      <tp t="s">
        <v>#N/A N/A</v>
        <stp/>
        <stp>BDP|18417337267261834556</stp>
        <tr r="P1886" s="2"/>
      </tp>
      <tp t="s">
        <v>#N/A N/A</v>
        <stp/>
        <stp>BDP|11849071313639858097</stp>
        <tr r="K1092" s="2"/>
      </tp>
      <tp t="s">
        <v>#N/A N/A</v>
        <stp/>
        <stp>BDP|14211188196946457354</stp>
        <tr r="G160" s="2"/>
      </tp>
      <tp t="s">
        <v>#N/A N/A</v>
        <stp/>
        <stp>BDP|13325415586794175287</stp>
        <tr r="H747" s="2"/>
      </tp>
      <tp t="s">
        <v>#N/A N/A</v>
        <stp/>
        <stp>BDP|15547510299479119916</stp>
        <tr r="Q1803" s="2"/>
      </tp>
      <tp t="s">
        <v>#N/A N/A</v>
        <stp/>
        <stp>BDP|14640183470063348804</stp>
        <tr r="H459" s="2"/>
      </tp>
      <tp t="s">
        <v>#N/A N/A</v>
        <stp/>
        <stp>BDP|16548863080207671884</stp>
        <tr r="Q1621" s="2"/>
      </tp>
      <tp t="s">
        <v>#N/A N/A</v>
        <stp/>
        <stp>BDP|10996740967570787801</stp>
        <tr r="H1070" s="2"/>
      </tp>
      <tp t="s">
        <v>#N/A N/A</v>
        <stp/>
        <stp>BDP|13364302918420250840</stp>
        <tr r="Q1265" s="2"/>
      </tp>
      <tp t="s">
        <v>#N/A N/A</v>
        <stp/>
        <stp>BDP|16703021346198730396</stp>
        <tr r="T973" s="2"/>
      </tp>
      <tp t="s">
        <v>#N/A N/A</v>
        <stp/>
        <stp>BDP|13737810748221408774</stp>
        <tr r="M1230" s="2"/>
      </tp>
      <tp t="s">
        <v>#N/A N/A</v>
        <stp/>
        <stp>BDP|14442664575258324495</stp>
        <tr r="F646" s="2"/>
      </tp>
      <tp t="s">
        <v>#N/A N/A</v>
        <stp/>
        <stp>BDP|13170360348774305915</stp>
        <tr r="M2147" s="2"/>
      </tp>
      <tp t="s">
        <v>#N/A N/A</v>
        <stp/>
        <stp>BDP|14218854870504221687</stp>
        <tr r="A2181" s="2"/>
      </tp>
      <tp t="s">
        <v>#N/A N/A</v>
        <stp/>
        <stp>BDP|10903158632528218318</stp>
        <tr r="S33" s="2"/>
      </tp>
      <tp t="s">
        <v>#N/A N/A</v>
        <stp/>
        <stp>BDP|12475284855354070843</stp>
        <tr r="Q401" s="2"/>
      </tp>
      <tp t="s">
        <v>#N/A N/A</v>
        <stp/>
        <stp>BDP|10436667504159869628</stp>
        <tr r="C1312" s="2"/>
      </tp>
      <tp t="s">
        <v>#N/A N/A</v>
        <stp/>
        <stp>BDP|15135416468698492601</stp>
        <tr r="D2227" s="2"/>
      </tp>
      <tp t="s">
        <v>#N/A N/A</v>
        <stp/>
        <stp>BDP|13743813727812953241</stp>
        <tr r="J1201" s="2"/>
      </tp>
      <tp t="s">
        <v>#N/A N/A</v>
        <stp/>
        <stp>BDP|14339390307019881791</stp>
        <tr r="K844" s="2"/>
      </tp>
      <tp t="s">
        <v>#N/A N/A</v>
        <stp/>
        <stp>BDP|15009349643013308883</stp>
        <tr r="R1273" s="2"/>
      </tp>
      <tp t="s">
        <v>#N/A N/A</v>
        <stp/>
        <stp>BDP|18266237548864025351</stp>
        <tr r="K416" s="2"/>
      </tp>
      <tp t="s">
        <v>#N/A N/A</v>
        <stp/>
        <stp>BDP|16021574352898955702</stp>
        <tr r="G1540" s="2"/>
      </tp>
      <tp t="s">
        <v>#N/A N/A</v>
        <stp/>
        <stp>BDP|10785920148397679375</stp>
        <tr r="A1542" s="2"/>
      </tp>
      <tp t="s">
        <v>#N/A N/A</v>
        <stp/>
        <stp>BDP|12220871929184280523</stp>
        <tr r="H485" s="2"/>
      </tp>
      <tp t="s">
        <v>#N/A N/A</v>
        <stp/>
        <stp>BDP|16975711028939814347</stp>
        <tr r="O1462" s="2"/>
      </tp>
      <tp t="s">
        <v>#N/A N/A</v>
        <stp/>
        <stp>BDP|18386513797935030898</stp>
        <tr r="G1043" s="2"/>
      </tp>
      <tp t="s">
        <v>#N/A N/A</v>
        <stp/>
        <stp>BDP|10734259751187637990</stp>
        <tr r="P1008" s="2"/>
      </tp>
      <tp t="s">
        <v>#N/A N/A</v>
        <stp/>
        <stp>BDP|10711994831921344200</stp>
        <tr r="M522" s="2"/>
      </tp>
      <tp t="s">
        <v>#N/A N/A</v>
        <stp/>
        <stp>BDP|10487810447562714794</stp>
        <tr r="K990" s="2"/>
      </tp>
      <tp t="s">
        <v>#N/A N/A</v>
        <stp/>
        <stp>BDP|15377424309858320071</stp>
        <tr r="O459" s="2"/>
      </tp>
      <tp t="s">
        <v>#N/A N/A</v>
        <stp/>
        <stp>BDP|14302227415978013687</stp>
        <tr r="N636" s="2"/>
      </tp>
      <tp t="s">
        <v>#N/A N/A</v>
        <stp/>
        <stp>BDP|14888684156206986839</stp>
        <tr r="M1353" s="2"/>
      </tp>
      <tp t="s">
        <v>#N/A N/A</v>
        <stp/>
        <stp>BDP|14815439693376166652</stp>
        <tr r="E204" s="2"/>
      </tp>
      <tp t="s">
        <v>#N/A N/A</v>
        <stp/>
        <stp>BDP|15817901307891060430</stp>
        <tr r="R2195" s="2"/>
      </tp>
      <tp t="s">
        <v>#N/A N/A</v>
        <stp/>
        <stp>BDP|16915626332283620939</stp>
        <tr r="D1851" s="2"/>
      </tp>
      <tp t="s">
        <v>#N/A N/A</v>
        <stp/>
        <stp>BDS|13167049754498941772</stp>
        <tr r="I202" s="2"/>
      </tp>
      <tp t="s">
        <v>#N/A N/A</v>
        <stp/>
        <stp>BDP|14300884022526589104</stp>
        <tr r="H790" s="2"/>
      </tp>
      <tp t="s">
        <v>#N/A N/A</v>
        <stp/>
        <stp>BDP|15885119326748794742</stp>
        <tr r="A1916" s="2"/>
      </tp>
      <tp t="s">
        <v>#N/A N/A</v>
        <stp/>
        <stp>BDP|15974708684437177401</stp>
        <tr r="P195" s="2"/>
      </tp>
      <tp t="s">
        <v>#N/A N/A</v>
        <stp/>
        <stp>BDP|13180284006339052137</stp>
        <tr r="E302" s="2"/>
      </tp>
      <tp t="s">
        <v>#N/A N/A</v>
        <stp/>
        <stp>BDP|15813244280451488745</stp>
        <tr r="D1465" s="2"/>
      </tp>
      <tp t="s">
        <v>#N/A N/A</v>
        <stp/>
        <stp>BDP|15093853773176224585</stp>
        <tr r="K233" s="2"/>
      </tp>
      <tp t="s">
        <v>#N/A N/A</v>
        <stp/>
        <stp>BDP|13287180738808931070</stp>
        <tr r="K767" s="2"/>
      </tp>
      <tp t="s">
        <v>#N/A N/A</v>
        <stp/>
        <stp>BDP|10574608152122387885</stp>
        <tr r="K2117" s="2"/>
      </tp>
      <tp t="s">
        <v>#N/A N/A</v>
        <stp/>
        <stp>BDP|15941152053750024830</stp>
        <tr r="J2098" s="2"/>
      </tp>
      <tp t="s">
        <v>#N/A N/A</v>
        <stp/>
        <stp>BDP|15930987529363331477</stp>
        <tr r="D1653" s="2"/>
      </tp>
      <tp t="s">
        <v>#N/A N/A</v>
        <stp/>
        <stp>BDP|12948262145478323552</stp>
        <tr r="D2077" s="2"/>
      </tp>
      <tp t="s">
        <v>#N/A N/A</v>
        <stp/>
        <stp>BDP|15783968181238828542</stp>
        <tr r="M292" s="2"/>
      </tp>
      <tp t="s">
        <v>#N/A N/A</v>
        <stp/>
        <stp>BDP|11724784217578689629</stp>
        <tr r="F1680" s="2"/>
      </tp>
      <tp t="s">
        <v>#N/A N/A</v>
        <stp/>
        <stp>BDP|18196199998108857146</stp>
        <tr r="N986" s="2"/>
      </tp>
      <tp t="s">
        <v>#N/A N/A</v>
        <stp/>
        <stp>BDP|15863731560154054971</stp>
        <tr r="S1926" s="2"/>
      </tp>
      <tp t="s">
        <v>#N/A N/A</v>
        <stp/>
        <stp>BDP|10077095593170149076</stp>
        <tr r="O1696" s="2"/>
      </tp>
      <tp t="s">
        <v>#N/A N/A</v>
        <stp/>
        <stp>BDP|16670947626711873501</stp>
        <tr r="F1693" s="2"/>
      </tp>
      <tp t="s">
        <v>#N/A N/A</v>
        <stp/>
        <stp>BDP|11234167487228673990</stp>
        <tr r="M2239" s="2"/>
      </tp>
      <tp t="s">
        <v>#N/A N/A</v>
        <stp/>
        <stp>BDP|15290364147168787385</stp>
        <tr r="H1218" s="2"/>
      </tp>
      <tp t="s">
        <v>#N/A N/A</v>
        <stp/>
        <stp>BDP|18241061876734618282</stp>
        <tr r="K1991" s="2"/>
      </tp>
      <tp t="s">
        <v>#N/A N/A</v>
        <stp/>
        <stp>BDP|12310827379581576514</stp>
        <tr r="H1305" s="2"/>
      </tp>
      <tp t="s">
        <v>#N/A N/A</v>
        <stp/>
        <stp>BDP|13915240032283737840</stp>
        <tr r="K1829" s="2"/>
      </tp>
      <tp t="s">
        <v>#N/A N/A</v>
        <stp/>
        <stp>BDS|16774805224614442180</stp>
        <tr r="I1654" s="2"/>
      </tp>
      <tp t="s">
        <v>#N/A N/A</v>
        <stp/>
        <stp>BDP|12625906756574441385</stp>
        <tr r="R772" s="2"/>
      </tp>
      <tp t="s">
        <v>#N/A N/A</v>
        <stp/>
        <stp>BDP|14990231606776385937</stp>
        <tr r="F1483" s="2"/>
      </tp>
      <tp t="s">
        <v>#N/A N/A</v>
        <stp/>
        <stp>BDS|15725156063108663383</stp>
        <tr r="I1636" s="2"/>
      </tp>
      <tp t="s">
        <v>#N/A N/A</v>
        <stp/>
        <stp>BDP|11846765023979310429</stp>
        <tr r="A2012" s="2"/>
      </tp>
      <tp t="s">
        <v>#N/A N/A</v>
        <stp/>
        <stp>BDP|11180308083291935276</stp>
        <tr r="R1795" s="2"/>
      </tp>
      <tp t="s">
        <v>#N/A N/A</v>
        <stp/>
        <stp>BDP|11744783785831297641</stp>
        <tr r="R1394" s="2"/>
      </tp>
      <tp t="s">
        <v>#N/A N/A</v>
        <stp/>
        <stp>BDP|10505696105578120746</stp>
        <tr r="H1497" s="2"/>
      </tp>
      <tp t="s">
        <v>#N/A N/A</v>
        <stp/>
        <stp>BDP|14341963650384169584</stp>
        <tr r="H1778" s="2"/>
      </tp>
      <tp t="s">
        <v>#N/A N/A</v>
        <stp/>
        <stp>BDP|12110887425531044001</stp>
        <tr r="C2223" s="2"/>
      </tp>
      <tp t="s">
        <v>#N/A N/A</v>
        <stp/>
        <stp>BDP|10008350043777372995</stp>
        <tr r="R143" s="2"/>
      </tp>
      <tp t="s">
        <v>#N/A N/A</v>
        <stp/>
        <stp>BDP|11040566455889773188</stp>
        <tr r="S1973" s="2"/>
      </tp>
      <tp t="s">
        <v>#N/A N/A</v>
        <stp/>
        <stp>BDS|11088382156976607876</stp>
        <tr r="I20" s="2"/>
      </tp>
      <tp t="s">
        <v>#N/A N/A</v>
        <stp/>
        <stp>BDP|13354697680014078060</stp>
        <tr r="F665" s="2"/>
      </tp>
      <tp t="s">
        <v>#N/A N/A</v>
        <stp/>
        <stp>BDP|18424064009821091072</stp>
        <tr r="O900" s="2"/>
      </tp>
      <tp t="s">
        <v>#N/A N/A</v>
        <stp/>
        <stp>BDP|11972998685520975908</stp>
        <tr r="F802" s="2"/>
      </tp>
      <tp t="s">
        <v>#N/A N/A</v>
        <stp/>
        <stp>BDP|18291067617106895673</stp>
        <tr r="J1019" s="2"/>
      </tp>
      <tp t="s">
        <v>#N/A N/A</v>
        <stp/>
        <stp>BDP|12435263527898080394</stp>
        <tr r="R1305" s="2"/>
      </tp>
      <tp t="s">
        <v>#N/A N/A</v>
        <stp/>
        <stp>BDP|10561434575992777888</stp>
        <tr r="T1295" s="2"/>
      </tp>
      <tp t="s">
        <v>#N/A N/A</v>
        <stp/>
        <stp>BDP|16946115529259807557</stp>
        <tr r="D168" s="2"/>
      </tp>
      <tp t="s">
        <v>#N/A N/A</v>
        <stp/>
        <stp>BDP|18318568809666318205</stp>
        <tr r="S569" s="2"/>
      </tp>
      <tp t="s">
        <v>#N/A N/A</v>
        <stp/>
        <stp>BDS|13355909935769879927</stp>
        <tr r="I914" s="2"/>
      </tp>
      <tp t="s">
        <v>#N/A N/A</v>
        <stp/>
        <stp>BDS|16861788378157004844</stp>
        <tr r="I1839" s="2"/>
      </tp>
      <tp t="s">
        <v>#N/A N/A</v>
        <stp/>
        <stp>BDP|12093236079386015857</stp>
        <tr r="T1448" s="2"/>
      </tp>
      <tp t="s">
        <v>#N/A N/A</v>
        <stp/>
        <stp>BDP|14291646253888241689</stp>
        <tr r="R981" s="2"/>
      </tp>
      <tp t="s">
        <v>#N/A N/A</v>
        <stp/>
        <stp>BDP|11486280517038306372</stp>
        <tr r="S455" s="2"/>
      </tp>
      <tp t="s">
        <v>#N/A N/A</v>
        <stp/>
        <stp>BDP|12432066429978540112</stp>
        <tr r="M538" s="2"/>
      </tp>
      <tp t="s">
        <v>#N/A N/A</v>
        <stp/>
        <stp>BDP|16034760051159913419</stp>
        <tr r="R464" s="2"/>
      </tp>
      <tp t="s">
        <v>#N/A N/A</v>
        <stp/>
        <stp>BDP|17902485229028788005</stp>
        <tr r="D1548" s="2"/>
      </tp>
      <tp t="s">
        <v>#N/A N/A</v>
        <stp/>
        <stp>BDP|16352436050406767889</stp>
        <tr r="G1491" s="2"/>
      </tp>
      <tp t="s">
        <v>#N/A N/A</v>
        <stp/>
        <stp>BDP|14021865033215244389</stp>
        <tr r="O232" s="2"/>
      </tp>
      <tp t="s">
        <v>#N/A N/A</v>
        <stp/>
        <stp>BDS|10060980474173685467</stp>
        <tr r="I1443" s="2"/>
      </tp>
      <tp t="s">
        <v>#N/A N/A</v>
        <stp/>
        <stp>BDP|18013448953567943717</stp>
        <tr r="E241" s="2"/>
      </tp>
      <tp t="s">
        <v>#N/A N/A</v>
        <stp/>
        <stp>BDP|18237092926242585174</stp>
        <tr r="A1879" s="2"/>
      </tp>
      <tp t="s">
        <v>#N/A N/A</v>
        <stp/>
        <stp>BDP|15590565468567144852</stp>
        <tr r="A39" s="2"/>
      </tp>
      <tp t="s">
        <v>#N/A N/A</v>
        <stp/>
        <stp>BDP|11285101122799875277</stp>
        <tr r="A1815" s="2"/>
      </tp>
      <tp t="s">
        <v>#N/A N/A</v>
        <stp/>
        <stp>BDP|11517789151722025833</stp>
        <tr r="Q44" s="2"/>
      </tp>
      <tp t="s">
        <v>#N/A N/A</v>
        <stp/>
        <stp>BDP|14299967228190073636</stp>
        <tr r="S822" s="2"/>
      </tp>
      <tp t="s">
        <v>#N/A N/A</v>
        <stp/>
        <stp>BDP|17657587480186589545</stp>
        <tr r="F1146" s="2"/>
      </tp>
      <tp t="s">
        <v>#N/A N/A</v>
        <stp/>
        <stp>BDP|16167687141078154569</stp>
        <tr r="P2045" s="2"/>
      </tp>
      <tp t="s">
        <v>#N/A N/A</v>
        <stp/>
        <stp>BDP|11639044832513794886</stp>
        <tr r="Q521" s="2"/>
      </tp>
      <tp t="s">
        <v>#N/A N/A</v>
        <stp/>
        <stp>BDP|16947265290602534659</stp>
        <tr r="A1838" s="2"/>
      </tp>
      <tp t="s">
        <v>#N/A N/A</v>
        <stp/>
        <stp>BDP|13590125524910997951</stp>
        <tr r="Q2097" s="2"/>
      </tp>
      <tp t="s">
        <v>#N/A N/A</v>
        <stp/>
        <stp>BDP|12530835544827529080</stp>
        <tr r="K704" s="2"/>
      </tp>
      <tp t="s">
        <v>#N/A N/A</v>
        <stp/>
        <stp>BDP|16358528351379877675</stp>
        <tr r="S709" s="2"/>
      </tp>
      <tp t="s">
        <v>#N/A N/A</v>
        <stp/>
        <stp>BDP|17843857302170080606</stp>
        <tr r="Q1112" s="2"/>
      </tp>
      <tp t="s">
        <v>#N/A N/A</v>
        <stp/>
        <stp>BDP|13600509212117345980</stp>
        <tr r="E925" s="2"/>
      </tp>
      <tp t="s">
        <v>#N/A N/A</v>
        <stp/>
        <stp>BDP|13522923925325525483</stp>
        <tr r="N512" s="2"/>
      </tp>
      <tp t="s">
        <v>#N/A N/A</v>
        <stp/>
        <stp>BDP|10297214083674999761</stp>
        <tr r="D1381" s="2"/>
      </tp>
      <tp t="s">
        <v>#N/A N/A</v>
        <stp/>
        <stp>BDP|15121647597084507786</stp>
        <tr r="O1598" s="2"/>
      </tp>
      <tp t="s">
        <v>#N/A N/A</v>
        <stp/>
        <stp>BDP|10331847138402655066</stp>
        <tr r="K1011" s="2"/>
      </tp>
      <tp t="s">
        <v>#N/A N/A</v>
        <stp/>
        <stp>BDP|11375302639751270976</stp>
        <tr r="O101" s="2"/>
      </tp>
      <tp t="s">
        <v>#N/A N/A</v>
        <stp/>
        <stp>BDP|14605941123440936675</stp>
        <tr r="J1703" s="2"/>
      </tp>
      <tp t="s">
        <v>#N/A N/A</v>
        <stp/>
        <stp>BDP|13378811819994148758</stp>
        <tr r="O897" s="2"/>
      </tp>
      <tp t="s">
        <v>#N/A N/A</v>
        <stp/>
        <stp>BDP|15755034045608845060</stp>
        <tr r="R1350" s="2"/>
      </tp>
      <tp t="s">
        <v>#N/A N/A</v>
        <stp/>
        <stp>BDP|11214487819385569892</stp>
        <tr r="R1363" s="2"/>
      </tp>
      <tp t="s">
        <v>#N/A N/A</v>
        <stp/>
        <stp>BDP|11253602934605957805</stp>
        <tr r="F1027" s="2"/>
      </tp>
      <tp t="s">
        <v>#N/A N/A</v>
        <stp/>
        <stp>BDP|15349146689452967781</stp>
        <tr r="C1723" s="2"/>
      </tp>
      <tp t="s">
        <v>#N/A N/A</v>
        <stp/>
        <stp>BDP|14544867872560675280</stp>
        <tr r="O1648" s="2"/>
      </tp>
      <tp t="s">
        <v>#N/A N/A</v>
        <stp/>
        <stp>BDP|17956614927059774377</stp>
        <tr r="A478" s="2"/>
      </tp>
      <tp t="s">
        <v>#N/A N/A</v>
        <stp/>
        <stp>BDP|17559319301858867523</stp>
        <tr r="J487" s="2"/>
      </tp>
      <tp t="s">
        <v>#N/A N/A</v>
        <stp/>
        <stp>BDP|18323946443324324884</stp>
        <tr r="P827" s="2"/>
      </tp>
      <tp t="s">
        <v>#N/A N/A</v>
        <stp/>
        <stp>BDP|13055783332607766927</stp>
        <tr r="C701" s="2"/>
      </tp>
      <tp t="s">
        <v>#N/A N/A</v>
        <stp/>
        <stp>BDP|16755719399989054800</stp>
        <tr r="O1293" s="2"/>
      </tp>
      <tp t="s">
        <v>#N/A N/A</v>
        <stp/>
        <stp>BDP|16243315537158976727</stp>
        <tr r="D481" s="2"/>
      </tp>
      <tp t="s">
        <v>#N/A N/A</v>
        <stp/>
        <stp>BDP|18085861505610564999</stp>
        <tr r="P2186" s="2"/>
      </tp>
      <tp t="s">
        <v>#N/A N/A</v>
        <stp/>
        <stp>BDP|18370656621325832001</stp>
        <tr r="C1005" s="2"/>
      </tp>
      <tp t="s">
        <v>#N/A N/A</v>
        <stp/>
        <stp>BDS|12976124101352550835</stp>
        <tr r="I1917" s="2"/>
      </tp>
      <tp t="s">
        <v>#N/A N/A</v>
        <stp/>
        <stp>BDP|16829242382626775366</stp>
        <tr r="C1783" s="2"/>
      </tp>
      <tp t="s">
        <v>#N/A N/A</v>
        <stp/>
        <stp>BDP|17678993676699643901</stp>
        <tr r="D1064" s="2"/>
      </tp>
      <tp t="s">
        <v>#N/A N/A</v>
        <stp/>
        <stp>BDP|18287925108488789006</stp>
        <tr r="F70" s="2"/>
      </tp>
      <tp t="s">
        <v>#N/A N/A</v>
        <stp/>
        <stp>BDP|12426583282177465151</stp>
        <tr r="Q1233" s="2"/>
      </tp>
      <tp t="s">
        <v>#N/A N/A</v>
        <stp/>
        <stp>BDP|17737931219561393719</stp>
        <tr r="F526" s="2"/>
      </tp>
      <tp t="s">
        <v>#N/A N/A</v>
        <stp/>
        <stp>BDP|13505972372062953660</stp>
        <tr r="J2078" s="2"/>
      </tp>
      <tp t="s">
        <v>#N/A N/A</v>
        <stp/>
        <stp>BDP|17194316557799165198</stp>
        <tr r="H1926" s="2"/>
      </tp>
      <tp t="s">
        <v>#N/A N/A</v>
        <stp/>
        <stp>BDP|13135702889594331142</stp>
        <tr r="P747" s="2"/>
      </tp>
      <tp t="s">
        <v>#N/A N/A</v>
        <stp/>
        <stp>BDP|18296367523842860205</stp>
        <tr r="C531" s="2"/>
      </tp>
      <tp t="s">
        <v>#N/A N/A</v>
        <stp/>
        <stp>BDP|11691399864219008447</stp>
        <tr r="M407" s="2"/>
      </tp>
      <tp t="s">
        <v>#N/A N/A</v>
        <stp/>
        <stp>BDP|13437614737886495992</stp>
        <tr r="E855" s="2"/>
      </tp>
      <tp t="s">
        <v>#N/A N/A</v>
        <stp/>
        <stp>BDP|16193822854937845502</stp>
        <tr r="J1422" s="2"/>
      </tp>
      <tp t="s">
        <v>#N/A N/A</v>
        <stp/>
        <stp>BDP|17768847492428779796</stp>
        <tr r="J2179" s="2"/>
      </tp>
      <tp t="s">
        <v>#N/A N/A</v>
        <stp/>
        <stp>BDP|17663041665079853106</stp>
        <tr r="J1545" s="2"/>
      </tp>
      <tp t="s">
        <v>#N/A N/A</v>
        <stp/>
        <stp>BDP|10822245253416341833</stp>
        <tr r="C2032" s="2"/>
      </tp>
      <tp t="s">
        <v>#N/A N/A</v>
        <stp/>
        <stp>BDP|15610805659779033804</stp>
        <tr r="Q2225" s="2"/>
      </tp>
      <tp t="s">
        <v>#N/A N/A</v>
        <stp/>
        <stp>BDP|10499681261369022032</stp>
        <tr r="K1223" s="2"/>
      </tp>
      <tp t="s">
        <v>#N/A N/A</v>
        <stp/>
        <stp>BDP|12282254049328359531</stp>
        <tr r="N1018" s="2"/>
      </tp>
      <tp t="s">
        <v>#N/A N/A</v>
        <stp/>
        <stp>BDP|13864822118857938454</stp>
        <tr r="G493" s="2"/>
      </tp>
      <tp t="s">
        <v>#N/A N/A</v>
        <stp/>
        <stp>BDP|12466003076168596496</stp>
        <tr r="H1044" s="2"/>
      </tp>
      <tp t="s">
        <v>#N/A N/A</v>
        <stp/>
        <stp>BDP|14394338061700749888</stp>
        <tr r="S1650" s="2"/>
      </tp>
      <tp t="s">
        <v>#N/A N/A</v>
        <stp/>
        <stp>BDP|17062881573532509308</stp>
        <tr r="M496" s="2"/>
      </tp>
      <tp t="s">
        <v>#N/A N/A</v>
        <stp/>
        <stp>BDP|14948888780558943567</stp>
        <tr r="E1251" s="2"/>
      </tp>
      <tp t="s">
        <v>#N/A N/A</v>
        <stp/>
        <stp>BDP|10595400696930524488</stp>
        <tr r="F1397" s="2"/>
      </tp>
      <tp t="s">
        <v>#N/A N/A</v>
        <stp/>
        <stp>BDP|10086567801008170481</stp>
        <tr r="Q658" s="2"/>
      </tp>
      <tp t="s">
        <v>#N/A N/A</v>
        <stp/>
        <stp>BDP|16841847993977451956</stp>
        <tr r="R564" s="2"/>
      </tp>
      <tp t="s">
        <v>#N/A N/A</v>
        <stp/>
        <stp>BDP|17177090365081285916</stp>
        <tr r="S602" s="2"/>
      </tp>
      <tp t="s">
        <v>#N/A N/A</v>
        <stp/>
        <stp>BDP|13388688217534092925</stp>
        <tr r="J2062" s="2"/>
      </tp>
      <tp t="s">
        <v>#N/A N/A</v>
        <stp/>
        <stp>BDP|14659669811019944361</stp>
        <tr r="Q1690" s="2"/>
      </tp>
      <tp t="s">
        <v>#N/A N/A</v>
        <stp/>
        <stp>BDP|16667679744578943527</stp>
        <tr r="T749" s="2"/>
      </tp>
      <tp t="s">
        <v>#N/A N/A</v>
        <stp/>
        <stp>BDP|13746366367848906713</stp>
        <tr r="G1264" s="2"/>
      </tp>
      <tp t="s">
        <v>#N/A N/A</v>
        <stp/>
        <stp>BDP|11487980010414650440</stp>
        <tr r="K1487" s="2"/>
      </tp>
      <tp t="s">
        <v>#N/A N/A</v>
        <stp/>
        <stp>BDP|10852860831594710669</stp>
        <tr r="T334" s="2"/>
      </tp>
      <tp t="s">
        <v>#N/A N/A</v>
        <stp/>
        <stp>BDP|12422930328359189906</stp>
        <tr r="K32" s="2"/>
      </tp>
      <tp t="s">
        <v>#N/A N/A</v>
        <stp/>
        <stp>BDP|16188217985873219699</stp>
        <tr r="M1494" s="2"/>
      </tp>
      <tp t="s">
        <v>#N/A N/A</v>
        <stp/>
        <stp>BDP|13293975629212682349</stp>
        <tr r="R1297" s="2"/>
      </tp>
      <tp t="s">
        <v>#N/A N/A</v>
        <stp/>
        <stp>BDP|15275255340968003294</stp>
        <tr r="J405" s="2"/>
      </tp>
      <tp t="s">
        <v>#N/A N/A</v>
        <stp/>
        <stp>BDP|11090197887035436443</stp>
        <tr r="M791" s="2"/>
      </tp>
      <tp t="s">
        <v>#N/A N/A</v>
        <stp/>
        <stp>BDP|13968193800999757297</stp>
        <tr r="S927" s="2"/>
      </tp>
      <tp t="s">
        <v>#N/A N/A</v>
        <stp/>
        <stp>BDP|13891398019310495825</stp>
        <tr r="G1314" s="2"/>
      </tp>
      <tp t="s">
        <v>#N/A N/A</v>
        <stp/>
        <stp>BDP|16689377374422875931</stp>
        <tr r="D90" s="2"/>
      </tp>
      <tp t="s">
        <v>#N/A N/A</v>
        <stp/>
        <stp>BDP|15181208673131888844</stp>
        <tr r="P856" s="2"/>
      </tp>
      <tp t="s">
        <v>#N/A N/A</v>
        <stp/>
        <stp>BDP|11479109978468769651</stp>
        <tr r="N1042" s="2"/>
      </tp>
      <tp t="s">
        <v>#N/A N/A</v>
        <stp/>
        <stp>BDP|16680393506428649416</stp>
        <tr r="H298" s="2"/>
      </tp>
      <tp t="s">
        <v>#N/A N/A</v>
        <stp/>
        <stp>BDP|17171586137189899184</stp>
        <tr r="C1010" s="2"/>
      </tp>
      <tp t="s">
        <v>#N/A N/A</v>
        <stp/>
        <stp>BDP|12600572929634097861</stp>
        <tr r="H679" s="2"/>
      </tp>
      <tp t="s">
        <v>#N/A N/A</v>
        <stp/>
        <stp>BDP|15851110294690166429</stp>
        <tr r="N34" s="2"/>
      </tp>
      <tp t="s">
        <v>#N/A N/A</v>
        <stp/>
        <stp>BDP|16651711488834770467</stp>
        <tr r="F84" s="2"/>
      </tp>
      <tp t="s">
        <v>#N/A N/A</v>
        <stp/>
        <stp>BDP|12879254974797552922</stp>
        <tr r="P763" s="2"/>
      </tp>
      <tp t="s">
        <v>#N/A N/A</v>
        <stp/>
        <stp>BDP|11803576910099247531</stp>
        <tr r="N722" s="2"/>
      </tp>
      <tp t="s">
        <v>#N/A N/A</v>
        <stp/>
        <stp>BDP|12583656799807002375</stp>
        <tr r="A1906" s="2"/>
      </tp>
      <tp t="s">
        <v>#N/A N/A</v>
        <stp/>
        <stp>BDP|10113114644634877827</stp>
        <tr r="R2082" s="2"/>
      </tp>
      <tp t="s">
        <v>#N/A N/A</v>
        <stp/>
        <stp>BDP|14562987040083465375</stp>
        <tr r="G1849" s="2"/>
      </tp>
      <tp t="s">
        <v>#N/A N/A</v>
        <stp/>
        <stp>BDP|10870092161856891966</stp>
        <tr r="D2160" s="2"/>
      </tp>
      <tp t="s">
        <v>#N/A N/A</v>
        <stp/>
        <stp>BDP|14963931110372652723</stp>
        <tr r="G17" s="2"/>
      </tp>
      <tp t="s">
        <v>#N/A N/A</v>
        <stp/>
        <stp>BDP|17652073814707825832</stp>
        <tr r="N1738" s="2"/>
      </tp>
      <tp t="s">
        <v>#N/A N/A</v>
        <stp/>
        <stp>BDP|16154392133899375669</stp>
        <tr r="D752" s="2"/>
      </tp>
      <tp t="s">
        <v>#N/A N/A</v>
        <stp/>
        <stp>BDS|13367232696424248595</stp>
        <tr r="I688" s="2"/>
      </tp>
      <tp t="s">
        <v>#N/A N/A</v>
        <stp/>
        <stp>BDP|14432703484423933176</stp>
        <tr r="P1053" s="2"/>
      </tp>
      <tp t="s">
        <v>#N/A N/A</v>
        <stp/>
        <stp>BDP|13531597094257125175</stp>
        <tr r="T1938" s="2"/>
      </tp>
      <tp t="s">
        <v>#N/A N/A</v>
        <stp/>
        <stp>BDP|10411944098521541835</stp>
        <tr r="M2070" s="2"/>
      </tp>
      <tp t="s">
        <v>#N/A N/A</v>
        <stp/>
        <stp>BDP|16165083510747566925</stp>
        <tr r="Q2050" s="2"/>
      </tp>
      <tp t="s">
        <v>#N/A N/A</v>
        <stp/>
        <stp>BDP|10640610208297526844</stp>
        <tr r="J1517" s="2"/>
      </tp>
      <tp t="s">
        <v>#N/A N/A</v>
        <stp/>
        <stp>BDP|10904452904759112474</stp>
        <tr r="S611" s="2"/>
      </tp>
      <tp t="s">
        <v>#N/A N/A</v>
        <stp/>
        <stp>BDP|13912886026957961708</stp>
        <tr r="T323" s="2"/>
      </tp>
      <tp t="s">
        <v>#N/A N/A</v>
        <stp/>
        <stp>BDP|14981882649845721417</stp>
        <tr r="D1443" s="2"/>
      </tp>
      <tp t="s">
        <v>#N/A N/A</v>
        <stp/>
        <stp>BDP|17126278936028954779</stp>
        <tr r="C756" s="2"/>
      </tp>
      <tp t="s">
        <v>#N/A N/A</v>
        <stp/>
        <stp>BDP|15068872654031805052</stp>
        <tr r="O1503" s="2"/>
      </tp>
      <tp t="s">
        <v>#N/A N/A</v>
        <stp/>
        <stp>BDP|13627652829139277760</stp>
        <tr r="O1286" s="2"/>
      </tp>
      <tp t="s">
        <v>#N/A N/A</v>
        <stp/>
        <stp>BDP|17546140257329930312</stp>
        <tr r="T969" s="2"/>
      </tp>
      <tp t="s">
        <v>#N/A N/A</v>
        <stp/>
        <stp>BDP|16076971675121447086</stp>
        <tr r="G1212" s="2"/>
      </tp>
      <tp t="s">
        <v>#N/A N/A</v>
        <stp/>
        <stp>BDP|16241519756869261696</stp>
        <tr r="M741" s="2"/>
      </tp>
      <tp t="s">
        <v>#N/A N/A</v>
        <stp/>
        <stp>BDP|11442356296125948703</stp>
        <tr r="P222" s="2"/>
      </tp>
      <tp t="s">
        <v>#N/A N/A</v>
        <stp/>
        <stp>BDP|11431094096601675032</stp>
        <tr r="G1082" s="2"/>
      </tp>
      <tp t="s">
        <v>#N/A N/A</v>
        <stp/>
        <stp>BDP|17387198783651723600</stp>
        <tr r="M2132" s="2"/>
      </tp>
      <tp t="s">
        <v>#N/A N/A</v>
        <stp/>
        <stp>BDS|13502667258931432829</stp>
        <tr r="I342" s="2"/>
      </tp>
      <tp t="s">
        <v>#N/A N/A</v>
        <stp/>
        <stp>BDP|18110287040504543323</stp>
        <tr r="Q1893" s="2"/>
      </tp>
      <tp t="s">
        <v>#N/A N/A</v>
        <stp/>
        <stp>BDP|18049557375307233438</stp>
        <tr r="C1560" s="2"/>
      </tp>
      <tp t="s">
        <v>#N/A N/A</v>
        <stp/>
        <stp>BDP|13587990049662241561</stp>
        <tr r="R467" s="2"/>
      </tp>
      <tp t="s">
        <v>#N/A N/A</v>
        <stp/>
        <stp>BDP|14049930923823442553</stp>
        <tr r="O1569" s="2"/>
      </tp>
      <tp t="s">
        <v>#N/A N/A</v>
        <stp/>
        <stp>BDS|16151333712929138436</stp>
        <tr r="I1187" s="2"/>
      </tp>
      <tp t="s">
        <v>#N/A N/A</v>
        <stp/>
        <stp>BDP|12996489415808219673</stp>
        <tr r="F929" s="2"/>
      </tp>
      <tp t="s">
        <v>#N/A N/A</v>
        <stp/>
        <stp>BDS|12731966739920921134</stp>
        <tr r="I1588" s="2"/>
      </tp>
      <tp t="s">
        <v>#N/A N/A</v>
        <stp/>
        <stp>BDP|13207957991283296956</stp>
        <tr r="P12" s="2"/>
      </tp>
      <tp t="s">
        <v>#N/A N/A</v>
        <stp/>
        <stp>BDP|14792998023056898041</stp>
        <tr r="J1873" s="2"/>
      </tp>
      <tp t="s">
        <v>#N/A N/A</v>
        <stp/>
        <stp>BDP|18030208201890530359</stp>
        <tr r="J1824" s="2"/>
      </tp>
      <tp t="s">
        <v>#N/A N/A</v>
        <stp/>
        <stp>BDP|12508960576840751535</stp>
        <tr r="R1081" s="2"/>
      </tp>
      <tp t="s">
        <v>#N/A N/A</v>
        <stp/>
        <stp>BDP|16198972385476246803</stp>
        <tr r="K2030" s="2"/>
      </tp>
      <tp t="s">
        <v>#N/A N/A</v>
        <stp/>
        <stp>BDS|11871834819747358639</stp>
        <tr r="I1122" s="2"/>
      </tp>
      <tp t="s">
        <v>#N/A N/A</v>
        <stp/>
        <stp>BDP|17944929765137632697</stp>
        <tr r="Q271" s="2"/>
      </tp>
      <tp t="s">
        <v>#N/A N/A</v>
        <stp/>
        <stp>BDP|11041723387864309370</stp>
        <tr r="D1046" s="2"/>
      </tp>
      <tp t="s">
        <v>#N/A N/A</v>
        <stp/>
        <stp>BDP|13640615222057383976</stp>
        <tr r="E1314" s="2"/>
      </tp>
      <tp t="s">
        <v>#N/A N/A</v>
        <stp/>
        <stp>BDP|16039239492026566252</stp>
        <tr r="M1514" s="2"/>
      </tp>
      <tp t="s">
        <v>#N/A N/A</v>
        <stp/>
        <stp>BDP|13468796342148868169</stp>
        <tr r="D1930" s="2"/>
      </tp>
      <tp t="s">
        <v>#N/A N/A</v>
        <stp/>
        <stp>BDP|10688777811698569741</stp>
        <tr r="A1291" s="2"/>
      </tp>
      <tp t="s">
        <v>#N/A N/A</v>
        <stp/>
        <stp>BDP|16204742785373186337</stp>
        <tr r="T1660" s="2"/>
      </tp>
      <tp t="s">
        <v>#N/A N/A</v>
        <stp/>
        <stp>BDP|11380210386564613631</stp>
        <tr r="O1885" s="2"/>
      </tp>
      <tp t="s">
        <v>#N/A N/A</v>
        <stp/>
        <stp>BDP|11256926171446293023</stp>
        <tr r="A465" s="2"/>
      </tp>
      <tp t="s">
        <v>#N/A N/A</v>
        <stp/>
        <stp>BDP|12837019930658059084</stp>
        <tr r="H99" s="2"/>
      </tp>
      <tp t="s">
        <v>#N/A N/A</v>
        <stp/>
        <stp>BDP|12646471843962130923</stp>
        <tr r="Q1718" s="2"/>
      </tp>
      <tp t="s">
        <v>#N/A N/A</v>
        <stp/>
        <stp>BDP|10488501225587198919</stp>
        <tr r="N671" s="2"/>
      </tp>
      <tp t="s">
        <v>#N/A N/A</v>
        <stp/>
        <stp>BDP|10668200522000237979</stp>
        <tr r="S1118" s="2"/>
      </tp>
      <tp t="s">
        <v>#N/A N/A</v>
        <stp/>
        <stp>BDP|13114107620079684062</stp>
        <tr r="N966" s="2"/>
      </tp>
      <tp t="s">
        <v>#N/A N/A</v>
        <stp/>
        <stp>BDP|13557269381114765447</stp>
        <tr r="C1500" s="2"/>
      </tp>
      <tp t="s">
        <v>#N/A N/A</v>
        <stp/>
        <stp>BDP|11745413394834326101</stp>
        <tr r="R570" s="2"/>
      </tp>
      <tp t="s">
        <v>#N/A N/A</v>
        <stp/>
        <stp>BDP|13439553714056047847</stp>
        <tr r="J2105" s="2"/>
      </tp>
      <tp t="s">
        <v>#N/A N/A</v>
        <stp/>
        <stp>BDP|15588748655147154947</stp>
        <tr r="G998" s="2"/>
      </tp>
      <tp t="s">
        <v>#N/A N/A</v>
        <stp/>
        <stp>BDP|16745904133143234671</stp>
        <tr r="M137" s="2"/>
      </tp>
      <tp t="s">
        <v>#N/A N/A</v>
        <stp/>
        <stp>BDP|12309116135291320855</stp>
        <tr r="F724" s="2"/>
      </tp>
      <tp t="s">
        <v>#N/A N/A</v>
        <stp/>
        <stp>BDP|12990324075858928765</stp>
        <tr r="A1052" s="2"/>
      </tp>
      <tp t="s">
        <v>#N/A N/A</v>
        <stp/>
        <stp>BDP|16269120463471216901</stp>
        <tr r="H647" s="2"/>
      </tp>
      <tp t="s">
        <v>#N/A N/A</v>
        <stp/>
        <stp>BDP|12560625143438701125</stp>
        <tr r="O2218" s="2"/>
      </tp>
      <tp t="s">
        <v>#N/A N/A</v>
        <stp/>
        <stp>BDP|16027339101848401471</stp>
        <tr r="J382" s="2"/>
      </tp>
      <tp t="s">
        <v>#N/A N/A</v>
        <stp/>
        <stp>BDP|10606344976169011455</stp>
        <tr r="N1120" s="2"/>
      </tp>
      <tp t="s">
        <v>#N/A N/A</v>
        <stp/>
        <stp>BDP|14127277354188134227</stp>
        <tr r="S1886" s="2"/>
      </tp>
      <tp t="s">
        <v>#N/A N/A</v>
        <stp/>
        <stp>BDP|18003388169837419341</stp>
        <tr r="D1928" s="2"/>
      </tp>
      <tp t="s">
        <v>#N/A N/A</v>
        <stp/>
        <stp>BDP|17670286289114476027</stp>
        <tr r="S1215" s="2"/>
      </tp>
      <tp t="s">
        <v>#N/A N/A</v>
        <stp/>
        <stp>BDP|10456993869117640134</stp>
        <tr r="S754" s="2"/>
      </tp>
      <tp t="s">
        <v>#N/A N/A</v>
        <stp/>
        <stp>BDP|16748141929488902426</stp>
        <tr r="Q1801" s="2"/>
      </tp>
      <tp t="s">
        <v>#N/A N/A</v>
        <stp/>
        <stp>BDP|13219515410749373713</stp>
        <tr r="G80" s="2"/>
      </tp>
      <tp t="s">
        <v>#N/A N/A</v>
        <stp/>
        <stp>BDP|15782517896965756564</stp>
        <tr r="Q1816" s="2"/>
      </tp>
      <tp t="s">
        <v>#N/A N/A</v>
        <stp/>
        <stp>BDP|16484929553174555712</stp>
        <tr r="J890" s="2"/>
      </tp>
      <tp t="s">
        <v>#N/A N/A</v>
        <stp/>
        <stp>BDP|12811038239560499873</stp>
        <tr r="E2200" s="2"/>
      </tp>
      <tp t="s">
        <v>#N/A N/A</v>
        <stp/>
        <stp>BDP|15860310590082191499</stp>
        <tr r="S448" s="2"/>
      </tp>
      <tp t="s">
        <v>#N/A N/A</v>
        <stp/>
        <stp>BDP|15563603972385668806</stp>
        <tr r="A1781" s="2"/>
      </tp>
      <tp t="s">
        <v>#N/A N/A</v>
        <stp/>
        <stp>BDP|18081038102612746374</stp>
        <tr r="S1218" s="2"/>
      </tp>
      <tp t="s">
        <v>#N/A N/A</v>
        <stp/>
        <stp>BDP|10100855002073701203</stp>
        <tr r="Q1546" s="2"/>
      </tp>
      <tp t="s">
        <v>#N/A N/A</v>
        <stp/>
        <stp>BDP|15247469491377282660</stp>
        <tr r="M2190" s="2"/>
      </tp>
      <tp t="s">
        <v>#N/A N/A</v>
        <stp/>
        <stp>BDP|14160894405752888748</stp>
        <tr r="G434" s="2"/>
      </tp>
      <tp t="s">
        <v>#N/A N/A</v>
        <stp/>
        <stp>BDP|14980488763139161622</stp>
        <tr r="H1552" s="2"/>
      </tp>
      <tp t="s">
        <v>#N/A N/A</v>
        <stp/>
        <stp>BDP|10245901556075166046</stp>
        <tr r="K1831" s="2"/>
      </tp>
      <tp t="s">
        <v>#N/A N/A</v>
        <stp/>
        <stp>BDP|10448119181905399568</stp>
        <tr r="H805" s="2"/>
      </tp>
      <tp t="s">
        <v>#N/A N/A</v>
        <stp/>
        <stp>BDP|13514970519612319092</stp>
        <tr r="P1931" s="2"/>
      </tp>
      <tp t="s">
        <v>#N/A N/A</v>
        <stp/>
        <stp>BDP|17676719081941105063</stp>
        <tr r="K746" s="2"/>
      </tp>
      <tp t="s">
        <v>#N/A N/A</v>
        <stp/>
        <stp>BDP|11870890499661134886</stp>
        <tr r="O1193" s="2"/>
      </tp>
      <tp t="s">
        <v>#N/A N/A</v>
        <stp/>
        <stp>BDP|13092621781164235011</stp>
        <tr r="Q1147" s="2"/>
      </tp>
      <tp t="s">
        <v>#N/A N/A</v>
        <stp/>
        <stp>BDP|11427365395297060579</stp>
        <tr r="P374" s="2"/>
      </tp>
      <tp t="s">
        <v>#N/A N/A</v>
        <stp/>
        <stp>BDS|15028045910845649811</stp>
        <tr r="I2009" s="2"/>
      </tp>
      <tp t="s">
        <v>#N/A N/A</v>
        <stp/>
        <stp>BDP|16672287085935278094</stp>
        <tr r="E507" s="2"/>
      </tp>
      <tp t="s">
        <v>#N/A N/A</v>
        <stp/>
        <stp>BDP|13229085954917617885</stp>
        <tr r="H2223" s="2"/>
      </tp>
      <tp t="s">
        <v>#N/A N/A</v>
        <stp/>
        <stp>BDP|12989895722027561672</stp>
        <tr r="P1274" s="2"/>
      </tp>
      <tp t="s">
        <v>#N/A N/A</v>
        <stp/>
        <stp>BDP|17419976465101598036</stp>
        <tr r="C50" s="2"/>
      </tp>
      <tp t="s">
        <v>#N/A N/A</v>
        <stp/>
        <stp>BDP|12454528723675333961</stp>
        <tr r="K405" s="2"/>
      </tp>
      <tp t="s">
        <v>#N/A N/A</v>
        <stp/>
        <stp>BDS|12310535545229765319</stp>
        <tr r="I7" s="2"/>
      </tp>
      <tp t="s">
        <v>#N/A N/A</v>
        <stp/>
        <stp>BDS|17789173114029347747</stp>
        <tr r="I1111" s="2"/>
      </tp>
      <tp t="s">
        <v>#N/A N/A</v>
        <stp/>
        <stp>BDP|17942983463174394517</stp>
        <tr r="P1171" s="2"/>
      </tp>
      <tp t="s">
        <v>#N/A N/A</v>
        <stp/>
        <stp>BDP|18177915952954236907</stp>
        <tr r="N1653" s="2"/>
      </tp>
      <tp t="s">
        <v>#N/A N/A</v>
        <stp/>
        <stp>BDP|13313907656485445319</stp>
        <tr r="O2155" s="2"/>
      </tp>
      <tp t="s">
        <v>#N/A N/A</v>
        <stp/>
        <stp>BDP|14257144741731018978</stp>
        <tr r="Q1630" s="2"/>
      </tp>
      <tp t="s">
        <v>#N/A N/A</v>
        <stp/>
        <stp>BDP|13058518110068265634</stp>
        <tr r="G1076" s="2"/>
      </tp>
      <tp t="s">
        <v>#N/A N/A</v>
        <stp/>
        <stp>BDP|14938883910656713268</stp>
        <tr r="M101" s="2"/>
      </tp>
      <tp t="s">
        <v>#N/A N/A</v>
        <stp/>
        <stp>BDP|13021818606772170065</stp>
        <tr r="P815" s="2"/>
      </tp>
      <tp t="s">
        <v>#N/A N/A</v>
        <stp/>
        <stp>BDP|14562948153234563577</stp>
        <tr r="K809" s="2"/>
      </tp>
      <tp t="s">
        <v>#N/A N/A</v>
        <stp/>
        <stp>BDP|10203907414948518933</stp>
        <tr r="M1938" s="2"/>
      </tp>
      <tp t="s">
        <v>#N/A N/A</v>
        <stp/>
        <stp>BDP|11132156495718488859</stp>
        <tr r="R271" s="2"/>
      </tp>
      <tp t="s">
        <v>#N/A N/A</v>
        <stp/>
        <stp>BDP|18007415447250173173</stp>
        <tr r="M1097" s="2"/>
      </tp>
      <tp t="s">
        <v>#N/A N/A</v>
        <stp/>
        <stp>BDP|10416126064336411866</stp>
        <tr r="P956" s="2"/>
      </tp>
      <tp t="s">
        <v>#N/A N/A</v>
        <stp/>
        <stp>BDP|13940019391937821415</stp>
        <tr r="R65" s="2"/>
      </tp>
      <tp t="s">
        <v>#N/A N/A</v>
        <stp/>
        <stp>BDP|11449066685089637912</stp>
        <tr r="S1317" s="2"/>
      </tp>
      <tp t="s">
        <v>#N/A N/A</v>
        <stp/>
        <stp>BDP|14348023392050433476</stp>
        <tr r="N1365" s="2"/>
      </tp>
      <tp t="s">
        <v>#N/A N/A</v>
        <stp/>
        <stp>BDP|14143866477722809087</stp>
        <tr r="E2224" s="2"/>
      </tp>
      <tp t="s">
        <v>#N/A N/A</v>
        <stp/>
        <stp>BDP|15213015787825479109</stp>
        <tr r="D1114" s="2"/>
      </tp>
      <tp t="s">
        <v>#N/A N/A</v>
        <stp/>
        <stp>BDP|13310868537698358918</stp>
        <tr r="S1589" s="2"/>
      </tp>
      <tp t="s">
        <v>#N/A N/A</v>
        <stp/>
        <stp>BDP|16028082319306718860</stp>
        <tr r="C357" s="2"/>
      </tp>
      <tp t="s">
        <v>#N/A N/A</v>
        <stp/>
        <stp>BDP|12265399108809479171</stp>
        <tr r="E2124" s="2"/>
      </tp>
      <tp t="s">
        <v>#N/A N/A</v>
        <stp/>
        <stp>BDP|13328562681646101157</stp>
        <tr r="S32" s="2"/>
      </tp>
      <tp t="s">
        <v>#N/A N/A</v>
        <stp/>
        <stp>BDP|16765447283610636365</stp>
        <tr r="C1132" s="2"/>
      </tp>
      <tp t="s">
        <v>#N/A N/A</v>
        <stp/>
        <stp>BDP|18123855017349768142</stp>
        <tr r="D1810" s="2"/>
      </tp>
      <tp t="s">
        <v>#N/A N/A</v>
        <stp/>
        <stp>BDP|16066101076688366157</stp>
        <tr r="R671" s="2"/>
      </tp>
      <tp t="s">
        <v>#N/A N/A</v>
        <stp/>
        <stp>BDP|17480671958964977927</stp>
        <tr r="F1533" s="2"/>
      </tp>
      <tp t="s">
        <v>#N/A N/A</v>
        <stp/>
        <stp>BDP|13772560848498065395</stp>
        <tr r="R726" s="2"/>
      </tp>
      <tp t="s">
        <v>#N/A N/A</v>
        <stp/>
        <stp>BDP|17017842260140211063</stp>
        <tr r="P1399" s="2"/>
      </tp>
      <tp t="s">
        <v>#N/A N/A</v>
        <stp/>
        <stp>BDP|17210130867441040866</stp>
        <tr r="C2007" s="2"/>
      </tp>
      <tp t="s">
        <v>#N/A N/A</v>
        <stp/>
        <stp>BDP|18109555956521119036</stp>
        <tr r="H17" s="2"/>
      </tp>
      <tp t="s">
        <v>#N/A N/A</v>
        <stp/>
        <stp>BDP|18306740071251705015</stp>
        <tr r="G987" s="2"/>
      </tp>
      <tp t="s">
        <v>#N/A N/A</v>
        <stp/>
        <stp>BDP|16709947017567362072</stp>
        <tr r="H395" s="2"/>
      </tp>
      <tp t="s">
        <v>#N/A N/A</v>
        <stp/>
        <stp>BDP|13459464336655363877</stp>
        <tr r="A960" s="2"/>
      </tp>
      <tp t="s">
        <v>#N/A N/A</v>
        <stp/>
        <stp>BDP|15418365401878622758</stp>
        <tr r="Q806" s="2"/>
      </tp>
      <tp t="s">
        <v>#N/A N/A</v>
        <stp/>
        <stp>BDP|12662371077676212946</stp>
        <tr r="P1737" s="2"/>
      </tp>
      <tp t="s">
        <v>#N/A N/A</v>
        <stp/>
        <stp>BDP|15386610393376080515</stp>
        <tr r="K1886" s="2"/>
      </tp>
      <tp t="s">
        <v>#N/A N/A</v>
        <stp/>
        <stp>BDP|12321650231467068975</stp>
        <tr r="Q157" s="2"/>
      </tp>
      <tp t="s">
        <v>#N/A N/A</v>
        <stp/>
        <stp>BDP|13588418551188128346</stp>
        <tr r="D1703" s="2"/>
      </tp>
      <tp t="s">
        <v>#N/A N/A</v>
        <stp/>
        <stp>BDP|16424655995011021140</stp>
        <tr r="G1749" s="2"/>
      </tp>
      <tp t="s">
        <v>#N/A N/A</v>
        <stp/>
        <stp>BDP|15059223316036466905</stp>
        <tr r="P2010" s="2"/>
      </tp>
      <tp t="s">
        <v>#N/A N/A</v>
        <stp/>
        <stp>BDP|11930836898068347114</stp>
        <tr r="E1944" s="2"/>
      </tp>
      <tp t="s">
        <v>#N/A N/A</v>
        <stp/>
        <stp>BDP|12351561910166176947</stp>
        <tr r="S815" s="2"/>
      </tp>
      <tp t="s">
        <v>#N/A N/A</v>
        <stp/>
        <stp>BDP|14206427984320436102</stp>
        <tr r="R1419" s="2"/>
      </tp>
      <tp t="s">
        <v>#N/A N/A</v>
        <stp/>
        <stp>BDP|14903466880382978367</stp>
        <tr r="K1606" s="2"/>
      </tp>
      <tp t="s">
        <v>#N/A N/A</v>
        <stp/>
        <stp>BDP|16148787391680806100</stp>
        <tr r="P971" s="2"/>
      </tp>
      <tp t="s">
        <v>#N/A N/A</v>
        <stp/>
        <stp>BDP|12069843999102524883</stp>
        <tr r="O1232" s="2"/>
      </tp>
      <tp t="s">
        <v>#N/A N/A</v>
        <stp/>
        <stp>BDP|14729956883569140500</stp>
        <tr r="J1112" s="2"/>
      </tp>
      <tp t="s">
        <v>#N/A N/A</v>
        <stp/>
        <stp>BDP|12729885291249749394</stp>
        <tr r="Q1827" s="2"/>
      </tp>
      <tp t="s">
        <v>#N/A N/A</v>
        <stp/>
        <stp>BDP|11634273405702571815</stp>
        <tr r="N67" s="2"/>
      </tp>
      <tp t="s">
        <v>#N/A N/A</v>
        <stp/>
        <stp>BDP|12608112377334259921</stp>
        <tr r="M2048" s="2"/>
      </tp>
      <tp t="s">
        <v>#N/A N/A</v>
        <stp/>
        <stp>BDP|12759071029401938806</stp>
        <tr r="A2252" s="2"/>
      </tp>
      <tp t="s">
        <v>#N/A N/A</v>
        <stp/>
        <stp>BDP|18148138496981715831</stp>
        <tr r="D830" s="2"/>
      </tp>
      <tp t="s">
        <v>#N/A N/A</v>
        <stp/>
        <stp>BDP|14672617975399331515</stp>
        <tr r="D2231" s="2"/>
      </tp>
      <tp t="s">
        <v>#N/A N/A</v>
        <stp/>
        <stp>BDP|18231569985105697976</stp>
        <tr r="K813" s="2"/>
      </tp>
      <tp t="s">
        <v>#N/A N/A</v>
        <stp/>
        <stp>BDP|15058939199034814829</stp>
        <tr r="D1432" s="2"/>
      </tp>
      <tp t="s">
        <v>#N/A N/A</v>
        <stp/>
        <stp>BDP|16902381480577664376</stp>
        <tr r="O1545" s="2"/>
      </tp>
      <tp t="s">
        <v>#N/A N/A</v>
        <stp/>
        <stp>BDP|13826695898165129080</stp>
        <tr r="N2185" s="2"/>
      </tp>
      <tp t="s">
        <v>#N/A N/A</v>
        <stp/>
        <stp>BDS|17875687257575360877</stp>
        <tr r="I2004" s="2"/>
      </tp>
      <tp t="s">
        <v>#N/A N/A</v>
        <stp/>
        <stp>BDP|14300082969783412860</stp>
        <tr r="D1190" s="2"/>
      </tp>
      <tp t="s">
        <v>#N/A N/A</v>
        <stp/>
        <stp>BDP|10870464971022917859</stp>
        <tr r="S989" s="2"/>
      </tp>
      <tp t="s">
        <v>#N/A N/A</v>
        <stp/>
        <stp>BDP|13236657656071482867</stp>
        <tr r="S339" s="2"/>
      </tp>
      <tp t="s">
        <v>#N/A N/A</v>
        <stp/>
        <stp>BDP|18413410055845142526</stp>
        <tr r="H512" s="2"/>
      </tp>
      <tp t="s">
        <v>#N/A N/A</v>
        <stp/>
        <stp>BDP|18351877470329630719</stp>
        <tr r="G1125" s="2"/>
      </tp>
      <tp t="s">
        <v>#N/A N/A</v>
        <stp/>
        <stp>BDP|16729405225050450958</stp>
        <tr r="D1618" s="2"/>
      </tp>
      <tp t="s">
        <v>#N/A N/A</v>
        <stp/>
        <stp>BDP|16969077685822068585</stp>
        <tr r="E1089" s="2"/>
      </tp>
      <tp t="s">
        <v>#N/A N/A</v>
        <stp/>
        <stp>BDP|15128555431292082867</stp>
        <tr r="C1616" s="2"/>
      </tp>
      <tp t="s">
        <v>#N/A N/A</v>
        <stp/>
        <stp>BDS|12868449099102078453</stp>
        <tr r="I797" s="2"/>
      </tp>
      <tp t="s">
        <v>#N/A N/A</v>
        <stp/>
        <stp>BDP|10691011509178501183</stp>
        <tr r="J499" s="2"/>
      </tp>
      <tp t="s">
        <v>#N/A N/A</v>
        <stp/>
        <stp>BDP|12229906764466194240</stp>
        <tr r="J269" s="2"/>
      </tp>
      <tp t="s">
        <v>#N/A N/A</v>
        <stp/>
        <stp>BDP|15473492083896942640</stp>
        <tr r="D1003" s="2"/>
      </tp>
      <tp t="s">
        <v>#N/A N/A</v>
        <stp/>
        <stp>BDP|13336933107201192252</stp>
        <tr r="S557" s="2"/>
      </tp>
      <tp t="s">
        <v>#N/A N/A</v>
        <stp/>
        <stp>BDP|13704800835497651678</stp>
        <tr r="J324" s="2"/>
      </tp>
      <tp t="s">
        <v>#N/A N/A</v>
        <stp/>
        <stp>BDP|15808991840413450269</stp>
        <tr r="Q2013" s="2"/>
      </tp>
      <tp t="s">
        <v>#N/A N/A</v>
        <stp/>
        <stp>BDP|14868088671659737353</stp>
        <tr r="R121" s="2"/>
      </tp>
      <tp t="s">
        <v>#N/A N/A</v>
        <stp/>
        <stp>BDP|15118691460538293494</stp>
        <tr r="T1543" s="2"/>
      </tp>
      <tp t="s">
        <v>#N/A N/A</v>
        <stp/>
        <stp>BDS|13804527464991795898</stp>
        <tr r="I1303" s="2"/>
      </tp>
      <tp t="s">
        <v>#N/A N/A</v>
        <stp/>
        <stp>BDP|12978997600836463471</stp>
        <tr r="J1106" s="2"/>
      </tp>
      <tp t="s">
        <v>#N/A N/A</v>
        <stp/>
        <stp>BDP|11470981625867969437</stp>
        <tr r="F103" s="2"/>
      </tp>
      <tp t="s">
        <v>#N/A N/A</v>
        <stp/>
        <stp>BDP|12392256285751863081</stp>
        <tr r="S1526" s="2"/>
      </tp>
      <tp t="s">
        <v>#N/A N/A</v>
        <stp/>
        <stp>BDP|16327636286340308169</stp>
        <tr r="T1456" s="2"/>
      </tp>
      <tp t="s">
        <v>#N/A N/A</v>
        <stp/>
        <stp>BDP|15217750020570795933</stp>
        <tr r="S2157" s="2"/>
      </tp>
      <tp t="s">
        <v>#N/A N/A</v>
        <stp/>
        <stp>BDP|14311174493541381476</stp>
        <tr r="O2101" s="2"/>
      </tp>
      <tp t="s">
        <v>#N/A N/A</v>
        <stp/>
        <stp>BDP|14792929220141648708</stp>
        <tr r="O786" s="2"/>
      </tp>
      <tp t="s">
        <v>#N/A N/A</v>
        <stp/>
        <stp>BDP|15615848272144547761</stp>
        <tr r="G268" s="2"/>
      </tp>
      <tp t="s">
        <v>#N/A N/A</v>
        <stp/>
        <stp>BDP|11927221869728583440</stp>
        <tr r="D1884" s="2"/>
      </tp>
      <tp t="s">
        <v>#N/A N/A</v>
        <stp/>
        <stp>BDS|13408273066277442916</stp>
        <tr r="I693" s="2"/>
      </tp>
      <tp t="s">
        <v>#N/A N/A</v>
        <stp/>
        <stp>BDP|10811937049575850195</stp>
        <tr r="C747" s="2"/>
      </tp>
      <tp t="s">
        <v>#N/A N/A</v>
        <stp/>
        <stp>BDP|12705935133024060540</stp>
        <tr r="O135" s="2"/>
      </tp>
      <tp t="s">
        <v>#N/A N/A</v>
        <stp/>
        <stp>BDP|16121281114855603988</stp>
        <tr r="M571" s="2"/>
      </tp>
      <tp t="s">
        <v>#N/A N/A</v>
        <stp/>
        <stp>BDP|12031913543734166202</stp>
        <tr r="Q413" s="2"/>
      </tp>
      <tp t="s">
        <v>#N/A N/A</v>
        <stp/>
        <stp>BDP|16102685084224910575</stp>
        <tr r="A112" s="2"/>
      </tp>
      <tp t="s">
        <v>#N/A N/A</v>
        <stp/>
        <stp>BDP|11415975635293154141</stp>
        <tr r="N337" s="2"/>
      </tp>
      <tp t="s">
        <v>#N/A N/A</v>
        <stp/>
        <stp>BDP|13562938352087552129</stp>
        <tr r="D604" s="2"/>
      </tp>
      <tp t="s">
        <v>#N/A N/A</v>
        <stp/>
        <stp>BDP|10546940616940661129</stp>
        <tr r="E798" s="2"/>
      </tp>
      <tp t="s">
        <v>#N/A N/A</v>
        <stp/>
        <stp>BDP|12037872341776727126</stp>
        <tr r="Q1108" s="2"/>
      </tp>
      <tp t="s">
        <v>#N/A N/A</v>
        <stp/>
        <stp>BDP|12364351096026162723</stp>
        <tr r="Q2186" s="2"/>
      </tp>
      <tp t="s">
        <v>#N/A N/A</v>
        <stp/>
        <stp>BDP|10780454691917641363</stp>
        <tr r="R1873" s="2"/>
      </tp>
      <tp t="s">
        <v>#N/A N/A</v>
        <stp/>
        <stp>BDP|11939002698244456567</stp>
        <tr r="N1971" s="2"/>
      </tp>
      <tp t="s">
        <v>#N/A N/A</v>
        <stp/>
        <stp>BDP|10206907080599527141</stp>
        <tr r="K479" s="2"/>
      </tp>
      <tp t="s">
        <v>#N/A N/A</v>
        <stp/>
        <stp>BDS|16585078020478526577</stp>
        <tr r="I735" s="2"/>
      </tp>
      <tp t="s">
        <v>#N/A N/A</v>
        <stp/>
        <stp>BDP|17777297566568847230</stp>
        <tr r="R331" s="2"/>
      </tp>
      <tp t="s">
        <v>#N/A N/A</v>
        <stp/>
        <stp>BDP|17870002519139764653</stp>
        <tr r="C2158" s="2"/>
      </tp>
      <tp t="s">
        <v>#N/A N/A</v>
        <stp/>
        <stp>BDP|13593501412489641728</stp>
        <tr r="R240" s="2"/>
      </tp>
      <tp t="s">
        <v>#N/A N/A</v>
        <stp/>
        <stp>BDP|17374161786690120712</stp>
        <tr r="G228" s="2"/>
      </tp>
      <tp t="s">
        <v>#N/A N/A</v>
        <stp/>
        <stp>BDP|14672441433769680349</stp>
        <tr r="K1192" s="2"/>
      </tp>
      <tp t="s">
        <v>#N/A N/A</v>
        <stp/>
        <stp>BDP|18362350164506670274</stp>
        <tr r="H2188" s="2"/>
      </tp>
      <tp t="s">
        <v>#N/A N/A</v>
        <stp/>
        <stp>BDP|14292012985051783424</stp>
        <tr r="J153" s="2"/>
      </tp>
      <tp t="s">
        <v>#N/A N/A</v>
        <stp/>
        <stp>BDP|13400381406651178887</stp>
        <tr r="C152" s="2"/>
      </tp>
      <tp t="s">
        <v>#N/A N/A</v>
        <stp/>
        <stp>BDP|11011207949499329797</stp>
        <tr r="C1827" s="2"/>
      </tp>
      <tp t="s">
        <v>#N/A N/A</v>
        <stp/>
        <stp>BDP|11427055581618728844</stp>
        <tr r="O61" s="2"/>
      </tp>
      <tp t="s">
        <v>#N/A N/A</v>
        <stp/>
        <stp>BDP|16482894649527362448</stp>
        <tr r="T655" s="2"/>
      </tp>
      <tp t="s">
        <v>#N/A N/A</v>
        <stp/>
        <stp>BDP|17594449875285133866</stp>
        <tr r="Q1366" s="2"/>
      </tp>
      <tp t="s">
        <v>#N/A N/A</v>
        <stp/>
        <stp>BDP|14992844888194393953</stp>
        <tr r="P689" s="2"/>
      </tp>
      <tp t="s">
        <v>#N/A N/A</v>
        <stp/>
        <stp>BDP|17651215481747021353</stp>
        <tr r="E1839" s="2"/>
      </tp>
      <tp t="s">
        <v>#N/A N/A</v>
        <stp/>
        <stp>BDP|13286230290330654148</stp>
        <tr r="O1033" s="2"/>
      </tp>
      <tp t="s">
        <v>#N/A N/A</v>
        <stp/>
        <stp>BDP|14606118076762413968</stp>
        <tr r="Q2011" s="2"/>
      </tp>
      <tp t="s">
        <v>#N/A N/A</v>
        <stp/>
        <stp>BDP|14918668268004047948</stp>
        <tr r="S374" s="2"/>
      </tp>
      <tp t="s">
        <v>#N/A N/A</v>
        <stp/>
        <stp>BDP|11349925421416169526</stp>
        <tr r="R665" s="2"/>
      </tp>
      <tp t="s">
        <v>#N/A N/A</v>
        <stp/>
        <stp>BDP|12106674344821986881</stp>
        <tr r="D280" s="2"/>
      </tp>
      <tp t="s">
        <v>#N/A N/A</v>
        <stp/>
        <stp>BDP|15874857658331250043</stp>
        <tr r="Q1767" s="2"/>
      </tp>
      <tp t="s">
        <v>#N/A N/A</v>
        <stp/>
        <stp>BDP|15938385085704379343</stp>
        <tr r="O652" s="2"/>
      </tp>
      <tp t="s">
        <v>#N/A N/A</v>
        <stp/>
        <stp>BDP|13133447948429718394</stp>
        <tr r="D50" s="2"/>
      </tp>
      <tp t="s">
        <v>#N/A N/A</v>
        <stp/>
        <stp>BDP|15493588016650934801</stp>
        <tr r="C1294" s="2"/>
      </tp>
      <tp t="s">
        <v>#N/A N/A</v>
        <stp/>
        <stp>BDP|15750254052339248212</stp>
        <tr r="E1761" s="2"/>
      </tp>
      <tp t="s">
        <v>#N/A N/A</v>
        <stp/>
        <stp>BDP|11412939307082649358</stp>
        <tr r="A851" s="2"/>
      </tp>
      <tp t="s">
        <v>#N/A N/A</v>
        <stp/>
        <stp>BDP|13672555057622482838</stp>
        <tr r="N688" s="2"/>
      </tp>
      <tp t="s">
        <v>#N/A N/A</v>
        <stp/>
        <stp>BDP|11532171184142703338</stp>
        <tr r="Q1394" s="2"/>
      </tp>
      <tp t="s">
        <v>#N/A N/A</v>
        <stp/>
        <stp>BDS|12081863020524008574</stp>
        <tr r="I633" s="2"/>
      </tp>
      <tp t="s">
        <v>#N/A N/A</v>
        <stp/>
        <stp>BDP|16392767636228157303</stp>
        <tr r="O640" s="2"/>
      </tp>
      <tp t="s">
        <v>#N/A N/A</v>
        <stp/>
        <stp>BDP|14304924866317286576</stp>
        <tr r="P2207" s="2"/>
      </tp>
      <tp t="s">
        <v>#N/A N/A</v>
        <stp/>
        <stp>BDP|12473764930296389930</stp>
        <tr r="T237" s="2"/>
      </tp>
      <tp t="s">
        <v>#N/A N/A</v>
        <stp/>
        <stp>BDP|10301010595986558605</stp>
        <tr r="R269" s="2"/>
      </tp>
      <tp t="s">
        <v>#N/A N/A</v>
        <stp/>
        <stp>BDP|16895324294125561093</stp>
        <tr r="E1511" s="2"/>
      </tp>
      <tp t="s">
        <v>#N/A N/A</v>
        <stp/>
        <stp>BDP|12343239622028959390</stp>
        <tr r="R130" s="2"/>
      </tp>
      <tp t="s">
        <v>#N/A N/A</v>
        <stp/>
        <stp>BDP|12494011872119678536</stp>
        <tr r="M1300" s="2"/>
      </tp>
      <tp t="s">
        <v>#N/A N/A</v>
        <stp/>
        <stp>BDP|15041590984502775389</stp>
        <tr r="G2174" s="2"/>
      </tp>
      <tp t="s">
        <v>#N/A N/A</v>
        <stp/>
        <stp>BDP|12584613819134623897</stp>
        <tr r="P1981" s="2"/>
      </tp>
      <tp t="s">
        <v>#N/A N/A</v>
        <stp/>
        <stp>BDP|18309163507161486145</stp>
        <tr r="T226" s="2"/>
      </tp>
      <tp t="s">
        <v>#N/A N/A</v>
        <stp/>
        <stp>BDP|17623858559096830506</stp>
        <tr r="C446" s="2"/>
      </tp>
      <tp t="s">
        <v>#N/A N/A</v>
        <stp/>
        <stp>BDP|14766963334593164469</stp>
        <tr r="O1081" s="2"/>
      </tp>
      <tp t="s">
        <v>#N/A N/A</v>
        <stp/>
        <stp>BDS|16181048106636782951</stp>
        <tr r="I2239" s="2"/>
      </tp>
      <tp t="s">
        <v>#N/A N/A</v>
        <stp/>
        <stp>BDP|12956430010959070784</stp>
        <tr r="R1609" s="2"/>
      </tp>
      <tp t="s">
        <v>#N/A N/A</v>
        <stp/>
        <stp>BDP|15178018164163373957</stp>
        <tr r="J983" s="2"/>
      </tp>
      <tp t="s">
        <v>#N/A N/A</v>
        <stp/>
        <stp>BDP|11251825841167064339</stp>
        <tr r="E1941" s="2"/>
      </tp>
      <tp t="s">
        <v>#N/A N/A</v>
        <stp/>
        <stp>BDP|14939936320984074285</stp>
        <tr r="Q415" s="2"/>
      </tp>
      <tp t="s">
        <v>#N/A N/A</v>
        <stp/>
        <stp>BDP|14946503123932884808</stp>
        <tr r="S2226" s="2"/>
      </tp>
      <tp t="s">
        <v>#N/A N/A</v>
        <stp/>
        <stp>BDP|17337349682063268651</stp>
        <tr r="D1172" s="2"/>
      </tp>
      <tp t="s">
        <v>#N/A N/A</v>
        <stp/>
        <stp>BDP|12287291489230824184</stp>
        <tr r="J1731" s="2"/>
      </tp>
      <tp t="s">
        <v>#N/A N/A</v>
        <stp/>
        <stp>BDP|14751378048753218987</stp>
        <tr r="Q176" s="2"/>
      </tp>
      <tp t="s">
        <v>#N/A N/A</v>
        <stp/>
        <stp>BDP|15482512391085125574</stp>
        <tr r="K1438" s="2"/>
      </tp>
      <tp t="s">
        <v>#N/A N/A</v>
        <stp/>
        <stp>BDP|11968408501865820928</stp>
        <tr r="N1133" s="2"/>
      </tp>
      <tp t="s">
        <v>#N/A N/A</v>
        <stp/>
        <stp>BDP|17338927666542459318</stp>
        <tr r="P525" s="2"/>
      </tp>
      <tp t="s">
        <v>#N/A N/A</v>
        <stp/>
        <stp>BDP|14277998913025851029</stp>
        <tr r="R2170" s="2"/>
      </tp>
      <tp t="s">
        <v>#N/A N/A</v>
        <stp/>
        <stp>BDP|16242964870017207643</stp>
        <tr r="N445" s="2"/>
      </tp>
      <tp t="s">
        <v>#N/A N/A</v>
        <stp/>
        <stp>BDP|18059849726809266221</stp>
        <tr r="A1528" s="2"/>
      </tp>
      <tp t="s">
        <v>#N/A N/A</v>
        <stp/>
        <stp>BDS|10661621729575925853</stp>
        <tr r="I1840" s="2"/>
      </tp>
      <tp t="s">
        <v>#N/A N/A</v>
        <stp/>
        <stp>BDP|13821818229544696445</stp>
        <tr r="K1707" s="2"/>
      </tp>
      <tp t="s">
        <v>#N/A N/A</v>
        <stp/>
        <stp>BDP|10982797099046958128</stp>
        <tr r="O478" s="2"/>
      </tp>
      <tp t="s">
        <v>#N/A N/A</v>
        <stp/>
        <stp>BDP|11609990058462157643</stp>
        <tr r="D218" s="2"/>
      </tp>
      <tp t="s">
        <v>#N/A N/A</v>
        <stp/>
        <stp>BDP|11668752290113703567</stp>
        <tr r="M2082" s="2"/>
      </tp>
      <tp t="s">
        <v>#N/A N/A</v>
        <stp/>
        <stp>BDP|12020013178535216997</stp>
        <tr r="P1888" s="2"/>
      </tp>
      <tp t="s">
        <v>#N/A N/A</v>
        <stp/>
        <stp>BDP|12428877070282647671</stp>
        <tr r="T1446" s="2"/>
      </tp>
      <tp t="s">
        <v>#N/A N/A</v>
        <stp/>
        <stp>BDS|16143572237568716170</stp>
        <tr r="I1385" s="2"/>
      </tp>
      <tp t="s">
        <v>#N/A N/A</v>
        <stp/>
        <stp>BDP|12265844515391595349</stp>
        <tr r="N326" s="2"/>
      </tp>
      <tp t="s">
        <v>#N/A N/A</v>
        <stp/>
        <stp>BDP|10188152429079724389</stp>
        <tr r="K8" s="2"/>
      </tp>
      <tp t="s">
        <v>#N/A N/A</v>
        <stp/>
        <stp>BDP|10428024054209127517</stp>
        <tr r="D466" s="2"/>
      </tp>
      <tp t="s">
        <v>#N/A N/A</v>
        <stp/>
        <stp>BDP|14286022120379599671</stp>
        <tr r="A145" s="2"/>
      </tp>
      <tp t="s">
        <v>#N/A N/A</v>
        <stp/>
        <stp>BDP|13243215496418733907</stp>
        <tr r="C55" s="2"/>
      </tp>
      <tp t="s">
        <v>#N/A N/A</v>
        <stp/>
        <stp>BDP|14372943447185739557</stp>
        <tr r="O376" s="2"/>
      </tp>
      <tp t="s">
        <v>#N/A N/A</v>
        <stp/>
        <stp>BDP|10499274042768489773</stp>
        <tr r="G1443" s="2"/>
      </tp>
      <tp t="s">
        <v>#N/A N/A</v>
        <stp/>
        <stp>BDP|18367626755851298341</stp>
        <tr r="C2192" s="2"/>
      </tp>
      <tp t="s">
        <v>#N/A N/A</v>
        <stp/>
        <stp>BDP|12447563852979660248</stp>
        <tr r="N203" s="2"/>
      </tp>
      <tp t="s">
        <v>#N/A N/A</v>
        <stp/>
        <stp>BDP|15705762986005408612</stp>
        <tr r="A1892" s="2"/>
      </tp>
      <tp t="s">
        <v>#N/A N/A</v>
        <stp/>
        <stp>BDP|17180059685147306100</stp>
        <tr r="E1456" s="2"/>
      </tp>
      <tp t="s">
        <v>#N/A N/A</v>
        <stp/>
        <stp>BDP|13177942544070735746</stp>
        <tr r="E515" s="2"/>
      </tp>
      <tp t="s">
        <v>#N/A N/A</v>
        <stp/>
        <stp>BDP|14552858330673434568</stp>
        <tr r="Q763" s="2"/>
      </tp>
      <tp t="s">
        <v>#N/A N/A</v>
        <stp/>
        <stp>BDP|16537461811609010302</stp>
        <tr r="E2164" s="2"/>
      </tp>
      <tp t="s">
        <v>#N/A N/A</v>
        <stp/>
        <stp>BDP|11560181723008825343</stp>
        <tr r="J1450" s="2"/>
      </tp>
      <tp t="s">
        <v>#N/A N/A</v>
        <stp/>
        <stp>BDP|11662217833438056165</stp>
        <tr r="R1272" s="2"/>
      </tp>
      <tp t="s">
        <v>#N/A N/A</v>
        <stp/>
        <stp>BDP|11518961970871388725</stp>
        <tr r="R3" s="2"/>
      </tp>
      <tp t="s">
        <v>#N/A N/A</v>
        <stp/>
        <stp>BDP|11335183075428473686</stp>
        <tr r="F245" s="2"/>
      </tp>
      <tp t="s">
        <v>#N/A N/A</v>
        <stp/>
        <stp>BDP|17145113446778736336</stp>
        <tr r="N1703" s="2"/>
      </tp>
      <tp t="s">
        <v>#N/A N/A</v>
        <stp/>
        <stp>BDP|13186604463493446948</stp>
        <tr r="A1888" s="2"/>
      </tp>
      <tp t="s">
        <v>#N/A N/A</v>
        <stp/>
        <stp>BDP|17352952072687377752</stp>
        <tr r="K1234" s="2"/>
      </tp>
      <tp t="s">
        <v>#N/A N/A</v>
        <stp/>
        <stp>BDP|13347917425658759924</stp>
        <tr r="N989" s="2"/>
      </tp>
      <tp t="s">
        <v>#N/A N/A</v>
        <stp/>
        <stp>BDP|12089554957122709979</stp>
        <tr r="Q18" s="2"/>
      </tp>
      <tp t="s">
        <v>#N/A N/A</v>
        <stp/>
        <stp>BDP|15999456843575871959</stp>
        <tr r="M153" s="2"/>
      </tp>
      <tp t="s">
        <v>#N/A N/A</v>
        <stp/>
        <stp>BDP|16745015195654433250</stp>
        <tr r="M1171" s="2"/>
      </tp>
      <tp t="s">
        <v>#N/A N/A</v>
        <stp/>
        <stp>BDP|17291745681683343215</stp>
        <tr r="H1382" s="2"/>
      </tp>
      <tp t="s">
        <v>#N/A N/A</v>
        <stp/>
        <stp>BDP|12750905261151689552</stp>
        <tr r="F685" s="2"/>
      </tp>
      <tp t="s">
        <v>#N/A N/A</v>
        <stp/>
        <stp>BDP|16224974106145151379</stp>
        <tr r="T919" s="2"/>
      </tp>
      <tp t="s">
        <v>#N/A N/A</v>
        <stp/>
        <stp>BDP|13175341565777395863</stp>
        <tr r="H1743" s="2"/>
      </tp>
      <tp t="s">
        <v>#N/A N/A</v>
        <stp/>
        <stp>BDP|18164200159914458290</stp>
        <tr r="O2257" s="2"/>
      </tp>
      <tp t="s">
        <v>#N/A N/A</v>
        <stp/>
        <stp>BDP|10152331612233592805</stp>
        <tr r="F583" s="2"/>
      </tp>
      <tp t="s">
        <v>#N/A N/A</v>
        <stp/>
        <stp>BDP|12671182825279748199</stp>
        <tr r="G71" s="2"/>
      </tp>
      <tp t="s">
        <v>#N/A N/A</v>
        <stp/>
        <stp>BDP|12186252317709724115</stp>
        <tr r="F1824" s="2"/>
      </tp>
      <tp t="s">
        <v>#N/A N/A</v>
        <stp/>
        <stp>BDP|11768344830831160976</stp>
        <tr r="O487" s="2"/>
      </tp>
      <tp t="s">
        <v>#N/A N/A</v>
        <stp/>
        <stp>BDP|13958994567666389315</stp>
        <tr r="S2014" s="2"/>
      </tp>
      <tp t="s">
        <v>#N/A N/A</v>
        <stp/>
        <stp>BDP|16460231252679508158</stp>
        <tr r="S2" s="2"/>
      </tp>
      <tp t="s">
        <v>#N/A N/A</v>
        <stp/>
        <stp>BDP|12991068224389897062</stp>
        <tr r="J55" s="2"/>
      </tp>
      <tp t="s">
        <v>#N/A N/A</v>
        <stp/>
        <stp>BDP|13923803822123692380</stp>
        <tr r="E365" s="2"/>
      </tp>
      <tp t="s">
        <v>#N/A N/A</v>
        <stp/>
        <stp>BDP|10719502880427085326</stp>
        <tr r="N72" s="2"/>
      </tp>
      <tp t="s">
        <v>#N/A N/A</v>
        <stp/>
        <stp>BDP|13213790491901686599</stp>
        <tr r="H11" s="2"/>
      </tp>
      <tp t="s">
        <v>#N/A N/A</v>
        <stp/>
        <stp>BDP|13408388099099132912</stp>
        <tr r="P808" s="2"/>
      </tp>
      <tp t="s">
        <v>#N/A N/A</v>
        <stp/>
        <stp>BDP|17054823940095467739</stp>
        <tr r="J306" s="2"/>
      </tp>
      <tp t="s">
        <v>#N/A N/A</v>
        <stp/>
        <stp>BDP|16694420656116251854</stp>
        <tr r="J668" s="2"/>
      </tp>
      <tp t="s">
        <v>#N/A N/A</v>
        <stp/>
        <stp>BDP|17181233795651542471</stp>
        <tr r="C353" s="2"/>
      </tp>
      <tp t="s">
        <v>#N/A N/A</v>
        <stp/>
        <stp>BDP|17212984116270902608</stp>
        <tr r="C1255" s="2"/>
      </tp>
      <tp t="s">
        <v>#N/A N/A</v>
        <stp/>
        <stp>BDP|16084424882063639030</stp>
        <tr r="F2194" s="2"/>
      </tp>
      <tp t="s">
        <v>#N/A N/A</v>
        <stp/>
        <stp>BDP|13797188431851958922</stp>
        <tr r="A421" s="2"/>
      </tp>
      <tp t="s">
        <v>#N/A N/A</v>
        <stp/>
        <stp>BDP|16554358040640449811</stp>
        <tr r="O218" s="2"/>
      </tp>
      <tp t="s">
        <v>#N/A N/A</v>
        <stp/>
        <stp>BDP|18279351440080510679</stp>
        <tr r="O1062" s="2"/>
      </tp>
      <tp t="s">
        <v>#N/A N/A</v>
        <stp/>
        <stp>BDP|13109649152290540971</stp>
        <tr r="Q1861" s="2"/>
      </tp>
      <tp t="s">
        <v>#N/A N/A</v>
        <stp/>
        <stp>BDP|15531156524537087816</stp>
        <tr r="P376" s="2"/>
      </tp>
      <tp t="s">
        <v>#N/A N/A</v>
        <stp/>
        <stp>BDS|13306171489957254493</stp>
        <tr r="I273" s="2"/>
      </tp>
      <tp t="s">
        <v>#N/A N/A</v>
        <stp/>
        <stp>BDP|17342467017689187260</stp>
        <tr r="N640" s="2"/>
      </tp>
      <tp t="s">
        <v>#N/A N/A</v>
        <stp/>
        <stp>BDP|14568402861669289637</stp>
        <tr r="A1305" s="2"/>
      </tp>
      <tp t="s">
        <v>#N/A N/A</v>
        <stp/>
        <stp>BDP|16984678988210662159</stp>
        <tr r="E1205" s="2"/>
      </tp>
      <tp t="s">
        <v>#N/A N/A</v>
        <stp/>
        <stp>BDP|18303220115685133708</stp>
        <tr r="T447" s="2"/>
      </tp>
      <tp t="s">
        <v>#N/A N/A</v>
        <stp/>
        <stp>BDP|11676037696392193377</stp>
        <tr r="A51" s="2"/>
      </tp>
      <tp t="s">
        <v>#N/A N/A</v>
        <stp/>
        <stp>BDP|13200948702312155103</stp>
        <tr r="C1994" s="2"/>
      </tp>
      <tp t="s">
        <v>#N/A N/A</v>
        <stp/>
        <stp>BDP|15585677631560747913</stp>
        <tr r="J2149" s="2"/>
      </tp>
      <tp t="s">
        <v>#N/A N/A</v>
        <stp/>
        <stp>BDP|17800538231611638991</stp>
        <tr r="D1744" s="2"/>
      </tp>
      <tp t="s">
        <v>#N/A N/A</v>
        <stp/>
        <stp>BDP|11345956606735094450</stp>
        <tr r="D2170" s="2"/>
      </tp>
      <tp t="s">
        <v>#N/A N/A</v>
        <stp/>
        <stp>BDP|16158322754201688841</stp>
        <tr r="F430" s="2"/>
      </tp>
      <tp t="s">
        <v>#N/A N/A</v>
        <stp/>
        <stp>BDP|11982406820397405981</stp>
        <tr r="N2209" s="2"/>
      </tp>
      <tp t="s">
        <v>#N/A N/A</v>
        <stp/>
        <stp>BDP|12090895435203974305</stp>
        <tr r="O1647" s="2"/>
      </tp>
      <tp t="s">
        <v>#N/A N/A</v>
        <stp/>
        <stp>BDP|10969026483249894858</stp>
        <tr r="M1492" s="2"/>
      </tp>
      <tp t="s">
        <v>#N/A N/A</v>
        <stp/>
        <stp>BDP|15341630598353845050</stp>
        <tr r="T547" s="2"/>
      </tp>
      <tp t="s">
        <v>#N/A N/A</v>
        <stp/>
        <stp>BDP|18057015215177155706</stp>
        <tr r="M430" s="2"/>
      </tp>
      <tp t="s">
        <v>#N/A N/A</v>
        <stp/>
        <stp>BDP|13661837861501748562</stp>
        <tr r="K1912" s="2"/>
      </tp>
      <tp t="s">
        <v>#N/A N/A</v>
        <stp/>
        <stp>BDP|10229765303997741958</stp>
        <tr r="N2123" s="2"/>
      </tp>
      <tp t="s">
        <v>#N/A N/A</v>
        <stp/>
        <stp>BDP|12367003099995783785</stp>
        <tr r="M1355" s="2"/>
      </tp>
      <tp t="s">
        <v>#N/A N/A</v>
        <stp/>
        <stp>BDP|13673333789210149183</stp>
        <tr r="Q1514" s="2"/>
      </tp>
      <tp t="s">
        <v>#N/A N/A</v>
        <stp/>
        <stp>BDP|17416897975920462198</stp>
        <tr r="A369" s="2"/>
      </tp>
      <tp t="s">
        <v>#N/A N/A</v>
        <stp/>
        <stp>BDP|12369610790624668017</stp>
        <tr r="E208" s="2"/>
      </tp>
      <tp t="s">
        <v>#N/A N/A</v>
        <stp/>
        <stp>BDP|16605934128533176797</stp>
        <tr r="Q1887" s="2"/>
      </tp>
      <tp t="s">
        <v>#N/A N/A</v>
        <stp/>
        <stp>BDP|17380843973789780865</stp>
        <tr r="G431" s="2"/>
      </tp>
      <tp t="s">
        <v>#N/A N/A</v>
        <stp/>
        <stp>BDP|10639580944041804972</stp>
        <tr r="A1767" s="2"/>
      </tp>
      <tp t="s">
        <v>#N/A N/A</v>
        <stp/>
        <stp>BDP|11615301506519161242</stp>
        <tr r="N1361" s="2"/>
      </tp>
      <tp t="s">
        <v>#N/A N/A</v>
        <stp/>
        <stp>BDP|11177795975650803804</stp>
        <tr r="D2135" s="2"/>
      </tp>
      <tp t="s">
        <v>#N/A N/A</v>
        <stp/>
        <stp>BDP|16429135072480179914</stp>
        <tr r="A236" s="2"/>
      </tp>
      <tp t="s">
        <v>#N/A N/A</v>
        <stp/>
        <stp>BDP|11116077165348016664</stp>
        <tr r="E1479" s="2"/>
      </tp>
      <tp t="s">
        <v>#N/A N/A</v>
        <stp/>
        <stp>BDP|12513217554134220875</stp>
        <tr r="J662" s="2"/>
      </tp>
      <tp t="s">
        <v>#N/A N/A</v>
        <stp/>
        <stp>BDP|14592884672403801129</stp>
        <tr r="H950" s="2"/>
      </tp>
      <tp t="s">
        <v>#N/A N/A</v>
        <stp/>
        <stp>BDP|16728720087743008375</stp>
        <tr r="A2150" s="2"/>
      </tp>
      <tp t="s">
        <v>#N/A N/A</v>
        <stp/>
        <stp>BDP|13819862345327708190</stp>
        <tr r="O967" s="2"/>
      </tp>
      <tp t="s">
        <v>#N/A N/A</v>
        <stp/>
        <stp>BDP|13406726388876271399</stp>
        <tr r="C161" s="2"/>
      </tp>
      <tp t="s">
        <v>#N/A N/A</v>
        <stp/>
        <stp>BDP|12256821445786953191</stp>
        <tr r="A284" s="2"/>
      </tp>
      <tp t="s">
        <v>#N/A N/A</v>
        <stp/>
        <stp>BDP|15533475416769869090</stp>
        <tr r="G50" s="2"/>
      </tp>
      <tp t="s">
        <v>#N/A N/A</v>
        <stp/>
        <stp>BDP|11458638090184594372</stp>
        <tr r="C1522" s="2"/>
      </tp>
      <tp t="s">
        <v>#N/A N/A</v>
        <stp/>
        <stp>BDP|12902224228209124273</stp>
        <tr r="E1226" s="2"/>
      </tp>
      <tp t="s">
        <v>#N/A N/A</v>
        <stp/>
        <stp>BDP|15244416783536344664</stp>
        <tr r="P1080" s="2"/>
      </tp>
      <tp t="s">
        <v>#N/A N/A</v>
        <stp/>
        <stp>BDP|15445415253015707846</stp>
        <tr r="S1852" s="2"/>
      </tp>
      <tp t="s">
        <v>#N/A N/A</v>
        <stp/>
        <stp>BDP|17460700994699631934</stp>
        <tr r="J1151" s="2"/>
      </tp>
      <tp t="s">
        <v>#N/A N/A</v>
        <stp/>
        <stp>BDP|17441936453204305627</stp>
        <tr r="K334" s="2"/>
      </tp>
      <tp t="s">
        <v>#N/A N/A</v>
        <stp/>
        <stp>BDP|15214742605479586238</stp>
        <tr r="C996" s="2"/>
      </tp>
      <tp t="s">
        <v>#N/A N/A</v>
        <stp/>
        <stp>BDP|16296402817843067903</stp>
        <tr r="T1152" s="2"/>
      </tp>
      <tp t="s">
        <v>#N/A N/A</v>
        <stp/>
        <stp>BDP|12504826931404563462</stp>
        <tr r="K2006" s="2"/>
      </tp>
      <tp t="s">
        <v>#N/A N/A</v>
        <stp/>
        <stp>BDP|17160460570795354812</stp>
        <tr r="A1793" s="2"/>
      </tp>
      <tp t="s">
        <v>#N/A N/A</v>
        <stp/>
        <stp>BDP|16538702733459361205</stp>
        <tr r="H1834" s="2"/>
      </tp>
      <tp t="s">
        <v>#N/A N/A</v>
        <stp/>
        <stp>BDP|13652501201206155935</stp>
        <tr r="A1242" s="2"/>
      </tp>
      <tp t="s">
        <v>#N/A N/A</v>
        <stp/>
        <stp>BDP|16226959177906665732</stp>
        <tr r="P292" s="2"/>
      </tp>
      <tp t="s">
        <v>#N/A N/A</v>
        <stp/>
        <stp>BDP|17836345598727743363</stp>
        <tr r="F1034" s="2"/>
      </tp>
      <tp t="s">
        <v>#N/A N/A</v>
        <stp/>
        <stp>BDP|10252554046070108854</stp>
        <tr r="O87" s="2"/>
      </tp>
      <tp t="s">
        <v>#N/A N/A</v>
        <stp/>
        <stp>BDP|11526895929544624665</stp>
        <tr r="E1995" s="2"/>
      </tp>
      <tp t="s">
        <v>#N/A N/A</v>
        <stp/>
        <stp>BDP|17170344805075434815</stp>
        <tr r="T2058" s="2"/>
      </tp>
      <tp t="s">
        <v>#N/A N/A</v>
        <stp/>
        <stp>BDP|17302853854684706700</stp>
        <tr r="A951" s="2"/>
      </tp>
      <tp t="s">
        <v>#N/A N/A</v>
        <stp/>
        <stp>BDP|12120237966566578942</stp>
        <tr r="D1161" s="2"/>
      </tp>
      <tp t="s">
        <v>#N/A N/A</v>
        <stp/>
        <stp>BDP|11094319551536424812</stp>
        <tr r="D1006" s="2"/>
      </tp>
      <tp t="s">
        <v>#N/A N/A</v>
        <stp/>
        <stp>BDP|15362265366370039867</stp>
        <tr r="R2191" s="2"/>
      </tp>
      <tp t="s">
        <v>#N/A N/A</v>
        <stp/>
        <stp>BDP|17074062631185112831</stp>
        <tr r="A2014" s="2"/>
      </tp>
      <tp t="s">
        <v>#N/A N/A</v>
        <stp/>
        <stp>BDP|11039733620338107577</stp>
        <tr r="A1648" s="2"/>
      </tp>
      <tp t="s">
        <v>#N/A N/A</v>
        <stp/>
        <stp>BDP|11113934143614264161</stp>
        <tr r="Q1104" s="2"/>
      </tp>
      <tp t="s">
        <v>#N/A N/A</v>
        <stp/>
        <stp>BDP|12493270225838645351</stp>
        <tr r="J1560" s="2"/>
      </tp>
      <tp t="s">
        <v>#N/A N/A</v>
        <stp/>
        <stp>BDP|16585617586522672319</stp>
        <tr r="M1385" s="2"/>
      </tp>
      <tp t="s">
        <v>#N/A N/A</v>
        <stp/>
        <stp>BDP|17956606296460270184</stp>
        <tr r="S2076" s="2"/>
      </tp>
      <tp t="s">
        <v>#N/A N/A</v>
        <stp/>
        <stp>BDP|15548924653837832780</stp>
        <tr r="C1127" s="2"/>
      </tp>
      <tp t="s">
        <v>#N/A N/A</v>
        <stp/>
        <stp>BDP|17625483999135739648</stp>
        <tr r="G1070" s="2"/>
      </tp>
      <tp t="s">
        <v>#N/A N/A</v>
        <stp/>
        <stp>BDP|17685685867587824951</stp>
        <tr r="J528" s="2"/>
      </tp>
      <tp t="s">
        <v>#N/A N/A</v>
        <stp/>
        <stp>BDP|17147813663313763309</stp>
        <tr r="J1402" s="2"/>
      </tp>
      <tp t="s">
        <v>#N/A N/A</v>
        <stp/>
        <stp>BDP|12994934369236611214</stp>
        <tr r="D195" s="2"/>
      </tp>
      <tp t="s">
        <v>#N/A N/A</v>
        <stp/>
        <stp>BDP|14275428000160266962</stp>
        <tr r="T776" s="2"/>
      </tp>
      <tp t="s">
        <v>#N/A N/A</v>
        <stp/>
        <stp>BDP|17247860631153861699</stp>
        <tr r="O22" s="2"/>
      </tp>
      <tp t="s">
        <v>#N/A N/A</v>
        <stp/>
        <stp>BDP|14823102368489698327</stp>
        <tr r="M595" s="2"/>
      </tp>
      <tp t="s">
        <v>#N/A N/A</v>
        <stp/>
        <stp>BDP|15302350875201197962</stp>
        <tr r="R798" s="2"/>
      </tp>
      <tp t="s">
        <v>#N/A N/A</v>
        <stp/>
        <stp>BDP|14277747436088401109</stp>
        <tr r="M500" s="2"/>
      </tp>
      <tp t="s">
        <v>#N/A N/A</v>
        <stp/>
        <stp>BDP|17999797219778999049</stp>
        <tr r="D99" s="2"/>
      </tp>
      <tp t="s">
        <v>#N/A N/A</v>
        <stp/>
        <stp>BDS|11197607524278544471</stp>
        <tr r="I1276" s="2"/>
      </tp>
      <tp t="s">
        <v>#N/A N/A</v>
        <stp/>
        <stp>BDP|13690423721314446854</stp>
        <tr r="T1090" s="2"/>
      </tp>
      <tp t="s">
        <v>#N/A N/A</v>
        <stp/>
        <stp>BDP|18191108460920078657</stp>
        <tr r="D411" s="2"/>
      </tp>
      <tp t="s">
        <v>#N/A N/A</v>
        <stp/>
        <stp>BDP|14042238752998282275</stp>
        <tr r="K1319" s="2"/>
      </tp>
      <tp t="s">
        <v>#N/A N/A</v>
        <stp/>
        <stp>BDP|10663955943261481506</stp>
        <tr r="G1590" s="2"/>
      </tp>
      <tp t="s">
        <v>#N/A N/A</v>
        <stp/>
        <stp>BDP|13791919823663900289</stp>
        <tr r="D2245" s="2"/>
      </tp>
      <tp t="s">
        <v>#N/A N/A</v>
        <stp/>
        <stp>BDP|15555217045138449218</stp>
        <tr r="J911" s="2"/>
      </tp>
      <tp t="s">
        <v>#N/A N/A</v>
        <stp/>
        <stp>BDP|13309068395574704732</stp>
        <tr r="R1581" s="2"/>
      </tp>
      <tp t="s">
        <v>#N/A N/A</v>
        <stp/>
        <stp>BDP|13556824406713088151</stp>
        <tr r="D1292" s="2"/>
      </tp>
      <tp t="s">
        <v>#N/A N/A</v>
        <stp/>
        <stp>BDP|11994592789081861452</stp>
        <tr r="N1163" s="2"/>
      </tp>
      <tp t="s">
        <v>#N/A N/A</v>
        <stp/>
        <stp>BDP|14262431587886235703</stp>
        <tr r="S435" s="2"/>
      </tp>
      <tp t="s">
        <v>#N/A N/A</v>
        <stp/>
        <stp>BDP|11414336469079283480</stp>
        <tr r="K1378" s="2"/>
      </tp>
      <tp t="s">
        <v>#N/A N/A</v>
        <stp/>
        <stp>BDP|11654127540938355530</stp>
        <tr r="O1203" s="2"/>
      </tp>
      <tp t="s">
        <v>#N/A N/A</v>
        <stp/>
        <stp>BDP|13825177205853865865</stp>
        <tr r="J1645" s="2"/>
      </tp>
      <tp t="s">
        <v>#N/A N/A</v>
        <stp/>
        <stp>BDP|16560638457218335461</stp>
        <tr r="M1366" s="2"/>
      </tp>
      <tp t="s">
        <v>#N/A N/A</v>
        <stp/>
        <stp>BDP|11962857381670128888</stp>
        <tr r="P801" s="2"/>
      </tp>
      <tp t="s">
        <v>#N/A N/A</v>
        <stp/>
        <stp>BDP|16276056847322075948</stp>
        <tr r="F382" s="2"/>
      </tp>
      <tp t="s">
        <v>#N/A N/A</v>
        <stp/>
        <stp>BDP|14636587865057681991</stp>
        <tr r="H1860" s="2"/>
      </tp>
      <tp t="s">
        <v>#N/A N/A</v>
        <stp/>
        <stp>BDP|14244284688152554539</stp>
        <tr r="M763" s="2"/>
      </tp>
      <tp t="s">
        <v>#N/A N/A</v>
        <stp/>
        <stp>BDP|15166179456891326979</stp>
        <tr r="N100" s="2"/>
      </tp>
      <tp t="s">
        <v>#N/A N/A</v>
        <stp/>
        <stp>BDP|16508785486389822978</stp>
        <tr r="F516" s="2"/>
      </tp>
      <tp t="s">
        <v>#N/A N/A</v>
        <stp/>
        <stp>BDP|16727670235318442259</stp>
        <tr r="N1473" s="2"/>
      </tp>
      <tp t="s">
        <v>#N/A N/A</v>
        <stp/>
        <stp>BDP|13578503675358204064</stp>
        <tr r="P2110" s="2"/>
      </tp>
      <tp t="s">
        <v>#N/A N/A</v>
        <stp/>
        <stp>BDP|15217824641468658837</stp>
        <tr r="T1483" s="2"/>
      </tp>
      <tp t="s">
        <v>#N/A N/A</v>
        <stp/>
        <stp>BDP|15511899930947922010</stp>
        <tr r="M2063" s="2"/>
      </tp>
      <tp t="s">
        <v>#N/A N/A</v>
        <stp/>
        <stp>BDP|11319632731485522806</stp>
        <tr r="E1757" s="2"/>
      </tp>
      <tp t="s">
        <v>#N/A N/A</v>
        <stp/>
        <stp>BDP|11857466711615266890</stp>
        <tr r="D202" s="2"/>
      </tp>
      <tp t="s">
        <v>#N/A N/A</v>
        <stp/>
        <stp>BDP|13095668397297298279</stp>
        <tr r="R1611" s="2"/>
      </tp>
      <tp t="s">
        <v>#N/A N/A</v>
        <stp/>
        <stp>BDP|13625876516960681356</stp>
        <tr r="A1825" s="2"/>
      </tp>
      <tp t="s">
        <v>#N/A N/A</v>
        <stp/>
        <stp>BDP|18284913332209631239</stp>
        <tr r="E80" s="2"/>
      </tp>
      <tp t="s">
        <v>#N/A N/A</v>
        <stp/>
        <stp>BDP|10121207752256309845</stp>
        <tr r="T532" s="2"/>
      </tp>
      <tp t="s">
        <v>#N/A N/A</v>
        <stp/>
        <stp>BDP|17561951054750331231</stp>
        <tr r="C165" s="2"/>
      </tp>
      <tp t="s">
        <v>#N/A N/A</v>
        <stp/>
        <stp>BDP|10042019387889218806</stp>
        <tr r="C1459" s="2"/>
      </tp>
      <tp t="s">
        <v>#N/A N/A</v>
        <stp/>
        <stp>BDP|15363751396186136454</stp>
        <tr r="G647" s="2"/>
      </tp>
      <tp t="s">
        <v>#N/A N/A</v>
        <stp/>
        <stp>BDP|11342445707878117459</stp>
        <tr r="N1325" s="2"/>
      </tp>
      <tp t="s">
        <v>#N/A N/A</v>
        <stp/>
        <stp>BDP|13890990228926555784</stp>
        <tr r="S2253" s="2"/>
      </tp>
      <tp t="s">
        <v>#N/A N/A</v>
        <stp/>
        <stp>BDP|14424724673769865496</stp>
        <tr r="E930" s="2"/>
      </tp>
      <tp t="s">
        <v>#N/A N/A</v>
        <stp/>
        <stp>BDP|15717423560669926787</stp>
        <tr r="A413" s="2"/>
      </tp>
      <tp t="s">
        <v>#N/A N/A</v>
        <stp/>
        <stp>BDP|13143881109084347671</stp>
        <tr r="M1841" s="2"/>
      </tp>
      <tp t="s">
        <v>#N/A N/A</v>
        <stp/>
        <stp>BDP|10669456554149360107</stp>
        <tr r="E748" s="2"/>
      </tp>
      <tp t="s">
        <v>#N/A N/A</v>
        <stp/>
        <stp>BDP|17878560218072617846</stp>
        <tr r="S1803" s="2"/>
      </tp>
      <tp t="s">
        <v>#N/A N/A</v>
        <stp/>
        <stp>BDP|10498984870915914215</stp>
        <tr r="D1806" s="2"/>
      </tp>
      <tp t="s">
        <v>#N/A N/A</v>
        <stp/>
        <stp>BDP|15324260287255227342</stp>
        <tr r="O250" s="2"/>
      </tp>
      <tp t="s">
        <v>#N/A N/A</v>
        <stp/>
        <stp>BDP|14959310495690905703</stp>
        <tr r="J1769" s="2"/>
      </tp>
      <tp t="s">
        <v>#N/A N/A</v>
        <stp/>
        <stp>BDP|11952936057730872413</stp>
        <tr r="D1176" s="2"/>
      </tp>
      <tp t="s">
        <v>#N/A N/A</v>
        <stp/>
        <stp>BDP|18073881285436811713</stp>
        <tr r="N1168" s="2"/>
      </tp>
      <tp t="s">
        <v>#N/A N/A</v>
        <stp/>
        <stp>BDP|17131651366487513930</stp>
        <tr r="N1874" s="2"/>
      </tp>
      <tp t="s">
        <v>#N/A N/A</v>
        <stp/>
        <stp>BDP|11072976531776318410</stp>
        <tr r="H837" s="2"/>
      </tp>
      <tp t="s">
        <v>#N/A N/A</v>
        <stp/>
        <stp>BDP|11221025893878219959</stp>
        <tr r="K2028" s="2"/>
      </tp>
      <tp t="s">
        <v>#N/A N/A</v>
        <stp/>
        <stp>BDP|11482181177977943963</stp>
        <tr r="Q827" s="2"/>
      </tp>
      <tp t="s">
        <v>#N/A N/A</v>
        <stp/>
        <stp>BDP|10188112770606589913</stp>
        <tr r="N2149" s="2"/>
      </tp>
      <tp t="s">
        <v>#N/A N/A</v>
        <stp/>
        <stp>BDP|10500157894466252720</stp>
        <tr r="H1008" s="2"/>
      </tp>
      <tp t="s">
        <v>#N/A N/A</v>
        <stp/>
        <stp>BDP|15135913926605367216</stp>
        <tr r="H1077" s="2"/>
      </tp>
      <tp t="s">
        <v>#N/A N/A</v>
        <stp/>
        <stp>BDP|11107493075788918303</stp>
        <tr r="K1485" s="2"/>
      </tp>
      <tp t="s">
        <v>#N/A N/A</v>
        <stp/>
        <stp>BDP|11133836625426630454</stp>
        <tr r="O1427" s="2"/>
      </tp>
      <tp t="s">
        <v>#N/A N/A</v>
        <stp/>
        <stp>BDP|18113481645615843404</stp>
        <tr r="H1241" s="2"/>
      </tp>
      <tp t="s">
        <v>#N/A N/A</v>
        <stp/>
        <stp>BDP|17913397610438017445</stp>
        <tr r="K413" s="2"/>
      </tp>
      <tp t="s">
        <v>#N/A N/A</v>
        <stp/>
        <stp>BDP|14205977111006434342</stp>
        <tr r="N1831" s="2"/>
      </tp>
      <tp t="s">
        <v>#N/A N/A</v>
        <stp/>
        <stp>BDP|15604930425502710532</stp>
        <tr r="Q1613" s="2"/>
      </tp>
      <tp t="s">
        <v>#N/A N/A</v>
        <stp/>
        <stp>BDP|13219510651702371854</stp>
        <tr r="A1110" s="2"/>
      </tp>
      <tp t="s">
        <v>#N/A N/A</v>
        <stp/>
        <stp>BDP|11872437859560604900</stp>
        <tr r="N2105" s="2"/>
      </tp>
      <tp t="s">
        <v>#N/A N/A</v>
        <stp/>
        <stp>BDP|15362586708809253058</stp>
        <tr r="Q913" s="2"/>
      </tp>
      <tp t="s">
        <v>#N/A N/A</v>
        <stp/>
        <stp>BDP|17673065461621224973</stp>
        <tr r="C2121" s="2"/>
      </tp>
      <tp t="s">
        <v>#N/A N/A</v>
        <stp/>
        <stp>BDP|10647450193052433602</stp>
        <tr r="G736" s="2"/>
      </tp>
      <tp t="s">
        <v>#N/A N/A</v>
        <stp/>
        <stp>BDP|12984156956257608889</stp>
        <tr r="H1582" s="2"/>
      </tp>
      <tp t="s">
        <v>#N/A N/A</v>
        <stp/>
        <stp>BDP|16045572590713452071</stp>
        <tr r="K55" s="2"/>
      </tp>
      <tp t="s">
        <v>#N/A N/A</v>
        <stp/>
        <stp>BDP|10296905413810571106</stp>
        <tr r="S1458" s="2"/>
      </tp>
      <tp t="s">
        <v>#N/A N/A</v>
        <stp/>
        <stp>BDP|15369591534413931934</stp>
        <tr r="D1159" s="2"/>
      </tp>
      <tp t="s">
        <v>#N/A N/A</v>
        <stp/>
        <stp>BDP|14531300056683063877</stp>
        <tr r="Q1023" s="2"/>
      </tp>
      <tp t="s">
        <v>#N/A N/A</v>
        <stp/>
        <stp>BDP|18392847986995657436</stp>
        <tr r="R1181" s="2"/>
      </tp>
      <tp t="s">
        <v>#N/A N/A</v>
        <stp/>
        <stp>BDP|17564439291820430370</stp>
        <tr r="T299" s="2"/>
      </tp>
      <tp t="s">
        <v>#N/A N/A</v>
        <stp/>
        <stp>BDP|16574477550768406623</stp>
        <tr r="G1786" s="2"/>
      </tp>
      <tp t="s">
        <v>#N/A N/A</v>
        <stp/>
        <stp>BDP|18352417515897502351</stp>
        <tr r="K2239" s="2"/>
      </tp>
      <tp t="s">
        <v>#N/A N/A</v>
        <stp/>
        <stp>BDP|10599534252331560863</stp>
        <tr r="N543" s="2"/>
      </tp>
      <tp t="s">
        <v>#N/A N/A</v>
        <stp/>
        <stp>BDS|13402545498516992052</stp>
        <tr r="I1916" s="2"/>
      </tp>
      <tp t="s">
        <v>#N/A N/A</v>
        <stp/>
        <stp>BDP|15030736582077776419</stp>
        <tr r="J502" s="2"/>
      </tp>
      <tp t="s">
        <v>#N/A N/A</v>
        <stp/>
        <stp>BDP|15016905855317489764</stp>
        <tr r="N411" s="2"/>
      </tp>
      <tp t="s">
        <v>#N/A N/A</v>
        <stp/>
        <stp>BDP|17128969363756628755</stp>
        <tr r="N749" s="2"/>
      </tp>
      <tp t="s">
        <v>#N/A N/A</v>
        <stp/>
        <stp>BDS|16259513743789499702</stp>
        <tr r="I2255" s="2"/>
      </tp>
      <tp t="s">
        <v>#N/A N/A</v>
        <stp/>
        <stp>BDP|15163535160419588605</stp>
        <tr r="F1778" s="2"/>
      </tp>
      <tp t="s">
        <v>#N/A N/A</v>
        <stp/>
        <stp>BDP|14725677192560528208</stp>
        <tr r="O554" s="2"/>
      </tp>
      <tp t="s">
        <v>#N/A N/A</v>
        <stp/>
        <stp>BDP|17925052481316285081</stp>
        <tr r="N2088" s="2"/>
      </tp>
      <tp t="s">
        <v>#N/A N/A</v>
        <stp/>
        <stp>BDP|10560338779614914913</stp>
        <tr r="A642" s="2"/>
      </tp>
      <tp t="s">
        <v>#N/A N/A</v>
        <stp/>
        <stp>BDP|17440465839418497185</stp>
        <tr r="C1031" s="2"/>
      </tp>
      <tp t="s">
        <v>#N/A N/A</v>
        <stp/>
        <stp>BDP|11093913107556633775</stp>
        <tr r="K2243" s="2"/>
      </tp>
      <tp t="s">
        <v>#N/A N/A</v>
        <stp/>
        <stp>BDP|13772828947492472415</stp>
        <tr r="T2256" s="2"/>
      </tp>
      <tp t="s">
        <v>#N/A N/A</v>
        <stp/>
        <stp>BDP|16145832635016491246</stp>
        <tr r="E1462" s="2"/>
      </tp>
      <tp t="s">
        <v>#N/A N/A</v>
        <stp/>
        <stp>BDP|15629929936240788629</stp>
        <tr r="O220" s="2"/>
      </tp>
      <tp t="s">
        <v>#N/A N/A</v>
        <stp/>
        <stp>BDP|15794373986202532543</stp>
        <tr r="S1892" s="2"/>
      </tp>
      <tp t="s">
        <v>#N/A N/A</v>
        <stp/>
        <stp>BDP|13705717802864050932</stp>
        <tr r="N804" s="2"/>
      </tp>
      <tp t="s">
        <v>#N/A N/A</v>
        <stp/>
        <stp>BDP|18303629176354331431</stp>
        <tr r="J281" s="2"/>
      </tp>
      <tp t="s">
        <v>#N/A N/A</v>
        <stp/>
        <stp>BDS|14997796692413042067</stp>
        <tr r="I149" s="2"/>
      </tp>
      <tp t="s">
        <v>#N/A N/A</v>
        <stp/>
        <stp>BDP|10090541260432338800</stp>
        <tr r="E1900" s="2"/>
      </tp>
      <tp t="s">
        <v>#N/A N/A</v>
        <stp/>
        <stp>BDP|12659101431428689167</stp>
        <tr r="D153" s="2"/>
      </tp>
      <tp t="s">
        <v>#N/A N/A</v>
        <stp/>
        <stp>BDS|14291912392574633932</stp>
        <tr r="I470" s="2"/>
      </tp>
      <tp t="s">
        <v>#N/A N/A</v>
        <stp/>
        <stp>BDP|14298815224026948197</stp>
        <tr r="M1638" s="2"/>
      </tp>
      <tp t="s">
        <v>#N/A N/A</v>
        <stp/>
        <stp>BDP|10474890837974488699</stp>
        <tr r="H1091" s="2"/>
      </tp>
      <tp t="s">
        <v>#N/A N/A</v>
        <stp/>
        <stp>BDP|11833464529238337639</stp>
        <tr r="K176" s="2"/>
      </tp>
      <tp t="s">
        <v>#N/A N/A</v>
        <stp/>
        <stp>BDP|13387554697356549035</stp>
        <tr r="N1700" s="2"/>
      </tp>
      <tp t="s">
        <v>#N/A N/A</v>
        <stp/>
        <stp>BDP|15683928832235585344</stp>
        <tr r="G1153" s="2"/>
      </tp>
      <tp t="s">
        <v>#N/A N/A</v>
        <stp/>
        <stp>BDP|18386460595925374948</stp>
        <tr r="G739" s="2"/>
      </tp>
      <tp t="s">
        <v>#N/A N/A</v>
        <stp/>
        <stp>BDP|13734679625558223603</stp>
        <tr r="P1386" s="2"/>
      </tp>
      <tp t="s">
        <v>#N/A N/A</v>
        <stp/>
        <stp>BDS|15252412124443043939</stp>
        <tr r="I322" s="2"/>
      </tp>
      <tp t="s">
        <v>#N/A N/A</v>
        <stp/>
        <stp>BDP|13232881218721393261</stp>
        <tr r="Q2077" s="2"/>
      </tp>
      <tp t="s">
        <v>#N/A N/A</v>
        <stp/>
        <stp>BDP|14321552091808141911</stp>
        <tr r="G2008" s="2"/>
      </tp>
      <tp t="s">
        <v>#N/A N/A</v>
        <stp/>
        <stp>BDP|14678123314624597927</stp>
        <tr r="J130" s="2"/>
      </tp>
      <tp t="s">
        <v>#N/A N/A</v>
        <stp/>
        <stp>BDP|15784467727619148301</stp>
        <tr r="K561" s="2"/>
      </tp>
      <tp t="s">
        <v>#N/A N/A</v>
        <stp/>
        <stp>BDP|13681774683375714022</stp>
        <tr r="T2027" s="2"/>
      </tp>
      <tp t="s">
        <v>#N/A N/A</v>
        <stp/>
        <stp>BDP|16592854428887609299</stp>
        <tr r="O1998" s="2"/>
      </tp>
      <tp t="s">
        <v>#N/A N/A</v>
        <stp/>
        <stp>BDP|10253839477956391020</stp>
        <tr r="O683" s="2"/>
      </tp>
      <tp t="s">
        <v>#N/A N/A</v>
        <stp/>
        <stp>BDP|10722875847472411741</stp>
        <tr r="S2067" s="2"/>
      </tp>
      <tp t="s">
        <v>#N/A N/A</v>
        <stp/>
        <stp>BDP|14053889073385554799</stp>
        <tr r="K2212" s="2"/>
      </tp>
      <tp t="s">
        <v>#N/A N/A</v>
        <stp/>
        <stp>BDP|18213073286279025041</stp>
        <tr r="S21" s="2"/>
      </tp>
      <tp t="s">
        <v>#N/A N/A</v>
        <stp/>
        <stp>BDP|16167987723112973644</stp>
        <tr r="G683" s="2"/>
      </tp>
      <tp t="s">
        <v>#N/A N/A</v>
        <stp/>
        <stp>BDP|13290559837654451831</stp>
        <tr r="R991" s="2"/>
      </tp>
      <tp t="s">
        <v>#N/A N/A</v>
        <stp/>
        <stp>BDP|10523823104318589918</stp>
        <tr r="D2037" s="2"/>
      </tp>
      <tp t="s">
        <v>#N/A N/A</v>
        <stp/>
        <stp>BDP|17832281199445711095</stp>
        <tr r="Q1220" s="2"/>
      </tp>
      <tp t="s">
        <v>#N/A N/A</v>
        <stp/>
        <stp>BDP|16742827253340725260</stp>
        <tr r="G1095" s="2"/>
      </tp>
      <tp t="s">
        <v>#N/A N/A</v>
        <stp/>
        <stp>BDP|18337626471245004575</stp>
        <tr r="R1499" s="2"/>
      </tp>
      <tp t="s">
        <v>#N/A N/A</v>
        <stp/>
        <stp>BDP|16178210009424605982</stp>
        <tr r="N1942" s="2"/>
      </tp>
      <tp t="s">
        <v>#N/A N/A</v>
        <stp/>
        <stp>BDP|13373956578281050597</stp>
        <tr r="T2230" s="2"/>
      </tp>
      <tp t="s">
        <v>#N/A N/A</v>
        <stp/>
        <stp>BDP|16433802753186527453</stp>
        <tr r="K2242" s="2"/>
      </tp>
      <tp t="s">
        <v>#N/A N/A</v>
        <stp/>
        <stp>BDP|15103231385212841486</stp>
        <tr r="E1122" s="2"/>
      </tp>
      <tp t="s">
        <v>#N/A N/A</v>
        <stp/>
        <stp>BDP|14419902200511269511</stp>
        <tr r="R1303" s="2"/>
      </tp>
      <tp t="s">
        <v>#N/A N/A</v>
        <stp/>
        <stp>BDP|15228965078127249593</stp>
        <tr r="T169" s="2"/>
      </tp>
      <tp t="s">
        <v>#N/A N/A</v>
        <stp/>
        <stp>BDP|16751973808302804475</stp>
        <tr r="M900" s="2"/>
      </tp>
      <tp t="s">
        <v>#N/A N/A</v>
        <stp/>
        <stp>BDP|12468021233050560871</stp>
        <tr r="A61" s="2"/>
      </tp>
      <tp t="s">
        <v>#N/A N/A</v>
        <stp/>
        <stp>BDP|16666401535188152053</stp>
        <tr r="D84" s="2"/>
      </tp>
      <tp t="s">
        <v>#N/A N/A</v>
        <stp/>
        <stp>BDS|18056743110777297028</stp>
        <tr r="I1357" s="2"/>
      </tp>
      <tp t="s">
        <v>#N/A N/A</v>
        <stp/>
        <stp>BDP|12795273157454787876</stp>
        <tr r="C1453" s="2"/>
      </tp>
      <tp t="s">
        <v>#N/A N/A</v>
        <stp/>
        <stp>BDP|13421795820327935830</stp>
        <tr r="J2131" s="2"/>
      </tp>
      <tp t="s">
        <v>#N/A N/A</v>
        <stp/>
        <stp>BDP|10463812881780148920</stp>
        <tr r="R1116" s="2"/>
      </tp>
      <tp t="s">
        <v>#N/A N/A</v>
        <stp/>
        <stp>BDP|10123332753258114774</stp>
        <tr r="A682" s="2"/>
      </tp>
      <tp t="s">
        <v>#N/A N/A</v>
        <stp/>
        <stp>BDP|14529804863277353426</stp>
        <tr r="E1071" s="2"/>
      </tp>
      <tp t="s">
        <v>#N/A N/A</v>
        <stp/>
        <stp>BDP|10002102263417731932</stp>
        <tr r="E919" s="2"/>
      </tp>
      <tp t="s">
        <v>#N/A N/A</v>
        <stp/>
        <stp>BDP|11447900595481503936</stp>
        <tr r="C2063" s="2"/>
      </tp>
      <tp t="s">
        <v>#N/A N/A</v>
        <stp/>
        <stp>BDP|14298683809913628827</stp>
        <tr r="P1031" s="2"/>
      </tp>
      <tp t="s">
        <v>#N/A N/A</v>
        <stp/>
        <stp>BDP|11372235524541166927</stp>
        <tr r="E943" s="2"/>
      </tp>
      <tp t="s">
        <v>#N/A N/A</v>
        <stp/>
        <stp>BDP|12235995210500820347</stp>
        <tr r="Q19" s="2"/>
      </tp>
      <tp t="s">
        <v>#N/A N/A</v>
        <stp/>
        <stp>BDP|17722487488350135213</stp>
        <tr r="K1195" s="2"/>
      </tp>
      <tp t="s">
        <v>#N/A N/A</v>
        <stp/>
        <stp>BDP|12341664791677200310</stp>
        <tr r="D711" s="2"/>
      </tp>
      <tp t="s">
        <v>#N/A N/A</v>
        <stp/>
        <stp>BDP|12352317300940496814</stp>
        <tr r="P792" s="2"/>
      </tp>
      <tp t="s">
        <v>#N/A N/A</v>
        <stp/>
        <stp>BDP|18219467307471240463</stp>
        <tr r="M1427" s="2"/>
      </tp>
      <tp t="s">
        <v>#N/A N/A</v>
        <stp/>
        <stp>BDS|11523021364499465734</stp>
        <tr r="I1618" s="2"/>
      </tp>
      <tp t="s">
        <v>#N/A N/A</v>
        <stp/>
        <stp>BDP|16740015750119863393</stp>
        <tr r="T754" s="2"/>
      </tp>
      <tp t="s">
        <v>#N/A N/A</v>
        <stp/>
        <stp>BDP|17769706587293258253</stp>
        <tr r="T1350" s="2"/>
      </tp>
      <tp t="s">
        <v>#N/A N/A</v>
        <stp/>
        <stp>BDP|15799609361944342829</stp>
        <tr r="T534" s="2"/>
      </tp>
      <tp t="s">
        <v>#N/A N/A</v>
        <stp/>
        <stp>BDS|10089139061119646700</stp>
        <tr r="I451" s="2"/>
      </tp>
      <tp t="s">
        <v>#N/A N/A</v>
        <stp/>
        <stp>BDP|11814854129921000338</stp>
        <tr r="C1142" s="2"/>
      </tp>
      <tp t="s">
        <v>#N/A N/A</v>
        <stp/>
        <stp>BDP|13029271576268319754</stp>
        <tr r="D1748" s="2"/>
      </tp>
      <tp t="s">
        <v>#N/A N/A</v>
        <stp/>
        <stp>BDP|12087396828768269254</stp>
        <tr r="J1313" s="2"/>
      </tp>
      <tp t="s">
        <v>#N/A N/A</v>
        <stp/>
        <stp>BDP|11325963011390599071</stp>
        <tr r="O787" s="2"/>
      </tp>
      <tp t="s">
        <v>#N/A N/A</v>
        <stp/>
        <stp>BDP|14604787465418806459</stp>
        <tr r="F2162" s="2"/>
      </tp>
      <tp t="s">
        <v>#N/A N/A</v>
        <stp/>
        <stp>BDP|18188572922506040021</stp>
        <tr r="M17" s="2"/>
      </tp>
      <tp t="s">
        <v>#N/A N/A</v>
        <stp/>
        <stp>BDP|10168128581258668820</stp>
        <tr r="K2077" s="2"/>
      </tp>
      <tp t="s">
        <v>#N/A N/A</v>
        <stp/>
        <stp>BDP|10347298203988685394</stp>
        <tr r="C588" s="2"/>
      </tp>
      <tp t="s">
        <v>#N/A N/A</v>
        <stp/>
        <stp>BDP|17420069269311518980</stp>
        <tr r="C883" s="2"/>
      </tp>
      <tp t="s">
        <v>#N/A N/A</v>
        <stp/>
        <stp>BDP|12242767393077423258</stp>
        <tr r="H708" s="2"/>
      </tp>
      <tp t="s">
        <v>#N/A N/A</v>
        <stp/>
        <stp>BDP|11460989891879368188</stp>
        <tr r="J432" s="2"/>
      </tp>
      <tp t="s">
        <v>#N/A N/A</v>
        <stp/>
        <stp>BDP|13138723620607299876</stp>
        <tr r="N1401" s="2"/>
      </tp>
      <tp t="s">
        <v>#N/A N/A</v>
        <stp/>
        <stp>BDP|11944182391904304456</stp>
        <tr r="D733" s="2"/>
      </tp>
      <tp t="s">
        <v>#N/A N/A</v>
        <stp/>
        <stp>BDP|14463288909656488978</stp>
        <tr r="T1450" s="2"/>
      </tp>
      <tp t="s">
        <v>#N/A N/A</v>
        <stp/>
        <stp>BDS|11410452794153124618</stp>
        <tr r="I571" s="2"/>
      </tp>
      <tp t="s">
        <v>#N/A N/A</v>
        <stp/>
        <stp>BDP|10155975617948634912</stp>
        <tr r="K85" s="2"/>
      </tp>
      <tp t="s">
        <v>#N/A N/A</v>
        <stp/>
        <stp>BDP|14302601364728590547</stp>
        <tr r="P370" s="2"/>
      </tp>
      <tp t="s">
        <v>#N/A N/A</v>
        <stp/>
        <stp>BDP|17781235260498368217</stp>
        <tr r="Q1011" s="2"/>
      </tp>
      <tp t="s">
        <v>#N/A N/A</v>
        <stp/>
        <stp>BDP|11374276134540798912</stp>
        <tr r="G856" s="2"/>
      </tp>
      <tp t="s">
        <v>#N/A N/A</v>
        <stp/>
        <stp>BDP|12648894438820605077</stp>
        <tr r="G1238" s="2"/>
      </tp>
      <tp t="s">
        <v>#N/A N/A</v>
        <stp/>
        <stp>BDP|15899829250918531995</stp>
        <tr r="E1119" s="2"/>
      </tp>
      <tp t="s">
        <v>#N/A N/A</v>
        <stp/>
        <stp>BDP|14640616290492619078</stp>
        <tr r="K1200" s="2"/>
      </tp>
      <tp t="s">
        <v>#N/A N/A</v>
        <stp/>
        <stp>BDP|14710115490993072604</stp>
        <tr r="P1825" s="2"/>
      </tp>
      <tp t="s">
        <v>#N/A N/A</v>
        <stp/>
        <stp>BDP|18339536665803031130</stp>
        <tr r="G1432" s="2"/>
      </tp>
      <tp t="s">
        <v>#N/A N/A</v>
        <stp/>
        <stp>BDP|16933806572498974848</stp>
        <tr r="G1517" s="2"/>
      </tp>
      <tp t="s">
        <v>#N/A N/A</v>
        <stp/>
        <stp>BDP|13771685499471596451</stp>
        <tr r="H2200" s="2"/>
      </tp>
      <tp t="s">
        <v>#N/A N/A</v>
        <stp/>
        <stp>BDP|11038746012297107919</stp>
        <tr r="Q423" s="2"/>
      </tp>
      <tp t="s">
        <v>#N/A N/A</v>
        <stp/>
        <stp>BDP|15711748924919099017</stp>
        <tr r="R554" s="2"/>
      </tp>
      <tp t="s">
        <v>#N/A N/A</v>
        <stp/>
        <stp>BDP|15094300264419289008</stp>
        <tr r="A652" s="2"/>
      </tp>
      <tp t="s">
        <v>#N/A N/A</v>
        <stp/>
        <stp>BDP|10535959650642273746</stp>
        <tr r="F1116" s="2"/>
      </tp>
      <tp t="s">
        <v>#N/A N/A</v>
        <stp/>
        <stp>BDP|10695812758761170586</stp>
        <tr r="C286" s="2"/>
      </tp>
      <tp t="s">
        <v>#N/A N/A</v>
        <stp/>
        <stp>BDP|13635259419778522192</stp>
        <tr r="T1131" s="2"/>
      </tp>
      <tp t="s">
        <v>#N/A N/A</v>
        <stp/>
        <stp>BDP|14109733549789993740</stp>
        <tr r="T1323" s="2"/>
      </tp>
      <tp t="s">
        <v>#N/A N/A</v>
        <stp/>
        <stp>BDP|11245434796924726166</stp>
        <tr r="H1304" s="2"/>
      </tp>
      <tp t="s">
        <v>#N/A N/A</v>
        <stp/>
        <stp>BDS|15900584915690468858</stp>
        <tr r="I852" s="2"/>
      </tp>
      <tp t="s">
        <v>#N/A N/A</v>
        <stp/>
        <stp>BDP|12314638920247639804</stp>
        <tr r="H1823" s="2"/>
      </tp>
      <tp t="s">
        <v>#N/A N/A</v>
        <stp/>
        <stp>BDP|17704866676020307125</stp>
        <tr r="Q1725" s="2"/>
      </tp>
      <tp t="s">
        <v>#N/A N/A</v>
        <stp/>
        <stp>BDP|15490363551578142248</stp>
        <tr r="E1552" s="2"/>
      </tp>
      <tp t="s">
        <v>#N/A N/A</v>
        <stp/>
        <stp>BDS|13587378846045353827</stp>
        <tr r="I1856" s="2"/>
      </tp>
      <tp t="s">
        <v>#N/A N/A</v>
        <stp/>
        <stp>BDP|15449466290093228262</stp>
        <tr r="J315" s="2"/>
      </tp>
      <tp t="s">
        <v>#N/A N/A</v>
        <stp/>
        <stp>BDP|15046926850185467507</stp>
        <tr r="A669" s="2"/>
      </tp>
      <tp t="s">
        <v>#N/A N/A</v>
        <stp/>
        <stp>BDS|14875773986466867447</stp>
        <tr r="I1608" s="2"/>
      </tp>
      <tp t="s">
        <v>#N/A N/A</v>
        <stp/>
        <stp>BDP|13453728680981941491</stp>
        <tr r="D345" s="2"/>
      </tp>
      <tp t="s">
        <v>#N/A N/A</v>
        <stp/>
        <stp>BDP|17407362315348402450</stp>
        <tr r="R1938" s="2"/>
      </tp>
      <tp t="s">
        <v>#N/A N/A</v>
        <stp/>
        <stp>BDP|10675879856982938684</stp>
        <tr r="H1331" s="2"/>
      </tp>
      <tp t="s">
        <v>#N/A N/A</v>
        <stp/>
        <stp>BDP|14626651222969637019</stp>
        <tr r="M706" s="2"/>
      </tp>
      <tp t="s">
        <v>#N/A N/A</v>
        <stp/>
        <stp>BDP|13572260397208026927</stp>
        <tr r="E1320" s="2"/>
      </tp>
      <tp t="s">
        <v>#N/A N/A</v>
        <stp/>
        <stp>BDP|15182007968483790982</stp>
        <tr r="T73" s="2"/>
      </tp>
      <tp t="s">
        <v>#N/A N/A</v>
        <stp/>
        <stp>BDP|17016186198166238042</stp>
        <tr r="G365" s="2"/>
      </tp>
      <tp t="s">
        <v>#N/A N/A</v>
        <stp/>
        <stp>BDP|10017119496883821295</stp>
        <tr r="E1003" s="2"/>
      </tp>
      <tp t="s">
        <v>#N/A N/A</v>
        <stp/>
        <stp>BDP|14970681304468202314</stp>
        <tr r="S1149" s="2"/>
      </tp>
      <tp t="s">
        <v>#N/A N/A</v>
        <stp/>
        <stp>BDP|17835237194557170280</stp>
        <tr r="R2046" s="2"/>
      </tp>
      <tp t="s">
        <v>#N/A N/A</v>
        <stp/>
        <stp>BDP|12884090790051066378</stp>
        <tr r="J1990" s="2"/>
      </tp>
      <tp t="s">
        <v>#N/A N/A</v>
        <stp/>
        <stp>BDP|17064863932896696342</stp>
        <tr r="E604" s="2"/>
      </tp>
      <tp t="s">
        <v>#N/A N/A</v>
        <stp/>
        <stp>BDP|18382618274909962999</stp>
        <tr r="S1455" s="2"/>
      </tp>
      <tp t="s">
        <v>#N/A N/A</v>
        <stp/>
        <stp>BDP|11531906143417964292</stp>
        <tr r="N219" s="2"/>
      </tp>
      <tp t="s">
        <v>#N/A N/A</v>
        <stp/>
        <stp>BDP|13307581609557595818</stp>
        <tr r="J2087" s="2"/>
      </tp>
      <tp t="s">
        <v>#N/A N/A</v>
        <stp/>
        <stp>BDP|13407574921065028843</stp>
        <tr r="F1852" s="2"/>
      </tp>
      <tp t="s">
        <v>#N/A N/A</v>
        <stp/>
        <stp>BDP|13115576475958286073</stp>
        <tr r="H124" s="2"/>
      </tp>
      <tp t="s">
        <v>#N/A N/A</v>
        <stp/>
        <stp>BDP|10825884965667636057</stp>
        <tr r="M1691" s="2"/>
      </tp>
      <tp t="s">
        <v>#N/A N/A</v>
        <stp/>
        <stp>BDP|18401250842860647738</stp>
        <tr r="O271" s="2"/>
      </tp>
      <tp t="s">
        <v>#N/A N/A</v>
        <stp/>
        <stp>BDP|13038651017115543813</stp>
        <tr r="P138" s="2"/>
      </tp>
      <tp t="s">
        <v>#N/A N/A</v>
        <stp/>
        <stp>BDP|13861365899612842295</stp>
        <tr r="C800" s="2"/>
      </tp>
      <tp t="s">
        <v>#N/A N/A</v>
        <stp/>
        <stp>BDP|15351766223249341031</stp>
        <tr r="R1368" s="2"/>
      </tp>
      <tp t="s">
        <v>#N/A N/A</v>
        <stp/>
        <stp>BDP|16956273750369186199</stp>
        <tr r="S1363" s="2"/>
      </tp>
      <tp t="s">
        <v>#N/A N/A</v>
        <stp/>
        <stp>BDP|17518837880109450746</stp>
        <tr r="F1458" s="2"/>
      </tp>
      <tp t="s">
        <v>#N/A N/A</v>
        <stp/>
        <stp>BDP|14497155788316926596</stp>
        <tr r="K1341" s="2"/>
      </tp>
      <tp t="s">
        <v>#N/A N/A</v>
        <stp/>
        <stp>BDP|15893338280519760959</stp>
        <tr r="N577" s="2"/>
      </tp>
      <tp t="s">
        <v>#N/A N/A</v>
        <stp/>
        <stp>BDP|14869112396957766511</stp>
        <tr r="F1430" s="2"/>
      </tp>
      <tp t="s">
        <v>#N/A N/A</v>
        <stp/>
        <stp>BDP|15192432750198988228</stp>
        <tr r="F546" s="2"/>
      </tp>
      <tp t="s">
        <v>#N/A N/A</v>
        <stp/>
        <stp>BDP|17277278193926653499</stp>
        <tr r="J1884" s="2"/>
      </tp>
      <tp t="s">
        <v>#N/A N/A</v>
        <stp/>
        <stp>BDP|17268845845922231783</stp>
        <tr r="H1862" s="2"/>
      </tp>
      <tp t="s">
        <v>#N/A N/A</v>
        <stp/>
        <stp>BDP|14040980210266596445</stp>
        <tr r="H1729" s="2"/>
      </tp>
      <tp t="s">
        <v>#N/A N/A</v>
        <stp/>
        <stp>BDP|15177491518827828915</stp>
        <tr r="A1727" s="2"/>
      </tp>
      <tp t="s">
        <v>#N/A N/A</v>
        <stp/>
        <stp>BDP|16096546985925985017</stp>
        <tr r="R1772" s="2"/>
      </tp>
      <tp t="s">
        <v>#N/A N/A</v>
        <stp/>
        <stp>BDS|16550685156929284238</stp>
        <tr r="I859" s="2"/>
      </tp>
      <tp t="s">
        <v>#N/A N/A</v>
        <stp/>
        <stp>BDP|17864893678734492242</stp>
        <tr r="J506" s="2"/>
      </tp>
      <tp t="s">
        <v>#N/A N/A</v>
        <stp/>
        <stp>BDP|13670361518959418656</stp>
        <tr r="T1365" s="2"/>
      </tp>
      <tp t="s">
        <v>#N/A N/A</v>
        <stp/>
        <stp>BDP|13250052453781566989</stp>
        <tr r="E1624" s="2"/>
      </tp>
      <tp t="s">
        <v>#N/A N/A</v>
        <stp/>
        <stp>BDP|15776010412912966847</stp>
        <tr r="K486" s="2"/>
      </tp>
      <tp t="s">
        <v>#N/A N/A</v>
        <stp/>
        <stp>BDP|12303880331743197421</stp>
        <tr r="H785" s="2"/>
      </tp>
      <tp t="s">
        <v>#N/A N/A</v>
        <stp/>
        <stp>BDP|13963302330895867887</stp>
        <tr r="H848" s="2"/>
      </tp>
      <tp t="s">
        <v>#N/A N/A</v>
        <stp/>
        <stp>BDP|14397656397227099288</stp>
        <tr r="D611" s="2"/>
      </tp>
      <tp t="s">
        <v>#N/A N/A</v>
        <stp/>
        <stp>BDP|16249597596267281365</stp>
        <tr r="A801" s="2"/>
      </tp>
      <tp t="s">
        <v>#N/A N/A</v>
        <stp/>
        <stp>BDP|13474390167290524864</stp>
        <tr r="G2221" s="2"/>
      </tp>
      <tp t="s">
        <v>#N/A N/A</v>
        <stp/>
        <stp>BDP|15016225307051934854</stp>
        <tr r="S517" s="2"/>
      </tp>
      <tp t="s">
        <v>#N/A N/A</v>
        <stp/>
        <stp>BDP|10715864402804276289</stp>
        <tr r="S1677" s="2"/>
      </tp>
      <tp t="s">
        <v>#N/A N/A</v>
        <stp/>
        <stp>BDP|10538381291861791521</stp>
        <tr r="S524" s="2"/>
      </tp>
      <tp t="s">
        <v>#N/A N/A</v>
        <stp/>
        <stp>BDP|10844792550799105593</stp>
        <tr r="D1957" s="2"/>
      </tp>
      <tp t="s">
        <v>#N/A N/A</v>
        <stp/>
        <stp>BDP|16870157564107137810</stp>
        <tr r="A1873" s="2"/>
      </tp>
      <tp t="s">
        <v>#N/A N/A</v>
        <stp/>
        <stp>BDP|18372793556287225375</stp>
        <tr r="M2035" s="2"/>
      </tp>
      <tp t="s">
        <v>#N/A N/A</v>
        <stp/>
        <stp>BDP|15425746103704971835</stp>
        <tr r="O429" s="2"/>
      </tp>
      <tp t="s">
        <v>#N/A N/A</v>
        <stp/>
        <stp>BDP|14392704187953872652</stp>
        <tr r="Q2076" s="2"/>
      </tp>
      <tp t="s">
        <v>#N/A N/A</v>
        <stp/>
        <stp>BDP|10327962703862711588</stp>
        <tr r="E2114" s="2"/>
      </tp>
      <tp t="s">
        <v>#N/A N/A</v>
        <stp/>
        <stp>BDP|16109218879619280427</stp>
        <tr r="H1344" s="2"/>
      </tp>
      <tp t="s">
        <v>#N/A N/A</v>
        <stp/>
        <stp>BDP|11241892323383057610</stp>
        <tr r="O681" s="2"/>
      </tp>
      <tp t="s">
        <v>#N/A N/A</v>
        <stp/>
        <stp>BDP|13360280293264419255</stp>
        <tr r="T991" s="2"/>
      </tp>
      <tp t="s">
        <v>#N/A N/A</v>
        <stp/>
        <stp>BDP|12804256090992498506</stp>
        <tr r="C1346" s="2"/>
      </tp>
      <tp t="s">
        <v>#N/A N/A</v>
        <stp/>
        <stp>BDP|17856447243071576832</stp>
        <tr r="M1009" s="2"/>
      </tp>
      <tp t="s">
        <v>#N/A N/A</v>
        <stp/>
        <stp>BDP|16197619438799840495</stp>
        <tr r="M942" s="2"/>
      </tp>
      <tp t="s">
        <v>#N/A N/A</v>
        <stp/>
        <stp>BDP|17162913087071869966</stp>
        <tr r="S680" s="2"/>
      </tp>
      <tp t="s">
        <v>#N/A N/A</v>
        <stp/>
        <stp>BDP|11141972013440461781</stp>
        <tr r="D325" s="2"/>
      </tp>
      <tp t="s">
        <v>#N/A N/A</v>
        <stp/>
        <stp>BDP|14747035885721179394</stp>
        <tr r="J955" s="2"/>
      </tp>
      <tp t="s">
        <v>#N/A N/A</v>
        <stp/>
        <stp>BDP|15135996094352657936</stp>
        <tr r="R2256" s="2"/>
      </tp>
      <tp t="s">
        <v>#N/A N/A</v>
        <stp/>
        <stp>BDS|14805180194763939170</stp>
        <tr r="I188" s="2"/>
      </tp>
      <tp t="s">
        <v>#N/A N/A</v>
        <stp/>
        <stp>BDS|17060039596943607392</stp>
        <tr r="I1566" s="2"/>
      </tp>
      <tp t="s">
        <v>#N/A N/A</v>
        <stp/>
        <stp>BDP|18008509109107457456</stp>
        <tr r="G2145" s="2"/>
      </tp>
      <tp t="s">
        <v>#N/A N/A</v>
        <stp/>
        <stp>BDP|16035781089364889312</stp>
        <tr r="F1387" s="2"/>
      </tp>
      <tp t="s">
        <v>#N/A N/A</v>
        <stp/>
        <stp>BDS|17311478315665253981</stp>
        <tr r="I1354" s="2"/>
      </tp>
      <tp t="s">
        <v>#N/A N/A</v>
        <stp/>
        <stp>BDP|10517039842992927858</stp>
        <tr r="E1836" s="2"/>
      </tp>
      <tp t="s">
        <v>#N/A N/A</v>
        <stp/>
        <stp>BDP|11328818459780565260</stp>
        <tr r="F504" s="2"/>
      </tp>
      <tp t="s">
        <v>#N/A N/A</v>
        <stp/>
        <stp>BDP|11541341218354284935</stp>
        <tr r="D618" s="2"/>
      </tp>
      <tp t="s">
        <v>#N/A N/A</v>
        <stp/>
        <stp>BDP|16170195436903598938</stp>
        <tr r="A1675" s="2"/>
      </tp>
      <tp t="s">
        <v>#N/A N/A</v>
        <stp/>
        <stp>BDP|18382615409751468176</stp>
        <tr r="D1945" s="2"/>
      </tp>
      <tp t="s">
        <v>#N/A N/A</v>
        <stp/>
        <stp>BDS|12426322280251496691</stp>
        <tr r="I2055" s="2"/>
      </tp>
      <tp t="s">
        <v>#N/A N/A</v>
        <stp/>
        <stp>BDP|17989077335079529364</stp>
        <tr r="N672" s="2"/>
      </tp>
      <tp t="s">
        <v>#N/A N/A</v>
        <stp/>
        <stp>BDP|14313535209449185601</stp>
        <tr r="F1713" s="2"/>
      </tp>
      <tp t="s">
        <v>#N/A N/A</v>
        <stp/>
        <stp>BDP|10475531664349855439</stp>
        <tr r="R1526" s="2"/>
      </tp>
      <tp t="s">
        <v>#N/A N/A</v>
        <stp/>
        <stp>BDP|11047366759048686113</stp>
        <tr r="O755" s="2"/>
      </tp>
      <tp t="s">
        <v>#N/A N/A</v>
        <stp/>
        <stp>BDP|17412317711923458882</stp>
        <tr r="N1864" s="2"/>
      </tp>
      <tp t="s">
        <v>#N/A N/A</v>
        <stp/>
        <stp>BDP|16483127888731623002</stp>
        <tr r="N505" s="2"/>
      </tp>
      <tp t="s">
        <v>#N/A N/A</v>
        <stp/>
        <stp>BDP|12796042387450454482</stp>
        <tr r="D1745" s="2"/>
      </tp>
      <tp t="s">
        <v>#N/A N/A</v>
        <stp/>
        <stp>BDP|10102316131346190884</stp>
        <tr r="E609" s="2"/>
      </tp>
      <tp t="s">
        <v>#N/A N/A</v>
        <stp/>
        <stp>BDP|11479777939753563879</stp>
        <tr r="K1511" s="2"/>
      </tp>
      <tp t="s">
        <v>#N/A N/A</v>
        <stp/>
        <stp>BDS|15769047721799802019</stp>
        <tr r="I1890" s="2"/>
      </tp>
      <tp t="s">
        <v>#N/A N/A</v>
        <stp/>
        <stp>BDP|14622376328763157809</stp>
        <tr r="M2058" s="2"/>
      </tp>
      <tp t="s">
        <v>#N/A N/A</v>
        <stp/>
        <stp>BDP|16520967304475764488</stp>
        <tr r="T59" s="2"/>
      </tp>
      <tp t="s">
        <v>#N/A N/A</v>
        <stp/>
        <stp>BDP|17412584785941701562</stp>
        <tr r="G1502" s="2"/>
      </tp>
      <tp t="s">
        <v>#N/A N/A</v>
        <stp/>
        <stp>BDP|13124890117261048579</stp>
        <tr r="A59" s="2"/>
      </tp>
      <tp t="s">
        <v>#N/A N/A</v>
        <stp/>
        <stp>BDP|12876450748688593485</stp>
        <tr r="R1287" s="2"/>
      </tp>
      <tp t="s">
        <v>#N/A N/A</v>
        <stp/>
        <stp>BDP|13982306908409041793</stp>
        <tr r="R1861" s="2"/>
      </tp>
      <tp t="s">
        <v>#N/A N/A</v>
        <stp/>
        <stp>BDP|13799839975972943000</stp>
        <tr r="F651" s="2"/>
      </tp>
      <tp t="s">
        <v>#N/A N/A</v>
        <stp/>
        <stp>BDP|16049161816079188191</stp>
        <tr r="K1493" s="2"/>
      </tp>
      <tp t="s">
        <v>#N/A N/A</v>
        <stp/>
        <stp>BDP|12225238094677809050</stp>
        <tr r="T949" s="2"/>
      </tp>
      <tp t="s">
        <v>#N/A N/A</v>
        <stp/>
        <stp>BDP|11182520384406935463</stp>
        <tr r="T1153" s="2"/>
      </tp>
      <tp t="s">
        <v>#N/A N/A</v>
        <stp/>
        <stp>BDP|13911349158723465895</stp>
        <tr r="T1658" s="2"/>
      </tp>
      <tp t="s">
        <v>#N/A N/A</v>
        <stp/>
        <stp>BDP|11120283072432180821</stp>
        <tr r="K2109" s="2"/>
      </tp>
      <tp t="s">
        <v>#N/A N/A</v>
        <stp/>
        <stp>BDP|16752785225648339517</stp>
        <tr r="S94" s="2"/>
      </tp>
      <tp t="s">
        <v>#N/A N/A</v>
        <stp/>
        <stp>BDP|14067352401708898148</stp>
        <tr r="O770" s="2"/>
      </tp>
      <tp t="s">
        <v>#N/A N/A</v>
        <stp/>
        <stp>BDP|13548229158473128969</stp>
        <tr r="T1519" s="2"/>
      </tp>
      <tp t="s">
        <v>#N/A N/A</v>
        <stp/>
        <stp>BDP|16871997007651672083</stp>
        <tr r="P1716" s="2"/>
      </tp>
      <tp t="s">
        <v>#N/A N/A</v>
        <stp/>
        <stp>BDP|14242555299731550731</stp>
        <tr r="S1785" s="2"/>
      </tp>
      <tp t="s">
        <v>#N/A N/A</v>
        <stp/>
        <stp>BDP|11673984851610448333</stp>
        <tr r="C1079" s="2"/>
      </tp>
      <tp t="s">
        <v>#N/A N/A</v>
        <stp/>
        <stp>BDP|15780129888030382268</stp>
        <tr r="A2100" s="2"/>
      </tp>
      <tp t="s">
        <v>#N/A N/A</v>
        <stp/>
        <stp>BDP|14214676022676904860</stp>
        <tr r="P1698" s="2"/>
      </tp>
      <tp t="s">
        <v>#N/A N/A</v>
        <stp/>
        <stp>BDP|11940930030194248100</stp>
        <tr r="M1490" s="2"/>
      </tp>
      <tp t="s">
        <v>#N/A N/A</v>
        <stp/>
        <stp>BDP|11465097917476426867</stp>
        <tr r="D1039" s="2"/>
      </tp>
      <tp t="s">
        <v>#N/A N/A</v>
        <stp/>
        <stp>BDP|17013913366223806570</stp>
        <tr r="G2" s="2"/>
      </tp>
      <tp t="s">
        <v>#N/A N/A</v>
        <stp/>
        <stp>BDP|15999833331850548066</stp>
        <tr r="P2208" s="2"/>
      </tp>
      <tp t="s">
        <v>#N/A N/A</v>
        <stp/>
        <stp>BDP|10387776284679913819</stp>
        <tr r="N1777" s="2"/>
      </tp>
      <tp t="s">
        <v>#N/A N/A</v>
        <stp/>
        <stp>BDP|12597716553607713988</stp>
        <tr r="T1881" s="2"/>
      </tp>
      <tp t="s">
        <v>#N/A N/A</v>
        <stp/>
        <stp>BDP|11401354318244115907</stp>
        <tr r="G534" s="2"/>
      </tp>
      <tp t="s">
        <v>#N/A N/A</v>
        <stp/>
        <stp>BDP|16678993989550768990</stp>
        <tr r="O916" s="2"/>
      </tp>
      <tp t="s">
        <v>#N/A N/A</v>
        <stp/>
        <stp>BDP|12485519674217968902</stp>
        <tr r="O66" s="2"/>
      </tp>
      <tp t="s">
        <v>#N/A N/A</v>
        <stp/>
        <stp>BDP|10035040499122616534</stp>
        <tr r="G954" s="2"/>
      </tp>
      <tp t="s">
        <v>#N/A N/A</v>
        <stp/>
        <stp>BDP|16902353342127274842</stp>
        <tr r="F2186" s="2"/>
      </tp>
      <tp t="s">
        <v>#N/A N/A</v>
        <stp/>
        <stp>BDS|15134683282821472448</stp>
        <tr r="I1206" s="2"/>
      </tp>
      <tp t="s">
        <v>#N/A N/A</v>
        <stp/>
        <stp>BDP|16599185251484272868</stp>
        <tr r="H2214" s="2"/>
      </tp>
      <tp t="s">
        <v>#N/A N/A</v>
        <stp/>
        <stp>BDP|14351896313512160107</stp>
        <tr r="T1112" s="2"/>
      </tp>
      <tp t="s">
        <v>#N/A N/A</v>
        <stp/>
        <stp>BDP|18341972596400222686</stp>
        <tr r="T885" s="2"/>
      </tp>
      <tp t="s">
        <v>#N/A N/A</v>
        <stp/>
        <stp>BDP|16584893570964165352</stp>
        <tr r="G422" s="2"/>
      </tp>
      <tp t="s">
        <v>#N/A N/A</v>
        <stp/>
        <stp>BDP|14625620752710839963</stp>
        <tr r="N1889" s="2"/>
      </tp>
      <tp t="s">
        <v>#N/A N/A</v>
        <stp/>
        <stp>BDP|16024618073991317897</stp>
        <tr r="T882" s="2"/>
      </tp>
      <tp t="s">
        <v>#N/A N/A</v>
        <stp/>
        <stp>BDP|14214927924472567390</stp>
        <tr r="G1966" s="2"/>
      </tp>
      <tp t="s">
        <v>#N/A N/A</v>
        <stp/>
        <stp>BDP|11565493893642467031</stp>
        <tr r="O836" s="2"/>
      </tp>
      <tp t="s">
        <v>#N/A N/A</v>
        <stp/>
        <stp>BDP|12397433522502858811</stp>
        <tr r="O2242" s="2"/>
      </tp>
      <tp t="s">
        <v>#N/A N/A</v>
        <stp/>
        <stp>BDP|13710530158319295450</stp>
        <tr r="D361" s="2"/>
      </tp>
      <tp t="s">
        <v>#N/A N/A</v>
        <stp/>
        <stp>BDP|13740418657644837822</stp>
        <tr r="J1942" s="2"/>
      </tp>
      <tp t="s">
        <v>#N/A N/A</v>
        <stp/>
        <stp>BDP|12759613324989032197</stp>
        <tr r="E1998" s="2"/>
      </tp>
      <tp t="s">
        <v>#N/A N/A</v>
        <stp/>
        <stp>BDP|12851836055694796526</stp>
        <tr r="J2138" s="2"/>
      </tp>
      <tp t="s">
        <v>#N/A N/A</v>
        <stp/>
        <stp>BDP|10397858148507177549</stp>
        <tr r="J320" s="2"/>
      </tp>
      <tp t="s">
        <v>#N/A N/A</v>
        <stp/>
        <stp>BDP|12644691400359099346</stp>
        <tr r="F754" s="2"/>
      </tp>
      <tp t="s">
        <v>#N/A N/A</v>
        <stp/>
        <stp>BDP|14384379453564848849</stp>
        <tr r="Q1589" s="2"/>
      </tp>
      <tp t="s">
        <v>#N/A N/A</v>
        <stp/>
        <stp>BDP|10592141109016538962</stp>
        <tr r="D907" s="2"/>
      </tp>
      <tp t="s">
        <v>#N/A N/A</v>
        <stp/>
        <stp>BDP|15084035447269636695</stp>
        <tr r="A140" s="2"/>
      </tp>
      <tp t="s">
        <v>#N/A N/A</v>
        <stp/>
        <stp>BDP|16804985356962823657</stp>
        <tr r="M334" s="2"/>
      </tp>
      <tp t="s">
        <v>#N/A N/A</v>
        <stp/>
        <stp>BDP|11687622478198517622</stp>
        <tr r="M761" s="2"/>
      </tp>
      <tp t="s">
        <v>#N/A N/A</v>
        <stp/>
        <stp>BDP|12428797208632936978</stp>
        <tr r="O2046" s="2"/>
      </tp>
      <tp t="s">
        <v>#N/A N/A</v>
        <stp/>
        <stp>BDP|10350099142713218912</stp>
        <tr r="G1928" s="2"/>
      </tp>
      <tp t="s">
        <v>#N/A N/A</v>
        <stp/>
        <stp>BDP|11385220412684012887</stp>
        <tr r="R480" s="2"/>
      </tp>
      <tp t="s">
        <v>#N/A N/A</v>
        <stp/>
        <stp>BDP|10220080723219703558</stp>
        <tr r="T1883" s="2"/>
      </tp>
      <tp t="s">
        <v>#N/A N/A</v>
        <stp/>
        <stp>BDP|14674513275830105883</stp>
        <tr r="F173" s="2"/>
      </tp>
      <tp t="s">
        <v>#N/A N/A</v>
        <stp/>
        <stp>BDP|10794091228164503886</stp>
        <tr r="P1098" s="2"/>
      </tp>
      <tp t="s">
        <v>#N/A N/A</v>
        <stp/>
        <stp>BDP|17271971539911726202</stp>
        <tr r="H1047" s="2"/>
      </tp>
      <tp t="s">
        <v>#N/A N/A</v>
        <stp/>
        <stp>BDS|17618561253499987022</stp>
        <tr r="I614" s="2"/>
      </tp>
      <tp t="s">
        <v>#N/A N/A</v>
        <stp/>
        <stp>BDP|11746495181107798434</stp>
        <tr r="J1840" s="2"/>
      </tp>
      <tp t="s">
        <v>#N/A N/A</v>
        <stp/>
        <stp>BDP|16491971809584436553</stp>
        <tr r="D165" s="2"/>
      </tp>
      <tp t="s">
        <v>#N/A N/A</v>
        <stp/>
        <stp>BDP|16476993518964934473</stp>
        <tr r="M629" s="2"/>
      </tp>
      <tp t="s">
        <v>#N/A N/A</v>
        <stp/>
        <stp>BDP|16482146558035404973</stp>
        <tr r="T752" s="2"/>
      </tp>
      <tp t="s">
        <v>#N/A N/A</v>
        <stp/>
        <stp>BDP|12172342486371822609</stp>
        <tr r="C1969" s="2"/>
      </tp>
      <tp t="s">
        <v>#N/A N/A</v>
        <stp/>
        <stp>BDP|12897534264338554716</stp>
        <tr r="J504" s="2"/>
      </tp>
      <tp t="s">
        <v>#N/A N/A</v>
        <stp/>
        <stp>BDP|18297992901098662771</stp>
        <tr r="S637" s="2"/>
      </tp>
      <tp t="s">
        <v>#N/A N/A</v>
        <stp/>
        <stp>BDP|14421500102927463891</stp>
        <tr r="J789" s="2"/>
      </tp>
      <tp t="s">
        <v>#N/A N/A</v>
        <stp/>
        <stp>BDP|18339491207122056065</stp>
        <tr r="Q911" s="2"/>
      </tp>
      <tp t="s">
        <v>#N/A N/A</v>
        <stp/>
        <stp>BDP|14197290941828427460</stp>
        <tr r="K1825" s="2"/>
      </tp>
      <tp t="s">
        <v>#N/A N/A</v>
        <stp/>
        <stp>BDP|15744381787050573061</stp>
        <tr r="P1977" s="2"/>
      </tp>
      <tp t="s">
        <v>#N/A N/A</v>
        <stp/>
        <stp>BDP|12187830799688551559</stp>
        <tr r="O988" s="2"/>
      </tp>
      <tp t="s">
        <v>#N/A N/A</v>
        <stp/>
        <stp>BDP|13392267915669924728</stp>
        <tr r="C1679" s="2"/>
      </tp>
      <tp t="s">
        <v>#N/A N/A</v>
        <stp/>
        <stp>BDP|16835470834127736873</stp>
        <tr r="J1576" s="2"/>
      </tp>
      <tp t="s">
        <v>#N/A N/A</v>
        <stp/>
        <stp>BDS|13926870817473362722</stp>
        <tr r="I385" s="2"/>
      </tp>
      <tp t="s">
        <v>#N/A N/A</v>
        <stp/>
        <stp>BDP|13389918009440227424</stp>
        <tr r="O1228" s="2"/>
      </tp>
      <tp t="s">
        <v>#N/A N/A</v>
        <stp/>
        <stp>BDP|13993568440938092443</stp>
        <tr r="C440" s="2"/>
      </tp>
      <tp t="s">
        <v>#N/A N/A</v>
        <stp/>
        <stp>BDP|17679614411897584981</stp>
        <tr r="P833" s="2"/>
      </tp>
      <tp t="s">
        <v>#N/A N/A</v>
        <stp/>
        <stp>BDP|15419883462606331366</stp>
        <tr r="D2075" s="2"/>
      </tp>
      <tp t="s">
        <v>#N/A N/A</v>
        <stp/>
        <stp>BDP|14850964118503965143</stp>
        <tr r="A28" s="2"/>
      </tp>
      <tp t="s">
        <v>#N/A N/A</v>
        <stp/>
        <stp>BDP|17774593586934752049</stp>
        <tr r="N1723" s="2"/>
      </tp>
      <tp t="s">
        <v>#N/A N/A</v>
        <stp/>
        <stp>BDP|11399498402058040335</stp>
        <tr r="F1463" s="2"/>
      </tp>
      <tp t="s">
        <v>#N/A N/A</v>
        <stp/>
        <stp>BDS|13557218175840857810</stp>
        <tr r="I939" s="2"/>
      </tp>
      <tp t="s">
        <v>#N/A N/A</v>
        <stp/>
        <stp>BDP|16162184291818726848</stp>
        <tr r="N1021" s="2"/>
      </tp>
      <tp t="s">
        <v>#N/A N/A</v>
        <stp/>
        <stp>BDP|13458031173702600894</stp>
        <tr r="F1807" s="2"/>
      </tp>
      <tp t="s">
        <v>#N/A N/A</v>
        <stp/>
        <stp>BDP|10764981806314719352</stp>
        <tr r="H1423" s="2"/>
      </tp>
      <tp t="s">
        <v>#N/A N/A</v>
        <stp/>
        <stp>BDS|16674986453445670135</stp>
        <tr r="I1685" s="2"/>
      </tp>
      <tp t="s">
        <v>#N/A N/A</v>
        <stp/>
        <stp>BDP|15382651607485995832</stp>
        <tr r="D2054" s="2"/>
      </tp>
      <tp t="s">
        <v>#N/A N/A</v>
        <stp/>
        <stp>BDP|15636434793320444696</stp>
        <tr r="T25" s="2"/>
      </tp>
      <tp t="s">
        <v>#N/A N/A</v>
        <stp/>
        <stp>BDP|15295088351246502855</stp>
        <tr r="S2165" s="2"/>
      </tp>
      <tp t="s">
        <v>#N/A N/A</v>
        <stp/>
        <stp>BDP|12781105848388612129</stp>
        <tr r="E1628" s="2"/>
      </tp>
      <tp t="s">
        <v>#N/A N/A</v>
        <stp/>
        <stp>BDP|15509838229603424209</stp>
        <tr r="E1811" s="2"/>
      </tp>
      <tp t="s">
        <v>#N/A N/A</v>
        <stp/>
        <stp>BDP|14081429470149938006</stp>
        <tr r="O1734" s="2"/>
      </tp>
      <tp t="s">
        <v>#N/A N/A</v>
        <stp/>
        <stp>BDP|14819565166339452077</stp>
        <tr r="N915" s="2"/>
      </tp>
      <tp t="s">
        <v>#N/A N/A</v>
        <stp/>
        <stp>BDP|14694871248882176432</stp>
        <tr r="T1646" s="2"/>
      </tp>
      <tp t="s">
        <v>#N/A N/A</v>
        <stp/>
        <stp>BDP|14472204997677107690</stp>
        <tr r="P2222" s="2"/>
      </tp>
      <tp t="s">
        <v>#N/A N/A</v>
        <stp/>
        <stp>BDP|12824212188436930032</stp>
        <tr r="P2158" s="2"/>
      </tp>
      <tp t="s">
        <v>#N/A N/A</v>
        <stp/>
        <stp>BDP|15643322989204658404</stp>
        <tr r="Q1487" s="2"/>
      </tp>
      <tp t="s">
        <v>#N/A N/A</v>
        <stp/>
        <stp>BDP|15678008308548172349</stp>
        <tr r="R298" s="2"/>
      </tp>
      <tp t="s">
        <v>#N/A N/A</v>
        <stp/>
        <stp>BDP|11211363899000576531</stp>
        <tr r="H1187" s="2"/>
      </tp>
      <tp t="s">
        <v>#N/A N/A</v>
        <stp/>
        <stp>BDP|18128676341011471587</stp>
        <tr r="N61" s="2"/>
      </tp>
      <tp t="s">
        <v>#N/A N/A</v>
        <stp/>
        <stp>BDP|11872676527988698355</stp>
        <tr r="Q834" s="2"/>
      </tp>
      <tp t="s">
        <v>#N/A N/A</v>
        <stp/>
        <stp>BDP|13117545419620598930</stp>
        <tr r="T2171" s="2"/>
      </tp>
      <tp t="s">
        <v>#N/A N/A</v>
        <stp/>
        <stp>BDS|10665344695274732098</stp>
        <tr r="I156" s="2"/>
      </tp>
      <tp t="s">
        <v>#N/A N/A</v>
        <stp/>
        <stp>BDP|11413401153059426799</stp>
        <tr r="J1091" s="2"/>
      </tp>
      <tp t="s">
        <v>#N/A N/A</v>
        <stp/>
        <stp>BDP|18309618879714368323</stp>
        <tr r="P1224" s="2"/>
      </tp>
      <tp t="s">
        <v>#N/A N/A</v>
        <stp/>
        <stp>BDP|18247047568998491809</stp>
        <tr r="O2117" s="2"/>
      </tp>
      <tp t="s">
        <v>#N/A N/A</v>
        <stp/>
        <stp>BDP|14219861518287380450</stp>
        <tr r="R32" s="2"/>
      </tp>
      <tp t="s">
        <v>#N/A N/A</v>
        <stp/>
        <stp>BDP|12894295820394815834</stp>
        <tr r="N280" s="2"/>
      </tp>
      <tp t="s">
        <v>#N/A N/A</v>
        <stp/>
        <stp>BDP|14819993475984838061</stp>
        <tr r="J345" s="2"/>
      </tp>
      <tp t="s">
        <v>#N/A N/A</v>
        <stp/>
        <stp>BDP|12212998773321427361</stp>
        <tr r="T1695" s="2"/>
      </tp>
      <tp t="s">
        <v>#N/A N/A</v>
        <stp/>
        <stp>BDP|14100240996924825513</stp>
        <tr r="R2007" s="2"/>
      </tp>
      <tp t="s">
        <v>#N/A N/A</v>
        <stp/>
        <stp>BDP|17012265147688831739</stp>
        <tr r="E687" s="2"/>
      </tp>
      <tp t="s">
        <v>#N/A N/A</v>
        <stp/>
        <stp>BDP|17962001557954055843</stp>
        <tr r="O2086" s="2"/>
      </tp>
      <tp t="s">
        <v>#N/A N/A</v>
        <stp/>
        <stp>BDP|14220817410966004594</stp>
        <tr r="G305" s="2"/>
      </tp>
      <tp t="s">
        <v>#N/A N/A</v>
        <stp/>
        <stp>BDP|12691795475439962591</stp>
        <tr r="C591" s="2"/>
      </tp>
      <tp t="s">
        <v>#N/A N/A</v>
        <stp/>
        <stp>BDP|16064411815735876869</stp>
        <tr r="P851" s="2"/>
      </tp>
      <tp t="s">
        <v>#N/A N/A</v>
        <stp/>
        <stp>BDP|17204994711821317033</stp>
        <tr r="P602" s="2"/>
      </tp>
      <tp t="s">
        <v>#N/A N/A</v>
        <stp/>
        <stp>BDP|12872370367861636842</stp>
        <tr r="D654" s="2"/>
      </tp>
      <tp t="s">
        <v>#N/A N/A</v>
        <stp/>
        <stp>BDP|15705215449824663935</stp>
        <tr r="O1170" s="2"/>
      </tp>
      <tp t="s">
        <v>#N/A N/A</v>
        <stp/>
        <stp>BDP|10461241909814714843</stp>
        <tr r="D681" s="2"/>
      </tp>
      <tp t="s">
        <v>#N/A N/A</v>
        <stp/>
        <stp>BDP|10255730643875060886</stp>
        <tr r="G1550" s="2"/>
      </tp>
      <tp t="s">
        <v>#N/A N/A</v>
        <stp/>
        <stp>BDP|12283621724558707091</stp>
        <tr r="R1398" s="2"/>
      </tp>
      <tp t="s">
        <v>#N/A N/A</v>
        <stp/>
        <stp>BDP|12765554385886518786</stp>
        <tr r="K1566" s="2"/>
      </tp>
      <tp t="s">
        <v>#N/A N/A</v>
        <stp/>
        <stp>BDP|12284990688135075892</stp>
        <tr r="M1379" s="2"/>
      </tp>
      <tp t="s">
        <v>#N/A N/A</v>
        <stp/>
        <stp>BDP|11381107129444673860</stp>
        <tr r="R770" s="2"/>
      </tp>
      <tp t="s">
        <v>#N/A N/A</v>
        <stp/>
        <stp>BDP|11994092108239007625</stp>
        <tr r="E1534" s="2"/>
      </tp>
      <tp t="s">
        <v>#N/A N/A</v>
        <stp/>
        <stp>BDP|15472967953532264590</stp>
        <tr r="D1985" s="2"/>
      </tp>
      <tp t="s">
        <v>#N/A N/A</v>
        <stp/>
        <stp>BDP|14955062064989983585</stp>
        <tr r="K1050" s="2"/>
      </tp>
      <tp t="s">
        <v>#N/A N/A</v>
        <stp/>
        <stp>BDS|17899326050706427979</stp>
        <tr r="I229" s="2"/>
      </tp>
      <tp t="s">
        <v>#N/A N/A</v>
        <stp/>
        <stp>BDP|11710351918115123810</stp>
        <tr r="D873" s="2"/>
      </tp>
      <tp t="s">
        <v>#N/A N/A</v>
        <stp/>
        <stp>BDP|12332955697478919420</stp>
        <tr r="T1111" s="2"/>
      </tp>
      <tp t="s">
        <v>#N/A N/A</v>
        <stp/>
        <stp>BDP|15214434466271441890</stp>
        <tr r="D1758" s="2"/>
      </tp>
      <tp t="s">
        <v>#N/A N/A</v>
        <stp/>
        <stp>BDP|10334472920378810061</stp>
        <tr r="H953" s="2"/>
      </tp>
      <tp t="s">
        <v>#N/A N/A</v>
        <stp/>
        <stp>BDP|12458675975159556496</stp>
        <tr r="C635" s="2"/>
      </tp>
      <tp t="s">
        <v>#N/A N/A</v>
        <stp/>
        <stp>BDP|14910949868917965266</stp>
        <tr r="A521" s="2"/>
      </tp>
      <tp t="s">
        <v>#N/A N/A</v>
        <stp/>
        <stp>BDP|18072056251582667183</stp>
        <tr r="J2167" s="2"/>
      </tp>
      <tp t="s">
        <v>#N/A N/A</v>
        <stp/>
        <stp>BDP|17168922292451984829</stp>
        <tr r="C1741" s="2"/>
      </tp>
      <tp t="s">
        <v>#N/A N/A</v>
        <stp/>
        <stp>BDP|15549298577787982982</stp>
        <tr r="R808" s="2"/>
      </tp>
      <tp t="s">
        <v>#N/A N/A</v>
        <stp/>
        <stp>BDP|13321931316311590498</stp>
        <tr r="D564" s="2"/>
      </tp>
      <tp t="s">
        <v>#N/A N/A</v>
        <stp/>
        <stp>BDP|18270995387301310651</stp>
        <tr r="P1926" s="2"/>
      </tp>
      <tp t="s">
        <v>#N/A N/A</v>
        <stp/>
        <stp>BDP|13768894513470016477</stp>
        <tr r="O514" s="2"/>
      </tp>
      <tp t="s">
        <v>#N/A N/A</v>
        <stp/>
        <stp>BDP|11090263173843640996</stp>
        <tr r="T1717" s="2"/>
      </tp>
      <tp t="s">
        <v>#N/A N/A</v>
        <stp/>
        <stp>BDP|12072532441569015481</stp>
        <tr r="J592" s="2"/>
      </tp>
      <tp t="s">
        <v>#N/A N/A</v>
        <stp/>
        <stp>BDP|13161478204628910119</stp>
        <tr r="T1048" s="2"/>
      </tp>
      <tp t="s">
        <v>#N/A N/A</v>
        <stp/>
        <stp>BDP|11141414025230822970</stp>
        <tr r="C1975" s="2"/>
      </tp>
      <tp t="s">
        <v>#N/A N/A</v>
        <stp/>
        <stp>BDP|17743083674078802697</stp>
        <tr r="M1417" s="2"/>
      </tp>
      <tp t="s">
        <v>#N/A N/A</v>
        <stp/>
        <stp>BDP|16886802903198295832</stp>
        <tr r="J1659" s="2"/>
      </tp>
      <tp t="s">
        <v>#N/A N/A</v>
        <stp/>
        <stp>BDP|13111931909526318224</stp>
        <tr r="E2086" s="2"/>
      </tp>
      <tp t="s">
        <v>#N/A N/A</v>
        <stp/>
        <stp>BDP|14669994724219270830</stp>
        <tr r="J878" s="2"/>
      </tp>
      <tp t="s">
        <v>#N/A N/A</v>
        <stp/>
        <stp>BDP|16740488943528580036</stp>
        <tr r="E371" s="2"/>
      </tp>
      <tp t="s">
        <v>#N/A N/A</v>
        <stp/>
        <stp>BDS|13270422682159278894</stp>
        <tr r="I129" s="2"/>
      </tp>
      <tp t="s">
        <v>#N/A N/A</v>
        <stp/>
        <stp>BDP|13924834066727224444</stp>
        <tr r="G258" s="2"/>
      </tp>
      <tp t="s">
        <v>#N/A N/A</v>
        <stp/>
        <stp>BDP|18436586942170211763</stp>
        <tr r="C1653" s="2"/>
      </tp>
      <tp t="s">
        <v>#N/A N/A</v>
        <stp/>
        <stp>BDP|17837075848535517884</stp>
        <tr r="A101" s="2"/>
      </tp>
      <tp t="s">
        <v>#N/A N/A</v>
        <stp/>
        <stp>BDP|13433012249030407927</stp>
        <tr r="S504" s="2"/>
      </tp>
      <tp t="s">
        <v>#N/A N/A</v>
        <stp/>
        <stp>BDP|12164295601616443877</stp>
        <tr r="S2215" s="2"/>
      </tp>
      <tp t="s">
        <v>#N/A N/A</v>
        <stp/>
        <stp>BDP|16815890249124767050</stp>
        <tr r="R1717" s="2"/>
      </tp>
      <tp t="s">
        <v>#N/A N/A</v>
        <stp/>
        <stp>BDP|16038503504549652485</stp>
        <tr r="F1850" s="2"/>
      </tp>
      <tp t="s">
        <v>#N/A N/A</v>
        <stp/>
        <stp>BDP|15896210252195247939</stp>
        <tr r="E1771" s="2"/>
      </tp>
      <tp t="s">
        <v>#N/A N/A</v>
        <stp/>
        <stp>BDP|12844696394132843172</stp>
        <tr r="H1790" s="2"/>
      </tp>
      <tp t="s">
        <v>#N/A N/A</v>
        <stp/>
        <stp>BDP|12757542400138851116</stp>
        <tr r="N913" s="2"/>
      </tp>
      <tp t="s">
        <v>#N/A N/A</v>
        <stp/>
        <stp>BDP|14779740699436165211</stp>
        <tr r="N769" s="2"/>
      </tp>
      <tp t="s">
        <v>#N/A N/A</v>
        <stp/>
        <stp>BDP|12771691595584234734</stp>
        <tr r="T482" s="2"/>
      </tp>
      <tp t="s">
        <v>#N/A N/A</v>
        <stp/>
        <stp>BDP|18424718077625837374</stp>
        <tr r="P294" s="2"/>
      </tp>
      <tp t="s">
        <v>#N/A N/A</v>
        <stp/>
        <stp>BDP|15240078925081402897</stp>
        <tr r="D332" s="2"/>
      </tp>
      <tp t="s">
        <v>#N/A N/A</v>
        <stp/>
        <stp>BDP|11808954347733200159</stp>
        <tr r="A790" s="2"/>
      </tp>
      <tp t="s">
        <v>#N/A N/A</v>
        <stp/>
        <stp>BDP|14824962390202292811</stp>
        <tr r="R384" s="2"/>
      </tp>
      <tp t="s">
        <v>#N/A N/A</v>
        <stp/>
        <stp>BDP|18217207887834069882</stp>
        <tr r="A100" s="2"/>
      </tp>
      <tp t="s">
        <v>#N/A N/A</v>
        <stp/>
        <stp>BDP|12989892902070958466</stp>
        <tr r="F868" s="2"/>
      </tp>
      <tp t="s">
        <v>#N/A N/A</v>
        <stp/>
        <stp>BDP|17505438045219959077</stp>
        <tr r="O455" s="2"/>
      </tp>
      <tp t="s">
        <v>#N/A N/A</v>
        <stp/>
        <stp>BDP|16370448899972269718</stp>
        <tr r="S2222" s="2"/>
      </tp>
      <tp t="s">
        <v>#N/A N/A</v>
        <stp/>
        <stp>BDP|11279224002014684994</stp>
        <tr r="Q501" s="2"/>
      </tp>
      <tp t="s">
        <v>#N/A N/A</v>
        <stp/>
        <stp>BDP|11982652434462729823</stp>
        <tr r="K2082" s="2"/>
      </tp>
      <tp t="s">
        <v>#N/A N/A</v>
        <stp/>
        <stp>BDP|10159589074994030809</stp>
        <tr r="J1785" s="2"/>
      </tp>
      <tp t="s">
        <v>#N/A N/A</v>
        <stp/>
        <stp>BDP|11216928379726784739</stp>
        <tr r="D75" s="2"/>
      </tp>
      <tp t="s">
        <v>#N/A N/A</v>
        <stp/>
        <stp>BDP|17682466097557358390</stp>
        <tr r="K1857" s="2"/>
      </tp>
      <tp t="s">
        <v>#N/A N/A</v>
        <stp/>
        <stp>BDP|15314444983513092497</stp>
        <tr r="R1217" s="2"/>
      </tp>
      <tp t="s">
        <v>#N/A N/A</v>
        <stp/>
        <stp>BDP|13499340470049841053</stp>
        <tr r="S777" s="2"/>
      </tp>
      <tp t="s">
        <v>#N/A N/A</v>
        <stp/>
        <stp>BDP|10203448896502568185</stp>
        <tr r="N737" s="2"/>
      </tp>
      <tp t="s">
        <v>#N/A N/A</v>
        <stp/>
        <stp>BDP|13946988846136241684</stp>
        <tr r="O453" s="2"/>
      </tp>
      <tp t="s">
        <v>#N/A N/A</v>
        <stp/>
        <stp>BDP|18200442215556892563</stp>
        <tr r="F2183" s="2"/>
      </tp>
      <tp t="s">
        <v>#N/A N/A</v>
        <stp/>
        <stp>BDP|11240585593496718539</stp>
        <tr r="M2046" s="2"/>
      </tp>
      <tp t="s">
        <v>#N/A N/A</v>
        <stp/>
        <stp>BDP|14251461194132997541</stp>
        <tr r="Q166" s="2"/>
      </tp>
      <tp t="s">
        <v>#N/A N/A</v>
        <stp/>
        <stp>BDP|10558573039910568834</stp>
        <tr r="Q1946" s="2"/>
      </tp>
      <tp t="s">
        <v>#N/A N/A</v>
        <stp/>
        <stp>BDP|14372328000710400985</stp>
        <tr r="Q435" s="2"/>
      </tp>
      <tp t="s">
        <v>#N/A N/A</v>
        <stp/>
        <stp>BDP|10228082983043740538</stp>
        <tr r="A354" s="2"/>
      </tp>
      <tp t="s">
        <v>#N/A N/A</v>
        <stp/>
        <stp>BDS|10866273111074586951</stp>
        <tr r="I1633" s="2"/>
      </tp>
      <tp t="s">
        <v>#N/A N/A</v>
        <stp/>
        <stp>BDP|13818295088482542518</stp>
        <tr r="P325" s="2"/>
      </tp>
      <tp t="s">
        <v>#N/A N/A</v>
        <stp/>
        <stp>BDP|12592893429505989314</stp>
        <tr r="K1130" s="2"/>
      </tp>
      <tp t="s">
        <v>#N/A N/A</v>
        <stp/>
        <stp>BDP|12874811978642942157</stp>
        <tr r="E556" s="2"/>
      </tp>
      <tp t="s">
        <v>#N/A N/A</v>
        <stp/>
        <stp>BDP|14800727234109032736</stp>
        <tr r="H2199" s="2"/>
      </tp>
      <tp t="s">
        <v>#N/A N/A</v>
        <stp/>
        <stp>BDP|14177376489480105137</stp>
        <tr r="N1198" s="2"/>
      </tp>
      <tp t="s">
        <v>#N/A N/A</v>
        <stp/>
        <stp>BDP|10222940497349526791</stp>
        <tr r="P573" s="2"/>
      </tp>
      <tp t="s">
        <v>#N/A N/A</v>
        <stp/>
        <stp>BDP|10875396085343155685</stp>
        <tr r="G1323" s="2"/>
      </tp>
      <tp t="s">
        <v>#N/A N/A</v>
        <stp/>
        <stp>BDP|12151215463570775890</stp>
        <tr r="E1981" s="2"/>
      </tp>
      <tp t="s">
        <v>#N/A N/A</v>
        <stp/>
        <stp>BDP|15175467538308302411</stp>
        <tr r="G2031" s="2"/>
      </tp>
      <tp t="s">
        <v>#N/A N/A</v>
        <stp/>
        <stp>BDP|15618828809201695263</stp>
        <tr r="F671" s="2"/>
      </tp>
      <tp t="s">
        <v>#N/A N/A</v>
        <stp/>
        <stp>BDP|10716469319869707221</stp>
        <tr r="G297" s="2"/>
      </tp>
      <tp t="s">
        <v>#N/A N/A</v>
        <stp/>
        <stp>BDP|12804777202612284928</stp>
        <tr r="S53" s="2"/>
      </tp>
      <tp t="s">
        <v>#N/A N/A</v>
        <stp/>
        <stp>BDP|12969351330234171802</stp>
        <tr r="J452" s="2"/>
      </tp>
      <tp t="s">
        <v>#N/A N/A</v>
        <stp/>
        <stp>BDP|11530716876006929967</stp>
        <tr r="D1512" s="2"/>
      </tp>
      <tp t="s">
        <v>#N/A N/A</v>
        <stp/>
        <stp>BDP|16184823278994552330</stp>
        <tr r="E1781" s="2"/>
      </tp>
      <tp t="s">
        <v>#N/A N/A</v>
        <stp/>
        <stp>BDP|16855651467341730903</stp>
        <tr r="Q1755" s="2"/>
      </tp>
      <tp t="s">
        <v>#N/A N/A</v>
        <stp/>
        <stp>BDP|16566685501878846698</stp>
        <tr r="J2012" s="2"/>
      </tp>
      <tp t="s">
        <v>#N/A N/A</v>
        <stp/>
        <stp>BDS|13451495572637927982</stp>
        <tr r="I1823" s="2"/>
      </tp>
      <tp t="s">
        <v>#N/A N/A</v>
        <stp/>
        <stp>BDP|13360642788087252404</stp>
        <tr r="T1304" s="2"/>
      </tp>
      <tp t="s">
        <v>#N/A N/A</v>
        <stp/>
        <stp>BDP|10618404331710262981</stp>
        <tr r="C1586" s="2"/>
      </tp>
      <tp t="s">
        <v>#N/A N/A</v>
        <stp/>
        <stp>BDP|14735051812063573880</stp>
        <tr r="G659" s="2"/>
      </tp>
      <tp t="s">
        <v>#N/A N/A</v>
        <stp/>
        <stp>BDP|16764972269226000143</stp>
        <tr r="C2257" s="2"/>
      </tp>
      <tp t="s">
        <v>#N/A N/A</v>
        <stp/>
        <stp>BDS|13106914391348706582</stp>
        <tr r="I839" s="2"/>
      </tp>
      <tp t="s">
        <v>#N/A N/A</v>
        <stp/>
        <stp>BDP|16419983375114706237</stp>
        <tr r="M1344" s="2"/>
      </tp>
      <tp t="s">
        <v>#N/A N/A</v>
        <stp/>
        <stp>BDP|14428946439554030459</stp>
        <tr r="S2025" s="2"/>
      </tp>
      <tp t="s">
        <v>#N/A N/A</v>
        <stp/>
        <stp>BDP|17509851777550971628</stp>
        <tr r="A2152" s="2"/>
      </tp>
      <tp t="s">
        <v>#N/A N/A</v>
        <stp/>
        <stp>BDP|18107103395636892807</stp>
        <tr r="Q2052" s="2"/>
      </tp>
      <tp t="s">
        <v>#N/A N/A</v>
        <stp/>
        <stp>BDP|10477896156420765308</stp>
        <tr r="Q805" s="2"/>
      </tp>
      <tp t="s">
        <v>#N/A N/A</v>
        <stp/>
        <stp>BDP|16636038307111859965</stp>
        <tr r="M1129" s="2"/>
      </tp>
      <tp t="s">
        <v>#N/A N/A</v>
        <stp/>
        <stp>BDP|15973748345011438906</stp>
        <tr r="A1151" s="2"/>
      </tp>
      <tp t="s">
        <v>#N/A N/A</v>
        <stp/>
        <stp>BDP|14977699948011244960</stp>
        <tr r="Q1159" s="2"/>
      </tp>
      <tp t="s">
        <v>#N/A N/A</v>
        <stp/>
        <stp>BDP|18205898787254253225</stp>
        <tr r="H902" s="2"/>
      </tp>
      <tp t="s">
        <v>#N/A N/A</v>
        <stp/>
        <stp>BDP|11037768775946813979</stp>
        <tr r="N16" s="2"/>
      </tp>
      <tp t="s">
        <v>#N/A N/A</v>
        <stp/>
        <stp>BDP|18039098363842133279</stp>
        <tr r="P71" s="2"/>
      </tp>
      <tp t="s">
        <v>#N/A N/A</v>
        <stp/>
        <stp>BDP|11096523759486376940</stp>
        <tr r="Q965" s="2"/>
      </tp>
      <tp t="s">
        <v>#N/A N/A</v>
        <stp/>
        <stp>BDP|10676806019936170126</stp>
        <tr r="T1060" s="2"/>
      </tp>
      <tp t="s">
        <v>#N/A N/A</v>
        <stp/>
        <stp>BDP|15330296132278173259</stp>
        <tr r="Q1549" s="2"/>
      </tp>
      <tp t="s">
        <v>#N/A N/A</v>
        <stp/>
        <stp>BDP|16665875812471779089</stp>
        <tr r="F1415" s="2"/>
      </tp>
      <tp t="s">
        <v>#N/A N/A</v>
        <stp/>
        <stp>BDP|14534938688568056322</stp>
        <tr r="O1332" s="2"/>
      </tp>
      <tp t="s">
        <v>#N/A N/A</v>
        <stp/>
        <stp>BDP|12649709405518900360</stp>
        <tr r="M412" s="2"/>
      </tp>
      <tp t="s">
        <v>#N/A N/A</v>
        <stp/>
        <stp>BDP|13268992060170293254</stp>
        <tr r="R2088" s="2"/>
      </tp>
      <tp t="s">
        <v>#N/A N/A</v>
        <stp/>
        <stp>BDP|16617694792890520747</stp>
        <tr r="C1768" s="2"/>
      </tp>
      <tp t="s">
        <v>#N/A N/A</v>
        <stp/>
        <stp>BDS|12533815619866158333</stp>
        <tr r="I1495" s="2"/>
      </tp>
      <tp t="s">
        <v>#N/A N/A</v>
        <stp/>
        <stp>BDP|11710655143938905545</stp>
        <tr r="F740" s="2"/>
      </tp>
      <tp t="s">
        <v>#N/A N/A</v>
        <stp/>
        <stp>BDP|11453897668418919908</stp>
        <tr r="H1728" s="2"/>
      </tp>
      <tp t="s">
        <v>#N/A N/A</v>
        <stp/>
        <stp>BDP|16187880794759591049</stp>
        <tr r="H648" s="2"/>
      </tp>
      <tp t="s">
        <v>#N/A N/A</v>
        <stp/>
        <stp>BDP|15459889010627708575</stp>
        <tr r="M144" s="2"/>
      </tp>
      <tp t="s">
        <v>#N/A N/A</v>
        <stp/>
        <stp>BDP|15636714390006988321</stp>
        <tr r="F1559" s="2"/>
      </tp>
      <tp t="s">
        <v>#N/A N/A</v>
        <stp/>
        <stp>BDP|10120799141384742922</stp>
        <tr r="E780" s="2"/>
      </tp>
      <tp t="s">
        <v>#N/A N/A</v>
        <stp/>
        <stp>BDP|13002016673803991979</stp>
        <tr r="M1788" s="2"/>
      </tp>
      <tp t="s">
        <v>#N/A N/A</v>
        <stp/>
        <stp>BDP|13118256598126890082</stp>
        <tr r="D2179" s="2"/>
      </tp>
      <tp t="s">
        <v>#N/A N/A</v>
        <stp/>
        <stp>BDP|14704007328361109929</stp>
        <tr r="T585" s="2"/>
      </tp>
      <tp t="s">
        <v>#N/A N/A</v>
        <stp/>
        <stp>BDP|12008136410884653896</stp>
        <tr r="N777" s="2"/>
      </tp>
      <tp t="s">
        <v>#N/A N/A</v>
        <stp/>
        <stp>BDP|16714930230570886201</stp>
        <tr r="C910" s="2"/>
      </tp>
      <tp t="s">
        <v>#N/A N/A</v>
        <stp/>
        <stp>BDP|17295646304936795992</stp>
        <tr r="M662" s="2"/>
      </tp>
      <tp t="s">
        <v>#N/A N/A</v>
        <stp/>
        <stp>BDP|10863216322299774709</stp>
        <tr r="F269" s="2"/>
      </tp>
      <tp t="s">
        <v>#N/A N/A</v>
        <stp/>
        <stp>BDP|18098193589266833947</stp>
        <tr r="O1069" s="2"/>
      </tp>
      <tp t="s">
        <v>#N/A N/A</v>
        <stp/>
        <stp>BDP|15898355149648107496</stp>
        <tr r="D1608" s="2"/>
      </tp>
      <tp t="s">
        <v>#N/A N/A</v>
        <stp/>
        <stp>BDP|12142209386334357287</stp>
        <tr r="N1268" s="2"/>
      </tp>
      <tp t="s">
        <v>#N/A N/A</v>
        <stp/>
        <stp>BDP|14898972239089366991</stp>
        <tr r="C1737" s="2"/>
      </tp>
      <tp t="s">
        <v>#N/A N/A</v>
        <stp/>
        <stp>BDP|13491582940928727473</stp>
        <tr r="H1933" s="2"/>
      </tp>
      <tp t="s">
        <v>#N/A N/A</v>
        <stp/>
        <stp>BDP|16011747338158158411</stp>
        <tr r="C792" s="2"/>
      </tp>
      <tp t="s">
        <v>#N/A N/A</v>
        <stp/>
        <stp>BDP|12810758822711557868</stp>
        <tr r="M173" s="2"/>
      </tp>
      <tp t="s">
        <v>#N/A N/A</v>
        <stp/>
        <stp>BDP|13185639988924120779</stp>
        <tr r="P1759" s="2"/>
      </tp>
      <tp t="s">
        <v>#N/A N/A</v>
        <stp/>
        <stp>BDP|17740610781190304786</stp>
        <tr r="D49" s="2"/>
      </tp>
      <tp t="s">
        <v>#N/A N/A</v>
        <stp/>
        <stp>BDP|17384133787052813239</stp>
        <tr r="G1554" s="2"/>
      </tp>
      <tp t="s">
        <v>#N/A N/A</v>
        <stp/>
        <stp>BDP|12763152929797597829</stp>
        <tr r="O1283" s="2"/>
      </tp>
      <tp t="s">
        <v>#N/A N/A</v>
        <stp/>
        <stp>BDP|10851334915699517575</stp>
        <tr r="O1660" s="2"/>
      </tp>
      <tp t="s">
        <v>#N/A N/A</v>
        <stp/>
        <stp>BDP|12720175377079216395</stp>
        <tr r="H977" s="2"/>
      </tp>
      <tp t="s">
        <v>#N/A N/A</v>
        <stp/>
        <stp>BDP|12329573214429564191</stp>
        <tr r="A24" s="2"/>
      </tp>
      <tp t="s">
        <v>#N/A N/A</v>
        <stp/>
        <stp>BDP|14913034561398113465</stp>
        <tr r="O1985" s="2"/>
      </tp>
      <tp t="s">
        <v>#N/A N/A</v>
        <stp/>
        <stp>BDP|14412687494085756031</stp>
        <tr r="M849" s="2"/>
      </tp>
      <tp t="s">
        <v>#N/A N/A</v>
        <stp/>
        <stp>BDP|15401877844747377085</stp>
        <tr r="P700" s="2"/>
      </tp>
      <tp t="s">
        <v>#N/A N/A</v>
        <stp/>
        <stp>BDP|17426914209386749673</stp>
        <tr r="M708" s="2"/>
      </tp>
      <tp t="s">
        <v>#N/A N/A</v>
        <stp/>
        <stp>BDP|14102694736619554675</stp>
        <tr r="S1045" s="2"/>
      </tp>
      <tp t="s">
        <v>#N/A N/A</v>
        <stp/>
        <stp>BDP|18368189818843969560</stp>
        <tr r="C1598" s="2"/>
      </tp>
      <tp t="s">
        <v>#N/A N/A</v>
        <stp/>
        <stp>BDP|13407411948344509943</stp>
        <tr r="A1782" s="2"/>
      </tp>
      <tp t="s">
        <v>#N/A N/A</v>
        <stp/>
        <stp>BDP|16876787544263040886</stp>
        <tr r="O2032" s="2"/>
      </tp>
      <tp t="s">
        <v>#N/A N/A</v>
        <stp/>
        <stp>BDP|14607185890083723157</stp>
        <tr r="C2128" s="2"/>
      </tp>
      <tp t="s">
        <v>#N/A N/A</v>
        <stp/>
        <stp>BDP|14136485190450474715</stp>
        <tr r="F1100" s="2"/>
      </tp>
      <tp t="s">
        <v>#N/A N/A</v>
        <stp/>
        <stp>BDP|17841352355787548815</stp>
        <tr r="P848" s="2"/>
      </tp>
      <tp t="s">
        <v>#N/A N/A</v>
        <stp/>
        <stp>BDS|15813949355243026468</stp>
        <tr r="I2098" s="2"/>
      </tp>
      <tp t="s">
        <v>#N/A N/A</v>
        <stp/>
        <stp>BDP|11274837370698532882</stp>
        <tr r="A1062" s="2"/>
      </tp>
      <tp t="s">
        <v>#N/A N/A</v>
        <stp/>
        <stp>BDP|16626763101196512986</stp>
        <tr r="O2097" s="2"/>
      </tp>
      <tp t="s">
        <v>#N/A N/A</v>
        <stp/>
        <stp>BDP|10592617410008109199</stp>
        <tr r="K810" s="2"/>
      </tp>
      <tp t="s">
        <v>#N/A N/A</v>
        <stp/>
        <stp>BDP|18100989844498129308</stp>
        <tr r="Q732" s="2"/>
      </tp>
      <tp t="s">
        <v>#N/A N/A</v>
        <stp/>
        <stp>BDP|15260534931358457583</stp>
        <tr r="C803" s="2"/>
      </tp>
      <tp t="s">
        <v>#N/A N/A</v>
        <stp/>
        <stp>BDP|10114822476265937405</stp>
        <tr r="E2141" s="2"/>
      </tp>
      <tp t="s">
        <v>#N/A N/A</v>
        <stp/>
        <stp>BDP|11286472783645885623</stp>
        <tr r="C151" s="2"/>
      </tp>
      <tp t="s">
        <v>#N/A N/A</v>
        <stp/>
        <stp>BDP|11883242006955004864</stp>
        <tr r="S1796" s="2"/>
      </tp>
      <tp t="s">
        <v>#N/A N/A</v>
        <stp/>
        <stp>BDP|10022687196972439369</stp>
        <tr r="G1470" s="2"/>
      </tp>
      <tp t="s">
        <v>#N/A N/A</v>
        <stp/>
        <stp>BDP|13890830712971719527</stp>
        <tr r="S501" s="2"/>
      </tp>
      <tp t="s">
        <v>#N/A N/A</v>
        <stp/>
        <stp>BDP|17450926049724249016</stp>
        <tr r="T1768" s="2"/>
      </tp>
      <tp t="s">
        <v>#N/A N/A</v>
        <stp/>
        <stp>BDP|15037243230588928211</stp>
        <tr r="J1282" s="2"/>
      </tp>
      <tp t="s">
        <v>#N/A N/A</v>
        <stp/>
        <stp>BDP|11122497882756158571</stp>
        <tr r="S1915" s="2"/>
      </tp>
      <tp t="s">
        <v>#N/A N/A</v>
        <stp/>
        <stp>BDP|12731166588117702222</stp>
        <tr r="M1196" s="2"/>
      </tp>
      <tp t="s">
        <v>#N/A N/A</v>
        <stp/>
        <stp>BDP|17952455736177471920</stp>
        <tr r="D252" s="2"/>
      </tp>
      <tp t="s">
        <v>#N/A N/A</v>
        <stp/>
        <stp>BDP|10604780053255773963</stp>
        <tr r="E802" s="2"/>
      </tp>
      <tp t="s">
        <v>#N/A N/A</v>
        <stp/>
        <stp>BDP|15446594584374069250</stp>
        <tr r="E1195" s="2"/>
      </tp>
      <tp t="s">
        <v>#N/A N/A</v>
        <stp/>
        <stp>BDP|10815041943483330902</stp>
        <tr r="N2178" s="2"/>
      </tp>
      <tp t="s">
        <v>#N/A N/A</v>
        <stp/>
        <stp>BDP|15935752989031078593</stp>
        <tr r="A1135" s="2"/>
      </tp>
      <tp t="s">
        <v>#N/A N/A</v>
        <stp/>
        <stp>BDP|15925155053019274615</stp>
        <tr r="C2191" s="2"/>
      </tp>
      <tp t="s">
        <v>#N/A N/A</v>
        <stp/>
        <stp>BDP|10834926675116350604</stp>
        <tr r="C1787" s="2"/>
      </tp>
      <tp t="s">
        <v>#N/A N/A</v>
        <stp/>
        <stp>BDP|16162415936449900633</stp>
        <tr r="G13" s="2"/>
      </tp>
      <tp t="s">
        <v>#N/A N/A</v>
        <stp/>
        <stp>BDP|17721606638938310408</stp>
        <tr r="N684" s="2"/>
      </tp>
      <tp t="s">
        <v>#N/A N/A</v>
        <stp/>
        <stp>BDP|16949170384352128371</stp>
        <tr r="O263" s="2"/>
      </tp>
      <tp t="s">
        <v>#N/A N/A</v>
        <stp/>
        <stp>BDP|16939956722182536173</stp>
        <tr r="J845" s="2"/>
      </tp>
      <tp t="s">
        <v>#N/A N/A</v>
        <stp/>
        <stp>BDP|12541832848782652240</stp>
        <tr r="T958" s="2"/>
      </tp>
      <tp t="s">
        <v>#N/A N/A</v>
        <stp/>
        <stp>BDP|12993037412618309543</stp>
        <tr r="T1284" s="2"/>
      </tp>
      <tp t="s">
        <v>#N/A N/A</v>
        <stp/>
        <stp>BDP|10142660619290756968</stp>
        <tr r="E1486" s="2"/>
      </tp>
      <tp t="s">
        <v>#N/A N/A</v>
        <stp/>
        <stp>BDS|13429568692736977751</stp>
        <tr r="I532" s="2"/>
      </tp>
      <tp t="s">
        <v>#N/A N/A</v>
        <stp/>
        <stp>BDP|17419766213458819769</stp>
        <tr r="Q1977" s="2"/>
      </tp>
      <tp t="s">
        <v>#N/A N/A</v>
        <stp/>
        <stp>BDP|13360854011717870309</stp>
        <tr r="D1213" s="2"/>
      </tp>
      <tp t="s">
        <v>#N/A N/A</v>
        <stp/>
        <stp>BDP|18175088782638763634</stp>
        <tr r="Q1034" s="2"/>
      </tp>
      <tp t="s">
        <v>#N/A N/A</v>
        <stp/>
        <stp>BDP|16131478858511535847</stp>
        <tr r="T835" s="2"/>
      </tp>
      <tp t="s">
        <v>#N/A N/A</v>
        <stp/>
        <stp>BDP|12611792640099090600</stp>
        <tr r="K1983" s="2"/>
      </tp>
      <tp t="s">
        <v>#N/A N/A</v>
        <stp/>
        <stp>BDP|15563403284192783596</stp>
        <tr r="Q1476" s="2"/>
      </tp>
      <tp t="s">
        <v>#N/A N/A</v>
        <stp/>
        <stp>BDP|10553196212878863697</stp>
        <tr r="O1387" s="2"/>
      </tp>
      <tp t="s">
        <v>#N/A N/A</v>
        <stp/>
        <stp>BDP|12238784960449481411</stp>
        <tr r="A1530" s="2"/>
      </tp>
      <tp t="s">
        <v>#N/A N/A</v>
        <stp/>
        <stp>BDP|17666060995707912739</stp>
        <tr r="J580" s="2"/>
      </tp>
      <tp t="s">
        <v>#N/A N/A</v>
        <stp/>
        <stp>BDP|15833553633314638979</stp>
        <tr r="R1340" s="2"/>
      </tp>
      <tp t="s">
        <v>#N/A N/A</v>
        <stp/>
        <stp>BDP|17956919042561423512</stp>
        <tr r="A1980" s="2"/>
      </tp>
      <tp t="s">
        <v>#N/A N/A</v>
        <stp/>
        <stp>BDP|12820808710113729601</stp>
        <tr r="P2040" s="2"/>
      </tp>
      <tp t="s">
        <v>#N/A N/A</v>
        <stp/>
        <stp>BDP|16870856370585392215</stp>
        <tr r="H54" s="2"/>
      </tp>
      <tp t="s">
        <v>#N/A N/A</v>
        <stp/>
        <stp>BDP|15421938578064321130</stp>
        <tr r="N271" s="2"/>
      </tp>
      <tp t="s">
        <v>#N/A N/A</v>
        <stp/>
        <stp>BDP|13269796533859414036</stp>
        <tr r="J1632" s="2"/>
      </tp>
      <tp t="s">
        <v>#N/A N/A</v>
        <stp/>
        <stp>BDP|18035691877731834699</stp>
        <tr r="T1417" s="2"/>
      </tp>
      <tp t="s">
        <v>#N/A N/A</v>
        <stp/>
        <stp>BDP|17851026533813109975</stp>
        <tr r="J822" s="2"/>
      </tp>
      <tp t="s">
        <v>#N/A N/A</v>
        <stp/>
        <stp>BDP|18011770758877039304</stp>
        <tr r="H1877" s="2"/>
      </tp>
      <tp t="s">
        <v>#N/A N/A</v>
        <stp/>
        <stp>BDP|15150220373507694997</stp>
        <tr r="G572" s="2"/>
      </tp>
      <tp t="s">
        <v>#N/A N/A</v>
        <stp/>
        <stp>BDP|13419478253025707984</stp>
        <tr r="C1776" s="2"/>
      </tp>
      <tp t="s">
        <v>#N/A N/A</v>
        <stp/>
        <stp>BDP|17517513936096581987</stp>
        <tr r="Q1902" s="2"/>
      </tp>
      <tp t="s">
        <v>#N/A N/A</v>
        <stp/>
        <stp>BDS|18418792310411696172</stp>
        <tr r="I382" s="2"/>
      </tp>
      <tp t="s">
        <v>#N/A N/A</v>
        <stp/>
        <stp>BDP|11234497295260298233</stp>
        <tr r="K1732" s="2"/>
      </tp>
      <tp t="s">
        <v>#N/A N/A</v>
        <stp/>
        <stp>BDP|10514488303848346229</stp>
        <tr r="J2166" s="2"/>
      </tp>
      <tp t="s">
        <v>#N/A N/A</v>
        <stp/>
        <stp>BDP|10464192696820077647</stp>
        <tr r="E300" s="2"/>
      </tp>
      <tp t="s">
        <v>#N/A N/A</v>
        <stp/>
        <stp>BDP|15501706664492789896</stp>
        <tr r="P782" s="2"/>
      </tp>
      <tp t="s">
        <v>#N/A N/A</v>
        <stp/>
        <stp>BDP|14670623999885541074</stp>
        <tr r="D449" s="2"/>
      </tp>
      <tp t="s">
        <v>#N/A N/A</v>
        <stp/>
        <stp>BDP|15179867429318838993</stp>
        <tr r="D808" s="2"/>
      </tp>
      <tp t="s">
        <v>#N/A N/A</v>
        <stp/>
        <stp>BDP|16136990754156663256</stp>
        <tr r="M208" s="2"/>
      </tp>
      <tp t="s">
        <v>#N/A N/A</v>
        <stp/>
        <stp>BDP|14217233984171388199</stp>
        <tr r="C285" s="2"/>
      </tp>
      <tp t="s">
        <v>#N/A N/A</v>
        <stp/>
        <stp>BDP|13504200648142226901</stp>
        <tr r="E1617" s="2"/>
      </tp>
      <tp t="s">
        <v>#N/A N/A</v>
        <stp/>
        <stp>BDP|15590869339415741522</stp>
        <tr r="O1076" s="2"/>
      </tp>
      <tp t="s">
        <v>#N/A N/A</v>
        <stp/>
        <stp>BDP|16533903420516350591</stp>
        <tr r="F1029" s="2"/>
      </tp>
      <tp t="s">
        <v>#N/A N/A</v>
        <stp/>
        <stp>BDP|18345695175107117010</stp>
        <tr r="R369" s="2"/>
      </tp>
      <tp t="s">
        <v>#N/A N/A</v>
        <stp/>
        <stp>BDP|11851633486189150832</stp>
        <tr r="C1651" s="2"/>
      </tp>
      <tp t="s">
        <v>#N/A N/A</v>
        <stp/>
        <stp>BDP|12213345274480944844</stp>
        <tr r="F363" s="2"/>
      </tp>
      <tp t="s">
        <v>#N/A N/A</v>
        <stp/>
        <stp>BDP|11965902778605629480</stp>
        <tr r="K1752" s="2"/>
      </tp>
      <tp t="s">
        <v>#N/A N/A</v>
        <stp/>
        <stp>BDS|12886488104370115892</stp>
        <tr r="I2027" s="2"/>
      </tp>
      <tp t="s">
        <v>#N/A N/A</v>
        <stp/>
        <stp>BDP|15301298195456986694</stp>
        <tr r="C1682" s="2"/>
      </tp>
      <tp t="s">
        <v>#N/A N/A</v>
        <stp/>
        <stp>BDP|14360905203462806177</stp>
        <tr r="F406" s="2"/>
      </tp>
      <tp t="s">
        <v>#N/A N/A</v>
        <stp/>
        <stp>BDP|14197208679488775705</stp>
        <tr r="C1709" s="2"/>
      </tp>
      <tp t="s">
        <v>#N/A N/A</v>
        <stp/>
        <stp>BDP|15641448431434569899</stp>
        <tr r="S1350" s="2"/>
      </tp>
      <tp t="s">
        <v>#N/A N/A</v>
        <stp/>
        <stp>BDP|12686795891602150009</stp>
        <tr r="G1173" s="2"/>
      </tp>
      <tp t="s">
        <v>#N/A N/A</v>
        <stp/>
        <stp>BDP|14949990387543936815</stp>
        <tr r="H1058" s="2"/>
      </tp>
      <tp t="s">
        <v>#N/A N/A</v>
        <stp/>
        <stp>BDP|16775997512011319106</stp>
        <tr r="P1709" s="2"/>
      </tp>
      <tp t="s">
        <v>#N/A N/A</v>
        <stp/>
        <stp>BDP|17509284903323278837</stp>
        <tr r="S301" s="2"/>
      </tp>
      <tp t="s">
        <v>#N/A N/A</v>
        <stp/>
        <stp>BDS|13743483760267448876</stp>
        <tr r="I2214" s="2"/>
      </tp>
      <tp t="s">
        <v>#N/A N/A</v>
        <stp/>
        <stp>BDP|14604072046729018782</stp>
        <tr r="H160" s="2"/>
      </tp>
      <tp t="s">
        <v>#N/A N/A</v>
        <stp/>
        <stp>BDP|15176034887074351790</stp>
        <tr r="H1202" s="2"/>
      </tp>
      <tp t="s">
        <v>#N/A N/A</v>
        <stp/>
        <stp>BDS|10649923424597413285</stp>
        <tr r="I2132" s="2"/>
      </tp>
      <tp t="s">
        <v>#N/A N/A</v>
        <stp/>
        <stp>BDP|14899426232954171964</stp>
        <tr r="M1611" s="2"/>
      </tp>
      <tp t="s">
        <v>#N/A N/A</v>
        <stp/>
        <stp>BDP|16878200123930593812</stp>
        <tr r="P488" s="2"/>
      </tp>
      <tp t="s">
        <v>#N/A N/A</v>
        <stp/>
        <stp>BDP|10822876129141892519</stp>
        <tr r="P1292" s="2"/>
      </tp>
      <tp t="s">
        <v>#N/A N/A</v>
        <stp/>
        <stp>BDP|12575026370092948910</stp>
        <tr r="R376" s="2"/>
      </tp>
      <tp t="s">
        <v>#N/A N/A</v>
        <stp/>
        <stp>BDP|17157600530359666585</stp>
        <tr r="S1251" s="2"/>
      </tp>
      <tp t="s">
        <v>#N/A N/A</v>
        <stp/>
        <stp>BDP|13657247787155915237</stp>
        <tr r="E1366" s="2"/>
      </tp>
      <tp t="s">
        <v>#N/A N/A</v>
        <stp/>
        <stp>BDP|12768883474295526610</stp>
        <tr r="O202" s="2"/>
      </tp>
      <tp t="s">
        <v>#N/A N/A</v>
        <stp/>
        <stp>BDP|15146728887800397489</stp>
        <tr r="G1398" s="2"/>
      </tp>
      <tp t="s">
        <v>#N/A N/A</v>
        <stp/>
        <stp>BDP|15432537392244954328</stp>
        <tr r="E253" s="2"/>
      </tp>
      <tp t="s">
        <v>#N/A N/A</v>
        <stp/>
        <stp>BDP|16203546843399281096</stp>
        <tr r="R1210" s="2"/>
      </tp>
      <tp t="s">
        <v>#N/A N/A</v>
        <stp/>
        <stp>BDP|16626376094053271198</stp>
        <tr r="O1012" s="2"/>
      </tp>
      <tp t="s">
        <v>#N/A N/A</v>
        <stp/>
        <stp>BDP|14745608291496022383</stp>
        <tr r="D1360" s="2"/>
      </tp>
      <tp t="s">
        <v>#N/A N/A</v>
        <stp/>
        <stp>BDP|11723700375848911752</stp>
        <tr r="G1011" s="2"/>
      </tp>
      <tp t="s">
        <v>#N/A N/A</v>
        <stp/>
        <stp>BDP|10485930579268734870</stp>
        <tr r="K326" s="2"/>
      </tp>
      <tp t="s">
        <v>#N/A N/A</v>
        <stp/>
        <stp>BDP|10191989031881216541</stp>
        <tr r="J763" s="2"/>
      </tp>
      <tp t="s">
        <v>#N/A N/A</v>
        <stp/>
        <stp>BDP|10126166986626638199</stp>
        <tr r="R2230" s="2"/>
      </tp>
      <tp t="s">
        <v>#N/A N/A</v>
        <stp/>
        <stp>BDP|18075489172362736736</stp>
        <tr r="N2" s="2"/>
      </tp>
      <tp t="s">
        <v>#N/A N/A</v>
        <stp/>
        <stp>BDP|17599785580020718645</stp>
        <tr r="A1614" s="2"/>
      </tp>
      <tp t="s">
        <v>#N/A N/A</v>
        <stp/>
        <stp>BDP|13196150639999019639</stp>
        <tr r="T245" s="2"/>
      </tp>
      <tp t="s">
        <v>#N/A N/A</v>
        <stp/>
        <stp>BDP|14298048477368939569</stp>
        <tr r="N888" s="2"/>
      </tp>
      <tp t="s">
        <v>#N/A N/A</v>
        <stp/>
        <stp>BDP|10730477378218615508</stp>
        <tr r="P517" s="2"/>
      </tp>
      <tp t="s">
        <v>#N/A N/A</v>
        <stp/>
        <stp>BDP|18283060981527945927</stp>
        <tr r="Q1530" s="2"/>
      </tp>
      <tp t="s">
        <v>#N/A N/A</v>
        <stp/>
        <stp>BDP|11752128090010927721</stp>
        <tr r="C301" s="2"/>
      </tp>
      <tp t="s">
        <v>#N/A N/A</v>
        <stp/>
        <stp>BDP|15458488393445055311</stp>
        <tr r="H634" s="2"/>
      </tp>
      <tp t="s">
        <v>#N/A N/A</v>
        <stp/>
        <stp>BDP|12373010187936945227</stp>
        <tr r="A1822" s="2"/>
      </tp>
      <tp t="s">
        <v>#N/A N/A</v>
        <stp/>
        <stp>BDP|13001289267938446159</stp>
        <tr r="S1854" s="2"/>
      </tp>
      <tp t="s">
        <v>#N/A N/A</v>
        <stp/>
        <stp>BDS|15390668578579612368</stp>
        <tr r="I2106" s="2"/>
      </tp>
      <tp t="s">
        <v>#N/A N/A</v>
        <stp/>
        <stp>BDP|10036257682915973107</stp>
        <tr r="Q1584" s="2"/>
      </tp>
      <tp t="s">
        <v>#N/A N/A</v>
        <stp/>
        <stp>BDP|11298691228409927242</stp>
        <tr r="E1231" s="2"/>
      </tp>
      <tp t="s">
        <v>#N/A N/A</v>
        <stp/>
        <stp>BDP|11874408691222586029</stp>
        <tr r="P687" s="2"/>
      </tp>
      <tp t="s">
        <v>#N/A N/A</v>
        <stp/>
        <stp>BDP|14843143512258305239</stp>
        <tr r="M1521" s="2"/>
      </tp>
      <tp t="s">
        <v>#N/A N/A</v>
        <stp/>
        <stp>BDP|17545605437429495580</stp>
        <tr r="R1981" s="2"/>
      </tp>
      <tp t="s">
        <v>#N/A N/A</v>
        <stp/>
        <stp>BDP|17548199733468618374</stp>
        <tr r="G97" s="2"/>
      </tp>
      <tp t="s">
        <v>#N/A N/A</v>
        <stp/>
        <stp>BDP|18290596464376093319</stp>
        <tr r="H989" s="2"/>
      </tp>
      <tp t="s">
        <v>#N/A N/A</v>
        <stp/>
        <stp>BDP|12175404740274819873</stp>
        <tr r="J380" s="2"/>
      </tp>
      <tp t="s">
        <v>#N/A N/A</v>
        <stp/>
        <stp>BDP|17348998420452087043</stp>
        <tr r="R959" s="2"/>
      </tp>
      <tp t="s">
        <v>#N/A N/A</v>
        <stp/>
        <stp>BDS|13068390428404905851</stp>
        <tr r="I1374" s="2"/>
      </tp>
      <tp t="s">
        <v>#N/A N/A</v>
        <stp/>
        <stp>BDP|11474586018252949934</stp>
        <tr r="J275" s="2"/>
      </tp>
      <tp t="s">
        <v>#N/A N/A</v>
        <stp/>
        <stp>BDP|12599554557018996407</stp>
        <tr r="R1404" s="2"/>
      </tp>
      <tp t="s">
        <v>#N/A N/A</v>
        <stp/>
        <stp>BDP|10542415065175934960</stp>
        <tr r="R400" s="2"/>
      </tp>
      <tp t="s">
        <v>#N/A N/A</v>
        <stp/>
        <stp>BDP|11988490293911469394</stp>
        <tr r="F291" s="2"/>
      </tp>
      <tp t="s">
        <v>#N/A N/A</v>
        <stp/>
        <stp>BDP|12750781890625857795</stp>
        <tr r="C2252" s="2"/>
      </tp>
      <tp t="s">
        <v>#N/A N/A</v>
        <stp/>
        <stp>BDP|10983653490089690840</stp>
        <tr r="S1643" s="2"/>
      </tp>
      <tp t="s">
        <v>#N/A N/A</v>
        <stp/>
        <stp>BDP|17756863117988092887</stp>
        <tr r="Q945" s="2"/>
      </tp>
      <tp t="s">
        <v>#N/A N/A</v>
        <stp/>
        <stp>BDP|16767806682160258895</stp>
        <tr r="D705" s="2"/>
      </tp>
      <tp t="s">
        <v>#N/A N/A</v>
        <stp/>
        <stp>BDP|17408751669430065862</stp>
        <tr r="H507" s="2"/>
      </tp>
      <tp t="s">
        <v>#N/A N/A</v>
        <stp/>
        <stp>BDP|18173389643932751333</stp>
        <tr r="F1442" s="2"/>
      </tp>
      <tp t="s">
        <v>#N/A N/A</v>
        <stp/>
        <stp>BDP|12999202050828747307</stp>
        <tr r="D2209" s="2"/>
      </tp>
      <tp t="s">
        <v>#N/A N/A</v>
        <stp/>
        <stp>BDP|11818671051564432841</stp>
        <tr r="F2115" s="2"/>
      </tp>
      <tp t="s">
        <v>#N/A N/A</v>
        <stp/>
        <stp>BDP|17257910520287444594</stp>
        <tr r="M1064" s="2"/>
      </tp>
      <tp t="s">
        <v>#N/A N/A</v>
        <stp/>
        <stp>BDP|10998669456609428433</stp>
        <tr r="N459" s="2"/>
      </tp>
      <tp t="s">
        <v>#N/A N/A</v>
        <stp/>
        <stp>BDS|11912222225339011636</stp>
        <tr r="I54" s="2"/>
      </tp>
      <tp t="s">
        <v>#N/A N/A</v>
        <stp/>
        <stp>BDP|14560171289655670630</stp>
        <tr r="C1999" s="2"/>
      </tp>
      <tp t="s">
        <v>#N/A N/A</v>
        <stp/>
        <stp>BDP|15539346925132265884</stp>
        <tr r="A708" s="2"/>
      </tp>
      <tp t="s">
        <v>#N/A N/A</v>
        <stp/>
        <stp>BDP|14075585478401991979</stp>
        <tr r="H1325" s="2"/>
      </tp>
      <tp t="s">
        <v>#N/A N/A</v>
        <stp/>
        <stp>BDP|15012661138769275726</stp>
        <tr r="J2009" s="2"/>
      </tp>
      <tp t="s">
        <v>#N/A N/A</v>
        <stp/>
        <stp>BDP|15448465928244746931</stp>
        <tr r="M1399" s="2"/>
      </tp>
      <tp t="s">
        <v>#N/A N/A</v>
        <stp/>
        <stp>BDP|17185225448907262874</stp>
        <tr r="O4" s="2"/>
      </tp>
      <tp t="s">
        <v>#N/A N/A</v>
        <stp/>
        <stp>BDP|11620891632607779347</stp>
        <tr r="P653" s="2"/>
      </tp>
      <tp t="s">
        <v>#N/A N/A</v>
        <stp/>
        <stp>BDP|12907480684821948129</stp>
        <tr r="H532" s="2"/>
      </tp>
      <tp t="s">
        <v>#N/A N/A</v>
        <stp/>
        <stp>BDP|13953276992020143632</stp>
        <tr r="S1867" s="2"/>
      </tp>
      <tp t="s">
        <v>#N/A N/A</v>
        <stp/>
        <stp>BDP|14879510777639506154</stp>
        <tr r="Q2246" s="2"/>
      </tp>
      <tp t="s">
        <v>#N/A N/A</v>
        <stp/>
        <stp>BDP|10219562437701859954</stp>
        <tr r="E900" s="2"/>
      </tp>
      <tp t="s">
        <v>#N/A N/A</v>
        <stp/>
        <stp>BDP|16568057492978487984</stp>
        <tr r="H1508" s="2"/>
      </tp>
      <tp t="s">
        <v>#N/A N/A</v>
        <stp/>
        <stp>BDP|17848845801360708146</stp>
        <tr r="S55" s="2"/>
      </tp>
      <tp t="s">
        <v>#N/A N/A</v>
        <stp/>
        <stp>BDP|17370697664588636162</stp>
        <tr r="S1543" s="2"/>
      </tp>
      <tp t="s">
        <v>#N/A N/A</v>
        <stp/>
        <stp>BDP|17536736927184930863</stp>
        <tr r="K1118" s="2"/>
      </tp>
      <tp t="s">
        <v>#N/A N/A</v>
        <stp/>
        <stp>BDP|14104183796503341126</stp>
        <tr r="T300" s="2"/>
      </tp>
      <tp t="s">
        <v>#N/A N/A</v>
        <stp/>
        <stp>BDP|13021909766492322046</stp>
        <tr r="K1680" s="2"/>
      </tp>
      <tp t="s">
        <v>#N/A N/A</v>
        <stp/>
        <stp>BDP|16431574100929605445</stp>
        <tr r="N1141" s="2"/>
      </tp>
      <tp t="s">
        <v>#N/A N/A</v>
        <stp/>
        <stp>BDP|13975838539524351214</stp>
        <tr r="F532" s="2"/>
      </tp>
      <tp t="s">
        <v>#N/A N/A</v>
        <stp/>
        <stp>BDP|11230838960337407642</stp>
        <tr r="Q1444" s="2"/>
      </tp>
      <tp t="s">
        <v>#N/A N/A</v>
        <stp/>
        <stp>BDP|17293805821344112734</stp>
        <tr r="S1523" s="2"/>
      </tp>
      <tp t="s">
        <v>#N/A N/A</v>
        <stp/>
        <stp>BDP|17065866341435469028</stp>
        <tr r="S1744" s="2"/>
      </tp>
      <tp t="s">
        <v>#N/A N/A</v>
        <stp/>
        <stp>BDP|17256767867029213109</stp>
        <tr r="T2164" s="2"/>
      </tp>
      <tp t="s">
        <v>#N/A N/A</v>
        <stp/>
        <stp>BDP|12888144313265748990</stp>
        <tr r="P1541" s="2"/>
      </tp>
      <tp t="s">
        <v>#N/A N/A</v>
        <stp/>
        <stp>BDP|16597726891005079372</stp>
        <tr r="D1050" s="2"/>
      </tp>
      <tp t="s">
        <v>#N/A N/A</v>
        <stp/>
        <stp>BDP|16748801545897064331</stp>
        <tr r="D1151" s="2"/>
      </tp>
      <tp t="s">
        <v>#N/A N/A</v>
        <stp/>
        <stp>BDP|10023423142489578748</stp>
        <tr r="S572" s="2"/>
      </tp>
      <tp t="s">
        <v>#N/A N/A</v>
        <stp/>
        <stp>BDP|14299842041530638607</stp>
        <tr r="D2021" s="2"/>
      </tp>
      <tp t="s">
        <v>#N/A N/A</v>
        <stp/>
        <stp>BDP|12801848663493932176</stp>
        <tr r="E1893" s="2"/>
      </tp>
      <tp t="s">
        <v>#N/A N/A</v>
        <stp/>
        <stp>BDP|16502724648283678888</stp>
        <tr r="R1208" s="2"/>
      </tp>
      <tp t="s">
        <v>#N/A N/A</v>
        <stp/>
        <stp>BDP|12682884348324075471</stp>
        <tr r="E1482" s="2"/>
      </tp>
      <tp t="s">
        <v>#N/A N/A</v>
        <stp/>
        <stp>BDP|12978018993265966032</stp>
        <tr r="O1153" s="2"/>
      </tp>
      <tp t="s">
        <v>#N/A N/A</v>
        <stp/>
        <stp>BDP|13053842029673815449</stp>
        <tr r="T1092" s="2"/>
      </tp>
      <tp t="s">
        <v>#N/A N/A</v>
        <stp/>
        <stp>BDP|13887409745655889847</stp>
        <tr r="O1386" s="2"/>
      </tp>
      <tp t="s">
        <v>#N/A N/A</v>
        <stp/>
        <stp>BDP|14538779740950584963</stp>
        <tr r="H1086" s="2"/>
      </tp>
      <tp t="s">
        <v>#N/A N/A</v>
        <stp/>
        <stp>BDP|13101596092644982520</stp>
        <tr r="H274" s="2"/>
      </tp>
      <tp t="s">
        <v>#N/A N/A</v>
        <stp/>
        <stp>BDP|10106610258735165889</stp>
        <tr r="K501" s="2"/>
      </tp>
      <tp t="s">
        <v>#N/A N/A</v>
        <stp/>
        <stp>BDP|12721006489291884571</stp>
        <tr r="C1460" s="2"/>
      </tp>
      <tp t="s">
        <v>#N/A N/A</v>
        <stp/>
        <stp>BDP|11697594792353851044</stp>
        <tr r="G343" s="2"/>
      </tp>
      <tp t="s">
        <v>#N/A N/A</v>
        <stp/>
        <stp>BDP|10088808977935123474</stp>
        <tr r="K1243" s="2"/>
      </tp>
      <tp t="s">
        <v>#N/A N/A</v>
        <stp/>
        <stp>BDP|17579806350115272169</stp>
        <tr r="N2109" s="2"/>
      </tp>
      <tp t="s">
        <v>#N/A N/A</v>
        <stp/>
        <stp>BDP|15259875447512684553</stp>
        <tr r="F1706" s="2"/>
      </tp>
      <tp t="s">
        <v>#N/A N/A</v>
        <stp/>
        <stp>BDP|11290516033629776060</stp>
        <tr r="D880" s="2"/>
      </tp>
      <tp t="s">
        <v>#N/A N/A</v>
        <stp/>
        <stp>BDS|10569988868207122660</stp>
        <tr r="I1678" s="2"/>
      </tp>
      <tp t="s">
        <v>#N/A N/A</v>
        <stp/>
        <stp>BDP|15558179323441855981</stp>
        <tr r="H38" s="2"/>
      </tp>
      <tp t="s">
        <v>#N/A N/A</v>
        <stp/>
        <stp>BDP|11815987446040283252</stp>
        <tr r="D37" s="2"/>
      </tp>
      <tp t="s">
        <v>#N/A N/A</v>
        <stp/>
        <stp>BDP|13613249145572177976</stp>
        <tr r="S819" s="2"/>
      </tp>
      <tp t="s">
        <v>#N/A N/A</v>
        <stp/>
        <stp>BDS|12750908026965700247</stp>
        <tr r="I1759" s="2"/>
      </tp>
      <tp t="s">
        <v>#N/A N/A</v>
        <stp/>
        <stp>BDP|14954891429363934317</stp>
        <tr r="G1998" s="2"/>
      </tp>
      <tp t="s">
        <v>#N/A N/A</v>
        <stp/>
        <stp>BDP|12264863967107320514</stp>
        <tr r="E374" s="2"/>
      </tp>
      <tp t="s">
        <v>#N/A N/A</v>
        <stp/>
        <stp>BDP|14169800170723366635</stp>
        <tr r="Q275" s="2"/>
      </tp>
      <tp t="s">
        <v>#N/A N/A</v>
        <stp/>
        <stp>BDP|14446923761204174170</stp>
        <tr r="T1946" s="2"/>
      </tp>
      <tp t="s">
        <v>#N/A N/A</v>
        <stp/>
        <stp>BDP|17933577263668803240</stp>
        <tr r="G1022" s="2"/>
      </tp>
      <tp t="s">
        <v>#N/A N/A</v>
        <stp/>
        <stp>BDP|13445599893791985060</stp>
        <tr r="R2173" s="2"/>
      </tp>
      <tp t="s">
        <v>#N/A N/A</v>
        <stp/>
        <stp>BDP|10449886857230322390</stp>
        <tr r="S1700" s="2"/>
      </tp>
      <tp t="s">
        <v>#N/A N/A</v>
        <stp/>
        <stp>BDP|12313809143971645177</stp>
        <tr r="N948" s="2"/>
      </tp>
      <tp t="s">
        <v>#N/A N/A</v>
        <stp/>
        <stp>BDP|14074242272739296659</stp>
        <tr r="E345" s="2"/>
      </tp>
      <tp t="s">
        <v>#N/A N/A</v>
        <stp/>
        <stp>BDP|13930913448603506344</stp>
        <tr r="Q59" s="2"/>
      </tp>
      <tp t="s">
        <v>#N/A N/A</v>
        <stp/>
        <stp>BDP|14569711889056556390</stp>
        <tr r="D442" s="2"/>
      </tp>
      <tp t="s">
        <v>#N/A N/A</v>
        <stp/>
        <stp>BDP|17386053717950486848</stp>
        <tr r="J1773" s="2"/>
      </tp>
      <tp t="s">
        <v>#N/A N/A</v>
        <stp/>
        <stp>BDP|10898845828550119449</stp>
        <tr r="F1031" s="2"/>
      </tp>
      <tp t="s">
        <v>#N/A N/A</v>
        <stp/>
        <stp>BDP|13591796157188287787</stp>
        <tr r="M1110" s="2"/>
      </tp>
      <tp t="s">
        <v>#N/A N/A</v>
        <stp/>
        <stp>BDS|14478272592877280614</stp>
        <tr r="I717" s="2"/>
      </tp>
      <tp t="s">
        <v>#N/A N/A</v>
        <stp/>
        <stp>BDP|15501702484273053704</stp>
        <tr r="S2238" s="2"/>
      </tp>
      <tp t="s">
        <v>#N/A N/A</v>
        <stp/>
        <stp>BDP|11666626573119311751</stp>
        <tr r="E1177" s="2"/>
      </tp>
      <tp t="s">
        <v>#N/A N/A</v>
        <stp/>
        <stp>BDP|17552676805448520735</stp>
        <tr r="E944" s="2"/>
      </tp>
      <tp t="s">
        <v>#N/A N/A</v>
        <stp/>
        <stp>BDP|11871340959369037047</stp>
        <tr r="O1573" s="2"/>
      </tp>
      <tp t="s">
        <v>#N/A N/A</v>
        <stp/>
        <stp>BDP|10258907628711864434</stp>
        <tr r="G1559" s="2"/>
      </tp>
      <tp t="s">
        <v>#N/A N/A</v>
        <stp/>
        <stp>BDP|10000590384724874747</stp>
        <tr r="R597" s="2"/>
      </tp>
      <tp t="s">
        <v>#N/A N/A</v>
        <stp/>
        <stp>BDS|16745616980487247165</stp>
        <tr r="I1100" s="2"/>
      </tp>
      <tp t="s">
        <v>#N/A N/A</v>
        <stp/>
        <stp>BDP|16889092086279476929</stp>
        <tr r="E1736" s="2"/>
      </tp>
      <tp t="s">
        <v>#N/A N/A</v>
        <stp/>
        <stp>BDP|14321991189589343214</stp>
        <tr r="M123" s="2"/>
      </tp>
      <tp t="s">
        <v>#N/A N/A</v>
        <stp/>
        <stp>BDS|13670889512544987075</stp>
        <tr r="I769" s="2"/>
      </tp>
      <tp t="s">
        <v>#N/A N/A</v>
        <stp/>
        <stp>BDP|10403856277652434335</stp>
        <tr r="E243" s="2"/>
      </tp>
      <tp t="s">
        <v>#N/A N/A</v>
        <stp/>
        <stp>BDP|13670449894835716502</stp>
        <tr r="C836" s="2"/>
      </tp>
      <tp t="s">
        <v>#N/A N/A</v>
        <stp/>
        <stp>BDP|13076526175669704612</stp>
        <tr r="J1351" s="2"/>
      </tp>
      <tp t="s">
        <v>#N/A N/A</v>
        <stp/>
        <stp>BDP|13646710831231278854</stp>
        <tr r="K276" s="2"/>
      </tp>
      <tp t="s">
        <v>#N/A N/A</v>
        <stp/>
        <stp>BDP|16585469844530058864</stp>
        <tr r="O2057" s="2"/>
      </tp>
      <tp t="s">
        <v>#N/A N/A</v>
        <stp/>
        <stp>BDP|11395861477859426977</stp>
        <tr r="J482" s="2"/>
      </tp>
      <tp t="s">
        <v>#N/A N/A</v>
        <stp/>
        <stp>BDP|18410150942321036225</stp>
        <tr r="Q349" s="2"/>
      </tp>
      <tp t="s">
        <v>#N/A N/A</v>
        <stp/>
        <stp>BDP|11567186959233512807</stp>
        <tr r="K956" s="2"/>
      </tp>
      <tp t="s">
        <v>#N/A N/A</v>
        <stp/>
        <stp>BDP|15320830602527017432</stp>
        <tr r="G1481" s="2"/>
      </tp>
      <tp t="s">
        <v>#N/A N/A</v>
        <stp/>
        <stp>BDP|14296882959395124221</stp>
        <tr r="A1659" s="2"/>
      </tp>
      <tp t="s">
        <v>#N/A N/A</v>
        <stp/>
        <stp>BDS|13167438094147366763</stp>
        <tr r="I892" s="2"/>
      </tp>
      <tp t="s">
        <v>#N/A N/A</v>
        <stp/>
        <stp>BDP|17226109743569810595</stp>
        <tr r="K84" s="2"/>
      </tp>
      <tp t="s">
        <v>#N/A N/A</v>
        <stp/>
        <stp>BDP|15346808505905495626</stp>
        <tr r="D804" s="2"/>
      </tp>
      <tp t="s">
        <v>#N/A N/A</v>
        <stp/>
        <stp>BDP|10967219840638155095</stp>
        <tr r="A787" s="2"/>
      </tp>
      <tp t="s">
        <v>#N/A N/A</v>
        <stp/>
        <stp>BDP|10000939377665542512</stp>
        <tr r="G1255" s="2"/>
      </tp>
      <tp t="s">
        <v>#N/A N/A</v>
        <stp/>
        <stp>BDP|13317923465844466605</stp>
        <tr r="N1498" s="2"/>
      </tp>
      <tp t="s">
        <v>#N/A N/A</v>
        <stp/>
        <stp>BDS|18016201880838659455</stp>
        <tr r="I1662" s="2"/>
      </tp>
      <tp t="s">
        <v>#N/A N/A</v>
        <stp/>
        <stp>BDP|10640737298646981645</stp>
        <tr r="S563" s="2"/>
      </tp>
      <tp t="s">
        <v>#N/A N/A</v>
        <stp/>
        <stp>BDP|10211471691654674729</stp>
        <tr r="H327" s="2"/>
      </tp>
      <tp t="s">
        <v>#N/A N/A</v>
        <stp/>
        <stp>BDP|18332352266804906791</stp>
        <tr r="N137" s="2"/>
      </tp>
      <tp t="s">
        <v>#N/A N/A</v>
        <stp/>
        <stp>BDP|18351571726748794952</stp>
        <tr r="R2016" s="2"/>
      </tp>
      <tp t="s">
        <v>#N/A N/A</v>
        <stp/>
        <stp>BDP|17628531288235595187</stp>
        <tr r="N1218" s="2"/>
      </tp>
      <tp t="s">
        <v>#N/A N/A</v>
        <stp/>
        <stp>BDP|10892399991614280021</stp>
        <tr r="F917" s="2"/>
      </tp>
      <tp t="s">
        <v>#N/A N/A</v>
        <stp/>
        <stp>BDP|10231513166914607936</stp>
        <tr r="Q1693" s="2"/>
      </tp>
      <tp t="s">
        <v>#N/A N/A</v>
        <stp/>
        <stp>BDP|18231230652001647058</stp>
        <tr r="H1190" s="2"/>
      </tp>
      <tp t="s">
        <v>#N/A N/A</v>
        <stp/>
        <stp>BDP|13775192605689897534</stp>
        <tr r="G2002" s="2"/>
      </tp>
      <tp t="s">
        <v>#N/A N/A</v>
        <stp/>
        <stp>BDS|17639158091055836496</stp>
        <tr r="I2035" s="2"/>
      </tp>
      <tp t="s">
        <v>#N/A N/A</v>
        <stp/>
        <stp>BDP|10372834301656884093</stp>
        <tr r="N619" s="2"/>
      </tp>
      <tp t="s">
        <v>#N/A N/A</v>
        <stp/>
        <stp>BDS|12249380261920806900</stp>
        <tr r="I907" s="2"/>
      </tp>
      <tp t="s">
        <v>#N/A N/A</v>
        <stp/>
        <stp>BDP|12298645126359866184</stp>
        <tr r="O1562" s="2"/>
      </tp>
      <tp t="s">
        <v>#N/A N/A</v>
        <stp/>
        <stp>BDS|17857310186850800240</stp>
        <tr r="I1372" s="2"/>
      </tp>
      <tp t="s">
        <v>#N/A N/A</v>
        <stp/>
        <stp>BDP|12637315604057188822</stp>
        <tr r="N195" s="2"/>
      </tp>
      <tp t="s">
        <v>#N/A N/A</v>
        <stp/>
        <stp>BDP|14182750032296005866</stp>
        <tr r="T1977" s="2"/>
      </tp>
      <tp t="s">
        <v>#N/A N/A</v>
        <stp/>
        <stp>BDP|10121350815974676870</stp>
        <tr r="G2049" s="2"/>
      </tp>
      <tp t="s">
        <v>#N/A N/A</v>
        <stp/>
        <stp>BDP|12548718906228079325</stp>
        <tr r="M1471" s="2"/>
      </tp>
      <tp t="s">
        <v>#N/A N/A</v>
        <stp/>
        <stp>BDP|10225556131249224148</stp>
        <tr r="T1303" s="2"/>
      </tp>
      <tp t="s">
        <v>#N/A N/A</v>
        <stp/>
        <stp>BDP|16627199490414623491</stp>
        <tr r="H1921" s="2"/>
      </tp>
      <tp t="s">
        <v>#N/A N/A</v>
        <stp/>
        <stp>BDP|11357739611128130102</stp>
        <tr r="C1933" s="2"/>
      </tp>
      <tp t="s">
        <v>#N/A N/A</v>
        <stp/>
        <stp>BDP|15228931368113957704</stp>
        <tr r="T791" s="2"/>
      </tp>
      <tp t="s">
        <v>#N/A N/A</v>
        <stp/>
        <stp>BDP|12005870967107815583</stp>
        <tr r="Q872" s="2"/>
      </tp>
      <tp t="s">
        <v>#N/A N/A</v>
        <stp/>
        <stp>BDP|18068617312315053434</stp>
        <tr r="D1053" s="2"/>
      </tp>
      <tp t="s">
        <v>#N/A N/A</v>
        <stp/>
        <stp>BDP|18124402035481624025</stp>
        <tr r="N184" s="2"/>
      </tp>
      <tp t="s">
        <v>#N/A N/A</v>
        <stp/>
        <stp>BDP|12977344197121263787</stp>
        <tr r="P609" s="2"/>
      </tp>
      <tp t="s">
        <v>#N/A N/A</v>
        <stp/>
        <stp>BDP|17113733670451027827</stp>
        <tr r="H815" s="2"/>
      </tp>
      <tp t="s">
        <v>#N/A N/A</v>
        <stp/>
        <stp>BDP|17874018175968551690</stp>
        <tr r="F1848" s="2"/>
      </tp>
      <tp t="s">
        <v>#N/A N/A</v>
        <stp/>
        <stp>BDP|13059456981284074544</stp>
        <tr r="H244" s="2"/>
      </tp>
      <tp t="s">
        <v>#N/A N/A</v>
        <stp/>
        <stp>BDP|15131501334078713521</stp>
        <tr r="S1933" s="2"/>
      </tp>
      <tp t="s">
        <v>#N/A N/A</v>
        <stp/>
        <stp>BDP|14063118481820817385</stp>
        <tr r="H50" s="2"/>
      </tp>
      <tp t="s">
        <v>#N/A N/A</v>
        <stp/>
        <stp>BDP|15810276696394967403</stp>
        <tr r="C1322" s="2"/>
      </tp>
      <tp t="s">
        <v>#N/A N/A</v>
        <stp/>
        <stp>BDP|12038885018155817087</stp>
        <tr r="P37" s="2"/>
      </tp>
      <tp t="s">
        <v>#N/A N/A</v>
        <stp/>
        <stp>BDP|13469421108288775193</stp>
        <tr r="K1426" s="2"/>
      </tp>
      <tp t="s">
        <v>#N/A N/A</v>
        <stp/>
        <stp>BDP|10951945417124803220</stp>
        <tr r="A1179" s="2"/>
      </tp>
      <tp t="s">
        <v>#N/A N/A</v>
        <stp/>
        <stp>BDP|13325120101378052405</stp>
        <tr r="T1760" s="2"/>
      </tp>
      <tp t="s">
        <v>#N/A N/A</v>
        <stp/>
        <stp>BDP|15974205937252819860</stp>
        <tr r="H718" s="2"/>
      </tp>
      <tp t="s">
        <v>#N/A N/A</v>
        <stp/>
        <stp>BDP|14943896932017479664</stp>
        <tr r="S618" s="2"/>
      </tp>
      <tp t="s">
        <v>#N/A N/A</v>
        <stp/>
        <stp>BDP|10634983104283940436</stp>
        <tr r="E1169" s="2"/>
      </tp>
      <tp t="s">
        <v>#N/A N/A</v>
        <stp/>
        <stp>BDP|12577107610495710925</stp>
        <tr r="A1332" s="2"/>
      </tp>
      <tp t="s">
        <v>#N/A N/A</v>
        <stp/>
        <stp>BDP|17704946717611319071</stp>
        <tr r="G1652" s="2"/>
      </tp>
      <tp t="s">
        <v>#N/A N/A</v>
        <stp/>
        <stp>BDP|11863271863769428282</stp>
        <tr r="R494" s="2"/>
      </tp>
      <tp t="s">
        <v>#N/A N/A</v>
        <stp/>
        <stp>BDP|16443324705478325306</stp>
        <tr r="S31" s="2"/>
      </tp>
      <tp t="s">
        <v>#N/A N/A</v>
        <stp/>
        <stp>BDP|11674997703431520796</stp>
        <tr r="F1864" s="2"/>
      </tp>
      <tp t="s">
        <v>#N/A N/A</v>
        <stp/>
        <stp>BDP|13274751542838181646</stp>
        <tr r="S2038" s="2"/>
      </tp>
      <tp t="s">
        <v>#N/A N/A</v>
        <stp/>
        <stp>BDP|12930791588021822207</stp>
        <tr r="A241" s="2"/>
      </tp>
      <tp t="s">
        <v>#N/A N/A</v>
        <stp/>
        <stp>BDP|14237972487529250206</stp>
        <tr r="G1769" s="2"/>
      </tp>
      <tp t="s">
        <v>#N/A N/A</v>
        <stp/>
        <stp>BDP|10118579384153381017</stp>
        <tr r="M2007" s="2"/>
      </tp>
      <tp t="s">
        <v>#N/A N/A</v>
        <stp/>
        <stp>BDP|15855016879555656965</stp>
        <tr r="S2034" s="2"/>
      </tp>
      <tp t="s">
        <v>#N/A N/A</v>
        <stp/>
        <stp>BDP|11593940917463099462</stp>
        <tr r="C242" s="2"/>
      </tp>
      <tp t="s">
        <v>#N/A N/A</v>
        <stp/>
        <stp>BDP|12283925830192690463</stp>
        <tr r="T1216" s="2"/>
      </tp>
      <tp t="s">
        <v>#N/A N/A</v>
        <stp/>
        <stp>BDP|15563262995738245842</stp>
        <tr r="H2230" s="2"/>
      </tp>
      <tp t="s">
        <v>#N/A N/A</v>
        <stp/>
        <stp>BDP|14793730788596417388</stp>
        <tr r="N576" s="2"/>
      </tp>
      <tp t="s">
        <v>#N/A N/A</v>
        <stp/>
        <stp>BDP|12991636214748792394</stp>
        <tr r="S1825" s="2"/>
      </tp>
      <tp t="s">
        <v>#N/A N/A</v>
        <stp/>
        <stp>BDP|14546305117830185834</stp>
        <tr r="Q879" s="2"/>
      </tp>
      <tp t="s">
        <v>#N/A N/A</v>
        <stp/>
        <stp>BDP|16819593842598239111</stp>
        <tr r="G1183" s="2"/>
      </tp>
      <tp t="s">
        <v>#N/A N/A</v>
        <stp/>
        <stp>BDP|12778809695864716953</stp>
        <tr r="D750" s="2"/>
      </tp>
      <tp t="s">
        <v>#N/A N/A</v>
        <stp/>
        <stp>BDP|10359874971406523703</stp>
        <tr r="E1741" s="2"/>
      </tp>
      <tp t="s">
        <v>#N/A N/A</v>
        <stp/>
        <stp>BDP|16547007924252908885</stp>
        <tr r="D1560" s="2"/>
      </tp>
      <tp t="s">
        <v>#N/A N/A</v>
        <stp/>
        <stp>BDP|13582906996735125810</stp>
        <tr r="Q2007" s="2"/>
      </tp>
      <tp t="s">
        <v>#N/A N/A</v>
        <stp/>
        <stp>BDP|10044931586107287847</stp>
        <tr r="E2236" s="2"/>
      </tp>
      <tp t="s">
        <v>#N/A N/A</v>
        <stp/>
        <stp>BDP|17259953779811509685</stp>
        <tr r="P1721" s="2"/>
      </tp>
      <tp t="s">
        <v>#N/A N/A</v>
        <stp/>
        <stp>BDP|18285361544120773144</stp>
        <tr r="R1113" s="2"/>
      </tp>
      <tp t="s">
        <v>#N/A N/A</v>
        <stp/>
        <stp>BDP|10748473710162259918</stp>
        <tr r="C62" s="2"/>
      </tp>
      <tp t="s">
        <v>#N/A N/A</v>
        <stp/>
        <stp>BDP|11986626674877453989</stp>
        <tr r="Q1851" s="2"/>
      </tp>
      <tp t="s">
        <v>#N/A N/A</v>
        <stp/>
        <stp>BDP|16063015200218691042</stp>
        <tr r="N1118" s="2"/>
      </tp>
      <tp t="s">
        <v>#N/A N/A</v>
        <stp/>
        <stp>BDP|17627539753379715023</stp>
        <tr r="S814" s="2"/>
      </tp>
      <tp t="s">
        <v>#N/A N/A</v>
        <stp/>
        <stp>BDP|16397807102232208205</stp>
        <tr r="M1119" s="2"/>
      </tp>
      <tp t="s">
        <v>#N/A N/A</v>
        <stp/>
        <stp>BDP|16793609392872652504</stp>
        <tr r="O183" s="2"/>
      </tp>
      <tp t="s">
        <v>#N/A N/A</v>
        <stp/>
        <stp>BDP|17837144690847807676</stp>
        <tr r="O267" s="2"/>
      </tp>
      <tp t="s">
        <v>#N/A N/A</v>
        <stp/>
        <stp>BDP|15439412510578197675</stp>
        <tr r="M2107" s="2"/>
      </tp>
      <tp t="s">
        <v>#N/A N/A</v>
        <stp/>
        <stp>BDP|10854409770008928526</stp>
        <tr r="S839" s="2"/>
      </tp>
      <tp t="s">
        <v>#N/A N/A</v>
        <stp/>
        <stp>BDP|15996603911539257592</stp>
        <tr r="A63" s="2"/>
      </tp>
      <tp t="s">
        <v>#N/A N/A</v>
        <stp/>
        <stp>BDP|11758116602558181666</stp>
        <tr r="F378" s="2"/>
      </tp>
      <tp t="s">
        <v>#N/A N/A</v>
        <stp/>
        <stp>BDP|13295398700038006689</stp>
        <tr r="F440" s="2"/>
      </tp>
      <tp t="s">
        <v>#N/A N/A</v>
        <stp/>
        <stp>BDP|14156311593870622066</stp>
        <tr r="J1927" s="2"/>
      </tp>
      <tp t="s">
        <v>#N/A N/A</v>
        <stp/>
        <stp>BDP|11976893212220587646</stp>
        <tr r="Q1563" s="2"/>
      </tp>
      <tp t="s">
        <v>#N/A N/A</v>
        <stp/>
        <stp>BDP|13933567501450893851</stp>
        <tr r="R540" s="2"/>
      </tp>
      <tp t="s">
        <v>#N/A N/A</v>
        <stp/>
        <stp>BDP|14399846334407256621</stp>
        <tr r="D1842" s="2"/>
      </tp>
      <tp t="s">
        <v>#N/A N/A</v>
        <stp/>
        <stp>BDP|10736121543449299270</stp>
        <tr r="O513" s="2"/>
      </tp>
      <tp t="s">
        <v>#N/A N/A</v>
        <stp/>
        <stp>BDP|16043902168512997525</stp>
        <tr r="F403" s="2"/>
      </tp>
      <tp t="s">
        <v>#N/A N/A</v>
        <stp/>
        <stp>BDP|15126357606669340128</stp>
        <tr r="J2035" s="2"/>
      </tp>
      <tp t="s">
        <v>#N/A N/A</v>
        <stp/>
        <stp>BDP|12392191348960996987</stp>
        <tr r="E1377" s="2"/>
      </tp>
      <tp t="s">
        <v>#N/A N/A</v>
        <stp/>
        <stp>BDS|12702402101080583834</stp>
        <tr r="I1475" s="2"/>
      </tp>
      <tp t="s">
        <v>#N/A N/A</v>
        <stp/>
        <stp>BDS|14369964802006397545</stp>
        <tr r="I436" s="2"/>
      </tp>
      <tp t="s">
        <v>#N/A N/A</v>
        <stp/>
        <stp>BDP|12422829507764601042</stp>
        <tr r="O430" s="2"/>
      </tp>
      <tp t="s">
        <v>#N/A N/A</v>
        <stp/>
        <stp>BDP|18293308037563797513</stp>
        <tr r="C1689" s="2"/>
      </tp>
      <tp t="s">
        <v>#N/A N/A</v>
        <stp/>
        <stp>BDP|17578543435899603611</stp>
        <tr r="R1423" s="2"/>
      </tp>
      <tp t="s">
        <v>#N/A N/A</v>
        <stp/>
        <stp>BDP|13018928463444108630</stp>
        <tr r="S936" s="2"/>
      </tp>
      <tp t="s">
        <v>#N/A N/A</v>
        <stp/>
        <stp>BDS|17316944524177016538</stp>
        <tr r="I1714" s="2"/>
      </tp>
      <tp t="s">
        <v>#N/A N/A</v>
        <stp/>
        <stp>BDP|15101269120733013843</stp>
        <tr r="G1248" s="2"/>
      </tp>
      <tp t="s">
        <v>#N/A N/A</v>
        <stp/>
        <stp>BDP|17713888571246942043</stp>
        <tr r="N143" s="2"/>
      </tp>
      <tp t="s">
        <v>#N/A N/A</v>
        <stp/>
        <stp>BDP|11955615718498249013</stp>
        <tr r="D957" s="2"/>
      </tp>
      <tp t="s">
        <v>#N/A N/A</v>
        <stp/>
        <stp>BDP|14122036949266013885</stp>
        <tr r="K339" s="2"/>
      </tp>
      <tp t="s">
        <v>#N/A N/A</v>
        <stp/>
        <stp>BDP|10741700815408921080</stp>
        <tr r="O1574" s="2"/>
      </tp>
      <tp t="s">
        <v>#N/A N/A</v>
        <stp/>
        <stp>BDP|12338867661513354146</stp>
        <tr r="T2037" s="2"/>
      </tp>
      <tp t="s">
        <v>#N/A N/A</v>
        <stp/>
        <stp>BDP|12209292883654971221</stp>
        <tr r="F986" s="2"/>
      </tp>
      <tp t="s">
        <v>#N/A N/A</v>
        <stp/>
        <stp>BDS|18217412573607511256</stp>
        <tr r="I509" s="2"/>
      </tp>
      <tp t="s">
        <v>#N/A N/A</v>
        <stp/>
        <stp>BDP|10298830316215788231</stp>
        <tr r="K1581" s="2"/>
      </tp>
      <tp t="s">
        <v>#N/A N/A</v>
        <stp/>
        <stp>BDS|12188066002454291872</stp>
        <tr r="I680" s="2"/>
      </tp>
      <tp t="s">
        <v>#N/A N/A</v>
        <stp/>
        <stp>BDP|15428275132203678943</stp>
        <tr r="M1299" s="2"/>
      </tp>
      <tp t="s">
        <v>#N/A N/A</v>
        <stp/>
        <stp>BDP|13040241239335602987</stp>
        <tr r="E2015" s="2"/>
      </tp>
      <tp t="s">
        <v>#N/A N/A</v>
        <stp/>
        <stp>BDP|10517410153138307771</stp>
        <tr r="F1202" s="2"/>
      </tp>
      <tp t="s">
        <v>#N/A N/A</v>
        <stp/>
        <stp>BDP|18393538107480077342</stp>
        <tr r="S1041" s="2"/>
      </tp>
      <tp t="s">
        <v>#N/A N/A</v>
        <stp/>
        <stp>BDP|15276633290481136533</stp>
        <tr r="H2205" s="2"/>
      </tp>
      <tp t="s">
        <v>#N/A N/A</v>
        <stp/>
        <stp>BDP|13664658051966521845</stp>
        <tr r="Q1509" s="2"/>
      </tp>
      <tp t="s">
        <v>#N/A N/A</v>
        <stp/>
        <stp>BDP|10146531497197779513</stp>
        <tr r="J1673" s="2"/>
      </tp>
      <tp t="s">
        <v>#N/A N/A</v>
        <stp/>
        <stp>BDP|12823831568491053305</stp>
        <tr r="R974" s="2"/>
      </tp>
      <tp t="s">
        <v>#N/A N/A</v>
        <stp/>
        <stp>BDP|16648709880483080456</stp>
        <tr r="G1096" s="2"/>
      </tp>
      <tp t="s">
        <v>#N/A N/A</v>
        <stp/>
        <stp>BDP|18200212367270761201</stp>
        <tr r="H2151" s="2"/>
      </tp>
      <tp t="s">
        <v>#N/A N/A</v>
        <stp/>
        <stp>BDP|15671245404630362965</stp>
        <tr r="J1393" s="2"/>
      </tp>
      <tp t="s">
        <v>#N/A N/A</v>
        <stp/>
        <stp>BDP|16181714125458271548</stp>
        <tr r="D2018" s="2"/>
      </tp>
      <tp t="s">
        <v>#N/A N/A</v>
        <stp/>
        <stp>BDP|10744108112046791812</stp>
        <tr r="E803" s="2"/>
      </tp>
      <tp t="s">
        <v>#N/A N/A</v>
        <stp/>
        <stp>BDS|15578946121597330730</stp>
        <tr r="I21" s="2"/>
      </tp>
      <tp t="s">
        <v>#N/A N/A</v>
        <stp/>
        <stp>BDP|17536042012230366832</stp>
        <tr r="Q203" s="2"/>
      </tp>
      <tp t="s">
        <v>#N/A N/A</v>
        <stp/>
        <stp>BDP|18189217290979137423</stp>
        <tr r="F2043" s="2"/>
      </tp>
      <tp t="s">
        <v>#N/A N/A</v>
        <stp/>
        <stp>BDP|14623282542044802876</stp>
        <tr r="A399" s="2"/>
      </tp>
      <tp t="s">
        <v>#N/A N/A</v>
        <stp/>
        <stp>BDP|12383069882957244369</stp>
        <tr r="O530" s="2"/>
      </tp>
      <tp t="s">
        <v>#N/A N/A</v>
        <stp/>
        <stp>BDP|12945610071378353597</stp>
        <tr r="T1374" s="2"/>
      </tp>
      <tp t="s">
        <v>#N/A N/A</v>
        <stp/>
        <stp>BDP|16137284585377974566</stp>
        <tr r="P539" s="2"/>
      </tp>
      <tp t="s">
        <v>#N/A N/A</v>
        <stp/>
        <stp>BDP|17672018767698141729</stp>
        <tr r="S1464" s="2"/>
      </tp>
      <tp t="s">
        <v>#N/A N/A</v>
        <stp/>
        <stp>BDP|15671596433174847970</stp>
        <tr r="M2078" s="2"/>
      </tp>
      <tp t="s">
        <v>#N/A N/A</v>
        <stp/>
        <stp>BDP|12376932320507401074</stp>
        <tr r="T21" s="2"/>
      </tp>
      <tp t="s">
        <v>#N/A N/A</v>
        <stp/>
        <stp>BDP|10930486423110187817</stp>
        <tr r="T971" s="2"/>
      </tp>
      <tp t="s">
        <v>#N/A N/A</v>
        <stp/>
        <stp>BDP|12238364527598296530</stp>
        <tr r="O1859" s="2"/>
      </tp>
      <tp t="s">
        <v>#N/A N/A</v>
        <stp/>
        <stp>BDP|16790304331211330977</stp>
        <tr r="A1199" s="2"/>
      </tp>
      <tp t="s">
        <v>#N/A N/A</v>
        <stp/>
        <stp>BDP|13607579423748723276</stp>
        <tr r="H889" s="2"/>
      </tp>
      <tp t="s">
        <v>#N/A N/A</v>
        <stp/>
        <stp>BDP|17940752299750293752</stp>
        <tr r="S1016" s="2"/>
      </tp>
      <tp t="s">
        <v>#N/A N/A</v>
        <stp/>
        <stp>BDP|18328365676624898692</stp>
        <tr r="N264" s="2"/>
      </tp>
      <tp t="s">
        <v>#N/A N/A</v>
        <stp/>
        <stp>BDP|10359951995319896794</stp>
        <tr r="E314" s="2"/>
      </tp>
      <tp t="s">
        <v>#N/A N/A</v>
        <stp/>
        <stp>BDP|10117053729188884472</stp>
        <tr r="K1157" s="2"/>
      </tp>
      <tp t="s">
        <v>#N/A N/A</v>
        <stp/>
        <stp>BDP|15843567292204616389</stp>
        <tr r="T2200" s="2"/>
      </tp>
      <tp t="s">
        <v>#N/A N/A</v>
        <stp/>
        <stp>BDP|16514450784503694704</stp>
        <tr r="G314" s="2"/>
      </tp>
      <tp t="s">
        <v>#N/A N/A</v>
        <stp/>
        <stp>BDP|15994153188911025368</stp>
        <tr r="O680" s="2"/>
      </tp>
      <tp t="s">
        <v>#N/A N/A</v>
        <stp/>
        <stp>BDP|17340032953504028818</stp>
        <tr r="H1657" s="2"/>
      </tp>
      <tp t="s">
        <v>#N/A N/A</v>
        <stp/>
        <stp>BDP|14051899342623023591</stp>
        <tr r="H199" s="2"/>
      </tp>
      <tp t="s">
        <v>#N/A N/A</v>
        <stp/>
        <stp>BDP|17528714525859231515</stp>
        <tr r="P357" s="2"/>
      </tp>
      <tp t="s">
        <v>#N/A N/A</v>
        <stp/>
        <stp>BDP|11592443486602641130</stp>
        <tr r="F1260" s="2"/>
      </tp>
      <tp t="s">
        <v>#N/A N/A</v>
        <stp/>
        <stp>BDP|17406878204245361464</stp>
        <tr r="M1386" s="2"/>
      </tp>
      <tp t="s">
        <v>#N/A N/A</v>
        <stp/>
        <stp>BDP|15313808379612033684</stp>
        <tr r="N1717" s="2"/>
      </tp>
      <tp t="s">
        <v>#N/A N/A</v>
        <stp/>
        <stp>BDP|14257436521249089526</stp>
        <tr r="P431" s="2"/>
      </tp>
      <tp t="s">
        <v>#N/A N/A</v>
        <stp/>
        <stp>BDP|15126515015979518620</stp>
        <tr r="D2141" s="2"/>
      </tp>
      <tp t="s">
        <v>#N/A N/A</v>
        <stp/>
        <stp>BDP|11986826200456061193</stp>
        <tr r="Q491" s="2"/>
      </tp>
      <tp t="s">
        <v>#N/A N/A</v>
        <stp/>
        <stp>BDP|16795785636048904423</stp>
        <tr r="P1679" s="2"/>
      </tp>
      <tp t="s">
        <v>#N/A N/A</v>
        <stp/>
        <stp>BDP|15411778068348848210</stp>
        <tr r="R1066" s="2"/>
      </tp>
      <tp t="s">
        <v>#N/A N/A</v>
        <stp/>
        <stp>BDP|16498496908264529821</stp>
        <tr r="T1425" s="2"/>
      </tp>
      <tp t="s">
        <v>#N/A N/A</v>
        <stp/>
        <stp>BDP|14719010470504095943</stp>
        <tr r="H1074" s="2"/>
      </tp>
      <tp t="s">
        <v>#N/A N/A</v>
        <stp/>
        <stp>BDP|15493474624189258477</stp>
        <tr r="A961" s="2"/>
      </tp>
      <tp t="s">
        <v>#N/A N/A</v>
        <stp/>
        <stp>BDP|10117068376301770843</stp>
        <tr r="T940" s="2"/>
      </tp>
      <tp t="s">
        <v>#N/A N/A</v>
        <stp/>
        <stp>BDP|11600739540369244550</stp>
        <tr r="F279" s="2"/>
      </tp>
      <tp t="s">
        <v>#N/A N/A</v>
        <stp/>
        <stp>BDP|11779460936810510800</stp>
        <tr r="C486" s="2"/>
      </tp>
      <tp t="s">
        <v>#N/A N/A</v>
        <stp/>
        <stp>BDP|17104715741679486375</stp>
        <tr r="T329" s="2"/>
      </tp>
      <tp t="s">
        <v>#N/A N/A</v>
        <stp/>
        <stp>BDP|12697926726060729770</stp>
        <tr r="R829" s="2"/>
      </tp>
      <tp t="s">
        <v>#N/A N/A</v>
        <stp/>
        <stp>BDP|11542380295951900430</stp>
        <tr r="A338" s="2"/>
      </tp>
      <tp t="s">
        <v>#N/A N/A</v>
        <stp/>
        <stp>BDP|17050922207659042978</stp>
        <tr r="Q1565" s="2"/>
      </tp>
      <tp t="s">
        <v>#N/A N/A</v>
        <stp/>
        <stp>BDP|10531604576219895691</stp>
        <tr r="O1029" s="2"/>
      </tp>
      <tp t="s">
        <v>#N/A N/A</v>
        <stp/>
        <stp>BDP|11580343087033751733</stp>
        <tr r="G1719" s="2"/>
      </tp>
      <tp t="s">
        <v>#N/A N/A</v>
        <stp/>
        <stp>BDS|10379102916526083844</stp>
        <tr r="I1762" s="2"/>
      </tp>
      <tp t="s">
        <v>#N/A N/A</v>
        <stp/>
        <stp>BDP|11874809407135403293</stp>
        <tr r="N549" s="2"/>
      </tp>
      <tp t="s">
        <v>#N/A N/A</v>
        <stp/>
        <stp>BDP|13188147192546201379</stp>
        <tr r="P1556" s="2"/>
      </tp>
      <tp t="s">
        <v>#N/A N/A</v>
        <stp/>
        <stp>BDP|17659008336513324919</stp>
        <tr r="J507" s="2"/>
      </tp>
      <tp t="s">
        <v>#N/A N/A</v>
        <stp/>
        <stp>BDP|14077087730139345096</stp>
        <tr r="P911" s="2"/>
      </tp>
      <tp t="s">
        <v>#N/A N/A</v>
        <stp/>
        <stp>BDP|11741780198011742023</stp>
        <tr r="O1337" s="2"/>
      </tp>
      <tp t="s">
        <v>#N/A N/A</v>
        <stp/>
        <stp>BDP|14294113913172588870</stp>
        <tr r="R2240" s="2"/>
      </tp>
      <tp t="s">
        <v>#N/A N/A</v>
        <stp/>
        <stp>BDP|13077533342185373900</stp>
        <tr r="J1296" s="2"/>
      </tp>
      <tp t="s">
        <v>#N/A N/A</v>
        <stp/>
        <stp>BDP|16854721077018621094</stp>
        <tr r="C506" s="2"/>
      </tp>
      <tp t="s">
        <v>#N/A N/A</v>
        <stp/>
        <stp>BDP|11533884641350807366</stp>
        <tr r="C1423" s="2"/>
      </tp>
      <tp t="s">
        <v>#N/A N/A</v>
        <stp/>
        <stp>BDP|18049108812935865381</stp>
        <tr r="M627" s="2"/>
      </tp>
      <tp t="s">
        <v>#N/A N/A</v>
        <stp/>
        <stp>BDP|10811956201761713693</stp>
        <tr r="D675" s="2"/>
      </tp>
      <tp t="s">
        <v>#N/A N/A</v>
        <stp/>
        <stp>BDP|18299427757481407618</stp>
        <tr r="J1973" s="2"/>
      </tp>
      <tp t="s">
        <v>#N/A N/A</v>
        <stp/>
        <stp>BDP|16575606467520323834</stp>
        <tr r="C315" s="2"/>
      </tp>
      <tp t="s">
        <v>#N/A N/A</v>
        <stp/>
        <stp>BDP|12005526460116042901</stp>
        <tr r="K1167" s="2"/>
      </tp>
      <tp t="s">
        <v>#N/A N/A</v>
        <stp/>
        <stp>BDP|15771981307231828327</stp>
        <tr r="H688" s="2"/>
      </tp>
      <tp t="s">
        <v>#N/A N/A</v>
        <stp/>
        <stp>BDP|10311725795330211047</stp>
        <tr r="E1227" s="2"/>
      </tp>
      <tp t="s">
        <v>#N/A N/A</v>
        <stp/>
        <stp>BDP|16854012288429376905</stp>
        <tr r="E885" s="2"/>
      </tp>
      <tp t="s">
        <v>#N/A N/A</v>
        <stp/>
        <stp>BDP|18180329471127994598</stp>
        <tr r="D504" s="2"/>
      </tp>
      <tp t="s">
        <v>#N/A N/A</v>
        <stp/>
        <stp>BDP|14343417470188441146</stp>
        <tr r="G1697" s="2"/>
      </tp>
      <tp t="s">
        <v>#N/A N/A</v>
        <stp/>
        <stp>BDP|14216449196816693149</stp>
        <tr r="D886" s="2"/>
      </tp>
      <tp t="s">
        <v>#N/A N/A</v>
        <stp/>
        <stp>BDP|12699167245201336848</stp>
        <tr r="D1503" s="2"/>
      </tp>
      <tp t="s">
        <v>#N/A N/A</v>
        <stp/>
        <stp>BDP|16629314081453743031</stp>
        <tr r="A1847" s="2"/>
      </tp>
      <tp t="s">
        <v>#N/A N/A</v>
        <stp/>
        <stp>BDP|17630454970822015819</stp>
        <tr r="Q139" s="2"/>
      </tp>
      <tp t="s">
        <v>#N/A N/A</v>
        <stp/>
        <stp>BDP|12307462061998646608</stp>
        <tr r="A443" s="2"/>
      </tp>
      <tp t="s">
        <v>#N/A N/A</v>
        <stp/>
        <stp>BDP|15462854668662228791</stp>
        <tr r="Q98" s="2"/>
      </tp>
      <tp t="s">
        <v>#N/A N/A</v>
        <stp/>
        <stp>BDP|14707595498241406700</stp>
        <tr r="S1627" s="2"/>
      </tp>
      <tp t="s">
        <v>#N/A N/A</v>
        <stp/>
        <stp>BDP|11065322161833185903</stp>
        <tr r="F708" s="2"/>
      </tp>
      <tp t="s">
        <v>#N/A N/A</v>
        <stp/>
        <stp>BDP|17016812543126064302</stp>
        <tr r="R963" s="2"/>
      </tp>
      <tp t="s">
        <v>#N/A N/A</v>
        <stp/>
        <stp>BDP|11891645332353910958</stp>
        <tr r="G690" s="2"/>
      </tp>
      <tp t="s">
        <v>#N/A N/A</v>
        <stp/>
        <stp>BDP|15308802231750038000</stp>
        <tr r="J1042" s="2"/>
      </tp>
      <tp t="s">
        <v>#N/A N/A</v>
        <stp/>
        <stp>BDP|14412147720400234907</stp>
        <tr r="M146" s="2"/>
      </tp>
      <tp t="s">
        <v>#N/A N/A</v>
        <stp/>
        <stp>BDS|10735812812333714426</stp>
        <tr r="I959" s="2"/>
      </tp>
      <tp t="s">
        <v>#N/A N/A</v>
        <stp/>
        <stp>BDP|10909332105195517887</stp>
        <tr r="M1128" s="2"/>
      </tp>
      <tp t="s">
        <v>#N/A N/A</v>
        <stp/>
        <stp>BDP|13194959154540167136</stp>
        <tr r="S851" s="2"/>
      </tp>
      <tp t="s">
        <v>#N/A N/A</v>
        <stp/>
        <stp>BDP|16681167276139426709</stp>
        <tr r="K1721" s="2"/>
      </tp>
      <tp t="s">
        <v>#N/A N/A</v>
        <stp/>
        <stp>BDS|11597359887197116375</stp>
        <tr r="I1751" s="2"/>
      </tp>
      <tp t="s">
        <v>#N/A N/A</v>
        <stp/>
        <stp>BDP|16926492481593459775</stp>
        <tr r="F1135" s="2"/>
      </tp>
      <tp t="s">
        <v>#N/A N/A</v>
        <stp/>
        <stp>BDP|14953932631680108085</stp>
        <tr r="C355" s="2"/>
      </tp>
      <tp t="s">
        <v>#N/A N/A</v>
        <stp/>
        <stp>BDP|14531335182929558841</stp>
        <tr r="N1170" s="2"/>
      </tp>
      <tp t="s">
        <v>#N/A N/A</v>
        <stp/>
        <stp>BDP|16262571220469003608</stp>
        <tr r="Q200" s="2"/>
      </tp>
      <tp t="s">
        <v>#N/A N/A</v>
        <stp/>
        <stp>BDP|10214461654147532809</stp>
        <tr r="C975" s="2"/>
      </tp>
      <tp t="s">
        <v>#N/A N/A</v>
        <stp/>
        <stp>BDP|12881108670312981840</stp>
        <tr r="M368" s="2"/>
      </tp>
      <tp t="s">
        <v>#N/A N/A</v>
        <stp/>
        <stp>BDP|13030372205747759909</stp>
        <tr r="P1485" s="2"/>
      </tp>
      <tp t="s">
        <v>#N/A N/A</v>
        <stp/>
        <stp>BDP|16015649515416708936</stp>
        <tr r="T658" s="2"/>
      </tp>
      <tp t="s">
        <v>#N/A N/A</v>
        <stp/>
        <stp>BDP|12781316883584114310</stp>
        <tr r="E1055" s="2"/>
      </tp>
      <tp t="s">
        <v>#N/A N/A</v>
        <stp/>
        <stp>BDP|14262522995986066001</stp>
        <tr r="E407" s="2"/>
      </tp>
      <tp t="s">
        <v>#N/A N/A</v>
        <stp/>
        <stp>BDP|14679405997987347076</stp>
        <tr r="J694" s="2"/>
      </tp>
      <tp t="s">
        <v>#N/A N/A</v>
        <stp/>
        <stp>BDP|11089603264908392723</stp>
        <tr r="J1738" s="2"/>
      </tp>
      <tp t="s">
        <v>#N/A N/A</v>
        <stp/>
        <stp>BDP|15789446293743307561</stp>
        <tr r="A1883" s="2"/>
      </tp>
      <tp t="s">
        <v>#N/A N/A</v>
        <stp/>
        <stp>BDP|14444654174893096809</stp>
        <tr r="S1199" s="2"/>
      </tp>
      <tp t="s">
        <v>#N/A N/A</v>
        <stp/>
        <stp>BDP|13136210685576882186</stp>
        <tr r="D1144" s="2"/>
      </tp>
      <tp t="s">
        <v>#N/A N/A</v>
        <stp/>
        <stp>BDP|11321591036268910108</stp>
        <tr r="A2033" s="2"/>
      </tp>
      <tp t="s">
        <v>#N/A N/A</v>
        <stp/>
        <stp>BDP|16957398018673457991</stp>
        <tr r="F1270" s="2"/>
      </tp>
      <tp t="s">
        <v>#N/A N/A</v>
        <stp/>
        <stp>BDP|16929694595975752274</stp>
        <tr r="R11" s="2"/>
      </tp>
      <tp t="s">
        <v>#N/A N/A</v>
        <stp/>
        <stp>BDP|17827220130469788180</stp>
        <tr r="G2250" s="2"/>
      </tp>
      <tp t="s">
        <v>#N/A N/A</v>
        <stp/>
        <stp>BDP|15678791018828391519</stp>
        <tr r="P1231" s="2"/>
      </tp>
      <tp t="s">
        <v>#N/A N/A</v>
        <stp/>
        <stp>BDP|16571489812079925432</stp>
        <tr r="E792" s="2"/>
      </tp>
      <tp t="s">
        <v>#N/A N/A</v>
        <stp/>
        <stp>BDP|16807752682824918335</stp>
        <tr r="O1474" s="2"/>
      </tp>
      <tp t="s">
        <v>#N/A N/A</v>
        <stp/>
        <stp>BDP|12500957230487390164</stp>
        <tr r="A1697" s="2"/>
      </tp>
      <tp t="s">
        <v>#N/A N/A</v>
        <stp/>
        <stp>BDP|13651800562010580343</stp>
        <tr r="R1777" s="2"/>
      </tp>
      <tp t="s">
        <v>#N/A N/A</v>
        <stp/>
        <stp>BDP|16732628500436162817</stp>
        <tr r="N1946" s="2"/>
      </tp>
      <tp t="s">
        <v>#N/A N/A</v>
        <stp/>
        <stp>BDP|10181046362471623945</stp>
        <tr r="G800" s="2"/>
      </tp>
      <tp t="s">
        <v>#N/A N/A</v>
        <stp/>
        <stp>BDP|11298881890707771985</stp>
        <tr r="M1030" s="2"/>
      </tp>
      <tp t="s">
        <v>#N/A N/A</v>
        <stp/>
        <stp>BDP|14832261169109672749</stp>
        <tr r="K824" s="2"/>
      </tp>
      <tp t="s">
        <v>#N/A N/A</v>
        <stp/>
        <stp>BDP|18283518116877868582</stp>
        <tr r="E96" s="2"/>
      </tp>
      <tp t="s">
        <v>#N/A N/A</v>
        <stp/>
        <stp>BDP|11355819370649679911</stp>
        <tr r="C292" s="2"/>
      </tp>
      <tp t="s">
        <v>#N/A N/A</v>
        <stp/>
        <stp>BDP|14161403398896458184</stp>
        <tr r="E718" s="2"/>
      </tp>
      <tp t="s">
        <v>#N/A N/A</v>
        <stp/>
        <stp>BDP|11589282240950950915</stp>
        <tr r="P790" s="2"/>
      </tp>
      <tp t="s">
        <v>#N/A N/A</v>
        <stp/>
        <stp>BDP|15045877993362814892</stp>
        <tr r="T2113" s="2"/>
      </tp>
      <tp t="s">
        <v>#N/A N/A</v>
        <stp/>
        <stp>BDP|18275733371245739326</stp>
        <tr r="S1775" s="2"/>
      </tp>
      <tp t="s">
        <v>#N/A N/A</v>
        <stp/>
        <stp>BDP|12263292992786409181</stp>
        <tr r="D514" s="2"/>
      </tp>
      <tp t="s">
        <v>#N/A N/A</v>
        <stp/>
        <stp>BDP|15618305375798659704</stp>
        <tr r="C999" s="2"/>
      </tp>
      <tp t="s">
        <v>#N/A N/A</v>
        <stp/>
        <stp>BDP|14788457850442011978</stp>
        <tr r="T1251" s="2"/>
      </tp>
      <tp t="s">
        <v>#N/A N/A</v>
        <stp/>
        <stp>BDP|14765170872788674414</stp>
        <tr r="S1168" s="2"/>
      </tp>
      <tp t="s">
        <v>#N/A N/A</v>
        <stp/>
        <stp>BDP|16930175358475646954</stp>
        <tr r="S1134" s="2"/>
      </tp>
      <tp t="s">
        <v>#N/A N/A</v>
        <stp/>
        <stp>BDP|10016773967119430611</stp>
        <tr r="T1151" s="2"/>
      </tp>
      <tp t="s">
        <v>#N/A N/A</v>
        <stp/>
        <stp>BDS|16696078444994385801</stp>
        <tr r="I1212" s="2"/>
      </tp>
      <tp t="s">
        <v>#N/A N/A</v>
        <stp/>
        <stp>BDP|15442004890672139004</stp>
        <tr r="S215" s="2"/>
      </tp>
      <tp t="s">
        <v>#N/A N/A</v>
        <stp/>
        <stp>BDP|17094842804937169645</stp>
        <tr r="H183" s="2"/>
      </tp>
      <tp t="s">
        <v>#N/A N/A</v>
        <stp/>
        <stp>BDP|14878648488987567341</stp>
        <tr r="N2112" s="2"/>
      </tp>
      <tp t="s">
        <v>#N/A N/A</v>
        <stp/>
        <stp>BDP|13035617742099347650</stp>
        <tr r="H2067" s="2"/>
      </tp>
      <tp t="s">
        <v>#N/A N/A</v>
        <stp/>
        <stp>BDP|10738731233058220200</stp>
        <tr r="S502" s="2"/>
      </tp>
      <tp t="s">
        <v>#N/A N/A</v>
        <stp/>
        <stp>BDP|18339787655565315187</stp>
        <tr r="C422" s="2"/>
      </tp>
      <tp t="s">
        <v>#N/A N/A</v>
        <stp/>
        <stp>BDP|16459273096156624562</stp>
        <tr r="J711" s="2"/>
      </tp>
      <tp t="s">
        <v>#N/A N/A</v>
        <stp/>
        <stp>BDP|10975501219663004957</stp>
        <tr r="O1276" s="2"/>
      </tp>
      <tp t="s">
        <v>#N/A N/A</v>
        <stp/>
        <stp>BDP|12558932214214256056</stp>
        <tr r="P73" s="2"/>
      </tp>
      <tp t="s">
        <v>#N/A N/A</v>
        <stp/>
        <stp>BDP|11076679243604168908</stp>
        <tr r="C1009" s="2"/>
      </tp>
      <tp t="s">
        <v>#N/A N/A</v>
        <stp/>
        <stp>BDP|16583249584394526656</stp>
        <tr r="F488" s="2"/>
      </tp>
      <tp t="s">
        <v>#N/A N/A</v>
        <stp/>
        <stp>BDP|10173818721896695228</stp>
        <tr r="H898" s="2"/>
      </tp>
      <tp t="s">
        <v>#N/A N/A</v>
        <stp/>
        <stp>BDP|11739622718679838102</stp>
        <tr r="J2231" s="2"/>
      </tp>
      <tp t="s">
        <v>#N/A N/A</v>
        <stp/>
        <stp>BDP|15184807346753261408</stp>
        <tr r="A358" s="2"/>
      </tp>
      <tp t="s">
        <v>#N/A N/A</v>
        <stp/>
        <stp>BDP|17276848654996021271</stp>
        <tr r="G1104" s="2"/>
      </tp>
      <tp t="s">
        <v>#N/A N/A</v>
        <stp/>
        <stp>BDP|14657374987278232915</stp>
        <tr r="M1790" s="2"/>
      </tp>
      <tp t="s">
        <v>#N/A N/A</v>
        <stp/>
        <stp>BDP|14133244492195504473</stp>
        <tr r="O953" s="2"/>
      </tp>
      <tp t="s">
        <v>#N/A N/A</v>
        <stp/>
        <stp>BDS|17738472094494365016</stp>
        <tr r="I871" s="2"/>
      </tp>
      <tp t="s">
        <v>#N/A N/A</v>
        <stp/>
        <stp>BDP|10832879609321556769</stp>
        <tr r="J1578" s="2"/>
      </tp>
      <tp t="s">
        <v>#N/A N/A</v>
        <stp/>
        <stp>BDP|12613892959226357700</stp>
        <tr r="H654" s="2"/>
      </tp>
      <tp t="s">
        <v>#N/A N/A</v>
        <stp/>
        <stp>BDP|11042836171981562129</stp>
        <tr r="E2043" s="2"/>
      </tp>
      <tp t="s">
        <v>#N/A N/A</v>
        <stp/>
        <stp>BDP|14852052439778067112</stp>
        <tr r="K37" s="2"/>
      </tp>
      <tp t="s">
        <v>#N/A N/A</v>
        <stp/>
        <stp>BDP|16430805232080348306</stp>
        <tr r="G2220" s="2"/>
      </tp>
      <tp t="s">
        <v>#N/A N/A</v>
        <stp/>
        <stp>BDP|17902931679432595538</stp>
        <tr r="S1307" s="2"/>
      </tp>
      <tp t="s">
        <v>#N/A N/A</v>
        <stp/>
        <stp>BDP|14101124670435539928</stp>
        <tr r="M941" s="2"/>
      </tp>
      <tp t="s">
        <v>#N/A N/A</v>
        <stp/>
        <stp>BDP|15285540865419101167</stp>
        <tr r="E688" s="2"/>
      </tp>
      <tp t="s">
        <v>#N/A N/A</v>
        <stp/>
        <stp>BDP|14902889735580074100</stp>
        <tr r="F631" s="2"/>
      </tp>
      <tp t="s">
        <v>#N/A N/A</v>
        <stp/>
        <stp>BDP|16247833504194380425</stp>
        <tr r="P271" s="2"/>
      </tp>
      <tp t="s">
        <v>#N/A N/A</v>
        <stp/>
        <stp>BDP|16971342023430299983</stp>
        <tr r="P1324" s="2"/>
      </tp>
      <tp t="s">
        <v>#N/A N/A</v>
        <stp/>
        <stp>BDP|10143089702796757884</stp>
        <tr r="P1967" s="2"/>
      </tp>
      <tp t="s">
        <v>#N/A N/A</v>
        <stp/>
        <stp>BDP|16622547275629698351</stp>
        <tr r="D246" s="2"/>
      </tp>
      <tp t="s">
        <v>#N/A N/A</v>
        <stp/>
        <stp>BDP|18336709293518242060</stp>
        <tr r="T2042" s="2"/>
      </tp>
      <tp t="s">
        <v>#N/A N/A</v>
        <stp/>
        <stp>BDP|13454884249389113809</stp>
        <tr r="T86" s="2"/>
      </tp>
      <tp t="s">
        <v>#N/A N/A</v>
        <stp/>
        <stp>BDP|10002312701989731432</stp>
        <tr r="K775" s="2"/>
      </tp>
      <tp t="s">
        <v>#N/A N/A</v>
        <stp/>
        <stp>BDP|17036945212840170133</stp>
        <tr r="J548" s="2"/>
      </tp>
      <tp t="s">
        <v>#N/A N/A</v>
        <stp/>
        <stp>BDP|16579905742930450577</stp>
        <tr r="H1014" s="2"/>
      </tp>
      <tp t="s">
        <v>#N/A N/A</v>
        <stp/>
        <stp>BDP|11040707926813020920</stp>
        <tr r="E1832" s="2"/>
      </tp>
      <tp t="s">
        <v>#N/A N/A</v>
        <stp/>
        <stp>BDP|11124623622522148949</stp>
        <tr r="F581" s="2"/>
      </tp>
      <tp t="s">
        <v>#N/A N/A</v>
        <stp/>
        <stp>BDP|18216809722364311873</stp>
        <tr r="R2078" s="2"/>
      </tp>
      <tp t="s">
        <v>#N/A N/A</v>
        <stp/>
        <stp>BDP|13711924713155143039</stp>
        <tr r="M2198" s="2"/>
      </tp>
      <tp t="s">
        <v>#N/A N/A</v>
        <stp/>
        <stp>BDP|14190697163232601895</stp>
        <tr r="F709" s="2"/>
      </tp>
      <tp t="s">
        <v>#N/A N/A</v>
        <stp/>
        <stp>BDP|17662949240420658406</stp>
        <tr r="R722" s="2"/>
      </tp>
      <tp t="s">
        <v>#N/A N/A</v>
        <stp/>
        <stp>BDP|13924295382201696604</stp>
        <tr r="G1469" s="2"/>
      </tp>
      <tp t="s">
        <v>#N/A N/A</v>
        <stp/>
        <stp>BDP|16120254253668196721</stp>
        <tr r="G1587" s="2"/>
      </tp>
      <tp t="s">
        <v>#N/A N/A</v>
        <stp/>
        <stp>BDP|18390407137171624065</stp>
        <tr r="N1554" s="2"/>
      </tp>
      <tp t="s">
        <v>#N/A N/A</v>
        <stp/>
        <stp>BDP|18021539584699005232</stp>
        <tr r="H2046" s="2"/>
      </tp>
      <tp t="s">
        <v>#N/A N/A</v>
        <stp/>
        <stp>BDP|17560901827814538633</stp>
        <tr r="F787" s="2"/>
      </tp>
      <tp t="s">
        <v>#N/A N/A</v>
        <stp/>
        <stp>BDP|16592669758913934865</stp>
        <tr r="C524" s="2"/>
      </tp>
      <tp t="s">
        <v>#N/A N/A</v>
        <stp/>
        <stp>BDP|12332166711214716879</stp>
        <tr r="S1315" s="2"/>
      </tp>
      <tp t="s">
        <v>#N/A N/A</v>
        <stp/>
        <stp>BDS|15951419899107617102</stp>
        <tr r="I1413" s="2"/>
      </tp>
      <tp t="s">
        <v>#N/A N/A</v>
        <stp/>
        <stp>BDP|17183824553183617722</stp>
        <tr r="J299" s="2"/>
      </tp>
      <tp t="s">
        <v>#N/A N/A</v>
        <stp/>
        <stp>BDP|16425881813542291391</stp>
        <tr r="A102" s="2"/>
      </tp>
      <tp t="s">
        <v>#N/A N/A</v>
        <stp/>
        <stp>BDP|16124894472745660289</stp>
        <tr r="T92" s="2"/>
      </tp>
      <tp t="s">
        <v>#N/A N/A</v>
        <stp/>
        <stp>BDP|13545512486204293443</stp>
        <tr r="O1357" s="2"/>
      </tp>
      <tp t="s">
        <v>#N/A N/A</v>
        <stp/>
        <stp>BDP|13386071792283210707</stp>
        <tr r="O1392" s="2"/>
      </tp>
      <tp t="s">
        <v>#N/A N/A</v>
        <stp/>
        <stp>BDP|10742348257148245024</stp>
        <tr r="H1935" s="2"/>
      </tp>
      <tp t="s">
        <v>#N/A N/A</v>
        <stp/>
        <stp>BDP|13537394587182699492</stp>
        <tr r="R415" s="2"/>
      </tp>
      <tp t="s">
        <v>#N/A N/A</v>
        <stp/>
        <stp>BDP|11369695572777405988</stp>
        <tr r="T1818" s="2"/>
      </tp>
      <tp t="s">
        <v>#N/A N/A</v>
        <stp/>
        <stp>BDP|15479867451314274258</stp>
        <tr r="E1336" s="2"/>
      </tp>
      <tp t="s">
        <v>#N/A N/A</v>
        <stp/>
        <stp>BDS|17029014635953551966</stp>
        <tr r="I154" s="2"/>
      </tp>
      <tp t="s">
        <v>#N/A N/A</v>
        <stp/>
        <stp>BDP|11453779746064944884</stp>
        <tr r="N467" s="2"/>
      </tp>
      <tp t="s">
        <v>#N/A N/A</v>
        <stp/>
        <stp>BDP|10408607881868266835</stp>
        <tr r="C243" s="2"/>
      </tp>
      <tp t="s">
        <v>#N/A N/A</v>
        <stp/>
        <stp>BDP|15815895963034402127</stp>
        <tr r="J745" s="2"/>
      </tp>
      <tp t="s">
        <v>#N/A N/A</v>
        <stp/>
        <stp>BDP|16658097999083780259</stp>
        <tr r="K1291" s="2"/>
      </tp>
      <tp t="s">
        <v>#N/A N/A</v>
        <stp/>
        <stp>BDP|11930843376403722385</stp>
        <tr r="K342" s="2"/>
      </tp>
      <tp t="s">
        <v>#N/A N/A</v>
        <stp/>
        <stp>BDP|12911637016273135894</stp>
        <tr r="M978" s="2"/>
      </tp>
      <tp t="s">
        <v>#N/A N/A</v>
        <stp/>
        <stp>BDP|14764111237870453819</stp>
        <tr r="T909" s="2"/>
      </tp>
      <tp t="s">
        <v>#N/A N/A</v>
        <stp/>
        <stp>BDP|14258042455097568823</stp>
        <tr r="D389" s="2"/>
      </tp>
      <tp t="s">
        <v>#N/A N/A</v>
        <stp/>
        <stp>BDP|13043121618824999976</stp>
        <tr r="R2041" s="2"/>
      </tp>
      <tp t="s">
        <v>#N/A N/A</v>
        <stp/>
        <stp>BDP|14777640395236039324</stp>
        <tr r="R1310" s="2"/>
      </tp>
      <tp t="s">
        <v>#N/A N/A</v>
        <stp/>
        <stp>BDP|17060581993875685095</stp>
        <tr r="A457" s="2"/>
      </tp>
      <tp t="s">
        <v>#N/A N/A</v>
        <stp/>
        <stp>BDP|12710707390402186028</stp>
        <tr r="M1252" s="2"/>
      </tp>
      <tp t="s">
        <v>#N/A N/A</v>
        <stp/>
        <stp>BDP|15457960844580500672</stp>
        <tr r="M268" s="2"/>
      </tp>
      <tp t="s">
        <v>#N/A N/A</v>
        <stp/>
        <stp>BDP|16543861882289462113</stp>
        <tr r="D2182" s="2"/>
      </tp>
      <tp t="s">
        <v>#N/A N/A</v>
        <stp/>
        <stp>BDP|12261697359938181772</stp>
        <tr r="P1344" s="2"/>
      </tp>
      <tp t="s">
        <v>#N/A N/A</v>
        <stp/>
        <stp>BDP|10742766921619036246</stp>
        <tr r="K1362" s="2"/>
      </tp>
      <tp t="s">
        <v>#N/A N/A</v>
        <stp/>
        <stp>BDP|11440389756308678188</stp>
        <tr r="J1991" s="2"/>
      </tp>
      <tp t="s">
        <v>#N/A N/A</v>
        <stp/>
        <stp>BDP|15901295996233314317</stp>
        <tr r="O481" s="2"/>
      </tp>
      <tp t="s">
        <v>#N/A N/A</v>
        <stp/>
        <stp>BDP|15150548231468704578</stp>
        <tr r="R1740" s="2"/>
      </tp>
      <tp t="s">
        <v>#N/A N/A</v>
        <stp/>
        <stp>BDP|15449990446457707180</stp>
        <tr r="E2226" s="2"/>
      </tp>
      <tp t="s">
        <v>#N/A N/A</v>
        <stp/>
        <stp>BDP|15577288138072784867</stp>
        <tr r="T1710" s="2"/>
      </tp>
      <tp t="s">
        <v>#N/A N/A</v>
        <stp/>
        <stp>BDS|15944363848305579953</stp>
        <tr r="I363" s="2"/>
      </tp>
      <tp t="s">
        <v>#N/A N/A</v>
        <stp/>
        <stp>BDP|13729903541903786357</stp>
        <tr r="F39" s="2"/>
      </tp>
      <tp t="s">
        <v>#N/A N/A</v>
        <stp/>
        <stp>BDP|11954148777640741998</stp>
        <tr r="S2184" s="2"/>
      </tp>
      <tp t="s">
        <v>#N/A N/A</v>
        <stp/>
        <stp>BDP|13686968599665946845</stp>
        <tr r="N239" s="2"/>
      </tp>
      <tp t="s">
        <v>#N/A N/A</v>
        <stp/>
        <stp>BDP|13937450318049873183</stp>
        <tr r="R1041" s="2"/>
      </tp>
      <tp t="s">
        <v>#N/A N/A</v>
        <stp/>
        <stp>BDP|14270371099135831503</stp>
        <tr r="M2173" s="2"/>
      </tp>
      <tp t="s">
        <v>#N/A N/A</v>
        <stp/>
        <stp>BDP|10337130690671226761</stp>
        <tr r="H820" s="2"/>
      </tp>
      <tp t="s">
        <v>#N/A N/A</v>
        <stp/>
        <stp>BDP|15418952331516069746</stp>
        <tr r="G1720" s="2"/>
      </tp>
      <tp t="s">
        <v>#N/A N/A</v>
        <stp/>
        <stp>BDP|12334606461939681502</stp>
        <tr r="J1302" s="2"/>
      </tp>
      <tp t="s">
        <v>#N/A N/A</v>
        <stp/>
        <stp>BDP|13879792023311368955</stp>
        <tr r="C43" s="2"/>
      </tp>
      <tp t="s">
        <v>#N/A N/A</v>
        <stp/>
        <stp>BDP|15445941791739203277</stp>
        <tr r="A707" s="2"/>
      </tp>
      <tp t="s">
        <v>#N/A N/A</v>
        <stp/>
        <stp>BDP|12507856653274712501</stp>
        <tr r="T1120" s="2"/>
      </tp>
      <tp t="s">
        <v>#N/A N/A</v>
        <stp/>
        <stp>BDP|10647961136441614544</stp>
        <tr r="C1382" s="2"/>
      </tp>
      <tp t="s">
        <v>#N/A N/A</v>
        <stp/>
        <stp>BDP|15546899070892079686</stp>
        <tr r="R2038" s="2"/>
      </tp>
      <tp t="s">
        <v>#N/A N/A</v>
        <stp/>
        <stp>BDP|10759875801493377558</stp>
        <tr r="S1876" s="2"/>
      </tp>
      <tp t="s">
        <v>#N/A N/A</v>
        <stp/>
        <stp>BDP|11750805210501269728</stp>
        <tr r="N1109" s="2"/>
      </tp>
      <tp t="s">
        <v>#N/A N/A</v>
        <stp/>
        <stp>BDP|15884963470881102488</stp>
        <tr r="J53" s="2"/>
      </tp>
      <tp t="s">
        <v>#N/A N/A</v>
        <stp/>
        <stp>BDP|13119813936235926389</stp>
        <tr r="G2006" s="2"/>
      </tp>
      <tp t="s">
        <v>#N/A N/A</v>
        <stp/>
        <stp>BDS|15377351672176290925</stp>
        <tr r="I1876" s="2"/>
      </tp>
      <tp t="s">
        <v>#N/A N/A</v>
        <stp/>
        <stp>BDP|16958996547863672666</stp>
        <tr r="N825" s="2"/>
      </tp>
      <tp t="s">
        <v>#N/A N/A</v>
        <stp/>
        <stp>BDP|17482028575218383670</stp>
        <tr r="T1913" s="2"/>
      </tp>
      <tp t="s">
        <v>#N/A N/A</v>
        <stp/>
        <stp>BDP|11202277083930856591</stp>
        <tr r="M2039" s="2"/>
      </tp>
      <tp t="s">
        <v>#N/A N/A</v>
        <stp/>
        <stp>BDP|17514412541419396014</stp>
        <tr r="R368" s="2"/>
      </tp>
      <tp t="s">
        <v>#N/A N/A</v>
        <stp/>
        <stp>BDP|11072210791525139168</stp>
        <tr r="G1875" s="2"/>
      </tp>
      <tp t="s">
        <v>#N/A N/A</v>
        <stp/>
        <stp>BDP|12701150237217584973</stp>
        <tr r="R983" s="2"/>
      </tp>
      <tp t="s">
        <v>#N/A N/A</v>
        <stp/>
        <stp>BDP|12156262685467329169</stp>
        <tr r="N478" s="2"/>
      </tp>
      <tp t="s">
        <v>#N/A N/A</v>
        <stp/>
        <stp>BDP|16690890638494250720</stp>
        <tr r="A905" s="2"/>
      </tp>
      <tp t="s">
        <v>#N/A N/A</v>
        <stp/>
        <stp>BDP|17468884504044836579</stp>
        <tr r="E131" s="2"/>
      </tp>
      <tp t="s">
        <v>#N/A N/A</v>
        <stp/>
        <stp>BDP|13703890922084298391</stp>
        <tr r="K763" s="2"/>
      </tp>
      <tp t="s">
        <v>#N/A N/A</v>
        <stp/>
        <stp>BDP|14654674255758767148</stp>
        <tr r="M206" s="2"/>
      </tp>
      <tp t="s">
        <v>#N/A N/A</v>
        <stp/>
        <stp>BDP|16144139580906485714</stp>
        <tr r="P1754" s="2"/>
      </tp>
      <tp t="s">
        <v>#N/A N/A</v>
        <stp/>
        <stp>BDP|13697460696713073316</stp>
        <tr r="F1189" s="2"/>
      </tp>
      <tp t="s">
        <v>#N/A N/A</v>
        <stp/>
        <stp>BDP|14496199190914915637</stp>
        <tr r="T1511" s="2"/>
      </tp>
      <tp t="s">
        <v>#N/A N/A</v>
        <stp/>
        <stp>BDP|10213020304058698656</stp>
        <tr r="P28" s="2"/>
      </tp>
      <tp t="s">
        <v>#N/A N/A</v>
        <stp/>
        <stp>BDP|14190900607605188609</stp>
        <tr r="R1983" s="2"/>
      </tp>
      <tp t="s">
        <v>#N/A N/A</v>
        <stp/>
        <stp>BDP|10675971995758492676</stp>
        <tr r="F73" s="2"/>
      </tp>
      <tp t="s">
        <v>#N/A N/A</v>
        <stp/>
        <stp>BDP|12069545954824129867</stp>
        <tr r="G1527" s="2"/>
      </tp>
      <tp t="s">
        <v>#N/A N/A</v>
        <stp/>
        <stp>BDP|11214426731531388957</stp>
        <tr r="H2095" s="2"/>
      </tp>
      <tp t="s">
        <v>#N/A N/A</v>
        <stp/>
        <stp>BDP|15220526402169007758</stp>
        <tr r="F1326" s="2"/>
      </tp>
      <tp t="s">
        <v>#N/A N/A</v>
        <stp/>
        <stp>BDS|16489155950034586808</stp>
        <tr r="I405" s="2"/>
      </tp>
      <tp t="s">
        <v>#N/A N/A</v>
        <stp/>
        <stp>BDP|14015190299677139568</stp>
        <tr r="K577" s="2"/>
      </tp>
      <tp t="s">
        <v>#N/A N/A</v>
        <stp/>
        <stp>BDP|16074071245339400519</stp>
        <tr r="C1440" s="2"/>
      </tp>
      <tp t="s">
        <v>#N/A N/A</v>
        <stp/>
        <stp>BDP|17860714061838716087</stp>
        <tr r="M186" s="2"/>
      </tp>
      <tp t="s">
        <v>#N/A N/A</v>
        <stp/>
        <stp>BDP|10267905153522490023</stp>
        <tr r="D322" s="2"/>
      </tp>
      <tp t="s">
        <v>#N/A N/A</v>
        <stp/>
        <stp>BDP|10225646738859120282</stp>
        <tr r="D1271" s="2"/>
      </tp>
      <tp t="s">
        <v>#N/A N/A</v>
        <stp/>
        <stp>BDP|10664450094923731070</stp>
        <tr r="A1036" s="2"/>
      </tp>
      <tp t="s">
        <v>#N/A N/A</v>
        <stp/>
        <stp>BDP|14049946671285481164</stp>
        <tr r="R1804" s="2"/>
      </tp>
      <tp t="s">
        <v>#N/A N/A</v>
        <stp/>
        <stp>BDP|13163905476634831785</stp>
        <tr r="T652" s="2"/>
      </tp>
      <tp t="s">
        <v>#N/A N/A</v>
        <stp/>
        <stp>BDP|11159285971058763285</stp>
        <tr r="C1303" s="2"/>
      </tp>
      <tp t="s">
        <v>#N/A N/A</v>
        <stp/>
        <stp>BDP|11971815548125087678</stp>
        <tr r="K272" s="2"/>
      </tp>
      <tp t="s">
        <v>#N/A N/A</v>
        <stp/>
        <stp>BDP|11619293817255774984</stp>
        <tr r="N1906" s="2"/>
      </tp>
      <tp t="s">
        <v>#N/A N/A</v>
        <stp/>
        <stp>BDP|12637002394194710123</stp>
        <tr r="M1360" s="2"/>
      </tp>
      <tp t="s">
        <v>#N/A N/A</v>
        <stp/>
        <stp>BDP|15532724900819553558</stp>
        <tr r="G324" s="2"/>
      </tp>
      <tp t="s">
        <v>#N/A N/A</v>
        <stp/>
        <stp>BDP|18299781356754857038</stp>
        <tr r="O2255" s="2"/>
      </tp>
      <tp t="s">
        <v>#N/A N/A</v>
        <stp/>
        <stp>BDP|10602353461259568205</stp>
        <tr r="O2064" s="2"/>
      </tp>
      <tp t="s">
        <v>#N/A N/A</v>
        <stp/>
        <stp>BDP|13708863569591820276</stp>
        <tr r="T567" s="2"/>
      </tp>
      <tp t="s">
        <v>#N/A N/A</v>
        <stp/>
        <stp>BDP|17920965708705725570</stp>
        <tr r="T2047" s="2"/>
      </tp>
      <tp t="s">
        <v>#N/A N/A</v>
        <stp/>
        <stp>BDP|10991071281695884307</stp>
        <tr r="H263" s="2"/>
      </tp>
      <tp t="s">
        <v>#N/A N/A</v>
        <stp/>
        <stp>BDP|17194039632888783201</stp>
        <tr r="S2208" s="2"/>
      </tp>
      <tp t="s">
        <v>#N/A N/A</v>
        <stp/>
        <stp>BDP|17640540692373522624</stp>
        <tr r="T392" s="2"/>
      </tp>
      <tp t="s">
        <v>#N/A N/A</v>
        <stp/>
        <stp>BDP|14696628973223010802</stp>
        <tr r="H869" s="2"/>
      </tp>
      <tp t="s">
        <v>#N/A N/A</v>
        <stp/>
        <stp>BDP|17359152884089134944</stp>
        <tr r="T877" s="2"/>
      </tp>
      <tp t="s">
        <v>#N/A N/A</v>
        <stp/>
        <stp>BDP|15205315644188945490</stp>
        <tr r="O2075" s="2"/>
      </tp>
      <tp t="s">
        <v>#N/A N/A</v>
        <stp/>
        <stp>BDP|15217857251383779562</stp>
        <tr r="P234" s="2"/>
      </tp>
      <tp t="s">
        <v>#N/A N/A</v>
        <stp/>
        <stp>BDP|11871892880326346955</stp>
        <tr r="O1155" s="2"/>
      </tp>
      <tp t="s">
        <v>#N/A N/A</v>
        <stp/>
        <stp>BDP|14749301711670934887</stp>
        <tr r="P889" s="2"/>
      </tp>
      <tp t="s">
        <v>#N/A N/A</v>
        <stp/>
        <stp>BDP|10473070776549349011</stp>
        <tr r="H364" s="2"/>
      </tp>
      <tp t="s">
        <v>#N/A N/A</v>
        <stp/>
        <stp>BDP|17199337275244297922</stp>
        <tr r="M799" s="2"/>
      </tp>
      <tp t="s">
        <v>#N/A N/A</v>
        <stp/>
        <stp>BDP|16886340093921004386</stp>
        <tr r="M1486" s="2"/>
      </tp>
      <tp t="s">
        <v>#N/A N/A</v>
        <stp/>
        <stp>BDP|10358435595247415465</stp>
        <tr r="A1355" s="2"/>
      </tp>
      <tp t="s">
        <v>#N/A N/A</v>
        <stp/>
        <stp>BDP|14880933466536909338</stp>
        <tr r="M1766" s="2"/>
      </tp>
      <tp t="s">
        <v>#N/A N/A</v>
        <stp/>
        <stp>BDP|15768895101026165593</stp>
        <tr r="M1359" s="2"/>
      </tp>
      <tp t="s">
        <v>#N/A N/A</v>
        <stp/>
        <stp>BDP|16017768721878169511</stp>
        <tr r="K1449" s="2"/>
      </tp>
      <tp t="s">
        <v>#N/A N/A</v>
        <stp/>
        <stp>BDP|10247423170389505422</stp>
        <tr r="F572" s="2"/>
      </tp>
      <tp t="s">
        <v>#N/A N/A</v>
        <stp/>
        <stp>BDP|16104879276077265059</stp>
        <tr r="J1615" s="2"/>
      </tp>
      <tp t="s">
        <v>#N/A N/A</v>
        <stp/>
        <stp>BDP|12362367993836389027</stp>
        <tr r="N287" s="2"/>
      </tp>
      <tp t="s">
        <v>#N/A N/A</v>
        <stp/>
        <stp>BDP|12275523688380908161</stp>
        <tr r="Q1742" s="2"/>
      </tp>
      <tp t="s">
        <v>#N/A N/A</v>
        <stp/>
        <stp>BDP|11835897164232125332</stp>
        <tr r="N129" s="2"/>
      </tp>
      <tp t="s">
        <v>#N/A N/A</v>
        <stp/>
        <stp>BDS|12893299300878645639</stp>
        <tr r="I200" s="2"/>
      </tp>
      <tp t="s">
        <v>#N/A N/A</v>
        <stp/>
        <stp>BDP|15713469472621188952</stp>
        <tr r="M1701" s="2"/>
      </tp>
      <tp t="s">
        <v>#N/A N/A</v>
        <stp/>
        <stp>BDP|13814487381118208943</stp>
        <tr r="G1275" s="2"/>
      </tp>
      <tp t="s">
        <v>#N/A N/A</v>
        <stp/>
        <stp>BDP|15396105176794695946</stp>
        <tr r="H1302" s="2"/>
      </tp>
      <tp t="s">
        <v>#N/A N/A</v>
        <stp/>
        <stp>BDP|18327835607897233928</stp>
        <tr r="S564" s="2"/>
      </tp>
      <tp t="s">
        <v>#N/A N/A</v>
        <stp/>
        <stp>BDP|11664173147032783869</stp>
        <tr r="D565" s="2"/>
      </tp>
      <tp t="s">
        <v>#N/A N/A</v>
        <stp/>
        <stp>BDP|14634952178241554592</stp>
        <tr r="R638" s="2"/>
      </tp>
      <tp t="s">
        <v>#N/A N/A</v>
        <stp/>
        <stp>BDP|12700971644358477971</stp>
        <tr r="O1363" s="2"/>
      </tp>
      <tp t="s">
        <v>#N/A N/A</v>
        <stp/>
        <stp>BDP|11356060025639114466</stp>
        <tr r="E1704" s="2"/>
      </tp>
      <tp t="s">
        <v>#N/A N/A</v>
        <stp/>
        <stp>BDP|15946790653619241062</stp>
        <tr r="Q1686" s="2"/>
      </tp>
      <tp t="s">
        <v>#N/A N/A</v>
        <stp/>
        <stp>BDP|15418413466120403918</stp>
        <tr r="O491" s="2"/>
      </tp>
      <tp t="s">
        <v>#N/A N/A</v>
        <stp/>
        <stp>BDP|14615248574388564757</stp>
        <tr r="J1874" s="2"/>
      </tp>
      <tp t="s">
        <v>#N/A N/A</v>
        <stp/>
        <stp>BDP|17464629690402058405</stp>
        <tr r="Q1673" s="2"/>
      </tp>
      <tp t="s">
        <v>#N/A N/A</v>
        <stp/>
        <stp>BDP|12479928371723910183</stp>
        <tr r="O2071" s="2"/>
      </tp>
      <tp t="s">
        <v>#N/A N/A</v>
        <stp/>
        <stp>BDP|13746110101335253938</stp>
        <tr r="Q46" s="2"/>
      </tp>
      <tp t="s">
        <v>#N/A N/A</v>
        <stp/>
        <stp>BDP|15596568920519589506</stp>
        <tr r="N1746" s="2"/>
      </tp>
      <tp t="s">
        <v>#N/A N/A</v>
        <stp/>
        <stp>BDP|18299510866015726041</stp>
        <tr r="G1869" s="2"/>
      </tp>
      <tp t="s">
        <v>#N/A N/A</v>
        <stp/>
        <stp>BDP|12089242876518230166</stp>
        <tr r="A847" s="2"/>
      </tp>
      <tp t="s">
        <v>#N/A N/A</v>
        <stp/>
        <stp>BDP|18397408740207200179</stp>
        <tr r="Q91" s="2"/>
      </tp>
      <tp t="s">
        <v>#N/A N/A</v>
        <stp/>
        <stp>BDP|15962857038795376518</stp>
        <tr r="M654" s="2"/>
      </tp>
      <tp t="s">
        <v>#N/A N/A</v>
        <stp/>
        <stp>BDP|11020383380502849669</stp>
        <tr r="J1601" s="2"/>
      </tp>
      <tp t="s">
        <v>#N/A N/A</v>
        <stp/>
        <stp>BDP|17571339270275023807</stp>
        <tr r="F1727" s="2"/>
      </tp>
      <tp t="s">
        <v>#N/A N/A</v>
        <stp/>
        <stp>BDP|14816136987596224589</stp>
        <tr r="G394" s="2"/>
      </tp>
      <tp t="s">
        <v>#N/A N/A</v>
        <stp/>
        <stp>BDP|12283152090091244536</stp>
        <tr r="H817" s="2"/>
      </tp>
      <tp t="s">
        <v>#N/A N/A</v>
        <stp/>
        <stp>BDP|18432519305881322258</stp>
        <tr r="K1207" s="2"/>
      </tp>
      <tp t="s">
        <v>#N/A N/A</v>
        <stp/>
        <stp>BDP|12256776408612994923</stp>
        <tr r="G992" s="2"/>
      </tp>
      <tp t="s">
        <v>#N/A N/A</v>
        <stp/>
        <stp>BDP|13667283104446561998</stp>
        <tr r="C356" s="2"/>
      </tp>
      <tp t="s">
        <v>#N/A N/A</v>
        <stp/>
        <stp>BDP|11074893102787599084</stp>
        <tr r="O605" s="2"/>
      </tp>
      <tp t="s">
        <v>#N/A N/A</v>
        <stp/>
        <stp>BDP|12288132357240808886</stp>
        <tr r="P1077" s="2"/>
      </tp>
      <tp t="s">
        <v>#N/A N/A</v>
        <stp/>
        <stp>BDP|13495535826543379940</stp>
        <tr r="H1634" s="2"/>
      </tp>
      <tp t="s">
        <v>#N/A N/A</v>
        <stp/>
        <stp>BDS|13105796911353599892</stp>
        <tr r="I2016" s="2"/>
      </tp>
      <tp t="s">
        <v>#N/A N/A</v>
        <stp/>
        <stp>BDP|14164805061841003565</stp>
        <tr r="R495" s="2"/>
      </tp>
      <tp t="s">
        <v>#N/A N/A</v>
        <stp/>
        <stp>BDP|14615179956406474856</stp>
        <tr r="N1222" s="2"/>
      </tp>
      <tp t="s">
        <v>#N/A N/A</v>
        <stp/>
        <stp>BDP|17892302679175235854</stp>
        <tr r="A1945" s="2"/>
      </tp>
      <tp t="s">
        <v>#N/A N/A</v>
        <stp/>
        <stp>BDP|16750470074112492960</stp>
        <tr r="O173" s="2"/>
      </tp>
      <tp t="s">
        <v>#N/A N/A</v>
        <stp/>
        <stp>BDP|11840821158711572318</stp>
        <tr r="T350" s="2"/>
      </tp>
      <tp t="s">
        <v>#N/A N/A</v>
        <stp/>
        <stp>BDP|11737792446614627889</stp>
        <tr r="Q1139" s="2"/>
      </tp>
      <tp t="s">
        <v>#N/A N/A</v>
        <stp/>
        <stp>BDP|11232092919596195851</stp>
        <tr r="J1234" s="2"/>
      </tp>
      <tp t="s">
        <v>#N/A N/A</v>
        <stp/>
        <stp>BDP|16302953144645097040</stp>
        <tr r="J335" s="2"/>
      </tp>
      <tp t="s">
        <v>#N/A N/A</v>
        <stp/>
        <stp>BDS|11681916633837486252</stp>
        <tr r="I1676" s="2"/>
      </tp>
      <tp t="s">
        <v>#N/A N/A</v>
        <stp/>
        <stp>BDP|10459127883783735445</stp>
        <tr r="S326" s="2"/>
      </tp>
      <tp t="s">
        <v>#N/A N/A</v>
        <stp/>
        <stp>BDP|10496603926502598815</stp>
        <tr r="D289" s="2"/>
      </tp>
      <tp t="s">
        <v>#N/A N/A</v>
        <stp/>
        <stp>BDP|15434243530963186972</stp>
        <tr r="N2113" s="2"/>
      </tp>
      <tp t="s">
        <v>#N/A N/A</v>
        <stp/>
        <stp>BDP|16359819756880119537</stp>
        <tr r="K1580" s="2"/>
      </tp>
      <tp t="s">
        <v>#N/A N/A</v>
        <stp/>
        <stp>BDP|13338244139798849406</stp>
        <tr r="H462" s="2"/>
      </tp>
      <tp t="s">
        <v>#N/A N/A</v>
        <stp/>
        <stp>BDS|13985881630890373674</stp>
        <tr r="I887" s="2"/>
      </tp>
      <tp t="s">
        <v>#N/A N/A</v>
        <stp/>
        <stp>BDP|11869236687821295483</stp>
        <tr r="J841" s="2"/>
      </tp>
      <tp t="s">
        <v>#N/A N/A</v>
        <stp/>
        <stp>BDP|10642837063460625067</stp>
        <tr r="H115" s="2"/>
      </tp>
      <tp t="s">
        <v>#N/A N/A</v>
        <stp/>
        <stp>BDS|17467795418506350931</stp>
        <tr r="I1699" s="2"/>
      </tp>
      <tp t="s">
        <v>#N/A N/A</v>
        <stp/>
        <stp>BDP|16039984326053963010</stp>
        <tr r="O503" s="2"/>
      </tp>
      <tp t="s">
        <v>#N/A N/A</v>
        <stp/>
        <stp>BDP|10532705220968770349</stp>
        <tr r="O1106" s="2"/>
      </tp>
      <tp t="s">
        <v>#N/A N/A</v>
        <stp/>
        <stp>BDP|10951829069953225366</stp>
        <tr r="P839" s="2"/>
      </tp>
      <tp t="s">
        <v>#N/A N/A</v>
        <stp/>
        <stp>BDP|10930127182940886774</stp>
        <tr r="D2033" s="2"/>
      </tp>
      <tp t="s">
        <v>#N/A N/A</v>
        <stp/>
        <stp>BDP|16743293596171659283</stp>
        <tr r="P2014" s="2"/>
      </tp>
      <tp t="s">
        <v>#N/A N/A</v>
        <stp/>
        <stp>BDP|12577877745270630071</stp>
        <tr r="T1038" s="2"/>
      </tp>
      <tp t="s">
        <v>#N/A N/A</v>
        <stp/>
        <stp>BDP|11595028832664785848</stp>
        <tr r="M1406" s="2"/>
      </tp>
      <tp t="s">
        <v>#N/A N/A</v>
        <stp/>
        <stp>BDP|13663853324291691679</stp>
        <tr r="C403" s="2"/>
      </tp>
      <tp t="s">
        <v>#N/A N/A</v>
        <stp/>
        <stp>BDP|15644323890309118832</stp>
        <tr r="D176" s="2"/>
      </tp>
      <tp t="s">
        <v>#N/A N/A</v>
        <stp/>
        <stp>BDP|18382605807892353217</stp>
        <tr r="H223" s="2"/>
      </tp>
      <tp t="s">
        <v>#N/A N/A</v>
        <stp/>
        <stp>BDP|14660803354172648526</stp>
        <tr r="F2102" s="2"/>
      </tp>
      <tp t="s">
        <v>#N/A N/A</v>
        <stp/>
        <stp>BDP|17341305723980271849</stp>
        <tr r="M658" s="2"/>
      </tp>
      <tp t="s">
        <v>#N/A N/A</v>
        <stp/>
        <stp>BDP|12135285152789438294</stp>
        <tr r="E242" s="2"/>
      </tp>
      <tp t="s">
        <v>#N/A N/A</v>
        <stp/>
        <stp>BDP|13664062159421733985</stp>
        <tr r="F2061" s="2"/>
      </tp>
      <tp t="s">
        <v>#N/A N/A</v>
        <stp/>
        <stp>BDS|10583848169048512887</stp>
        <tr r="I16" s="2"/>
      </tp>
      <tp t="s">
        <v>#N/A N/A</v>
        <stp/>
        <stp>BDP|10260812600220142644</stp>
        <tr r="S141" s="2"/>
      </tp>
      <tp t="s">
        <v>#N/A N/A</v>
        <stp/>
        <stp>BDP|12736894049378670875</stp>
        <tr r="H175" s="2"/>
      </tp>
      <tp t="s">
        <v>#N/A N/A</v>
        <stp/>
        <stp>BDP|17842797196304222334</stp>
        <tr r="T442" s="2"/>
      </tp>
      <tp t="s">
        <v>#N/A N/A</v>
        <stp/>
        <stp>BDS|14529822686822740839</stp>
        <tr r="I2049" s="2"/>
      </tp>
      <tp t="s">
        <v>#N/A N/A</v>
        <stp/>
        <stp>BDS|15438089490252053098</stp>
        <tr r="I1350" s="2"/>
      </tp>
      <tp t="s">
        <v>#N/A N/A</v>
        <stp/>
        <stp>BDP|10724041011748655724</stp>
        <tr r="P506" s="2"/>
      </tp>
      <tp t="s">
        <v>#N/A N/A</v>
        <stp/>
        <stp>BDP|12191171261148550349</stp>
        <tr r="C1866" s="2"/>
      </tp>
      <tp t="s">
        <v>#N/A N/A</v>
        <stp/>
        <stp>BDP|15653821118312302092</stp>
        <tr r="G1758" s="2"/>
      </tp>
      <tp t="s">
        <v>#N/A N/A</v>
        <stp/>
        <stp>BDP|16064962234120754235</stp>
        <tr r="K155" s="2"/>
      </tp>
      <tp t="s">
        <v>#N/A N/A</v>
        <stp/>
        <stp>BDP|18006532221863091246</stp>
        <tr r="J1273" s="2"/>
      </tp>
      <tp t="s">
        <v>#N/A N/A</v>
        <stp/>
        <stp>BDP|13192053862963310836</stp>
        <tr r="D861" s="2"/>
      </tp>
      <tp t="s">
        <v>#N/A N/A</v>
        <stp/>
        <stp>BDP|10400874153195301651</stp>
        <tr r="Q28" s="2"/>
      </tp>
      <tp t="s">
        <v>#N/A N/A</v>
        <stp/>
        <stp>BDP|11571420852158537661</stp>
        <tr r="S309" s="2"/>
      </tp>
      <tp t="s">
        <v>#N/A N/A</v>
        <stp/>
        <stp>BDP|17426895362837429126</stp>
        <tr r="F1021" s="2"/>
      </tp>
      <tp t="s">
        <v>#N/A N/A</v>
        <stp/>
        <stp>BDP|12707688968588818567</stp>
        <tr r="R784" s="2"/>
      </tp>
      <tp t="s">
        <v>#N/A N/A</v>
        <stp/>
        <stp>BDP|15042205296930914162</stp>
        <tr r="K129" s="2"/>
      </tp>
      <tp t="s">
        <v>#N/A N/A</v>
        <stp/>
        <stp>BDP|10485683084022016311</stp>
        <tr r="T934" s="2"/>
      </tp>
      <tp t="s">
        <v>#N/A N/A</v>
        <stp/>
        <stp>BDP|13920045287362192627</stp>
        <tr r="G975" s="2"/>
      </tp>
      <tp t="s">
        <v>#N/A N/A</v>
        <stp/>
        <stp>BDP|13062588833399470360</stp>
        <tr r="E1395" s="2"/>
      </tp>
      <tp t="s">
        <v>#N/A N/A</v>
        <stp/>
        <stp>BDP|12899950112706374350</stp>
        <tr r="T1628" s="2"/>
      </tp>
      <tp t="s">
        <v>#N/A N/A</v>
        <stp/>
        <stp>BDP|16043005298226089612</stp>
        <tr r="C311" s="2"/>
      </tp>
      <tp t="s">
        <v>#N/A N/A</v>
        <stp/>
        <stp>BDP|15118289522738757252</stp>
        <tr r="O1901" s="2"/>
      </tp>
      <tp t="s">
        <v>#N/A N/A</v>
        <stp/>
        <stp>BDP|10721949908994684242</stp>
        <tr r="A2149" s="2"/>
      </tp>
      <tp t="s">
        <v>#N/A N/A</v>
        <stp/>
        <stp>BDP|11360809574332912375</stp>
        <tr r="K1783" s="2"/>
      </tp>
      <tp t="s">
        <v>#N/A N/A</v>
        <stp/>
        <stp>BDP|11384831543275855726</stp>
        <tr r="K401" s="2"/>
      </tp>
      <tp t="s">
        <v>#N/A N/A</v>
        <stp/>
        <stp>BDP|16383063399341266176</stp>
        <tr r="F825" s="2"/>
      </tp>
      <tp t="s">
        <v>#N/A N/A</v>
        <stp/>
        <stp>BDP|14882681936506942867</stp>
        <tr r="K569" s="2"/>
      </tp>
      <tp t="s">
        <v>#N/A N/A</v>
        <stp/>
        <stp>BDP|10881696080033878206</stp>
        <tr r="F1141" s="2"/>
      </tp>
      <tp t="s">
        <v>#N/A N/A</v>
        <stp/>
        <stp>BDP|17013418908698264426</stp>
        <tr r="M83" s="2"/>
      </tp>
      <tp t="s">
        <v>#N/A N/A</v>
        <stp/>
        <stp>BDS|17093481357991380867</stp>
        <tr r="I820" s="2"/>
      </tp>
      <tp t="s">
        <v>#N/A N/A</v>
        <stp/>
        <stp>BDP|15033899070214654163</stp>
        <tr r="T1009" s="2"/>
      </tp>
      <tp t="s">
        <v>#N/A N/A</v>
        <stp/>
        <stp>BDP|10235924425666889244</stp>
        <tr r="G2120" s="2"/>
      </tp>
      <tp t="s">
        <v>#N/A N/A</v>
        <stp/>
        <stp>BDP|10658269631218144697</stp>
        <tr r="P555" s="2"/>
      </tp>
      <tp t="s">
        <v>#N/A N/A</v>
        <stp/>
        <stp>BDP|13018974874087883520</stp>
        <tr r="R2066" s="2"/>
      </tp>
      <tp t="s">
        <v>#N/A N/A</v>
        <stp/>
        <stp>BDP|18362505034858847962</stp>
        <tr r="K724" s="2"/>
      </tp>
      <tp t="s">
        <v>#N/A N/A</v>
        <stp/>
        <stp>BDP|10655871738842891689</stp>
        <tr r="A1540" s="2"/>
      </tp>
      <tp t="s">
        <v>#N/A N/A</v>
        <stp/>
        <stp>BDP|10613891743744526709</stp>
        <tr r="F1724" s="2"/>
      </tp>
      <tp t="s">
        <v>#N/A N/A</v>
        <stp/>
        <stp>BDP|16227999726923219160</stp>
        <tr r="J105" s="2"/>
      </tp>
      <tp t="s">
        <v>#N/A N/A</v>
        <stp/>
        <stp>BDP|18008393227784038274</stp>
        <tr r="J250" s="2"/>
      </tp>
      <tp t="s">
        <v>#N/A N/A</v>
        <stp/>
        <stp>BDP|16583457016519914568</stp>
        <tr r="P1219" s="2"/>
      </tp>
      <tp t="s">
        <v>#N/A N/A</v>
        <stp/>
        <stp>BDP|13150135098964385002</stp>
        <tr r="Q2202" s="2"/>
      </tp>
      <tp t="s">
        <v>#N/A N/A</v>
        <stp/>
        <stp>BDP|13464600653147614885</stp>
        <tr r="H1009" s="2"/>
      </tp>
      <tp t="s">
        <v>#N/A N/A</v>
        <stp/>
        <stp>BDP|11936937307715161257</stp>
        <tr r="N130" s="2"/>
      </tp>
      <tp t="s">
        <v>#N/A N/A</v>
        <stp/>
        <stp>BDP|11987576474359092536</stp>
        <tr r="R2204" s="2"/>
      </tp>
      <tp t="s">
        <v>#N/A N/A</v>
        <stp/>
        <stp>BDP|12267994317970238579</stp>
        <tr r="O1400" s="2"/>
      </tp>
      <tp t="s">
        <v>#N/A N/A</v>
        <stp/>
        <stp>BDP|10935944816305158230</stp>
        <tr r="J993" s="2"/>
      </tp>
      <tp t="s">
        <v>#N/A N/A</v>
        <stp/>
        <stp>BDP|14446002247477372894</stp>
        <tr r="P275" s="2"/>
      </tp>
      <tp t="s">
        <v>#N/A N/A</v>
        <stp/>
        <stp>BDP|11417907214410856616</stp>
        <tr r="Q108" s="2"/>
      </tp>
      <tp t="s">
        <v>#N/A N/A</v>
        <stp/>
        <stp>BDP|17807000006488147060</stp>
        <tr r="H1856" s="2"/>
      </tp>
      <tp t="s">
        <v>#N/A N/A</v>
        <stp/>
        <stp>BDP|11834231905528314446</stp>
        <tr r="G427" s="2"/>
      </tp>
      <tp t="s">
        <v>#N/A N/A</v>
        <stp/>
        <stp>BDP|17418791572679370151</stp>
        <tr r="M419" s="2"/>
      </tp>
      <tp t="s">
        <v>#N/A N/A</v>
        <stp/>
        <stp>BDP|10730923153076993569</stp>
        <tr r="T345" s="2"/>
      </tp>
      <tp t="s">
        <v>#N/A N/A</v>
        <stp/>
        <stp>BDP|17691163621092085985</stp>
        <tr r="Q2049" s="2"/>
      </tp>
      <tp t="s">
        <v>#N/A N/A</v>
        <stp/>
        <stp>BDP|12495427290235823579</stp>
        <tr r="G1982" s="2"/>
      </tp>
      <tp t="s">
        <v>#N/A N/A</v>
        <stp/>
        <stp>BDP|12740858529613195434</stp>
        <tr r="T331" s="2"/>
      </tp>
      <tp t="s">
        <v>#N/A N/A</v>
        <stp/>
        <stp>BDP|11006136450239222381</stp>
        <tr r="C1669" s="2"/>
      </tp>
      <tp t="s">
        <v>#N/A N/A</v>
        <stp/>
        <stp>BDP|16379927214327815644</stp>
        <tr r="D2029" s="2"/>
      </tp>
      <tp t="s">
        <v>#N/A N/A</v>
        <stp/>
        <stp>BDP|12496849808002321724</stp>
        <tr r="J1077" s="2"/>
      </tp>
      <tp t="s">
        <v>#N/A N/A</v>
        <stp/>
        <stp>BDP|16953873712997488711</stp>
        <tr r="C1743" s="2"/>
      </tp>
      <tp t="s">
        <v>#N/A N/A</v>
        <stp/>
        <stp>BDP|17692461625477427988</stp>
        <tr r="T2130" s="2"/>
      </tp>
      <tp t="s">
        <v>#N/A N/A</v>
        <stp/>
        <stp>BDP|11721740294217960770</stp>
        <tr r="T996" s="2"/>
      </tp>
      <tp t="s">
        <v>#N/A N/A</v>
        <stp/>
        <stp>BDP|15014123812738916201</stp>
        <tr r="M1675" s="2"/>
      </tp>
      <tp t="s">
        <v>#N/A N/A</v>
        <stp/>
        <stp>BDP|15335795210084367805</stp>
        <tr r="S2106" s="2"/>
      </tp>
      <tp t="s">
        <v>#N/A N/A</v>
        <stp/>
        <stp>BDS|15276083505059443315</stp>
        <tr r="I2043" s="2"/>
      </tp>
      <tp t="s">
        <v>#N/A N/A</v>
        <stp/>
        <stp>BDP|10114880393439270717</stp>
        <tr r="O122" s="2"/>
      </tp>
      <tp t="s">
        <v>#N/A N/A</v>
        <stp/>
        <stp>BDP|16764916752413400691</stp>
        <tr r="S968" s="2"/>
      </tp>
      <tp t="s">
        <v>#N/A N/A</v>
        <stp/>
        <stp>BDP|15473398844305796871</stp>
        <tr r="M1288" s="2"/>
      </tp>
      <tp t="s">
        <v>#N/A N/A</v>
        <stp/>
        <stp>BDP|18244697151294033036</stp>
        <tr r="F607" s="2"/>
      </tp>
      <tp t="s">
        <v>#N/A N/A</v>
        <stp/>
        <stp>BDP|11897586982864321781</stp>
        <tr r="M2092" s="2"/>
      </tp>
      <tp t="s">
        <v>#N/A N/A</v>
        <stp/>
        <stp>BDP|16855184219561699869</stp>
        <tr r="C772" s="2"/>
      </tp>
      <tp t="s">
        <v>#N/A N/A</v>
        <stp/>
        <stp>BDP|13433715634431954913</stp>
        <tr r="O1550" s="2"/>
      </tp>
      <tp t="s">
        <v>#N/A N/A</v>
        <stp/>
        <stp>BDP|17447432586244174097</stp>
        <tr r="C80" s="2"/>
      </tp>
      <tp t="s">
        <v>#N/A N/A</v>
        <stp/>
        <stp>BDP|10036113949879644367</stp>
        <tr r="G924" s="2"/>
      </tp>
      <tp t="s">
        <v>#N/A N/A</v>
        <stp/>
        <stp>BDP|15199820451012323590</stp>
        <tr r="H65" s="2"/>
      </tp>
      <tp t="s">
        <v>#N/A N/A</v>
        <stp/>
        <stp>BDP|12132907551096880707</stp>
        <tr r="Q736" s="2"/>
      </tp>
      <tp t="s">
        <v>#N/A N/A</v>
        <stp/>
        <stp>BDP|12412849229604668373</stp>
        <tr r="O545" s="2"/>
      </tp>
      <tp t="s">
        <v>#N/A N/A</v>
        <stp/>
        <stp>BDP|14900656687641237418</stp>
        <tr r="M1075" s="2"/>
      </tp>
      <tp t="s">
        <v>#N/A N/A</v>
        <stp/>
        <stp>BDP|16681994134443737040</stp>
        <tr r="Q991" s="2"/>
      </tp>
      <tp t="s">
        <v>#N/A N/A</v>
        <stp/>
        <stp>BDP|11930839054290461324</stp>
        <tr r="A912" s="2"/>
      </tp>
      <tp t="s">
        <v>#N/A N/A</v>
        <stp/>
        <stp>BDP|13917516975807344961</stp>
        <tr r="R894" s="2"/>
      </tp>
      <tp t="s">
        <v>#N/A N/A</v>
        <stp/>
        <stp>BDP|16769298822608730131</stp>
        <tr r="M1367" s="2"/>
      </tp>
      <tp t="s">
        <v>#N/A N/A</v>
        <stp/>
        <stp>BDS|12910313096614580306</stp>
        <tr r="I1629" s="2"/>
      </tp>
      <tp t="s">
        <v>#N/A N/A</v>
        <stp/>
        <stp>BDP|13603179477033757996</stp>
        <tr r="G1956" s="2"/>
      </tp>
      <tp t="s">
        <v>#N/A N/A</v>
        <stp/>
        <stp>BDP|14019311199522489347</stp>
        <tr r="F636" s="2"/>
      </tp>
      <tp t="s">
        <v>#N/A N/A</v>
        <stp/>
        <stp>BDP|16398333038209676066</stp>
        <tr r="M284" s="2"/>
      </tp>
      <tp t="s">
        <v>#N/A N/A</v>
        <stp/>
        <stp>BDP|12304702628248484071</stp>
        <tr r="J2186" s="2"/>
      </tp>
      <tp t="s">
        <v>#N/A N/A</v>
        <stp/>
        <stp>BDP|11967999509146371121</stp>
        <tr r="E1368" s="2"/>
      </tp>
      <tp t="s">
        <v>#N/A N/A</v>
        <stp/>
        <stp>BDP|12875978412565210073</stp>
        <tr r="K1938" s="2"/>
      </tp>
      <tp t="s">
        <v>#N/A N/A</v>
        <stp/>
        <stp>BDP|17519804198339315068</stp>
        <tr r="O1622" s="2"/>
      </tp>
      <tp t="s">
        <v>#N/A N/A</v>
        <stp/>
        <stp>BDP|17957643693227395052</stp>
        <tr r="O1020" s="2"/>
      </tp>
      <tp t="s">
        <v>#N/A N/A</v>
        <stp/>
        <stp>BDP|11707841944790617298</stp>
        <tr r="D1898" s="2"/>
      </tp>
      <tp t="s">
        <v>#N/A N/A</v>
        <stp/>
        <stp>BDP|14273419308778545762</stp>
        <tr r="S197" s="2"/>
      </tp>
      <tp t="s">
        <v>#N/A N/A</v>
        <stp/>
        <stp>BDP|11213885576431769038</stp>
        <tr r="C882" s="2"/>
      </tp>
      <tp t="s">
        <v>#N/A N/A</v>
        <stp/>
        <stp>BDS|10888205261449315216</stp>
        <tr r="I913" s="2"/>
      </tp>
      <tp t="s">
        <v>#N/A N/A</v>
        <stp/>
        <stp>BDP|14139486542458668359</stp>
        <tr r="O913" s="2"/>
      </tp>
      <tp t="s">
        <v>#N/A N/A</v>
        <stp/>
        <stp>BDP|14544198569339552584</stp>
        <tr r="P287" s="2"/>
      </tp>
      <tp t="s">
        <v>#N/A N/A</v>
        <stp/>
        <stp>BDP|15615502097390091694</stp>
        <tr r="J1896" s="2"/>
      </tp>
      <tp t="s">
        <v>#N/A N/A</v>
        <stp/>
        <stp>BDP|17661235569924129855</stp>
        <tr r="R1455" s="2"/>
      </tp>
      <tp t="s">
        <v>#N/A N/A</v>
        <stp/>
        <stp>BDP|13022234992004893312</stp>
        <tr r="N1347" s="2"/>
      </tp>
      <tp t="s">
        <v>#N/A N/A</v>
        <stp/>
        <stp>BDP|11183842248776661436</stp>
        <tr r="P1621" s="2"/>
      </tp>
      <tp t="s">
        <v>#N/A N/A</v>
        <stp/>
        <stp>BDS|12225495365849102642</stp>
        <tr r="I73" s="2"/>
      </tp>
      <tp t="s">
        <v>#N/A N/A</v>
        <stp/>
        <stp>BDP|16680472606745861876</stp>
        <tr r="K723" s="2"/>
      </tp>
      <tp t="s">
        <v>#N/A N/A</v>
        <stp/>
        <stp>BDP|16617270084920432397</stp>
        <tr r="N1827" s="2"/>
      </tp>
      <tp t="s">
        <v>#N/A N/A</v>
        <stp/>
        <stp>BDP|18330644951726732290</stp>
        <tr r="T943" s="2"/>
      </tp>
      <tp t="s">
        <v>#N/A N/A</v>
        <stp/>
        <stp>BDP|15573859167413716788</stp>
        <tr r="T1393" s="2"/>
      </tp>
      <tp t="s">
        <v>#N/A N/A</v>
        <stp/>
        <stp>BDP|10854743686664760455</stp>
        <tr r="D1378" s="2"/>
      </tp>
      <tp t="s">
        <v>#N/A N/A</v>
        <stp/>
        <stp>BDP|10563816877401848133</stp>
        <tr r="N1637" s="2"/>
      </tp>
      <tp t="s">
        <v>#N/A N/A</v>
        <stp/>
        <stp>BDP|14905825241785486268</stp>
        <tr r="D1994" s="2"/>
      </tp>
      <tp t="s">
        <v>#N/A N/A</v>
        <stp/>
        <stp>BDP|10725723805258863004</stp>
        <tr r="J258" s="2"/>
      </tp>
      <tp t="s">
        <v>#N/A N/A</v>
        <stp/>
        <stp>BDP|15182658858411741831</stp>
        <tr r="K522" s="2"/>
      </tp>
      <tp t="s">
        <v>#N/A N/A</v>
        <stp/>
        <stp>BDP|13246553385425970435</stp>
        <tr r="D1109" s="2"/>
      </tp>
      <tp t="s">
        <v>#N/A N/A</v>
        <stp/>
        <stp>BDP|10011363788930286442</stp>
        <tr r="J2002" s="2"/>
      </tp>
      <tp t="s">
        <v>#N/A N/A</v>
        <stp/>
        <stp>BDP|15961660781152130675</stp>
        <tr r="D1887" s="2"/>
      </tp>
      <tp t="s">
        <v>#N/A N/A</v>
        <stp/>
        <stp>BDP|15846469482236784037</stp>
        <tr r="F1068" s="2"/>
      </tp>
      <tp t="s">
        <v>#N/A N/A</v>
        <stp/>
        <stp>BDP|18041719226830825277</stp>
        <tr r="E2227" s="2"/>
      </tp>
      <tp t="s">
        <v>#N/A N/A</v>
        <stp/>
        <stp>BDP|15912070413058610330</stp>
        <tr r="Q888" s="2"/>
      </tp>
      <tp t="s">
        <v>#N/A N/A</v>
        <stp/>
        <stp>BDP|15930262178569674693</stp>
        <tr r="P2019" s="2"/>
      </tp>
      <tp t="s">
        <v>#N/A N/A</v>
        <stp/>
        <stp>BDP|16856162167647551944</stp>
        <tr r="J1951" s="2"/>
      </tp>
      <tp t="s">
        <v>#N/A N/A</v>
        <stp/>
        <stp>BDP|18221157088998294652</stp>
        <tr r="R407" s="2"/>
      </tp>
      <tp t="s">
        <v>#N/A N/A</v>
        <stp/>
        <stp>BDS|17953386396363879140</stp>
        <tr r="I1386" s="2"/>
      </tp>
      <tp t="s">
        <v>#N/A N/A</v>
        <stp/>
        <stp>BDP|13262323419388760667</stp>
        <tr r="E743" s="2"/>
      </tp>
      <tp t="s">
        <v>#N/A N/A</v>
        <stp/>
        <stp>BDP|10199223918358583466</stp>
        <tr r="O1551" s="2"/>
      </tp>
      <tp t="s">
        <v>#N/A N/A</v>
        <stp/>
        <stp>BDP|10569492420681330877</stp>
        <tr r="H111" s="2"/>
      </tp>
      <tp t="s">
        <v>#N/A N/A</v>
        <stp/>
        <stp>BDP|11426540455248433695</stp>
        <tr r="G1751" s="2"/>
      </tp>
      <tp t="s">
        <v>#N/A N/A</v>
        <stp/>
        <stp>BDP|14976846549761806640</stp>
        <tr r="O1100" s="2"/>
      </tp>
      <tp t="s">
        <v>#N/A N/A</v>
        <stp/>
        <stp>BDP|12626530488169035955</stp>
        <tr r="H1731" s="2"/>
      </tp>
      <tp t="s">
        <v>#N/A N/A</v>
        <stp/>
        <stp>BDP|13977283798910180700</stp>
        <tr r="M1025" s="2"/>
      </tp>
      <tp t="s">
        <v>#N/A N/A</v>
        <stp/>
        <stp>BDP|17829941710277258761</stp>
        <tr r="S1531" s="2"/>
      </tp>
      <tp t="s">
        <v>#N/A N/A</v>
        <stp/>
        <stp>BDP|16916934246240000442</stp>
        <tr r="P1993" s="2"/>
      </tp>
      <tp t="s">
        <v>#N/A N/A</v>
        <stp/>
        <stp>BDP|12817632053357921997</stp>
        <tr r="T2243" s="2"/>
      </tp>
      <tp t="s">
        <v>#N/A N/A</v>
        <stp/>
        <stp>BDS|13564235958248555300</stp>
        <tr r="I872" s="2"/>
      </tp>
      <tp t="s">
        <v>#N/A N/A</v>
        <stp/>
        <stp>BDP|10765860119150818682</stp>
        <tr r="E1312" s="2"/>
      </tp>
      <tp t="s">
        <v>#N/A N/A</v>
        <stp/>
        <stp>BDP|13746662659928694762</stp>
        <tr r="J1811" s="2"/>
      </tp>
      <tp t="s">
        <v>#N/A N/A</v>
        <stp/>
        <stp>BDP|14933169401533519905</stp>
        <tr r="Q65" s="2"/>
      </tp>
      <tp t="s">
        <v>#N/A N/A</v>
        <stp/>
        <stp>BDP|11517519984805837638</stp>
        <tr r="E2166" s="2"/>
      </tp>
      <tp t="s">
        <v>#N/A N/A</v>
        <stp/>
        <stp>BDP|12412734687891854333</stp>
        <tr r="P698" s="2"/>
      </tp>
      <tp t="s">
        <v>#N/A N/A</v>
        <stp/>
        <stp>BDP|14838018981084600750</stp>
        <tr r="J1995" s="2"/>
      </tp>
      <tp t="s">
        <v>#N/A N/A</v>
        <stp/>
        <stp>BDP|15311614019368482545</stp>
        <tr r="R18" s="2"/>
      </tp>
      <tp t="s">
        <v>#N/A N/A</v>
        <stp/>
        <stp>BDP|15770938646567162087</stp>
        <tr r="C1871" s="2"/>
      </tp>
      <tp t="s">
        <v>#N/A N/A</v>
        <stp/>
        <stp>BDP|15256900128537429658</stp>
        <tr r="A8" s="2"/>
      </tp>
      <tp t="s">
        <v>#N/A N/A</v>
        <stp/>
        <stp>BDP|15598770524337453895</stp>
        <tr r="K1920" s="2"/>
      </tp>
      <tp t="s">
        <v>#N/A N/A</v>
        <stp/>
        <stp>BDP|11092281411638309514</stp>
        <tr r="M988" s="2"/>
      </tp>
      <tp t="s">
        <v>#N/A N/A</v>
        <stp/>
        <stp>BDP|17784866852700103593</stp>
        <tr r="Q2115" s="2"/>
      </tp>
      <tp t="s">
        <v>#N/A N/A</v>
        <stp/>
        <stp>BDP|10602999142582125074</stp>
        <tr r="K381" s="2"/>
      </tp>
      <tp t="s">
        <v>#N/A N/A</v>
        <stp/>
        <stp>BDP|15738898315891485241</stp>
        <tr r="O336" s="2"/>
      </tp>
      <tp t="s">
        <v>#N/A N/A</v>
        <stp/>
        <stp>BDP|12789926375181964223</stp>
        <tr r="Q849" s="2"/>
      </tp>
      <tp t="s">
        <v>#N/A N/A</v>
        <stp/>
        <stp>BDP|16896158546984307831</stp>
        <tr r="O476" s="2"/>
      </tp>
      <tp t="s">
        <v>#N/A N/A</v>
        <stp/>
        <stp>BDP|10325643592043913379</stp>
        <tr r="J1122" s="2"/>
      </tp>
      <tp t="s">
        <v>#N/A N/A</v>
        <stp/>
        <stp>BDP|14371698127218632707</stp>
        <tr r="M267" s="2"/>
      </tp>
      <tp t="s">
        <v>#N/A N/A</v>
        <stp/>
        <stp>BDP|11850484697822972156</stp>
        <tr r="O379" s="2"/>
      </tp>
      <tp t="s">
        <v>#N/A N/A</v>
        <stp/>
        <stp>BDP|16202994379354966309</stp>
        <tr r="A252" s="2"/>
      </tp>
      <tp t="s">
        <v>#N/A N/A</v>
        <stp/>
        <stp>BDP|10969204381457311208</stp>
        <tr r="S25" s="2"/>
      </tp>
      <tp t="s">
        <v>#N/A N/A</v>
        <stp/>
        <stp>BDP|11132892464878778801</stp>
        <tr r="M1664" s="2"/>
      </tp>
      <tp t="s">
        <v>#N/A N/A</v>
        <stp/>
        <stp>BDP|17070306049329695644</stp>
        <tr r="G20" s="2"/>
      </tp>
      <tp t="s">
        <v>#N/A N/A</v>
        <stp/>
        <stp>BDS|10609027090917944154</stp>
        <tr r="I193" s="2"/>
      </tp>
      <tp t="s">
        <v>#N/A N/A</v>
        <stp/>
        <stp>BDP|13836823951200656169</stp>
        <tr r="R2051" s="2"/>
      </tp>
      <tp t="s">
        <v>#N/A N/A</v>
        <stp/>
        <stp>BDP|14483515506988024688</stp>
        <tr r="N1301" s="2"/>
      </tp>
      <tp t="s">
        <v>#N/A N/A</v>
        <stp/>
        <stp>BDP|10782027088933117479</stp>
        <tr r="N1603" s="2"/>
      </tp>
      <tp t="s">
        <v>#N/A N/A</v>
        <stp/>
        <stp>BDP|13529013260743922969</stp>
        <tr r="J112" s="2"/>
      </tp>
      <tp t="s">
        <v>#N/A N/A</v>
        <stp/>
        <stp>BDP|11104503403919128285</stp>
        <tr r="T343" s="2"/>
      </tp>
      <tp t="s">
        <v>#N/A N/A</v>
        <stp/>
        <stp>BDS|10128677288102781311</stp>
        <tr r="I1587" s="2"/>
      </tp>
      <tp t="s">
        <v>#N/A N/A</v>
        <stp/>
        <stp>BDP|10104790493851312034</stp>
        <tr r="A1325" s="2"/>
      </tp>
      <tp t="s">
        <v>#N/A N/A</v>
        <stp/>
        <stp>BDP|16906494159841062927</stp>
        <tr r="N363" s="2"/>
      </tp>
      <tp t="s">
        <v>#N/A N/A</v>
        <stp/>
        <stp>BDP|13871423566446740809</stp>
        <tr r="R1769" s="2"/>
      </tp>
      <tp t="s">
        <v>#N/A N/A</v>
        <stp/>
        <stp>BDP|16349739985525841361</stp>
        <tr r="H1925" s="2"/>
      </tp>
      <tp t="s">
        <v>#N/A N/A</v>
        <stp/>
        <stp>BDP|14217685738807832912</stp>
        <tr r="R658" s="2"/>
      </tp>
      <tp t="s">
        <v>#N/A N/A</v>
        <stp/>
        <stp>BDP|13587881533790171745</stp>
        <tr r="G1698" s="2"/>
      </tp>
      <tp t="s">
        <v>#N/A N/A</v>
        <stp/>
        <stp>BDP|17232655503766655898</stp>
        <tr r="T1846" s="2"/>
      </tp>
      <tp t="s">
        <v>#N/A N/A</v>
        <stp/>
        <stp>BDP|17935512346908660132</stp>
        <tr r="T2110" s="2"/>
      </tp>
      <tp t="s">
        <v>#N/A N/A</v>
        <stp/>
        <stp>BDP|17609416920467912950</stp>
        <tr r="D1865" s="2"/>
      </tp>
      <tp t="s">
        <v>#N/A N/A</v>
        <stp/>
        <stp>BDP|16084061261246993951</stp>
        <tr r="M724" s="2"/>
      </tp>
      <tp t="s">
        <v>#N/A N/A</v>
        <stp/>
        <stp>BDS|14735967460062134684</stp>
        <tr r="I1527" s="2"/>
      </tp>
      <tp t="s">
        <v>#N/A N/A</v>
        <stp/>
        <stp>BDP|14852990339507454677</stp>
        <tr r="P455" s="2"/>
      </tp>
      <tp t="s">
        <v>#N/A N/A</v>
        <stp/>
        <stp>BDS|17251735479360674866</stp>
        <tr r="I1637" s="2"/>
      </tp>
      <tp t="s">
        <v>#N/A N/A</v>
        <stp/>
        <stp>BDP|12300940699424675931</stp>
        <tr r="R1129" s="2"/>
      </tp>
      <tp t="s">
        <v>#N/A N/A</v>
        <stp/>
        <stp>BDP|11062067419508276761</stp>
        <tr r="T234" s="2"/>
      </tp>
      <tp t="s">
        <v>#N/A N/A</v>
        <stp/>
        <stp>BDP|12032781645307754916</stp>
        <tr r="J1362" s="2"/>
      </tp>
      <tp t="s">
        <v>#N/A N/A</v>
        <stp/>
        <stp>BDP|12961710452317227835</stp>
        <tr r="H1545" s="2"/>
      </tp>
      <tp t="s">
        <v>#N/A N/A</v>
        <stp/>
        <stp>BDP|13872145432189253777</stp>
        <tr r="F2237" s="2"/>
      </tp>
      <tp t="s">
        <v>#N/A N/A</v>
        <stp/>
        <stp>BDP|17516934596430289898</stp>
        <tr r="Q926" s="2"/>
      </tp>
      <tp t="s">
        <v>#N/A N/A</v>
        <stp/>
        <stp>BDP|17320004719128055113</stp>
        <tr r="E2249" s="2"/>
      </tp>
      <tp t="s">
        <v>#N/A N/A</v>
        <stp/>
        <stp>BDP|10640089742968722307</stp>
        <tr r="Q660" s="2"/>
      </tp>
      <tp t="s">
        <v>#N/A N/A</v>
        <stp/>
        <stp>BDS|12640981053319672830</stp>
        <tr r="I625" s="2"/>
      </tp>
      <tp t="s">
        <v>#N/A N/A</v>
        <stp/>
        <stp>BDP|11849896031547212296</stp>
        <tr r="O767" s="2"/>
      </tp>
      <tp t="s">
        <v>#N/A N/A</v>
        <stp/>
        <stp>BDP|16967556904328263415</stp>
        <tr r="A1823" s="2"/>
      </tp>
      <tp t="s">
        <v>#N/A N/A</v>
        <stp/>
        <stp>BDS|11828893055632455182</stp>
        <tr r="I1909" s="2"/>
      </tp>
      <tp t="s">
        <v>#N/A N/A</v>
        <stp/>
        <stp>BDP|10143820345304969741</stp>
        <tr r="A1755" s="2"/>
      </tp>
      <tp t="s">
        <v>#N/A N/A</v>
        <stp/>
        <stp>BDP|10831229161542861989</stp>
        <tr r="R2114" s="2"/>
      </tp>
      <tp t="s">
        <v>#N/A N/A</v>
        <stp/>
        <stp>BDP|11937470763779572533</stp>
        <tr r="J1748" s="2"/>
      </tp>
      <tp t="s">
        <v>#N/A N/A</v>
        <stp/>
        <stp>BDP|16928167390279383878</stp>
        <tr r="O1242" s="2"/>
      </tp>
      <tp t="s">
        <v>#N/A N/A</v>
        <stp/>
        <stp>BDP|12824103850751741845</stp>
        <tr r="K975" s="2"/>
      </tp>
      <tp t="s">
        <v>#N/A N/A</v>
        <stp/>
        <stp>BDP|10916922960563183319</stp>
        <tr r="D1844" s="2"/>
      </tp>
      <tp t="s">
        <v>#N/A N/A</v>
        <stp/>
        <stp>BDP|18354038212186822018</stp>
        <tr r="T972" s="2"/>
      </tp>
      <tp t="s">
        <v>#N/A N/A</v>
        <stp/>
        <stp>BDP|10012747245139297588</stp>
        <tr r="C68" s="2"/>
      </tp>
      <tp t="s">
        <v>#N/A N/A</v>
        <stp/>
        <stp>BDP|10212192795787784029</stp>
        <tr r="R951" s="2"/>
      </tp>
      <tp t="s">
        <v>#N/A N/A</v>
        <stp/>
        <stp>BDP|13897844937237834089</stp>
        <tr r="H2009" s="2"/>
      </tp>
      <tp t="s">
        <v>#N/A N/A</v>
        <stp/>
        <stp>BDP|17189396713999377335</stp>
        <tr r="K26" s="2"/>
      </tp>
      <tp t="s">
        <v>#N/A N/A</v>
        <stp/>
        <stp>BDP|18111744321562729086</stp>
        <tr r="G1735" s="2"/>
      </tp>
      <tp t="s">
        <v>#N/A N/A</v>
        <stp/>
        <stp>BDP|12225266189280146776</stp>
        <tr r="P427" s="2"/>
      </tp>
      <tp t="s">
        <v>#N/A N/A</v>
        <stp/>
        <stp>BDP|10252177475559947027</stp>
        <tr r="O1013" s="2"/>
      </tp>
      <tp t="s">
        <v>#N/A N/A</v>
        <stp/>
        <stp>BDP|11595457797071991253</stp>
        <tr r="J254" s="2"/>
      </tp>
      <tp t="s">
        <v>#N/A N/A</v>
        <stp/>
        <stp>BDP|16180716628409372509</stp>
        <tr r="J1976" s="2"/>
      </tp>
      <tp t="s">
        <v>#N/A N/A</v>
        <stp/>
        <stp>BDP|10350681901328508143</stp>
        <tr r="D267" s="2"/>
      </tp>
      <tp t="s">
        <v>#N/A N/A</v>
        <stp/>
        <stp>BDP|12999967925357740172</stp>
        <tr r="R2218" s="2"/>
      </tp>
      <tp t="s">
        <v>#N/A N/A</v>
        <stp/>
        <stp>BDS|18055064038915040177</stp>
        <tr r="I865" s="2"/>
      </tp>
      <tp t="s">
        <v>#N/A N/A</v>
        <stp/>
        <stp>BDP|12568747646916922840</stp>
        <tr r="P753" s="2"/>
      </tp>
      <tp t="s">
        <v>#N/A N/A</v>
        <stp/>
        <stp>BDP|11699715545244171993</stp>
        <tr r="O687" s="2"/>
      </tp>
      <tp t="s">
        <v>#N/A N/A</v>
        <stp/>
        <stp>BDP|16043445380302909778</stp>
        <tr r="J1699" s="2"/>
      </tp>
      <tp t="s">
        <v>#N/A N/A</v>
        <stp/>
        <stp>BDP|17517759381556347183</stp>
        <tr r="N1421" s="2"/>
      </tp>
      <tp t="s">
        <v>#N/A N/A</v>
        <stp/>
        <stp>BDP|16070407866289402288</stp>
        <tr r="Q1839" s="2"/>
      </tp>
      <tp t="s">
        <v>#N/A N/A</v>
        <stp/>
        <stp>BDP|14317996027904310446</stp>
        <tr r="N555" s="2"/>
      </tp>
      <tp t="s">
        <v>#N/A N/A</v>
        <stp/>
        <stp>BDP|12801084833786020898</stp>
        <tr r="T2217" s="2"/>
      </tp>
      <tp t="s">
        <v>#N/A N/A</v>
        <stp/>
        <stp>BDP|11901296729326245819</stp>
        <tr r="N71" s="2"/>
      </tp>
      <tp t="s">
        <v>#N/A N/A</v>
        <stp/>
        <stp>BDP|11396980819127013186</stp>
        <tr r="T1963" s="2"/>
      </tp>
      <tp t="s">
        <v>#N/A N/A</v>
        <stp/>
        <stp>BDP|14618455304436577988</stp>
        <tr r="A1779" s="2"/>
      </tp>
      <tp t="s">
        <v>#N/A N/A</v>
        <stp/>
        <stp>BDP|17360721554328829279</stp>
        <tr r="C426" s="2"/>
      </tp>
      <tp t="s">
        <v>#N/A N/A</v>
        <stp/>
        <stp>BDP|11050778198132717223</stp>
        <tr r="G831" s="2"/>
      </tp>
      <tp t="s">
        <v>#N/A N/A</v>
        <stp/>
        <stp>BDP|15538595756493051909</stp>
        <tr r="O465" s="2"/>
      </tp>
      <tp t="s">
        <v>#N/A N/A</v>
        <stp/>
        <stp>BDP|15764748652860235898</stp>
        <tr r="S54" s="2"/>
      </tp>
      <tp t="s">
        <v>#N/A N/A</v>
        <stp/>
        <stp>BDP|11364721592478986806</stp>
        <tr r="F180" s="2"/>
      </tp>
      <tp t="s">
        <v>#N/A N/A</v>
        <stp/>
        <stp>BDP|11833643240355009960</stp>
        <tr r="Q1961" s="2"/>
      </tp>
      <tp t="s">
        <v>#N/A N/A</v>
        <stp/>
        <stp>BDP|15058780091115330104</stp>
        <tr r="R1953" s="2"/>
      </tp>
      <tp t="s">
        <v>#N/A N/A</v>
        <stp/>
        <stp>BDP|12115220089290989798</stp>
        <tr r="E871" s="2"/>
      </tp>
      <tp t="s">
        <v>#N/A N/A</v>
        <stp/>
        <stp>BDP|13701397550149540311</stp>
        <tr r="G1886" s="2"/>
      </tp>
      <tp t="s">
        <v>#N/A N/A</v>
        <stp/>
        <stp>BDP|12707376729115353901</stp>
        <tr r="M734" s="2"/>
      </tp>
      <tp t="s">
        <v>#N/A N/A</v>
        <stp/>
        <stp>BDP|13810023880647761370</stp>
        <tr r="K125" s="2"/>
      </tp>
      <tp t="s">
        <v>#N/A N/A</v>
        <stp/>
        <stp>BDP|17179766278511513907</stp>
        <tr r="R534" s="2"/>
      </tp>
      <tp t="s">
        <v>#N/A N/A</v>
        <stp/>
        <stp>BDP|18423883839534851873</stp>
        <tr r="F379" s="2"/>
      </tp>
      <tp t="s">
        <v>#N/A N/A</v>
        <stp/>
        <stp>BDP|18422960808407771973</stp>
        <tr r="R1684" s="2"/>
      </tp>
      <tp t="s">
        <v>#N/A N/A</v>
        <stp/>
        <stp>BDP|14717395803711074976</stp>
        <tr r="J775" s="2"/>
      </tp>
      <tp t="s">
        <v>#N/A N/A</v>
        <stp/>
        <stp>BDP|18133676580278821147</stp>
        <tr r="F1588" s="2"/>
      </tp>
      <tp t="s">
        <v>#N/A N/A</v>
        <stp/>
        <stp>BDP|16139757088622044467</stp>
        <tr r="G850" s="2"/>
      </tp>
      <tp t="s">
        <v>#N/A N/A</v>
        <stp/>
        <stp>BDP|12405491094155419570</stp>
        <tr r="M2169" s="2"/>
      </tp>
      <tp t="s">
        <v>#N/A N/A</v>
        <stp/>
        <stp>BDP|11221634137912489986</stp>
        <tr r="J1861" s="2"/>
      </tp>
      <tp t="s">
        <v>#N/A N/A</v>
        <stp/>
        <stp>BDP|17901800910871587061</stp>
        <tr r="A1357" s="2"/>
      </tp>
      <tp t="s">
        <v>#N/A N/A</v>
        <stp/>
        <stp>BDP|15281521190865224382</stp>
        <tr r="A268" s="2"/>
      </tp>
      <tp t="s">
        <v>#N/A N/A</v>
        <stp/>
        <stp>BDP|14135529924825503982</stp>
        <tr r="G4" s="2"/>
      </tp>
      <tp t="s">
        <v>#N/A N/A</v>
        <stp/>
        <stp>BDP|13432991298399657594</stp>
        <tr r="A1973" s="2"/>
      </tp>
      <tp t="s">
        <v>#N/A N/A</v>
        <stp/>
        <stp>BDP|14592791263722391866</stp>
        <tr r="J416" s="2"/>
      </tp>
      <tp t="s">
        <v>#N/A N/A</v>
        <stp/>
        <stp>BDP|14577732349698040050</stp>
        <tr r="G1977" s="2"/>
      </tp>
      <tp t="s">
        <v>#N/A N/A</v>
        <stp/>
        <stp>BDP|13242816877494619780</stp>
        <tr r="K425" s="2"/>
      </tp>
      <tp t="s">
        <v>#N/A N/A</v>
        <stp/>
        <stp>BDP|12949911448280322092</stp>
        <tr r="O533" s="2"/>
      </tp>
      <tp t="s">
        <v>#N/A N/A</v>
        <stp/>
        <stp>BDP|17871357886593664075</stp>
        <tr r="S256" s="2"/>
      </tp>
      <tp t="s">
        <v>#N/A N/A</v>
        <stp/>
        <stp>BDP|10917224073998103239</stp>
        <tr r="D1168" s="2"/>
      </tp>
      <tp t="s">
        <v>#N/A N/A</v>
        <stp/>
        <stp>BDP|10486129428699725530</stp>
        <tr r="P1378" s="2"/>
      </tp>
      <tp t="s">
        <v>#N/A N/A</v>
        <stp/>
        <stp>BDP|15645648314198581590</stp>
        <tr r="N1709" s="2"/>
      </tp>
      <tp t="s">
        <v>#N/A N/A</v>
        <stp/>
        <stp>BDS|10267268989977752237</stp>
        <tr r="I134" s="2"/>
      </tp>
      <tp t="s">
        <v>#N/A N/A</v>
        <stp/>
        <stp>BDP|13054890464752461031</stp>
        <tr r="F991" s="2"/>
      </tp>
      <tp t="s">
        <v>#N/A N/A</v>
        <stp/>
        <stp>BDP|10456960278176834782</stp>
        <tr r="R2135" s="2"/>
      </tp>
      <tp t="s">
        <v>#N/A N/A</v>
        <stp/>
        <stp>BDP|10702705480134822453</stp>
        <tr r="J1686" s="2"/>
      </tp>
      <tp t="s">
        <v>#N/A N/A</v>
        <stp/>
        <stp>BDP|14001715695186732393</stp>
        <tr r="S1932" s="2"/>
      </tp>
      <tp t="s">
        <v>#N/A N/A</v>
        <stp/>
        <stp>BDP|11931638090908618967</stp>
        <tr r="O280" s="2"/>
      </tp>
      <tp t="s">
        <v>#N/A N/A</v>
        <stp/>
        <stp>BDP|14977964250783717421</stp>
        <tr r="J2195" s="2"/>
      </tp>
      <tp t="s">
        <v>#N/A N/A</v>
        <stp/>
        <stp>BDP|11169532438411178913</stp>
        <tr r="J910" s="2"/>
      </tp>
      <tp t="s">
        <v>#N/A N/A</v>
        <stp/>
        <stp>BDP|10572860659224096608</stp>
        <tr r="F231" s="2"/>
      </tp>
      <tp t="s">
        <v>#N/A N/A</v>
        <stp/>
        <stp>BDP|15895658500695386934</stp>
        <tr r="D253" s="2"/>
      </tp>
      <tp t="s">
        <v>#N/A N/A</v>
        <stp/>
        <stp>BDP|10163306856981209882</stp>
        <tr r="C1887" s="2"/>
      </tp>
      <tp t="s">
        <v>#N/A N/A</v>
        <stp/>
        <stp>BDP|15139935349650695702</stp>
        <tr r="T434" s="2"/>
      </tp>
      <tp t="s">
        <v>#N/A N/A</v>
        <stp/>
        <stp>BDP|13423394476898179072</stp>
        <tr r="C2064" s="2"/>
      </tp>
      <tp t="s">
        <v>#N/A N/A</v>
        <stp/>
        <stp>BDP|17053021327623901919</stp>
        <tr r="E2119" s="2"/>
      </tp>
      <tp t="s">
        <v>#N/A N/A</v>
        <stp/>
        <stp>BDS|14874547619956273994</stp>
        <tr r="I1614" s="2"/>
      </tp>
      <tp t="s">
        <v>#N/A N/A</v>
        <stp/>
        <stp>BDP|12050317258869523212</stp>
        <tr r="H1646" s="2"/>
      </tp>
      <tp t="s">
        <v>#N/A N/A</v>
        <stp/>
        <stp>BDS|14726776195451985422</stp>
        <tr r="I106" s="2"/>
      </tp>
      <tp t="s">
        <v>#N/A N/A</v>
        <stp/>
        <stp>BDP|12768368368229668120</stp>
        <tr r="R398" s="2"/>
      </tp>
      <tp t="s">
        <v>#N/A N/A</v>
        <stp/>
        <stp>BDP|12391737479215348871</stp>
        <tr r="S1572" s="2"/>
      </tp>
      <tp t="s">
        <v>#N/A N/A</v>
        <stp/>
        <stp>BDP|15858759412218267401</stp>
        <tr r="N112" s="2"/>
      </tp>
      <tp t="s">
        <v>#N/A N/A</v>
        <stp/>
        <stp>BDP|15013418096106307191</stp>
        <tr r="E1758" s="2"/>
      </tp>
      <tp t="s">
        <v>#N/A N/A</v>
        <stp/>
        <stp>BDP|10527446769949703424</stp>
        <tr r="C19" s="2"/>
      </tp>
      <tp t="s">
        <v>#N/A N/A</v>
        <stp/>
        <stp>BDP|10080261119509730556</stp>
        <tr r="R1078" s="2"/>
      </tp>
      <tp t="s">
        <v>#N/A N/A</v>
        <stp/>
        <stp>BDP|12351688872288451403</stp>
        <tr r="D1540" s="2"/>
      </tp>
      <tp t="s">
        <v>#N/A N/A</v>
        <stp/>
        <stp>BDP|14995173280406157422</stp>
        <tr r="H1982" s="2"/>
      </tp>
      <tp t="s">
        <v>#N/A N/A</v>
        <stp/>
        <stp>BDP|16833903072064216358</stp>
        <tr r="K828" s="2"/>
      </tp>
      <tp t="s">
        <v>#N/A N/A</v>
        <stp/>
        <stp>BDP|13569353085826130196</stp>
        <tr r="S104" s="2"/>
      </tp>
      <tp t="s">
        <v>#N/A N/A</v>
        <stp/>
        <stp>BDP|10874253275679687332</stp>
        <tr r="T67" s="2"/>
      </tp>
      <tp t="s">
        <v>#N/A N/A</v>
        <stp/>
        <stp>BDP|18087029938390297453</stp>
        <tr r="R1914" s="2"/>
      </tp>
      <tp t="s">
        <v>#N/A N/A</v>
        <stp/>
        <stp>BDP|14785214795286884669</stp>
        <tr r="F1172" s="2"/>
      </tp>
      <tp t="s">
        <v>#N/A N/A</v>
        <stp/>
        <stp>BDP|12102434219699552138</stp>
        <tr r="H1715" s="2"/>
      </tp>
      <tp t="s">
        <v>#N/A N/A</v>
        <stp/>
        <stp>BDP|18068639479092274457</stp>
        <tr r="O993" s="2"/>
      </tp>
      <tp t="s">
        <v>#N/A N/A</v>
        <stp/>
        <stp>BDP|17654067856125990824</stp>
        <tr r="J1405" s="2"/>
      </tp>
      <tp t="s">
        <v>#N/A N/A</v>
        <stp/>
        <stp>BDS|16784496858678913017</stp>
        <tr r="I1999" s="2"/>
      </tp>
      <tp t="s">
        <v>#N/A N/A</v>
        <stp/>
        <stp>BDS|11141104359049462328</stp>
        <tr r="I1508" s="2"/>
      </tp>
      <tp t="s">
        <v>#N/A N/A</v>
        <stp/>
        <stp>BDP|11036519583200952363</stp>
        <tr r="O1058" s="2"/>
      </tp>
      <tp t="s">
        <v>#N/A N/A</v>
        <stp/>
        <stp>BDP|17516864156820168596</stp>
        <tr r="Q892" s="2"/>
      </tp>
      <tp t="s">
        <v>#N/A N/A</v>
        <stp/>
        <stp>BDP|15315867555963979445</stp>
        <tr r="Q1733" s="2"/>
      </tp>
      <tp t="s">
        <v>#N/A N/A</v>
        <stp/>
        <stp>BDP|11498001129354872881</stp>
        <tr r="Q1676" s="2"/>
      </tp>
      <tp t="s">
        <v>#N/A N/A</v>
        <stp/>
        <stp>BDP|12243969259075115411</stp>
        <tr r="T1599" s="2"/>
      </tp>
      <tp t="s">
        <v>#N/A N/A</v>
        <stp/>
        <stp>BDP|15493289587746020669</stp>
        <tr r="R760" s="2"/>
      </tp>
      <tp t="s">
        <v>#N/A N/A</v>
        <stp/>
        <stp>BDP|14000312362836898860</stp>
        <tr r="E1957" s="2"/>
      </tp>
      <tp t="s">
        <v>#N/A N/A</v>
        <stp/>
        <stp>BDP|18067472129084764541</stp>
        <tr r="T1297" s="2"/>
      </tp>
      <tp t="s">
        <v>#N/A N/A</v>
        <stp/>
        <stp>BDP|13986717180445205678</stp>
        <tr r="P2031" s="2"/>
      </tp>
      <tp t="s">
        <v>#N/A N/A</v>
        <stp/>
        <stp>BDP|15271967926078819972</stp>
        <tr r="E1689" s="2"/>
      </tp>
      <tp t="s">
        <v>#N/A N/A</v>
        <stp/>
        <stp>BDP|11003847261117070782</stp>
        <tr r="K2185" s="2"/>
      </tp>
      <tp t="s">
        <v>#N/A N/A</v>
        <stp/>
        <stp>BDP|15946308262557483822</stp>
        <tr r="K370" s="2"/>
      </tp>
      <tp t="s">
        <v>#N/A N/A</v>
        <stp/>
        <stp>BDP|15442957709441759220</stp>
        <tr r="J2235" s="2"/>
      </tp>
      <tp t="s">
        <v>#N/A N/A</v>
        <stp/>
        <stp>BDS|16822442903618232537</stp>
        <tr r="I1360" s="2"/>
      </tp>
      <tp t="s">
        <v>#N/A N/A</v>
        <stp/>
        <stp>BDP|15545320249204732947</stp>
        <tr r="Q1828" s="2"/>
      </tp>
      <tp t="s">
        <v>#N/A N/A</v>
        <stp/>
        <stp>BDS|14535943135029847826</stp>
        <tr r="I1489" s="2"/>
      </tp>
      <tp t="s">
        <v>#N/A N/A</v>
        <stp/>
        <stp>BDP|13667207485087795199</stp>
        <tr r="D1436" s="2"/>
      </tp>
      <tp t="s">
        <v>#N/A N/A</v>
        <stp/>
        <stp>BDP|15778374386591316086</stp>
        <tr r="A30" s="2"/>
      </tp>
      <tp t="s">
        <v>#N/A N/A</v>
        <stp/>
        <stp>BDP|14065124392837525489</stp>
        <tr r="N908" s="2"/>
      </tp>
      <tp t="s">
        <v>#N/A N/A</v>
        <stp/>
        <stp>BDP|10155083382824198377</stp>
        <tr r="O405" s="2"/>
      </tp>
      <tp t="s">
        <v>#N/A N/A</v>
        <stp/>
        <stp>BDP|14471592023374358803</stp>
        <tr r="P2070" s="2"/>
      </tp>
      <tp t="s">
        <v>#N/A N/A</v>
        <stp/>
        <stp>BDP|11532729868839552677</stp>
        <tr r="C1081" s="2"/>
      </tp>
      <tp t="s">
        <v>#N/A N/A</v>
        <stp/>
        <stp>BDP|11705537386891864279</stp>
        <tr r="N1442" s="2"/>
      </tp>
      <tp t="s">
        <v>#N/A N/A</v>
        <stp/>
        <stp>BDP|18137047350195858700</stp>
        <tr r="O255" s="2"/>
      </tp>
      <tp t="s">
        <v>#N/A N/A</v>
        <stp/>
        <stp>BDP|12338381129384828874</stp>
        <tr r="C1045" s="2"/>
      </tp>
      <tp t="s">
        <v>#N/A N/A</v>
        <stp/>
        <stp>BDP|12358804688435515833</stp>
        <tr r="Q523" s="2"/>
      </tp>
      <tp t="s">
        <v>#N/A N/A</v>
        <stp/>
        <stp>BDP|16272960364304534280</stp>
        <tr r="F1071" s="2"/>
      </tp>
      <tp t="s">
        <v>#N/A N/A</v>
        <stp/>
        <stp>BDP|17709629632988929534</stp>
        <tr r="C542" s="2"/>
      </tp>
      <tp t="s">
        <v>#N/A N/A</v>
        <stp/>
        <stp>BDP|11027263858818778148</stp>
        <tr r="S597" s="2"/>
      </tp>
      <tp t="s">
        <v>#N/A N/A</v>
        <stp/>
        <stp>BDP|14257965245710565697</stp>
        <tr r="Q193" s="2"/>
      </tp>
      <tp t="s">
        <v>#N/A N/A</v>
        <stp/>
        <stp>BDP|14979279716730651839</stp>
        <tr r="O432" s="2"/>
      </tp>
      <tp t="s">
        <v>#N/A N/A</v>
        <stp/>
        <stp>BDP|11157699873858204741</stp>
        <tr r="T294" s="2"/>
      </tp>
      <tp t="s">
        <v>#N/A N/A</v>
        <stp/>
        <stp>BDP|17694664307117814928</stp>
        <tr r="E12" s="2"/>
      </tp>
      <tp t="s">
        <v>#N/A N/A</v>
        <stp/>
        <stp>BDP|10988849320306643362</stp>
        <tr r="R6" s="2"/>
      </tp>
      <tp t="s">
        <v>#N/A N/A</v>
        <stp/>
        <stp>BDP|15952952251207811180</stp>
        <tr r="F762" s="2"/>
      </tp>
      <tp t="s">
        <v>#N/A N/A</v>
        <stp/>
        <stp>BDP|18173798925667062514</stp>
        <tr r="S2210" s="2"/>
      </tp>
      <tp t="s">
        <v>#N/A N/A</v>
        <stp/>
        <stp>BDP|18086149608040236629</stp>
        <tr r="D1475" s="2"/>
      </tp>
      <tp t="s">
        <v>#N/A N/A</v>
        <stp/>
        <stp>BDP|16527044589862105354</stp>
        <tr r="Q2125" s="2"/>
      </tp>
      <tp t="s">
        <v>#N/A N/A</v>
        <stp/>
        <stp>BDP|12844713526181765949</stp>
        <tr r="D1279" s="2"/>
      </tp>
      <tp t="s">
        <v>#N/A N/A</v>
        <stp/>
        <stp>BDP|12201686922671100859</stp>
        <tr r="C241" s="2"/>
      </tp>
      <tp t="s">
        <v>#N/A N/A</v>
        <stp/>
        <stp>BDP|15868280917331299895</stp>
        <tr r="R883" s="2"/>
      </tp>
      <tp t="s">
        <v>#N/A N/A</v>
        <stp/>
        <stp>BDP|16928271883382703169</stp>
        <tr r="T1700" s="2"/>
      </tp>
      <tp t="s">
        <v>#N/A N/A</v>
        <stp/>
        <stp>BDP|10547849479374723435</stp>
        <tr r="P2056" s="2"/>
      </tp>
      <tp t="s">
        <v>#N/A N/A</v>
        <stp/>
        <stp>BDP|14698590839528874522</stp>
        <tr r="S2074" s="2"/>
      </tp>
      <tp t="s">
        <v>#N/A N/A</v>
        <stp/>
        <stp>BDP|11476912114720889652</stp>
        <tr r="J2040" s="2"/>
      </tp>
      <tp t="s">
        <v>#N/A N/A</v>
        <stp/>
        <stp>BDP|14586290889367147687</stp>
        <tr r="F1075" s="2"/>
      </tp>
      <tp t="s">
        <v>#N/A N/A</v>
        <stp/>
        <stp>BDP|15027887997323777849</stp>
        <tr r="P942" s="2"/>
      </tp>
      <tp t="s">
        <v>#N/A N/A</v>
        <stp/>
        <stp>BDP|11846859040366639472</stp>
        <tr r="S668" s="2"/>
      </tp>
      <tp t="s">
        <v>#N/A N/A</v>
        <stp/>
        <stp>BDP|15418808018373345031</stp>
        <tr r="E173" s="2"/>
      </tp>
      <tp t="s">
        <v>#N/A N/A</v>
        <stp/>
        <stp>BDP|16817994873943941477</stp>
        <tr r="C1084" s="2"/>
      </tp>
      <tp t="s">
        <v>#N/A N/A</v>
        <stp/>
        <stp>BDP|10492883759460190288</stp>
        <tr r="D595" s="2"/>
      </tp>
      <tp t="s">
        <v>#N/A N/A</v>
        <stp/>
        <stp>BDP|14287424107707835837</stp>
        <tr r="P49" s="2"/>
      </tp>
      <tp t="s">
        <v>#N/A N/A</v>
        <stp/>
        <stp>BDP|13331283272619400018</stp>
        <tr r="H1899" s="2"/>
      </tp>
      <tp t="s">
        <v>#N/A N/A</v>
        <stp/>
        <stp>BDP|15512519941622913902</stp>
        <tr r="K450" s="2"/>
      </tp>
      <tp t="s">
        <v>#N/A N/A</v>
        <stp/>
        <stp>BDS|13059378897646642092</stp>
        <tr r="I110" s="2"/>
      </tp>
      <tp t="s">
        <v>#N/A N/A</v>
        <stp/>
        <stp>BDP|10002092829388892545</stp>
        <tr r="T1616" s="2"/>
      </tp>
      <tp t="s">
        <v>#N/A N/A</v>
        <stp/>
        <stp>BDP|10899973646734647635</stp>
        <tr r="R73" s="2"/>
      </tp>
      <tp t="s">
        <v>#N/A N/A</v>
        <stp/>
        <stp>BDP|13250666378214988995</stp>
        <tr r="K1894" s="2"/>
      </tp>
      <tp t="s">
        <v>#N/A N/A</v>
        <stp/>
        <stp>BDP|12931349386462527420</stp>
        <tr r="P465" s="2"/>
      </tp>
      <tp t="s">
        <v>#N/A N/A</v>
        <stp/>
        <stp>BDP|13803818404980232431</stp>
        <tr r="H983" s="2"/>
      </tp>
      <tp t="s">
        <v>#N/A N/A</v>
        <stp/>
        <stp>BDP|15109654788006803287</stp>
        <tr r="C1448" s="2"/>
      </tp>
      <tp t="s">
        <v>#N/A N/A</v>
        <stp/>
        <stp>BDP|13908180939299510710</stp>
        <tr r="K1821" s="2"/>
      </tp>
      <tp t="s">
        <v>#N/A N/A</v>
        <stp/>
        <stp>BDS|14770544166738826025</stp>
        <tr r="I1907" s="2"/>
      </tp>
      <tp t="s">
        <v>#N/A N/A</v>
        <stp/>
        <stp>BDP|12558092825709677634</stp>
        <tr r="C1949" s="2"/>
      </tp>
      <tp t="s">
        <v>#N/A N/A</v>
        <stp/>
        <stp>BDP|11337938164884963517</stp>
        <tr r="N1207" s="2"/>
      </tp>
      <tp t="s">
        <v>#N/A N/A</v>
        <stp/>
        <stp>BDP|12596212185914878357</stp>
        <tr r="P170" s="2"/>
      </tp>
      <tp t="s">
        <v>#N/A N/A</v>
        <stp/>
        <stp>BDP|16811805153195448133</stp>
        <tr r="R402" s="2"/>
      </tp>
      <tp t="s">
        <v>#N/A N/A</v>
        <stp/>
        <stp>BDS|17254838173421808658</stp>
        <tr r="I1302" s="2"/>
      </tp>
      <tp t="s">
        <v>#N/A N/A</v>
        <stp/>
        <stp>BDP|12413825786599548494</stp>
        <tr r="Q1040" s="2"/>
      </tp>
      <tp t="s">
        <v>#N/A N/A</v>
        <stp/>
        <stp>BDP|10305616709561443836</stp>
        <tr r="O26" s="2"/>
      </tp>
      <tp t="s">
        <v>#N/A N/A</v>
        <stp/>
        <stp>BDP|12212420219180063856</stp>
        <tr r="P2227" s="2"/>
      </tp>
      <tp t="s">
        <v>#N/A N/A</v>
        <stp/>
        <stp>BDP|16840070991505618540</stp>
        <tr r="A2111" s="2"/>
      </tp>
      <tp t="s">
        <v>#N/A N/A</v>
        <stp/>
        <stp>BDP|13926116115768373424</stp>
        <tr r="G1004" s="2"/>
      </tp>
      <tp t="s">
        <v>#N/A N/A</v>
        <stp/>
        <stp>BDP|12772217708869284607</stp>
        <tr r="C1155" s="2"/>
      </tp>
      <tp t="s">
        <v>#N/A N/A</v>
        <stp/>
        <stp>BDP|16214761245662996848</stp>
        <tr r="N1219" s="2"/>
      </tp>
      <tp t="s">
        <v>#N/A N/A</v>
        <stp/>
        <stp>BDP|16459871011163921371</stp>
        <tr r="G506" s="2"/>
      </tp>
      <tp t="s">
        <v>#N/A N/A</v>
        <stp/>
        <stp>BDP|13069851211466835306</stp>
        <tr r="R1902" s="2"/>
      </tp>
      <tp t="s">
        <v>#N/A N/A</v>
        <stp/>
        <stp>BDP|15299786827307085812</stp>
        <tr r="H895" s="2"/>
      </tp>
      <tp t="s">
        <v>#N/A N/A</v>
        <stp/>
        <stp>BDP|13220783910312659801</stp>
        <tr r="C132" s="2"/>
      </tp>
      <tp t="s">
        <v>#N/A N/A</v>
        <stp/>
        <stp>BDP|15143732707228147586</stp>
        <tr r="P1766" s="2"/>
      </tp>
      <tp t="s">
        <v>#N/A N/A</v>
        <stp/>
        <stp>BDP|18179122739371278447</stp>
        <tr r="K791" s="2"/>
      </tp>
      <tp t="s">
        <v>#N/A N/A</v>
        <stp/>
        <stp>BDP|10893140581877729166</stp>
        <tr r="R2160" s="2"/>
      </tp>
      <tp t="s">
        <v>#N/A N/A</v>
        <stp/>
        <stp>BDP|16512977079407245053</stp>
        <tr r="P1005" s="2"/>
      </tp>
      <tp t="s">
        <v>#N/A N/A</v>
        <stp/>
        <stp>BDP|12700033787246911365</stp>
        <tr r="C1914" s="2"/>
      </tp>
      <tp t="s">
        <v>#N/A N/A</v>
        <stp/>
        <stp>BDP|11114081717188554770</stp>
        <tr r="C1319" s="2"/>
      </tp>
      <tp t="s">
        <v>#N/A N/A</v>
        <stp/>
        <stp>BDP|13841899328153602538</stp>
        <tr r="N1758" s="2"/>
      </tp>
      <tp t="s">
        <v>#N/A N/A</v>
        <stp/>
        <stp>BDP|10952206180890060566</stp>
        <tr r="N1446" s="2"/>
      </tp>
      <tp t="s">
        <v>#N/A N/A</v>
        <stp/>
        <stp>BDP|10574328248771535951</stp>
        <tr r="H518" s="2"/>
      </tp>
      <tp t="s">
        <v>#N/A N/A</v>
        <stp/>
        <stp>BDP|15319820446716181097</stp>
        <tr r="E947" s="2"/>
      </tp>
      <tp t="s">
        <v>#N/A N/A</v>
        <stp/>
        <stp>BDP|13151612623529829149</stp>
        <tr r="K279" s="2"/>
      </tp>
      <tp t="s">
        <v>#N/A N/A</v>
        <stp/>
        <stp>BDP|16862814428495786697</stp>
        <tr r="G357" s="2"/>
      </tp>
      <tp t="s">
        <v>#N/A N/A</v>
        <stp/>
        <stp>BDP|10332129398111655607</stp>
        <tr r="C1070" s="2"/>
      </tp>
      <tp t="s">
        <v>#N/A N/A</v>
        <stp/>
        <stp>BDP|18225131027944965005</stp>
        <tr r="N1985" s="2"/>
      </tp>
      <tp t="s">
        <v>#N/A N/A</v>
        <stp/>
        <stp>BDP|18279482388008897354</stp>
        <tr r="G504" s="2"/>
      </tp>
      <tp t="s">
        <v>#N/A N/A</v>
        <stp/>
        <stp>BDS|13691701007748458392</stp>
        <tr r="I407" s="2"/>
      </tp>
      <tp t="s">
        <v>#N/A N/A</v>
        <stp/>
        <stp>BDP|16463387886125283770</stp>
        <tr r="P993" s="2"/>
      </tp>
      <tp t="s">
        <v>#N/A N/A</v>
        <stp/>
        <stp>BDP|13764370604347883835</stp>
        <tr r="J638" s="2"/>
      </tp>
      <tp t="s">
        <v>#N/A N/A</v>
        <stp/>
        <stp>BDP|16063261244256490994</stp>
        <tr r="D1631" s="2"/>
      </tp>
      <tp t="s">
        <v>#N/A N/A</v>
        <stp/>
        <stp>BDP|16534225681461937209</stp>
        <tr r="R84" s="2"/>
      </tp>
      <tp t="s">
        <v>#N/A N/A</v>
        <stp/>
        <stp>BDP|10190945758834186734</stp>
        <tr r="O440" s="2"/>
      </tp>
      <tp t="s">
        <v>#N/A N/A</v>
        <stp/>
        <stp>BDP|17178509951188891079</stp>
        <tr r="A350" s="2"/>
      </tp>
      <tp t="s">
        <v>#N/A N/A</v>
        <stp/>
        <stp>BDP|10288764689372303210</stp>
        <tr r="G62" s="2"/>
      </tp>
      <tp t="s">
        <v>#N/A N/A</v>
        <stp/>
        <stp>BDP|15491498596905613226</stp>
        <tr r="C525" s="2"/>
      </tp>
      <tp t="s">
        <v>#N/A N/A</v>
        <stp/>
        <stp>BDP|16960989409401363142</stp>
        <tr r="Q214" s="2"/>
      </tp>
      <tp t="s">
        <v>#N/A N/A</v>
        <stp/>
        <stp>BDP|18327459003187918434</stp>
        <tr r="F2059" s="2"/>
      </tp>
      <tp t="s">
        <v>#N/A N/A</v>
        <stp/>
        <stp>BDP|13593883226267125155</stp>
        <tr r="Q147" s="2"/>
      </tp>
      <tp t="s">
        <v>#N/A N/A</v>
        <stp/>
        <stp>BDP|12582330548682034813</stp>
        <tr r="O1760" s="2"/>
      </tp>
      <tp t="s">
        <v>#N/A N/A</v>
        <stp/>
        <stp>BDP|11070197990830509636</stp>
        <tr r="A776" s="2"/>
      </tp>
      <tp t="s">
        <v>#N/A N/A</v>
        <stp/>
        <stp>BDP|14119234878989154744</stp>
        <tr r="Q2061" s="2"/>
      </tp>
      <tp t="s">
        <v>#N/A N/A</v>
        <stp/>
        <stp>BDP|12127696822310087952</stp>
        <tr r="K1601" s="2"/>
      </tp>
      <tp t="s">
        <v>#N/A N/A</v>
        <stp/>
        <stp>BDP|10803553850107783857</stp>
        <tr r="E1337" s="2"/>
      </tp>
      <tp t="s">
        <v>#N/A N/A</v>
        <stp/>
        <stp>BDP|10031988767573720371</stp>
        <tr r="T2040" s="2"/>
      </tp>
      <tp t="s">
        <v>#N/A N/A</v>
        <stp/>
        <stp>BDP|14290995693778461330</stp>
        <tr r="C690" s="2"/>
      </tp>
      <tp t="s">
        <v>#N/A N/A</v>
        <stp/>
        <stp>BDP|16427577544689977118</stp>
        <tr r="T907" s="2"/>
      </tp>
      <tp t="s">
        <v>#N/A N/A</v>
        <stp/>
        <stp>BDP|14186226653534828875</stp>
        <tr r="G1789" s="2"/>
      </tp>
      <tp t="s">
        <v>#N/A N/A</v>
        <stp/>
        <stp>BDP|15650835413633183082</stp>
        <tr r="Q1683" s="2"/>
      </tp>
      <tp t="s">
        <v>#N/A N/A</v>
        <stp/>
        <stp>BDP|11921663940794237829</stp>
        <tr r="K1178" s="2"/>
      </tp>
      <tp t="s">
        <v>#N/A N/A</v>
        <stp/>
        <stp>BDP|16057258396675873740</stp>
        <tr r="Q306" s="2"/>
      </tp>
      <tp t="s">
        <v>#N/A N/A</v>
        <stp/>
        <stp>BDP|12517980148271992136</stp>
        <tr r="H1270" s="2"/>
      </tp>
      <tp t="s">
        <v>#N/A N/A</v>
        <stp/>
        <stp>BDP|15985851981468249205</stp>
        <tr r="J823" s="2"/>
      </tp>
      <tp t="s">
        <v>#N/A N/A</v>
        <stp/>
        <stp>BDP|16253874634394879666</stp>
        <tr r="H1611" s="2"/>
      </tp>
      <tp t="s">
        <v>#N/A N/A</v>
        <stp/>
        <stp>BDP|15982759649259270087</stp>
        <tr r="C1090" s="2"/>
      </tp>
      <tp t="s">
        <v>#N/A N/A</v>
        <stp/>
        <stp>BDP|18326747095029808057</stp>
        <tr r="F1619" s="2"/>
      </tp>
      <tp t="s">
        <v>#N/A N/A</v>
        <stp/>
        <stp>BDP|17518183488134266587</stp>
        <tr r="A276" s="2"/>
      </tp>
      <tp t="s">
        <v>#N/A N/A</v>
        <stp/>
        <stp>BDP|14315621539239428732</stp>
        <tr r="D992" s="2"/>
      </tp>
      <tp t="s">
        <v>#N/A N/A</v>
        <stp/>
        <stp>BDP|18280327757663131298</stp>
        <tr r="S1314" s="2"/>
      </tp>
      <tp t="s">
        <v>#N/A N/A</v>
        <stp/>
        <stp>BDS|14864921741492717403</stp>
        <tr r="I1347" s="2"/>
      </tp>
      <tp t="s">
        <v>#N/A N/A</v>
        <stp/>
        <stp>BDP|14011556597292543580</stp>
        <tr r="G1852" s="2"/>
      </tp>
      <tp t="s">
        <v>#N/A N/A</v>
        <stp/>
        <stp>BDP|17409683296017754027</stp>
        <tr r="R619" s="2"/>
      </tp>
      <tp t="s">
        <v>#N/A N/A</v>
        <stp/>
        <stp>BDP|16463456634109856725</stp>
        <tr r="F1218" s="2"/>
      </tp>
      <tp t="s">
        <v>#N/A N/A</v>
        <stp/>
        <stp>BDP|13799971230860961666</stp>
        <tr r="M1947" s="2"/>
      </tp>
      <tp t="s">
        <v>#N/A N/A</v>
        <stp/>
        <stp>BDP|14943970114537557404</stp>
        <tr r="N2024" s="2"/>
      </tp>
      <tp t="s">
        <v>#N/A N/A</v>
        <stp/>
        <stp>BDP|17927340013713636976</stp>
        <tr r="O1447" s="2"/>
      </tp>
      <tp t="s">
        <v>#N/A N/A</v>
        <stp/>
        <stp>BDP|11417871415161997608</stp>
        <tr r="E94" s="2"/>
      </tp>
      <tp t="s">
        <v>#N/A N/A</v>
        <stp/>
        <stp>BDP|15575580701076607957</stp>
        <tr r="T2213" s="2"/>
      </tp>
      <tp t="s">
        <v>#N/A N/A</v>
        <stp/>
        <stp>BDP|14804121402293620916</stp>
        <tr r="A2134" s="2"/>
      </tp>
      <tp t="s">
        <v>#N/A N/A</v>
        <stp/>
        <stp>BDP|17972477667168229244</stp>
        <tr r="J1767" s="2"/>
      </tp>
      <tp t="s">
        <v>#N/A N/A</v>
        <stp/>
        <stp>BDP|16283284298426580487</stp>
        <tr r="S317" s="2"/>
      </tp>
      <tp t="s">
        <v>#N/A N/A</v>
        <stp/>
        <stp>BDP|12348878099134537878</stp>
        <tr r="K1492" s="2"/>
      </tp>
      <tp t="s">
        <v>#N/A N/A</v>
        <stp/>
        <stp>BDS|14963236393721284179</stp>
        <tr r="I1481" s="2"/>
      </tp>
      <tp t="s">
        <v>#N/A N/A</v>
        <stp/>
        <stp>BDP|12450691073544055812</stp>
        <tr r="P1208" s="2"/>
      </tp>
      <tp t="s">
        <v>#N/A N/A</v>
        <stp/>
        <stp>BDP|16165411163549932257</stp>
        <tr r="H1703" s="2"/>
      </tp>
      <tp t="s">
        <v>#N/A N/A</v>
        <stp/>
        <stp>BDP|12632955569491026355</stp>
        <tr r="O2035" s="2"/>
      </tp>
      <tp t="s">
        <v>#N/A N/A</v>
        <stp/>
        <stp>BDP|12877642664055201850</stp>
        <tr r="R1229" s="2"/>
      </tp>
      <tp t="s">
        <v>#N/A N/A</v>
        <stp/>
        <stp>BDP|13325065608759162533</stp>
        <tr r="N1236" s="2"/>
      </tp>
      <tp t="s">
        <v>#N/A N/A</v>
        <stp/>
        <stp>BDP|17903253837490352977</stp>
        <tr r="R129" s="2"/>
      </tp>
      <tp t="s">
        <v>#N/A N/A</v>
        <stp/>
        <stp>BDS|16572336259169514664</stp>
        <tr r="I428" s="2"/>
      </tp>
      <tp t="s">
        <v>#N/A N/A</v>
        <stp/>
        <stp>BDP|13700802819714303121</stp>
        <tr r="J618" s="2"/>
      </tp>
      <tp t="s">
        <v>#N/A N/A</v>
        <stp/>
        <stp>BDP|10174285597904884097</stp>
        <tr r="A4" s="2"/>
      </tp>
      <tp t="s">
        <v>#N/A N/A</v>
        <stp/>
        <stp>BDP|13921019771503680802</stp>
        <tr r="N1618" s="2"/>
      </tp>
      <tp t="s">
        <v>#N/A N/A</v>
        <stp/>
        <stp>BDS|11031648090748960901</stp>
        <tr r="I435" s="2"/>
      </tp>
      <tp t="s">
        <v>#N/A N/A</v>
        <stp/>
        <stp>BDP|15077103989852360140</stp>
        <tr r="G1373" s="2"/>
      </tp>
      <tp t="s">
        <v>#N/A N/A</v>
        <stp/>
        <stp>BDP|15839937313970477220</stp>
        <tr r="E293" s="2"/>
      </tp>
      <tp t="s">
        <v>#N/A N/A</v>
        <stp/>
        <stp>BDP|11623703354895975957</stp>
        <tr r="K1858" s="2"/>
      </tp>
      <tp t="s">
        <v>#N/A N/A</v>
        <stp/>
        <stp>BDP|14708388090562975383</stp>
        <tr r="N116" s="2"/>
      </tp>
      <tp t="s">
        <v>#N/A N/A</v>
        <stp/>
        <stp>BDP|15565016877888560587</stp>
        <tr r="G1139" s="2"/>
      </tp>
      <tp t="s">
        <v>#N/A N/A</v>
        <stp/>
        <stp>BDP|13046798947129671662</stp>
        <tr r="O1295" s="2"/>
      </tp>
      <tp t="s">
        <v>#N/A N/A</v>
        <stp/>
        <stp>BDP|14764589324639239575</stp>
        <tr r="S258" s="2"/>
      </tp>
      <tp t="s">
        <v>#N/A N/A</v>
        <stp/>
        <stp>BDP|14881811955567663145</stp>
        <tr r="Q111" s="2"/>
      </tp>
      <tp t="s">
        <v>#N/A N/A</v>
        <stp/>
        <stp>BDP|15279979210272375084</stp>
        <tr r="Q105" s="2"/>
      </tp>
      <tp t="s">
        <v>#N/A N/A</v>
        <stp/>
        <stp>BDP|18000257628812522562</stp>
        <tr r="Q1458" s="2"/>
      </tp>
      <tp t="s">
        <v>#N/A N/A</v>
        <stp/>
        <stp>BDP|15801443096103287465</stp>
        <tr r="N707" s="2"/>
      </tp>
      <tp t="s">
        <v>#N/A N/A</v>
        <stp/>
        <stp>BDP|11678979388528609715</stp>
        <tr r="D1349" s="2"/>
      </tp>
      <tp t="s">
        <v>#N/A N/A</v>
        <stp/>
        <stp>BDP|13869132822349005679</stp>
        <tr r="D1811" s="2"/>
      </tp>
      <tp t="s">
        <v>#N/A N/A</v>
        <stp/>
        <stp>BDP|12025598244979682555</stp>
        <tr r="E1563" s="2"/>
      </tp>
      <tp t="s">
        <v>#N/A N/A</v>
        <stp/>
        <stp>BDP|15872345098799316999</stp>
        <tr r="P1075" s="2"/>
      </tp>
      <tp t="s">
        <v>#N/A N/A</v>
        <stp/>
        <stp>BDP|16765642601986971957</stp>
        <tr r="M1642" s="2"/>
      </tp>
      <tp t="s">
        <v>#N/A N/A</v>
        <stp/>
        <stp>BDP|16842978710567629676</stp>
        <tr r="D476" s="2"/>
      </tp>
      <tp t="s">
        <v>#N/A N/A</v>
        <stp/>
        <stp>BDP|10206519738120173942</stp>
        <tr r="T2044" s="2"/>
      </tp>
      <tp t="s">
        <v>#N/A N/A</v>
        <stp/>
        <stp>BDP|13142972183625282895</stp>
        <tr r="J706" s="2"/>
      </tp>
      <tp t="s">
        <v>#N/A N/A</v>
        <stp/>
        <stp>BDP|12029380772698012149</stp>
        <tr r="M841" s="2"/>
      </tp>
      <tp t="s">
        <v>#N/A N/A</v>
        <stp/>
        <stp>BDP|10190323255808068187</stp>
        <tr r="O109" s="2"/>
      </tp>
      <tp t="s">
        <v>#N/A N/A</v>
        <stp/>
        <stp>BDP|14217775168558245216</stp>
        <tr r="K432" s="2"/>
      </tp>
      <tp t="s">
        <v>#N/A N/A</v>
        <stp/>
        <stp>BDP|14556260998266208674</stp>
        <tr r="M1885" s="2"/>
      </tp>
      <tp t="s">
        <v>#N/A N/A</v>
        <stp/>
        <stp>BDP|14624795442501061937</stp>
        <tr r="R389" s="2"/>
      </tp>
      <tp t="s">
        <v>#N/A N/A</v>
        <stp/>
        <stp>BDP|16015037379699475705</stp>
        <tr r="P435" s="2"/>
      </tp>
      <tp t="s">
        <v>#N/A N/A</v>
        <stp/>
        <stp>BDP|16077777683330277686</stp>
        <tr r="T1609" s="2"/>
      </tp>
      <tp t="s">
        <v>#N/A N/A</v>
        <stp/>
        <stp>BDP|13762169793396988256</stp>
        <tr r="M828" s="2"/>
      </tp>
      <tp t="s">
        <v>#N/A N/A</v>
        <stp/>
        <stp>BDP|14654198486807574520</stp>
        <tr r="E820" s="2"/>
      </tp>
      <tp t="s">
        <v>#N/A N/A</v>
        <stp/>
        <stp>BDP|16449859859946650200</stp>
        <tr r="K1470" s="2"/>
      </tp>
      <tp t="s">
        <v>#N/A N/A</v>
        <stp/>
        <stp>BDP|13057581052419416500</stp>
        <tr r="R2208" s="2"/>
      </tp>
      <tp t="s">
        <v>#N/A N/A</v>
        <stp/>
        <stp>BDP|15522192226371557817</stp>
        <tr r="R1943" s="2"/>
      </tp>
      <tp t="s">
        <v>#N/A N/A</v>
        <stp/>
        <stp>BDP|13894850857975108451</stp>
        <tr r="J2154" s="2"/>
      </tp>
      <tp t="s">
        <v>#N/A N/A</v>
        <stp/>
        <stp>BDP|17658944318615603527</stp>
        <tr r="H572" s="2"/>
      </tp>
      <tp t="s">
        <v>#N/A N/A</v>
        <stp/>
        <stp>BDS|13342895123180622622</stp>
        <tr r="I890" s="2"/>
      </tp>
      <tp t="s">
        <v>#N/A N/A</v>
        <stp/>
        <stp>BDP|10495495944819575623</stp>
        <tr r="H1120" s="2"/>
      </tp>
      <tp t="s">
        <v>#N/A N/A</v>
        <stp/>
        <stp>BDP|17445572586016879331</stp>
        <tr r="G663" s="2"/>
      </tp>
      <tp t="s">
        <v>#N/A N/A</v>
        <stp/>
        <stp>BDP|17953949005890322156</stp>
        <tr r="J1681" s="2"/>
      </tp>
      <tp t="s">
        <v>#N/A N/A</v>
        <stp/>
        <stp>BDP|12350097418009412583</stp>
        <tr r="N1476" s="2"/>
      </tp>
      <tp t="s">
        <v>#N/A N/A</v>
        <stp/>
        <stp>BDP|11405712719279365116</stp>
        <tr r="T921" s="2"/>
      </tp>
      <tp t="s">
        <v>#N/A N/A</v>
        <stp/>
        <stp>BDP|10138899153220708228</stp>
        <tr r="P2101" s="2"/>
      </tp>
      <tp t="s">
        <v>#N/A N/A</v>
        <stp/>
        <stp>BDP|14457426948238112317</stp>
        <tr r="N697" s="2"/>
      </tp>
      <tp t="s">
        <v>#N/A N/A</v>
        <stp/>
        <stp>BDP|15560852934930830129</stp>
        <tr r="K1246" s="2"/>
      </tp>
      <tp t="s">
        <v>#N/A N/A</v>
        <stp/>
        <stp>BDP|16357642299073706570</stp>
        <tr r="P1580" s="2"/>
      </tp>
      <tp t="s">
        <v>#N/A N/A</v>
        <stp/>
        <stp>BDP|13206539038889618317</stp>
        <tr r="Q1772" s="2"/>
      </tp>
      <tp t="s">
        <v>#N/A N/A</v>
        <stp/>
        <stp>BDP|10875646756078306476</stp>
        <tr r="O1101" s="2"/>
      </tp>
      <tp t="s">
        <v>#N/A N/A</v>
        <stp/>
        <stp>BDP|14221168261734925829</stp>
        <tr r="T209" s="2"/>
      </tp>
      <tp t="s">
        <v>#N/A N/A</v>
        <stp/>
        <stp>BDP|15380387199022804249</stp>
        <tr r="G1708" s="2"/>
      </tp>
      <tp t="s">
        <v>#N/A N/A</v>
        <stp/>
        <stp>BDP|11955975432576326211</stp>
        <tr r="D1971" s="2"/>
      </tp>
      <tp t="s">
        <v>#N/A N/A</v>
        <stp/>
        <stp>BDP|14992773575643133849</stp>
        <tr r="R922" s="2"/>
      </tp>
      <tp t="s">
        <v>#N/A N/A</v>
        <stp/>
        <stp>BDP|15812239095278662969</stp>
        <tr r="F351" s="2"/>
      </tp>
      <tp t="s">
        <v>#N/A N/A</v>
        <stp/>
        <stp>BDP|10166854036834974058</stp>
        <tr r="K485" s="2"/>
      </tp>
      <tp t="s">
        <v>#N/A N/A</v>
        <stp/>
        <stp>BDP|16968579666923244946</stp>
        <tr r="C1288" s="2"/>
      </tp>
      <tp t="s">
        <v>#N/A N/A</v>
        <stp/>
        <stp>BDP|13958106401625185879</stp>
        <tr r="G278" s="2"/>
      </tp>
      <tp t="s">
        <v>#N/A N/A</v>
        <stp/>
        <stp>BDP|11172360598992938689</stp>
        <tr r="G1418" s="2"/>
      </tp>
      <tp t="s">
        <v>#N/A N/A</v>
        <stp/>
        <stp>BDP|15046282621203473937</stp>
        <tr r="T77" s="2"/>
      </tp>
      <tp t="s">
        <v>#N/A N/A</v>
        <stp/>
        <stp>BDP|12836992253802128320</stp>
        <tr r="K1782" s="2"/>
      </tp>
      <tp t="s">
        <v>#N/A N/A</v>
        <stp/>
        <stp>BDP|15815862882843855955</stp>
        <tr r="O1630" s="2"/>
      </tp>
      <tp t="s">
        <v>#N/A N/A</v>
        <stp/>
        <stp>BDP|12444503483888566832</stp>
        <tr r="F1580" s="2"/>
      </tp>
      <tp t="s">
        <v>#N/A N/A</v>
        <stp/>
        <stp>BDP|16041677520045099861</stp>
        <tr r="M1107" s="2"/>
      </tp>
      <tp t="s">
        <v>#N/A N/A</v>
        <stp/>
        <stp>BDP|15980291196495112467</stp>
        <tr r="C618" s="2"/>
      </tp>
      <tp t="s">
        <v>#N/A N/A</v>
        <stp/>
        <stp>BDP|12542521881927211757</stp>
        <tr r="H2221" s="2"/>
      </tp>
      <tp t="s">
        <v>#N/A N/A</v>
        <stp/>
        <stp>BDP|18257674559471870558</stp>
        <tr r="C1774" s="2"/>
      </tp>
      <tp t="s">
        <v>#N/A N/A</v>
        <stp/>
        <stp>BDP|13950973369835760612</stp>
        <tr r="C1297" s="2"/>
      </tp>
      <tp t="s">
        <v>#N/A N/A</v>
        <stp/>
        <stp>BDP|11138127082532993591</stp>
        <tr r="C1942" s="2"/>
      </tp>
      <tp t="s">
        <v>#N/A N/A</v>
        <stp/>
        <stp>BDP|11144806254780059349</stp>
        <tr r="K1949" s="2"/>
      </tp>
      <tp t="s">
        <v>#N/A N/A</v>
        <stp/>
        <stp>BDP|10454318889140844450</stp>
        <tr r="S946" s="2"/>
      </tp>
      <tp t="s">
        <v>#N/A N/A</v>
        <stp/>
        <stp>BDP|10989745650658470584</stp>
        <tr r="H612" s="2"/>
      </tp>
      <tp t="s">
        <v>#N/A N/A</v>
        <stp/>
        <stp>BDP|16831814988198597157</stp>
        <tr r="G1532" s="2"/>
      </tp>
      <tp t="s">
        <v>#N/A N/A</v>
        <stp/>
        <stp>BDP|11031282274998904347</stp>
        <tr r="J2094" s="2"/>
      </tp>
      <tp t="s">
        <v>#N/A N/A</v>
        <stp/>
        <stp>BDP|17677214999111756288</stp>
        <tr r="A2227" s="2"/>
      </tp>
      <tp t="s">
        <v>#N/A N/A</v>
        <stp/>
        <stp>BDP|18275218973911887391</stp>
        <tr r="F15" s="2"/>
      </tp>
      <tp t="s">
        <v>#N/A N/A</v>
        <stp/>
        <stp>BDP|18224332967200758208</stp>
        <tr r="G1202" s="2"/>
      </tp>
      <tp t="s">
        <v>#N/A N/A</v>
        <stp/>
        <stp>BDP|16408492978753795933</stp>
        <tr r="K672" s="2"/>
      </tp>
      <tp t="s">
        <v>#N/A N/A</v>
        <stp/>
        <stp>BDP|13858140838416292877</stp>
        <tr r="S965" s="2"/>
      </tp>
      <tp t="s">
        <v>#N/A N/A</v>
        <stp/>
        <stp>BDP|14947989743572534464</stp>
        <tr r="O1457" s="2"/>
      </tp>
      <tp t="s">
        <v>#N/A N/A</v>
        <stp/>
        <stp>BDP|11858436128951301914</stp>
        <tr r="O166" s="2"/>
      </tp>
      <tp t="s">
        <v>#N/A N/A</v>
        <stp/>
        <stp>BDP|13150757788696987542</stp>
        <tr r="Q1474" s="2"/>
      </tp>
      <tp t="s">
        <v>#N/A N/A</v>
        <stp/>
        <stp>BDP|18431118166646241607</stp>
        <tr r="Q2220" s="2"/>
      </tp>
      <tp t="s">
        <v>#N/A N/A</v>
        <stp/>
        <stp>BDP|14162931215282428129</stp>
        <tr r="H807" s="2"/>
      </tp>
      <tp t="s">
        <v>#N/A N/A</v>
        <stp/>
        <stp>BDP|13717392280196761189</stp>
        <tr r="J1520" s="2"/>
      </tp>
      <tp t="s">
        <v>#N/A N/A</v>
        <stp/>
        <stp>BDP|12209428495707341776</stp>
        <tr r="R1063" s="2"/>
      </tp>
      <tp t="s">
        <v>#N/A N/A</v>
        <stp/>
        <stp>BDP|12712559984528596829</stp>
        <tr r="Q62" s="2"/>
      </tp>
      <tp t="s">
        <v>#N/A N/A</v>
        <stp/>
        <stp>BDP|17035315922170595973</stp>
        <tr r="C1077" s="2"/>
      </tp>
      <tp t="s">
        <v>#N/A N/A</v>
        <stp/>
        <stp>BDP|10289940736267940283</stp>
        <tr r="J233" s="2"/>
      </tp>
      <tp t="s">
        <v>#N/A N/A</v>
        <stp/>
        <stp>BDP|12481929116826445350</stp>
        <tr r="P684" s="2"/>
      </tp>
      <tp t="s">
        <v>#N/A N/A</v>
        <stp/>
        <stp>BDP|12776889600365750095</stp>
        <tr r="D465" s="2"/>
      </tp>
      <tp t="s">
        <v>#N/A N/A</v>
        <stp/>
        <stp>BDP|11484148894096594004</stp>
        <tr r="R1732" s="2"/>
      </tp>
      <tp t="s">
        <v>#N/A N/A</v>
        <stp/>
        <stp>BDP|11988533549656561977</stp>
        <tr r="Q974" s="2"/>
      </tp>
      <tp t="s">
        <v>#N/A N/A</v>
        <stp/>
        <stp>BDP|11038424542868673674</stp>
        <tr r="E1290" s="2"/>
      </tp>
      <tp t="s">
        <v>#N/A N/A</v>
        <stp/>
        <stp>BDP|17240266397213558079</stp>
        <tr r="H2025" s="2"/>
      </tp>
      <tp t="s">
        <v>#N/A N/A</v>
        <stp/>
        <stp>BDP|16236150424712486860</stp>
        <tr r="D342" s="2"/>
      </tp>
      <tp t="s">
        <v>#N/A N/A</v>
        <stp/>
        <stp>BDP|17496365418342912822</stp>
        <tr r="K945" s="2"/>
      </tp>
      <tp t="s">
        <v>#N/A N/A</v>
        <stp/>
        <stp>BDP|16099466898717703384</stp>
        <tr r="C2053" s="2"/>
      </tp>
      <tp t="s">
        <v>#N/A N/A</v>
        <stp/>
        <stp>BDP|16129870013740314077</stp>
        <tr r="R1723" s="2"/>
      </tp>
      <tp t="s">
        <v>#N/A N/A</v>
        <stp/>
        <stp>BDP|11970466111598938364</stp>
        <tr r="P2021" s="2"/>
      </tp>
      <tp t="s">
        <v>#N/A N/A</v>
        <stp/>
        <stp>BDP|14712968455827434010</stp>
        <tr r="P863" s="2"/>
      </tp>
      <tp t="s">
        <v>#N/A N/A</v>
        <stp/>
        <stp>BDP|12790940945821208153</stp>
        <tr r="F1369" s="2"/>
      </tp>
      <tp t="s">
        <v>#N/A N/A</v>
        <stp/>
        <stp>BDP|14668590328215768910</stp>
        <tr r="A1581" s="2"/>
      </tp>
      <tp t="s">
        <v>#N/A N/A</v>
        <stp/>
        <stp>BDP|17999469484721216587</stp>
        <tr r="R940" s="2"/>
      </tp>
      <tp t="s">
        <v>#N/A N/A</v>
        <stp/>
        <stp>BDP|13115032942528014016</stp>
        <tr r="P1024" s="2"/>
      </tp>
      <tp t="s">
        <v>#N/A N/A</v>
        <stp/>
        <stp>BDP|16231224289370150390</stp>
        <tr r="C1634" s="2"/>
      </tp>
      <tp t="s">
        <v>#N/A N/A</v>
        <stp/>
        <stp>BDP|15323272797106052725</stp>
        <tr r="T1919" s="2"/>
      </tp>
      <tp t="s">
        <v>#N/A N/A</v>
        <stp/>
        <stp>BDP|11866027870041836832</stp>
        <tr r="P1333" s="2"/>
      </tp>
      <tp t="s">
        <v>#N/A N/A</v>
        <stp/>
        <stp>BDP|13272473520599311370</stp>
        <tr r="P2095" s="2"/>
      </tp>
      <tp t="s">
        <v>#N/A N/A</v>
        <stp/>
        <stp>BDP|14424525034344557961</stp>
        <tr r="T1850" s="2"/>
      </tp>
      <tp t="s">
        <v>#N/A N/A</v>
        <stp/>
        <stp>BDP|15428891328595254563</stp>
        <tr r="M1542" s="2"/>
      </tp>
      <tp t="s">
        <v>#N/A N/A</v>
        <stp/>
        <stp>BDP|15448570713778114605</stp>
        <tr r="S471" s="2"/>
      </tp>
      <tp t="s">
        <v>#N/A N/A</v>
        <stp/>
        <stp>BDP|13835036888300293408</stp>
        <tr r="M1860" s="2"/>
      </tp>
      <tp t="s">
        <v>#N/A N/A</v>
        <stp/>
        <stp>BDP|17083639541698296218</stp>
        <tr r="T823" s="2"/>
      </tp>
      <tp t="s">
        <v>#N/A N/A</v>
        <stp/>
        <stp>BDP|13563445980879387935</stp>
        <tr r="T781" s="2"/>
      </tp>
      <tp t="s">
        <v>#N/A N/A</v>
        <stp/>
        <stp>BDP|17217830023131061330</stp>
        <tr r="O1253" s="2"/>
      </tp>
      <tp t="s">
        <v>#N/A N/A</v>
        <stp/>
        <stp>BDP|11473558091743471159</stp>
        <tr r="R1670" s="2"/>
      </tp>
      <tp t="s">
        <v>#N/A N/A</v>
        <stp/>
        <stp>BDP|15568401621199117541</stp>
        <tr r="A615" s="2"/>
      </tp>
      <tp t="s">
        <v>#N/A N/A</v>
        <stp/>
        <stp>BDP|12831982031732710571</stp>
        <tr r="M634" s="2"/>
      </tp>
      <tp t="s">
        <v>#N/A N/A</v>
        <stp/>
        <stp>BDP|15845367472346827857</stp>
        <tr r="T2105" s="2"/>
      </tp>
      <tp t="s">
        <v>#N/A N/A</v>
        <stp/>
        <stp>BDP|18373746590108379153</stp>
        <tr r="A1921" s="2"/>
      </tp>
      <tp t="s">
        <v>#N/A N/A</v>
        <stp/>
        <stp>BDP|17416236986302984098</stp>
        <tr r="D2165" s="2"/>
      </tp>
      <tp t="s">
        <v>#N/A N/A</v>
        <stp/>
        <stp>BDP|18143801658009853304</stp>
        <tr r="C843" s="2"/>
      </tp>
      <tp t="s">
        <v>#N/A N/A</v>
        <stp/>
        <stp>BDP|11633593241137661893</stp>
        <tr r="C1491" s="2"/>
      </tp>
      <tp t="s">
        <v>#N/A N/A</v>
        <stp/>
        <stp>BDP|14896221857154547886</stp>
        <tr r="O2066" s="2"/>
      </tp>
      <tp t="s">
        <v>#N/A N/A</v>
        <stp/>
        <stp>BDP|12304924622383152529</stp>
        <tr r="Q513" s="2"/>
      </tp>
      <tp t="s">
        <v>#N/A N/A</v>
        <stp/>
        <stp>BDP|15607488774639906035</stp>
        <tr r="C1910" s="2"/>
      </tp>
      <tp t="s">
        <v>#N/A N/A</v>
        <stp/>
        <stp>BDP|12505033493863487718</stp>
        <tr r="N1862" s="2"/>
      </tp>
      <tp t="s">
        <v>#N/A N/A</v>
        <stp/>
        <stp>BDP|15651947933960953084</stp>
        <tr r="P115" s="2"/>
      </tp>
      <tp t="s">
        <v>#N/A N/A</v>
        <stp/>
        <stp>BDP|13661385742888975356</stp>
        <tr r="K1277" s="2"/>
      </tp>
      <tp t="s">
        <v>#N/A N/A</v>
        <stp/>
        <stp>BDP|15988674695237338287</stp>
        <tr r="R502" s="2"/>
      </tp>
      <tp t="s">
        <v>#N/A N/A</v>
        <stp/>
        <stp>BDP|15282360937548660252</stp>
        <tr r="S1098" s="2"/>
      </tp>
      <tp t="s">
        <v>#N/A N/A</v>
        <stp/>
        <stp>BDP|17317767450783113949</stp>
        <tr r="D1097" s="2"/>
      </tp>
      <tp t="s">
        <v>#N/A N/A</v>
        <stp/>
        <stp>BDP|15228754362913421814</stp>
        <tr r="D1366" s="2"/>
      </tp>
      <tp t="s">
        <v>#N/A N/A</v>
        <stp/>
        <stp>BDP|17743659395715575224</stp>
        <tr r="P1785" s="2"/>
      </tp>
      <tp t="s">
        <v>#N/A N/A</v>
        <stp/>
        <stp>BDP|12417159674713666830</stp>
        <tr r="C845" s="2"/>
      </tp>
      <tp t="s">
        <v>#N/A N/A</v>
        <stp/>
        <stp>BDP|14770687231976733893</stp>
        <tr r="F867" s="2"/>
      </tp>
      <tp t="s">
        <v>#N/A N/A</v>
        <stp/>
        <stp>BDP|10716838002312276544</stp>
        <tr r="R201" s="2"/>
      </tp>
      <tp t="s">
        <v>#N/A N/A</v>
        <stp/>
        <stp>BDP|11584351993755652153</stp>
        <tr r="H896" s="2"/>
      </tp>
      <tp t="s">
        <v>#N/A N/A</v>
        <stp/>
        <stp>BDP|10551453043809451673</stp>
        <tr r="D1882" s="2"/>
      </tp>
      <tp t="s">
        <v>#N/A N/A</v>
        <stp/>
        <stp>BDP|10934028569138530171</stp>
        <tr r="M1663" s="2"/>
      </tp>
      <tp t="s">
        <v>#N/A N/A</v>
        <stp/>
        <stp>BDP|13547046322766590864</stp>
        <tr r="C171" s="2"/>
      </tp>
      <tp t="s">
        <v>#N/A N/A</v>
        <stp/>
        <stp>BDP|14579872271790790443</stp>
        <tr r="O564" s="2"/>
      </tp>
      <tp t="s">
        <v>#N/A N/A</v>
        <stp/>
        <stp>BDP|14337400383541589651</stp>
        <tr r="O706" s="2"/>
      </tp>
      <tp t="s">
        <v>#N/A N/A</v>
        <stp/>
        <stp>BDP|16393022875317300977</stp>
        <tr r="E178" s="2"/>
      </tp>
      <tp t="s">
        <v>#N/A N/A</v>
        <stp/>
        <stp>BDP|15290002940097744950</stp>
        <tr r="N188" s="2"/>
      </tp>
      <tp t="s">
        <v>#N/A N/A</v>
        <stp/>
        <stp>BDP|11756972707046382140</stp>
        <tr r="K23" s="2"/>
      </tp>
      <tp t="s">
        <v>#N/A N/A</v>
        <stp/>
        <stp>BDS|16534814162940313760</stp>
        <tr r="I2240" s="2"/>
      </tp>
      <tp t="s">
        <v>#N/A N/A</v>
        <stp/>
        <stp>BDP|11155670405349010139</stp>
        <tr r="E1928" s="2"/>
      </tp>
      <tp t="s">
        <v>#N/A N/A</v>
        <stp/>
        <stp>BDP|12521871304210363559</stp>
        <tr r="R926" s="2"/>
      </tp>
      <tp t="s">
        <v>#N/A N/A</v>
        <stp/>
        <stp>BDP|12380269398216991044</stp>
        <tr r="A1497" s="2"/>
      </tp>
      <tp t="s">
        <v>#N/A N/A</v>
        <stp/>
        <stp>BDP|14297965615510433354</stp>
        <tr r="Q1319" s="2"/>
      </tp>
      <tp t="s">
        <v>#N/A N/A</v>
        <stp/>
        <stp>BDP|12465956742951075130</stp>
        <tr r="Q838" s="2"/>
      </tp>
      <tp t="s">
        <v>#N/A N/A</v>
        <stp/>
        <stp>BDP|16703605014667497974</stp>
        <tr r="K1814" s="2"/>
      </tp>
      <tp t="s">
        <v>#N/A N/A</v>
        <stp/>
        <stp>BDP|11578589583024734790</stp>
        <tr r="H835" s="2"/>
      </tp>
      <tp t="s">
        <v>#N/A N/A</v>
        <stp/>
        <stp>BDP|11338589685297710494</stp>
        <tr r="H515" s="2"/>
      </tp>
      <tp t="s">
        <v>#N/A N/A</v>
        <stp/>
        <stp>BDP|16092377813618078342</stp>
        <tr r="T1741" s="2"/>
      </tp>
      <tp t="s">
        <v>#N/A N/A</v>
        <stp/>
        <stp>BDP|15082615851858206129</stp>
        <tr r="A275" s="2"/>
      </tp>
      <tp t="s">
        <v>#N/A N/A</v>
        <stp/>
        <stp>BDP|14640055882903460052</stp>
        <tr r="Q766" s="2"/>
      </tp>
      <tp t="s">
        <v>#N/A N/A</v>
        <stp/>
        <stp>BDP|13073988443153274295</stp>
        <tr r="R1975" s="2"/>
      </tp>
      <tp t="s">
        <v>#N/A N/A</v>
        <stp/>
        <stp>BDP|14747866037193688307</stp>
        <tr r="O1215" s="2"/>
      </tp>
      <tp t="s">
        <v>#N/A N/A</v>
        <stp/>
        <stp>BDP|10991810619020238639</stp>
        <tr r="N168" s="2"/>
      </tp>
      <tp t="s">
        <v>#N/A N/A</v>
        <stp/>
        <stp>BDP|15258153799540657285</stp>
        <tr r="R872" s="2"/>
      </tp>
      <tp t="s">
        <v>#N/A N/A</v>
        <stp/>
        <stp>BDP|16539886623790703391</stp>
        <tr r="G1696" s="2"/>
      </tp>
      <tp t="s">
        <v>#N/A N/A</v>
        <stp/>
        <stp>BDP|14340637687361464435</stp>
        <tr r="N164" s="2"/>
      </tp>
      <tp t="s">
        <v>#N/A N/A</v>
        <stp/>
        <stp>BDP|10540133664278307016</stp>
        <tr r="M960" s="2"/>
      </tp>
      <tp t="s">
        <v>#N/A N/A</v>
        <stp/>
        <stp>BDP|13359751893536173445</stp>
        <tr r="N1393" s="2"/>
      </tp>
      <tp t="s">
        <v>#N/A N/A</v>
        <stp/>
        <stp>BDP|17855883389108866012</stp>
        <tr r="H1965" s="2"/>
      </tp>
      <tp t="s">
        <v>#N/A N/A</v>
        <stp/>
        <stp>BDP|16346827193211679944</stp>
        <tr r="C965" s="2"/>
      </tp>
      <tp t="s">
        <v>#N/A N/A</v>
        <stp/>
        <stp>BDP|12634134765238449243</stp>
        <tr r="K337" s="2"/>
      </tp>
      <tp t="s">
        <v>#N/A N/A</v>
        <stp/>
        <stp>BDP|17429565483243571640</stp>
        <tr r="P774" s="2"/>
      </tp>
      <tp t="s">
        <v>#N/A N/A</v>
        <stp/>
        <stp>BDP|12443921893515511803</stp>
        <tr r="P760" s="2"/>
      </tp>
      <tp t="s">
        <v>#N/A N/A</v>
        <stp/>
        <stp>BDP|15231035596577779406</stp>
        <tr r="E2101" s="2"/>
      </tp>
      <tp t="s">
        <v>#N/A N/A</v>
        <stp/>
        <stp>BDP|11605483930631878860</stp>
        <tr r="P885" s="2"/>
      </tp>
      <tp t="s">
        <v>#N/A N/A</v>
        <stp/>
        <stp>BDP|13013945811341769523</stp>
        <tr r="R284" s="2"/>
      </tp>
      <tp t="s">
        <v>#N/A N/A</v>
        <stp/>
        <stp>BDP|16780560971449754278</stp>
        <tr r="J508" s="2"/>
      </tp>
      <tp t="s">
        <v>#N/A N/A</v>
        <stp/>
        <stp>BDP|15139873152727720034</stp>
        <tr r="R1035" s="2"/>
      </tp>
      <tp t="s">
        <v>#N/A N/A</v>
        <stp/>
        <stp>BDP|11447139946129491255</stp>
        <tr r="J352" s="2"/>
      </tp>
      <tp t="s">
        <v>#N/A N/A</v>
        <stp/>
        <stp>BDP|13013280147158738283</stp>
        <tr r="R796" s="2"/>
      </tp>
      <tp t="s">
        <v>#N/A N/A</v>
        <stp/>
        <stp>BDP|16908610190014843203</stp>
        <tr r="D93" s="2"/>
      </tp>
      <tp t="s">
        <v>#N/A N/A</v>
        <stp/>
        <stp>BDP|13775601639101907870</stp>
        <tr r="K1849" s="2"/>
      </tp>
      <tp t="s">
        <v>#N/A N/A</v>
        <stp/>
        <stp>BDP|14228026923648651150</stp>
        <tr r="D2053" s="2"/>
      </tp>
      <tp t="s">
        <v>#N/A N/A</v>
        <stp/>
        <stp>BDP|11357385067929593297</stp>
        <tr r="E2004" s="2"/>
      </tp>
      <tp t="s">
        <v>#N/A N/A</v>
        <stp/>
        <stp>BDP|17243409412829459446</stp>
        <tr r="K314" s="2"/>
      </tp>
      <tp t="s">
        <v>#N/A N/A</v>
        <stp/>
        <stp>BDP|14351960899413876840</stp>
        <tr r="E615" s="2"/>
      </tp>
      <tp t="s">
        <v>#N/A N/A</v>
        <stp/>
        <stp>BDP|17846429655899822071</stp>
        <tr r="E1531" s="2"/>
      </tp>
      <tp t="s">
        <v>#N/A N/A</v>
        <stp/>
        <stp>BDP|13569873975052362145</stp>
        <tr r="O1132" s="2"/>
      </tp>
      <tp t="s">
        <v>#N/A N/A</v>
        <stp/>
        <stp>BDP|11505232041460065876</stp>
        <tr r="M1901" s="2"/>
      </tp>
      <tp t="s">
        <v>#N/A N/A</v>
        <stp/>
        <stp>BDP|11335373206459548475</stp>
        <tr r="O2187" s="2"/>
      </tp>
      <tp t="s">
        <v>#N/A N/A</v>
        <stp/>
        <stp>BDP|10584008287521681648</stp>
        <tr r="S51" s="2"/>
      </tp>
      <tp t="s">
        <v>#N/A N/A</v>
        <stp/>
        <stp>BDP|16104855162731012666</stp>
        <tr r="E617" s="2"/>
      </tp>
      <tp t="s">
        <v>#N/A N/A</v>
        <stp/>
        <stp>BDP|12815295612158310601</stp>
        <tr r="O1782" s="2"/>
      </tp>
      <tp t="s">
        <v>#N/A N/A</v>
        <stp/>
        <stp>BDP|18153758112637087666</stp>
        <tr r="Q824" s="2"/>
      </tp>
      <tp t="s">
        <v>#N/A N/A</v>
        <stp/>
        <stp>BDP|16585858540393248622</stp>
        <tr r="Q454" s="2"/>
      </tp>
      <tp t="s">
        <v>#N/A N/A</v>
        <stp/>
        <stp>BDP|15073672103834203868</stp>
        <tr r="K835" s="2"/>
      </tp>
      <tp t="s">
        <v>#N/A N/A</v>
        <stp/>
        <stp>BDP|11568794108888374179</stp>
        <tr r="P528" s="2"/>
      </tp>
      <tp t="s">
        <v>#N/A N/A</v>
        <stp/>
        <stp>BDP|10868949377076106794</stp>
        <tr r="S213" s="2"/>
      </tp>
      <tp t="s">
        <v>#N/A N/A</v>
        <stp/>
        <stp>BDP|15085213961399740747</stp>
        <tr r="K1995" s="2"/>
      </tp>
      <tp t="s">
        <v>#N/A N/A</v>
        <stp/>
        <stp>BDP|14048679587081011437</stp>
        <tr r="D895" s="2"/>
      </tp>
      <tp t="s">
        <v>#N/A N/A</v>
        <stp/>
        <stp>BDS|16302012483243024219</stp>
        <tr r="I2193" s="2"/>
      </tp>
      <tp t="s">
        <v>#N/A N/A</v>
        <stp/>
        <stp>BDS|10766174234488641528</stp>
        <tr r="I280" s="2"/>
      </tp>
      <tp t="s">
        <v>#N/A N/A</v>
        <stp/>
        <stp>BDS|11077007853922530960</stp>
        <tr r="I179" s="2"/>
      </tp>
      <tp t="s">
        <v>#N/A N/A</v>
        <stp/>
        <stp>BDP|16297532718699240483</stp>
        <tr r="F1255" s="2"/>
      </tp>
      <tp t="s">
        <v>#N/A N/A</v>
        <stp/>
        <stp>BDP|10696694624788902310</stp>
        <tr r="H1357" s="2"/>
      </tp>
      <tp t="s">
        <v>#N/A N/A</v>
        <stp/>
        <stp>BDS|14896511998357070016</stp>
        <tr r="I2133" s="2"/>
      </tp>
      <tp t="s">
        <v>#N/A N/A</v>
        <stp/>
        <stp>BDS|11571049794150764723</stp>
        <tr r="I1063" s="2"/>
      </tp>
      <tp t="s">
        <v>#N/A N/A</v>
        <stp/>
        <stp>BDP|12750985348904125451</stp>
        <tr r="S96" s="2"/>
      </tp>
      <tp t="s">
        <v>#N/A N/A</v>
        <stp/>
        <stp>BDP|12482250013058537641</stp>
        <tr r="Q1645" s="2"/>
      </tp>
      <tp t="s">
        <v>#N/A N/A</v>
        <stp/>
        <stp>BDP|18241466641743593436</stp>
        <tr r="F2079" s="2"/>
      </tp>
      <tp t="s">
        <v>#N/A N/A</v>
        <stp/>
        <stp>BDP|15875521495601506799</stp>
        <tr r="D738" s="2"/>
      </tp>
      <tp t="s">
        <v>#N/A N/A</v>
        <stp/>
        <stp>BDP|11226835671913650252</stp>
        <tr r="E837" s="2"/>
      </tp>
      <tp t="s">
        <v>#N/A N/A</v>
        <stp/>
        <stp>BDP|15556929483573677817</stp>
        <tr r="A605" s="2"/>
      </tp>
      <tp t="s">
        <v>#N/A N/A</v>
        <stp/>
        <stp>BDP|14724001892527505539</stp>
        <tr r="H200" s="2"/>
      </tp>
      <tp t="s">
        <v>#N/A N/A</v>
        <stp/>
        <stp>BDP|16138614099526891024</stp>
        <tr r="H1235" s="2"/>
      </tp>
      <tp t="s">
        <v>#N/A N/A</v>
        <stp/>
        <stp>BDP|16789913323563126173</stp>
        <tr r="A1694" s="2"/>
      </tp>
      <tp t="s">
        <v>#N/A N/A</v>
        <stp/>
        <stp>BDP|16387248549178870759</stp>
        <tr r="T2257" s="2"/>
      </tp>
      <tp t="s">
        <v>#N/A N/A</v>
        <stp/>
        <stp>BDP|17045489543828095083</stp>
        <tr r="A1057" s="2"/>
      </tp>
      <tp t="s">
        <v>#N/A N/A</v>
        <stp/>
        <stp>BDP|14644680084700895515</stp>
        <tr r="D2251" s="2"/>
      </tp>
      <tp t="s">
        <v>#N/A N/A</v>
        <stp/>
        <stp>BDP|11094184329568502577</stp>
        <tr r="S443" s="2"/>
      </tp>
      <tp t="s">
        <v>#N/A N/A</v>
        <stp/>
        <stp>BDP|15170833200140884292</stp>
        <tr r="K628" s="2"/>
      </tp>
      <tp t="s">
        <v>#N/A N/A</v>
        <stp/>
        <stp>BDP|15438326865948678765</stp>
        <tr r="D1462" s="2"/>
      </tp>
      <tp t="s">
        <v>#N/A N/A</v>
        <stp/>
        <stp>BDP|10236548495082925197</stp>
        <tr r="Q931" s="2"/>
      </tp>
      <tp t="s">
        <v>#N/A N/A</v>
        <stp/>
        <stp>BDP|17722712687543228409</stp>
        <tr r="C1496" s="2"/>
      </tp>
      <tp t="s">
        <v>#N/A N/A</v>
        <stp/>
        <stp>BDP|18438474756157712119</stp>
        <tr r="T1877" s="2"/>
      </tp>
      <tp t="s">
        <v>#N/A N/A</v>
        <stp/>
        <stp>BDP|13252926941998505974</stp>
        <tr r="S562" s="2"/>
      </tp>
      <tp t="s">
        <v>#N/A N/A</v>
        <stp/>
        <stp>BDP|12913671188500693332</stp>
        <tr r="T570" s="2"/>
      </tp>
      <tp t="s">
        <v>#N/A N/A</v>
        <stp/>
        <stp>BDP|13114232097605113279</stp>
        <tr r="K1442" s="2"/>
      </tp>
      <tp t="s">
        <v>#N/A N/A</v>
        <stp/>
        <stp>BDS|14367011567829600432</stp>
        <tr r="I971" s="2"/>
      </tp>
      <tp t="s">
        <v>#N/A N/A</v>
        <stp/>
        <stp>BDS|17786033325978760269</stp>
        <tr r="I738" s="2"/>
      </tp>
      <tp t="s">
        <v>#N/A N/A</v>
        <stp/>
        <stp>BDP|11290636419411830834</stp>
        <tr r="K1409" s="2"/>
      </tp>
      <tp t="s">
        <v>#N/A N/A</v>
        <stp/>
        <stp>BDP|17953018880271969125</stp>
        <tr r="F578" s="2"/>
      </tp>
      <tp t="s">
        <v>#N/A N/A</v>
        <stp/>
        <stp>BDP|12633398471019902047</stp>
        <tr r="A1091" s="2"/>
      </tp>
      <tp t="s">
        <v>#N/A N/A</v>
        <stp/>
        <stp>BDP|11270631061057697953</stp>
        <tr r="H2065" s="2"/>
      </tp>
      <tp t="s">
        <v>#N/A N/A</v>
        <stp/>
        <stp>BDP|13438197889684095178</stp>
        <tr r="M1047" s="2"/>
      </tp>
      <tp t="s">
        <v>#N/A N/A</v>
        <stp/>
        <stp>BDP|18145503575296625314</stp>
        <tr r="M170" s="2"/>
      </tp>
      <tp t="s">
        <v>#N/A N/A</v>
        <stp/>
        <stp>BDP|10016781916888436198</stp>
        <tr r="D2149" s="2"/>
      </tp>
      <tp t="s">
        <v>#N/A N/A</v>
        <stp/>
        <stp>BDP|17005625266708204051</stp>
        <tr r="M1652" s="2"/>
      </tp>
      <tp t="s">
        <v>#N/A N/A</v>
        <stp/>
        <stp>BDP|15003433212299345617</stp>
        <tr r="H221" s="2"/>
      </tp>
      <tp t="s">
        <v>#N/A N/A</v>
        <stp/>
        <stp>BDS|11831388210554648868</stp>
        <tr r="I1087" s="2"/>
      </tp>
      <tp t="s">
        <v>#N/A N/A</v>
        <stp/>
        <stp>BDP|11571863905615193349</stp>
        <tr r="N1221" s="2"/>
      </tp>
      <tp t="s">
        <v>#N/A N/A</v>
        <stp/>
        <stp>BDP|16059053078386705897</stp>
        <tr r="G1401" s="2"/>
      </tp>
      <tp t="s">
        <v>#N/A N/A</v>
        <stp/>
        <stp>BDP|10379167084655634344</stp>
        <tr r="S229" s="2"/>
      </tp>
      <tp t="s">
        <v>#N/A N/A</v>
        <stp/>
        <stp>BDP|15868071828220409804</stp>
        <tr r="P1045" s="2"/>
      </tp>
      <tp t="s">
        <v>#N/A N/A</v>
        <stp/>
        <stp>BDS|15582462390914567364</stp>
        <tr r="I1456" s="2"/>
      </tp>
      <tp t="s">
        <v>#N/A N/A</v>
        <stp/>
        <stp>BDP|16102751415266620940</stp>
        <tr r="J120" s="2"/>
      </tp>
      <tp t="s">
        <v>#N/A N/A</v>
        <stp/>
        <stp>BDP|18338086018231736774</stp>
        <tr r="P396" s="2"/>
      </tp>
      <tp t="s">
        <v>#N/A N/A</v>
        <stp/>
        <stp>BDP|12418447219509854126</stp>
        <tr r="D1255" s="2"/>
      </tp>
      <tp t="s">
        <v>#N/A N/A</v>
        <stp/>
        <stp>BDP|16663164812269626072</stp>
        <tr r="S2005" s="2"/>
      </tp>
      <tp t="s">
        <v>#N/A N/A</v>
        <stp/>
        <stp>BDP|11331357148771873854</stp>
        <tr r="M821" s="2"/>
      </tp>
      <tp t="s">
        <v>#N/A N/A</v>
        <stp/>
        <stp>BDP|12124795413398878303</stp>
        <tr r="Q1000" s="2"/>
      </tp>
      <tp t="s">
        <v>#N/A N/A</v>
        <stp/>
        <stp>BDP|10009120662541666954</stp>
        <tr r="K892" s="2"/>
      </tp>
      <tp t="s">
        <v>#N/A N/A</v>
        <stp/>
        <stp>BDP|12014911656785371477</stp>
        <tr r="K700" s="2"/>
      </tp>
      <tp t="s">
        <v>#N/A N/A</v>
        <stp/>
        <stp>BDP|15151630233718739756</stp>
        <tr r="D2172" s="2"/>
      </tp>
      <tp t="s">
        <v>#N/A N/A</v>
        <stp/>
        <stp>BDP|13168157563792353974</stp>
        <tr r="O1825" s="2"/>
      </tp>
      <tp t="s">
        <v>#N/A N/A</v>
        <stp/>
        <stp>BDP|15530550147303309876</stp>
        <tr r="T1728" s="2"/>
      </tp>
      <tp t="s">
        <v>#N/A N/A</v>
        <stp/>
        <stp>BDP|16748096784124167583</stp>
        <tr r="O411" s="2"/>
      </tp>
      <tp t="s">
        <v>#N/A N/A</v>
        <stp/>
        <stp>BDP|17998816125284690682</stp>
        <tr r="M1672" s="2"/>
      </tp>
      <tp t="s">
        <v>#N/A N/A</v>
        <stp/>
        <stp>BDP|16967040788636510737</stp>
        <tr r="R600" s="2"/>
      </tp>
      <tp t="s">
        <v>#N/A N/A</v>
        <stp/>
        <stp>BDP|17665329963534783937</stp>
        <tr r="D639" s="2"/>
      </tp>
      <tp t="s">
        <v>#N/A N/A</v>
        <stp/>
        <stp>BDP|17775065852228055500</stp>
        <tr r="G1738" s="2"/>
      </tp>
      <tp t="s">
        <v>#N/A N/A</v>
        <stp/>
        <stp>BDP|12340836487014071940</stp>
        <tr r="O1894" s="2"/>
      </tp>
      <tp t="s">
        <v>#N/A N/A</v>
        <stp/>
        <stp>BDP|12965201399311083739</stp>
        <tr r="J549" s="2"/>
      </tp>
      <tp t="s">
        <v>#N/A N/A</v>
        <stp/>
        <stp>BDP|14575846112055726776</stp>
        <tr r="S1997" s="2"/>
      </tp>
      <tp t="s">
        <v>#N/A N/A</v>
        <stp/>
        <stp>BDP|12478315770758035162</stp>
        <tr r="F1158" s="2"/>
      </tp>
      <tp t="s">
        <v>#N/A N/A</v>
        <stp/>
        <stp>BDP|16407917776360089708</stp>
        <tr r="D811" s="2"/>
      </tp>
      <tp t="s">
        <v>#N/A N/A</v>
        <stp/>
        <stp>BDP|10405602165139779650</stp>
        <tr r="C457" s="2"/>
      </tp>
      <tp t="s">
        <v>#N/A N/A</v>
        <stp/>
        <stp>BDP|12666936851631248056</stp>
        <tr r="M150" s="2"/>
      </tp>
      <tp t="s">
        <v>#N/A N/A</v>
        <stp/>
        <stp>BDP|17207116671537207937</stp>
        <tr r="H374" s="2"/>
      </tp>
      <tp t="s">
        <v>#N/A N/A</v>
        <stp/>
        <stp>BDP|17787851414430595100</stp>
        <tr r="N656" s="2"/>
      </tp>
      <tp t="s">
        <v>#N/A N/A</v>
        <stp/>
        <stp>BDP|14495335355555657878</stp>
        <tr r="H607" s="2"/>
      </tp>
      <tp t="s">
        <v>#N/A N/A</v>
        <stp/>
        <stp>BDP|16295055155769575548</stp>
        <tr r="S1699" s="2"/>
      </tp>
      <tp t="s">
        <v>#N/A N/A</v>
        <stp/>
        <stp>BDP|18314174532164091159</stp>
        <tr r="M1256" s="2"/>
      </tp>
      <tp t="s">
        <v>#N/A N/A</v>
        <stp/>
        <stp>BDP|17382706730679043508</stp>
        <tr r="K782" s="2"/>
      </tp>
      <tp t="s">
        <v>#N/A N/A</v>
        <stp/>
        <stp>BDP|10914795592563374222</stp>
        <tr r="G1391" s="2"/>
      </tp>
      <tp t="s">
        <v>#N/A N/A</v>
        <stp/>
        <stp>BDP|13643903445260574149</stp>
        <tr r="T1398" s="2"/>
      </tp>
      <tp t="s">
        <v>#N/A N/A</v>
        <stp/>
        <stp>BDP|14276960161365185167</stp>
        <tr r="N783" s="2"/>
      </tp>
      <tp t="s">
        <v>#N/A N/A</v>
        <stp/>
        <stp>BDP|15866810562824150080</stp>
        <tr r="F615" s="2"/>
      </tp>
      <tp t="s">
        <v>#N/A N/A</v>
        <stp/>
        <stp>BDP|11403927603682597522</stp>
        <tr r="Q1494" s="2"/>
      </tp>
      <tp t="s">
        <v>#N/A N/A</v>
        <stp/>
        <stp>BDP|10007887909865316207</stp>
        <tr r="H2052" s="2"/>
      </tp>
      <tp t="s">
        <v>#N/A N/A</v>
        <stp/>
        <stp>BDP|17936859517787800614</stp>
        <tr r="S872" s="2"/>
      </tp>
      <tp t="s">
        <v>#N/A N/A</v>
        <stp/>
        <stp>BDP|10243039247513033842</stp>
        <tr r="Q951" s="2"/>
      </tp>
      <tp t="s">
        <v>#N/A N/A</v>
        <stp/>
        <stp>BDP|17751889919337719636</stp>
        <tr r="M671" s="2"/>
      </tp>
      <tp t="s">
        <v>#N/A N/A</v>
        <stp/>
        <stp>BDP|12985414915308920062</stp>
        <tr r="J69" s="2"/>
      </tp>
      <tp t="s">
        <v>#N/A N/A</v>
        <stp/>
        <stp>BDP|17351416870339565259</stp>
        <tr r="C2239" s="2"/>
      </tp>
      <tp t="s">
        <v>#N/A N/A</v>
        <stp/>
        <stp>BDP|16259005587941746002</stp>
        <tr r="M1121" s="2"/>
      </tp>
      <tp t="s">
        <v>#N/A N/A</v>
        <stp/>
        <stp>BDP|10257561638749690085</stp>
        <tr r="E201" s="2"/>
      </tp>
      <tp t="s">
        <v>#N/A N/A</v>
        <stp/>
        <stp>BDP|14645268496302634223</stp>
        <tr r="S243" s="2"/>
      </tp>
      <tp t="s">
        <v>#N/A N/A</v>
        <stp/>
        <stp>BDP|11214869360029352952</stp>
        <tr r="G379" s="2"/>
      </tp>
      <tp t="s">
        <v>#N/A N/A</v>
        <stp/>
        <stp>BDP|17136339155076533806</stp>
        <tr r="H725" s="2"/>
      </tp>
      <tp t="s">
        <v>#N/A N/A</v>
        <stp/>
        <stp>BDP|17213623086416799031</stp>
        <tr r="F1597" s="2"/>
      </tp>
      <tp t="s">
        <v>#N/A N/A</v>
        <stp/>
        <stp>BDP|13072479747599246501</stp>
        <tr r="O428" s="2"/>
      </tp>
      <tp t="s">
        <v>#N/A N/A</v>
        <stp/>
        <stp>BDS|17930847709855559504</stp>
        <tr r="I1933" s="2"/>
      </tp>
      <tp t="s">
        <v>#N/A N/A</v>
        <stp/>
        <stp>BDP|10772091539968447416</stp>
        <tr r="J664" s="2"/>
      </tp>
      <tp t="s">
        <v>#N/A N/A</v>
        <stp/>
        <stp>BDP|13247109034178456604</stp>
        <tr r="P61" s="2"/>
      </tp>
      <tp t="s">
        <v>#N/A N/A</v>
        <stp/>
        <stp>BDP|18398637726562458103</stp>
        <tr r="A1669" s="2"/>
      </tp>
      <tp t="s">
        <v>#N/A N/A</v>
        <stp/>
        <stp>BDS|14377007624208563139</stp>
        <tr r="I1387" s="2"/>
      </tp>
      <tp t="s">
        <v>#N/A N/A</v>
        <stp/>
        <stp>BDP|13032479802968073078</stp>
        <tr r="S2197" s="2"/>
      </tp>
      <tp t="s">
        <v>#N/A N/A</v>
        <stp/>
        <stp>BDP|17383671485471159724</stp>
        <tr r="Q1852" s="2"/>
      </tp>
      <tp t="s">
        <v>#N/A N/A</v>
        <stp/>
        <stp>BDP|16185967341441608527</stp>
        <tr r="M1249" s="2"/>
      </tp>
      <tp t="s">
        <v>#N/A N/A</v>
        <stp/>
        <stp>BDP|14586792426168877600</stp>
        <tr r="N878" s="2"/>
      </tp>
      <tp t="s">
        <v>#N/A N/A</v>
        <stp/>
        <stp>BDP|13092150462889241276</stp>
        <tr r="D1818" s="2"/>
      </tp>
      <tp t="s">
        <v>#N/A N/A</v>
        <stp/>
        <stp>BDP|13070157081942294743</stp>
        <tr r="M1275" s="2"/>
      </tp>
      <tp t="s">
        <v>#N/A N/A</v>
        <stp/>
        <stp>BDP|17018364151737785928</stp>
        <tr r="H1421" s="2"/>
      </tp>
      <tp t="s">
        <v>#N/A N/A</v>
        <stp/>
        <stp>BDP|15705322361599071662</stp>
        <tr r="G489" s="2"/>
      </tp>
      <tp t="s">
        <v>#N/A N/A</v>
        <stp/>
        <stp>BDP|15402425894036349133</stp>
        <tr r="E11" s="2"/>
      </tp>
      <tp t="s">
        <v>#N/A N/A</v>
        <stp/>
        <stp>BDP|11361205653071403861</stp>
        <tr r="M2204" s="2"/>
      </tp>
      <tp t="s">
        <v>#N/A N/A</v>
        <stp/>
        <stp>BDP|13110877561694750624</stp>
        <tr r="Q1633" s="2"/>
      </tp>
      <tp t="s">
        <v>#N/A N/A</v>
        <stp/>
        <stp>BDP|18384052826863135630</stp>
        <tr r="T35" s="2"/>
      </tp>
      <tp t="s">
        <v>#N/A N/A</v>
        <stp/>
        <stp>BDP|17044700635109655511</stp>
        <tr r="S689" s="2"/>
      </tp>
      <tp t="s">
        <v>#N/A N/A</v>
        <stp/>
        <stp>BDP|18236357371500223362</stp>
        <tr r="J781" s="2"/>
      </tp>
      <tp t="s">
        <v>#N/A N/A</v>
        <stp/>
        <stp>BDP|15972396917708455013</stp>
        <tr r="F2241" s="2"/>
      </tp>
      <tp t="s">
        <v>#N/A N/A</v>
        <stp/>
        <stp>BDP|16128322425228247066</stp>
        <tr r="S728" s="2"/>
      </tp>
      <tp t="s">
        <v>#N/A N/A</v>
        <stp/>
        <stp>BDP|16167992548532578676</stp>
        <tr r="G529" s="2"/>
      </tp>
      <tp t="s">
        <v>#N/A N/A</v>
        <stp/>
        <stp>BDP|17560553179782962824</stp>
        <tr r="F1652" s="2"/>
      </tp>
      <tp t="s">
        <v>#N/A N/A</v>
        <stp/>
        <stp>BDP|10846932866032674296</stp>
        <tr r="K426" s="2"/>
      </tp>
      <tp t="s">
        <v>#N/A N/A</v>
        <stp/>
        <stp>BDP|16523931836765707653</stp>
        <tr r="Q621" s="2"/>
      </tp>
      <tp t="s">
        <v>#N/A N/A</v>
        <stp/>
        <stp>BDP|16523959209410992021</stp>
        <tr r="H980" s="2"/>
      </tp>
      <tp t="s">
        <v>#N/A N/A</v>
        <stp/>
        <stp>BDP|14767500327189450567</stp>
        <tr r="T1546" s="2"/>
      </tp>
      <tp t="s">
        <v>#N/A N/A</v>
        <stp/>
        <stp>BDP|10734867477165674527</stp>
        <tr r="K2137" s="2"/>
      </tp>
      <tp t="s">
        <v>#N/A N/A</v>
        <stp/>
        <stp>BDP|12633421871656217851</stp>
        <tr r="R1906" s="2"/>
      </tp>
      <tp t="s">
        <v>#N/A N/A</v>
        <stp/>
        <stp>BDP|14041528972400280904</stp>
        <tr r="O238" s="2"/>
      </tp>
      <tp t="s">
        <v>#N/A N/A</v>
        <stp/>
        <stp>BDP|15203971156085721367</stp>
        <tr r="H587" s="2"/>
      </tp>
      <tp t="s">
        <v>#N/A N/A</v>
        <stp/>
        <stp>BDP|10508634499787443793</stp>
        <tr r="K53" s="2"/>
      </tp>
      <tp t="s">
        <v>#N/A N/A</v>
        <stp/>
        <stp>BDP|12234287298173837582</stp>
        <tr r="G1446" s="2"/>
      </tp>
      <tp t="s">
        <v>#N/A N/A</v>
        <stp/>
        <stp>BDP|15999202680150844045</stp>
        <tr r="H1488" s="2"/>
      </tp>
      <tp t="s">
        <v>#N/A N/A</v>
        <stp/>
        <stp>BDS|16290224396373646161</stp>
        <tr r="I1490" s="2"/>
      </tp>
      <tp t="s">
        <v>#N/A N/A</v>
        <stp/>
        <stp>BDP|12896768475775899865</stp>
        <tr r="H1891" s="2"/>
      </tp>
      <tp t="s">
        <v>#N/A N/A</v>
        <stp/>
        <stp>BDP|14412464801959530635</stp>
        <tr r="P2149" s="2"/>
      </tp>
      <tp t="s">
        <v>#N/A N/A</v>
        <stp/>
        <stp>BDS|10462881927902535787</stp>
        <tr r="I252" s="2"/>
      </tp>
      <tp t="s">
        <v>#N/A N/A</v>
        <stp/>
        <stp>BDP|18109745178904121394</stp>
        <tr r="G1787" s="2"/>
      </tp>
      <tp t="s">
        <v>#N/A N/A</v>
        <stp/>
        <stp>BDP|12111100651008130148</stp>
        <tr r="T1061" s="2"/>
      </tp>
      <tp t="s">
        <v>#N/A N/A</v>
        <stp/>
        <stp>BDP|15533420499814370386</stp>
        <tr r="M648" s="2"/>
      </tp>
      <tp t="s">
        <v>#N/A N/A</v>
        <stp/>
        <stp>BDP|11914982973532672218</stp>
        <tr r="F2136" s="2"/>
      </tp>
      <tp t="s">
        <v>#N/A N/A</v>
        <stp/>
        <stp>BDP|16292773597316489138</stp>
        <tr r="J495" s="2"/>
      </tp>
      <tp t="s">
        <v>#N/A N/A</v>
        <stp/>
        <stp>BDP|11760162079728935049</stp>
        <tr r="C578" s="2"/>
      </tp>
      <tp t="s">
        <v>#N/A N/A</v>
        <stp/>
        <stp>BDP|15901155136770936868</stp>
        <tr r="A336" s="2"/>
      </tp>
      <tp t="s">
        <v>#N/A N/A</v>
        <stp/>
        <stp>BDP|14398122380145379775</stp>
        <tr r="Q1770" s="2"/>
      </tp>
      <tp t="s">
        <v>#N/A N/A</v>
        <stp/>
        <stp>BDP|16165418238046432895</stp>
        <tr r="D1155" s="2"/>
      </tp>
      <tp t="s">
        <v>#N/A N/A</v>
        <stp/>
        <stp>BDP|15790003881556768446</stp>
        <tr r="R1399" s="2"/>
      </tp>
      <tp t="s">
        <v>#N/A N/A</v>
        <stp/>
        <stp>BDP|10519902544840032246</stp>
        <tr r="J839" s="2"/>
      </tp>
      <tp t="s">
        <v>#N/A N/A</v>
        <stp/>
        <stp>BDP|18164878034094023871</stp>
        <tr r="T452" s="2"/>
      </tp>
      <tp t="s">
        <v>#N/A N/A</v>
        <stp/>
        <stp>BDP|16967849316599916976</stp>
        <tr r="D526" s="2"/>
      </tp>
      <tp t="s">
        <v>#N/A N/A</v>
        <stp/>
        <stp>BDP|13990792946938080737</stp>
        <tr r="N1680" s="2"/>
      </tp>
      <tp t="s">
        <v>#N/A N/A</v>
        <stp/>
        <stp>BDP|14891822655740877626</stp>
        <tr r="T491" s="2"/>
      </tp>
      <tp t="s">
        <v>#N/A N/A</v>
        <stp/>
        <stp>BDP|10576063185855114220</stp>
        <tr r="N802" s="2"/>
      </tp>
      <tp t="s">
        <v>#N/A N/A</v>
        <stp/>
        <stp>BDP|15144639787066429243</stp>
        <tr r="C232" s="2"/>
      </tp>
      <tp t="s">
        <v>#N/A N/A</v>
        <stp/>
        <stp>BDP|12779786191927842430</stp>
        <tr r="O1375" s="2"/>
      </tp>
      <tp t="s">
        <v>#N/A N/A</v>
        <stp/>
        <stp>BDP|15454605496814319145</stp>
        <tr r="D2085" s="2"/>
      </tp>
      <tp t="s">
        <v>#N/A N/A</v>
        <stp/>
        <stp>BDP|16871466390836229297</stp>
        <tr r="J2178" s="2"/>
      </tp>
      <tp t="s">
        <v>#N/A N/A</v>
        <stp/>
        <stp>BDP|16228963873753524478</stp>
        <tr r="S1241" s="2"/>
      </tp>
      <tp t="s">
        <v>#N/A N/A</v>
        <stp/>
        <stp>BDP|15033871566307795334</stp>
        <tr r="N1791" s="2"/>
      </tp>
      <tp t="s">
        <v>#N/A N/A</v>
        <stp/>
        <stp>BDP|14787978460987127348</stp>
        <tr r="E158" s="2"/>
      </tp>
      <tp t="s">
        <v>#N/A N/A</v>
        <stp/>
        <stp>BDP|14697800207891667224</stp>
        <tr r="N1974" s="2"/>
      </tp>
      <tp t="s">
        <v>#N/A N/A</v>
        <stp/>
        <stp>BDP|10119612166296221910</stp>
        <tr r="P1817" s="2"/>
      </tp>
      <tp t="s">
        <v>#N/A N/A</v>
        <stp/>
        <stp>BDP|11735920870288168815</stp>
        <tr r="S1553" s="2"/>
      </tp>
      <tp t="s">
        <v>#N/A N/A</v>
        <stp/>
        <stp>BDP|18042141371492124311</stp>
        <tr r="G1776" s="2"/>
      </tp>
      <tp t="s">
        <v>#N/A N/A</v>
        <stp/>
        <stp>BDS|18434237024350718724</stp>
        <tr r="I1245" s="2"/>
      </tp>
      <tp t="s">
        <v>#N/A N/A</v>
        <stp/>
        <stp>BDP|12736227181056949182</stp>
        <tr r="R257" s="2"/>
      </tp>
      <tp t="s">
        <v>#N/A N/A</v>
        <stp/>
        <stp>BDP|18171199471995856440</stp>
        <tr r="F307" s="2"/>
      </tp>
      <tp t="s">
        <v>#N/A N/A</v>
        <stp/>
        <stp>BDP|10028426985316457560</stp>
        <tr r="R403" s="2"/>
      </tp>
      <tp t="s">
        <v>#N/A N/A</v>
        <stp/>
        <stp>BDP|11254490689715540724</stp>
        <tr r="A491" s="2"/>
      </tp>
      <tp t="s">
        <v>#N/A N/A</v>
        <stp/>
        <stp>BDP|15645979144190754778</stp>
        <tr r="T2156" s="2"/>
      </tp>
      <tp t="s">
        <v>#N/A N/A</v>
        <stp/>
        <stp>BDP|16238199232772844948</stp>
        <tr r="S696" s="2"/>
      </tp>
      <tp t="s">
        <v>#N/A N/A</v>
        <stp/>
        <stp>BDP|12526679388935905663</stp>
        <tr r="F281" s="2"/>
      </tp>
      <tp t="s">
        <v>#N/A N/A</v>
        <stp/>
        <stp>BDP|12591321635594041979</stp>
        <tr r="D1938" s="2"/>
      </tp>
      <tp t="s">
        <v>#N/A N/A</v>
        <stp/>
        <stp>BDP|12070632020278739114</stp>
        <tr r="H1903" s="2"/>
      </tp>
      <tp t="s">
        <v>#N/A N/A</v>
        <stp/>
        <stp>BDP|17251166882972027338</stp>
        <tr r="S2028" s="2"/>
      </tp>
      <tp t="s">
        <v>#N/A N/A</v>
        <stp/>
        <stp>BDP|10224110743039778325</stp>
        <tr r="F1662" s="2"/>
      </tp>
      <tp t="s">
        <v>#N/A N/A</v>
        <stp/>
        <stp>BDP|14136242090143108310</stp>
        <tr r="S704" s="2"/>
      </tp>
      <tp t="s">
        <v>#N/A N/A</v>
        <stp/>
        <stp>BDP|14629660010015742926</stp>
        <tr r="E2197" s="2"/>
      </tp>
      <tp t="s">
        <v>#N/A N/A</v>
        <stp/>
        <stp>BDP|14936890149964595393</stp>
        <tr r="K1837" s="2"/>
      </tp>
      <tp t="s">
        <v>#N/A N/A</v>
        <stp/>
        <stp>BDP|10514872851420268241</stp>
        <tr r="F1375" s="2"/>
      </tp>
      <tp t="s">
        <v>#N/A N/A</v>
        <stp/>
        <stp>BDP|10528648185857400655</stp>
        <tr r="D1677" s="2"/>
      </tp>
      <tp t="s">
        <v>#N/A N/A</v>
        <stp/>
        <stp>BDP|10528677740328437532</stp>
        <tr r="G491" s="2"/>
      </tp>
      <tp t="s">
        <v>#N/A N/A</v>
        <stp/>
        <stp>BDP|17055475194746532333</stp>
        <tr r="O1075" s="2"/>
      </tp>
      <tp t="s">
        <v>#N/A N/A</v>
        <stp/>
        <stp>BDP|18101466242451678663</stp>
        <tr r="F840" s="2"/>
      </tp>
      <tp t="s">
        <v>#N/A N/A</v>
        <stp/>
        <stp>BDP|14747091913708007284</stp>
        <tr r="T1191" s="2"/>
      </tp>
      <tp t="s">
        <v>#N/A N/A</v>
        <stp/>
        <stp>BDP|12047023061528310355</stp>
        <tr r="D2114" s="2"/>
      </tp>
      <tp t="s">
        <v>#N/A N/A</v>
        <stp/>
        <stp>BDP|13354326677678440077</stp>
        <tr r="T1565" s="2"/>
      </tp>
      <tp t="s">
        <v>#N/A N/A</v>
        <stp/>
        <stp>BDS|10156650359394909820</stp>
        <tr r="I2013" s="2"/>
      </tp>
      <tp t="s">
        <v>#N/A N/A</v>
        <stp/>
        <stp>BDP|10910327242728574090</stp>
        <tr r="T1839" s="2"/>
      </tp>
      <tp t="s">
        <v>#N/A N/A</v>
        <stp/>
        <stp>BDP|17453647653379425225</stp>
        <tr r="J414" s="2"/>
      </tp>
      <tp t="s">
        <v>#N/A N/A</v>
        <stp/>
        <stp>BDP|13702225177830030978</stp>
        <tr r="P1335" s="2"/>
      </tp>
      <tp t="s">
        <v>#N/A N/A</v>
        <stp/>
        <stp>BDP|18162101529544973043</stp>
        <tr r="K1250" s="2"/>
      </tp>
      <tp t="s">
        <v>#N/A N/A</v>
        <stp/>
        <stp>BDP|14280886723830837143</stp>
        <tr r="F288" s="2"/>
      </tp>
      <tp t="s">
        <v>#N/A N/A</v>
        <stp/>
        <stp>BDP|14627013434400556835</stp>
        <tr r="M754" s="2"/>
      </tp>
      <tp t="s">
        <v>#N/A N/A</v>
        <stp/>
        <stp>BDP|11666854626215711174</stp>
        <tr r="T1639" s="2"/>
      </tp>
      <tp t="s">
        <v>#N/A N/A</v>
        <stp/>
        <stp>BDP|12356377481241956790</stp>
        <tr r="K1381" s="2"/>
      </tp>
      <tp t="s">
        <v>#N/A N/A</v>
        <stp/>
        <stp>BDP|13401827734106435130</stp>
        <tr r="R705" s="2"/>
      </tp>
      <tp t="s">
        <v>#N/A N/A</v>
        <stp/>
        <stp>BDP|13297874169150891210</stp>
        <tr r="S279" s="2"/>
      </tp>
      <tp t="s">
        <v>#N/A N/A</v>
        <stp/>
        <stp>BDP|14323949930274393514</stp>
        <tr r="M1720" s="2"/>
      </tp>
      <tp t="s">
        <v>#N/A N/A</v>
        <stp/>
        <stp>BDP|14158685387541934422</stp>
        <tr r="Q1550" s="2"/>
      </tp>
      <tp t="s">
        <v>#N/A N/A</v>
        <stp/>
        <stp>BDP|16988202692077663588</stp>
        <tr r="F692" s="2"/>
      </tp>
      <tp t="s">
        <v>#N/A N/A</v>
        <stp/>
        <stp>BDP|12755435946738528521</stp>
        <tr r="E657" s="2"/>
      </tp>
      <tp t="s">
        <v>#N/A N/A</v>
        <stp/>
        <stp>BDP|14199174146348003645</stp>
        <tr r="M1162" s="2"/>
      </tp>
      <tp t="s">
        <v>#N/A N/A</v>
        <stp/>
        <stp>BDP|16745565392973549627</stp>
        <tr r="T1870" s="2"/>
      </tp>
      <tp t="s">
        <v>#N/A N/A</v>
        <stp/>
        <stp>BDP|10055179239195934835</stp>
        <tr r="G1199" s="2"/>
      </tp>
      <tp t="s">
        <v>#N/A N/A</v>
        <stp/>
        <stp>BDP|17555919947211542420</stp>
        <tr r="O722" s="2"/>
      </tp>
      <tp t="s">
        <v>#N/A N/A</v>
        <stp/>
        <stp>BDP|10641782139882526966</stp>
        <tr r="H63" s="2"/>
      </tp>
      <tp t="s">
        <v>#N/A N/A</v>
        <stp/>
        <stp>BDP|13380044680682597669</stp>
        <tr r="M1695" s="2"/>
      </tp>
      <tp t="s">
        <v>#N/A N/A</v>
        <stp/>
        <stp>BDP|12986945258559466854</stp>
        <tr r="S482" s="2"/>
      </tp>
      <tp t="s">
        <v>#N/A N/A</v>
        <stp/>
        <stp>BDP|14347749880882181627</stp>
        <tr r="O301" s="2"/>
      </tp>
      <tp t="s">
        <v>#N/A N/A</v>
        <stp/>
        <stp>BDP|11628790988859626852</stp>
        <tr r="F1053" s="2"/>
      </tp>
      <tp t="s">
        <v>#N/A N/A</v>
        <stp/>
        <stp>BDP|13113774070795183933</stp>
        <tr r="O2248" s="2"/>
      </tp>
      <tp t="s">
        <v>#N/A N/A</v>
        <stp/>
        <stp>BDP|10202822453564597627</stp>
        <tr r="T1563" s="2"/>
      </tp>
      <tp t="s">
        <v>#N/A N/A</v>
        <stp/>
        <stp>BDP|10746209236166432816</stp>
        <tr r="A1649" s="2"/>
      </tp>
      <tp t="s">
        <v>#N/A N/A</v>
        <stp/>
        <stp>BDS|11965958573412161295</stp>
        <tr r="I770" s="2"/>
      </tp>
      <tp t="s">
        <v>#N/A N/A</v>
        <stp/>
        <stp>BDP|15166305085412778378</stp>
        <tr r="K208" s="2"/>
      </tp>
      <tp t="s">
        <v>#N/A N/A</v>
        <stp/>
        <stp>BDP|17465639844968660218</stp>
        <tr r="M1907" s="2"/>
      </tp>
      <tp t="s">
        <v>#N/A N/A</v>
        <stp/>
        <stp>BDP|16130855723843129024</stp>
        <tr r="Q1142" s="2"/>
      </tp>
      <tp t="s">
        <v>#N/A N/A</v>
        <stp/>
        <stp>BDP|15191913955384844295</stp>
        <tr r="G1727" s="2"/>
      </tp>
      <tp t="s">
        <v>#N/A N/A</v>
        <stp/>
        <stp>BDP|16378388225120909836</stp>
        <tr r="M1038" s="2"/>
      </tp>
      <tp t="s">
        <v>#N/A N/A</v>
        <stp/>
        <stp>BDP|16650071285853766272</stp>
        <tr r="G1280" s="2"/>
      </tp>
      <tp t="s">
        <v>#N/A N/A</v>
        <stp/>
        <stp>BDP|16286993670512820573</stp>
        <tr r="J954" s="2"/>
      </tp>
      <tp t="s">
        <v>#N/A N/A</v>
        <stp/>
        <stp>BDP|11553996973878904825</stp>
        <tr r="Q2107" s="2"/>
      </tp>
      <tp t="s">
        <v>#N/A N/A</v>
        <stp/>
        <stp>BDP|15090947951386476054</stp>
        <tr r="G2141" s="2"/>
      </tp>
      <tp t="s">
        <v>#N/A N/A</v>
        <stp/>
        <stp>BDP|17038515268189488292</stp>
        <tr r="H564" s="2"/>
      </tp>
      <tp t="s">
        <v>#N/A N/A</v>
        <stp/>
        <stp>BDP|12652785981747236598</stp>
        <tr r="J475" s="2"/>
      </tp>
      <tp t="s">
        <v>#N/A N/A</v>
        <stp/>
        <stp>BDP|10392342022409008713</stp>
        <tr r="A1462" s="2"/>
      </tp>
      <tp t="s">
        <v>#N/A N/A</v>
        <stp/>
        <stp>BDP|11745660773587536831</stp>
        <tr r="R214" s="2"/>
      </tp>
      <tp t="s">
        <v>#N/A N/A</v>
        <stp/>
        <stp>BDP|11715347584297066231</stp>
        <tr r="A532" s="2"/>
      </tp>
      <tp t="s">
        <v>#N/A N/A</v>
        <stp/>
        <stp>BDP|14425974774254669151</stp>
        <tr r="A1433" s="2"/>
      </tp>
      <tp t="s">
        <v>#N/A N/A</v>
        <stp/>
        <stp>BDP|12263092365599910233</stp>
        <tr r="D288" s="2"/>
      </tp>
      <tp t="s">
        <v>#N/A N/A</v>
        <stp/>
        <stp>BDP|14027422727104626970</stp>
        <tr r="J1961" s="2"/>
      </tp>
      <tp t="s">
        <v>#N/A N/A</v>
        <stp/>
        <stp>BDP|16410814315363634326</stp>
        <tr r="K874" s="2"/>
      </tp>
      <tp t="s">
        <v>#N/A N/A</v>
        <stp/>
        <stp>BDP|15767841409067616585</stp>
        <tr r="F1767" s="2"/>
      </tp>
      <tp t="s">
        <v>#N/A N/A</v>
        <stp/>
        <stp>BDP|17829891806626130625</stp>
        <tr r="S1937" s="2"/>
      </tp>
      <tp t="s">
        <v>#N/A N/A</v>
        <stp/>
        <stp>BDP|15897986951907361162</stp>
        <tr r="P495" s="2"/>
      </tp>
      <tp t="s">
        <v>#N/A N/A</v>
        <stp/>
        <stp>BDP|12251913864520501261</stp>
        <tr r="D127" s="2"/>
      </tp>
      <tp t="s">
        <v>#N/A N/A</v>
        <stp/>
        <stp>BDP|13608465803710477837</stp>
        <tr r="D1906" s="2"/>
      </tp>
      <tp t="s">
        <v>#N/A N/A</v>
        <stp/>
        <stp>BDP|15039205877289629654</stp>
        <tr r="O1182" s="2"/>
      </tp>
      <tp t="s">
        <v>#N/A N/A</v>
        <stp/>
        <stp>BDP|14033979234942146365</stp>
        <tr r="G344" s="2"/>
      </tp>
      <tp t="s">
        <v>#N/A N/A</v>
        <stp/>
        <stp>BDP|16441038194730580021</stp>
        <tr r="G364" s="2"/>
      </tp>
      <tp t="s">
        <v>#N/A N/A</v>
        <stp/>
        <stp>BDP|11974470358326457963</stp>
        <tr r="D201" s="2"/>
      </tp>
      <tp t="s">
        <v>#N/A N/A</v>
        <stp/>
        <stp>BDP|15475907675115610132</stp>
        <tr r="D1602" s="2"/>
      </tp>
      <tp t="s">
        <v>#N/A N/A</v>
        <stp/>
        <stp>BDP|18062185919605240270</stp>
        <tr r="S475" s="2"/>
      </tp>
      <tp t="s">
        <v>#N/A N/A</v>
        <stp/>
        <stp>BDP|14274046573325579944</stp>
        <tr r="O754" s="2"/>
      </tp>
      <tp t="s">
        <v>#N/A N/A</v>
        <stp/>
        <stp>BDP|13734629317819243247</stp>
        <tr r="A2104" s="2"/>
      </tp>
      <tp t="s">
        <v>#N/A N/A</v>
        <stp/>
        <stp>BDP|14519039823441490855</stp>
        <tr r="J1047" s="2"/>
      </tp>
      <tp t="s">
        <v>#N/A N/A</v>
        <stp/>
        <stp>BDP|17919623788180701603</stp>
        <tr r="S63" s="2"/>
      </tp>
      <tp t="s">
        <v>#N/A N/A</v>
        <stp/>
        <stp>BDP|17024286433501832872</stp>
        <tr r="Q430" s="2"/>
      </tp>
      <tp t="s">
        <v>#N/A N/A</v>
        <stp/>
        <stp>BDP|17463891654025825055</stp>
        <tr r="A1372" s="2"/>
      </tp>
      <tp t="s">
        <v>#N/A N/A</v>
        <stp/>
        <stp>BDP|11833812166291835136</stp>
        <tr r="N1672" s="2"/>
      </tp>
      <tp t="s">
        <v>#N/A N/A</v>
        <stp/>
        <stp>BDP|18085523334470408169</stp>
        <tr r="C1565" s="2"/>
      </tp>
      <tp t="s">
        <v>#N/A N/A</v>
        <stp/>
        <stp>BDP|16919723966260033895</stp>
        <tr r="E2" s="2"/>
      </tp>
      <tp t="s">
        <v>#N/A N/A</v>
        <stp/>
        <stp>BDS|18078508521393485322</stp>
        <tr r="I579" s="2"/>
      </tp>
      <tp t="s">
        <v>#N/A N/A</v>
        <stp/>
        <stp>BDP|15270122767309185428</stp>
        <tr r="O1138" s="2"/>
      </tp>
      <tp t="s">
        <v>#N/A N/A</v>
        <stp/>
        <stp>BDP|16695923301427296731</stp>
        <tr r="J1821" s="2"/>
      </tp>
      <tp t="s">
        <v>#N/A N/A</v>
        <stp/>
        <stp>BDP|11405652185313328336</stp>
        <tr r="S170" s="2"/>
      </tp>
      <tp t="s">
        <v>#N/A N/A</v>
        <stp/>
        <stp>BDS|17412635435115598809</stp>
        <tr r="I437" s="2"/>
      </tp>
      <tp t="s">
        <v>#N/A N/A</v>
        <stp/>
        <stp>BDP|16174795048732120852</stp>
        <tr r="P268" s="2"/>
      </tp>
      <tp t="s">
        <v>#N/A N/A</v>
        <stp/>
        <stp>BDP|15142877163556240237</stp>
        <tr r="T1211" s="2"/>
      </tp>
      <tp t="s">
        <v>#N/A N/A</v>
        <stp/>
        <stp>BDP|16474526562322545853</stp>
        <tr r="C106" s="2"/>
      </tp>
      <tp t="s">
        <v>#N/A N/A</v>
        <stp/>
        <stp>BDP|17073312717163542975</stp>
        <tr r="A1617" s="2"/>
      </tp>
      <tp t="s">
        <v>#N/A N/A</v>
        <stp/>
        <stp>BDP|15463245461636257875</stp>
        <tr r="T522" s="2"/>
      </tp>
      <tp t="s">
        <v>#N/A N/A</v>
        <stp/>
        <stp>BDP|13315895805082869636</stp>
        <tr r="P1835" s="2"/>
      </tp>
      <tp t="s">
        <v>#N/A N/A</v>
        <stp/>
        <stp>BDP|13761335943842163929</stp>
        <tr r="S1127" s="2"/>
      </tp>
      <tp t="s">
        <v>#N/A N/A</v>
        <stp/>
        <stp>BDP|17587619827269607517</stp>
        <tr r="O24" s="2"/>
      </tp>
      <tp t="s">
        <v>#N/A N/A</v>
        <stp/>
        <stp>BDP|14692814190903038933</stp>
        <tr r="P1117" s="2"/>
      </tp>
      <tp t="s">
        <v>#N/A N/A</v>
        <stp/>
        <stp>BDP|16997688063029542031</stp>
        <tr r="E2181" s="2"/>
      </tp>
      <tp t="s">
        <v>#N/A N/A</v>
        <stp/>
        <stp>BDP|11501837727293169747</stp>
        <tr r="J554" s="2"/>
      </tp>
      <tp t="s">
        <v>#N/A N/A</v>
        <stp/>
        <stp>BDP|14074742289434135086</stp>
        <tr r="C1190" s="2"/>
      </tp>
      <tp t="s">
        <v>#N/A N/A</v>
        <stp/>
        <stp>BDP|15112988435600260092</stp>
        <tr r="G2164" s="2"/>
      </tp>
      <tp t="s">
        <v>#N/A N/A</v>
        <stp/>
        <stp>BDP|13372035661758663208</stp>
        <tr r="K1598" s="2"/>
      </tp>
      <tp t="s">
        <v>#N/A N/A</v>
        <stp/>
        <stp>BDP|14694831942407110017</stp>
        <tr r="M1575" s="2"/>
      </tp>
      <tp t="s">
        <v>#N/A N/A</v>
        <stp/>
        <stp>BDP|14317999909933132158</stp>
        <tr r="S1113" s="2"/>
      </tp>
      <tp t="s">
        <v>#N/A N/A</v>
        <stp/>
        <stp>BDP|11609475819563980862</stp>
        <tr r="Q482" s="2"/>
      </tp>
      <tp t="s">
        <v>#N/A N/A</v>
        <stp/>
        <stp>BDP|12740329442762613861</stp>
        <tr r="K20" s="2"/>
      </tp>
      <tp t="s">
        <v>#N/A N/A</v>
        <stp/>
        <stp>BDP|14142990207377056588</stp>
        <tr r="J2102" s="2"/>
      </tp>
      <tp t="s">
        <v>#N/A N/A</v>
        <stp/>
        <stp>BDS|16965748665120432886</stp>
        <tr r="I562" s="2"/>
      </tp>
      <tp t="s">
        <v>#N/A N/A</v>
        <stp/>
        <stp>BDP|16788207894476375475</stp>
        <tr r="A1410" s="2"/>
      </tp>
      <tp t="s">
        <v>#N/A N/A</v>
        <stp/>
        <stp>BDP|17027635623894177860</stp>
        <tr r="S151" s="2"/>
      </tp>
      <tp t="s">
        <v>#N/A N/A</v>
        <stp/>
        <stp>BDP|11791255891421530413</stp>
        <tr r="D1721" s="2"/>
      </tp>
      <tp t="s">
        <v>#N/A N/A</v>
        <stp/>
        <stp>BDP|10381169533255148808</stp>
        <tr r="S1308" s="2"/>
      </tp>
      <tp t="s">
        <v>#N/A N/A</v>
        <stp/>
        <stp>BDP|15115266091561749069</stp>
        <tr r="O1030" s="2"/>
      </tp>
      <tp t="s">
        <v>#N/A N/A</v>
        <stp/>
        <stp>BDP|11128073892997038034</stp>
        <tr r="F1448" s="2"/>
      </tp>
      <tp t="s">
        <v>#N/A N/A</v>
        <stp/>
        <stp>BDP|14947879690552064891</stp>
        <tr r="J90" s="2"/>
      </tp>
      <tp t="s">
        <v>#N/A N/A</v>
        <stp/>
        <stp>BDP|13054624988843524185</stp>
        <tr r="N929" s="2"/>
      </tp>
      <tp t="s">
        <v>#N/A N/A</v>
        <stp/>
        <stp>BDP|13578638693422640141</stp>
        <tr r="M1372" s="2"/>
      </tp>
      <tp t="s">
        <v>#N/A N/A</v>
        <stp/>
        <stp>BDP|11318514455639094704</stp>
        <tr r="D816" s="2"/>
      </tp>
      <tp t="s">
        <v>#N/A N/A</v>
        <stp/>
        <stp>BDS|13550757808063858849</stp>
        <tr r="I553" s="2"/>
      </tp>
      <tp t="s">
        <v>#N/A N/A</v>
        <stp/>
        <stp>BDP|12087504783990013049</stp>
        <tr r="F1050" s="2"/>
      </tp>
      <tp t="s">
        <v>#N/A N/A</v>
        <stp/>
        <stp>BDP|14839538360978999056</stp>
        <tr r="R1714" s="2"/>
      </tp>
      <tp t="s">
        <v>#N/A N/A</v>
        <stp/>
        <stp>BDP|12093154704768475420</stp>
        <tr r="K991" s="2"/>
      </tp>
      <tp t="s">
        <v>#N/A N/A</v>
        <stp/>
        <stp>BDP|10041430413443290954</stp>
        <tr r="A1162" s="2"/>
      </tp>
      <tp t="s">
        <v>#N/A N/A</v>
        <stp/>
        <stp>BDP|13717806971083892092</stp>
        <tr r="K481" s="2"/>
      </tp>
      <tp t="s">
        <v>#N/A N/A</v>
        <stp/>
        <stp>BDP|16775092301598870104</stp>
        <tr r="M1343" s="2"/>
      </tp>
      <tp t="s">
        <v>#N/A N/A</v>
        <stp/>
        <stp>BDP|10893404222010469998</stp>
        <tr r="D496" s="2"/>
      </tp>
      <tp t="s">
        <v>#N/A N/A</v>
        <stp/>
        <stp>BDP|13225674142337532955</stp>
        <tr r="S857" s="2"/>
      </tp>
      <tp t="s">
        <v>#N/A N/A</v>
        <stp/>
        <stp>BDP|16520208211208732248</stp>
        <tr r="G2228" s="2"/>
      </tp>
      <tp t="s">
        <v>#N/A N/A</v>
        <stp/>
        <stp>BDP|10700093309238946797</stp>
        <tr r="M1951" s="2"/>
      </tp>
      <tp t="s">
        <v>#N/A N/A</v>
        <stp/>
        <stp>BDP|14813782544579759142</stp>
        <tr r="K86" s="2"/>
      </tp>
      <tp t="s">
        <v>#N/A N/A</v>
        <stp/>
        <stp>BDP|11324399568083692833</stp>
        <tr r="Q408" s="2"/>
      </tp>
      <tp t="s">
        <v>#N/A N/A</v>
        <stp/>
        <stp>BDP|17884825352804803174</stp>
        <tr r="G2187" s="2"/>
      </tp>
      <tp t="s">
        <v>#N/A N/A</v>
        <stp/>
        <stp>BDP|18310197600667871156</stp>
        <tr r="Q357" s="2"/>
      </tp>
      <tp t="s">
        <v>#N/A N/A</v>
        <stp/>
        <stp>BDP|12472634489213857015</stp>
        <tr r="N1300" s="2"/>
      </tp>
      <tp t="s">
        <v>#N/A N/A</v>
        <stp/>
        <stp>BDP|14241581124538187488</stp>
        <tr r="T416" s="2"/>
      </tp>
      <tp t="s">
        <v>#N/A N/A</v>
        <stp/>
        <stp>BDP|14008344394498265956</stp>
        <tr r="O434" s="2"/>
      </tp>
      <tp t="s">
        <v>#N/A N/A</v>
        <stp/>
        <stp>BDP|14298624879359782396</stp>
        <tr r="R141" s="2"/>
      </tp>
      <tp t="s">
        <v>#N/A N/A</v>
        <stp/>
        <stp>BDP|18366295122360717781</stp>
        <tr r="M2018" s="2"/>
      </tp>
      <tp t="s">
        <v>#N/A N/A</v>
        <stp/>
        <stp>BDP|14354071837330356875</stp>
        <tr r="F1196" s="2"/>
      </tp>
      <tp t="s">
        <v>#N/A N/A</v>
        <stp/>
        <stp>BDP|10379878496426257879</stp>
        <tr r="D1896" s="2"/>
      </tp>
      <tp t="s">
        <v>#N/A N/A</v>
        <stp/>
        <stp>BDP|18434486816571473390</stp>
        <tr r="O1379" s="2"/>
      </tp>
      <tp t="s">
        <v>#N/A N/A</v>
        <stp/>
        <stp>BDP|16455316324720209842</stp>
        <tr r="Q2096" s="2"/>
      </tp>
      <tp t="s">
        <v>#N/A N/A</v>
        <stp/>
        <stp>BDP|12038512309741979967</stp>
        <tr r="Q1068" s="2"/>
      </tp>
      <tp t="s">
        <v>#N/A N/A</v>
        <stp/>
        <stp>BDP|11602245591227154254</stp>
        <tr r="T610" s="2"/>
      </tp>
      <tp t="s">
        <v>#N/A N/A</v>
        <stp/>
        <stp>BDS|10492739693110149110</stp>
        <tr r="I1512" s="2"/>
      </tp>
      <tp t="s">
        <v>#N/A N/A</v>
        <stp/>
        <stp>BDP|14709951474165854090</stp>
        <tr r="C1172" s="2"/>
      </tp>
      <tp t="s">
        <v>#N/A N/A</v>
        <stp/>
        <stp>BDP|16307214064595561842</stp>
        <tr r="H1752" s="2"/>
      </tp>
      <tp t="s">
        <v>#N/A N/A</v>
        <stp/>
        <stp>BDP|16104733097854079329</stp>
        <tr r="D455" s="2"/>
      </tp>
      <tp t="s">
        <v>#N/A N/A</v>
        <stp/>
        <stp>BDP|13766141925617774863</stp>
        <tr r="E1545" s="2"/>
      </tp>
      <tp t="s">
        <v>#N/A N/A</v>
        <stp/>
        <stp>BDP|11339841912125245202</stp>
        <tr r="O340" s="2"/>
      </tp>
      <tp t="s">
        <v>#N/A N/A</v>
        <stp/>
        <stp>BDP|15075774225606445914</stp>
        <tr r="H252" s="2"/>
      </tp>
      <tp t="s">
        <v>#N/A N/A</v>
        <stp/>
        <stp>BDP|16844155441994381884</stp>
        <tr r="R1683" s="2"/>
      </tp>
      <tp t="s">
        <v>#N/A N/A</v>
        <stp/>
        <stp>BDP|11064645398082249393</stp>
        <tr r="A58" s="2"/>
      </tp>
      <tp t="s">
        <v>#N/A N/A</v>
        <stp/>
        <stp>BDP|13014403138758666397</stp>
        <tr r="K1810" s="2"/>
      </tp>
      <tp t="s">
        <v>#N/A N/A</v>
        <stp/>
        <stp>BDP|18050555272251506456</stp>
        <tr r="K1098" s="2"/>
      </tp>
      <tp t="s">
        <v>#N/A N/A</v>
        <stp/>
        <stp>BDP|15163371174936721828</stp>
        <tr r="K1706" s="2"/>
      </tp>
      <tp t="s">
        <v>#N/A N/A</v>
        <stp/>
        <stp>BDP|10480862022616392341</stp>
        <tr r="D2247" s="2"/>
      </tp>
      <tp t="s">
        <v>#N/A N/A</v>
        <stp/>
        <stp>BDP|13283365842572622961</stp>
        <tr r="P401" s="2"/>
      </tp>
      <tp t="s">
        <v>#N/A N/A</v>
        <stp/>
        <stp>BDP|10756181739085361839</stp>
        <tr r="F104" s="2"/>
      </tp>
      <tp t="s">
        <v>#N/A N/A</v>
        <stp/>
        <stp>BDP|17867902410137698787</stp>
        <tr r="C875" s="2"/>
      </tp>
      <tp t="s">
        <v>#N/A N/A</v>
        <stp/>
        <stp>BDP|11752912966726523739</stp>
        <tr r="K1527" s="2"/>
      </tp>
      <tp t="s">
        <v>#N/A N/A</v>
        <stp/>
        <stp>BDP|14029045936928074042</stp>
        <tr r="E1430" s="2"/>
      </tp>
      <tp t="s">
        <v>#N/A N/A</v>
        <stp/>
        <stp>BDP|18233918747059569377</stp>
        <tr r="N2220" s="2"/>
      </tp>
      <tp t="s">
        <v>#N/A N/A</v>
        <stp/>
        <stp>BDP|14361303442589437539</stp>
        <tr r="A760" s="2"/>
      </tp>
      <tp t="s">
        <v>#N/A N/A</v>
        <stp/>
        <stp>BDP|10717150610718544718</stp>
        <tr r="R1514" s="2"/>
      </tp>
      <tp t="s">
        <v>#N/A N/A</v>
        <stp/>
        <stp>BDP|12095175014239541400</stp>
        <tr r="Q395" s="2"/>
      </tp>
      <tp t="s">
        <v>#N/A N/A</v>
        <stp/>
        <stp>BDP|17326058699637964600</stp>
        <tr r="M405" s="2"/>
      </tp>
      <tp t="s">
        <v>#N/A N/A</v>
        <stp/>
        <stp>BDS|10104906527432293611</stp>
        <tr r="I523" s="2"/>
      </tp>
      <tp t="s">
        <v>#N/A N/A</v>
        <stp/>
        <stp>BDP|15080619445849768156</stp>
        <tr r="A380" s="2"/>
      </tp>
      <tp t="s">
        <v>#N/A N/A</v>
        <stp/>
        <stp>BDS|10718923512211589671</stp>
        <tr r="I1688" s="2"/>
      </tp>
      <tp t="s">
        <v>#N/A N/A</v>
        <stp/>
        <stp>BDP|17847085177079495651</stp>
        <tr r="M2143" s="2"/>
      </tp>
      <tp t="s">
        <v>#N/A N/A</v>
        <stp/>
        <stp>BDP|17764569694512154626</stp>
        <tr r="C167" s="2"/>
      </tp>
      <tp t="s">
        <v>#N/A N/A</v>
        <stp/>
        <stp>BDP|11446561798103591194</stp>
        <tr r="T890" s="2"/>
      </tp>
      <tp t="s">
        <v>#N/A N/A</v>
        <stp/>
        <stp>BDP|17104409672033693839</stp>
        <tr r="H2141" s="2"/>
      </tp>
      <tp t="s">
        <v>#N/A N/A</v>
        <stp/>
        <stp>BDP|18025030977712382215</stp>
        <tr r="P999" s="2"/>
      </tp>
      <tp t="s">
        <v>#N/A N/A</v>
        <stp/>
        <stp>BDP|13706832977600354369</stp>
        <tr r="Q754" s="2"/>
      </tp>
      <tp t="s">
        <v>#N/A N/A</v>
        <stp/>
        <stp>BDP|14586362830329439212</stp>
        <tr r="N173" s="2"/>
      </tp>
      <tp t="s">
        <v>#N/A N/A</v>
        <stp/>
        <stp>BDP|12864286542909050244</stp>
        <tr r="M677" s="2"/>
      </tp>
      <tp t="s">
        <v>#N/A N/A</v>
        <stp/>
        <stp>BDP|11991510140678937774</stp>
        <tr r="H771" s="2"/>
      </tp>
      <tp t="s">
        <v>#N/A N/A</v>
        <stp/>
        <stp>BDP|18385143970047328621</stp>
        <tr r="Q576" s="2"/>
      </tp>
      <tp t="s">
        <v>#N/A N/A</v>
        <stp/>
        <stp>BDP|16280731894003316407</stp>
        <tr r="H1004" s="2"/>
      </tp>
      <tp t="s">
        <v>#N/A N/A</v>
        <stp/>
        <stp>BDP|10638744052915332852</stp>
        <tr r="E995" s="2"/>
      </tp>
      <tp t="s">
        <v>#N/A N/A</v>
        <stp/>
        <stp>BDP|12472742215238706348</stp>
        <tr r="J27" s="2"/>
      </tp>
      <tp t="s">
        <v>#N/A N/A</v>
        <stp/>
        <stp>BDP|13584568595225255528</stp>
        <tr r="E389" s="2"/>
      </tp>
      <tp t="s">
        <v>#N/A N/A</v>
        <stp/>
        <stp>BDP|16664965551920422537</stp>
        <tr r="Q719" s="2"/>
      </tp>
      <tp t="s">
        <v>#N/A N/A</v>
        <stp/>
        <stp>BDS|17783415502678142400</stp>
        <tr r="I689" s="2"/>
      </tp>
      <tp t="s">
        <v>#N/A N/A</v>
        <stp/>
        <stp>BDP|13739138615349609517</stp>
        <tr r="A1689" s="2"/>
      </tp>
      <tp t="s">
        <v>#N/A N/A</v>
        <stp/>
        <stp>BDP|12657838135891696702</stp>
        <tr r="A525" s="2"/>
      </tp>
      <tp t="s">
        <v>#N/A N/A</v>
        <stp/>
        <stp>BDP|16273725112947434806</stp>
        <tr r="M2120" s="2"/>
      </tp>
      <tp t="s">
        <v>#N/A N/A</v>
        <stp/>
        <stp>BDP|13103846732187732069</stp>
        <tr r="A2209" s="2"/>
      </tp>
      <tp t="s">
        <v>#N/A N/A</v>
        <stp/>
        <stp>BDP|17029048177118751723</stp>
        <tr r="S543" s="2"/>
      </tp>
      <tp t="s">
        <v>#N/A N/A</v>
        <stp/>
        <stp>BDP|15019431883807434126</stp>
        <tr r="J685" s="2"/>
      </tp>
      <tp t="s">
        <v>#N/A N/A</v>
        <stp/>
        <stp>BDP|13613307294616344078</stp>
        <tr r="M611" s="2"/>
      </tp>
      <tp t="s">
        <v>#N/A N/A</v>
        <stp/>
        <stp>BDP|10891063783804368387</stp>
        <tr r="P501" s="2"/>
      </tp>
      <tp t="s">
        <v>#N/A N/A</v>
        <stp/>
        <stp>BDP|17954999612910359073</stp>
        <tr r="R465" s="2"/>
      </tp>
      <tp t="s">
        <v>#N/A N/A</v>
        <stp/>
        <stp>BDP|17475013634633684819</stp>
        <tr r="P421" s="2"/>
      </tp>
      <tp t="s">
        <v>#N/A N/A</v>
        <stp/>
        <stp>BDP|11285235372968106347</stp>
        <tr r="G1426" s="2"/>
      </tp>
      <tp t="s">
        <v>#N/A N/A</v>
        <stp/>
        <stp>BDP|17979213541329978763</stp>
        <tr r="C2054" s="2"/>
      </tp>
      <tp t="s">
        <v>#N/A N/A</v>
        <stp/>
        <stp>BDP|18155378051531497052</stp>
        <tr r="H1090" s="2"/>
      </tp>
      <tp t="s">
        <v>#N/A N/A</v>
        <stp/>
        <stp>BDP|17742771694112377410</stp>
        <tr r="O342" s="2"/>
      </tp>
      <tp t="s">
        <v>#N/A N/A</v>
        <stp/>
        <stp>BDP|11864969689299685677</stp>
        <tr r="D1212" s="2"/>
      </tp>
      <tp t="s">
        <v>#N/A N/A</v>
        <stp/>
        <stp>BDP|13050701330629631103</stp>
        <tr r="E1017" s="2"/>
      </tp>
      <tp t="s">
        <v>#N/A N/A</v>
        <stp/>
        <stp>BDP|16771074793944612439</stp>
        <tr r="K1153" s="2"/>
      </tp>
      <tp t="s">
        <v>#N/A N/A</v>
        <stp/>
        <stp>BDP|11817982115006564067</stp>
        <tr r="G1800" s="2"/>
      </tp>
      <tp t="s">
        <v>#N/A N/A</v>
        <stp/>
        <stp>BDP|17277732794746058036</stp>
        <tr r="G2229" s="2"/>
      </tp>
      <tp t="s">
        <v>#N/A N/A</v>
        <stp/>
        <stp>BDP|11614348795715487157</stp>
        <tr r="K268" s="2"/>
      </tp>
      <tp t="s">
        <v>#N/A N/A</v>
        <stp/>
        <stp>BDP|17423204934590274945</stp>
        <tr r="D882" s="2"/>
      </tp>
      <tp t="s">
        <v>#N/A N/A</v>
        <stp/>
        <stp>BDP|14273596513268936771</stp>
        <tr r="C384" s="2"/>
      </tp>
      <tp t="s">
        <v>#N/A N/A</v>
        <stp/>
        <stp>BDP|15683656375323741878</stp>
        <tr r="R185" s="2"/>
      </tp>
      <tp t="s">
        <v>#N/A N/A</v>
        <stp/>
        <stp>BDP|15415577638034572880</stp>
        <tr r="F2244" s="2"/>
      </tp>
      <tp t="s">
        <v>#N/A N/A</v>
        <stp/>
        <stp>BDP|16354871015709218952</stp>
        <tr r="C684" s="2"/>
      </tp>
      <tp t="s">
        <v>#N/A N/A</v>
        <stp/>
        <stp>BDP|14971566780303839511</stp>
        <tr r="M1599" s="2"/>
      </tp>
      <tp t="s">
        <v>#N/A N/A</v>
        <stp/>
        <stp>BDP|17809426177683359885</stp>
        <tr r="M354" s="2"/>
      </tp>
      <tp t="s">
        <v>#N/A N/A</v>
        <stp/>
        <stp>BDP|16786229291712541072</stp>
        <tr r="H1419" s="2"/>
      </tp>
      <tp t="s">
        <v>#N/A N/A</v>
        <stp/>
        <stp>BDP|12202509020832582819</stp>
        <tr r="G2051" s="2"/>
      </tp>
      <tp t="s">
        <v>#N/A N/A</v>
        <stp/>
        <stp>BDP|14556922812212563164</stp>
        <tr r="F490" s="2"/>
      </tp>
      <tp t="s">
        <v>#N/A N/A</v>
        <stp/>
        <stp>BDP|17614430657340579912</stp>
        <tr r="D2012" s="2"/>
      </tp>
      <tp t="s">
        <v>#N/A N/A</v>
        <stp/>
        <stp>BDP|17670075466737508942</stp>
        <tr r="O361" s="2"/>
      </tp>
      <tp t="s">
        <v>#N/A N/A</v>
        <stp/>
        <stp>BDP|18173717233781626232</stp>
        <tr r="J519" s="2"/>
      </tp>
      <tp t="s">
        <v>#N/A N/A</v>
        <stp/>
        <stp>BDP|15288270592932306326</stp>
        <tr r="S74" s="2"/>
      </tp>
      <tp t="s">
        <v>#N/A N/A</v>
        <stp/>
        <stp>BDP|11998154193786044099</stp>
        <tr r="K964" s="2"/>
      </tp>
      <tp t="s">
        <v>#N/A N/A</v>
        <stp/>
        <stp>BDP|12073152065742532836</stp>
        <tr r="K1643" s="2"/>
      </tp>
      <tp t="s">
        <v>#N/A N/A</v>
        <stp/>
        <stp>BDP|17573760765789679060</stp>
        <tr r="D670" s="2"/>
      </tp>
      <tp t="s">
        <v>#N/A N/A</v>
        <stp/>
        <stp>BDP|13102759775158584427</stp>
        <tr r="J688" s="2"/>
      </tp>
      <tp t="s">
        <v>#N/A N/A</v>
        <stp/>
        <stp>BDP|13195627984773268138</stp>
        <tr r="Q748" s="2"/>
      </tp>
      <tp t="s">
        <v>#N/A N/A</v>
        <stp/>
        <stp>BDP|10267357370472101902</stp>
        <tr r="M469" s="2"/>
      </tp>
      <tp t="s">
        <v>#N/A N/A</v>
        <stp/>
        <stp>BDP|18084562787728093273</stp>
        <tr r="P1133" s="2"/>
      </tp>
      <tp t="s">
        <v>#N/A N/A</v>
        <stp/>
        <stp>BDP|12611447999771944143</stp>
        <tr r="D1341" s="2"/>
      </tp>
      <tp t="s">
        <v>#N/A N/A</v>
        <stp/>
        <stp>BDP|12411593988050507064</stp>
        <tr r="M1381" s="2"/>
      </tp>
      <tp t="s">
        <v>#N/A N/A</v>
        <stp/>
        <stp>BDP|12186030393804152063</stp>
        <tr r="K994" s="2"/>
      </tp>
      <tp t="s">
        <v>#N/A N/A</v>
        <stp/>
        <stp>BDP|11034095908486656811</stp>
        <tr r="H1761" s="2"/>
      </tp>
      <tp t="s">
        <v>#N/A N/A</v>
        <stp/>
        <stp>BDP|15580555985556087135</stp>
        <tr r="T186" s="2"/>
      </tp>
      <tp t="s">
        <v>#N/A N/A</v>
        <stp/>
        <stp>BDP|11665001882293243504</stp>
        <tr r="F2033" s="2"/>
      </tp>
      <tp t="s">
        <v>#N/A N/A</v>
        <stp/>
        <stp>BDP|16371882413122794298</stp>
        <tr r="C41" s="2"/>
      </tp>
      <tp t="s">
        <v>#N/A N/A</v>
        <stp/>
        <stp>BDP|17216931355045623147</stp>
        <tr r="H677" s="2"/>
      </tp>
      <tp t="s">
        <v>#N/A N/A</v>
        <stp/>
        <stp>BDP|14461258029969849267</stp>
        <tr r="M1662" s="2"/>
      </tp>
      <tp t="s">
        <v>#N/A N/A</v>
        <stp/>
        <stp>BDP|12501252585361075632</stp>
        <tr r="E1892" s="2"/>
      </tp>
      <tp t="s">
        <v>#N/A N/A</v>
        <stp/>
        <stp>BDP|15564972339090879057</stp>
        <tr r="P1706" s="2"/>
      </tp>
      <tp t="s">
        <v>#N/A N/A</v>
        <stp/>
        <stp>BDP|11579814807017731124</stp>
        <tr r="G1181" s="2"/>
      </tp>
      <tp t="s">
        <v>#N/A N/A</v>
        <stp/>
        <stp>BDP|11781047796816666155</stp>
        <tr r="J2004" s="2"/>
      </tp>
      <tp t="s">
        <v>#N/A N/A</v>
        <stp/>
        <stp>BDP|13838473583554476719</stp>
        <tr r="P2001" s="2"/>
      </tp>
      <tp t="s">
        <v>#N/A N/A</v>
        <stp/>
        <stp>BDS|18079137906503885676</stp>
        <tr r="I1425" s="2"/>
      </tp>
      <tp t="s">
        <v>#N/A N/A</v>
        <stp/>
        <stp>BDP|11201893709073800638</stp>
        <tr r="S566" s="2"/>
      </tp>
      <tp t="s">
        <v>#N/A N/A</v>
        <stp/>
        <stp>BDP|15896519650889055007</stp>
        <tr r="H2033" s="2"/>
      </tp>
      <tp t="s">
        <v>#N/A N/A</v>
        <stp/>
        <stp>BDP|13739706595946832735</stp>
        <tr r="D1537" s="2"/>
      </tp>
      <tp t="s">
        <v>#N/A N/A</v>
        <stp/>
        <stp>BDP|17189610696437606396</stp>
        <tr r="E909" s="2"/>
      </tp>
      <tp t="s">
        <v>#N/A N/A</v>
        <stp/>
        <stp>BDP|12567752294434532489</stp>
        <tr r="H1417" s="2"/>
      </tp>
      <tp t="s">
        <v>#N/A N/A</v>
        <stp/>
        <stp>BDP|11121210769700299925</stp>
        <tr r="D2246" s="2"/>
      </tp>
      <tp t="s">
        <v>#N/A N/A</v>
        <stp/>
        <stp>BDP|12245721388788780963</stp>
        <tr r="F1009" s="2"/>
      </tp>
      <tp t="s">
        <v>#N/A N/A</v>
        <stp/>
        <stp>BDP|12699893532620026547</stp>
        <tr r="T564" s="2"/>
      </tp>
      <tp t="s">
        <v>#N/A N/A</v>
        <stp/>
        <stp>BDP|10775534198012493213</stp>
        <tr r="T82" s="2"/>
      </tp>
      <tp t="s">
        <v>#N/A N/A</v>
        <stp/>
        <stp>BDP|12084445888307530505</stp>
        <tr r="J1427" s="2"/>
      </tp>
      <tp t="s">
        <v>#N/A N/A</v>
        <stp/>
        <stp>BDP|12362604075898707785</stp>
        <tr r="H44" s="2"/>
      </tp>
      <tp t="s">
        <v>#N/A N/A</v>
        <stp/>
        <stp>BDP|15938904652786278308</stp>
        <tr r="R1859" s="2"/>
      </tp>
      <tp t="s">
        <v>#N/A N/A</v>
        <stp/>
        <stp>BDP|11934140016079298405</stp>
        <tr r="H1378" s="2"/>
      </tp>
      <tp t="s">
        <v>#N/A N/A</v>
        <stp/>
        <stp>BDP|16670735045539806018</stp>
        <tr r="Q706" s="2"/>
      </tp>
      <tp t="s">
        <v>#N/A N/A</v>
        <stp/>
        <stp>BDP|14273686320859451573</stp>
        <tr r="F1443" s="2"/>
      </tp>
      <tp t="s">
        <v>#N/A N/A</v>
        <stp/>
        <stp>BDP|18331505719268696852</stp>
        <tr r="K1258" s="2"/>
      </tp>
      <tp t="s">
        <v>#N/A N/A</v>
        <stp/>
        <stp>BDP|10580845041174116483</stp>
        <tr r="M946" s="2"/>
      </tp>
      <tp t="s">
        <v>#N/A N/A</v>
        <stp/>
        <stp>BDP|15678804130593791181</stp>
        <tr r="Q1350" s="2"/>
      </tp>
      <tp t="s">
        <v>#N/A N/A</v>
        <stp/>
        <stp>BDS|15541720638194010959</stp>
        <tr r="I1252" s="2"/>
      </tp>
      <tp t="s">
        <v>#N/A N/A</v>
        <stp/>
        <stp>BDP|16883942922527120660</stp>
        <tr r="M1382" s="2"/>
      </tp>
      <tp t="s">
        <v>#N/A N/A</v>
        <stp/>
        <stp>BDP|10853679315138069336</stp>
        <tr r="O1252" s="2"/>
      </tp>
      <tp t="s">
        <v>#N/A N/A</v>
        <stp/>
        <stp>BDP|10185412853084946933</stp>
        <tr r="E1083" s="2"/>
      </tp>
      <tp t="s">
        <v>#N/A N/A</v>
        <stp/>
        <stp>BDP|10115367223144999942</stp>
        <tr r="K1143" s="2"/>
      </tp>
      <tp t="s">
        <v>#N/A N/A</v>
        <stp/>
        <stp>BDP|12198828905074941269</stp>
        <tr r="H1370" s="2"/>
      </tp>
      <tp t="s">
        <v>#N/A N/A</v>
        <stp/>
        <stp>BDP|11204342137885902819</stp>
        <tr r="G508" s="2"/>
      </tp>
      <tp t="s">
        <v>#N/A N/A</v>
        <stp/>
        <stp>BDP|16994758416648241410</stp>
        <tr r="P2200" s="2"/>
      </tp>
      <tp t="s">
        <v>#N/A N/A</v>
        <stp/>
        <stp>BDP|17778964929226166604</stp>
        <tr r="G1466" s="2"/>
      </tp>
      <tp t="s">
        <v>#N/A N/A</v>
        <stp/>
        <stp>BDP|13512594524598268035</stp>
        <tr r="Q335" s="2"/>
      </tp>
      <tp t="s">
        <v>#N/A N/A</v>
        <stp/>
        <stp>BDP|12998598932401209997</stp>
        <tr r="K1735" s="2"/>
      </tp>
      <tp t="s">
        <v>#N/A N/A</v>
        <stp/>
        <stp>BDP|16993326371857263913</stp>
        <tr r="C1605" s="2"/>
      </tp>
      <tp t="s">
        <v>#N/A N/A</v>
        <stp/>
        <stp>BDP|12923561977305765967</stp>
        <tr r="S1500" s="2"/>
      </tp>
      <tp t="s">
        <v>#N/A N/A</v>
        <stp/>
        <stp>BDP|14039536441451937823</stp>
        <tr r="C787" s="2"/>
      </tp>
      <tp t="s">
        <v>#N/A N/A</v>
        <stp/>
        <stp>BDP|12139280311548428555</stp>
        <tr r="K978" s="2"/>
      </tp>
      <tp t="s">
        <v>#N/A N/A</v>
        <stp/>
        <stp>BDP|12156766658949494522</stp>
        <tr r="H822" s="2"/>
      </tp>
      <tp t="s">
        <v>#N/A N/A</v>
        <stp/>
        <stp>BDP|11138811128834238338</stp>
        <tr r="H1602" s="2"/>
      </tp>
      <tp t="s">
        <v>#N/A N/A</v>
        <stp/>
        <stp>BDP|13892865804563791440</stp>
        <tr r="O1967" s="2"/>
      </tp>
      <tp t="s">
        <v>#N/A N/A</v>
        <stp/>
        <stp>BDP|16712820810451820247</stp>
        <tr r="A972" s="2"/>
      </tp>
      <tp t="s">
        <v>#N/A N/A</v>
        <stp/>
        <stp>BDP|14963573497410277426</stp>
        <tr r="O906" s="2"/>
      </tp>
      <tp t="s">
        <v>#N/A N/A</v>
        <stp/>
        <stp>BDP|10849449751848021540</stp>
        <tr r="D1249" s="2"/>
      </tp>
      <tp t="s">
        <v>#N/A N/A</v>
        <stp/>
        <stp>BDP|15435194674057914891</stp>
        <tr r="N391" s="2"/>
      </tp>
      <tp t="s">
        <v>#N/A N/A</v>
        <stp/>
        <stp>BDP|10461530780890885160</stp>
        <tr r="N2150" s="2"/>
      </tp>
      <tp t="s">
        <v>#N/A N/A</v>
        <stp/>
        <stp>BDP|16846911045646671132</stp>
        <tr r="F633" s="2"/>
      </tp>
      <tp t="s">
        <v>#N/A N/A</v>
        <stp/>
        <stp>BDP|14595979601387267680</stp>
        <tr r="D2103" s="2"/>
      </tp>
      <tp t="s">
        <v>#N/A N/A</v>
        <stp/>
        <stp>BDP|15493938047187863313</stp>
        <tr r="C669" s="2"/>
      </tp>
      <tp t="s">
        <v>#N/A N/A</v>
        <stp/>
        <stp>BDP|12355933827316666386</stp>
        <tr r="O1575" s="2"/>
      </tp>
      <tp t="s">
        <v>#N/A N/A</v>
        <stp/>
        <stp>BDP|10530097110774113947</stp>
        <tr r="P410" s="2"/>
      </tp>
      <tp t="s">
        <v>#N/A N/A</v>
        <stp/>
        <stp>BDP|10618759396692536098</stp>
        <tr r="D863" s="2"/>
      </tp>
      <tp t="s">
        <v>#N/A N/A</v>
        <stp/>
        <stp>BDP|10992961074964623646</stp>
        <tr r="O217" s="2"/>
      </tp>
      <tp t="s">
        <v>#N/A N/A</v>
        <stp/>
        <stp>BDP|15265187133422197919</stp>
        <tr r="K865" s="2"/>
      </tp>
      <tp t="s">
        <v>#N/A N/A</v>
        <stp/>
        <stp>BDP|18142402295351547884</stp>
        <tr r="R1413" s="2"/>
      </tp>
      <tp t="s">
        <v>#N/A N/A</v>
        <stp/>
        <stp>BDP|15039899518209130980</stp>
        <tr r="S1991" s="2"/>
      </tp>
      <tp t="s">
        <v>#N/A N/A</v>
        <stp/>
        <stp>BDP|13304557781381974368</stp>
        <tr r="N534" s="2"/>
      </tp>
      <tp t="s">
        <v>#N/A N/A</v>
        <stp/>
        <stp>BDP|16194749415098190493</stp>
        <tr r="F2157" s="2"/>
      </tp>
      <tp t="s">
        <v>#N/A N/A</v>
        <stp/>
        <stp>BDP|13087515498710116301</stp>
        <tr r="D1299" s="2"/>
      </tp>
      <tp t="s">
        <v>#N/A N/A</v>
        <stp/>
        <stp>BDP|17631429633434954861</stp>
        <tr r="C1804" s="2"/>
      </tp>
      <tp t="s">
        <v>#N/A N/A</v>
        <stp/>
        <stp>BDP|12546471533891928805</stp>
        <tr r="Q90" s="2"/>
      </tp>
      <tp t="s">
        <v>#N/A N/A</v>
        <stp/>
        <stp>BDP|11530963459756598777</stp>
        <tr r="J1064" s="2"/>
      </tp>
      <tp t="s">
        <v>#N/A N/A</v>
        <stp/>
        <stp>BDP|14838452693837545234</stp>
        <tr r="F600" s="2"/>
      </tp>
      <tp t="s">
        <v>#N/A N/A</v>
        <stp/>
        <stp>BDP|13142944637606275388</stp>
        <tr r="N876" s="2"/>
      </tp>
      <tp t="s">
        <v>#N/A N/A</v>
        <stp/>
        <stp>BDP|11484372060249393188</stp>
        <tr r="M1070" s="2"/>
      </tp>
      <tp t="s">
        <v>#N/A N/A</v>
        <stp/>
        <stp>BDP|11796695383413057054</stp>
        <tr r="K22" s="2"/>
      </tp>
      <tp t="s">
        <v>#N/A N/A</v>
        <stp/>
        <stp>BDP|11768799291702448135</stp>
        <tr r="H770" s="2"/>
      </tp>
      <tp t="s">
        <v>#N/A N/A</v>
        <stp/>
        <stp>BDP|15883948920405095745</stp>
        <tr r="K39" s="2"/>
      </tp>
      <tp t="s">
        <v>#N/A N/A</v>
        <stp/>
        <stp>BDP|14234743996922911410</stp>
        <tr r="D1059" s="2"/>
      </tp>
      <tp t="s">
        <v>#N/A N/A</v>
        <stp/>
        <stp>BDP|15756689575119214104</stp>
        <tr r="C332" s="2"/>
      </tp>
      <tp t="s">
        <v>#N/A N/A</v>
        <stp/>
        <stp>BDP|16794765518548333422</stp>
        <tr r="J2075" s="2"/>
      </tp>
      <tp t="s">
        <v>#N/A N/A</v>
        <stp/>
        <stp>BDP|10503246319547995892</stp>
        <tr r="G81" s="2"/>
      </tp>
      <tp t="s">
        <v>#N/A N/A</v>
        <stp/>
        <stp>BDP|17643797107465087907</stp>
        <tr r="D1706" s="2"/>
      </tp>
      <tp t="s">
        <v>#N/A N/A</v>
        <stp/>
        <stp>BDP|18056023642121070188</stp>
        <tr r="A2076" s="2"/>
      </tp>
      <tp t="s">
        <v>#N/A N/A</v>
        <stp/>
        <stp>BDP|18103532451140231498</stp>
        <tr r="E321" s="2"/>
      </tp>
      <tp t="s">
        <v>#N/A N/A</v>
        <stp/>
        <stp>BDP|18150594018160869009</stp>
        <tr r="M786" s="2"/>
      </tp>
      <tp t="s">
        <v>#N/A N/A</v>
        <stp/>
        <stp>BDP|15188006100599938007</stp>
        <tr r="T1337" s="2"/>
      </tp>
      <tp t="s">
        <v>#N/A N/A</v>
        <stp/>
        <stp>BDP|13800922042155154719</stp>
        <tr r="P612" s="2"/>
      </tp>
      <tp t="s">
        <v>#N/A N/A</v>
        <stp/>
        <stp>BDP|18001855809458080447</stp>
        <tr r="C2156" s="2"/>
      </tp>
      <tp t="s">
        <v>#N/A N/A</v>
        <stp/>
        <stp>BDP|11148894235960714626</stp>
        <tr r="T474" s="2"/>
      </tp>
      <tp t="s">
        <v>#N/A N/A</v>
        <stp/>
        <stp>BDP|18058713125619860848</stp>
        <tr r="C729" s="2"/>
      </tp>
      <tp t="s">
        <v>#N/A N/A</v>
        <stp/>
        <stp>BDP|10884421822763630963</stp>
        <tr r="F639" s="2"/>
      </tp>
      <tp t="s">
        <v>#N/A N/A</v>
        <stp/>
        <stp>BDP|14270979415765917516</stp>
        <tr r="G641" s="2"/>
      </tp>
      <tp t="s">
        <v>#N/A N/A</v>
        <stp/>
        <stp>BDP|16589597294453629567</stp>
        <tr r="A573" s="2"/>
      </tp>
      <tp t="s">
        <v>#N/A N/A</v>
        <stp/>
        <stp>BDP|15976076942104699927</stp>
        <tr r="S113" s="2"/>
      </tp>
      <tp t="s">
        <v>#N/A N/A</v>
        <stp/>
        <stp>BDP|16184520768220261912</stp>
        <tr r="R516" s="2"/>
      </tp>
      <tp t="s">
        <v>#N/A N/A</v>
        <stp/>
        <stp>BDP|12614289597304543141</stp>
        <tr r="O1563" s="2"/>
      </tp>
      <tp t="s">
        <v>#N/A N/A</v>
        <stp/>
        <stp>BDP|16986335327349263276</stp>
        <tr r="P1069" s="2"/>
      </tp>
      <tp t="s">
        <v>#N/A N/A</v>
        <stp/>
        <stp>BDP|12011131621285874828</stp>
        <tr r="Q897" s="2"/>
      </tp>
      <tp t="s">
        <v>#N/A N/A</v>
        <stp/>
        <stp>BDP|17791918723492998241</stp>
        <tr r="J930" s="2"/>
      </tp>
      <tp t="s">
        <v>#N/A N/A</v>
        <stp/>
        <stp>BDS|10505982457808917886</stp>
        <tr r="I1108" s="2"/>
      </tp>
      <tp t="s">
        <v>#N/A N/A</v>
        <stp/>
        <stp>BDS|10957745570785684903</stp>
        <tr r="I265" s="2"/>
      </tp>
      <tp t="s">
        <v>#N/A N/A</v>
        <stp/>
        <stp>BDP|12766985206295984285</stp>
        <tr r="Q463" s="2"/>
      </tp>
      <tp t="s">
        <v>#N/A N/A</v>
        <stp/>
        <stp>BDP|11929024986696243378</stp>
        <tr r="F485" s="2"/>
      </tp>
      <tp t="s">
        <v>#N/A N/A</v>
        <stp/>
        <stp>BDP|16735334639309690331</stp>
        <tr r="J653" s="2"/>
      </tp>
      <tp t="s">
        <v>#N/A N/A</v>
        <stp/>
        <stp>BDP|14334506928066557963</stp>
        <tr r="G2007" s="2"/>
      </tp>
      <tp t="s">
        <v>#N/A N/A</v>
        <stp/>
        <stp>BDP|12878033022685624972</stp>
        <tr r="H1279" s="2"/>
      </tp>
      <tp t="s">
        <v>#N/A N/A</v>
        <stp/>
        <stp>BDP|17626401168641351852</stp>
        <tr r="G1408" s="2"/>
      </tp>
      <tp t="s">
        <v>#N/A N/A</v>
        <stp/>
        <stp>BDS|16139697351200347913</stp>
        <tr r="I1529" s="2"/>
      </tp>
      <tp t="s">
        <v>#N/A N/A</v>
        <stp/>
        <stp>BDP|16036253459904585910</stp>
        <tr r="S409" s="2"/>
      </tp>
      <tp t="s">
        <v>#N/A N/A</v>
        <stp/>
        <stp>BDP|18171362941584970776</stp>
        <tr r="K2107" s="2"/>
      </tp>
      <tp t="s">
        <v>#N/A N/A</v>
        <stp/>
        <stp>BDP|15992852109387589681</stp>
        <tr r="F52" s="2"/>
      </tp>
      <tp t="s">
        <v>#N/A N/A</v>
        <stp/>
        <stp>BDP|12022054987204267282</stp>
        <tr r="F2062" s="2"/>
      </tp>
      <tp t="s">
        <v>#N/A N/A</v>
        <stp/>
        <stp>BDP|18236627679390061511</stp>
        <tr r="N308" s="2"/>
      </tp>
      <tp t="s">
        <v>#N/A N/A</v>
        <stp/>
        <stp>BDP|10796888594924493971</stp>
        <tr r="E1778" s="2"/>
      </tp>
      <tp t="s">
        <v>#N/A N/A</v>
        <stp/>
        <stp>BDP|15473705082656647087</stp>
        <tr r="M922" s="2"/>
      </tp>
      <tp t="s">
        <v>#N/A N/A</v>
        <stp/>
        <stp>BDP|18189608560860196487</stp>
        <tr r="P1506" s="2"/>
      </tp>
      <tp t="s">
        <v>#N/A N/A</v>
        <stp/>
        <stp>BDP|15970163356218448554</stp>
        <tr r="A2164" s="2"/>
      </tp>
      <tp t="s">
        <v>#N/A N/A</v>
        <stp/>
        <stp>BDP|13965497326871787897</stp>
        <tr r="F813" s="2"/>
      </tp>
      <tp t="s">
        <v>#N/A N/A</v>
        <stp/>
        <stp>BDP|14986804307861105172</stp>
        <tr r="C626" s="2"/>
      </tp>
      <tp t="s">
        <v>#N/A N/A</v>
        <stp/>
        <stp>BDP|13023133824118768480</stp>
        <tr r="C1966" s="2"/>
      </tp>
      <tp t="s">
        <v>#N/A N/A</v>
        <stp/>
        <stp>BDP|10516735690962908078</stp>
        <tr r="C2015" s="2"/>
      </tp>
      <tp t="s">
        <v>#N/A N/A</v>
        <stp/>
        <stp>BDP|11389967333006991173</stp>
        <tr r="J1724" s="2"/>
      </tp>
      <tp t="s">
        <v>#N/A N/A</v>
        <stp/>
        <stp>BDP|13997559452616319952</stp>
        <tr r="F308" s="2"/>
      </tp>
      <tp t="s">
        <v>#N/A N/A</v>
        <stp/>
        <stp>BDP|17190625456670987847</stp>
        <tr r="A1778" s="2"/>
      </tp>
      <tp t="s">
        <v>#N/A N/A</v>
        <stp/>
        <stp>BDP|18303667464205050195</stp>
        <tr r="H1345" s="2"/>
      </tp>
      <tp t="s">
        <v>#N/A N/A</v>
        <stp/>
        <stp>BDP|15831167266768436645</stp>
        <tr r="E1235" s="2"/>
      </tp>
      <tp t="s">
        <v>#N/A N/A</v>
        <stp/>
        <stp>BDP|14877458194542680777</stp>
        <tr r="J771" s="2"/>
      </tp>
      <tp t="s">
        <v>#N/A N/A</v>
        <stp/>
        <stp>BDP|10455361418928691640</stp>
        <tr r="H2255" s="2"/>
      </tp>
      <tp t="s">
        <v>#N/A N/A</v>
        <stp/>
        <stp>BDP|14561310903873546891</stp>
        <tr r="O1092" s="2"/>
      </tp>
      <tp t="s">
        <v>#N/A N/A</v>
        <stp/>
        <stp>BDP|11216829860433369081</stp>
        <tr r="J1853" s="2"/>
      </tp>
      <tp t="s">
        <v>#N/A N/A</v>
        <stp/>
        <stp>BDP|17795237284084918524</stp>
        <tr r="F1717" s="2"/>
      </tp>
      <tp t="s">
        <v>#N/A N/A</v>
        <stp/>
        <stp>BDP|13882477437350125825</stp>
        <tr r="S1671" s="2"/>
      </tp>
      <tp t="s">
        <v>#N/A N/A</v>
        <stp/>
        <stp>BDP|14816709894097065175</stp>
        <tr r="A410" s="2"/>
      </tp>
      <tp t="s">
        <v>#N/A N/A</v>
        <stp/>
        <stp>BDP|18377185132090414669</stp>
        <tr r="F1008" s="2"/>
      </tp>
      <tp t="s">
        <v>#N/A N/A</v>
        <stp/>
        <stp>BDP|10247899810437178214</stp>
        <tr r="M529" s="2"/>
      </tp>
      <tp t="s">
        <v>#N/A N/A</v>
        <stp/>
        <stp>BDP|14139009198446630744</stp>
        <tr r="A188" s="2"/>
      </tp>
      <tp t="s">
        <v>#N/A N/A</v>
        <stp/>
        <stp>BDS|13385534440617849907</stp>
        <tr r="I2071" s="2"/>
      </tp>
      <tp t="s">
        <v>#N/A N/A</v>
        <stp/>
        <stp>BDS|15699502256171954816</stp>
        <tr r="I1752" s="2"/>
      </tp>
      <tp t="s">
        <v>#N/A N/A</v>
        <stp/>
        <stp>BDP|15704028152674464881</stp>
        <tr r="E336" s="2"/>
      </tp>
      <tp t="s">
        <v>#N/A N/A</v>
        <stp/>
        <stp>BDP|11225088586194258157</stp>
        <tr r="S1999" s="2"/>
      </tp>
      <tp t="s">
        <v>#N/A N/A</v>
        <stp/>
        <stp>BDP|14870908529602385198</stp>
        <tr r="M224" s="2"/>
      </tp>
      <tp t="s">
        <v>#N/A N/A</v>
        <stp/>
        <stp>BDP|11901672861978310572</stp>
        <tr r="A620" s="2"/>
      </tp>
      <tp t="s">
        <v>#N/A N/A</v>
        <stp/>
        <stp>BDP|13732905404854916217</stp>
        <tr r="F1734" s="2"/>
      </tp>
      <tp t="s">
        <v>#N/A N/A</v>
        <stp/>
        <stp>BDP|14473741828659299411</stp>
        <tr r="E462" s="2"/>
      </tp>
      <tp t="s">
        <v>#N/A N/A</v>
        <stp/>
        <stp>BDS|13036243827306840938</stp>
        <tr r="I846" s="2"/>
      </tp>
      <tp t="s">
        <v>#N/A N/A</v>
        <stp/>
        <stp>BDP|15886958179872657592</stp>
        <tr r="O2212" s="2"/>
      </tp>
      <tp t="s">
        <v>#N/A N/A</v>
        <stp/>
        <stp>BDP|10292825270205820633</stp>
        <tr r="H1549" s="2"/>
      </tp>
      <tp t="s">
        <v>#N/A N/A</v>
        <stp/>
        <stp>BDP|13438525351346820949</stp>
        <tr r="H1340" s="2"/>
      </tp>
      <tp t="s">
        <v>#N/A N/A</v>
        <stp/>
        <stp>BDP|12862912897787347969</stp>
        <tr r="M1049" s="2"/>
      </tp>
      <tp t="s">
        <v>#N/A N/A</v>
        <stp/>
        <stp>BDP|17652872439451744149</stp>
        <tr r="S2032" s="2"/>
      </tp>
      <tp t="s">
        <v>#N/A N/A</v>
        <stp/>
        <stp>BDP|10846241880111705709</stp>
        <tr r="H1184" s="2"/>
      </tp>
      <tp t="s">
        <v>#N/A N/A</v>
        <stp/>
        <stp>BDP|13505641228938674342</stp>
        <tr r="G953" s="2"/>
      </tp>
      <tp t="s">
        <v>#N/A N/A</v>
        <stp/>
        <stp>BDP|15112283183090399326</stp>
        <tr r="P1347" s="2"/>
      </tp>
      <tp t="s">
        <v>#N/A N/A</v>
        <stp/>
        <stp>BDP|16162829478540710576</stp>
        <tr r="T84" s="2"/>
      </tp>
      <tp t="s">
        <v>#N/A N/A</v>
        <stp/>
        <stp>BDP|14251121622998863317</stp>
        <tr r="R1199" s="2"/>
      </tp>
      <tp t="s">
        <v>#N/A N/A</v>
        <stp/>
        <stp>BDP|14324897709372828208</stp>
        <tr r="N2147" s="2"/>
      </tp>
      <tp t="s">
        <v>#N/A N/A</v>
        <stp/>
        <stp>BDP|13249899016763631505</stp>
        <tr r="A1745" s="2"/>
      </tp>
      <tp t="s">
        <v>#N/A N/A</v>
        <stp/>
        <stp>BDP|16990875411392703133</stp>
        <tr r="O2143" s="2"/>
      </tp>
      <tp t="s">
        <v>#N/A N/A</v>
        <stp/>
        <stp>BDP|11190668038031152958</stp>
        <tr r="F74" s="2"/>
      </tp>
      <tp t="s">
        <v>#N/A N/A</v>
        <stp/>
        <stp>BDP|11207409669547334833</stp>
        <tr r="R1433" s="2"/>
      </tp>
      <tp t="s">
        <v>#N/A N/A</v>
        <stp/>
        <stp>BDP|17643889059542924456</stp>
        <tr r="T2050" s="2"/>
      </tp>
      <tp t="s">
        <v>#N/A N/A</v>
        <stp/>
        <stp>BDP|13291399380092037600</stp>
        <tr r="H1328" s="2"/>
      </tp>
      <tp t="s">
        <v>#N/A N/A</v>
        <stp/>
        <stp>BDP|15309581161632655871</stp>
        <tr r="M32" s="2"/>
      </tp>
      <tp t="s">
        <v>#N/A N/A</v>
        <stp/>
        <stp>BDP|17479257797875480593</stp>
        <tr r="C1902" s="2"/>
      </tp>
      <tp t="s">
        <v>#N/A N/A</v>
        <stp/>
        <stp>BDP|14386571672099493393</stp>
        <tr r="R1212" s="2"/>
      </tp>
      <tp t="s">
        <v>#N/A N/A</v>
        <stp/>
        <stp>BDP|13063524738561305824</stp>
        <tr r="H906" s="2"/>
      </tp>
      <tp t="s">
        <v>#N/A N/A</v>
        <stp/>
        <stp>BDP|18203616627019902965</stp>
        <tr r="F1865" s="2"/>
      </tp>
      <tp t="s">
        <v>#N/A N/A</v>
        <stp/>
        <stp>BDP|10434669121329886102</stp>
        <tr r="C1156" s="2"/>
      </tp>
      <tp t="s">
        <v>#N/A N/A</v>
        <stp/>
        <stp>BDP|12534337589811370478</stp>
        <tr r="P1372" s="2"/>
      </tp>
      <tp t="s">
        <v>#N/A N/A</v>
        <stp/>
        <stp>BDP|14830209515552083964</stp>
        <tr r="G1197" s="2"/>
      </tp>
      <tp t="s">
        <v>#N/A N/A</v>
        <stp/>
        <stp>BDP|13500125178641417801</stp>
        <tr r="R1974" s="2"/>
      </tp>
      <tp t="s">
        <v>#N/A N/A</v>
        <stp/>
        <stp>BDP|11321933818536707346</stp>
        <tr r="D600" s="2"/>
      </tp>
      <tp t="s">
        <v>#N/A N/A</v>
        <stp/>
        <stp>BDP|10710980031145228370</stp>
        <tr r="C14" s="2"/>
      </tp>
      <tp t="s">
        <v>#N/A N/A</v>
        <stp/>
        <stp>BDP|12635513205298149384</stp>
        <tr r="P660" s="2"/>
      </tp>
      <tp t="s">
        <v>#N/A N/A</v>
        <stp/>
        <stp>BDP|16023824430735003493</stp>
        <tr r="P64" s="2"/>
      </tp>
      <tp t="s">
        <v>#N/A N/A</v>
        <stp/>
        <stp>BDP|10704998805260030508</stp>
        <tr r="P1699" s="2"/>
      </tp>
      <tp t="s">
        <v>#N/A N/A</v>
        <stp/>
        <stp>BDP|16279857457924208398</stp>
        <tr r="O1257" s="2"/>
      </tp>
      <tp t="s">
        <v>#N/A N/A</v>
        <stp/>
        <stp>BDP|17487358694637721695</stp>
        <tr r="J1502" s="2"/>
      </tp>
      <tp t="s">
        <v>#N/A N/A</v>
        <stp/>
        <stp>BDP|17861227750174762867</stp>
        <tr r="G623" s="2"/>
      </tp>
      <tp t="s">
        <v>#N/A N/A</v>
        <stp/>
        <stp>BDP|18002636536489712893</stp>
        <tr r="A2060" s="2"/>
      </tp>
      <tp t="s">
        <v>#N/A N/A</v>
        <stp/>
        <stp>BDP|14652385418272927840</stp>
        <tr r="M1332" s="2"/>
      </tp>
      <tp t="s">
        <v>#N/A N/A</v>
        <stp/>
        <stp>BDP|17874877991162358864</stp>
        <tr r="G158" s="2"/>
      </tp>
      <tp t="s">
        <v>#N/A N/A</v>
        <stp/>
        <stp>BDP|17805491568160633944</stp>
        <tr r="H1364" s="2"/>
      </tp>
      <tp t="s">
        <v>#N/A N/A</v>
        <stp/>
        <stp>BDP|10482889549401837161</stp>
        <tr r="T1347" s="2"/>
      </tp>
      <tp t="s">
        <v>#N/A N/A</v>
        <stp/>
        <stp>BDP|12832751929432868977</stp>
        <tr r="A1616" s="2"/>
      </tp>
      <tp t="s">
        <v>#N/A N/A</v>
        <stp/>
        <stp>BDP|15315081465767115841</stp>
        <tr r="O944" s="2"/>
      </tp>
      <tp t="s">
        <v>#N/A N/A</v>
        <stp/>
        <stp>BDP|12817963344894444758</stp>
        <tr r="G1891" s="2"/>
      </tp>
      <tp t="s">
        <v>#N/A N/A</v>
        <stp/>
        <stp>BDP|11581132019034399975</stp>
        <tr r="O1806" s="2"/>
      </tp>
      <tp t="s">
        <v>#N/A N/A</v>
        <stp/>
        <stp>BDP|12005995152170177215</stp>
        <tr r="T132" s="2"/>
      </tp>
      <tp t="s">
        <v>#N/A N/A</v>
        <stp/>
        <stp>BDP|14970302683324002710</stp>
        <tr r="E372" s="2"/>
      </tp>
      <tp t="s">
        <v>#N/A N/A</v>
        <stp/>
        <stp>BDP|17797084750816057846</stp>
        <tr r="O1078" s="2"/>
      </tp>
      <tp t="s">
        <v>#N/A N/A</v>
        <stp/>
        <stp>BDP|12324790007541691808</stp>
        <tr r="H1444" s="2"/>
      </tp>
      <tp t="s">
        <v>#N/A N/A</v>
        <stp/>
        <stp>BDP|13286017549928390329</stp>
        <tr r="D569" s="2"/>
      </tp>
      <tp t="s">
        <v>#N/A N/A</v>
        <stp/>
        <stp>BDP|15892018222049356232</stp>
        <tr r="A1735" s="2"/>
      </tp>
      <tp t="s">
        <v>#N/A N/A</v>
        <stp/>
        <stp>BDP|14914956014608079833</stp>
        <tr r="N1601" s="2"/>
      </tp>
      <tp t="s">
        <v>#N/A N/A</v>
        <stp/>
        <stp>BDP|17632573981536344084</stp>
        <tr r="T356" s="2"/>
      </tp>
      <tp t="s">
        <v>#N/A N/A</v>
        <stp/>
        <stp>BDP|13414936763086635691</stp>
        <tr r="A1685" s="2"/>
      </tp>
      <tp t="s">
        <v>#N/A N/A</v>
        <stp/>
        <stp>BDP|11424583186602901282</stp>
        <tr r="E693" s="2"/>
      </tp>
      <tp t="s">
        <v>#N/A N/A</v>
        <stp/>
        <stp>BDP|10739981887654183928</stp>
        <tr r="D1722" s="2"/>
      </tp>
      <tp t="s">
        <v>#N/A N/A</v>
        <stp/>
        <stp>BDP|11296706587483657195</stp>
        <tr r="Q1486" s="2"/>
      </tp>
      <tp t="s">
        <v>#N/A N/A</v>
        <stp/>
        <stp>BDP|18161109091104259880</stp>
        <tr r="K891" s="2"/>
      </tp>
      <tp t="s">
        <v>#N/A N/A</v>
        <stp/>
        <stp>BDP|13667900188226690826</stp>
        <tr r="A551" s="2"/>
      </tp>
      <tp t="s">
        <v>#N/A N/A</v>
        <stp/>
        <stp>BDP|15292797994764503303</stp>
        <tr r="N2128" s="2"/>
      </tp>
      <tp t="s">
        <v>#N/A N/A</v>
        <stp/>
        <stp>BDP|10154838046589729990</stp>
        <tr r="J535" s="2"/>
      </tp>
      <tp t="s">
        <v>#N/A N/A</v>
        <stp/>
        <stp>BDP|11483987615756275315</stp>
        <tr r="O1536" s="2"/>
      </tp>
      <tp t="s">
        <v>#N/A N/A</v>
        <stp/>
        <stp>BDP|14372057366268301698</stp>
        <tr r="J1899" s="2"/>
      </tp>
      <tp t="s">
        <v>#N/A N/A</v>
        <stp/>
        <stp>BDP|18388091364815598712</stp>
        <tr r="R1596" s="2"/>
      </tp>
      <tp t="s">
        <v>#N/A N/A</v>
        <stp/>
        <stp>BDP|15173336046797696986</stp>
        <tr r="N409" s="2"/>
      </tp>
      <tp t="s">
        <v>#N/A N/A</v>
        <stp/>
        <stp>BDP|15505198767188291639</stp>
        <tr r="P2016" s="2"/>
      </tp>
      <tp t="s">
        <v>#N/A N/A</v>
        <stp/>
        <stp>BDP|14432403427516887814</stp>
        <tr r="M1887" s="2"/>
      </tp>
      <tp t="s">
        <v>#N/A N/A</v>
        <stp/>
        <stp>BDP|11574539346695277987</stp>
        <tr r="K1977" s="2"/>
      </tp>
      <tp t="s">
        <v>#N/A N/A</v>
        <stp/>
        <stp>BDP|15180396802513021901</stp>
        <tr r="P1078" s="2"/>
      </tp>
      <tp t="s">
        <v>#N/A N/A</v>
        <stp/>
        <stp>BDP|11151295025829376447</stp>
        <tr r="A272" s="2"/>
      </tp>
      <tp t="s">
        <v>#N/A N/A</v>
        <stp/>
        <stp>BDP|17679908140456512095</stp>
        <tr r="P1461" s="2"/>
      </tp>
      <tp t="s">
        <v>#N/A N/A</v>
        <stp/>
        <stp>BDP|14785588803365740818</stp>
        <tr r="S1574" s="2"/>
      </tp>
      <tp t="s">
        <v>#N/A N/A</v>
        <stp/>
        <stp>BDP|16481117580382947167</stp>
        <tr r="A466" s="2"/>
      </tp>
      <tp t="s">
        <v>#N/A N/A</v>
        <stp/>
        <stp>BDP|13040581340297200908</stp>
        <tr r="R2103" s="2"/>
      </tp>
      <tp t="s">
        <v>#N/A N/A</v>
        <stp/>
        <stp>BDP|10139294074151400828</stp>
        <tr r="O1017" s="2"/>
      </tp>
      <tp t="s">
        <v>#N/A N/A</v>
        <stp/>
        <stp>BDP|18019397528123916628</stp>
        <tr r="G224" s="2"/>
      </tp>
      <tp t="s">
        <v>#N/A N/A</v>
        <stp/>
        <stp>BDP|12657964526372584794</stp>
        <tr r="M1986" s="2"/>
      </tp>
      <tp t="s">
        <v>#N/A N/A</v>
        <stp/>
        <stp>BDP|13264848858586045441</stp>
        <tr r="F2167" s="2"/>
      </tp>
      <tp t="s">
        <v>#N/A N/A</v>
        <stp/>
        <stp>BDP|17113933509280456258</stp>
        <tr r="A1601" s="2"/>
      </tp>
      <tp t="s">
        <v>#N/A N/A</v>
        <stp/>
        <stp>BDP|16361829186379823353</stp>
        <tr r="J1031" s="2"/>
      </tp>
      <tp t="s">
        <v>#N/A N/A</v>
        <stp/>
        <stp>BDP|11872850300697044279</stp>
        <tr r="K1742" s="2"/>
      </tp>
      <tp t="s">
        <v>#N/A N/A</v>
        <stp/>
        <stp>BDP|13698099841289681226</stp>
        <tr r="T1261" s="2"/>
      </tp>
      <tp t="s">
        <v>#N/A N/A</v>
        <stp/>
        <stp>BDP|10428023848330077849</stp>
        <tr r="F333" s="2"/>
      </tp>
      <tp t="s">
        <v>#N/A N/A</v>
        <stp/>
        <stp>BDP|13781940859462449144</stp>
        <tr r="A1917" s="2"/>
      </tp>
      <tp t="s">
        <v>#N/A N/A</v>
        <stp/>
        <stp>BDP|15316925907363888343</stp>
        <tr r="K40" s="2"/>
      </tp>
      <tp t="s">
        <v>#N/A N/A</v>
        <stp/>
        <stp>BDP|15010751942738838258</stp>
        <tr r="R1864" s="2"/>
      </tp>
      <tp t="s">
        <v>#N/A N/A</v>
        <stp/>
        <stp>BDP|14905994307368859951</stp>
        <tr r="E1272" s="2"/>
      </tp>
      <tp t="s">
        <v>#N/A N/A</v>
        <stp/>
        <stp>BDP|16472160176715627981</stp>
        <tr r="H1053" s="2"/>
      </tp>
      <tp t="s">
        <v>#N/A N/A</v>
        <stp/>
        <stp>BDS|18080173524851823622</stp>
        <tr r="I408" s="2"/>
      </tp>
      <tp t="s">
        <v>#N/A N/A</v>
        <stp/>
        <stp>BDP|18148002418421392409</stp>
        <tr r="S1774" s="2"/>
      </tp>
      <tp t="s">
        <v>#N/A N/A</v>
        <stp/>
        <stp>BDP|11348734662775801905</stp>
        <tr r="N2064" s="2"/>
      </tp>
      <tp t="s">
        <v>#N/A N/A</v>
        <stp/>
        <stp>BDP|13905538744337697920</stp>
        <tr r="S441" s="2"/>
      </tp>
      <tp t="s">
        <v>#N/A N/A</v>
        <stp/>
        <stp>BDP|11306095086454713112</stp>
        <tr r="M1648" s="2"/>
      </tp>
      <tp t="s">
        <v>#N/A N/A</v>
        <stp/>
        <stp>BDP|17240903219615951686</stp>
        <tr r="S1217" s="2"/>
      </tp>
      <tp t="s">
        <v>#N/A N/A</v>
        <stp/>
        <stp>BDP|12684161909149007639</stp>
        <tr r="T1394" s="2"/>
      </tp>
      <tp t="s">
        <v>#N/A N/A</v>
        <stp/>
        <stp>BDP|13168701719049435065</stp>
        <tr r="H243" s="2"/>
      </tp>
      <tp t="s">
        <v>#N/A N/A</v>
        <stp/>
        <stp>BDP|18159682543047001106</stp>
        <tr r="G155" s="2"/>
      </tp>
      <tp t="s">
        <v>#N/A N/A</v>
        <stp/>
        <stp>BDP|18252083845214470412</stp>
        <tr r="K1804" s="2"/>
      </tp>
      <tp t="s">
        <v>#N/A N/A</v>
        <stp/>
        <stp>BDP|10853042057748006111</stp>
        <tr r="J467" s="2"/>
      </tp>
      <tp t="s">
        <v>#N/A N/A</v>
        <stp/>
        <stp>BDP|17551823379502549617</stp>
        <tr r="E411" s="2"/>
      </tp>
      <tp t="s">
        <v>#N/A N/A</v>
        <stp/>
        <stp>BDP|16256967690868887265</stp>
        <tr r="A1054" s="2"/>
      </tp>
      <tp t="s">
        <v>#N/A N/A</v>
        <stp/>
        <stp>BDP|11512089927017689867</stp>
        <tr r="H164" s="2"/>
      </tp>
      <tp t="s">
        <v>#N/A N/A</v>
        <stp/>
        <stp>BDP|14252885447257471332</stp>
        <tr r="Q1121" s="2"/>
      </tp>
      <tp t="s">
        <v>#N/A N/A</v>
        <stp/>
        <stp>BDP|10128380321145662843</stp>
        <tr r="J650" s="2"/>
      </tp>
      <tp t="s">
        <v>#N/A N/A</v>
        <stp/>
        <stp>BDP|14266020729193263917</stp>
        <tr r="Q1774" s="2"/>
      </tp>
      <tp t="s">
        <v>#N/A N/A</v>
        <stp/>
        <stp>BDP|14992841163204589214</stp>
        <tr r="F1241" s="2"/>
      </tp>
      <tp t="s">
        <v>#N/A N/A</v>
        <stp/>
        <stp>BDP|17436174657168833763</stp>
        <tr r="O495" s="2"/>
      </tp>
      <tp t="s">
        <v>#N/A N/A</v>
        <stp/>
        <stp>BDP|15423980463663540506</stp>
        <tr r="T155" s="2"/>
      </tp>
      <tp t="s">
        <v>#N/A N/A</v>
        <stp/>
        <stp>BDP|12289706536769769399</stp>
        <tr r="G1476" s="2"/>
      </tp>
      <tp t="s">
        <v>#N/A N/A</v>
        <stp/>
        <stp>BDP|17343660698260231453</stp>
        <tr r="H1264" s="2"/>
      </tp>
      <tp t="s">
        <v>#N/A N/A</v>
        <stp/>
        <stp>BDS|11889842644684689571</stp>
        <tr r="I762" s="2"/>
      </tp>
      <tp t="s">
        <v>#N/A N/A</v>
        <stp/>
        <stp>BDP|17737729580127995367</stp>
        <tr r="R2137" s="2"/>
      </tp>
      <tp t="s">
        <v>#N/A N/A</v>
        <stp/>
        <stp>BDP|16970005092963792067</stp>
        <tr r="G1000" s="2"/>
      </tp>
      <tp t="s">
        <v>#N/A N/A</v>
        <stp/>
        <stp>BDP|11171524978518435751</stp>
        <tr r="G1976" s="2"/>
      </tp>
      <tp t="s">
        <v>#N/A N/A</v>
        <stp/>
        <stp>BDS|12473496233880185965</stp>
        <tr r="I400" s="2"/>
      </tp>
      <tp t="s">
        <v>#N/A N/A</v>
        <stp/>
        <stp>BDP|18132655474924291182</stp>
        <tr r="F1407" s="2"/>
      </tp>
      <tp t="s">
        <v>#N/A N/A</v>
        <stp/>
        <stp>BDP|13851657449684749994</stp>
        <tr r="C321" s="2"/>
      </tp>
      <tp t="s">
        <v>#N/A N/A</v>
        <stp/>
        <stp>BDP|18393870724657935938</stp>
        <tr r="P89" s="2"/>
      </tp>
      <tp t="s">
        <v>#N/A N/A</v>
        <stp/>
        <stp>BDP|17791582480227087155</stp>
        <tr r="F534" s="2"/>
      </tp>
      <tp t="s">
        <v>#N/A N/A</v>
        <stp/>
        <stp>BDP|10877775704839360228</stp>
        <tr r="D1910" s="2"/>
      </tp>
      <tp t="s">
        <v>#N/A N/A</v>
        <stp/>
        <stp>BDP|13194902969037483718</stp>
        <tr r="D2079" s="2"/>
      </tp>
      <tp t="s">
        <v>#N/A N/A</v>
        <stp/>
        <stp>BDP|13328836758383359169</stp>
        <tr r="J34" s="2"/>
      </tp>
      <tp t="s">
        <v>#N/A N/A</v>
        <stp/>
        <stp>BDP|18325293699397894860</stp>
        <tr r="G1867" s="2"/>
      </tp>
      <tp t="s">
        <v>#N/A N/A</v>
        <stp/>
        <stp>BDP|12141063446018482284</stp>
        <tr r="G1901" s="2"/>
      </tp>
      <tp t="s">
        <v>#N/A N/A</v>
        <stp/>
        <stp>BDP|12492628500938202093</stp>
        <tr r="T147" s="2"/>
      </tp>
      <tp t="s">
        <v>#N/A N/A</v>
        <stp/>
        <stp>BDS|15382544424298569683</stp>
        <tr r="I93" s="2"/>
      </tp>
      <tp t="s">
        <v>#N/A N/A</v>
        <stp/>
        <stp>BDP|15237598391595630017</stp>
        <tr r="C1700" s="2"/>
      </tp>
      <tp t="s">
        <v>#N/A N/A</v>
        <stp/>
        <stp>BDP|15839963707838151857</stp>
        <tr r="C2074" s="2"/>
      </tp>
      <tp t="s">
        <v>#N/A N/A</v>
        <stp/>
        <stp>BDP|11246788520570306843</stp>
        <tr r="K712" s="2"/>
      </tp>
      <tp t="s">
        <v>#N/A N/A</v>
        <stp/>
        <stp>BDP|17194850375472949650</stp>
        <tr r="N69" s="2"/>
      </tp>
      <tp t="s">
        <v>#N/A N/A</v>
        <stp/>
        <stp>BDP|11913805163853114064</stp>
        <tr r="O1091" s="2"/>
      </tp>
      <tp t="s">
        <v>#N/A N/A</v>
        <stp/>
        <stp>BDP|11713573584058936809</stp>
        <tr r="O847" s="2"/>
      </tp>
      <tp t="s">
        <v>#N/A N/A</v>
        <stp/>
        <stp>BDP|12924724841435156868</stp>
        <tr r="P1263" s="2"/>
      </tp>
      <tp t="s">
        <v>#N/A N/A</v>
        <stp/>
        <stp>BDP|10888931724115405267</stp>
        <tr r="S1206" s="2"/>
      </tp>
      <tp t="s">
        <v>#N/A N/A</v>
        <stp/>
        <stp>BDP|12968345050359478148</stp>
        <tr r="K62" s="2"/>
      </tp>
      <tp t="s">
        <v>#N/A N/A</v>
        <stp/>
        <stp>BDP|16801958950261452741</stp>
        <tr r="D778" s="2"/>
      </tp>
      <tp t="s">
        <v>#N/A N/A</v>
        <stp/>
        <stp>BDP|14746488981237285318</stp>
        <tr r="D742" s="2"/>
      </tp>
      <tp t="s">
        <v>#N/A N/A</v>
        <stp/>
        <stp>BDP|12719389426419659627</stp>
        <tr r="M1076" s="2"/>
      </tp>
      <tp t="s">
        <v>#N/A N/A</v>
        <stp/>
        <stp>BDP|10629902668600098331</stp>
        <tr r="C437" s="2"/>
      </tp>
      <tp t="s">
        <v>#N/A N/A</v>
        <stp/>
        <stp>BDP|15125035725572942938</stp>
        <tr r="G1358" s="2"/>
      </tp>
      <tp t="s">
        <v>#N/A N/A</v>
        <stp/>
        <stp>BDP|10866109244779259030</stp>
        <tr r="K1874" s="2"/>
      </tp>
      <tp t="s">
        <v>#N/A N/A</v>
        <stp/>
        <stp>BDP|12852463423950417843</stp>
        <tr r="P1013" s="2"/>
      </tp>
      <tp t="s">
        <v>#N/A N/A</v>
        <stp/>
        <stp>BDS|13086215798877783301</stp>
        <tr r="I1025" s="2"/>
      </tp>
      <tp t="s">
        <v>#N/A N/A</v>
        <stp/>
        <stp>BDS|17940807736770103008</stp>
        <tr r="I498" s="2"/>
      </tp>
      <tp t="s">
        <v>#N/A N/A</v>
        <stp/>
        <stp>BDP|15868462529288808725</stp>
        <tr r="S2062" s="2"/>
      </tp>
      <tp t="s">
        <v>#N/A N/A</v>
        <stp/>
        <stp>BDP|18256274336551909477</stp>
        <tr r="T2076" s="2"/>
      </tp>
      <tp t="s">
        <v>#N/A N/A</v>
        <stp/>
        <stp>BDP|11710480874658577633</stp>
        <tr r="Q679" s="2"/>
      </tp>
      <tp t="s">
        <v>#N/A N/A</v>
        <stp/>
        <stp>BDP|12016511544278921713</stp>
        <tr r="A2254" s="2"/>
      </tp>
      <tp t="s">
        <v>#N/A N/A</v>
        <stp/>
        <stp>BDP|14487890830806623560</stp>
        <tr r="E1564" s="2"/>
      </tp>
      <tp t="s">
        <v>#N/A N/A</v>
        <stp/>
        <stp>BDP|17664803460692886739</stp>
        <tr r="T493" s="2"/>
      </tp>
      <tp t="s">
        <v>#N/A N/A</v>
        <stp/>
        <stp>BDP|11447060715618958435</stp>
        <tr r="R1056" s="2"/>
      </tp>
      <tp t="s">
        <v>#N/A N/A</v>
        <stp/>
        <stp>BDP|17423363289323738313</stp>
        <tr r="J1817" s="2"/>
      </tp>
      <tp t="s">
        <v>#N/A N/A</v>
        <stp/>
        <stp>BDP|16992278281693265300</stp>
        <tr r="C1686" s="2"/>
      </tp>
      <tp t="s">
        <v>#N/A N/A</v>
        <stp/>
        <stp>BDP|16743713701099853423</stp>
        <tr r="D1735" s="2"/>
      </tp>
      <tp t="s">
        <v>#N/A N/A</v>
        <stp/>
        <stp>BDS|12604117348282175903</stp>
        <tr r="I490" s="2"/>
      </tp>
      <tp t="s">
        <v>#N/A N/A</v>
        <stp/>
        <stp>BDS|13022107651488609390</stp>
        <tr r="I1059" s="2"/>
      </tp>
      <tp t="s">
        <v>#N/A N/A</v>
        <stp/>
        <stp>BDP|14621408137329413689</stp>
        <tr r="N1863" s="2"/>
      </tp>
      <tp t="s">
        <v>#N/A N/A</v>
        <stp/>
        <stp>BDP|18010022758945230458</stp>
        <tr r="N1357" s="2"/>
      </tp>
      <tp t="s">
        <v>#N/A N/A</v>
        <stp/>
        <stp>BDS|17474598958989368280</stp>
        <tr r="I1993" s="2"/>
      </tp>
      <tp t="s">
        <v>#N/A N/A</v>
        <stp/>
        <stp>BDP|14453973751641778587</stp>
        <tr r="P286" s="2"/>
      </tp>
      <tp t="s">
        <v>#N/A N/A</v>
        <stp/>
        <stp>BDP|11470616183373231091</stp>
        <tr r="M834" s="2"/>
      </tp>
      <tp t="s">
        <v>#N/A N/A</v>
        <stp/>
        <stp>BDP|13051573169348027437</stp>
        <tr r="E1883" s="2"/>
      </tp>
      <tp t="s">
        <v>#N/A N/A</v>
        <stp/>
        <stp>BDP|16988707607915400871</stp>
        <tr r="H1461" s="2"/>
      </tp>
      <tp t="s">
        <v>#N/A N/A</v>
        <stp/>
        <stp>BDP|10506242913846682995</stp>
        <tr r="D1285" s="2"/>
      </tp>
      <tp t="s">
        <v>#N/A N/A</v>
        <stp/>
        <stp>BDP|17974765507838788425</stp>
        <tr r="G121" s="2"/>
      </tp>
      <tp t="s">
        <v>#N/A N/A</v>
        <stp/>
        <stp>BDP|18076214382519670786</stp>
        <tr r="A1518" s="2"/>
      </tp>
      <tp t="s">
        <v>#N/A N/A</v>
        <stp/>
        <stp>BDP|11461596056925485826</stp>
        <tr r="N1235" s="2"/>
      </tp>
      <tp t="s">
        <v>#N/A N/A</v>
        <stp/>
        <stp>BDP|13804116257129062236</stp>
        <tr r="N136" s="2"/>
      </tp>
      <tp t="s">
        <v>#N/A N/A</v>
        <stp/>
        <stp>BDP|14604932231257862511</stp>
        <tr r="M291" s="2"/>
      </tp>
      <tp t="s">
        <v>#N/A N/A</v>
        <stp/>
        <stp>BDP|16241405412439504682</stp>
        <tr r="H2124" s="2"/>
      </tp>
      <tp t="s">
        <v>#N/A N/A</v>
        <stp/>
        <stp>BDP|10178736584425972624</stp>
        <tr r="A1108" s="2"/>
      </tp>
      <tp t="s">
        <v>#N/A N/A</v>
        <stp/>
        <stp>BDP|14842948622016638559</stp>
        <tr r="F2017" s="2"/>
      </tp>
      <tp t="s">
        <v>#N/A N/A</v>
        <stp/>
        <stp>BDP|12602090071269431077</stp>
        <tr r="N616" s="2"/>
      </tp>
      <tp t="s">
        <v>#N/A N/A</v>
        <stp/>
        <stp>BDP|14802452648209157193</stp>
        <tr r="K859" s="2"/>
      </tp>
      <tp t="s">
        <v>#N/A N/A</v>
        <stp/>
        <stp>BDP|11677694762555849887</stp>
        <tr r="J1514" s="2"/>
      </tp>
      <tp t="s">
        <v>#N/A N/A</v>
        <stp/>
        <stp>BDP|11920973831634007322</stp>
        <tr r="R1288" s="2"/>
      </tp>
      <tp t="s">
        <v>#N/A N/A</v>
        <stp/>
        <stp>BDP|18012572331097927524</stp>
        <tr r="R2184" s="2"/>
      </tp>
      <tp t="s">
        <v>#N/A N/A</v>
        <stp/>
        <stp>BDP|16290808706701960305</stp>
        <tr r="O2120" s="2"/>
      </tp>
      <tp t="s">
        <v>#N/A N/A</v>
        <stp/>
        <stp>BDP|15308885725660303307</stp>
        <tr r="T718" s="2"/>
      </tp>
      <tp t="s">
        <v>#N/A N/A</v>
        <stp/>
        <stp>BDP|15874835417474656477</stp>
        <tr r="S447" s="2"/>
      </tp>
      <tp t="s">
        <v>#N/A N/A</v>
        <stp/>
        <stp>BDP|10849839946181998191</stp>
        <tr r="A1653" s="2"/>
      </tp>
      <tp t="s">
        <v>#N/A N/A</v>
        <stp/>
        <stp>BDP|18037225257201835203</stp>
        <tr r="J979" s="2"/>
      </tp>
      <tp t="s">
        <v>#N/A N/A</v>
        <stp/>
        <stp>BDP|16652800709294087635</stp>
        <tr r="N1256" s="2"/>
      </tp>
      <tp t="s">
        <v>#N/A N/A</v>
        <stp/>
        <stp>BDP|11791009161008905339</stp>
        <tr r="E1109" s="2"/>
      </tp>
      <tp t="s">
        <v>#N/A N/A</v>
        <stp/>
        <stp>BDP|10403741239850692839</stp>
        <tr r="N750" s="2"/>
      </tp>
      <tp t="s">
        <v>#N/A N/A</v>
        <stp/>
        <stp>BDP|13489183493435418277</stp>
        <tr r="T1615" s="2"/>
      </tp>
      <tp t="s">
        <v>#N/A N/A</v>
        <stp/>
        <stp>BDP|17641393396554781523</stp>
        <tr r="O2167" s="2"/>
      </tp>
      <tp t="s">
        <v>#N/A N/A</v>
        <stp/>
        <stp>BDP|14124495496471037429</stp>
        <tr r="R517" s="2"/>
      </tp>
      <tp t="s">
        <v>#N/A N/A</v>
        <stp/>
        <stp>BDP|11328183493674779139</stp>
        <tr r="A2022" s="2"/>
      </tp>
      <tp t="s">
        <v>#N/A N/A</v>
        <stp/>
        <stp>BDP|15542565974832884939</stp>
        <tr r="S756" s="2"/>
      </tp>
      <tp t="s">
        <v>#N/A N/A</v>
        <stp/>
        <stp>BDP|16491796252098100027</stp>
        <tr r="J213" s="2"/>
      </tp>
      <tp t="s">
        <v>#N/A N/A</v>
        <stp/>
        <stp>BDP|11687043659458311046</stp>
        <tr r="G75" s="2"/>
      </tp>
      <tp t="s">
        <v>#N/A N/A</v>
        <stp/>
        <stp>BDP|16910879472904417148</stp>
        <tr r="O283" s="2"/>
      </tp>
      <tp t="s">
        <v>#N/A N/A</v>
        <stp/>
        <stp>BDS|13743898142677637451</stp>
        <tr r="I1007" s="2"/>
      </tp>
      <tp t="s">
        <v>#N/A N/A</v>
        <stp/>
        <stp>BDP|11259490352934207873</stp>
        <tr r="N633" s="2"/>
      </tp>
      <tp t="s">
        <v>#N/A N/A</v>
        <stp/>
        <stp>BDP|16993698104849038585</stp>
        <tr r="R1261" s="2"/>
      </tp>
      <tp t="s">
        <v>#N/A N/A</v>
        <stp/>
        <stp>BDP|11015602888554181751</stp>
        <tr r="N2025" s="2"/>
      </tp>
      <tp t="s">
        <v>#N/A N/A</v>
        <stp/>
        <stp>BDP|12084168199012482477</stp>
        <tr r="C706" s="2"/>
      </tp>
      <tp t="s">
        <v>#N/A N/A</v>
        <stp/>
        <stp>BDP|10101455997238684991</stp>
        <tr r="K981" s="2"/>
      </tp>
      <tp t="s">
        <v>#N/A N/A</v>
        <stp/>
        <stp>BDP|11900880390434536889</stp>
        <tr r="D1775" s="2"/>
      </tp>
      <tp t="s">
        <v>#N/A N/A</v>
        <stp/>
        <stp>BDP|14882586791404903044</stp>
        <tr r="F354" s="2"/>
      </tp>
      <tp t="s">
        <v>#N/A N/A</v>
        <stp/>
        <stp>BDP|11400199082755664156</stp>
        <tr r="H498" s="2"/>
      </tp>
      <tp t="s">
        <v>#N/A N/A</v>
        <stp/>
        <stp>BDP|14513307304043415899</stp>
        <tr r="D685" s="2"/>
      </tp>
      <tp t="s">
        <v>#N/A N/A</v>
        <stp/>
        <stp>BDP|17171181220651094957</stp>
        <tr r="S163" s="2"/>
      </tp>
      <tp t="s">
        <v>#N/A N/A</v>
        <stp/>
        <stp>BDP|11309258598320142632</stp>
        <tr r="P649" s="2"/>
      </tp>
      <tp t="s">
        <v>#N/A N/A</v>
        <stp/>
        <stp>BDP|16506398833103405974</stp>
        <tr r="N614" s="2"/>
      </tp>
      <tp t="s">
        <v>#N/A N/A</v>
        <stp/>
        <stp>BDP|14322967511346184693</stp>
        <tr r="A945" s="2"/>
      </tp>
      <tp t="s">
        <v>#N/A N/A</v>
        <stp/>
        <stp>BDP|17185436789215645215</stp>
        <tr r="R969" s="2"/>
      </tp>
      <tp t="s">
        <v>#N/A N/A</v>
        <stp/>
        <stp>BDP|11548818418840895481</stp>
        <tr r="R351" s="2"/>
      </tp>
      <tp t="s">
        <v>#N/A N/A</v>
        <stp/>
        <stp>BDP|16711018528841791954</stp>
        <tr r="G1107" s="2"/>
      </tp>
      <tp t="s">
        <v>#N/A N/A</v>
        <stp/>
        <stp>BDP|12343150987213924447</stp>
        <tr r="C15" s="2"/>
      </tp>
      <tp t="s">
        <v>#N/A N/A</v>
        <stp/>
        <stp>BDP|17928703580974185043</stp>
        <tr r="K158" s="2"/>
      </tp>
      <tp t="s">
        <v>#N/A N/A</v>
        <stp/>
        <stp>BDP|11537836149983399206</stp>
        <tr r="C261" s="2"/>
      </tp>
      <tp t="s">
        <v>#N/A N/A</v>
        <stp/>
        <stp>BDP|12043103531004427896</stp>
        <tr r="E918" s="2"/>
      </tp>
      <tp t="s">
        <v>#N/A N/A</v>
        <stp/>
        <stp>BDP|16796393082990084109</stp>
        <tr r="R774" s="2"/>
      </tp>
      <tp t="s">
        <v>#N/A N/A</v>
        <stp/>
        <stp>BDP|12309125380272439596</stp>
        <tr r="D590" s="2"/>
      </tp>
      <tp t="s">
        <v>#N/A N/A</v>
        <stp/>
        <stp>BDP|11525055088217025245</stp>
        <tr r="S2035" s="2"/>
      </tp>
      <tp t="s">
        <v>#N/A N/A</v>
        <stp/>
        <stp>BDP|14111056479768051717</stp>
        <tr r="R1446" s="2"/>
      </tp>
      <tp t="s">
        <v>#N/A N/A</v>
        <stp/>
        <stp>BDP|11878597938788635335</stp>
        <tr r="J19" s="2"/>
      </tp>
      <tp t="s">
        <v>#N/A N/A</v>
        <stp/>
        <stp>BDP|10481738948708667750</stp>
        <tr r="R1720" s="2"/>
      </tp>
      <tp t="s">
        <v>#N/A N/A</v>
        <stp/>
        <stp>BDP|11800377809618936632</stp>
        <tr r="R99" s="2"/>
      </tp>
      <tp t="s">
        <v>#N/A N/A</v>
        <stp/>
        <stp>BDP|17645882822654236523</stp>
        <tr r="G1638" s="2"/>
      </tp>
      <tp t="s">
        <v>#N/A N/A</v>
        <stp/>
        <stp>BDP|14209641600466320897</stp>
        <tr r="P1433" s="2"/>
      </tp>
      <tp t="s">
        <v>#N/A N/A</v>
        <stp/>
        <stp>BDP|13402492545849382672</stp>
        <tr r="J1631" s="2"/>
      </tp>
      <tp t="s">
        <v>#N/A N/A</v>
        <stp/>
        <stp>BDP|12041228564348360299</stp>
        <tr r="S1445" s="2"/>
      </tp>
      <tp t="s">
        <v>#N/A N/A</v>
        <stp/>
        <stp>BDP|11076253376339835174</stp>
        <tr r="O797" s="2"/>
      </tp>
      <tp t="s">
        <v>#N/A N/A</v>
        <stp/>
        <stp>BDP|13915257896997109378</stp>
        <tr r="J946" s="2"/>
      </tp>
      <tp t="s">
        <v>#N/A N/A</v>
        <stp/>
        <stp>BDP|14954577570398455263</stp>
        <tr r="R387" s="2"/>
      </tp>
      <tp t="s">
        <v>#N/A N/A</v>
        <stp/>
        <stp>BDP|16973235493548777927</stp>
        <tr r="A1740" s="2"/>
      </tp>
      <tp t="s">
        <v>#N/A N/A</v>
        <stp/>
        <stp>BDP|11346225346293200895</stp>
        <tr r="H1762" s="2"/>
      </tp>
      <tp t="s">
        <v>#N/A N/A</v>
        <stp/>
        <stp>BDP|15218861755793959744</stp>
        <tr r="P95" s="2"/>
      </tp>
      <tp t="s">
        <v>#N/A N/A</v>
        <stp/>
        <stp>BDP|16261176865644942954</stp>
        <tr r="A1655" s="2"/>
      </tp>
      <tp t="s">
        <v>#N/A N/A</v>
        <stp/>
        <stp>BDP|15219126789532717225</stp>
        <tr r="P690" s="2"/>
      </tp>
      <tp t="s">
        <v>#N/A N/A</v>
        <stp/>
        <stp>BDP|13983204783977766215</stp>
        <tr r="Q1477" s="2"/>
      </tp>
      <tp t="s">
        <v>#N/A N/A</v>
        <stp/>
        <stp>BDP|12244339478238338269</stp>
        <tr r="T930" s="2"/>
      </tp>
      <tp t="s">
        <v>#N/A N/A</v>
        <stp/>
        <stp>BDP|14256941235067870576</stp>
        <tr r="G181" s="2"/>
      </tp>
      <tp t="s">
        <v>#N/A N/A</v>
        <stp/>
        <stp>BDP|18415476574697211094</stp>
        <tr r="D382" s="2"/>
      </tp>
      <tp t="s">
        <v>#N/A N/A</v>
        <stp/>
        <stp>BDP|10756804018216772340</stp>
        <tr r="H3" s="2"/>
      </tp>
      <tp t="s">
        <v>#N/A N/A</v>
        <stp/>
        <stp>BDS|17136014389510271341</stp>
        <tr r="I598" s="2"/>
      </tp>
      <tp t="s">
        <v>#N/A N/A</v>
        <stp/>
        <stp>BDP|17270825343827776089</stp>
        <tr r="T1354" s="2"/>
      </tp>
      <tp t="s">
        <v>#N/A N/A</v>
        <stp/>
        <stp>BDP|16022242335912946949</stp>
        <tr r="S519" s="2"/>
      </tp>
      <tp t="s">
        <v>#N/A N/A</v>
        <stp/>
        <stp>BDP|15920612025399858492</stp>
        <tr r="J491" s="2"/>
      </tp>
      <tp t="s">
        <v>#N/A N/A</v>
        <stp/>
        <stp>BDP|15869149792559364827</stp>
        <tr r="D197" s="2"/>
      </tp>
      <tp t="s">
        <v>#N/A N/A</v>
        <stp/>
        <stp>BDP|18110067748482614268</stp>
        <tr r="D14" s="2"/>
      </tp>
      <tp t="s">
        <v>#N/A N/A</v>
        <stp/>
        <stp>BDP|14108034715861843803</stp>
        <tr r="P672" s="2"/>
      </tp>
      <tp t="s">
        <v>#N/A N/A</v>
        <stp/>
        <stp>BDP|13126384331047783805</stp>
        <tr r="H216" s="2"/>
      </tp>
      <tp t="s">
        <v>#N/A N/A</v>
        <stp/>
        <stp>BDP|10334856883834330894</stp>
        <tr r="J1123" s="2"/>
      </tp>
      <tp t="s">
        <v>#N/A N/A</v>
        <stp/>
        <stp>BDP|16947386082494456589</stp>
        <tr r="K1543" s="2"/>
      </tp>
      <tp t="s">
        <v>#N/A N/A</v>
        <stp/>
        <stp>BDP|11095295351902585827</stp>
        <tr r="Q1066" s="2"/>
      </tp>
      <tp t="s">
        <v>#N/A N/A</v>
        <stp/>
        <stp>BDP|16840074385984727622</stp>
        <tr r="J1996" s="2"/>
      </tp>
      <tp t="s">
        <v>#N/A N/A</v>
        <stp/>
        <stp>BDP|12898204672422637933</stp>
        <tr r="M458" s="2"/>
      </tp>
      <tp t="s">
        <v>#N/A N/A</v>
        <stp/>
        <stp>BDP|10579817334597689094</stp>
        <tr r="T503" s="2"/>
      </tp>
      <tp t="s">
        <v>#N/A N/A</v>
        <stp/>
        <stp>BDP|17481991293058923382</stp>
        <tr r="S952" s="2"/>
      </tp>
      <tp t="s">
        <v>#N/A N/A</v>
        <stp/>
        <stp>BDP|12337244278968675360</stp>
        <tr r="R648" s="2"/>
      </tp>
      <tp t="s">
        <v>#N/A N/A</v>
        <stp/>
        <stp>BDP|15561894926777149448</stp>
        <tr r="K1211" s="2"/>
      </tp>
      <tp t="s">
        <v>#N/A N/A</v>
        <stp/>
        <stp>BDS|16168928842411960645</stp>
        <tr r="I355" s="2"/>
      </tp>
      <tp t="s">
        <v>#N/A N/A</v>
        <stp/>
        <stp>BDP|15637829570997997122</stp>
        <tr r="D1411" s="2"/>
      </tp>
      <tp t="s">
        <v>#N/A N/A</v>
        <stp/>
        <stp>BDP|17489317196776501790</stp>
        <tr r="Q350" s="2"/>
      </tp>
      <tp t="s">
        <v>#N/A N/A</v>
        <stp/>
        <stp>BDP|16621224495244848568</stp>
        <tr r="D387" s="2"/>
      </tp>
      <tp t="s">
        <v>#N/A N/A</v>
        <stp/>
        <stp>BDP|17118886467853668671</stp>
        <tr r="P2193" s="2"/>
      </tp>
      <tp t="s">
        <v>#N/A N/A</v>
        <stp/>
        <stp>BDP|16114709533886862859</stp>
        <tr r="J1320" s="2"/>
      </tp>
      <tp t="s">
        <v>#N/A N/A</v>
        <stp/>
        <stp>BDP|12888783692189924947</stp>
        <tr r="D1183" s="2"/>
      </tp>
      <tp t="s">
        <v>#N/A N/A</v>
        <stp/>
        <stp>BDP|14964387379568684412</stp>
        <tr r="D1751" s="2"/>
      </tp>
      <tp t="s">
        <v>#N/A N/A</v>
        <stp/>
        <stp>BDP|11951170191197984291</stp>
        <tr r="K1303" s="2"/>
      </tp>
      <tp t="s">
        <v>#N/A N/A</v>
        <stp/>
        <stp>BDP|17824840420023496276</stp>
        <tr r="P2059" s="2"/>
      </tp>
      <tp t="s">
        <v>#N/A N/A</v>
        <stp/>
        <stp>BDP|13091926648287508500</stp>
        <tr r="Q2252" s="2"/>
      </tp>
      <tp t="s">
        <v>#N/A N/A</v>
        <stp/>
        <stp>BDP|12027353493136986205</stp>
        <tr r="Q1488" s="2"/>
      </tp>
      <tp t="s">
        <v>#N/A N/A</v>
        <stp/>
        <stp>BDP|14945828850181674427</stp>
        <tr r="N768" s="2"/>
      </tp>
      <tp t="s">
        <v>#N/A N/A</v>
        <stp/>
        <stp>BDP|12276295593861126465</stp>
        <tr r="G533" s="2"/>
      </tp>
      <tp t="s">
        <v>#N/A N/A</v>
        <stp/>
        <stp>BDP|14582771535788836401</stp>
        <tr r="M660" s="2"/>
      </tp>
      <tp t="s">
        <v>#N/A N/A</v>
        <stp/>
        <stp>BDP|18081027608182198644</stp>
        <tr r="H884" s="2"/>
      </tp>
      <tp t="s">
        <v>#N/A N/A</v>
        <stp/>
        <stp>BDP|16089999174484063020</stp>
        <tr r="C2029" s="2"/>
      </tp>
      <tp t="s">
        <v>#N/A N/A</v>
        <stp/>
        <stp>BDP|17268251143504865936</stp>
        <tr r="Q613" s="2"/>
      </tp>
      <tp t="s">
        <v>#N/A N/A</v>
        <stp/>
        <stp>BDS|11306457012411836902</stp>
        <tr r="I345" s="2"/>
      </tp>
      <tp t="s">
        <v>#N/A N/A</v>
        <stp/>
        <stp>BDP|17711043278299197558</stp>
        <tr r="K749" s="2"/>
      </tp>
      <tp t="s">
        <v>#N/A N/A</v>
        <stp/>
        <stp>BDP|11889418576368973695</stp>
        <tr r="Q796" s="2"/>
      </tp>
      <tp t="s">
        <v>#N/A N/A</v>
        <stp/>
        <stp>BDP|18253927668183274855</stp>
        <tr r="A924" s="2"/>
      </tp>
      <tp t="s">
        <v>#N/A N/A</v>
        <stp/>
        <stp>BDP|13069185661029317153</stp>
        <tr r="K1968" s="2"/>
      </tp>
      <tp t="s">
        <v>#N/A N/A</v>
        <stp/>
        <stp>BDP|10955574462426536967</stp>
        <tr r="C350" s="2"/>
      </tp>
      <tp t="s">
        <v>#N/A N/A</v>
        <stp/>
        <stp>BDP|11058492803711237872</stp>
        <tr r="H113" s="2"/>
      </tp>
      <tp t="s">
        <v>#N/A N/A</v>
        <stp/>
        <stp>BDP|18370511111519911953</stp>
        <tr r="J1172" s="2"/>
      </tp>
      <tp t="s">
        <v>#N/A N/A</v>
        <stp/>
        <stp>BDP|10399125929167045878</stp>
        <tr r="R532" s="2"/>
      </tp>
      <tp t="s">
        <v>#N/A N/A</v>
        <stp/>
        <stp>BDP|11747430340659943427</stp>
        <tr r="Q1646" s="2"/>
      </tp>
      <tp t="s">
        <v>#N/A N/A</v>
        <stp/>
        <stp>BDP|11537531415099404082</stp>
        <tr r="J671" s="2"/>
      </tp>
      <tp t="s">
        <v>#N/A N/A</v>
        <stp/>
        <stp>BDS|16110450826169894569</stp>
        <tr r="I964" s="2"/>
      </tp>
      <tp t="s">
        <v>#N/A N/A</v>
        <stp/>
        <stp>BDP|11820822371306473404</stp>
        <tr r="T2144" s="2"/>
      </tp>
      <tp t="s">
        <v>#N/A N/A</v>
        <stp/>
        <stp>BDP|10227984675026377436</stp>
        <tr r="D1357" s="2"/>
      </tp>
      <tp t="s">
        <v>#N/A N/A</v>
        <stp/>
        <stp>BDP|12836715267518743760</stp>
        <tr r="E988" s="2"/>
      </tp>
      <tp t="s">
        <v>#N/A N/A</v>
        <stp/>
        <stp>BDP|13659486722499271017</stp>
        <tr r="T536" s="2"/>
      </tp>
      <tp t="s">
        <v>#N/A N/A</v>
        <stp/>
        <stp>BDP|10194495967878039601</stp>
        <tr r="C1412" s="2"/>
      </tp>
      <tp t="s">
        <v>#N/A N/A</v>
        <stp/>
        <stp>BDP|10833039456829434064</stp>
        <tr r="Q2092" s="2"/>
      </tp>
      <tp t="s">
        <v>#N/A N/A</v>
        <stp/>
        <stp>BDP|14123937070526973042</stp>
        <tr r="R1320" s="2"/>
      </tp>
      <tp t="s">
        <v>#N/A N/A</v>
        <stp/>
        <stp>BDP|10072485211281536837</stp>
        <tr r="O456" s="2"/>
      </tp>
      <tp t="s">
        <v>#N/A N/A</v>
        <stp/>
        <stp>BDP|15934797219598561733</stp>
        <tr r="R1435" s="2"/>
      </tp>
      <tp t="s">
        <v>#N/A N/A</v>
        <stp/>
        <stp>BDP|15147877545393413685</stp>
        <tr r="J1487" s="2"/>
      </tp>
      <tp t="s">
        <v>#N/A N/A</v>
        <stp/>
        <stp>BDP|14291174093319027998</stp>
        <tr r="J1827" s="2"/>
      </tp>
      <tp t="s">
        <v>#N/A N/A</v>
        <stp/>
        <stp>BDS|17771305984026679691</stp>
        <tr r="I790" s="2"/>
      </tp>
      <tp t="s">
        <v>#N/A N/A</v>
        <stp/>
        <stp>BDP|15804429499573419796</stp>
        <tr r="N47" s="2"/>
      </tp>
      <tp t="s">
        <v>#N/A N/A</v>
        <stp/>
        <stp>BDP|12998837491778019753</stp>
        <tr r="T1936" s="2"/>
      </tp>
      <tp t="s">
        <v>#N/A N/A</v>
        <stp/>
        <stp>BDP|15038438008204456916</stp>
        <tr r="K94" s="2"/>
      </tp>
      <tp t="s">
        <v>#N/A N/A</v>
        <stp/>
        <stp>BDP|10083750144179621691</stp>
        <tr r="P1418" s="2"/>
      </tp>
      <tp t="s">
        <v>#N/A N/A</v>
        <stp/>
        <stp>BDP|16934445410938037736</stp>
        <tr r="E2198" s="2"/>
      </tp>
      <tp t="s">
        <v>#N/A N/A</v>
        <stp/>
        <stp>BDP|13552949128644168065</stp>
        <tr r="A441" s="2"/>
      </tp>
      <tp t="s">
        <v>#N/A N/A</v>
        <stp/>
        <stp>BDP|13311936926540032488</stp>
        <tr r="O1287" s="2"/>
      </tp>
      <tp t="s">
        <v>#N/A N/A</v>
        <stp/>
        <stp>BDP|17399200789050693129</stp>
        <tr r="J1664" s="2"/>
      </tp>
      <tp t="s">
        <v>#N/A N/A</v>
        <stp/>
        <stp>BDP|11042933435544139398</stp>
        <tr r="T2073" s="2"/>
      </tp>
      <tp t="s">
        <v>#N/A N/A</v>
        <stp/>
        <stp>BDP|12499242034577341892</stp>
        <tr r="A2178" s="2"/>
      </tp>
      <tp t="s">
        <v>#N/A N/A</v>
        <stp/>
        <stp>BDP|12384619429183096951</stp>
        <tr r="H627" s="2"/>
      </tp>
      <tp t="s">
        <v>#N/A N/A</v>
        <stp/>
        <stp>BDP|14904067891164760578</stp>
        <tr r="T1197" s="2"/>
      </tp>
      <tp t="s">
        <v>#N/A N/A</v>
        <stp/>
        <stp>BDP|13092270619519930590</stp>
        <tr r="S1720" s="2"/>
      </tp>
      <tp t="s">
        <v>#N/A N/A</v>
        <stp/>
        <stp>BDP|15106155138683498865</stp>
        <tr r="C727" s="2"/>
      </tp>
      <tp t="s">
        <v>#N/A N/A</v>
        <stp/>
        <stp>BDP|16346964902125191686</stp>
        <tr r="K1188" s="2"/>
      </tp>
      <tp t="s">
        <v>#N/A N/A</v>
        <stp/>
        <stp>BDP|16436388880479712850</stp>
        <tr r="K1135" s="2"/>
      </tp>
      <tp t="s">
        <v>#N/A N/A</v>
        <stp/>
        <stp>BDP|14618008725623418990</stp>
        <tr r="N570" s="2"/>
      </tp>
      <tp t="s">
        <v>#N/A N/A</v>
        <stp/>
        <stp>BDP|14665020959988130522</stp>
        <tr r="A1899" s="2"/>
      </tp>
      <tp t="s">
        <v>#N/A N/A</v>
        <stp/>
        <stp>BDP|17268582444383983991</stp>
        <tr r="H1329" s="2"/>
      </tp>
      <tp t="s">
        <v>#N/A N/A</v>
        <stp/>
        <stp>BDP|18006204899947422832</stp>
        <tr r="D613" s="2"/>
      </tp>
      <tp t="s">
        <v>#N/A N/A</v>
        <stp/>
        <stp>BDP|16659598189744969311</stp>
        <tr r="M1234" s="2"/>
      </tp>
      <tp t="s">
        <v>#N/A N/A</v>
        <stp/>
        <stp>BDP|11718388683186271002</stp>
        <tr r="J1511" s="2"/>
      </tp>
      <tp t="s">
        <v>#N/A N/A</v>
        <stp/>
        <stp>BDP|14751669768268777005</stp>
        <tr r="O2020" s="2"/>
      </tp>
      <tp t="s">
        <v>#N/A N/A</v>
        <stp/>
        <stp>BDP|18355069428004703240</stp>
        <tr r="G1399" s="2"/>
      </tp>
      <tp t="s">
        <v>#N/A N/A</v>
        <stp/>
        <stp>BDP|13561176394385083288</stp>
        <tr r="N18" s="2"/>
      </tp>
      <tp t="s">
        <v>#N/A N/A</v>
        <stp/>
        <stp>BDP|14808939707461182036</stp>
        <tr r="C1798" s="2"/>
      </tp>
      <tp t="s">
        <v>#N/A N/A</v>
        <stp/>
        <stp>BDP|11845159269499399393</stp>
        <tr r="H1995" s="2"/>
      </tp>
      <tp t="s">
        <v>#N/A N/A</v>
        <stp/>
        <stp>BDP|10952452467326752822</stp>
        <tr r="K156" s="2"/>
      </tp>
      <tp t="s">
        <v>#N/A N/A</v>
        <stp/>
        <stp>BDP|10093496433368781337</stp>
        <tr r="G932" s="2"/>
      </tp>
      <tp t="s">
        <v>#N/A N/A</v>
        <stp/>
        <stp>BDP|11174685606168737363</stp>
        <tr r="K2244" s="2"/>
      </tp>
      <tp t="s">
        <v>#N/A N/A</v>
        <stp/>
        <stp>BDP|11527780967024333873</stp>
        <tr r="G742" s="2"/>
      </tp>
      <tp t="s">
        <v>#N/A N/A</v>
        <stp/>
        <stp>BDP|15083476275993940951</stp>
        <tr r="H1348" s="2"/>
      </tp>
      <tp t="s">
        <v>#N/A N/A</v>
        <stp/>
        <stp>BDP|17142935041194873255</stp>
        <tr r="M482" s="2"/>
      </tp>
      <tp t="s">
        <v>#N/A N/A</v>
        <stp/>
        <stp>BDS|11576631690546232492</stp>
        <tr r="I401" s="2"/>
      </tp>
      <tp t="s">
        <v>#N/A N/A</v>
        <stp/>
        <stp>BDP|11772212538485992999</stp>
        <tr r="O1888" s="2"/>
      </tp>
      <tp t="s">
        <v>#N/A N/A</v>
        <stp/>
        <stp>BDP|18169868802748389480</stp>
        <tr r="D2100" s="2"/>
      </tp>
      <tp t="s">
        <v>#N/A N/A</v>
        <stp/>
        <stp>BDP|11572933053653815232</stp>
        <tr r="C1699" s="2"/>
      </tp>
      <tp t="s">
        <v>#N/A N/A</v>
        <stp/>
        <stp>BDP|16203175581523378097</stp>
        <tr r="D1481" s="2"/>
      </tp>
      <tp t="s">
        <v>#N/A N/A</v>
        <stp/>
        <stp>BDP|11049094768582879972</stp>
        <tr r="H2211" s="2"/>
      </tp>
      <tp t="s">
        <v>#N/A N/A</v>
        <stp/>
        <stp>BDP|18118337670217920756</stp>
        <tr r="P1663" s="2"/>
      </tp>
      <tp t="s">
        <v>#N/A N/A</v>
        <stp/>
        <stp>BDP|13332210459389360166</stp>
        <tr r="J1080" s="2"/>
      </tp>
      <tp t="s">
        <v>#N/A N/A</v>
        <stp/>
        <stp>BDP|13887968517572053570</stp>
        <tr r="N1249" s="2"/>
      </tp>
      <tp t="s">
        <v>#N/A N/A</v>
        <stp/>
        <stp>BDS|14961224224618732057</stp>
        <tr r="I439" s="2"/>
      </tp>
      <tp t="s">
        <v>#N/A N/A</v>
        <stp/>
        <stp>BDP|13658189418749085684</stp>
        <tr r="P1939" s="2"/>
      </tp>
      <tp t="s">
        <v>#N/A N/A</v>
        <stp/>
        <stp>BDP|14896472601958669463</stp>
        <tr r="Q1480" s="2"/>
      </tp>
      <tp t="s">
        <v>#N/A N/A</v>
        <stp/>
        <stp>BDP|17677221493495065593</stp>
        <tr r="C1760" s="2"/>
      </tp>
      <tp t="s">
        <v>#N/A N/A</v>
        <stp/>
        <stp>BDS|14118293313439287249</stp>
        <tr r="I1000" s="2"/>
      </tp>
      <tp t="s">
        <v>#N/A N/A</v>
        <stp/>
        <stp>BDP|15478873656960221498</stp>
        <tr r="D180" s="2"/>
      </tp>
      <tp t="s">
        <v>#N/A N/A</v>
        <stp/>
        <stp>BDP|13045452018162728842</stp>
        <tr r="N634" s="2"/>
      </tp>
      <tp t="s">
        <v>#N/A N/A</v>
        <stp/>
        <stp>BDP|13296613084484904509</stp>
        <tr r="P93" s="2"/>
      </tp>
      <tp t="s">
        <v>#N/A N/A</v>
        <stp/>
        <stp>BDP|14728595160652329934</stp>
        <tr r="C472" s="2"/>
      </tp>
      <tp t="s">
        <v>#N/A N/A</v>
        <stp/>
        <stp>BDS|10852640251669575653</stp>
        <tr r="I1979" s="2"/>
      </tp>
      <tp t="s">
        <v>#N/A N/A</v>
        <stp/>
        <stp>BDP|15652902729356421450</stp>
        <tr r="D931" s="2"/>
      </tp>
      <tp t="s">
        <v>#N/A N/A</v>
        <stp/>
        <stp>BDP|11456375161729986159</stp>
        <tr r="G1467" s="2"/>
      </tp>
      <tp t="s">
        <v>#N/A N/A</v>
        <stp/>
        <stp>BDP|17819875052587223115</stp>
        <tr r="R1876" s="2"/>
      </tp>
      <tp t="s">
        <v>#N/A N/A</v>
        <stp/>
        <stp>BDP|11806899231912708495</stp>
        <tr r="J1895" s="2"/>
      </tp>
      <tp t="s">
        <v>#N/A N/A</v>
        <stp/>
        <stp>BDP|10164587933409182358</stp>
        <tr r="M1347" s="2"/>
      </tp>
      <tp t="s">
        <v>#N/A N/A</v>
        <stp/>
        <stp>BDP|15275052634458819255</stp>
        <tr r="F23" s="2"/>
      </tp>
      <tp t="s">
        <v>#N/A N/A</v>
        <stp/>
        <stp>BDP|16648500848762478941</stp>
        <tr r="S1519" s="2"/>
      </tp>
      <tp t="s">
        <v>#N/A N/A</v>
        <stp/>
        <stp>BDP|13890910923034481004</stp>
        <tr r="F1476" s="2"/>
      </tp>
      <tp t="s">
        <v>#N/A N/A</v>
        <stp/>
        <stp>BDP|18235527969075121263</stp>
        <tr r="D318" s="2"/>
      </tp>
      <tp t="s">
        <v>#N/A N/A</v>
        <stp/>
        <stp>BDP|12981320625816460943</stp>
        <tr r="T1492" s="2"/>
      </tp>
      <tp t="s">
        <v>#N/A N/A</v>
        <stp/>
        <stp>BDP|11637195799794869102</stp>
        <tr r="O2136" s="2"/>
      </tp>
      <tp t="s">
        <v>#N/A N/A</v>
        <stp/>
        <stp>BDP|17880938533057243641</stp>
        <tr r="O759" s="2"/>
      </tp>
      <tp t="s">
        <v>#N/A N/A</v>
        <stp/>
        <stp>BDP|11698878202050572582</stp>
        <tr r="R1552" s="2"/>
      </tp>
      <tp t="s">
        <v>#N/A N/A</v>
        <stp/>
        <stp>BDP|11088300296534887301</stp>
        <tr r="T931" s="2"/>
      </tp>
      <tp t="s">
        <v>#N/A N/A</v>
        <stp/>
        <stp>BDP|15993167821943837980</stp>
        <tr r="C220" s="2"/>
      </tp>
      <tp t="s">
        <v>#N/A N/A</v>
        <stp/>
        <stp>BDP|16066212108449739107</stp>
        <tr r="D2225" s="2"/>
      </tp>
      <tp t="s">
        <v>#N/A N/A</v>
        <stp/>
        <stp>BDP|14294722535825956922</stp>
        <tr r="K705" s="2"/>
      </tp>
      <tp t="s">
        <v>#N/A N/A</v>
        <stp/>
        <stp>BDP|12920952863115693482</stp>
        <tr r="T1172" s="2"/>
      </tp>
      <tp t="s">
        <v>#N/A N/A</v>
        <stp/>
        <stp>BDP|13848543446936238897</stp>
        <tr r="R1071" s="2"/>
      </tp>
      <tp t="s">
        <v>#N/A N/A</v>
        <stp/>
        <stp>BDP|17321269388348505992</stp>
        <tr r="F1855" s="2"/>
      </tp>
      <tp t="s">
        <v>#N/A N/A</v>
        <stp/>
        <stp>BDP|13380368814205885883</stp>
        <tr r="K504" s="2"/>
      </tp>
      <tp t="s">
        <v>#N/A N/A</v>
        <stp/>
        <stp>BDP|14685732860098516112</stp>
        <tr r="T784" s="2"/>
      </tp>
      <tp t="s">
        <v>#N/A N/A</v>
        <stp/>
        <stp>BDP|17195439790401590764</stp>
        <tr r="H236" s="2"/>
      </tp>
      <tp t="s">
        <v>#N/A N/A</v>
        <stp/>
        <stp>BDP|12095367199495667184</stp>
        <tr r="F1928" s="2"/>
      </tp>
      <tp t="s">
        <v>#N/A N/A</v>
        <stp/>
        <stp>BDP|13032027302827906884</stp>
        <tr r="O840" s="2"/>
      </tp>
      <tp t="s">
        <v>#N/A N/A</v>
        <stp/>
        <stp>BDP|10889011945400472892</stp>
        <tr r="J1065" s="2"/>
      </tp>
      <tp t="s">
        <v>#N/A N/A</v>
        <stp/>
        <stp>BDP|14189098069439092702</stp>
        <tr r="S1238" s="2"/>
      </tp>
      <tp t="s">
        <v>#N/A N/A</v>
        <stp/>
        <stp>BDP|11798123902068242441</stp>
        <tr r="P2068" s="2"/>
      </tp>
      <tp t="s">
        <v>#N/A N/A</v>
        <stp/>
        <stp>BDP|10472900743786579738</stp>
        <tr r="C1913" s="2"/>
      </tp>
      <tp t="s">
        <v>#N/A N/A</v>
        <stp/>
        <stp>BDP|10054301081907673065</stp>
        <tr r="H683" s="2"/>
      </tp>
      <tp t="s">
        <v>#N/A N/A</v>
        <stp/>
        <stp>BDP|10842764954459932729</stp>
        <tr r="C1162" s="2"/>
      </tp>
      <tp t="s">
        <v>#N/A N/A</v>
        <stp/>
        <stp>BDP|15819991373973074430</stp>
        <tr r="G195" s="2"/>
      </tp>
      <tp t="s">
        <v>#N/A N/A</v>
        <stp/>
        <stp>BDP|11797926542323526330</stp>
        <tr r="D1289" s="2"/>
      </tp>
      <tp t="s">
        <v>#N/A N/A</v>
        <stp/>
        <stp>BDP|12170971524913066637</stp>
        <tr r="P704" s="2"/>
      </tp>
      <tp t="s">
        <v>#N/A N/A</v>
        <stp/>
        <stp>BDP|10045810273286237519</stp>
        <tr r="O1909" s="2"/>
      </tp>
      <tp t="s">
        <v>#N/A N/A</v>
        <stp/>
        <stp>BDP|17105582699703308429</stp>
        <tr r="T325" s="2"/>
      </tp>
      <tp t="s">
        <v>#N/A N/A</v>
        <stp/>
        <stp>BDP|17380556674849238019</stp>
        <tr r="N1179" s="2"/>
      </tp>
      <tp t="s">
        <v>#N/A N/A</v>
        <stp/>
        <stp>BDP|11700965337267631018</stp>
        <tr r="H1536" s="2"/>
      </tp>
      <tp t="s">
        <v>#N/A N/A</v>
        <stp/>
        <stp>BDP|14333768370800571818</stp>
        <tr r="E654" s="2"/>
      </tp>
      <tp t="s">
        <v>#N/A N/A</v>
        <stp/>
        <stp>BDP|14979803030994083789</stp>
        <tr r="M890" s="2"/>
      </tp>
      <tp t="s">
        <v>#N/A N/A</v>
        <stp/>
        <stp>BDP|15041970096690610960</stp>
        <tr r="D893" s="2"/>
      </tp>
      <tp t="s">
        <v>#N/A N/A</v>
        <stp/>
        <stp>BDP|14483682904646964809</stp>
        <tr r="K264" s="2"/>
      </tp>
      <tp t="s">
        <v>#N/A N/A</v>
        <stp/>
        <stp>BDP|15195338476428209576</stp>
        <tr r="F235" s="2"/>
      </tp>
      <tp t="s">
        <v>#N/A N/A</v>
        <stp/>
        <stp>BDP|17704301551229609410</stp>
        <tr r="P1625" s="2"/>
      </tp>
      <tp t="s">
        <v>#N/A N/A</v>
        <stp/>
        <stp>BDP|12950297296665779001</stp>
        <tr r="S625" s="2"/>
      </tp>
      <tp t="s">
        <v>#N/A N/A</v>
        <stp/>
        <stp>BDP|17149664122278103750</stp>
        <tr r="C1257" s="2"/>
      </tp>
      <tp t="s">
        <v>#N/A N/A</v>
        <stp/>
        <stp>BDP|12340590701088966330</stp>
        <tr r="Q1032" s="2"/>
      </tp>
      <tp t="s">
        <v>#N/A N/A</v>
        <stp/>
        <stp>BDP|12553816413195357255</stp>
        <tr r="S970" s="2"/>
      </tp>
      <tp t="s">
        <v>#N/A N/A</v>
        <stp/>
        <stp>BDP|16300645453381245870</stp>
        <tr r="C345" s="2"/>
      </tp>
      <tp t="s">
        <v>#N/A N/A</v>
        <stp/>
        <stp>BDP|12535044477210264951</stp>
        <tr r="C881" s="2"/>
      </tp>
      <tp t="s">
        <v>#N/A N/A</v>
        <stp/>
        <stp>BDP|14690969783730725957</stp>
        <tr r="Q921" s="2"/>
      </tp>
      <tp t="s">
        <v>#N/A N/A</v>
        <stp/>
        <stp>BDP|17577810740251669632</stp>
        <tr r="G206" s="2"/>
      </tp>
      <tp t="s">
        <v>#N/A N/A</v>
        <stp/>
        <stp>BDP|10763451367716788839</stp>
        <tr r="D2092" s="2"/>
      </tp>
      <tp t="s">
        <v>#N/A N/A</v>
        <stp/>
        <stp>BDP|13500531899403603084</stp>
        <tr r="S1360" s="2"/>
      </tp>
      <tp t="s">
        <v>#N/A N/A</v>
        <stp/>
        <stp>BDP|15358607407168119743</stp>
        <tr r="G1773" s="2"/>
      </tp>
      <tp t="s">
        <v>#N/A N/A</v>
        <stp/>
        <stp>BDP|16068883324115569583</stp>
        <tr r="J369" s="2"/>
      </tp>
      <tp t="s">
        <v>#N/A N/A</v>
        <stp/>
        <stp>BDP|10714315374621029930</stp>
        <tr r="N1146" s="2"/>
      </tp>
      <tp t="s">
        <v>#N/A N/A</v>
        <stp/>
        <stp>BDP|16436883008886010459</stp>
        <tr r="E1831" s="2"/>
      </tp>
      <tp t="s">
        <v>#N/A N/A</v>
        <stp/>
        <stp>BDP|17652943531763468267</stp>
        <tr r="E1787" s="2"/>
      </tp>
      <tp t="s">
        <v>#N/A N/A</v>
        <stp/>
        <stp>BDP|13044167391042349557</stp>
        <tr r="C2144" s="2"/>
      </tp>
      <tp t="s">
        <v>#N/A N/A</v>
        <stp/>
        <stp>BDP|13308919135130608508</stp>
        <tr r="T1010" s="2"/>
      </tp>
      <tp t="s">
        <v>#N/A N/A</v>
        <stp/>
        <stp>BDP|14153989081888169182</stp>
        <tr r="M81" s="2"/>
      </tp>
      <tp t="s">
        <v>#N/A N/A</v>
        <stp/>
        <stp>BDP|16570688498614379179</stp>
        <tr r="C904" s="2"/>
      </tp>
      <tp t="s">
        <v>#N/A N/A</v>
        <stp/>
        <stp>BDP|15768584587575912101</stp>
        <tr r="T2127" s="2"/>
      </tp>
      <tp t="s">
        <v>#N/A N/A</v>
        <stp/>
        <stp>BDP|17849997555850541708</stp>
        <tr r="A1468" s="2"/>
      </tp>
      <tp t="s">
        <v>#N/A N/A</v>
        <stp/>
        <stp>BDP|10744865705053640732</stp>
        <tr r="T710" s="2"/>
      </tp>
      <tp t="s">
        <v>#N/A N/A</v>
        <stp/>
        <stp>BDP|14660156782651870086</stp>
        <tr r="C1535" s="2"/>
      </tp>
      <tp t="s">
        <v>#N/A N/A</v>
        <stp/>
        <stp>BDP|10906635390441839234</stp>
        <tr r="T127" s="2"/>
      </tp>
      <tp t="s">
        <v>#N/A N/A</v>
        <stp/>
        <stp>BDP|14374160195823886391</stp>
        <tr r="G197" s="2"/>
      </tp>
      <tp t="s">
        <v>#N/A N/A</v>
        <stp/>
        <stp>BDP|16926021330431877826</stp>
        <tr r="K424" s="2"/>
      </tp>
      <tp t="s">
        <v>#N/A N/A</v>
        <stp/>
        <stp>BDP|13276170101866403819</stp>
        <tr r="K1746" s="2"/>
      </tp>
      <tp t="s">
        <v>#N/A N/A</v>
        <stp/>
        <stp>BDP|15968463260463963872</stp>
        <tr r="N1517" s="2"/>
      </tp>
      <tp t="s">
        <v>#N/A N/A</v>
        <stp/>
        <stp>BDP|17438638414869633545</stp>
        <tr r="A387" s="2"/>
      </tp>
      <tp t="s">
        <v>#N/A N/A</v>
        <stp/>
        <stp>BDP|18001755170803095741</stp>
        <tr r="N836" s="2"/>
      </tp>
      <tp t="s">
        <v>#N/A N/A</v>
        <stp/>
        <stp>BDP|18053989674379891353</stp>
        <tr r="R163" s="2"/>
      </tp>
      <tp t="s">
        <v>#N/A N/A</v>
        <stp/>
        <stp>BDP|15021881032495366785</stp>
        <tr r="N429" s="2"/>
      </tp>
      <tp t="s">
        <v>#N/A N/A</v>
        <stp/>
        <stp>BDP|14279114682621394038</stp>
        <tr r="E541" s="2"/>
      </tp>
      <tp t="s">
        <v>#N/A N/A</v>
        <stp/>
        <stp>BDP|11602090363183953840</stp>
        <tr r="R820" s="2"/>
      </tp>
      <tp t="s">
        <v>#N/A N/A</v>
        <stp/>
        <stp>BDP|10606336319289569786</stp>
        <tr r="E1500" s="2"/>
      </tp>
      <tp t="s">
        <v>#N/A N/A</v>
        <stp/>
        <stp>BDP|11249573686847563762</stp>
        <tr r="K1298" s="2"/>
      </tp>
      <tp t="s">
        <v>#N/A N/A</v>
        <stp/>
        <stp>BDP|14533416541250084854</stp>
        <tr r="K1337" s="2"/>
      </tp>
      <tp t="s">
        <v>#N/A N/A</v>
        <stp/>
        <stp>BDP|15487931055353014620</stp>
        <tr r="C1673" s="2"/>
      </tp>
      <tp t="s">
        <v>#N/A N/A</v>
        <stp/>
        <stp>BDP|13774039537799328500</stp>
        <tr r="P2243" s="2"/>
      </tp>
      <tp t="s">
        <v>#N/A N/A</v>
        <stp/>
        <stp>BDP|12550450527750002879</stp>
        <tr r="F150" s="2"/>
      </tp>
      <tp t="s">
        <v>#N/A N/A</v>
        <stp/>
        <stp>BDP|14681246150799635640</stp>
        <tr r="T1080" s="2"/>
      </tp>
      <tp t="s">
        <v>#N/A N/A</v>
        <stp/>
        <stp>BDP|14029894060996079092</stp>
        <tr r="D144" s="2"/>
      </tp>
      <tp t="s">
        <v>#N/A N/A</v>
        <stp/>
        <stp>BDP|13246651033978639225</stp>
        <tr r="G1113" s="2"/>
      </tp>
      <tp t="s">
        <v>#N/A N/A</v>
        <stp/>
        <stp>BDP|10198430768066978834</stp>
        <tr r="Q2080" s="2"/>
      </tp>
      <tp t="s">
        <v>#N/A N/A</v>
        <stp/>
        <stp>BDP|13826825965719907869</stp>
        <tr r="M596" s="2"/>
      </tp>
      <tp t="s">
        <v>#N/A N/A</v>
        <stp/>
        <stp>BDP|15597055993525337503</stp>
        <tr r="C936" s="2"/>
      </tp>
      <tp t="s">
        <v>#N/A N/A</v>
        <stp/>
        <stp>BDP|13050594362139305589</stp>
        <tr r="T1176" s="2"/>
      </tp>
      <tp t="s">
        <v>#N/A N/A</v>
        <stp/>
        <stp>BDP|18274044613075722028</stp>
        <tr r="P2167" s="2"/>
      </tp>
      <tp t="s">
        <v>#N/A N/A</v>
        <stp/>
        <stp>BDP|11114277131709293551</stp>
        <tr r="T419" s="2"/>
      </tp>
      <tp t="s">
        <v>#N/A N/A</v>
        <stp/>
        <stp>BDP|11960282981754621369</stp>
        <tr r="C61" s="2"/>
      </tp>
      <tp t="s">
        <v>#N/A N/A</v>
        <stp/>
        <stp>BDP|17271388099141678051</stp>
        <tr r="D650" s="2"/>
      </tp>
      <tp t="s">
        <v>#N/A N/A</v>
        <stp/>
        <stp>BDP|12963958368899485806</stp>
        <tr r="F1092" s="2"/>
      </tp>
      <tp t="s">
        <v>#N/A N/A</v>
        <stp/>
        <stp>BDP|16249548154258702256</stp>
        <tr r="M1812" s="2"/>
      </tp>
      <tp t="s">
        <v>#N/A N/A</v>
        <stp/>
        <stp>BDP|15880380695692606136</stp>
        <tr r="G853" s="2"/>
      </tp>
      <tp t="s">
        <v>#N/A N/A</v>
        <stp/>
        <stp>BDP|13112887935900543494</stp>
        <tr r="D160" s="2"/>
      </tp>
      <tp t="s">
        <v>#N/A N/A</v>
        <stp/>
        <stp>BDP|17781449782551330628</stp>
        <tr r="S1136" s="2"/>
      </tp>
      <tp t="s">
        <v>#N/A N/A</v>
        <stp/>
        <stp>BDP|11443086041851974842</stp>
        <tr r="A2018" s="2"/>
      </tp>
      <tp t="s">
        <v>#N/A N/A</v>
        <stp/>
        <stp>BDP|11454334953808211366</stp>
        <tr r="T1439" s="2"/>
      </tp>
      <tp t="s">
        <v>#N/A N/A</v>
        <stp/>
        <stp>BDP|14364091071596386984</stp>
        <tr r="H1294" s="2"/>
      </tp>
      <tp t="s">
        <v>#N/A N/A</v>
        <stp/>
        <stp>BDP|14649238099023821040</stp>
        <tr r="S1091" s="2"/>
      </tp>
      <tp t="s">
        <v>#N/A N/A</v>
        <stp/>
        <stp>BDP|15103826280790372908</stp>
        <tr r="P1530" s="2"/>
      </tp>
      <tp t="s">
        <v>#N/A N/A</v>
        <stp/>
        <stp>BDP|11526029049219704097</stp>
        <tr r="C880" s="2"/>
      </tp>
      <tp t="s">
        <v>#N/A N/A</v>
        <stp/>
        <stp>BDP|16394575085004641375</stp>
        <tr r="N1949" s="2"/>
      </tp>
      <tp t="s">
        <v>#N/A N/A</v>
        <stp/>
        <stp>BDP|16820809354613462486</stp>
        <tr r="D2" s="2"/>
      </tp>
      <tp t="s">
        <v>#N/A N/A</v>
        <stp/>
        <stp>BDP|15616948661510532662</stp>
        <tr r="S786" s="2"/>
      </tp>
      <tp t="s">
        <v>#N/A N/A</v>
        <stp/>
        <stp>BDP|11000655517933682948</stp>
        <tr r="N1847" s="2"/>
      </tp>
      <tp t="s">
        <v>#N/A N/A</v>
        <stp/>
        <stp>BDP|15412979564625556327</stp>
        <tr r="N252" s="2"/>
      </tp>
      <tp t="s">
        <v>#N/A N/A</v>
        <stp/>
        <stp>BDP|13073168402066123851</stp>
        <tr r="S2093" s="2"/>
      </tp>
      <tp t="s">
        <v>#N/A N/A</v>
        <stp/>
        <stp>BDP|14186823303737684768</stp>
        <tr r="C2117" s="2"/>
      </tp>
      <tp t="s">
        <v>#N/A N/A</v>
        <stp/>
        <stp>BDP|16048212916190415935</stp>
        <tr r="H110" s="2"/>
      </tp>
      <tp t="s">
        <v>#N/A N/A</v>
        <stp/>
        <stp>BDP|18061910496982642618</stp>
        <tr r="P872" s="2"/>
      </tp>
      <tp t="s">
        <v>#N/A N/A</v>
        <stp/>
        <stp>BDP|11252403993505643574</stp>
        <tr r="G212" s="2"/>
      </tp>
      <tp t="s">
        <v>#N/A N/A</v>
        <stp/>
        <stp>BDP|18153027763571138317</stp>
        <tr r="J493" s="2"/>
      </tp>
      <tp t="s">
        <v>#N/A N/A</v>
        <stp/>
        <stp>BDP|12140440682003773100</stp>
        <tr r="N298" s="2"/>
      </tp>
      <tp t="s">
        <v>#N/A N/A</v>
        <stp/>
        <stp>BDP|10603718580924270755</stp>
        <tr r="Q2058" s="2"/>
      </tp>
      <tp t="s">
        <v>#N/A N/A</v>
        <stp/>
        <stp>BDP|10325527561929575658</stp>
        <tr r="S2064" s="2"/>
      </tp>
      <tp t="s">
        <v>#N/A N/A</v>
        <stp/>
        <stp>BDP|14096860069801725780</stp>
        <tr r="Q1069" s="2"/>
      </tp>
      <tp t="s">
        <v>#N/A N/A</v>
        <stp/>
        <stp>BDP|14394937231864143601</stp>
        <tr r="E1828" s="2"/>
      </tp>
      <tp t="s">
        <v>#N/A N/A</v>
        <stp/>
        <stp>BDP|16216142563519660433</stp>
        <tr r="R1143" s="2"/>
      </tp>
      <tp t="s">
        <v>#N/A N/A</v>
        <stp/>
        <stp>BDP|11336089812479954509</stp>
        <tr r="F500" s="2"/>
      </tp>
      <tp t="s">
        <v>#N/A N/A</v>
        <stp/>
        <stp>BDP|16578246381013247327</stp>
        <tr r="R1241" s="2"/>
      </tp>
      <tp t="s">
        <v>#N/A N/A</v>
        <stp/>
        <stp>BDP|10736763841069374635</stp>
        <tr r="G842" s="2"/>
      </tp>
      <tp t="s">
        <v>#N/A N/A</v>
        <stp/>
        <stp>BDP|14922453435986830919</stp>
        <tr r="H1693" s="2"/>
      </tp>
      <tp t="s">
        <v>#N/A N/A</v>
        <stp/>
        <stp>BDS|17920557163839469189</stp>
        <tr r="I2146" s="2"/>
      </tp>
      <tp t="s">
        <v>#N/A N/A</v>
        <stp/>
        <stp>BDP|13096095788037667078</stp>
        <tr r="J543" s="2"/>
      </tp>
      <tp t="s">
        <v>#N/A N/A</v>
        <stp/>
        <stp>BDP|14357453607664740866</stp>
        <tr r="J126" s="2"/>
      </tp>
      <tp t="s">
        <v>#N/A N/A</v>
        <stp/>
        <stp>BDP|13793901953814268764</stp>
        <tr r="F1109" s="2"/>
      </tp>
      <tp t="s">
        <v>#N/A N/A</v>
        <stp/>
        <stp>BDS|17203497699585870394</stp>
        <tr r="I191" s="2"/>
      </tp>
      <tp t="s">
        <v>#N/A N/A</v>
        <stp/>
        <stp>BDP|16175227499348941936</stp>
        <tr r="R2246" s="2"/>
      </tp>
      <tp t="s">
        <v>#N/A N/A</v>
        <stp/>
        <stp>BDP|17125953592429704214</stp>
        <tr r="G1609" s="2"/>
      </tp>
      <tp t="s">
        <v>#N/A N/A</v>
        <stp/>
        <stp>BDP|12867491812702072937</stp>
        <tr r="O231" s="2"/>
      </tp>
      <tp t="s">
        <v>#N/A N/A</v>
        <stp/>
        <stp>BDP|14629217171558190579</stp>
        <tr r="R341" s="2"/>
      </tp>
      <tp t="s">
        <v>#N/A N/A</v>
        <stp/>
        <stp>BDP|10958725778075774947</stp>
        <tr r="D237" s="2"/>
      </tp>
      <tp t="s">
        <v>#N/A N/A</v>
        <stp/>
        <stp>BDP|17121694166493836861</stp>
        <tr r="D700" s="2"/>
      </tp>
      <tp t="s">
        <v>#N/A N/A</v>
        <stp/>
        <stp>BDP|18054712729984962518</stp>
        <tr r="E1619" s="2"/>
      </tp>
      <tp t="s">
        <v>#N/A N/A</v>
        <stp/>
        <stp>BDP|12525264946268212075</stp>
        <tr r="M1136" s="2"/>
      </tp>
      <tp t="s">
        <v>#N/A N/A</v>
        <stp/>
        <stp>BDP|12725392964058903330</stp>
        <tr r="Q1783" s="2"/>
      </tp>
      <tp t="s">
        <v>#N/A N/A</v>
        <stp/>
        <stp>BDP|14465352321268800186</stp>
        <tr r="G2224" s="2"/>
      </tp>
      <tp t="s">
        <v>#N/A N/A</v>
        <stp/>
        <stp>BDS|16390729666042170957</stp>
        <tr r="I270" s="2"/>
      </tp>
      <tp t="s">
        <v>#N/A N/A</v>
        <stp/>
        <stp>BDP|16796458255789722203</stp>
        <tr r="T770" s="2"/>
      </tp>
      <tp t="s">
        <v>#N/A N/A</v>
        <stp/>
        <stp>BDP|11663536017321758851</stp>
        <tr r="T602" s="2"/>
      </tp>
      <tp t="s">
        <v>#N/A N/A</v>
        <stp/>
        <stp>BDP|14176602586637034177</stp>
        <tr r="T289" s="2"/>
      </tp>
      <tp t="s">
        <v>#N/A N/A</v>
        <stp/>
        <stp>BDP|17007113085033534117</stp>
        <tr r="T2149" s="2"/>
      </tp>
      <tp t="s">
        <v>#N/A N/A</v>
        <stp/>
        <stp>BDP|15700762297615300253</stp>
        <tr r="Q121" s="2"/>
      </tp>
      <tp t="s">
        <v>#N/A N/A</v>
        <stp/>
        <stp>BDP|18441555286279567022</stp>
        <tr r="J400" s="2"/>
      </tp>
      <tp t="s">
        <v>#N/A N/A</v>
        <stp/>
        <stp>BDP|12332851943726615432</stp>
        <tr r="A1651" s="2"/>
      </tp>
      <tp t="s">
        <v>#N/A N/A</v>
        <stp/>
        <stp>BDP|16134266955275465867</stp>
        <tr r="R1379" s="2"/>
      </tp>
      <tp t="s">
        <v>#N/A N/A</v>
        <stp/>
        <stp>BDP|12848067893641513682</stp>
        <tr r="D2178" s="2"/>
      </tp>
      <tp t="s">
        <v>#N/A N/A</v>
        <stp/>
        <stp>BDP|15921796081150322621</stp>
        <tr r="G351" s="2"/>
      </tp>
      <tp t="s">
        <v>#N/A N/A</v>
        <stp/>
        <stp>BDP|13612212101629322451</stp>
        <tr r="M2186" s="2"/>
      </tp>
      <tp t="s">
        <v>#N/A N/A</v>
        <stp/>
        <stp>BDP|15064609484101792631</stp>
        <tr r="D1965" s="2"/>
      </tp>
      <tp t="s">
        <v>#N/A N/A</v>
        <stp/>
        <stp>BDP|15271810443010906591</stp>
        <tr r="F934" s="2"/>
      </tp>
      <tp t="s">
        <v>#N/A N/A</v>
        <stp/>
        <stp>BDP|11205015292556647271</stp>
        <tr r="C81" s="2"/>
      </tp>
      <tp t="s">
        <v>#N/A N/A</v>
        <stp/>
        <stp>BDP|10472762515163201951</stp>
        <tr r="A407" s="2"/>
      </tp>
      <tp t="s">
        <v>#N/A N/A</v>
        <stp/>
        <stp>BDP|13939800168704205530</stp>
        <tr r="Q1779" s="2"/>
      </tp>
      <tp t="s">
        <v>#N/A N/A</v>
        <stp/>
        <stp>BDS|11009320451622624960</stp>
        <tr r="I1781" s="2"/>
      </tp>
      <tp t="s">
        <v>#N/A N/A</v>
        <stp/>
        <stp>BDP|18353200836496737326</stp>
        <tr r="F1726" s="2"/>
      </tp>
      <tp t="s">
        <v>#N/A N/A</v>
        <stp/>
        <stp>BDP|13765766003280269800</stp>
        <tr r="K1479" s="2"/>
      </tp>
      <tp t="s">
        <v>#N/A N/A</v>
        <stp/>
        <stp>BDP|13301363865073619966</stp>
        <tr r="G630" s="2"/>
      </tp>
      <tp t="s">
        <v>#N/A N/A</v>
        <stp/>
        <stp>BDP|16628326968148907751</stp>
        <tr r="P1183" s="2"/>
      </tp>
      <tp t="s">
        <v>#N/A N/A</v>
        <stp/>
        <stp>BDP|10122810247433494304</stp>
        <tr r="S2127" s="2"/>
      </tp>
      <tp t="s">
        <v>#N/A N/A</v>
        <stp/>
        <stp>BDP|14175814952285332029</stp>
        <tr r="R379" s="2"/>
      </tp>
      <tp t="s">
        <v>#N/A N/A</v>
        <stp/>
        <stp>BDP|11178998307522948655</stp>
        <tr r="P1483" s="2"/>
      </tp>
      <tp t="s">
        <v>#N/A N/A</v>
        <stp/>
        <stp>BDP|12424877009861112787</stp>
        <tr r="Q929" s="2"/>
      </tp>
      <tp t="s">
        <v>#N/A N/A</v>
        <stp/>
        <stp>BDP|13332053910306389860</stp>
        <tr r="P1112" s="2"/>
      </tp>
      <tp t="s">
        <v>#N/A N/A</v>
        <stp/>
        <stp>BDP|16326102333008598063</stp>
        <tr r="H267" s="2"/>
      </tp>
      <tp t="s">
        <v>#N/A N/A</v>
        <stp/>
        <stp>BDP|18362279931165452021</stp>
        <tr r="H936" s="2"/>
      </tp>
      <tp t="s">
        <v>#N/A N/A</v>
        <stp/>
        <stp>BDP|16280840658033414493</stp>
        <tr r="S1220" s="2"/>
      </tp>
      <tp t="s">
        <v>#N/A N/A</v>
        <stp/>
        <stp>BDP|13883876439204117047</stp>
        <tr r="A810" s="2"/>
      </tp>
      <tp t="s">
        <v>#N/A N/A</v>
        <stp/>
        <stp>BDP|17640034429821964864</stp>
        <tr r="D2211" s="2"/>
      </tp>
      <tp t="s">
        <v>#N/A N/A</v>
        <stp/>
        <stp>BDP|17745028004003757853</stp>
        <tr r="S576" s="2"/>
      </tp>
      <tp t="s">
        <v>#N/A N/A</v>
        <stp/>
        <stp>BDP|17777816132401388144</stp>
        <tr r="C352" s="2"/>
      </tp>
      <tp t="s">
        <v>#N/A N/A</v>
        <stp/>
        <stp>BDP|11657276814626256849</stp>
        <tr r="K1451" s="2"/>
      </tp>
      <tp t="s">
        <v>#N/A N/A</v>
        <stp/>
        <stp>BDP|10319463296480877188</stp>
        <tr r="J283" s="2"/>
      </tp>
      <tp t="s">
        <v>#N/A N/A</v>
        <stp/>
        <stp>BDP|11727329692906182153</stp>
        <tr r="H258" s="2"/>
      </tp>
      <tp t="s">
        <v>#N/A N/A</v>
        <stp/>
        <stp>BDS|12397265070008175342</stp>
        <tr r="I1606" s="2"/>
      </tp>
      <tp t="s">
        <v>#N/A N/A</v>
        <stp/>
        <stp>BDP|17099873640350454704</stp>
        <tr r="D1989" s="2"/>
      </tp>
      <tp t="s">
        <v>#N/A N/A</v>
        <stp/>
        <stp>BDS|11716198349430738806</stp>
        <tr r="I1708" s="2"/>
      </tp>
      <tp t="s">
        <v>#N/A N/A</v>
        <stp/>
        <stp>BDP|16138896206826930446</stp>
        <tr r="G2169" s="2"/>
      </tp>
      <tp t="s">
        <v>#N/A N/A</v>
        <stp/>
        <stp>BDP|16335832062267588343</stp>
        <tr r="N1448" s="2"/>
      </tp>
      <tp t="s">
        <v>#N/A N/A</v>
        <stp/>
        <stp>BDS|16273919901575267605</stp>
        <tr r="I1817" s="2"/>
      </tp>
      <tp t="s">
        <v>#N/A N/A</v>
        <stp/>
        <stp>BDP|10614802374400370328</stp>
        <tr r="R666" s="2"/>
      </tp>
      <tp t="s">
        <v>#N/A N/A</v>
        <stp/>
        <stp>BDP|13869007553582092885</stp>
        <tr r="G24" s="2"/>
      </tp>
      <tp t="s">
        <v>#N/A N/A</v>
        <stp/>
        <stp>BDP|16599162465788379564</stp>
        <tr r="S2241" s="2"/>
      </tp>
      <tp t="s">
        <v>#N/A N/A</v>
        <stp/>
        <stp>BDP|17632515892651361659</stp>
        <tr r="M739" s="2"/>
      </tp>
      <tp t="s">
        <v>#N/A N/A</v>
        <stp/>
        <stp>BDP|15960637860589899012</stp>
        <tr r="K1361" s="2"/>
      </tp>
      <tp t="s">
        <v>#N/A N/A</v>
        <stp/>
        <stp>BDP|16338959276725221110</stp>
        <tr r="D352" s="2"/>
      </tp>
      <tp t="s">
        <v>#N/A N/A</v>
        <stp/>
        <stp>BDP|15751912752550048579</stp>
        <tr r="S585" s="2"/>
      </tp>
      <tp t="s">
        <v>#N/A N/A</v>
        <stp/>
        <stp>BDP|15108234214329492311</stp>
        <tr r="C935" s="2"/>
      </tp>
      <tp t="s">
        <v>#N/A N/A</v>
        <stp/>
        <stp>BDP|11883682003858543359</stp>
        <tr r="E1030" s="2"/>
      </tp>
      <tp t="s">
        <v>#N/A N/A</v>
        <stp/>
        <stp>BDP|18003431409207942708</stp>
        <tr r="A452" s="2"/>
      </tp>
      <tp t="s">
        <v>#N/A N/A</v>
        <stp/>
        <stp>BDP|10427774375109192541</stp>
        <tr r="R2118" s="2"/>
      </tp>
      <tp t="s">
        <v>#N/A N/A</v>
        <stp/>
        <stp>BDP|14724545701805921882</stp>
        <tr r="O969" s="2"/>
      </tp>
      <tp t="s">
        <v>#N/A N/A</v>
        <stp/>
        <stp>BDP|12570247967929205377</stp>
        <tr r="G1352" s="2"/>
      </tp>
      <tp t="s">
        <v>#N/A N/A</v>
        <stp/>
        <stp>BDP|18260062952808606931</stp>
        <tr r="J1668" s="2"/>
      </tp>
      <tp t="s">
        <v>#N/A N/A</v>
        <stp/>
        <stp>BDP|13580831736787217312</stp>
        <tr r="H971" s="2"/>
      </tp>
      <tp t="s">
        <v>#N/A N/A</v>
        <stp/>
        <stp>BDP|15975285681000589367</stp>
        <tr r="K1681" s="2"/>
      </tp>
      <tp t="s">
        <v>#N/A N/A</v>
        <stp/>
        <stp>BDP|11538706210408386355</stp>
        <tr r="F44" s="2"/>
      </tp>
      <tp t="s">
        <v>#N/A N/A</v>
        <stp/>
        <stp>BDP|12586603695045038434</stp>
        <tr r="T1934" s="2"/>
      </tp>
      <tp t="s">
        <v>#N/A N/A</v>
        <stp/>
        <stp>BDP|13799677423032367934</stp>
        <tr r="P1169" s="2"/>
      </tp>
      <tp t="s">
        <v>#N/A N/A</v>
        <stp/>
        <stp>BDS|17957506301396057889</stp>
        <tr r="I1021" s="2"/>
      </tp>
      <tp t="s">
        <v>#N/A N/A</v>
        <stp/>
        <stp>BDP|15683725431005533832</stp>
        <tr r="R1146" s="2"/>
      </tp>
      <tp t="s">
        <v>#N/A N/A</v>
        <stp/>
        <stp>BDP|16315802267264495034</stp>
        <tr r="T738" s="2"/>
      </tp>
      <tp t="s">
        <v>#N/A N/A</v>
        <stp/>
        <stp>BDP|11035413434813557931</stp>
        <tr r="T1825" s="2"/>
      </tp>
      <tp t="s">
        <v>#N/A N/A</v>
        <stp/>
        <stp>BDP|14737630596542581542</stp>
        <tr r="G163" s="2"/>
      </tp>
      <tp t="s">
        <v>#N/A N/A</v>
        <stp/>
        <stp>BDP|14286656057282791946</stp>
        <tr r="R1781" s="2"/>
      </tp>
      <tp t="s">
        <v>#N/A N/A</v>
        <stp/>
        <stp>BDP|18402013917632337725</stp>
        <tr r="K423" s="2"/>
      </tp>
      <tp t="s">
        <v>#N/A N/A</v>
        <stp/>
        <stp>BDP|12218792745548461593</stp>
        <tr r="A501" s="2"/>
      </tp>
      <tp t="s">
        <v>#N/A N/A</v>
        <stp/>
        <stp>BDP|16135614934358073770</stp>
        <tr r="Q2233" s="2"/>
      </tp>
      <tp t="s">
        <v>#N/A N/A</v>
        <stp/>
        <stp>BDP|11314054798614870057</stp>
        <tr r="D1164" s="2"/>
      </tp>
      <tp t="s">
        <v>#N/A N/A</v>
        <stp/>
        <stp>BDP|13449770514201371873</stp>
        <tr r="G729" s="2"/>
      </tp>
      <tp t="s">
        <v>#N/A N/A</v>
        <stp/>
        <stp>BDP|13808551065138950427</stp>
        <tr r="E8" s="2"/>
      </tp>
      <tp t="s">
        <v>#N/A N/A</v>
        <stp/>
        <stp>BDP|18045075422427738114</stp>
        <tr r="K1172" s="2"/>
      </tp>
      <tp t="s">
        <v>#N/A N/A</v>
        <stp/>
        <stp>BDP|14273654608746417887</stp>
        <tr r="D1426" s="2"/>
      </tp>
      <tp t="s">
        <v>#N/A N/A</v>
        <stp/>
        <stp>BDP|15713438392511477519</stp>
        <tr r="P1584" s="2"/>
      </tp>
      <tp t="s">
        <v>#N/A N/A</v>
        <stp/>
        <stp>BDP|14656001795429613863</stp>
        <tr r="H959" s="2"/>
      </tp>
      <tp t="s">
        <v>#N/A N/A</v>
        <stp/>
        <stp>BDP|10996928244669849842</stp>
        <tr r="S389" s="2"/>
      </tp>
      <tp t="s">
        <v>#N/A N/A</v>
        <stp/>
        <stp>BDP|11264159969433994943</stp>
        <tr r="A1509" s="2"/>
      </tp>
      <tp t="s">
        <v>#N/A N/A</v>
        <stp/>
        <stp>BDP|17175269665516435959</stp>
        <tr r="N1202" s="2"/>
      </tp>
      <tp t="s">
        <v>#N/A N/A</v>
        <stp/>
        <stp>BDP|17900384484925541538</stp>
        <tr r="H2102" s="2"/>
      </tp>
      <tp t="s">
        <v>#N/A N/A</v>
        <stp/>
        <stp>BDP|14746353190670052215</stp>
        <tr r="N222" s="2"/>
      </tp>
      <tp t="s">
        <v>#N/A N/A</v>
        <stp/>
        <stp>BDP|17318826612044705677</stp>
        <tr r="F841" s="2"/>
      </tp>
      <tp t="s">
        <v>#N/A N/A</v>
        <stp/>
        <stp>BDP|11323240094185312332</stp>
        <tr r="T365" s="2"/>
      </tp>
      <tp t="s">
        <v>#N/A N/A</v>
        <stp/>
        <stp>BDS|11467741936141742812</stp>
        <tr r="I1674" s="2"/>
      </tp>
      <tp t="s">
        <v>#N/A N/A</v>
        <stp/>
        <stp>BDP|17897085163749299422</stp>
        <tr r="Q1912" s="2"/>
      </tp>
      <tp t="s">
        <v>#N/A N/A</v>
        <stp/>
        <stp>BDP|11540227013799373743</stp>
        <tr r="P986" s="2"/>
      </tp>
      <tp t="s">
        <v>#N/A N/A</v>
        <stp/>
        <stp>BDP|13385121344063085961</stp>
        <tr r="J1315" s="2"/>
      </tp>
      <tp t="s">
        <v>#N/A N/A</v>
        <stp/>
        <stp>BDP|17707242788652917315</stp>
        <tr r="P114" s="2"/>
      </tp>
      <tp t="s">
        <v>#N/A N/A</v>
        <stp/>
        <stp>BDP|11736876518680901424</stp>
        <tr r="S1448" s="2"/>
      </tp>
      <tp t="s">
        <v>#N/A N/A</v>
        <stp/>
        <stp>BDP|12988598654679123763</stp>
        <tr r="T698" s="2"/>
      </tp>
      <tp t="s">
        <v>#N/A N/A</v>
        <stp/>
        <stp>BDP|17403997708091357355</stp>
        <tr r="P1950" s="2"/>
      </tp>
      <tp t="s">
        <v>#N/A N/A</v>
        <stp/>
        <stp>BDP|14657712404676261920</stp>
        <tr r="M583" s="2"/>
      </tp>
      <tp t="s">
        <v>#N/A N/A</v>
        <stp/>
        <stp>BDP|15342008199417896716</stp>
        <tr r="M1426" s="2"/>
      </tp>
      <tp t="s">
        <v>#N/A N/A</v>
        <stp/>
        <stp>BDP|10543852304656646213</stp>
        <tr r="A1352" s="2"/>
      </tp>
      <tp t="s">
        <v>#N/A N/A</v>
        <stp/>
        <stp>BDP|13270051415628824695</stp>
        <tr r="D285" s="2"/>
      </tp>
      <tp t="s">
        <v>#N/A N/A</v>
        <stp/>
        <stp>BDP|16241862212086447514</stp>
        <tr r="R1837" s="2"/>
      </tp>
      <tp t="s">
        <v>#N/A N/A</v>
        <stp/>
        <stp>BDS|14474417330086167940</stp>
        <tr r="I901" s="2"/>
      </tp>
      <tp t="s">
        <v>#N/A N/A</v>
        <stp/>
        <stp>BDS|10327837230860999792</stp>
        <tr r="I630" s="2"/>
      </tp>
      <tp t="s">
        <v>#N/A N/A</v>
        <stp/>
        <stp>BDP|12071979795879673777</stp>
        <tr r="R354" s="2"/>
      </tp>
      <tp t="s">
        <v>#N/A N/A</v>
        <stp/>
        <stp>BDS|11741935435304047310</stp>
        <tr r="I1595" s="2"/>
      </tp>
      <tp t="s">
        <v>#N/A N/A</v>
        <stp/>
        <stp>BDP|17806147538580277950</stp>
        <tr r="H102" s="2"/>
      </tp>
      <tp t="s">
        <v>#N/A N/A</v>
        <stp/>
        <stp>BDS|15422944329287186589</stp>
        <tr r="I1812" s="2"/>
      </tp>
      <tp t="s">
        <v>#N/A N/A</v>
        <stp/>
        <stp>BDP|14852687452102978981</stp>
        <tr r="R7" s="2"/>
      </tp>
      <tp t="s">
        <v>#N/A N/A</v>
        <stp/>
        <stp>BDP|13228973801296713007</stp>
        <tr r="Q1174" s="2"/>
      </tp>
      <tp t="s">
        <v>#N/A N/A</v>
        <stp/>
        <stp>BDP|16679197396533819121</stp>
        <tr r="O1491" s="2"/>
      </tp>
      <tp t="s">
        <v>#N/A N/A</v>
        <stp/>
        <stp>BDP|16028713227489130643</stp>
        <tr r="A72" s="2"/>
      </tp>
      <tp t="s">
        <v>#N/A N/A</v>
        <stp/>
        <stp>BDP|12722901766199200806</stp>
        <tr r="P1811" s="2"/>
      </tp>
      <tp t="s">
        <v>#N/A N/A</v>
        <stp/>
        <stp>BDP|13005958411874048370</stp>
        <tr r="K309" s="2"/>
      </tp>
      <tp t="s">
        <v>#N/A N/A</v>
        <stp/>
        <stp>BDP|16827953277020173482</stp>
        <tr r="M2137" s="2"/>
      </tp>
      <tp t="s">
        <v>#N/A N/A</v>
        <stp/>
        <stp>BDP|12047274993691540426</stp>
        <tr r="S1778" s="2"/>
      </tp>
      <tp t="s">
        <v>#N/A N/A</v>
        <stp/>
        <stp>BDP|10015733132351420967</stp>
        <tr r="Q1330" s="2"/>
      </tp>
      <tp t="s">
        <v>#N/A N/A</v>
        <stp/>
        <stp>BDP|18254004846417781716</stp>
        <tr r="G1161" s="2"/>
      </tp>
      <tp t="s">
        <v>#N/A N/A</v>
        <stp/>
        <stp>BDP|10750551615719798121</stp>
        <tr r="R643" s="2"/>
      </tp>
      <tp t="s">
        <v>#N/A N/A</v>
        <stp/>
        <stp>BDP|15644840082208049128</stp>
        <tr r="R57" s="2"/>
      </tp>
      <tp t="s">
        <v>#N/A N/A</v>
        <stp/>
        <stp>BDP|16623278198734808537</stp>
        <tr r="G2196" s="2"/>
      </tp>
      <tp t="s">
        <v>#N/A N/A</v>
        <stp/>
        <stp>BDP|14752817835105582641</stp>
        <tr r="H2054" s="2"/>
      </tp>
      <tp t="s">
        <v>#N/A N/A</v>
        <stp/>
        <stp>BDP|12598554892977696567</stp>
        <tr r="C69" s="2"/>
      </tp>
      <tp t="s">
        <v>#N/A N/A</v>
        <stp/>
        <stp>BDP|10331150873022408839</stp>
        <tr r="N2144" s="2"/>
      </tp>
      <tp t="s">
        <v>#N/A N/A</v>
        <stp/>
        <stp>BDP|15539219171279620513</stp>
        <tr r="C1610" s="2"/>
      </tp>
      <tp t="s">
        <v>#N/A N/A</v>
        <stp/>
        <stp>BDS|12638848170624172523</stp>
        <tr r="I1195" s="2"/>
      </tp>
      <tp t="s">
        <v>#N/A N/A</v>
        <stp/>
        <stp>BDP|14867177568819051655</stp>
        <tr r="K900" s="2"/>
      </tp>
      <tp t="s">
        <v>#N/A N/A</v>
        <stp/>
        <stp>BDP|16751538135788237411</stp>
        <tr r="P1822" s="2"/>
      </tp>
      <tp t="s">
        <v>#N/A N/A</v>
        <stp/>
        <stp>BDP|14003958731070400220</stp>
        <tr r="D1770" s="2"/>
      </tp>
      <tp t="s">
        <v>#N/A N/A</v>
        <stp/>
        <stp>BDP|11963760846978332683</stp>
        <tr r="P1362" s="2"/>
      </tp>
      <tp t="s">
        <v>#N/A N/A</v>
        <stp/>
        <stp>BDS|17211235893534386407</stp>
        <tr r="I495" s="2"/>
      </tp>
      <tp t="s">
        <v>#N/A N/A</v>
        <stp/>
        <stp>BDP|16094924846816524139</stp>
        <tr r="O1531" s="2"/>
      </tp>
      <tp t="s">
        <v>#N/A N/A</v>
        <stp/>
        <stp>BDP|11016652227620283923</stp>
        <tr r="H426" s="2"/>
      </tp>
      <tp t="s">
        <v>#N/A N/A</v>
        <stp/>
        <stp>BDP|10312906252571388107</stp>
        <tr r="O874" s="2"/>
      </tp>
      <tp t="s">
        <v>#N/A N/A</v>
        <stp/>
        <stp>BDP|18365869323619469702</stp>
        <tr r="H791" s="2"/>
      </tp>
      <tp t="s">
        <v>#N/A N/A</v>
        <stp/>
        <stp>BDP|15511435716318433469</stp>
        <tr r="Q1724" s="2"/>
      </tp>
      <tp t="s">
        <v>#N/A N/A</v>
        <stp/>
        <stp>BDP|15456525060708397273</stp>
        <tr r="H655" s="2"/>
      </tp>
      <tp t="s">
        <v>#N/A N/A</v>
        <stp/>
        <stp>BDP|10533713272415690920</stp>
        <tr r="H1439" s="2"/>
      </tp>
      <tp t="s">
        <v>#N/A N/A</v>
        <stp/>
        <stp>BDS|18413531549627924269</stp>
        <tr r="I488" s="2"/>
      </tp>
      <tp t="s">
        <v>#N/A N/A</v>
        <stp/>
        <stp>BDP|15677929424195259707</stp>
        <tr r="C1738" s="2"/>
      </tp>
      <tp t="s">
        <v>#N/A N/A</v>
        <stp/>
        <stp>BDP|11096557927788845280</stp>
        <tr r="T2074" s="2"/>
      </tp>
      <tp t="s">
        <v>#N/A N/A</v>
        <stp/>
        <stp>BDP|16496865230608458943</stp>
        <tr r="F1176" s="2"/>
      </tp>
      <tp t="s">
        <v>#N/A N/A</v>
        <stp/>
        <stp>BDP|11783250155438150245</stp>
        <tr r="A1764" s="2"/>
      </tp>
      <tp t="s">
        <v>#N/A N/A</v>
        <stp/>
        <stp>BDP|14572329488222889157</stp>
        <tr r="H1194" s="2"/>
      </tp>
      <tp t="s">
        <v>#N/A N/A</v>
        <stp/>
        <stp>BDP|17839489771178390001</stp>
        <tr r="E1388" s="2"/>
      </tp>
      <tp t="s">
        <v>#N/A N/A</v>
        <stp/>
        <stp>BDP|13942965951984824749</stp>
        <tr r="J1265" s="2"/>
      </tp>
      <tp t="s">
        <v>#N/A N/A</v>
        <stp/>
        <stp>BDP|16566061449909893705</stp>
        <tr r="M1478" s="2"/>
      </tp>
      <tp t="s">
        <v>#N/A N/A</v>
        <stp/>
        <stp>BDP|10089489497384977547</stp>
        <tr r="G1578" s="2"/>
      </tp>
      <tp t="s">
        <v>#N/A N/A</v>
        <stp/>
        <stp>BDP|15587536403289099577</stp>
        <tr r="J1913" s="2"/>
      </tp>
      <tp t="s">
        <v>#N/A N/A</v>
        <stp/>
        <stp>BDP|12249813600044862290</stp>
        <tr r="P1059" s="2"/>
      </tp>
      <tp t="s">
        <v>#N/A N/A</v>
        <stp/>
        <stp>BDP|14019860306127190738</stp>
        <tr r="N1096" s="2"/>
      </tp>
      <tp t="s">
        <v>#N/A N/A</v>
        <stp/>
        <stp>BDP|10207587757675953965</stp>
        <tr r="J1446" s="2"/>
      </tp>
      <tp t="s">
        <v>#N/A N/A</v>
        <stp/>
        <stp>BDP|18361627015357516432</stp>
        <tr r="H824" s="2"/>
      </tp>
      <tp t="s">
        <v>#N/A N/A</v>
        <stp/>
        <stp>BDP|11665632455587436962</stp>
        <tr r="C1859" s="2"/>
      </tp>
      <tp t="s">
        <v>#N/A N/A</v>
        <stp/>
        <stp>BDP|16606895938220135144</stp>
        <tr r="O2083" s="2"/>
      </tp>
      <tp t="s">
        <v>#N/A N/A</v>
        <stp/>
        <stp>BDP|14701803064352581448</stp>
        <tr r="F1319" s="2"/>
      </tp>
      <tp t="s">
        <v>#N/A N/A</v>
        <stp/>
        <stp>BDP|14550960531493248125</stp>
        <tr r="R1145" s="2"/>
      </tp>
      <tp t="s">
        <v>#N/A N/A</v>
        <stp/>
        <stp>BDP|13417834307243641443</stp>
        <tr r="N846" s="2"/>
      </tp>
      <tp t="s">
        <v>#N/A N/A</v>
        <stp/>
        <stp>BDP|14244725290754740252</stp>
        <tr r="H1918" s="2"/>
      </tp>
      <tp t="s">
        <v>#N/A N/A</v>
        <stp/>
        <stp>BDP|17270957301112679021</stp>
        <tr r="F71" s="2"/>
      </tp>
      <tp t="s">
        <v>#N/A N/A</v>
        <stp/>
        <stp>BDP|17525727486347682359</stp>
        <tr r="A1811" s="2"/>
      </tp>
      <tp t="s">
        <v>#N/A N/A</v>
        <stp/>
        <stp>BDP|10127585597104454484</stp>
        <tr r="J1647" s="2"/>
      </tp>
      <tp t="s">
        <v>#N/A N/A</v>
        <stp/>
        <stp>BDP|11294306461888578047</stp>
        <tr r="S1647" s="2"/>
      </tp>
      <tp t="s">
        <v>#N/A N/A</v>
        <stp/>
        <stp>BDP|14356993648740714577</stp>
        <tr r="M1117" s="2"/>
      </tp>
      <tp t="s">
        <v>#N/A N/A</v>
        <stp/>
        <stp>BDP|12500498767725906908</stp>
        <tr r="A71" s="2"/>
      </tp>
      <tp t="s">
        <v>#N/A N/A</v>
        <stp/>
        <stp>BDP|13564087387326848100</stp>
        <tr r="O1009" s="2"/>
      </tp>
      <tp t="s">
        <v>#N/A N/A</v>
        <stp/>
        <stp>BDP|12059534000118334325</stp>
        <tr r="A1411" s="2"/>
      </tp>
      <tp t="s">
        <v>#N/A N/A</v>
        <stp/>
        <stp>BDP|10767295082676638080</stp>
        <tr r="O2198" s="2"/>
      </tp>
      <tp t="s">
        <v>#N/A N/A</v>
        <stp/>
        <stp>BDP|16382622174839158261</stp>
        <tr r="O475" s="2"/>
      </tp>
      <tp t="s">
        <v>#N/A N/A</v>
        <stp/>
        <stp>BDP|11809928202542325699</stp>
        <tr r="J2160" s="2"/>
      </tp>
      <tp t="s">
        <v>#N/A N/A</v>
        <stp/>
        <stp>BDP|10723457115018524101</stp>
        <tr r="T524" s="2"/>
      </tp>
      <tp t="s">
        <v>#N/A N/A</v>
        <stp/>
        <stp>BDP|10806924918393736772</stp>
        <tr r="E1845" s="2"/>
      </tp>
      <tp t="s">
        <v>#N/A N/A</v>
        <stp/>
        <stp>BDP|10433063871453636872</stp>
        <tr r="A78" s="2"/>
      </tp>
      <tp t="s">
        <v>#N/A N/A</v>
        <stp/>
        <stp>BDP|18271619671995679065</stp>
        <tr r="S922" s="2"/>
      </tp>
      <tp t="s">
        <v>#N/A N/A</v>
        <stp/>
        <stp>BDP|16780156756836102873</stp>
        <tr r="P502" s="2"/>
      </tp>
      <tp t="s">
        <v>#N/A N/A</v>
        <stp/>
        <stp>BDP|12801671711320577990</stp>
        <tr r="F519" s="2"/>
      </tp>
      <tp t="s">
        <v>#N/A N/A</v>
        <stp/>
        <stp>BDP|14334472529088978662</stp>
        <tr r="N719" s="2"/>
      </tp>
      <tp t="s">
        <v>#N/A N/A</v>
        <stp/>
        <stp>BDP|13577176456728211343</stp>
        <tr r="S1548" s="2"/>
      </tp>
      <tp t="s">
        <v>#N/A N/A</v>
        <stp/>
        <stp>BDP|18179560920891643240</stp>
        <tr r="R965" s="2"/>
      </tp>
      <tp t="s">
        <v>#N/A N/A</v>
        <stp/>
        <stp>BDP|12583220716124041946</stp>
        <tr r="P311" s="2"/>
      </tp>
      <tp t="s">
        <v>#N/A N/A</v>
        <stp/>
        <stp>BDP|16057433544972069823</stp>
        <tr r="N345" s="2"/>
      </tp>
      <tp t="s">
        <v>#N/A N/A</v>
        <stp/>
        <stp>BDP|13493525046697695939</stp>
        <tr r="A1072" s="2"/>
      </tp>
      <tp t="s">
        <v>#N/A N/A</v>
        <stp/>
        <stp>BDP|14768884302334037488</stp>
        <tr r="N499" s="2"/>
      </tp>
      <tp t="s">
        <v>#N/A N/A</v>
        <stp/>
        <stp>BDP|16088637055348455173</stp>
        <tr r="P950" s="2"/>
      </tp>
      <tp t="s">
        <v>#N/A N/A</v>
        <stp/>
        <stp>BDP|11006816192805753911</stp>
        <tr r="F873" s="2"/>
      </tp>
      <tp t="s">
        <v>#N/A N/A</v>
        <stp/>
        <stp>BDP|16010872722237409748</stp>
        <tr r="R1905" s="2"/>
      </tp>
      <tp t="s">
        <v>#N/A N/A</v>
        <stp/>
        <stp>BDP|11588614895422508011</stp>
        <tr r="P1126" s="2"/>
      </tp>
      <tp t="s">
        <v>#N/A N/A</v>
        <stp/>
        <stp>BDP|10575904951614859499</stp>
        <tr r="Q404" s="2"/>
      </tp>
      <tp t="s">
        <v>#N/A N/A</v>
        <stp/>
        <stp>BDP|18427299941993096192</stp>
        <tr r="F477" s="2"/>
      </tp>
      <tp t="s">
        <v>#N/A N/A</v>
        <stp/>
        <stp>BDP|10138574262467122809</stp>
        <tr r="S1829" s="2"/>
      </tp>
      <tp t="s">
        <v>#N/A N/A</v>
        <stp/>
        <stp>BDP|18146763271873177720</stp>
        <tr r="A555" s="2"/>
      </tp>
      <tp t="s">
        <v>#N/A N/A</v>
        <stp/>
        <stp>BDP|10280692476414923913</stp>
        <tr r="C279" s="2"/>
      </tp>
      <tp t="s">
        <v>#N/A N/A</v>
        <stp/>
        <stp>BDS|18290138633401380772</stp>
        <tr r="I1269" s="2"/>
      </tp>
      <tp t="s">
        <v>#N/A N/A</v>
        <stp/>
        <stp>BDP|11112629154249717754</stp>
        <tr r="J879" s="2"/>
      </tp>
      <tp t="s">
        <v>#N/A N/A</v>
        <stp/>
        <stp>BDP|14447318105718567302</stp>
        <tr r="H613" s="2"/>
      </tp>
      <tp t="s">
        <v>#N/A N/A</v>
        <stp/>
        <stp>BDP|16180856155295547216</stp>
        <tr r="T955" s="2"/>
      </tp>
      <tp t="s">
        <v>#N/A N/A</v>
        <stp/>
        <stp>BDP|18036687829259105958</stp>
        <tr r="D354" s="2"/>
      </tp>
      <tp t="s">
        <v>#N/A N/A</v>
        <stp/>
        <stp>BDP|17054499518698531617</stp>
        <tr r="H1366" s="2"/>
      </tp>
      <tp t="s">
        <v>#N/A N/A</v>
        <stp/>
        <stp>BDP|10436241355842319935</stp>
        <tr r="S1235" s="2"/>
      </tp>
      <tp t="s">
        <v>#N/A N/A</v>
        <stp/>
        <stp>BDP|11384552355878780514</stp>
        <tr r="J751" s="2"/>
      </tp>
      <tp t="s">
        <v>#N/A N/A</v>
        <stp/>
        <stp>BDP|11675486403679895000</stp>
        <tr r="N366" s="2"/>
      </tp>
      <tp t="s">
        <v>#N/A N/A</v>
        <stp/>
        <stp>BDP|17445872564553196634</stp>
        <tr r="T768" s="2"/>
      </tp>
      <tp t="s">
        <v>#N/A N/A</v>
        <stp/>
        <stp>BDP|10460336753123787967</stp>
        <tr r="O602" s="2"/>
      </tp>
      <tp t="s">
        <v>#N/A N/A</v>
        <stp/>
        <stp>BDP|13245638284098176916</stp>
        <tr r="Q78" s="2"/>
      </tp>
      <tp t="s">
        <v>#N/A N/A</v>
        <stp/>
        <stp>BDP|15569069765506475970</stp>
        <tr r="G1675" s="2"/>
      </tp>
      <tp t="s">
        <v>#N/A N/A</v>
        <stp/>
        <stp>BDP|11159722150757797814</stp>
        <tr r="N108" s="2"/>
      </tp>
      <tp t="s">
        <v>#N/A N/A</v>
        <stp/>
        <stp>BDP|15253756622645884980</stp>
        <tr r="D1474" s="2"/>
      </tp>
      <tp t="s">
        <v>#N/A N/A</v>
        <stp/>
        <stp>BDP|10831986643308424929</stp>
        <tr r="H1239" s="2"/>
      </tp>
      <tp t="s">
        <v>#N/A N/A</v>
        <stp/>
        <stp>BDP|11845708954009091699</stp>
        <tr r="M218" s="2"/>
      </tp>
      <tp t="s">
        <v>#N/A N/A</v>
        <stp/>
        <stp>BDP|14234416204995492969</stp>
        <tr r="C1764" s="2"/>
      </tp>
      <tp t="s">
        <v>#N/A N/A</v>
        <stp/>
        <stp>BDP|13257460817503780914</stp>
        <tr r="H1981" s="2"/>
      </tp>
      <tp t="s">
        <v>#N/A N/A</v>
        <stp/>
        <stp>BDP|15789235873825618948</stp>
        <tr r="N791" s="2"/>
      </tp>
      <tp t="s">
        <v>#N/A N/A</v>
        <stp/>
        <stp>BDP|10518803322380796654</stp>
        <tr r="A1705" s="2"/>
      </tp>
      <tp t="s">
        <v>#N/A N/A</v>
        <stp/>
        <stp>BDP|10460876121372290456</stp>
        <tr r="F827" s="2"/>
      </tp>
      <tp t="s">
        <v>#N/A N/A</v>
        <stp/>
        <stp>BDP|16689601885236373250</stp>
        <tr r="A2029" s="2"/>
      </tp>
      <tp t="s">
        <v>#N/A N/A</v>
        <stp/>
        <stp>BDP|17064497721099406492</stp>
        <tr r="J898" s="2"/>
      </tp>
      <tp t="s">
        <v>#N/A N/A</v>
        <stp/>
        <stp>BDP|13957672089507009621</stp>
        <tr r="T1221" s="2"/>
      </tp>
      <tp t="s">
        <v>#N/A N/A</v>
        <stp/>
        <stp>BDP|17055856508530908315</stp>
        <tr r="F715" s="2"/>
      </tp>
      <tp t="s">
        <v>#N/A N/A</v>
        <stp/>
        <stp>BDP|14940085522199556336</stp>
        <tr r="M817" s="2"/>
      </tp>
      <tp t="s">
        <v>#N/A N/A</v>
        <stp/>
        <stp>BDS|13221830968290923161</stp>
        <tr r="I1937" s="2"/>
      </tp>
      <tp t="s">
        <v>#N/A N/A</v>
        <stp/>
        <stp>BDP|10853996215194914081</stp>
        <tr r="E511" s="2"/>
      </tp>
      <tp t="s">
        <v>#N/A N/A</v>
        <stp/>
        <stp>BDP|10722987746714873547</stp>
        <tr r="P177" s="2"/>
      </tp>
      <tp t="s">
        <v>#N/A N/A</v>
        <stp/>
        <stp>BDP|13444124292712940581</stp>
        <tr r="K1212" s="2"/>
      </tp>
      <tp t="s">
        <v>#N/A N/A</v>
        <stp/>
        <stp>BDP|16239613741970097871</stp>
        <tr r="P2037" s="2"/>
      </tp>
      <tp t="s">
        <v>#N/A N/A</v>
        <stp/>
        <stp>BDP|10053521911209720115</stp>
        <tr r="R1284" s="2"/>
      </tp>
      <tp t="s">
        <v>#N/A N/A</v>
        <stp/>
        <stp>BDP|16469477351518721307</stp>
        <tr r="E1690" s="2"/>
      </tp>
      <tp t="s">
        <v>#N/A N/A</v>
        <stp/>
        <stp>BDP|11631223088532152581</stp>
        <tr r="G1589" s="2"/>
      </tp>
      <tp t="s">
        <v>#N/A N/A</v>
        <stp/>
        <stp>BDP|13225726593279227845</stp>
        <tr r="M1908" s="2"/>
      </tp>
      <tp t="s">
        <v>#N/A N/A</v>
        <stp/>
        <stp>BDP|10653850752442632323</stp>
        <tr r="R578" s="2"/>
      </tp>
      <tp t="s">
        <v>#N/A N/A</v>
        <stp/>
        <stp>BDP|14214963176130002673</stp>
        <tr r="J721" s="2"/>
      </tp>
      <tp t="s">
        <v>#N/A N/A</v>
        <stp/>
        <stp>BDP|17306800151744163261</stp>
        <tr r="R330" s="2"/>
      </tp>
      <tp t="s">
        <v>#N/A N/A</v>
        <stp/>
        <stp>BDP|18362712433448152855</stp>
        <tr r="D148" s="2"/>
      </tp>
      <tp t="s">
        <v>#N/A N/A</v>
        <stp/>
        <stp>BDP|11824016297823939728</stp>
        <tr r="E933" s="2"/>
      </tp>
      <tp t="s">
        <v>#N/A N/A</v>
        <stp/>
        <stp>BDP|12668086492351166682</stp>
        <tr r="J1407" s="2"/>
      </tp>
      <tp t="s">
        <v>#N/A N/A</v>
        <stp/>
        <stp>BDP|14491923452591304528</stp>
        <tr r="A581" s="2"/>
      </tp>
      <tp t="s">
        <v>#N/A N/A</v>
        <stp/>
        <stp>BDP|16342117521860799915</stp>
        <tr r="F1036" s="2"/>
      </tp>
      <tp t="s">
        <v>#N/A N/A</v>
        <stp/>
        <stp>BDP|11547942258170589198</stp>
        <tr r="J1268" s="2"/>
      </tp>
      <tp t="s">
        <v>#N/A N/A</v>
        <stp/>
        <stp>BDS|11999621378274288875</stp>
        <tr r="I33" s="2"/>
      </tp>
      <tp t="s">
        <v>#N/A N/A</v>
        <stp/>
        <stp>BDP|12273472370908084503</stp>
        <tr r="O107" s="2"/>
      </tp>
      <tp t="s">
        <v>#N/A N/A</v>
        <stp/>
        <stp>BDP|15814507343771617987</stp>
        <tr r="F1231" s="2"/>
      </tp>
      <tp t="s">
        <v>#N/A N/A</v>
        <stp/>
        <stp>BDP|12183488806712393898</stp>
        <tr r="M560" s="2"/>
      </tp>
      <tp t="s">
        <v>#N/A N/A</v>
        <stp/>
        <stp>BDP|12615225744809493113</stp>
        <tr r="F673" s="2"/>
      </tp>
      <tp t="s">
        <v>#N/A N/A</v>
        <stp/>
        <stp>BDP|17676416890191374711</stp>
        <tr r="E432" s="2"/>
      </tp>
      <tp t="s">
        <v>#N/A N/A</v>
        <stp/>
        <stp>BDP|15125422733338623637</stp>
        <tr r="S1253" s="2"/>
      </tp>
      <tp t="s">
        <v>#N/A N/A</v>
        <stp/>
        <stp>BDP|12174761112199600162</stp>
        <tr r="T1633" s="2"/>
      </tp>
      <tp t="s">
        <v>#N/A N/A</v>
        <stp/>
        <stp>BDP|18015773670297546371</stp>
        <tr r="S1005" s="2"/>
      </tp>
      <tp t="s">
        <v>#N/A N/A</v>
        <stp/>
        <stp>BDP|14198561385094149169</stp>
        <tr r="P2157" s="2"/>
      </tp>
      <tp t="s">
        <v>#N/A N/A</v>
        <stp/>
        <stp>BDP|12505626287115307562</stp>
        <tr r="A280" s="2"/>
      </tp>
      <tp t="s">
        <v>#N/A N/A</v>
        <stp/>
        <stp>BDP|17749712824349435733</stp>
        <tr r="O1229" s="2"/>
      </tp>
      <tp t="s">
        <v>#N/A N/A</v>
        <stp/>
        <stp>BDP|13061813311046634033</stp>
        <tr r="D1891" s="2"/>
      </tp>
      <tp t="s">
        <v>#N/A N/A</v>
        <stp/>
        <stp>BDP|14308938245855067002</stp>
        <tr r="C95" s="2"/>
      </tp>
      <tp t="s">
        <v>#N/A N/A</v>
        <stp/>
        <stp>BDP|15870810337023349187</stp>
        <tr r="M773" s="2"/>
      </tp>
      <tp t="s">
        <v>#N/A N/A</v>
        <stp/>
        <stp>BDP|10085118603858057579</stp>
        <tr r="N81" s="2"/>
      </tp>
      <tp t="s">
        <v>#N/A N/A</v>
        <stp/>
        <stp>BDP|11004904898268538581</stp>
        <tr r="Q1327" s="2"/>
      </tp>
      <tp t="s">
        <v>#N/A N/A</v>
        <stp/>
        <stp>BDP|13495770883590178050</stp>
        <tr r="O1918" s="2"/>
      </tp>
      <tp t="s">
        <v>#N/A N/A</v>
        <stp/>
        <stp>BDP|17389753207925485911</stp>
        <tr r="J604" s="2"/>
      </tp>
      <tp t="s">
        <v>#N/A N/A</v>
        <stp/>
        <stp>BDP|14769054891971740004</stp>
        <tr r="T412" s="2"/>
      </tp>
      <tp t="s">
        <v>#N/A N/A</v>
        <stp/>
        <stp>BDP|12160234865088110228</stp>
        <tr r="T978" s="2"/>
      </tp>
      <tp t="s">
        <v>#N/A N/A</v>
        <stp/>
        <stp>BDP|10457527196516544618</stp>
        <tr r="R528" s="2"/>
      </tp>
      <tp t="s">
        <v>#N/A N/A</v>
        <stp/>
        <stp>BDP|10446653032988273153</stp>
        <tr r="E1409" s="2"/>
      </tp>
      <tp t="s">
        <v>#N/A N/A</v>
        <stp/>
        <stp>BDP|11899356667410812860</stp>
        <tr r="G1830" s="2"/>
      </tp>
      <tp t="s">
        <v>#N/A N/A</v>
        <stp/>
        <stp>BDP|12557183904206871959</stp>
        <tr r="S580" s="2"/>
      </tp>
      <tp t="s">
        <v>#N/A N/A</v>
        <stp/>
        <stp>BDS|10875187893395195150</stp>
        <tr r="I1816" s="2"/>
      </tp>
      <tp t="s">
        <v>#N/A N/A</v>
        <stp/>
        <stp>BDP|11270972987848502434</stp>
        <tr r="T124" s="2"/>
      </tp>
      <tp t="s">
        <v>#N/A N/A</v>
        <stp/>
        <stp>BDP|16753982219691706358</stp>
        <tr r="O1693" s="2"/>
      </tp>
      <tp t="s">
        <v>#N/A N/A</v>
        <stp/>
        <stp>BDP|10731331652279308319</stp>
        <tr r="J1150" s="2"/>
      </tp>
      <tp t="s">
        <v>#N/A N/A</v>
        <stp/>
        <stp>BDP|15786036368696171997</stp>
        <tr r="E544" s="2"/>
      </tp>
      <tp t="s">
        <v>#N/A N/A</v>
        <stp/>
        <stp>BDP|17048516183871071765</stp>
        <tr r="C60" s="2"/>
      </tp>
      <tp t="s">
        <v>#N/A N/A</v>
        <stp/>
        <stp>BDP|13159283392184967069</stp>
        <tr r="T804" s="2"/>
      </tp>
      <tp t="s">
        <v>#N/A N/A</v>
        <stp/>
        <stp>BDP|13795922933294638145</stp>
        <tr r="S152" s="2"/>
      </tp>
      <tp t="s">
        <v>#N/A N/A</v>
        <stp/>
        <stp>BDP|11047209780733267463</stp>
        <tr r="F1205" s="2"/>
      </tp>
      <tp t="s">
        <v>#N/A N/A</v>
        <stp/>
        <stp>BDP|17088470281392634547</stp>
        <tr r="M50" s="2"/>
      </tp>
      <tp t="s">
        <v>#N/A N/A</v>
        <stp/>
        <stp>BDP|16876185772878246441</stp>
        <tr r="J1581" s="2"/>
      </tp>
      <tp t="s">
        <v>#N/A N/A</v>
        <stp/>
        <stp>BDP|17538598988090334636</stp>
        <tr r="Q1687" s="2"/>
      </tp>
      <tp t="s">
        <v>#N/A N/A</v>
        <stp/>
        <stp>BDP|10632330284787192043</stp>
        <tr r="J17" s="2"/>
      </tp>
      <tp t="s">
        <v>#N/A N/A</v>
        <stp/>
        <stp>BDP|10715213090730120739</stp>
        <tr r="J438" s="2"/>
      </tp>
      <tp t="s">
        <v>#N/A N/A</v>
        <stp/>
        <stp>BDP|15329168295226257760</stp>
        <tr r="F1235" s="2"/>
      </tp>
      <tp t="s">
        <v>#N/A N/A</v>
        <stp/>
        <stp>BDP|12185780894576931603</stp>
        <tr r="M860" s="2"/>
      </tp>
      <tp t="s">
        <v>#N/A N/A</v>
        <stp/>
        <stp>BDP|16587166355786767852</stp>
        <tr r="J2229" s="2"/>
      </tp>
      <tp t="s">
        <v>#N/A N/A</v>
        <stp/>
        <stp>BDP|11644989455204610593</stp>
        <tr r="H473" s="2"/>
      </tp>
      <tp t="s">
        <v>#N/A N/A</v>
        <stp/>
        <stp>BDP|13890852468721904081</stp>
        <tr r="E99" s="2"/>
      </tp>
      <tp t="s">
        <v>#N/A N/A</v>
        <stp/>
        <stp>BDP|14761704041083489866</stp>
        <tr r="E2189" s="2"/>
      </tp>
      <tp t="s">
        <v>#N/A N/A</v>
        <stp/>
        <stp>BDP|18298108515382797647</stp>
        <tr r="K262" s="2"/>
      </tp>
      <tp t="s">
        <v>#N/A N/A</v>
        <stp/>
        <stp>BDP|11443822664397626404</stp>
        <tr r="D972" s="2"/>
      </tp>
      <tp t="s">
        <v>#N/A N/A</v>
        <stp/>
        <stp>BDP|16284327087720697152</stp>
        <tr r="T1912" s="2"/>
      </tp>
      <tp t="s">
        <v>#N/A N/A</v>
        <stp/>
        <stp>BDP|16433256141475424900</stp>
        <tr r="C794" s="2"/>
      </tp>
      <tp t="s">
        <v>#N/A N/A</v>
        <stp/>
        <stp>BDP|18036330673032073247</stp>
        <tr r="S1637" s="2"/>
      </tp>
      <tp t="s">
        <v>#N/A N/A</v>
        <stp/>
        <stp>BDP|17319040551566559872</stp>
        <tr r="D636" s="2"/>
      </tp>
      <tp t="s">
        <v>#N/A N/A</v>
        <stp/>
        <stp>BDP|17348630091230024456</stp>
        <tr r="M1374" s="2"/>
      </tp>
      <tp t="s">
        <v>#N/A N/A</v>
        <stp/>
        <stp>BDP|12307159168088926139</stp>
        <tr r="E1675" s="2"/>
      </tp>
      <tp t="s">
        <v>#N/A N/A</v>
        <stp/>
        <stp>BDP|14112683708688655633</stp>
        <tr r="D1707" s="2"/>
      </tp>
      <tp t="s">
        <v>#N/A N/A</v>
        <stp/>
        <stp>BDP|12722862405861320738</stp>
        <tr r="T766" s="2"/>
      </tp>
      <tp t="s">
        <v>#N/A N/A</v>
        <stp/>
        <stp>BDP|11809247569011960880</stp>
        <tr r="C718" s="2"/>
      </tp>
      <tp t="s">
        <v>#N/A N/A</v>
        <stp/>
        <stp>BDP|10272424193284722502</stp>
        <tr r="G141" s="2"/>
      </tp>
      <tp t="s">
        <v>#N/A N/A</v>
        <stp/>
        <stp>BDP|18316318994477183934</stp>
        <tr r="Q1495" s="2"/>
      </tp>
      <tp t="s">
        <v>#N/A N/A</v>
        <stp/>
        <stp>BDP|12391439484252067005</stp>
        <tr r="K51" s="2"/>
      </tp>
      <tp t="s">
        <v>#N/A N/A</v>
        <stp/>
        <stp>BDP|17526588669648789074</stp>
        <tr r="O1714" s="2"/>
      </tp>
      <tp t="s">
        <v>#N/A N/A</v>
        <stp/>
        <stp>BDP|16445136486582011156</stp>
        <tr r="S641" s="2"/>
      </tp>
      <tp t="s">
        <v>#N/A N/A</v>
        <stp/>
        <stp>BDP|14979688440843372960</stp>
        <tr r="E1270" s="2"/>
      </tp>
      <tp t="s">
        <v>#N/A N/A</v>
        <stp/>
        <stp>BDP|15040744089134858214</stp>
        <tr r="O1303" s="2"/>
      </tp>
      <tp t="s">
        <v>#N/A N/A</v>
        <stp/>
        <stp>BDP|16409984015335510786</stp>
        <tr r="F468" s="2"/>
      </tp>
      <tp t="s">
        <v>#N/A N/A</v>
        <stp/>
        <stp>BDP|18161641166307624316</stp>
        <tr r="P1601" s="2"/>
      </tp>
      <tp t="s">
        <v>#N/A N/A</v>
        <stp/>
        <stp>BDP|12042379109905270883</stp>
        <tr r="E1764" s="2"/>
      </tp>
      <tp t="s">
        <v>#N/A N/A</v>
        <stp/>
        <stp>BDP|17505464996986598043</stp>
        <tr r="J1620" s="2"/>
      </tp>
      <tp t="s">
        <v>#N/A N/A</v>
        <stp/>
        <stp>BDP|11557764251388269743</stp>
        <tr r="M769" s="2"/>
      </tp>
      <tp t="s">
        <v>#N/A N/A</v>
        <stp/>
        <stp>BDP|10980790622929242042</stp>
        <tr r="E964" s="2"/>
      </tp>
      <tp t="s">
        <v>#N/A N/A</v>
        <stp/>
        <stp>BDP|15422916322086578464</stp>
        <tr r="N997" s="2"/>
      </tp>
      <tp t="s">
        <v>#N/A N/A</v>
        <stp/>
        <stp>BDP|13136155355113086858</stp>
        <tr r="G2079" s="2"/>
      </tp>
      <tp t="s">
        <v>#N/A N/A</v>
        <stp/>
        <stp>BDP|14645045530329455221</stp>
        <tr r="A49" s="2"/>
      </tp>
      <tp t="s">
        <v>#N/A N/A</v>
        <stp/>
        <stp>BDP|14631954626251654276</stp>
        <tr r="K1060" s="2"/>
      </tp>
      <tp t="s">
        <v>#N/A N/A</v>
        <stp/>
        <stp>BDP|15066414704929585445</stp>
        <tr r="A313" s="2"/>
      </tp>
      <tp t="s">
        <v>#N/A N/A</v>
        <stp/>
        <stp>BDP|17518854721984191543</stp>
        <tr r="F1813" s="2"/>
      </tp>
      <tp t="s">
        <v>#N/A N/A</v>
        <stp/>
        <stp>BDP|13567356331846190947</stp>
        <tr r="H1698" s="2"/>
      </tp>
      <tp t="s">
        <v>#N/A N/A</v>
        <stp/>
        <stp>BDP|12108097381701418797</stp>
        <tr r="K651" s="2"/>
      </tp>
      <tp t="s">
        <v>#N/A N/A</v>
        <stp/>
        <stp>BDP|17181807224987958685</stp>
        <tr r="A2002" s="2"/>
      </tp>
      <tp t="s">
        <v>#N/A N/A</v>
        <stp/>
        <stp>BDP|10926776461185836833</stp>
        <tr r="R743" s="2"/>
      </tp>
      <tp t="s">
        <v>#N/A N/A</v>
        <stp/>
        <stp>BDP|14632216805728714216</stp>
        <tr r="E1416" s="2"/>
      </tp>
      <tp t="s">
        <v>#N/A N/A</v>
        <stp/>
        <stp>BDP|15161845009784852505</stp>
        <tr r="N1172" s="2"/>
      </tp>
      <tp t="s">
        <v>#N/A N/A</v>
        <stp/>
        <stp>BDP|14460232437558664123</stp>
        <tr r="P1813" s="2"/>
      </tp>
      <tp t="s">
        <v>#N/A N/A</v>
        <stp/>
        <stp>BDP|17743866844310220708</stp>
        <tr r="Q1062" s="2"/>
      </tp>
      <tp t="s">
        <v>#N/A N/A</v>
        <stp/>
        <stp>BDP|11032059129248222791</stp>
        <tr r="H1914" s="2"/>
      </tp>
      <tp t="s">
        <v>#N/A N/A</v>
        <stp/>
        <stp>BDP|15933828554550827407</stp>
        <tr r="H1238" s="2"/>
      </tp>
      <tp t="s">
        <v>#N/A N/A</v>
        <stp/>
        <stp>BDP|14644209187725308750</stp>
        <tr r="C299" s="2"/>
      </tp>
      <tp t="s">
        <v>#N/A N/A</v>
        <stp/>
        <stp>BDP|14158393239191446929</stp>
        <tr r="S473" s="2"/>
      </tp>
      <tp t="s">
        <v>#N/A N/A</v>
        <stp/>
        <stp>BDP|12585850170248456935</stp>
        <tr r="Q116" s="2"/>
      </tp>
      <tp t="s">
        <v>#N/A N/A</v>
        <stp/>
        <stp>BDP|16809596596285748379</stp>
        <tr r="O785" s="2"/>
      </tp>
      <tp t="s">
        <v>#N/A N/A</v>
        <stp/>
        <stp>BDP|12644739182345328435</stp>
        <tr r="T523" s="2"/>
      </tp>
      <tp t="s">
        <v>#N/A N/A</v>
        <stp/>
        <stp>BDP|10315807066390197235</stp>
        <tr r="E1328" s="2"/>
      </tp>
      <tp t="s">
        <v>#N/A N/A</v>
        <stp/>
        <stp>BDP|18420628030828496952</stp>
        <tr r="R955" s="2"/>
      </tp>
      <tp t="s">
        <v>#N/A N/A</v>
        <stp/>
        <stp>BDP|12077127385102403548</stp>
        <tr r="S1431" s="2"/>
      </tp>
      <tp t="s">
        <v>#N/A N/A</v>
        <stp/>
        <stp>BDS|11667067256460652849</stp>
        <tr r="I651" s="2"/>
      </tp>
      <tp t="s">
        <v>#N/A N/A</v>
        <stp/>
        <stp>BDP|13653918797836299954</stp>
        <tr r="M376" s="2"/>
      </tp>
      <tp t="s">
        <v>#N/A N/A</v>
        <stp/>
        <stp>BDS|11177548981733103310</stp>
        <tr r="I931" s="2"/>
      </tp>
      <tp t="s">
        <v>#N/A N/A</v>
        <stp/>
        <stp>BDP|12720775062489430618</stp>
        <tr r="K68" s="2"/>
      </tp>
      <tp t="s">
        <v>#N/A N/A</v>
        <stp/>
        <stp>BDP|13276665093930702073</stp>
        <tr r="F2226" s="2"/>
      </tp>
      <tp t="s">
        <v>#N/A N/A</v>
        <stp/>
        <stp>BDS|17863379483554819404</stp>
        <tr r="I316" s="2"/>
      </tp>
      <tp t="s">
        <v>#N/A N/A</v>
        <stp/>
        <stp>BDP|11798928466893323174</stp>
        <tr r="T729" s="2"/>
      </tp>
      <tp t="s">
        <v>#N/A N/A</v>
        <stp/>
        <stp>BDP|13523202295237383345</stp>
        <tr r="P468" s="2"/>
      </tp>
      <tp t="s">
        <v>#N/A N/A</v>
        <stp/>
        <stp>BDP|10840890251846005773</stp>
        <tr r="T892" s="2"/>
      </tp>
      <tp t="s">
        <v>#N/A N/A</v>
        <stp/>
        <stp>BDP|11225352668931133995</stp>
        <tr r="M1240" s="2"/>
      </tp>
      <tp t="s">
        <v>#N/A N/A</v>
        <stp/>
        <stp>BDS|13883391784162870690</stp>
        <tr r="I945" s="2"/>
      </tp>
      <tp t="s">
        <v>#N/A N/A</v>
        <stp/>
        <stp>BDP|13204825840963717003</stp>
        <tr r="Q1148" s="2"/>
      </tp>
      <tp t="s">
        <v>#N/A N/A</v>
        <stp/>
        <stp>BDP|17077066687281540239</stp>
        <tr r="K2157" s="2"/>
      </tp>
      <tp t="s">
        <v>#N/A N/A</v>
        <stp/>
        <stp>BDS|17182978223802968280</stp>
        <tr r="I836" s="2"/>
      </tp>
      <tp t="s">
        <v>#N/A N/A</v>
        <stp/>
        <stp>BDP|15669116524813558913</stp>
        <tr r="H794" s="2"/>
      </tp>
      <tp t="s">
        <v>#N/A N/A</v>
        <stp/>
        <stp>BDP|17486026319613051983</stp>
        <tr r="D1700" s="2"/>
      </tp>
      <tp t="s">
        <v>#N/A N/A</v>
        <stp/>
        <stp>BDP|12670225972279679279</stp>
        <tr r="K728" s="2"/>
      </tp>
      <tp t="s">
        <v>#N/A N/A</v>
        <stp/>
        <stp>BDP|15045832540215585011</stp>
        <tr r="A492" s="2"/>
      </tp>
      <tp t="s">
        <v>#N/A N/A</v>
        <stp/>
        <stp>BDP|13325643183871204014</stp>
        <tr r="K202" s="2"/>
      </tp>
      <tp t="s">
        <v>#N/A N/A</v>
        <stp/>
        <stp>BDP|16372102453796268859</stp>
        <tr r="T1184" s="2"/>
      </tp>
      <tp t="s">
        <v>#N/A N/A</v>
        <stp/>
        <stp>BDP|17805159517872844958</stp>
        <tr r="T1396" s="2"/>
      </tp>
      <tp t="s">
        <v>#N/A N/A</v>
        <stp/>
        <stp>BDP|16473303792928834893</stp>
        <tr r="F2235" s="2"/>
      </tp>
      <tp t="s">
        <v>#N/A N/A</v>
        <stp/>
        <stp>BDP|12210672403500020818</stp>
        <tr r="M2150" s="2"/>
      </tp>
      <tp t="s">
        <v>#N/A N/A</v>
        <stp/>
        <stp>BDP|11584903698069902437</stp>
        <tr r="O46" s="2"/>
      </tp>
      <tp t="s">
        <v>#N/A N/A</v>
        <stp/>
        <stp>BDP|11970647398076447468</stp>
        <tr r="F662" s="2"/>
      </tp>
      <tp t="s">
        <v>#N/A N/A</v>
        <stp/>
        <stp>BDP|14248298581196597488</stp>
        <tr r="S463" s="2"/>
      </tp>
      <tp t="s">
        <v>#N/A N/A</v>
        <stp/>
        <stp>BDP|11391263219386924828</stp>
        <tr r="P742" s="2"/>
      </tp>
      <tp t="s">
        <v>#N/A N/A</v>
        <stp/>
        <stp>BDP|17781818231859589953</stp>
        <tr r="D1129" s="2"/>
      </tp>
      <tp t="s">
        <v>#N/A N/A</v>
        <stp/>
        <stp>BDP|10329154770562872897</stp>
        <tr r="P2225" s="2"/>
      </tp>
      <tp t="s">
        <v>#N/A N/A</v>
        <stp/>
        <stp>BDP|16406135911842091817</stp>
        <tr r="J402" s="2"/>
      </tp>
      <tp t="s">
        <v>#N/A N/A</v>
        <stp/>
        <stp>BDS|11642903875874358749</stp>
        <tr r="I576" s="2"/>
      </tp>
      <tp t="s">
        <v>#N/A N/A</v>
        <stp/>
        <stp>BDP|16041010786266450440</stp>
        <tr r="O1689" s="2"/>
      </tp>
      <tp t="s">
        <v>#N/A N/A</v>
        <stp/>
        <stp>BDP|12931124385206140182</stp>
        <tr r="M1969" s="2"/>
      </tp>
      <tp t="s">
        <v>#N/A N/A</v>
        <stp/>
        <stp>BDP|10235860856661700027</stp>
        <tr r="O1505" s="2"/>
      </tp>
      <tp t="s">
        <v>#N/A N/A</v>
        <stp/>
        <stp>BDP|14143450270588623351</stp>
        <tr r="M1995" s="2"/>
      </tp>
      <tp t="s">
        <v>#N/A N/A</v>
        <stp/>
        <stp>BDP|17971362448665996998</stp>
        <tr r="N1491" s="2"/>
      </tp>
      <tp t="s">
        <v>#N/A N/A</v>
        <stp/>
        <stp>BDP|15325952126507113566</stp>
        <tr r="F1156" s="2"/>
      </tp>
      <tp t="s">
        <v>#N/A N/A</v>
        <stp/>
        <stp>BDP|10891397585852721546</stp>
        <tr r="Q1398" s="2"/>
      </tp>
      <tp t="s">
        <v>#N/A N/A</v>
        <stp/>
        <stp>BDP|10105682768814380850</stp>
        <tr r="F657" s="2"/>
      </tp>
      <tp t="s">
        <v>#N/A N/A</v>
        <stp/>
        <stp>BDP|14283659456133677805</stp>
        <tr r="R622" s="2"/>
      </tp>
      <tp t="s">
        <v>#N/A N/A</v>
        <stp/>
        <stp>BDP|17460272582228459922</stp>
        <tr r="E2001" s="2"/>
      </tp>
      <tp t="s">
        <v>#N/A N/A</v>
        <stp/>
        <stp>BDP|11163141340101278900</stp>
        <tr r="R873" s="2"/>
      </tp>
      <tp t="s">
        <v>#N/A N/A</v>
        <stp/>
        <stp>BDP|10359527727772812995</stp>
        <tr r="R307" s="2"/>
      </tp>
      <tp t="s">
        <v>#N/A N/A</v>
        <stp/>
        <stp>BDP|14677346171599744531</stp>
        <tr r="N25" s="2"/>
      </tp>
      <tp t="s">
        <v>#N/A N/A</v>
        <stp/>
        <stp>BDP|17558401484213469421</stp>
        <tr r="Q877" s="2"/>
      </tp>
      <tp t="s">
        <v>#N/A N/A</v>
        <stp/>
        <stp>BDP|14978972848730435550</stp>
        <tr r="E891" s="2"/>
      </tp>
      <tp t="s">
        <v>#N/A N/A</v>
        <stp/>
        <stp>BDP|16292672733956606973</stp>
        <tr r="K1548" s="2"/>
      </tp>
      <tp t="s">
        <v>#N/A N/A</v>
        <stp/>
        <stp>BDP|13224868494027083973</stp>
        <tr r="H1780" s="2"/>
      </tp>
      <tp t="s">
        <v>#N/A N/A</v>
        <stp/>
        <stp>BDP|15929898823442485107</stp>
        <tr r="M1077" s="2"/>
      </tp>
      <tp t="s">
        <v>#N/A N/A</v>
        <stp/>
        <stp>BDP|14868109672816537884</stp>
        <tr r="R748" s="2"/>
      </tp>
      <tp t="s">
        <v>#N/A N/A</v>
        <stp/>
        <stp>BDP|14169791138845679918</stp>
        <tr r="N353" s="2"/>
      </tp>
      <tp t="s">
        <v>#N/A N/A</v>
        <stp/>
        <stp>BDP|11035704589054863661</stp>
        <tr r="F1262" s="2"/>
      </tp>
      <tp t="s">
        <v>#N/A N/A</v>
        <stp/>
        <stp>BDP|12090005979091840868</stp>
        <tr r="O188" s="2"/>
      </tp>
      <tp t="s">
        <v>#N/A N/A</v>
        <stp/>
        <stp>BDP|14707516990314942086</stp>
        <tr r="N94" s="2"/>
      </tp>
      <tp t="s">
        <v>#N/A N/A</v>
        <stp/>
        <stp>BDP|16127143574958093466</stp>
        <tr r="N667" s="2"/>
      </tp>
      <tp t="s">
        <v>#N/A N/A</v>
        <stp/>
        <stp>BDP|12106488123908425094</stp>
        <tr r="C2194" s="2"/>
      </tp>
      <tp t="s">
        <v>#N/A N/A</v>
        <stp/>
        <stp>BDP|15723947141284725023</stp>
        <tr r="H1396" s="2"/>
      </tp>
      <tp t="s">
        <v>#N/A N/A</v>
        <stp/>
        <stp>BDP|15322330996906655578</stp>
        <tr r="C1967" s="2"/>
      </tp>
      <tp t="s">
        <v>#N/A N/A</v>
        <stp/>
        <stp>BDP|15497932642633597772</stp>
        <tr r="T1798" s="2"/>
      </tp>
      <tp t="s">
        <v>#N/A N/A</v>
        <stp/>
        <stp>BDP|16842792072679733335</stp>
        <tr r="G245" s="2"/>
      </tp>
      <tp t="s">
        <v>#N/A N/A</v>
        <stp/>
        <stp>BDP|16188402251913438836</stp>
        <tr r="E2063" s="2"/>
      </tp>
      <tp t="s">
        <v>#N/A N/A</v>
        <stp/>
        <stp>BDP|11993957771824264786</stp>
        <tr r="C992" s="2"/>
      </tp>
      <tp t="s">
        <v>#N/A N/A</v>
        <stp/>
        <stp>BDP|11942970040032175286</stp>
        <tr r="K275" s="2"/>
      </tp>
      <tp t="s">
        <v>#N/A N/A</v>
        <stp/>
        <stp>BDP|16206664576019643235</stp>
        <tr r="G1150" s="2"/>
      </tp>
      <tp t="s">
        <v>#N/A N/A</v>
        <stp/>
        <stp>BDP|11558961081069731523</stp>
        <tr r="D451" s="2"/>
      </tp>
      <tp t="s">
        <v>#N/A N/A</v>
        <stp/>
        <stp>BDP|15534773907298622644</stp>
        <tr r="S1820" s="2"/>
      </tp>
      <tp t="s">
        <v>#N/A N/A</v>
        <stp/>
        <stp>BDP|11929414502991450881</stp>
        <tr r="G674" s="2"/>
      </tp>
      <tp t="s">
        <v>#N/A N/A</v>
        <stp/>
        <stp>BDP|16691066331268246152</stp>
        <tr r="M1517" s="2"/>
      </tp>
      <tp t="s">
        <v>#N/A N/A</v>
        <stp/>
        <stp>BDP|10782715545789131643</stp>
        <tr r="J605" s="2"/>
      </tp>
      <tp t="s">
        <v>#N/A N/A</v>
        <stp/>
        <stp>BDP|15831695987016850189</stp>
        <tr r="P732" s="2"/>
      </tp>
      <tp t="s">
        <v>#N/A N/A</v>
        <stp/>
        <stp>BDP|13278398838439438612</stp>
        <tr r="S1620" s="2"/>
      </tp>
      <tp t="s">
        <v>#N/A N/A</v>
        <stp/>
        <stp>BDP|12850909968846068768</stp>
        <tr r="P228" s="2"/>
      </tp>
      <tp t="s">
        <v>#N/A N/A</v>
        <stp/>
        <stp>BDP|17663444600638173759</stp>
        <tr r="E1923" s="2"/>
      </tp>
      <tp t="s">
        <v>#N/A N/A</v>
        <stp/>
        <stp>BDP|13534659572658603626</stp>
        <tr r="C1554" s="2"/>
      </tp>
      <tp t="s">
        <v>#N/A N/A</v>
        <stp/>
        <stp>BDP|13911888469424725595</stp>
        <tr r="R2247" s="2"/>
      </tp>
      <tp t="s">
        <v>#N/A N/A</v>
        <stp/>
        <stp>BDP|15875706579190507929</stp>
        <tr r="H1881" s="2"/>
      </tp>
      <tp t="s">
        <v>#N/A N/A</v>
        <stp/>
        <stp>BDP|16518700501079212409</stp>
        <tr r="R115" s="2"/>
      </tp>
      <tp t="s">
        <v>#N/A N/A</v>
        <stp/>
        <stp>BDP|13150641094904019474</stp>
        <tr r="F2057" s="2"/>
      </tp>
      <tp t="s">
        <v>#N/A N/A</v>
        <stp/>
        <stp>BDP|16049323940824739934</stp>
        <tr r="G1772" s="2"/>
      </tp>
      <tp t="s">
        <v>#N/A N/A</v>
        <stp/>
        <stp>BDP|13397340497756215347</stp>
        <tr r="A1886" s="2"/>
      </tp>
      <tp t="s">
        <v>#N/A N/A</v>
        <stp/>
        <stp>BDP|12730524728928847132</stp>
        <tr r="S1204" s="2"/>
      </tp>
      <tp t="s">
        <v>#N/A N/A</v>
        <stp/>
        <stp>BDP|10210714495903408143</stp>
        <tr r="D1126" s="2"/>
      </tp>
      <tp t="s">
        <v>#N/A N/A</v>
        <stp/>
        <stp>BDP|11656569888204602481</stp>
        <tr r="N125" s="2"/>
      </tp>
      <tp t="s">
        <v>#N/A N/A</v>
        <stp/>
        <stp>BDP|17844964340485889303</stp>
        <tr r="G1236" s="2"/>
      </tp>
      <tp t="s">
        <v>#N/A N/A</v>
        <stp/>
        <stp>BDP|13867540924851914971</stp>
        <tr r="J91" s="2"/>
      </tp>
      <tp t="s">
        <v>#N/A N/A</v>
        <stp/>
        <stp>BDP|17849323280273986353</stp>
        <tr r="Q470" s="2"/>
      </tp>
      <tp t="s">
        <v>#N/A N/A</v>
        <stp/>
        <stp>BDP|10591223399062931517</stp>
        <tr r="D1956" s="2"/>
      </tp>
      <tp t="s">
        <v>#N/A N/A</v>
        <stp/>
        <stp>BDP|14099841386638298069</stp>
        <tr r="T79" s="2"/>
      </tp>
      <tp t="s">
        <v>#N/A N/A</v>
        <stp/>
        <stp>BDP|14746278717282931980</stp>
        <tr r="H1096" s="2"/>
      </tp>
      <tp t="s">
        <v>#N/A N/A</v>
        <stp/>
        <stp>BDP|10208137560939514222</stp>
        <tr r="E1798" s="2"/>
      </tp>
      <tp t="s">
        <v>#N/A N/A</v>
        <stp/>
        <stp>BDP|11068548385790578023</stp>
        <tr r="E1786" s="2"/>
      </tp>
      <tp t="s">
        <v>#N/A N/A</v>
        <stp/>
        <stp>BDP|12551569675489128517</stp>
        <tr r="M1633" s="2"/>
      </tp>
      <tp t="s">
        <v>#N/A N/A</v>
        <stp/>
        <stp>BDP|16565812602830711270</stp>
        <tr r="R2033" s="2"/>
      </tp>
      <tp t="s">
        <v>#N/A N/A</v>
        <stp/>
        <stp>BDP|11188301992713153446</stp>
        <tr r="T1714" s="2"/>
      </tp>
      <tp t="s">
        <v>#N/A N/A</v>
        <stp/>
        <stp>BDP|16462265810388780135</stp>
        <tr r="H1055" s="2"/>
      </tp>
      <tp t="s">
        <v>#N/A N/A</v>
        <stp/>
        <stp>BDP|14510306592794182604</stp>
        <tr r="S697" s="2"/>
      </tp>
      <tp t="s">
        <v>#N/A N/A</v>
        <stp/>
        <stp>BDP|14966311458669351758</stp>
        <tr r="F1505" s="2"/>
      </tp>
      <tp t="s">
        <v>#N/A N/A</v>
        <stp/>
        <stp>BDS|14691005351675131835</stp>
        <tr r="I886" s="2"/>
      </tp>
      <tp t="s">
        <v>#N/A N/A</v>
        <stp/>
        <stp>BDP|14560514225356681915</stp>
        <tr r="Q1284" s="2"/>
      </tp>
      <tp t="s">
        <v>#N/A N/A</v>
        <stp/>
        <stp>BDP|15724447086674165129</stp>
        <tr r="K1124" s="2"/>
      </tp>
      <tp t="s">
        <v>#N/A N/A</v>
        <stp/>
        <stp>BDP|10067462908378955011</stp>
        <tr r="D1785" s="2"/>
      </tp>
      <tp t="s">
        <v>#N/A N/A</v>
        <stp/>
        <stp>BDP|17076730742268038075</stp>
        <tr r="H1739" s="2"/>
      </tp>
      <tp t="s">
        <v>#N/A N/A</v>
        <stp/>
        <stp>BDP|12442583589281506266</stp>
        <tr r="N900" s="2"/>
      </tp>
      <tp t="s">
        <v>#N/A N/A</v>
        <stp/>
        <stp>BDP|16698833015155784610</stp>
        <tr r="Q1358" s="2"/>
      </tp>
      <tp t="s">
        <v>#N/A N/A</v>
        <stp/>
        <stp>BDP|15899980102604280464</stp>
        <tr r="Q256" s="2"/>
      </tp>
      <tp t="s">
        <v>#N/A N/A</v>
        <stp/>
        <stp>BDP|18175251233303823694</stp>
        <tr r="J1925" s="2"/>
      </tp>
      <tp t="s">
        <v>#N/A N/A</v>
        <stp/>
        <stp>BDP|11092708009769822377</stp>
        <tr r="E1421" s="2"/>
      </tp>
      <tp t="s">
        <v>#N/A N/A</v>
        <stp/>
        <stp>BDP|15028480503545538887</stp>
        <tr r="K237" s="2"/>
      </tp>
      <tp t="s">
        <v>#N/A N/A</v>
        <stp/>
        <stp>BDP|18363431920515317751</stp>
        <tr r="P1953" s="2"/>
      </tp>
      <tp t="s">
        <v>#N/A N/A</v>
        <stp/>
        <stp>BDP|10244646100323158916</stp>
        <tr r="H1580" s="2"/>
      </tp>
      <tp t="s">
        <v>#N/A N/A</v>
        <stp/>
        <stp>BDP|17328564234604525920</stp>
        <tr r="D1650" s="2"/>
      </tp>
      <tp t="s">
        <v>#N/A N/A</v>
        <stp/>
        <stp>BDP|10328595654815846909</stp>
        <tr r="A53" s="2"/>
      </tp>
      <tp t="s">
        <v>#N/A N/A</v>
        <stp/>
        <stp>BDP|15331840417463317354</stp>
        <tr r="D1867" s="2"/>
      </tp>
      <tp t="s">
        <v>#N/A N/A</v>
        <stp/>
        <stp>BDP|15257430096327675373</stp>
        <tr r="C30" s="2"/>
      </tp>
      <tp t="s">
        <v>#N/A N/A</v>
        <stp/>
        <stp>BDP|10479977355082900292</stp>
        <tr r="P1234" s="2"/>
      </tp>
      <tp t="s">
        <v>#N/A N/A</v>
        <stp/>
        <stp>BDP|11075183887257164381</stp>
        <tr r="F2039" s="2"/>
      </tp>
      <tp t="s">
        <v>#N/A N/A</v>
        <stp/>
        <stp>BDP|15102570091455378022</stp>
        <tr r="K1617" s="2"/>
      </tp>
      <tp t="s">
        <v>#N/A N/A</v>
        <stp/>
        <stp>BDP|13442814804036752104</stp>
        <tr r="O56" s="2"/>
      </tp>
      <tp t="s">
        <v>#N/A N/A</v>
        <stp/>
        <stp>BDP|14656844072177362057</stp>
        <tr r="G930" s="2"/>
      </tp>
      <tp t="s">
        <v>#N/A N/A</v>
        <stp/>
        <stp>BDP|17274766980754045022</stp>
        <tr r="Q1923" s="2"/>
      </tp>
      <tp t="s">
        <v>#N/A N/A</v>
        <stp/>
        <stp>BDP|10140327008788831757</stp>
        <tr r="Q1604" s="2"/>
      </tp>
      <tp t="s">
        <v>#N/A N/A</v>
        <stp/>
        <stp>BDS|11162937856457607675</stp>
        <tr r="I1628" s="2"/>
      </tp>
      <tp t="s">
        <v>#N/A N/A</v>
        <stp/>
        <stp>BDP|14927893704174126432</stp>
        <tr r="M297" s="2"/>
      </tp>
      <tp t="s">
        <v>#N/A N/A</v>
        <stp/>
        <stp>BDP|10370784329740317975</stp>
        <tr r="C2045" s="2"/>
      </tp>
      <tp t="s">
        <v>#N/A N/A</v>
        <stp/>
        <stp>BDP|11102611518889894367</stp>
        <tr r="E1330" s="2"/>
      </tp>
      <tp t="s">
        <v>#N/A N/A</v>
        <stp/>
        <stp>BDS|15338844949327816232</stp>
        <tr r="I1872" s="2"/>
      </tp>
      <tp t="s">
        <v>#N/A N/A</v>
        <stp/>
        <stp>BDP|18354020514546323305</stp>
        <tr r="A1235" s="2"/>
      </tp>
      <tp t="s">
        <v>#N/A N/A</v>
        <stp/>
        <stp>BDP|10503284804359812770</stp>
        <tr r="G31" s="2"/>
      </tp>
      <tp t="s">
        <v>#N/A N/A</v>
        <stp/>
        <stp>BDP|14265184284833942218</stp>
        <tr r="D1772" s="2"/>
      </tp>
      <tp t="s">
        <v>#N/A N/A</v>
        <stp/>
        <stp>BDP|11156655866715213863</stp>
        <tr r="E2059" s="2"/>
      </tp>
      <tp t="s">
        <v>#N/A N/A</v>
        <stp/>
        <stp>BDP|17445251611970298840</stp>
        <tr r="M1700" s="2"/>
      </tp>
      <tp t="s">
        <v>#N/A N/A</v>
        <stp/>
        <stp>BDP|12417906622176752376</stp>
        <tr r="R1277" s="2"/>
      </tp>
      <tp t="s">
        <v>#N/A N/A</v>
        <stp/>
        <stp>BDP|15371979925881011372</stp>
        <tr r="R81" s="2"/>
      </tp>
      <tp t="s">
        <v>#N/A N/A</v>
        <stp/>
        <stp>BDP|13453324496577600201</stp>
        <tr r="A1048" s="2"/>
      </tp>
      <tp t="s">
        <v>#N/A N/A</v>
        <stp/>
        <stp>BDP|11543828247800342155</stp>
        <tr r="R1522" s="2"/>
      </tp>
      <tp t="s">
        <v>#N/A N/A</v>
        <stp/>
        <stp>BDP|14870514669439070264</stp>
        <tr r="M509" s="2"/>
      </tp>
      <tp t="s">
        <v>#N/A N/A</v>
        <stp/>
        <stp>BDP|11377855470500224221</stp>
        <tr r="H929" s="2"/>
      </tp>
      <tp t="s">
        <v>#N/A N/A</v>
        <stp/>
        <stp>BDP|15384400153218174079</stp>
        <tr r="S1403" s="2"/>
      </tp>
      <tp t="s">
        <v>#N/A N/A</v>
        <stp/>
        <stp>BDP|13078382583812406766</stp>
        <tr r="H344" s="2"/>
      </tp>
      <tp t="s">
        <v>#N/A N/A</v>
        <stp/>
        <stp>BDP|17116514019917033904</stp>
        <tr r="G1927" s="2"/>
      </tp>
      <tp t="s">
        <v>#N/A N/A</v>
        <stp/>
        <stp>BDP|10655990314844051123</stp>
        <tr r="A1679" s="2"/>
      </tp>
      <tp t="s">
        <v>#N/A N/A</v>
        <stp/>
        <stp>BDP|10890548623853226941</stp>
        <tr r="S1566" s="2"/>
      </tp>
      <tp t="s">
        <v>#N/A N/A</v>
        <stp/>
        <stp>BDP|14885090373729203795</stp>
        <tr r="C897" s="2"/>
      </tp>
      <tp t="s">
        <v>#N/A N/A</v>
        <stp/>
        <stp>BDP|11805160094386283212</stp>
        <tr r="H985" s="2"/>
      </tp>
      <tp t="s">
        <v>#N/A N/A</v>
        <stp/>
        <stp>BDP|16835825443990659763</stp>
        <tr r="M600" s="2"/>
      </tp>
      <tp t="s">
        <v>#N/A N/A</v>
        <stp/>
        <stp>BDP|12041198712289667640</stp>
        <tr r="C891" s="2"/>
      </tp>
      <tp t="s">
        <v>#N/A N/A</v>
        <stp/>
        <stp>BDP|14770655377948531090</stp>
        <tr r="E580" s="2"/>
      </tp>
      <tp t="s">
        <v>#N/A N/A</v>
        <stp/>
        <stp>BDP|13657122298935389369</stp>
        <tr r="D1375" s="2"/>
      </tp>
      <tp t="s">
        <v>#N/A N/A</v>
        <stp/>
        <stp>BDP|15941317842767398802</stp>
        <tr r="D746" s="2"/>
      </tp>
      <tp t="s">
        <v>#N/A N/A</v>
        <stp/>
        <stp>BDP|17218006976708476598</stp>
        <tr r="K1358" s="2"/>
      </tp>
      <tp t="s">
        <v>#N/A N/A</v>
        <stp/>
        <stp>BDP|15980303587064153761</stp>
        <tr r="P543" s="2"/>
      </tp>
      <tp t="s">
        <v>#N/A N/A</v>
        <stp/>
        <stp>BDP|18100958938717108840</stp>
        <tr r="N1836" s="2"/>
      </tp>
      <tp t="s">
        <v>#N/A N/A</v>
        <stp/>
        <stp>BDP|12807728460788178627</stp>
        <tr r="G1716" s="2"/>
      </tp>
      <tp t="s">
        <v>#N/A N/A</v>
        <stp/>
        <stp>BDP|12615898332702271667</stp>
        <tr r="A2108" s="2"/>
      </tp>
      <tp t="s">
        <v>#N/A N/A</v>
        <stp/>
        <stp>BDP|14485442296592779686</stp>
        <tr r="M1479" s="2"/>
      </tp>
      <tp t="s">
        <v>#N/A N/A</v>
        <stp/>
        <stp>BDP|11424028108768172464</stp>
        <tr r="H2047" s="2"/>
      </tp>
      <tp t="s">
        <v>#N/A N/A</v>
        <stp/>
        <stp>BDP|15186514938169248737</stp>
        <tr r="C660" s="2"/>
      </tp>
      <tp t="s">
        <v>#N/A N/A</v>
        <stp/>
        <stp>BDP|16610090392635492700</stp>
        <tr r="J57" s="2"/>
      </tp>
      <tp t="s">
        <v>#N/A N/A</v>
        <stp/>
        <stp>BDP|15121729185682883578</stp>
        <tr r="O1504" s="2"/>
      </tp>
      <tp t="s">
        <v>#N/A N/A</v>
        <stp/>
        <stp>BDP|15569879092950986903</stp>
        <tr r="S1533" s="2"/>
      </tp>
      <tp t="s">
        <v>#N/A N/A</v>
        <stp/>
        <stp>BDP|10686662088345915685</stp>
        <tr r="E1874" s="2"/>
      </tp>
      <tp t="s">
        <v>#N/A N/A</v>
        <stp/>
        <stp>BDP|13982640587650654056</stp>
        <tr r="O1454" s="2"/>
      </tp>
      <tp t="s">
        <v>#N/A N/A</v>
        <stp/>
        <stp>BDS|12776848199119217722</stp>
        <tr r="I1639" s="2"/>
      </tp>
      <tp t="s">
        <v>#N/A N/A</v>
        <stp/>
        <stp>BDP|10843174584120157439</stp>
        <tr r="P1823" s="2"/>
      </tp>
      <tp t="s">
        <v>#N/A N/A</v>
        <stp/>
        <stp>BDP|16197820649041466672</stp>
        <tr r="C850" s="2"/>
      </tp>
      <tp t="s">
        <v>#N/A N/A</v>
        <stp/>
        <stp>BDP|18171414178425191303</stp>
        <tr r="K720" s="2"/>
      </tp>
      <tp t="s">
        <v>#N/A N/A</v>
        <stp/>
        <stp>BDP|13403418927889394185</stp>
        <tr r="R1630" s="2"/>
      </tp>
      <tp t="s">
        <v>#N/A N/A</v>
        <stp/>
        <stp>BDP|12096761599444567536</stp>
        <tr r="M669" s="2"/>
      </tp>
      <tp t="s">
        <v>#N/A N/A</v>
        <stp/>
        <stp>BDP|12749024726484218986</stp>
        <tr r="J1009" s="2"/>
      </tp>
      <tp t="s">
        <v>#N/A N/A</v>
        <stp/>
        <stp>BDP|17503318239122497803</stp>
        <tr r="Q930" s="2"/>
      </tp>
      <tp t="s">
        <v>#N/A N/A</v>
        <stp/>
        <stp>BDP|14252946938027238453</stp>
        <tr r="G348" s="2"/>
      </tp>
      <tp t="s">
        <v>#N/A N/A</v>
        <stp/>
        <stp>BDP|17863656543728279051</stp>
        <tr r="N1025" s="2"/>
      </tp>
      <tp t="s">
        <v>#N/A N/A</v>
        <stp/>
        <stp>BDP|12286725284281464198</stp>
        <tr r="R1653" s="2"/>
      </tp>
      <tp t="s">
        <v>#N/A N/A</v>
        <stp/>
        <stp>BDP|15462990487958476179</stp>
        <tr r="M518" s="2"/>
      </tp>
      <tp t="s">
        <v>#N/A N/A</v>
        <stp/>
        <stp>BDP|14806267330141736904</stp>
        <tr r="C632" s="2"/>
      </tp>
      <tp t="s">
        <v>#N/A N/A</v>
        <stp/>
        <stp>BDP|18164723851372866530</stp>
        <tr r="M2040" s="2"/>
      </tp>
      <tp t="s">
        <v>#N/A N/A</v>
        <stp/>
        <stp>BDP|12642521114499812210</stp>
        <tr r="N1417" s="2"/>
      </tp>
      <tp t="s">
        <v>#N/A N/A</v>
        <stp/>
        <stp>BDP|14302719490682884537</stp>
        <tr r="P1422" s="2"/>
      </tp>
      <tp t="s">
        <v>#N/A N/A</v>
        <stp/>
        <stp>BDP|10495165147618480082</stp>
        <tr r="G767" s="2"/>
      </tp>
      <tp t="s">
        <v>#N/A N/A</v>
        <stp/>
        <stp>BDP|12325719294148984962</stp>
        <tr r="R1816" s="2"/>
      </tp>
      <tp t="s">
        <v>#N/A N/A</v>
        <stp/>
        <stp>BDP|17504736799424256047</stp>
        <tr r="T1686" s="2"/>
      </tp>
      <tp t="s">
        <v>#N/A N/A</v>
        <stp/>
        <stp>BDP|16412246343609817420</stp>
        <tr r="O962" s="2"/>
      </tp>
      <tp t="s">
        <v>#N/A N/A</v>
        <stp/>
        <stp>BDP|15407387837751356912</stp>
        <tr r="F528" s="2"/>
      </tp>
      <tp t="s">
        <v>#N/A N/A</v>
        <stp/>
        <stp>BDP|11072332252609148390</stp>
        <tr r="S993" s="2"/>
      </tp>
      <tp t="s">
        <v>#N/A N/A</v>
        <stp/>
        <stp>BDP|15754554865778623383</stp>
        <tr r="P1642" s="2"/>
      </tp>
      <tp t="s">
        <v>#N/A N/A</v>
        <stp/>
        <stp>BDP|12371694988061965022</stp>
        <tr r="H444" s="2"/>
      </tp>
      <tp t="s">
        <v>#N/A N/A</v>
        <stp/>
        <stp>BDP|11589947859965373526</stp>
        <tr r="G48" s="2"/>
      </tp>
      <tp t="s">
        <v>#N/A N/A</v>
        <stp/>
        <stp>BDP|14810880136551704383</stp>
        <tr r="T1510" s="2"/>
      </tp>
      <tp t="s">
        <v>#N/A N/A</v>
        <stp/>
        <stp>BDP|11843555690339464903</stp>
        <tr r="K1530" s="2"/>
      </tp>
      <tp t="s">
        <v>#N/A N/A</v>
        <stp/>
        <stp>BDP|12553482099043898158</stp>
        <tr r="S1208" s="2"/>
      </tp>
      <tp t="s">
        <v>#N/A N/A</v>
        <stp/>
        <stp>BDP|15258352624990919939</stp>
        <tr r="C570" s="2"/>
      </tp>
      <tp t="s">
        <v>#N/A N/A</v>
        <stp/>
        <stp>BDP|12341790250235379807</stp>
        <tr r="E2238" s="2"/>
      </tp>
      <tp t="s">
        <v>#N/A N/A</v>
        <stp/>
        <stp>BDP|18018790353777564066</stp>
        <tr r="P1454" s="2"/>
      </tp>
      <tp t="s">
        <v>#N/A N/A</v>
        <stp/>
        <stp>BDP|18352938819299208429</stp>
        <tr r="S2126" s="2"/>
      </tp>
      <tp t="s">
        <v>#N/A N/A</v>
        <stp/>
        <stp>BDP|14277636299893786567</stp>
        <tr r="T2078" s="2"/>
      </tp>
      <tp t="s">
        <v>#N/A N/A</v>
        <stp/>
        <stp>BDP|14912602302168701754</stp>
        <tr r="K1142" s="2"/>
      </tp>
      <tp t="s">
        <v>#N/A N/A</v>
        <stp/>
        <stp>BDP|14696914308652293244</stp>
        <tr r="O2045" s="2"/>
      </tp>
      <tp t="s">
        <v>#N/A N/A</v>
        <stp/>
        <stp>BDP|16911835912263876194</stp>
        <tr r="T772" s="2"/>
      </tp>
      <tp t="s">
        <v>#N/A N/A</v>
        <stp/>
        <stp>BDS|10104614285007772486</stp>
        <tr r="I821" s="2"/>
      </tp>
      <tp t="s">
        <v>#N/A N/A</v>
        <stp/>
        <stp>BDP|16369821141594961301</stp>
        <tr r="A1613" s="2"/>
      </tp>
      <tp t="s">
        <v>#N/A N/A</v>
        <stp/>
        <stp>BDP|12717940485756755887</stp>
        <tr r="E1473" s="2"/>
      </tp>
      <tp t="s">
        <v>#N/A N/A</v>
        <stp/>
        <stp>BDS|10933668859417551981</stp>
        <tr r="I1747" s="2"/>
      </tp>
      <tp t="s">
        <v>#N/A N/A</v>
        <stp/>
        <stp>BDP|15133705988314478359</stp>
        <tr r="D142" s="2"/>
      </tp>
      <tp t="s">
        <v>#N/A N/A</v>
        <stp/>
        <stp>BDP|14280645834775330993</stp>
        <tr r="A772" s="2"/>
      </tp>
      <tp t="s">
        <v>#N/A N/A</v>
        <stp/>
        <stp>BDP|12657499734580341807</stp>
        <tr r="D616" s="2"/>
      </tp>
      <tp t="s">
        <v>#N/A N/A</v>
        <stp/>
        <stp>BDP|17170751051880961842</stp>
        <tr r="O1765" s="2"/>
      </tp>
      <tp t="s">
        <v>#N/A N/A</v>
        <stp/>
        <stp>BDP|14196568170763989864</stp>
        <tr r="C1410" s="2"/>
      </tp>
      <tp t="s">
        <v>#N/A N/A</v>
        <stp/>
        <stp>BDP|14712620107016885923</stp>
        <tr r="O7" s="2"/>
      </tp>
      <tp t="s">
        <v>#N/A N/A</v>
        <stp/>
        <stp>BDP|16588625600978988566</stp>
        <tr r="N1290" s="2"/>
      </tp>
      <tp t="s">
        <v>#N/A N/A</v>
        <stp/>
        <stp>BDP|11129886150984430554</stp>
        <tr r="G1736" s="2"/>
      </tp>
      <tp t="s">
        <v>#N/A N/A</v>
        <stp/>
        <stp>BDP|11165880450237572649</stp>
        <tr r="A1523" s="2"/>
      </tp>
      <tp t="s">
        <v>#N/A N/A</v>
        <stp/>
        <stp>BDP|12947510832848778151</stp>
        <tr r="K1204" s="2"/>
      </tp>
      <tp t="s">
        <v>#N/A N/A</v>
        <stp/>
        <stp>BDP|12608838469103296269</stp>
        <tr r="Q1629" s="2"/>
      </tp>
      <tp t="s">
        <v>#N/A N/A</v>
        <stp/>
        <stp>BDS|16988562490621169653</stp>
        <tr r="I1863" s="2"/>
      </tp>
      <tp t="s">
        <v>#N/A N/A</v>
        <stp/>
        <stp>BDP|15479243472475295881</stp>
        <tr r="M1465" s="2"/>
      </tp>
      <tp t="s">
        <v>#N/A N/A</v>
        <stp/>
        <stp>BDP|13126553381357985442</stp>
        <tr r="R1010" s="2"/>
      </tp>
      <tp t="s">
        <v>#N/A N/A</v>
        <stp/>
        <stp>BDP|13216614416110457999</stp>
        <tr r="A1548" s="2"/>
      </tp>
      <tp t="s">
        <v>#N/A N/A</v>
        <stp/>
        <stp>BDP|16274055422579573088</stp>
        <tr r="O3" s="2"/>
      </tp>
      <tp t="s">
        <v>#N/A N/A</v>
        <stp/>
        <stp>BDP|15535651989860163603</stp>
        <tr r="T1514" s="2"/>
      </tp>
      <tp t="s">
        <v>#N/A N/A</v>
        <stp/>
        <stp>BDP|14183185575038270765</stp>
        <tr r="G330" s="2"/>
      </tp>
      <tp t="s">
        <v>#N/A N/A</v>
        <stp/>
        <stp>BDP|10882943774033753070</stp>
        <tr r="N1588" s="2"/>
      </tp>
      <tp t="s">
        <v>#N/A N/A</v>
        <stp/>
        <stp>BDP|10061167563709898352</stp>
        <tr r="P1615" s="2"/>
      </tp>
      <tp t="s">
        <v>#N/A N/A</v>
        <stp/>
        <stp>BDP|10682992555080264100</stp>
        <tr r="M689" s="2"/>
      </tp>
      <tp t="s">
        <v>#N/A N/A</v>
        <stp/>
        <stp>BDP|13934144821805446807</stp>
        <tr r="E1298" s="2"/>
      </tp>
      <tp t="s">
        <v>#N/A N/A</v>
        <stp/>
        <stp>BDP|13530461679625203808</stp>
        <tr r="T1906" s="2"/>
      </tp>
      <tp t="s">
        <v>#N/A N/A</v>
        <stp/>
        <stp>BDP|16919332180342448267</stp>
        <tr r="F1822" s="2"/>
      </tp>
      <tp t="s">
        <v>#N/A N/A</v>
        <stp/>
        <stp>BDP|17762179519053082914</stp>
        <tr r="M243" s="2"/>
      </tp>
      <tp t="s">
        <v>#N/A N/A</v>
        <stp/>
        <stp>BDP|11653276592496912127</stp>
        <tr r="R458" s="2"/>
      </tp>
      <tp t="s">
        <v>#N/A N/A</v>
        <stp/>
        <stp>BDP|13661952410197330187</stp>
        <tr r="F970" s="2"/>
      </tp>
      <tp t="s">
        <v>#N/A N/A</v>
        <stp/>
        <stp>BDP|17225242706948108098</stp>
        <tr r="F2078" s="2"/>
      </tp>
      <tp t="s">
        <v>#N/A N/A</v>
        <stp/>
        <stp>BDP|11728500349568747512</stp>
        <tr r="H582" s="2"/>
      </tp>
      <tp t="s">
        <v>#N/A N/A</v>
        <stp/>
        <stp>BDP|18351095614454435026</stp>
        <tr r="C780" s="2"/>
      </tp>
      <tp t="s">
        <v>#N/A N/A</v>
        <stp/>
        <stp>BDP|10158371584686273084</stp>
        <tr r="P245" s="2"/>
      </tp>
      <tp t="s">
        <v>#N/A N/A</v>
        <stp/>
        <stp>BDP|10512716005563857916</stp>
        <tr r="Q1141" s="2"/>
      </tp>
      <tp t="s">
        <v>#N/A N/A</v>
        <stp/>
        <stp>BDP|15217213746737571983</stp>
        <tr r="S1750" s="2"/>
      </tp>
      <tp t="s">
        <v>#N/A N/A</v>
        <stp/>
        <stp>BDP|16501997202033261141</stp>
        <tr r="K948" s="2"/>
      </tp>
      <tp t="s">
        <v>#N/A N/A</v>
        <stp/>
        <stp>BDP|14212350818788450333</stp>
        <tr r="O1402" s="2"/>
      </tp>
      <tp t="s">
        <v>#N/A N/A</v>
        <stp/>
        <stp>BDP|11759502625608952333</stp>
        <tr r="Q1099" s="2"/>
      </tp>
      <tp t="s">
        <v>#N/A N/A</v>
        <stp/>
        <stp>BDP|16714932928038542810</stp>
        <tr r="D1502" s="2"/>
      </tp>
      <tp t="s">
        <v>#N/A N/A</v>
        <stp/>
        <stp>BDP|11294961179564028658</stp>
        <tr r="E936" s="2"/>
      </tp>
      <tp t="s">
        <v>#N/A N/A</v>
        <stp/>
        <stp>BDP|10526585673168461727</stp>
        <tr r="S1079" s="2"/>
      </tp>
      <tp t="s">
        <v>#N/A N/A</v>
        <stp/>
        <stp>BDP|12769558188204799652</stp>
        <tr r="K1270" s="2"/>
      </tp>
      <tp t="s">
        <v>#N/A N/A</v>
        <stp/>
        <stp>BDP|10705780224538577065</stp>
        <tr r="S2201" s="2"/>
      </tp>
      <tp t="s">
        <v>#N/A N/A</v>
        <stp/>
        <stp>BDP|11200924518104538050</stp>
        <tr r="M806" s="2"/>
      </tp>
      <tp t="s">
        <v>#N/A N/A</v>
        <stp/>
        <stp>BDP|13817072699790735791</stp>
        <tr r="S1028" s="2"/>
      </tp>
      <tp t="s">
        <v>#N/A N/A</v>
        <stp/>
        <stp>BDP|17467873491683974832</stp>
        <tr r="G673" s="2"/>
      </tp>
      <tp t="s">
        <v>#N/A N/A</v>
        <stp/>
        <stp>BDP|17936927553256717071</stp>
        <tr r="E942" s="2"/>
      </tp>
      <tp t="s">
        <v>#N/A N/A</v>
        <stp/>
        <stp>BDP|14456986416670167135</stp>
        <tr r="P2092" s="2"/>
      </tp>
      <tp t="s">
        <v>#N/A N/A</v>
        <stp/>
        <stp>BDP|11917742919678515291</stp>
        <tr r="C1237" s="2"/>
      </tp>
      <tp t="s">
        <v>#N/A N/A</v>
        <stp/>
        <stp>BDP|13950031592062618560</stp>
        <tr r="E1370" s="2"/>
      </tp>
      <tp t="s">
        <v>#N/A N/A</v>
        <stp/>
        <stp>BDP|13037019677919713096</stp>
        <tr r="K518" s="2"/>
      </tp>
      <tp t="s">
        <v>#N/A N/A</v>
        <stp/>
        <stp>BDP|13074360147769001094</stp>
        <tr r="A2092" s="2"/>
      </tp>
      <tp t="s">
        <v>#N/A N/A</v>
        <stp/>
        <stp>BDP|18183503811210867134</stp>
        <tr r="O474" s="2"/>
      </tp>
      <tp t="s">
        <v>#N/A N/A</v>
        <stp/>
        <stp>BDP|17408472798326487142</stp>
        <tr r="M1081" s="2"/>
      </tp>
      <tp t="s">
        <v>#N/A N/A</v>
        <stp/>
        <stp>BDP|11987964765154836795</stp>
        <tr r="F1451" s="2"/>
      </tp>
      <tp t="s">
        <v>#N/A N/A</v>
        <stp/>
        <stp>BDP|10385020320828336798</stp>
        <tr r="O1931" s="2"/>
      </tp>
      <tp t="s">
        <v>#N/A N/A</v>
        <stp/>
        <stp>BDP|14753222671938629496</stp>
        <tr r="G2075" s="2"/>
      </tp>
      <tp t="s">
        <v>#N/A N/A</v>
        <stp/>
        <stp>BDS|14120183890580089116</stp>
        <tr r="I431" s="2"/>
      </tp>
      <tp t="s">
        <v>#N/A N/A</v>
        <stp/>
        <stp>BDP|18387294108995067299</stp>
        <tr r="F725" s="2"/>
      </tp>
      <tp t="s">
        <v>#N/A N/A</v>
        <stp/>
        <stp>BDP|16180845133160860050</stp>
        <tr r="Q234" s="2"/>
      </tp>
      <tp t="s">
        <v>#N/A N/A</v>
        <stp/>
        <stp>BDP|16509211548698243559</stp>
        <tr r="J267" s="2"/>
      </tp>
      <tp t="s">
        <v>#N/A N/A</v>
        <stp/>
        <stp>BDP|16666883932908541821</stp>
        <tr r="F2021" s="2"/>
      </tp>
      <tp t="s">
        <v>#N/A N/A</v>
        <stp/>
        <stp>BDP|17387942924440908117</stp>
        <tr r="E1712" s="2"/>
      </tp>
      <tp t="s">
        <v>#N/A N/A</v>
        <stp/>
        <stp>BDP|15412557623559038698</stp>
        <tr r="O1210" s="2"/>
      </tp>
      <tp t="s">
        <v>#N/A N/A</v>
        <stp/>
        <stp>BDP|14573910031205959678</stp>
        <tr r="T370" s="2"/>
      </tp>
      <tp t="s">
        <v>#N/A N/A</v>
        <stp/>
        <stp>BDP|13169348813675983948</stp>
        <tr r="F444" s="2"/>
      </tp>
      <tp t="s">
        <v>#N/A N/A</v>
        <stp/>
        <stp>BDP|15055985588131817838</stp>
        <tr r="G319" s="2"/>
      </tp>
      <tp t="s">
        <v>#N/A N/A</v>
        <stp/>
        <stp>BDP|16415949868557074335</stp>
        <tr r="T174" s="2"/>
      </tp>
      <tp t="s">
        <v>#N/A N/A</v>
        <stp/>
        <stp>BDP|13869586062704010998</stp>
        <tr r="A746" s="2"/>
      </tp>
      <tp t="s">
        <v>#N/A N/A</v>
        <stp/>
        <stp>BDP|11521831339404600329</stp>
        <tr r="J1439" s="2"/>
      </tp>
      <tp t="s">
        <v>#N/A N/A</v>
        <stp/>
        <stp>BDP|11446297147168064219</stp>
        <tr r="Q1342" s="2"/>
      </tp>
      <tp t="s">
        <v>#N/A N/A</v>
        <stp/>
        <stp>BDP|17182153878789523523</stp>
        <tr r="A1088" s="2"/>
      </tp>
      <tp t="s">
        <v>#N/A N/A</v>
        <stp/>
        <stp>BDP|13503384797077091310</stp>
        <tr r="N2138" s="2"/>
      </tp>
      <tp t="s">
        <v>#N/A N/A</v>
        <stp/>
        <stp>BDP|12452721202199896170</stp>
        <tr r="C1977" s="2"/>
      </tp>
      <tp t="s">
        <v>#N/A N/A</v>
        <stp/>
        <stp>BDP|14317986236592187176</stp>
        <tr r="F1931" s="2"/>
      </tp>
      <tp t="s">
        <v>#N/A N/A</v>
        <stp/>
        <stp>BDP|14853605395014338250</stp>
        <tr r="C654" s="2"/>
      </tp>
      <tp t="s">
        <v>#N/A N/A</v>
        <stp/>
        <stp>BDP|14324390276375209852</stp>
        <tr r="F176" s="2"/>
      </tp>
      <tp t="s">
        <v>#N/A N/A</v>
        <stp/>
        <stp>BDP|12558185838509664480</stp>
        <tr r="H248" s="2"/>
      </tp>
      <tp t="s">
        <v>#N/A N/A</v>
        <stp/>
        <stp>BDP|12311811068480758162</stp>
        <tr r="K1304" s="2"/>
      </tp>
      <tp t="s">
        <v>#N/A N/A</v>
        <stp/>
        <stp>BDP|16739818843944634382</stp>
        <tr r="R1505" s="2"/>
      </tp>
      <tp t="s">
        <v>#N/A N/A</v>
        <stp/>
        <stp>BDP|18303432430022217090</stp>
        <tr r="D1240" s="2"/>
      </tp>
      <tp t="s">
        <v>#N/A N/A</v>
        <stp/>
        <stp>BDP|16666232624309828227</stp>
        <tr r="P706" s="2"/>
      </tp>
      <tp t="s">
        <v>#N/A N/A</v>
        <stp/>
        <stp>BDS|17917306287059228847</stp>
        <tr r="I2034" s="2"/>
      </tp>
      <tp t="s">
        <v>#N/A N/A</v>
        <stp/>
        <stp>BDP|12569089562380181956</stp>
        <tr r="E2163" s="2"/>
      </tp>
      <tp t="s">
        <v>#N/A N/A</v>
        <stp/>
        <stp>BDP|14647146357009647484</stp>
        <tr r="J37" s="2"/>
      </tp>
      <tp t="s">
        <v>#N/A N/A</v>
        <stp/>
        <stp>BDP|15579686014677000826</stp>
        <tr r="F767" s="2"/>
      </tp>
      <tp t="s">
        <v>#N/A N/A</v>
        <stp/>
        <stp>BDP|11715477214299657090</stp>
        <tr r="G1846" s="2"/>
      </tp>
      <tp t="s">
        <v>#N/A N/A</v>
        <stp/>
        <stp>BDP|14903050694062188229</stp>
        <tr r="N245" s="2"/>
      </tp>
      <tp t="s">
        <v>#N/A N/A</v>
        <stp/>
        <stp>BDP|17347305014509854140</stp>
        <tr r="F2076" s="2"/>
      </tp>
      <tp t="s">
        <v>#N/A N/A</v>
        <stp/>
        <stp>BDP|12901061626438428567</stp>
        <tr r="P756" s="2"/>
      </tp>
      <tp t="s">
        <v>#N/A N/A</v>
        <stp/>
        <stp>BDS|17809254894575133402</stp>
        <tr r="I663" s="2"/>
      </tp>
      <tp t="s">
        <v>#N/A N/A</v>
        <stp/>
        <stp>BDP|14030635294490837646</stp>
        <tr r="N844" s="2"/>
      </tp>
      <tp t="s">
        <v>#N/A N/A</v>
        <stp/>
        <stp>BDP|17408986657060021603</stp>
        <tr r="O2095" s="2"/>
      </tp>
      <tp t="s">
        <v>#N/A N/A</v>
        <stp/>
        <stp>BDP|18066186545583352357</stp>
        <tr r="A1283" s="2"/>
      </tp>
      <tp t="s">
        <v>#N/A N/A</v>
        <stp/>
        <stp>BDP|17547602228198038663</stp>
        <tr r="C334" s="2"/>
      </tp>
      <tp t="s">
        <v>#N/A N/A</v>
        <stp/>
        <stp>BDP|17301899328841049193</stp>
        <tr r="O257" s="2"/>
      </tp>
      <tp t="s">
        <v>#N/A N/A</v>
        <stp/>
        <stp>BDP|16995179764099403556</stp>
        <tr r="S1486" s="2"/>
      </tp>
      <tp t="s">
        <v>#N/A N/A</v>
        <stp/>
        <stp>BDP|17119904355382659495</stp>
        <tr r="N905" s="2"/>
      </tp>
      <tp t="s">
        <v>#N/A N/A</v>
        <stp/>
        <stp>BDP|11581911187315946818</stp>
        <tr r="M1296" s="2"/>
      </tp>
      <tp t="s">
        <v>#N/A N/A</v>
        <stp/>
        <stp>BDP|16312716149659360131</stp>
        <tr r="D648" s="2"/>
      </tp>
      <tp t="s">
        <v>#N/A N/A</v>
        <stp/>
        <stp>BDP|10844600298466860430</stp>
        <tr r="D920" s="2"/>
      </tp>
      <tp t="s">
        <v>#N/A N/A</v>
        <stp/>
        <stp>BDP|14062752976600801907</stp>
        <tr r="S378" s="2"/>
      </tp>
      <tp t="s">
        <v>#N/A N/A</v>
        <stp/>
        <stp>BDP|13237698199278181984</stp>
        <tr r="G598" s="2"/>
      </tp>
      <tp t="s">
        <v>#N/A N/A</v>
        <stp/>
        <stp>BDP|11166291941469743353</stp>
        <tr r="K211" s="2"/>
      </tp>
      <tp t="s">
        <v>#N/A N/A</v>
        <stp/>
        <stp>BDP|16506323780128816847</stp>
        <tr r="J346" s="2"/>
      </tp>
      <tp t="s">
        <v>#N/A N/A</v>
        <stp/>
        <stp>BDP|15163301229979331009</stp>
        <tr r="H702" s="2"/>
      </tp>
      <tp t="s">
        <v>#N/A N/A</v>
        <stp/>
        <stp>BDP|12561487123459355064</stp>
        <tr r="R1061" s="2"/>
      </tp>
      <tp t="s">
        <v>#N/A N/A</v>
        <stp/>
        <stp>BDP|10497258947842557997</stp>
        <tr r="H1500" s="2"/>
      </tp>
      <tp t="s">
        <v>#N/A N/A</v>
        <stp/>
        <stp>BDS|18407081005777881285</stp>
        <tr r="I2005" s="2"/>
      </tp>
      <tp t="s">
        <v>#N/A N/A</v>
        <stp/>
        <stp>BDP|11904188873629173393</stp>
        <tr r="R1966" s="2"/>
      </tp>
      <tp t="s">
        <v>#N/A N/A</v>
        <stp/>
        <stp>BDP|13143059579579569024</stp>
        <tr r="K1630" s="2"/>
      </tp>
      <tp t="s">
        <v>#N/A N/A</v>
        <stp/>
        <stp>BDP|14440792679509903079</stp>
        <tr r="F1787" s="2"/>
      </tp>
      <tp t="s">
        <v>#N/A N/A</v>
        <stp/>
        <stp>BDP|12469867287187887872</stp>
        <tr r="E136" s="2"/>
      </tp>
      <tp t="s">
        <v>#N/A N/A</v>
        <stp/>
        <stp>BDP|13484569398512372039</stp>
        <tr r="E1572" s="2"/>
      </tp>
      <tp t="s">
        <v>#N/A N/A</v>
        <stp/>
        <stp>BDP|10055988166022505017</stp>
        <tr r="M2062" s="2"/>
      </tp>
      <tp t="s">
        <v>#N/A N/A</v>
        <stp/>
        <stp>BDS|14435821938424196666</stp>
        <tr r="I186" s="2"/>
      </tp>
      <tp t="s">
        <v>#N/A N/A</v>
        <stp/>
        <stp>BDP|11839411843729647568</stp>
        <tr r="C601" s="2"/>
      </tp>
      <tp t="s">
        <v>#N/A N/A</v>
        <stp/>
        <stp>BDP|16624098188120905342</stp>
        <tr r="C2199" s="2"/>
      </tp>
      <tp t="s">
        <v>#N/A N/A</v>
        <stp/>
        <stp>BDP|10266157302014798880</stp>
        <tr r="N914" s="2"/>
      </tp>
      <tp t="s">
        <v>#N/A N/A</v>
        <stp/>
        <stp>BDP|17934581825638984573</stp>
        <tr r="M742" s="2"/>
      </tp>
      <tp t="s">
        <v>#N/A N/A</v>
        <stp/>
        <stp>BDP|15494365138470778870</stp>
        <tr r="R2245" s="2"/>
      </tp>
      <tp t="s">
        <v>#N/A N/A</v>
        <stp/>
        <stp>BDP|18192375491697439896</stp>
        <tr r="O600" s="2"/>
      </tp>
      <tp t="s">
        <v>#N/A N/A</v>
        <stp/>
        <stp>BDP|16049835999223393935</stp>
        <tr r="C2030" s="2"/>
      </tp>
      <tp t="s">
        <v>#N/A N/A</v>
        <stp/>
        <stp>BDP|14839939514167249670</stp>
        <tr r="Q1671" s="2"/>
      </tp>
      <tp t="s">
        <v>#N/A N/A</v>
        <stp/>
        <stp>BDP|10504736064854142894</stp>
        <tr r="P730" s="2"/>
      </tp>
      <tp t="s">
        <v>#N/A N/A</v>
        <stp/>
        <stp>BDP|10024892847989538817</stp>
        <tr r="C680" s="2"/>
      </tp>
      <tp t="s">
        <v>#N/A N/A</v>
        <stp/>
        <stp>BDP|12799407190227576586</stp>
        <tr r="R1149" s="2"/>
      </tp>
      <tp t="s">
        <v>#N/A N/A</v>
        <stp/>
        <stp>BDP|11777171716788886444</stp>
        <tr r="D2095" s="2"/>
      </tp>
      <tp t="s">
        <v>#N/A N/A</v>
        <stp/>
        <stp>BDP|12600396723486389857</stp>
        <tr r="S534" s="2"/>
      </tp>
      <tp t="s">
        <v>#N/A N/A</v>
        <stp/>
        <stp>BDP|18228893226328190767</stp>
        <tr r="N2163" s="2"/>
      </tp>
      <tp t="s">
        <v>#N/A N/A</v>
        <stp/>
        <stp>BDP|12473429756369905731</stp>
        <tr r="S1857" s="2"/>
      </tp>
      <tp t="s">
        <v>#N/A N/A</v>
        <stp/>
        <stp>BDP|15497103938008013268</stp>
        <tr r="H1601" s="2"/>
      </tp>
      <tp t="s">
        <v>#N/A N/A</v>
        <stp/>
        <stp>BDP|13478326613945834978</stp>
        <tr r="E1814" s="2"/>
      </tp>
      <tp t="s">
        <v>#N/A N/A</v>
        <stp/>
        <stp>BDP|16989619573439467350</stp>
        <tr r="F1614" s="2"/>
      </tp>
      <tp t="s">
        <v>#N/A N/A</v>
        <stp/>
        <stp>BDP|15588939404798826907</stp>
        <tr r="O571" s="2"/>
      </tp>
      <tp t="s">
        <v>#N/A N/A</v>
        <stp/>
        <stp>BDP|10867062480193627625</stp>
        <tr r="N506" s="2"/>
      </tp>
      <tp t="s">
        <v>#N/A N/A</v>
        <stp/>
        <stp>BDP|10909764733329556030</stp>
        <tr r="K829" s="2"/>
      </tp>
      <tp t="s">
        <v>#N/A N/A</v>
        <stp/>
        <stp>BDP|11695742697962818072</stp>
        <tr r="H1771" s="2"/>
      </tp>
      <tp t="s">
        <v>#N/A N/A</v>
        <stp/>
        <stp>BDP|13101328619818372436</stp>
        <tr r="Q1659" s="2"/>
      </tp>
      <tp t="s">
        <v>#N/A N/A</v>
        <stp/>
        <stp>BDP|14989231353867491978</stp>
        <tr r="G1748" s="2"/>
      </tp>
      <tp t="s">
        <v>#N/A N/A</v>
        <stp/>
        <stp>BDP|15955966756142109622</stp>
        <tr r="G1969" s="2"/>
      </tp>
      <tp t="s">
        <v>#N/A N/A</v>
        <stp/>
        <stp>BDP|10730680692075139760</stp>
        <tr r="M1637" s="2"/>
      </tp>
      <tp t="s">
        <v>#N/A N/A</v>
        <stp/>
        <stp>BDP|13820107036645061945</stp>
        <tr r="F2087" s="2"/>
      </tp>
      <tp t="s">
        <v>#N/A N/A</v>
        <stp/>
        <stp>BDP|17901603792620900585</stp>
        <tr r="D302" s="2"/>
      </tp>
      <tp t="s">
        <v>#N/A N/A</v>
        <stp/>
        <stp>BDP|11831267540458587218</stp>
        <tr r="C309" s="2"/>
      </tp>
      <tp t="s">
        <v>#N/A N/A</v>
        <stp/>
        <stp>BDP|12961975052506401526</stp>
        <tr r="M943" s="2"/>
      </tp>
      <tp t="s">
        <v>#N/A N/A</v>
        <stp/>
        <stp>BDP|15902202936390510900</stp>
        <tr r="N110" s="2"/>
      </tp>
      <tp t="s">
        <v>#N/A N/A</v>
        <stp/>
        <stp>BDP|17322798446430709919</stp>
        <tr r="O1214" s="2"/>
      </tp>
      <tp t="s">
        <v>#N/A N/A</v>
        <stp/>
        <stp>BDP|11536576488103406243</stp>
        <tr r="R590" s="2"/>
      </tp>
      <tp t="s">
        <v>#N/A N/A</v>
        <stp/>
        <stp>BDP|16410962214545932652</stp>
        <tr r="G1893" s="2"/>
      </tp>
      <tp t="s">
        <v>#N/A N/A</v>
        <stp/>
        <stp>BDP|17132967439224280469</stp>
        <tr r="T2239" s="2"/>
      </tp>
      <tp t="s">
        <v>#N/A N/A</v>
        <stp/>
        <stp>BDP|18348462158757648312</stp>
        <tr r="Q1702" s="2"/>
      </tp>
      <tp t="s">
        <v>#N/A N/A</v>
        <stp/>
        <stp>BDP|14111850907183833214</stp>
        <tr r="D1688" s="2"/>
      </tp>
      <tp t="s">
        <v>#N/A N/A</v>
        <stp/>
        <stp>BDP|17659797195784472045</stp>
        <tr r="P857" s="2"/>
      </tp>
      <tp t="s">
        <v>#N/A N/A</v>
        <stp/>
        <stp>BDP|17259477805756809823</stp>
        <tr r="A1748" s="2"/>
      </tp>
      <tp t="s">
        <v>#N/A N/A</v>
        <stp/>
        <stp>BDP|17749117981240549383</stp>
        <tr r="A2069" s="2"/>
      </tp>
      <tp t="s">
        <v>#N/A N/A</v>
        <stp/>
        <stp>BDP|10838013796091242572</stp>
        <tr r="R1290" s="2"/>
      </tp>
      <tp t="s">
        <v>#N/A N/A</v>
        <stp/>
        <stp>BDP|10882583966498894640</stp>
        <tr r="R196" s="2"/>
      </tp>
      <tp t="s">
        <v>#N/A N/A</v>
        <stp/>
        <stp>BDP|12892832421853725677</stp>
        <tr r="Q1603" s="2"/>
      </tp>
      <tp t="s">
        <v>#N/A N/A</v>
        <stp/>
        <stp>BDP|10880850132891665733</stp>
        <tr r="J1401" s="2"/>
      </tp>
      <tp t="s">
        <v>#N/A N/A</v>
        <stp/>
        <stp>BDP|15988819064434246244</stp>
        <tr r="O592" s="2"/>
      </tp>
      <tp t="s">
        <v>#N/A N/A</v>
        <stp/>
        <stp>BDP|15164668942829925361</stp>
        <tr r="E926" s="2"/>
      </tp>
      <tp t="s">
        <v>#N/A N/A</v>
        <stp/>
        <stp>BDP|16578130159159516602</stp>
        <tr r="A366" s="2"/>
      </tp>
      <tp t="s">
        <v>#N/A N/A</v>
        <stp/>
        <stp>BDP|17025756513139832543</stp>
        <tr r="J1368" s="2"/>
      </tp>
      <tp t="s">
        <v>#N/A N/A</v>
        <stp/>
        <stp>BDP|10981448990220131065</stp>
        <tr r="H74" s="2"/>
      </tp>
      <tp t="s">
        <v>#N/A N/A</v>
        <stp/>
        <stp>BDP|18354589065686589016</stp>
        <tr r="G288" s="2"/>
      </tp>
      <tp t="s">
        <v>#N/A N/A</v>
        <stp/>
        <stp>BDP|15534726383002686589</stp>
        <tr r="S655" s="2"/>
      </tp>
      <tp t="s">
        <v>#N/A N/A</v>
        <stp/>
        <stp>BDP|16570852207827904436</stp>
        <tr r="C1518" s="2"/>
      </tp>
      <tp t="s">
        <v>#N/A N/A</v>
        <stp/>
        <stp>BDP|15464182691289493940</stp>
        <tr r="S44" s="2"/>
      </tp>
      <tp t="s">
        <v>#N/A N/A</v>
        <stp/>
        <stp>BDP|12451215491287897314</stp>
        <tr r="D2162" s="2"/>
      </tp>
      <tp t="s">
        <v>#N/A N/A</v>
        <stp/>
        <stp>BDP|14410185225938706232</stp>
        <tr r="P1301" s="2"/>
      </tp>
      <tp t="s">
        <v>#N/A N/A</v>
        <stp/>
        <stp>BDP|13835453702309344318</stp>
        <tr r="J1682" s="2"/>
      </tp>
      <tp t="s">
        <v>#N/A N/A</v>
        <stp/>
        <stp>BDP|18422815997322939669</stp>
        <tr r="R695" s="2"/>
      </tp>
      <tp t="s">
        <v>#N/A N/A</v>
        <stp/>
        <stp>BDP|12360795500921015975</stp>
        <tr r="H2162" s="2"/>
      </tp>
      <tp t="s">
        <v>#N/A N/A</v>
        <stp/>
        <stp>BDP|13053018489014044257</stp>
        <tr r="S1945" s="2"/>
      </tp>
      <tp t="s">
        <v>#N/A N/A</v>
        <stp/>
        <stp>BDP|11246803809022383652</stp>
        <tr r="Q1857" s="2"/>
      </tp>
      <tp t="s">
        <v>#N/A N/A</v>
        <stp/>
        <stp>BDS|15183816248967428328</stp>
        <tr r="I1182" s="2"/>
      </tp>
      <tp t="s">
        <v>#N/A N/A</v>
        <stp/>
        <stp>BDP|11830545024633054858</stp>
        <tr r="F914" s="2"/>
      </tp>
      <tp t="s">
        <v>#N/A N/A</v>
        <stp/>
        <stp>BDP|18074843063009908238</stp>
        <tr r="R338" s="2"/>
      </tp>
      <tp t="s">
        <v>#N/A N/A</v>
        <stp/>
        <stp>BDP|18289991485963587764</stp>
        <tr r="F132" s="2"/>
      </tp>
      <tp t="s">
        <v>#N/A N/A</v>
        <stp/>
        <stp>BDP|17926030175795781851</stp>
        <tr r="N1460" s="2"/>
      </tp>
      <tp t="s">
        <v>#N/A N/A</v>
        <stp/>
        <stp>BDP|16399942016550502392</stp>
        <tr r="J2121" s="2"/>
      </tp>
      <tp t="s">
        <v>#N/A N/A</v>
        <stp/>
        <stp>BDP|15615016024913801962</stp>
        <tr r="H453" s="2"/>
      </tp>
      <tp t="s">
        <v>#N/A N/A</v>
        <stp/>
        <stp>BDP|16266129126670926827</stp>
        <tr r="J1339" s="2"/>
      </tp>
      <tp t="s">
        <v>#N/A N/A</v>
        <stp/>
        <stp>BDP|16775301897553862256</stp>
        <tr r="M484" s="2"/>
      </tp>
      <tp t="s">
        <v>#N/A N/A</v>
        <stp/>
        <stp>BDP|18319877382913841638</stp>
        <tr r="M546" s="2"/>
      </tp>
      <tp t="s">
        <v>#N/A N/A</v>
        <stp/>
        <stp>BDP|12277800797447151995</stp>
        <tr r="N80" s="2"/>
      </tp>
      <tp t="s">
        <v>#N/A N/A</v>
        <stp/>
        <stp>BDP|13833787381756514791</stp>
        <tr r="R1856" s="2"/>
      </tp>
      <tp t="s">
        <v>#N/A N/A</v>
        <stp/>
        <stp>BDS|16481276193427813768</stp>
        <tr r="I626" s="2"/>
      </tp>
      <tp t="s">
        <v>#N/A N/A</v>
        <stp/>
        <stp>BDP|14688285425459496022</stp>
        <tr r="C1793" s="2"/>
      </tp>
      <tp t="s">
        <v>#N/A N/A</v>
        <stp/>
        <stp>BDP|10250478283129968828</stp>
        <tr r="F564" s="2"/>
      </tp>
      <tp t="s">
        <v>#N/A N/A</v>
        <stp/>
        <stp>BDP|11271240238869488476</stp>
        <tr r="A1707" s="2"/>
      </tp>
      <tp t="s">
        <v>#N/A N/A</v>
        <stp/>
        <stp>BDP|16286865988528087311</stp>
        <tr r="Q221" s="2"/>
      </tp>
      <tp t="s">
        <v>#N/A N/A</v>
        <stp/>
        <stp>BDP|13179876639665609046</stp>
        <tr r="F1336" s="2"/>
      </tp>
      <tp t="s">
        <v>#N/A N/A</v>
        <stp/>
        <stp>BDP|14751303944637829963</stp>
        <tr r="O2036" s="2"/>
      </tp>
      <tp t="s">
        <v>#N/A N/A</v>
        <stp/>
        <stp>BDP|16889477283232755568</stp>
        <tr r="S1598" s="2"/>
      </tp>
      <tp t="s">
        <v>#N/A N/A</v>
        <stp/>
        <stp>BDP|13279970419321623776</stp>
        <tr r="A1248" s="2"/>
      </tp>
      <tp t="s">
        <v>#N/A N/A</v>
        <stp/>
        <stp>BDS|11966343480766540166</stp>
        <tr r="I298" s="2"/>
      </tp>
      <tp t="s">
        <v>#N/A N/A</v>
        <stp/>
        <stp>BDP|11933452227653083968</stp>
        <tr r="D776" s="2"/>
      </tp>
      <tp t="s">
        <v>#N/A N/A</v>
        <stp/>
        <stp>BDP|15340759748952163924</stp>
        <tr r="N1375" s="2"/>
      </tp>
      <tp t="s">
        <v>#N/A N/A</v>
        <stp/>
        <stp>BDP|14761290032348327021</stp>
        <tr r="T135" s="2"/>
      </tp>
      <tp t="s">
        <v>#N/A N/A</v>
        <stp/>
        <stp>BDP|17216863924306501684</stp>
        <tr r="C202" s="2"/>
      </tp>
      <tp t="s">
        <v>#N/A N/A</v>
        <stp/>
        <stp>BDP|18299190417924271132</stp>
        <tr r="P1326" s="2"/>
      </tp>
      <tp t="s">
        <v>#N/A N/A</v>
        <stp/>
        <stp>BDP|17750086335120051972</stp>
        <tr r="N90" s="2"/>
      </tp>
      <tp t="s">
        <v>#N/A N/A</v>
        <stp/>
        <stp>BDP|14197353783991925335</stp>
        <tr r="H1338" s="2"/>
      </tp>
      <tp t="s">
        <v>#N/A N/A</v>
        <stp/>
        <stp>BDP|17980547984762287564</stp>
        <tr r="G309" s="2"/>
      </tp>
      <tp t="s">
        <v>#N/A N/A</v>
        <stp/>
        <stp>BDP|11541304389474460356</stp>
        <tr r="E104" s="2"/>
      </tp>
      <tp t="s">
        <v>#N/A N/A</v>
        <stp/>
        <stp>BDP|14912903300870472009</stp>
        <tr r="N1989" s="2"/>
      </tp>
      <tp t="s">
        <v>#N/A N/A</v>
        <stp/>
        <stp>BDP|10231268655403934958</stp>
        <tr r="D13" s="2"/>
      </tp>
      <tp t="s">
        <v>#N/A N/A</v>
        <stp/>
        <stp>BDP|17221016209443374943</stp>
        <tr r="J880" s="2"/>
      </tp>
      <tp t="s">
        <v>#N/A N/A</v>
        <stp/>
        <stp>BDP|12445888507082713506</stp>
        <tr r="H605" s="2"/>
      </tp>
      <tp t="s">
        <v>#N/A N/A</v>
        <stp/>
        <stp>BDP|16789913186193896948</stp>
        <tr r="Q700" s="2"/>
      </tp>
      <tp t="s">
        <v>#N/A N/A</v>
        <stp/>
        <stp>BDP|17146810857280981725</stp>
        <tr r="C1184" s="2"/>
      </tp>
      <tp t="s">
        <v>#N/A N/A</v>
        <stp/>
        <stp>BDP|11242142683875952000</stp>
        <tr r="J1716" s="2"/>
      </tp>
      <tp t="s">
        <v>#N/A N/A</v>
        <stp/>
        <stp>BDP|13442191477760391850</stp>
        <tr r="T1993" s="2"/>
      </tp>
      <tp t="s">
        <v>#N/A N/A</v>
        <stp/>
        <stp>BDP|10994848830200691670</stp>
        <tr r="P1455" s="2"/>
      </tp>
      <tp t="s">
        <v>#N/A N/A</v>
        <stp/>
        <stp>BDP|13635343963869546286</stp>
        <tr r="S1436" s="2"/>
      </tp>
      <tp t="s">
        <v>#N/A N/A</v>
        <stp/>
        <stp>BDP|12717836659992129006</stp>
        <tr r="N1500" s="2"/>
      </tp>
      <tp t="s">
        <v>#N/A N/A</v>
        <stp/>
        <stp>BDP|11845145488905021080</stp>
        <tr r="A1145" s="2"/>
      </tp>
      <tp t="s">
        <v>#N/A N/A</v>
        <stp/>
        <stp>BDP|14130918454771933415</stp>
        <tr r="C674" s="2"/>
      </tp>
      <tp t="s">
        <v>#N/A N/A</v>
        <stp/>
        <stp>BDP|18111979035147956866</stp>
        <tr r="R714" s="2"/>
      </tp>
      <tp t="s">
        <v>#N/A N/A</v>
        <stp/>
        <stp>BDS|12707132494285896270</stp>
        <tr r="I380" s="2"/>
      </tp>
      <tp t="s">
        <v>#N/A N/A</v>
        <stp/>
        <stp>BDP|10290805947464866517</stp>
        <tr r="D2140" s="2"/>
      </tp>
      <tp t="s">
        <v>#N/A N/A</v>
        <stp/>
        <stp>BDP|11126481138918914342</stp>
        <tr r="E387" s="2"/>
      </tp>
      <tp t="s">
        <v>#N/A N/A</v>
        <stp/>
        <stp>BDP|14391825345442834702</stp>
        <tr r="O1737" s="2"/>
      </tp>
      <tp t="s">
        <v>#N/A N/A</v>
        <stp/>
        <stp>BDP|17797495375608402132</stp>
        <tr r="T1255" s="2"/>
      </tp>
      <tp t="s">
        <v>#N/A N/A</v>
        <stp/>
        <stp>BDP|10254883164941703257</stp>
        <tr r="S2235" s="2"/>
      </tp>
      <tp t="s">
        <v>#N/A N/A</v>
        <stp/>
        <stp>BDP|16605901631991316086</stp>
        <tr r="O30" s="2"/>
      </tp>
      <tp t="s">
        <v>#N/A N/A</v>
        <stp/>
        <stp>BDP|11317504765048898722</stp>
        <tr r="R1987" s="2"/>
      </tp>
      <tp t="s">
        <v>#N/A N/A</v>
        <stp/>
        <stp>BDP|12406702795657433699</stp>
        <tr r="A1149" s="2"/>
      </tp>
      <tp t="s">
        <v>#N/A N/A</v>
        <stp/>
        <stp>BDP|16685803657201419795</stp>
        <tr r="C1408" s="2"/>
      </tp>
      <tp t="s">
        <v>#N/A N/A</v>
        <stp/>
        <stp>BDP|17057599585006696168</stp>
        <tr r="O1796" s="2"/>
      </tp>
      <tp t="s">
        <v>#N/A N/A</v>
        <stp/>
        <stp>BDP|14761694170211053928</stp>
        <tr r="H203" s="2"/>
      </tp>
      <tp t="s">
        <v>#N/A N/A</v>
        <stp/>
        <stp>BDP|12119742559814440943</stp>
        <tr r="M896" s="2"/>
      </tp>
      <tp t="s">
        <v>#N/A N/A</v>
        <stp/>
        <stp>BDP|12514290031748828698</stp>
        <tr r="T1502" s="2"/>
      </tp>
      <tp t="s">
        <v>#N/A N/A</v>
        <stp/>
        <stp>BDP|16699488908228883727</stp>
        <tr r="S918" s="2"/>
      </tp>
      <tp t="s">
        <v>#N/A N/A</v>
        <stp/>
        <stp>BDP|15207683393615285271</stp>
        <tr r="A1843" s="2"/>
      </tp>
      <tp t="s">
        <v>#N/A N/A</v>
        <stp/>
        <stp>BDP|16636695340481540865</stp>
        <tr r="T426" s="2"/>
      </tp>
      <tp t="s">
        <v>#N/A N/A</v>
        <stp/>
        <stp>BDP|10775880035014208244</stp>
        <tr r="R1337" s="2"/>
      </tp>
      <tp t="s">
        <v>#N/A N/A</v>
        <stp/>
        <stp>BDP|12206946932330020584</stp>
        <tr r="G1162" s="2"/>
      </tp>
      <tp t="s">
        <v>#N/A N/A</v>
        <stp/>
        <stp>BDP|15513560504745228897</stp>
        <tr r="A2156" s="2"/>
      </tp>
      <tp t="s">
        <v>#N/A N/A</v>
        <stp/>
        <stp>BDP|10146409247879264480</stp>
        <tr r="T849" s="2"/>
      </tp>
      <tp t="s">
        <v>#N/A N/A</v>
        <stp/>
        <stp>BDP|16204848195418975268</stp>
        <tr r="H497" s="2"/>
      </tp>
      <tp t="s">
        <v>#N/A N/A</v>
        <stp/>
        <stp>BDP|12822994008710130641</stp>
        <tr r="R822" s="2"/>
      </tp>
      <tp t="s">
        <v>#N/A N/A</v>
        <stp/>
        <stp>BDP|16712994877110767520</stp>
        <tr r="R949" s="2"/>
      </tp>
      <tp t="s">
        <v>#N/A N/A</v>
        <stp/>
        <stp>BDP|16291520926178212488</stp>
        <tr r="D923" s="2"/>
      </tp>
      <tp t="s">
        <v>#N/A N/A</v>
        <stp/>
        <stp>BDP|14248123079769754624</stp>
        <tr r="F1061" s="2"/>
      </tp>
      <tp t="s">
        <v>#N/A N/A</v>
        <stp/>
        <stp>BDP|15585870228092604009</stp>
        <tr r="Q1152" s="2"/>
      </tp>
      <tp t="s">
        <v>#N/A N/A</v>
        <stp/>
        <stp>BDP|16168868311825364790</stp>
        <tr r="S1494" s="2"/>
      </tp>
      <tp t="s">
        <v>#N/A N/A</v>
        <stp/>
        <stp>BDP|13861944371758178802</stp>
        <tr r="M452" s="2"/>
      </tp>
      <tp t="s">
        <v>#N/A N/A</v>
        <stp/>
        <stp>BDP|16568088674878330465</stp>
        <tr r="T1580" s="2"/>
      </tp>
      <tp t="s">
        <v>#N/A N/A</v>
        <stp/>
        <stp>BDP|11744150557269023194</stp>
        <tr r="E1132" s="2"/>
      </tp>
      <tp t="s">
        <v>#N/A N/A</v>
        <stp/>
        <stp>BDP|18116330122613931754</stp>
        <tr r="T38" s="2"/>
      </tp>
      <tp t="s">
        <v>#N/A N/A</v>
        <stp/>
        <stp>BDP|14980494290401987557</stp>
        <tr r="F61" s="2"/>
      </tp>
      <tp t="s">
        <v>#N/A N/A</v>
        <stp/>
        <stp>BDP|10918089970038966249</stp>
        <tr r="D101" s="2"/>
      </tp>
      <tp t="s">
        <v>#N/A N/A</v>
        <stp/>
        <stp>BDP|13941535643578110742</stp>
        <tr r="M790" s="2"/>
      </tp>
      <tp t="s">
        <v>#N/A N/A</v>
        <stp/>
        <stp>BDP|18212381827210565442</stp>
        <tr r="P728" s="2"/>
      </tp>
      <tp t="s">
        <v>#N/A N/A</v>
        <stp/>
        <stp>BDP|14850441935279206770</stp>
        <tr r="F69" s="2"/>
      </tp>
      <tp t="s">
        <v>#N/A N/A</v>
        <stp/>
        <stp>BDP|10721820378206029414</stp>
        <tr r="C1037" s="2"/>
      </tp>
      <tp t="s">
        <v>#N/A N/A</v>
        <stp/>
        <stp>BDP|13291301848328484126</stp>
        <tr r="N767" s="2"/>
      </tp>
      <tp t="s">
        <v>#N/A N/A</v>
        <stp/>
        <stp>BDP|14224744286412502497</stp>
        <tr r="S470" s="2"/>
      </tp>
      <tp t="s">
        <v>#N/A N/A</v>
        <stp/>
        <stp>BDP|14573680302008455777</stp>
        <tr r="J100" s="2"/>
      </tp>
      <tp t="s">
        <v>#N/A N/A</v>
        <stp/>
        <stp>BDP|11450655091732823140</stp>
        <tr r="T1328" s="2"/>
      </tp>
      <tp t="s">
        <v>#N/A N/A</v>
        <stp/>
        <stp>BDP|10676550688570724005</stp>
        <tr r="G29" s="2"/>
      </tp>
      <tp t="s">
        <v>#N/A N/A</v>
        <stp/>
        <stp>BDP|16360625958400437810</stp>
        <tr r="C730" s="2"/>
      </tp>
      <tp t="s">
        <v>#N/A N/A</v>
        <stp/>
        <stp>BDP|17676098485806761415</stp>
        <tr r="J2205" s="2"/>
      </tp>
      <tp t="s">
        <v>#N/A N/A</v>
        <stp/>
        <stp>BDP|18303320052497759485</stp>
        <tr r="O604" s="2"/>
      </tp>
      <tp t="s">
        <v>#N/A N/A</v>
        <stp/>
        <stp>BDP|12775952969096567627</stp>
        <tr r="O375" s="2"/>
      </tp>
      <tp t="s">
        <v>#N/A N/A</v>
        <stp/>
        <stp>BDP|15013821153585663088</stp>
        <tr r="G2061" s="2"/>
      </tp>
      <tp t="s">
        <v>#N/A N/A</v>
        <stp/>
        <stp>BDP|10786686156376608806</stp>
        <tr r="D1353" s="2"/>
      </tp>
      <tp t="s">
        <v>#N/A N/A</v>
        <stp/>
        <stp>BDP|13727990834884476016</stp>
        <tr r="F973" s="2"/>
      </tp>
      <tp t="s">
        <v>#N/A N/A</v>
        <stp/>
        <stp>BDP|15940948433077002517</stp>
        <tr r="Q393" s="2"/>
      </tp>
      <tp t="s">
        <v>#N/A N/A</v>
        <stp/>
        <stp>BDS|18370424196401283994</stp>
        <tr r="I1516" s="2"/>
      </tp>
      <tp t="s">
        <v>#N/A N/A</v>
        <stp/>
        <stp>BDP|10129932579837161454</stp>
        <tr r="S536" s="2"/>
      </tp>
      <tp t="s">
        <v>#N/A N/A</v>
        <stp/>
        <stp>BDP|10213400819368407008</stp>
        <tr r="T1950" s="2"/>
      </tp>
      <tp t="s">
        <v>#N/A N/A</v>
        <stp/>
        <stp>BDP|10745354310058994743</stp>
        <tr r="T2010" s="2"/>
      </tp>
      <tp t="s">
        <v>#N/A N/A</v>
        <stp/>
        <stp>BDP|12156785797963470254</stp>
        <tr r="E551" s="2"/>
      </tp>
      <tp t="s">
        <v>#N/A N/A</v>
        <stp/>
        <stp>BDP|13523003958093595872</stp>
        <tr r="G243" s="2"/>
      </tp>
      <tp t="s">
        <v>#N/A N/A</v>
        <stp/>
        <stp>BDP|14738266382122869148</stp>
        <tr r="T1229" s="2"/>
      </tp>
      <tp t="s">
        <v>#N/A N/A</v>
        <stp/>
        <stp>BDP|13099971752035201781</stp>
        <tr r="C930" s="2"/>
      </tp>
      <tp t="s">
        <v>#N/A N/A</v>
        <stp/>
        <stp>BDP|11778417599014105519</stp>
        <tr r="H98" s="2"/>
      </tp>
      <tp t="s">
        <v>#N/A N/A</v>
        <stp/>
        <stp>BDP|10329649882297862426</stp>
        <tr r="M649" s="2"/>
      </tp>
      <tp t="s">
        <v>#N/A N/A</v>
        <stp/>
        <stp>BDP|12088114234838843529</stp>
        <tr r="A341" s="2"/>
      </tp>
      <tp t="s">
        <v>#N/A N/A</v>
        <stp/>
        <stp>BDP|11487594482428955994</stp>
        <tr r="F1499" s="2"/>
      </tp>
      <tp t="s">
        <v>#N/A N/A</v>
        <stp/>
        <stp>BDP|12350574163719094586</stp>
        <tr r="C1541" s="2"/>
      </tp>
      <tp t="s">
        <v>#N/A N/A</v>
        <stp/>
        <stp>BDP|11118281694302499563</stp>
        <tr r="N483" s="2"/>
      </tp>
      <tp t="s">
        <v>#N/A N/A</v>
        <stp/>
        <stp>BDP|15463253498420392351</stp>
        <tr r="D1658" s="2"/>
      </tp>
      <tp t="s">
        <v>#N/A N/A</v>
        <stp/>
        <stp>BDS|15445004292989258885</stp>
        <tr r="I2227" s="2"/>
      </tp>
      <tp t="s">
        <v>#N/A N/A</v>
        <stp/>
        <stp>BDP|17682237748304313814</stp>
        <tr r="J804" s="2"/>
      </tp>
      <tp t="s">
        <v>#N/A N/A</v>
        <stp/>
        <stp>BDP|16498287133613919990</stp>
        <tr r="R1395" s="2"/>
      </tp>
      <tp t="s">
        <v>#N/A N/A</v>
        <stp/>
        <stp>BDP|18214129619176502331</stp>
        <tr r="K1119" s="2"/>
      </tp>
      <tp t="s">
        <v>#N/A N/A</v>
        <stp/>
        <stp>BDP|16901819257336329037</stp>
        <tr r="R1616" s="2"/>
      </tp>
      <tp t="s">
        <v>#N/A N/A</v>
        <stp/>
        <stp>BDP|11131441882450084081</stp>
        <tr r="K1089" s="2"/>
      </tp>
      <tp t="s">
        <v>#N/A N/A</v>
        <stp/>
        <stp>BDP|13618809370690879116</stp>
        <tr r="P673" s="2"/>
      </tp>
      <tp t="s">
        <v>#N/A N/A</v>
        <stp/>
        <stp>BDS|17408429660661334992</stp>
        <tr r="I1741" s="2"/>
      </tp>
      <tp t="s">
        <v>#N/A N/A</v>
        <stp/>
        <stp>BDP|11470508799533353311</stp>
        <tr r="O1566" s="2"/>
      </tp>
      <tp t="s">
        <v>#N/A N/A</v>
        <stp/>
        <stp>BDP|11301592503770323959</stp>
        <tr r="N1345" s="2"/>
      </tp>
      <tp t="s">
        <v>#N/A N/A</v>
        <stp/>
        <stp>BDP|16937516583990382679</stp>
        <tr r="N805" s="2"/>
      </tp>
      <tp t="s">
        <v>#N/A N/A</v>
        <stp/>
        <stp>BDP|13278688782532767201</stp>
        <tr r="S980" s="2"/>
      </tp>
      <tp t="s">
        <v>#N/A N/A</v>
        <stp/>
        <stp>BDP|15842932815472770269</stp>
        <tr r="P1868" s="2"/>
      </tp>
      <tp t="s">
        <v>#N/A N/A</v>
        <stp/>
        <stp>BDP|13014481294307739443</stp>
        <tr r="Q1471" s="2"/>
      </tp>
      <tp t="s">
        <v>#N/A N/A</v>
        <stp/>
        <stp>BDP|16714988265956438210</stp>
        <tr r="R1378" s="2"/>
      </tp>
      <tp t="s">
        <v>#N/A N/A</v>
        <stp/>
        <stp>BDS|18067027351907637798</stp>
        <tr r="I512" s="2"/>
      </tp>
      <tp t="s">
        <v>#N/A N/A</v>
        <stp/>
        <stp>BDP|14829018186925101411</stp>
        <tr r="F2193" s="2"/>
      </tp>
      <tp t="s">
        <v>#N/A N/A</v>
        <stp/>
        <stp>BDP|18124921989442203675</stp>
        <tr r="A899" s="2"/>
      </tp>
      <tp t="s">
        <v>#N/A N/A</v>
        <stp/>
        <stp>BDP|16692591999727048099</stp>
        <tr r="N563" s="2"/>
      </tp>
      <tp t="s">
        <v>#N/A N/A</v>
        <stp/>
        <stp>BDP|14152074090485855511</stp>
        <tr r="T1313" s="2"/>
      </tp>
      <tp t="s">
        <v>#N/A N/A</v>
        <stp/>
        <stp>BDP|18045475801204815513</stp>
        <tr r="N1561" s="2"/>
      </tp>
      <tp t="s">
        <v>#N/A N/A</v>
        <stp/>
        <stp>BDP|11933870825423402506</stp>
        <tr r="N2082" s="2"/>
      </tp>
      <tp t="s">
        <v>#N/A N/A</v>
        <stp/>
        <stp>BDP|13805576733418369005</stp>
        <tr r="J603" s="2"/>
      </tp>
      <tp t="s">
        <v>#N/A N/A</v>
        <stp/>
        <stp>BDP|11183705588523500039</stp>
        <tr r="O1440" s="2"/>
      </tp>
      <tp t="s">
        <v>#N/A N/A</v>
        <stp/>
        <stp>BDP|11186375589445800288</stp>
        <tr r="H57" s="2"/>
      </tp>
      <tp t="s">
        <v>#N/A N/A</v>
        <stp/>
        <stp>BDP|10255996002703604705</stp>
        <tr r="E1293" s="2"/>
      </tp>
      <tp t="s">
        <v>#N/A N/A</v>
        <stp/>
        <stp>BDP|14594579008509507504</stp>
        <tr r="J216" s="2"/>
      </tp>
      <tp t="s">
        <v>#N/A N/A</v>
        <stp/>
        <stp>BDP|12165164420545958912</stp>
        <tr r="P928" s="2"/>
      </tp>
      <tp t="s">
        <v>#N/A N/A</v>
        <stp/>
        <stp>BDP|11004832814537870200</stp>
        <tr r="D530" s="2"/>
      </tp>
      <tp t="s">
        <v>#N/A N/A</v>
        <stp/>
        <stp>BDP|18298386266493227319</stp>
        <tr r="Q1077" s="2"/>
      </tp>
      <tp t="s">
        <v>#N/A N/A</v>
        <stp/>
        <stp>BDP|16337334498858377948</stp>
        <tr r="P215" s="2"/>
      </tp>
      <tp t="s">
        <v>#N/A N/A</v>
        <stp/>
        <stp>BDP|17130205894902878328</stp>
        <tr r="D1866" s="2"/>
      </tp>
      <tp t="s">
        <v>#N/A N/A</v>
        <stp/>
        <stp>BDP|16396390553739509439</stp>
        <tr r="H1931" s="2"/>
      </tp>
      <tp t="s">
        <v>#N/A N/A</v>
        <stp/>
        <stp>BDP|10169142648178042026</stp>
        <tr r="P1390" s="2"/>
      </tp>
      <tp t="s">
        <v>#N/A N/A</v>
        <stp/>
        <stp>BDP|13789882904572080440</stp>
        <tr r="J1086" s="2"/>
      </tp>
      <tp t="s">
        <v>#N/A N/A</v>
        <stp/>
        <stp>BDP|12761663196331831102</stp>
        <tr r="J1845" s="2"/>
      </tp>
      <tp t="s">
        <v>#N/A N/A</v>
        <stp/>
        <stp>BDP|16327726714634851920</stp>
        <tr r="G1433" s="2"/>
      </tp>
      <tp t="s">
        <v>#N/A N/A</v>
        <stp/>
        <stp>BDP|12568951978483626217</stp>
        <tr r="M1948" s="2"/>
      </tp>
      <tp t="s">
        <v>#N/A N/A</v>
        <stp/>
        <stp>BDP|12747480940179279624</stp>
        <tr r="O1951" s="2"/>
      </tp>
      <tp t="s">
        <v>#N/A N/A</v>
        <stp/>
        <stp>BDP|10434461195040808007</stp>
        <tr r="C1133" s="2"/>
      </tp>
      <tp t="s">
        <v>#N/A N/A</v>
        <stp/>
        <stp>BDP|11963891916352895718</stp>
        <tr r="N1984" s="2"/>
      </tp>
      <tp t="s">
        <v>#N/A N/A</v>
        <stp/>
        <stp>BDP|17036660684973883756</stp>
        <tr r="S312" s="2"/>
      </tp>
      <tp t="s">
        <v>#N/A N/A</v>
        <stp/>
        <stp>BDP|17093258483763036391</stp>
        <tr r="N833" s="2"/>
      </tp>
      <tp t="s">
        <v>#N/A N/A</v>
        <stp/>
        <stp>BDP|14642871316750015087</stp>
        <tr r="D79" s="2"/>
      </tp>
      <tp t="s">
        <v>#N/A N/A</v>
        <stp/>
        <stp>BDP|14213043383349327897</stp>
        <tr r="Q190" s="2"/>
      </tp>
      <tp t="s">
        <v>#N/A N/A</v>
        <stp/>
        <stp>BDP|15975095284256910625</stp>
        <tr r="D782" s="2"/>
      </tp>
      <tp t="s">
        <v>#N/A N/A</v>
        <stp/>
        <stp>BDP|10535028898796540243</stp>
        <tr r="F1539" s="2"/>
      </tp>
      <tp t="s">
        <v>#N/A N/A</v>
        <stp/>
        <stp>BDP|15384544084667534282</stp>
        <tr r="A290" s="2"/>
      </tp>
      <tp t="s">
        <v>#N/A N/A</v>
        <stp/>
        <stp>BDP|18060638788168303364</stp>
        <tr r="N557" s="2"/>
      </tp>
      <tp t="s">
        <v>#N/A N/A</v>
        <stp/>
        <stp>BDP|15952546592491785565</stp>
        <tr r="F19" s="2"/>
      </tp>
      <tp t="s">
        <v>#N/A N/A</v>
        <stp/>
        <stp>BDP|10298451258805030919</stp>
        <tr r="O1162" s="2"/>
      </tp>
      <tp t="s">
        <v>#N/A N/A</v>
        <stp/>
        <stp>BDP|17921910277941592548</stp>
        <tr r="E2155" s="2"/>
      </tp>
      <tp t="s">
        <v>#N/A N/A</v>
        <stp/>
        <stp>BDP|10333106488906453213</stp>
        <tr r="A898" s="2"/>
      </tp>
      <tp t="s">
        <v>#N/A N/A</v>
        <stp/>
        <stp>BDS|12307568799265032613</stp>
        <tr r="I2148" s="2"/>
      </tp>
      <tp t="s">
        <v>#N/A N/A</v>
        <stp/>
        <stp>BDP|14018959508459458973</stp>
        <tr r="R1185" s="2"/>
      </tp>
      <tp t="s">
        <v>#N/A N/A</v>
        <stp/>
        <stp>BDP|17474839027751773194</stp>
        <tr r="K102" s="2"/>
      </tp>
      <tp t="s">
        <v>#N/A N/A</v>
        <stp/>
        <stp>BDP|16861611880064180167</stp>
        <tr r="N919" s="2"/>
      </tp>
      <tp t="s">
        <v>#N/A N/A</v>
        <stp/>
        <stp>BDP|10395198041988268076</stp>
        <tr r="F157" s="2"/>
      </tp>
      <tp t="s">
        <v>#N/A N/A</v>
        <stp/>
        <stp>BDP|12497326386662907671</stp>
        <tr r="O979" s="2"/>
      </tp>
      <tp t="s">
        <v>#N/A N/A</v>
        <stp/>
        <stp>BDP|10788686294786245475</stp>
        <tr r="D232" s="2"/>
      </tp>
      <tp t="s">
        <v>#N/A N/A</v>
        <stp/>
        <stp>BDP|18413466274527881102</stp>
        <tr r="F65" s="2"/>
      </tp>
      <tp t="s">
        <v>#N/A N/A</v>
        <stp/>
        <stp>BDP|12859423584922118111</stp>
        <tr r="C1314" s="2"/>
      </tp>
      <tp t="s">
        <v>#N/A N/A</v>
        <stp/>
        <stp>BDP|14408808927444453796</stp>
        <tr r="N1590" s="2"/>
      </tp>
      <tp t="s">
        <v>#N/A N/A</v>
        <stp/>
        <stp>BDP|11607781596044798616</stp>
        <tr r="A377" s="2"/>
      </tp>
      <tp t="s">
        <v>#N/A N/A</v>
        <stp/>
        <stp>BDP|16788336103380969805</stp>
        <tr r="P534" s="2"/>
      </tp>
      <tp t="s">
        <v>#N/A N/A</v>
        <stp/>
        <stp>BDP|17181947328709047832</stp>
        <tr r="H1409" s="2"/>
      </tp>
      <tp t="s">
        <v>#N/A N/A</v>
        <stp/>
        <stp>BDP|14373949012020827132</stp>
        <tr r="N2202" s="2"/>
      </tp>
      <tp t="s">
        <v>#N/A N/A</v>
        <stp/>
        <stp>BDP|13819707680566648709</stp>
        <tr r="S1576" s="2"/>
      </tp>
      <tp t="s">
        <v>#N/A N/A</v>
        <stp/>
        <stp>BDP|13292360183552116783</stp>
        <tr r="T2052" s="2"/>
      </tp>
      <tp t="s">
        <v>#N/A N/A</v>
        <stp/>
        <stp>BDP|11380219769089196145</stp>
        <tr r="R429" s="2"/>
      </tp>
      <tp t="s">
        <v>#N/A N/A</v>
        <stp/>
        <stp>BDP|11851903508520782596</stp>
        <tr r="R1518" s="2"/>
      </tp>
      <tp t="s">
        <v>#N/A N/A</v>
        <stp/>
        <stp>BDP|13563139671791128987</stp>
        <tr r="H875" s="2"/>
      </tp>
      <tp t="s">
        <v>#N/A N/A</v>
        <stp/>
        <stp>BDP|11002829659902092354</stp>
        <tr r="O297" s="2"/>
      </tp>
      <tp t="s">
        <v>#N/A N/A</v>
        <stp/>
        <stp>BDP|11191803465641227383</stp>
        <tr r="C2055" s="2"/>
      </tp>
      <tp t="s">
        <v>#N/A N/A</v>
        <stp/>
        <stp>BDP|16447905435240966168</stp>
        <tr r="J1627" s="2"/>
      </tp>
      <tp t="s">
        <v>#N/A N/A</v>
        <stp/>
        <stp>BDP|11704807003917867325</stp>
        <tr r="P2195" s="2"/>
      </tp>
      <tp t="s">
        <v>#N/A N/A</v>
        <stp/>
        <stp>BDP|17089034027148320093</stp>
        <tr r="E1584" s="2"/>
      </tp>
      <tp t="s">
        <v>#N/A N/A</v>
        <stp/>
        <stp>BDP|12805669685445248475</stp>
        <tr r="J2156" s="2"/>
      </tp>
      <tp t="s">
        <v>#N/A N/A</v>
        <stp/>
        <stp>BDP|18019572359206453348</stp>
        <tr r="R508" s="2"/>
      </tp>
      <tp t="s">
        <v>#N/A N/A</v>
        <stp/>
        <stp>BDP|18089475616275970564</stp>
        <tr r="P576" s="2"/>
      </tp>
      <tp t="s">
        <v>#N/A N/A</v>
        <stp/>
        <stp>BDP|11649832969157390512</stp>
        <tr r="N610" s="2"/>
      </tp>
      <tp t="s">
        <v>#N/A N/A</v>
        <stp/>
        <stp>BDP|12419159992772851556</stp>
        <tr r="T593" s="2"/>
      </tp>
      <tp t="s">
        <v>#N/A N/A</v>
        <stp/>
        <stp>BDP|14448285892394985699</stp>
        <tr r="K2067" s="2"/>
      </tp>
      <tp t="s">
        <v>#N/A N/A</v>
        <stp/>
        <stp>BDP|13014600313090820950</stp>
        <tr r="A211" s="2"/>
      </tp>
      <tp t="s">
        <v>#N/A N/A</v>
        <stp/>
        <stp>BDP|17277925848120023762</stp>
        <tr r="N2248" s="2"/>
      </tp>
      <tp t="s">
        <v>#N/A N/A</v>
        <stp/>
        <stp>BDP|15745623572479000090</stp>
        <tr r="N582" s="2"/>
      </tp>
      <tp t="s">
        <v>#N/A N/A</v>
        <stp/>
        <stp>BDS|15631893677455723225</stp>
        <tr r="I599" s="2"/>
      </tp>
      <tp t="s">
        <v>#N/A N/A</v>
        <stp/>
        <stp>BDP|16529164195381813207</stp>
        <tr r="D902" s="2"/>
      </tp>
      <tp t="s">
        <v>#N/A N/A</v>
        <stp/>
        <stp>BDP|17872900202610342376</stp>
        <tr r="G1051" s="2"/>
      </tp>
      <tp t="s">
        <v>#N/A N/A</v>
        <stp/>
        <stp>BDP|15563082993065211427</stp>
        <tr r="A781" s="2"/>
      </tp>
      <tp t="s">
        <v>#N/A N/A</v>
        <stp/>
        <stp>BDP|16505646888751342447</stp>
        <tr r="Q1428" s="2"/>
      </tp>
      <tp t="s">
        <v>#N/A N/A</v>
        <stp/>
        <stp>BDP|10037597301040664800</stp>
        <tr r="H1283" s="2"/>
      </tp>
      <tp t="s">
        <v>#N/A N/A</v>
        <stp/>
        <stp>BDP|18434491513758568852</stp>
        <tr r="P1357" s="2"/>
      </tp>
      <tp t="s">
        <v>#N/A N/A</v>
        <stp/>
        <stp>BDP|15631930878426654053</stp>
        <tr r="K1440" s="2"/>
      </tp>
      <tp t="s">
        <v>#N/A N/A</v>
        <stp/>
        <stp>BDP|12045012926608906501</stp>
        <tr r="G783" s="2"/>
      </tp>
      <tp t="s">
        <v>#N/A N/A</v>
        <stp/>
        <stp>BDP|10063280882751012640</stp>
        <tr r="K1959" s="2"/>
      </tp>
      <tp t="s">
        <v>#N/A N/A</v>
        <stp/>
        <stp>BDP|18206990782706679210</stp>
        <tr r="S1657" s="2"/>
      </tp>
      <tp t="s">
        <v>#N/A N/A</v>
        <stp/>
        <stp>BDP|10198558692462143391</stp>
        <tr r="K742" s="2"/>
      </tp>
      <tp t="s">
        <v>#N/A N/A</v>
        <stp/>
        <stp>BDP|13561892770211202006</stp>
        <tr r="E1934" s="2"/>
      </tp>
      <tp t="s">
        <v>#N/A N/A</v>
        <stp/>
        <stp>BDP|14600287494576213463</stp>
        <tr r="T490" s="2"/>
      </tp>
      <tp t="s">
        <v>#N/A N/A</v>
        <stp/>
        <stp>BDP|14782467074888309287</stp>
        <tr r="E1591" s="2"/>
      </tp>
      <tp t="s">
        <v>#N/A N/A</v>
        <stp/>
        <stp>BDP|10720453454698950415</stp>
        <tr r="J660" s="2"/>
      </tp>
      <tp t="s">
        <v>#N/A N/A</v>
        <stp/>
        <stp>BDP|13226193961941087847</stp>
        <tr r="H2001" s="2"/>
      </tp>
      <tp t="s">
        <v>#N/A N/A</v>
        <stp/>
        <stp>BDP|16152795377382161902</stp>
        <tr r="S781" s="2"/>
      </tp>
      <tp t="s">
        <v>#N/A N/A</v>
        <stp/>
        <stp>BDP|13865870070161906080</stp>
        <tr r="H2110" s="2"/>
      </tp>
      <tp t="s">
        <v>#N/A N/A</v>
        <stp/>
        <stp>BDP|14403889589821912827</stp>
        <tr r="R1335" s="2"/>
      </tp>
      <tp t="s">
        <v>#N/A N/A</v>
        <stp/>
        <stp>BDP|10657566284955988534</stp>
        <tr r="F1937" s="2"/>
      </tp>
      <tp t="s">
        <v>#N/A N/A</v>
        <stp/>
        <stp>BDP|13944484708022329844</stp>
        <tr r="J1882" s="2"/>
      </tp>
      <tp t="s">
        <v>#N/A N/A</v>
        <stp/>
        <stp>BDP|11189563324313970849</stp>
        <tr r="P1856" s="2"/>
      </tp>
      <tp t="s">
        <v>#N/A N/A</v>
        <stp/>
        <stp>BDP|17997828576887661259</stp>
        <tr r="E1050" s="2"/>
      </tp>
      <tp t="s">
        <v>#N/A N/A</v>
        <stp/>
        <stp>BDP|10462013292033046797</stp>
        <tr r="N1136" s="2"/>
      </tp>
      <tp t="s">
        <v>#N/A N/A</v>
        <stp/>
        <stp>BDS|11468814208960668468</stp>
        <tr r="I472" s="2"/>
      </tp>
      <tp t="s">
        <v>#N/A N/A</v>
        <stp/>
        <stp>BDP|14948630622798465520</stp>
        <tr r="J1266" s="2"/>
      </tp>
      <tp t="s">
        <v>#N/A N/A</v>
        <stp/>
        <stp>BDS|12877121992417444012</stp>
        <tr r="I1769" s="2"/>
      </tp>
      <tp t="s">
        <v>#N/A N/A</v>
        <stp/>
        <stp>BDP|15433858349385542138</stp>
        <tr r="O1858" s="2"/>
      </tp>
      <tp t="s">
        <v>#N/A N/A</v>
        <stp/>
        <stp>BDP|15560327579459685569</stp>
        <tr r="P1738" s="2"/>
      </tp>
      <tp t="s">
        <v>#N/A N/A</v>
        <stp/>
        <stp>BDP|10892936326547692157</stp>
        <tr r="Q2204" s="2"/>
      </tp>
      <tp t="s">
        <v>#N/A N/A</v>
        <stp/>
        <stp>BDP|10134260556718616291</stp>
        <tr r="S272" s="2"/>
      </tp>
      <tp t="s">
        <v>#N/A N/A</v>
        <stp/>
        <stp>BDP|12158842419896225009</stp>
        <tr r="R1490" s="2"/>
      </tp>
      <tp t="s">
        <v>#N/A N/A</v>
        <stp/>
        <stp>BDP|18020739747823227585</stp>
        <tr r="P1148" s="2"/>
      </tp>
      <tp t="s">
        <v>#N/A N/A</v>
        <stp/>
        <stp>BDP|12624929987517551970</stp>
        <tr r="A507" s="2"/>
      </tp>
      <tp t="s">
        <v>#N/A N/A</v>
        <stp/>
        <stp>BDP|11625168392442419674</stp>
        <tr r="F2131" s="2"/>
      </tp>
      <tp t="s">
        <v>#N/A N/A</v>
        <stp/>
        <stp>BDP|12764722593054793506</stp>
        <tr r="J951" s="2"/>
      </tp>
      <tp t="s">
        <v>#N/A N/A</v>
        <stp/>
        <stp>BDP|18433274833195795164</stp>
        <tr r="E1718" s="2"/>
      </tp>
      <tp t="s">
        <v>#N/A N/A</v>
        <stp/>
        <stp>BDP|12316430684136120549</stp>
        <tr r="F2199" s="2"/>
      </tp>
      <tp t="s">
        <v>#N/A N/A</v>
        <stp/>
        <stp>BDP|15446056613990085939</stp>
        <tr r="P394" s="2"/>
      </tp>
      <tp t="s">
        <v>#N/A N/A</v>
        <stp/>
        <stp>BDP|16972631889835517075</stp>
        <tr r="K2146" s="2"/>
      </tp>
      <tp t="s">
        <v>#N/A N/A</v>
        <stp/>
        <stp>BDP|12669810575221597167</stp>
        <tr r="P452" s="2"/>
      </tp>
      <tp t="s">
        <v>#N/A N/A</v>
        <stp/>
        <stp>BDP|17726746333987335924</stp>
        <tr r="H610" s="2"/>
      </tp>
      <tp t="s">
        <v>#N/A N/A</v>
        <stp/>
        <stp>BDP|11709540256894628820</stp>
        <tr r="S1906" s="2"/>
      </tp>
      <tp t="s">
        <v>#N/A N/A</v>
        <stp/>
        <stp>BDP|13381981508353386418</stp>
        <tr r="E2250" s="2"/>
      </tp>
      <tp t="s">
        <v>#N/A N/A</v>
        <stp/>
        <stp>BDP|15413450530838212722</stp>
        <tr r="D1857" s="2"/>
      </tp>
      <tp t="s">
        <v>#N/A N/A</v>
        <stp/>
        <stp>BDP|15745260971589395422</stp>
        <tr r="E1603" s="2"/>
      </tp>
      <tp t="s">
        <v>#N/A N/A</v>
        <stp/>
        <stp>BDP|16839845968612089751</stp>
        <tr r="M1882" s="2"/>
      </tp>
      <tp t="s">
        <v>#N/A N/A</v>
        <stp/>
        <stp>BDP|10323633701249595253</stp>
        <tr r="A2220" s="2"/>
      </tp>
      <tp t="s">
        <v>#N/A N/A</v>
        <stp/>
        <stp>BDP|11833580704470770929</stp>
        <tr r="P898" s="2"/>
      </tp>
      <tp t="s">
        <v>#N/A N/A</v>
        <stp/>
        <stp>BDP|13060910878938064881</stp>
        <tr r="K361" s="2"/>
      </tp>
      <tp t="s">
        <v>#N/A N/A</v>
        <stp/>
        <stp>BDP|12377873575987974792</stp>
        <tr r="Q1631" s="2"/>
      </tp>
      <tp t="s">
        <v>#N/A N/A</v>
        <stp/>
        <stp>BDP|10405158787504445031</stp>
        <tr r="R1617" s="2"/>
      </tp>
      <tp t="s">
        <v>#N/A N/A</v>
        <stp/>
        <stp>BDP|11942015267979650385</stp>
        <tr r="S30" s="2"/>
      </tp>
      <tp t="s">
        <v>#N/A N/A</v>
        <stp/>
        <stp>BDP|17756382524332891925</stp>
        <tr r="K839" s="2"/>
      </tp>
      <tp t="s">
        <v>#N/A N/A</v>
        <stp/>
        <stp>BDP|13743597081307910479</stp>
        <tr r="E922" s="2"/>
      </tp>
      <tp t="s">
        <v>#N/A N/A</v>
        <stp/>
        <stp>BDP|13707956443160308338</stp>
        <tr r="N718" s="2"/>
      </tp>
      <tp t="s">
        <v>#N/A N/A</v>
        <stp/>
        <stp>BDP|13349657580874559421</stp>
        <tr r="H1800" s="2"/>
      </tp>
      <tp t="s">
        <v>#N/A N/A</v>
        <stp/>
        <stp>BDP|12691651611799552164</stp>
        <tr r="S1575" s="2"/>
      </tp>
      <tp t="s">
        <v>#N/A N/A</v>
        <stp/>
        <stp>BDP|14116976864733377509</stp>
        <tr r="J1466" s="2"/>
      </tp>
      <tp t="s">
        <v>#N/A N/A</v>
        <stp/>
        <stp>BDP|10410948172006013536</stp>
        <tr r="M286" s="2"/>
      </tp>
      <tp t="s">
        <v>#N/A N/A</v>
        <stp/>
        <stp>BDP|10956161112268913559</stp>
        <tr r="A1153" s="2"/>
      </tp>
      <tp t="s">
        <v>#N/A N/A</v>
        <stp/>
        <stp>BDP|11866909427415811264</stp>
        <tr r="E1577" s="2"/>
      </tp>
      <tp t="s">
        <v>#N/A N/A</v>
        <stp/>
        <stp>BDP|14724328042536719813</stp>
        <tr r="G703" s="2"/>
      </tp>
      <tp t="s">
        <v>#N/A N/A</v>
        <stp/>
        <stp>BDP|15901270236299160089</stp>
        <tr r="J1181" s="2"/>
      </tp>
      <tp t="s">
        <v>#N/A N/A</v>
        <stp/>
        <stp>BDP|10827875325835841236</stp>
        <tr r="A2203" s="2"/>
      </tp>
      <tp t="s">
        <v>#N/A N/A</v>
        <stp/>
        <stp>BDP|15360951912258713828</stp>
        <tr r="R2124" s="2"/>
      </tp>
      <tp t="s">
        <v>#N/A N/A</v>
        <stp/>
        <stp>BDP|11573107674918021207</stp>
        <tr r="T2029" s="2"/>
      </tp>
      <tp t="s">
        <v>#N/A N/A</v>
        <stp/>
        <stp>BDP|16144630498145395180</stp>
        <tr r="O69" s="2"/>
      </tp>
      <tp t="s">
        <v>#N/A N/A</v>
        <stp/>
        <stp>BDP|16425359195243501205</stp>
        <tr r="G606" s="2"/>
      </tp>
      <tp t="s">
        <v>#N/A N/A</v>
        <stp/>
        <stp>BDP|14960907723686242490</stp>
        <tr r="O1240" s="2"/>
      </tp>
      <tp t="s">
        <v>#N/A N/A</v>
        <stp/>
        <stp>BDP|17040458691895148243</stp>
        <tr r="N2226" s="2"/>
      </tp>
      <tp t="s">
        <v>#N/A N/A</v>
        <stp/>
        <stp>BDP|13203704686948591907</stp>
        <tr r="M731" s="2"/>
      </tp>
      <tp t="s">
        <v>#N/A N/A</v>
        <stp/>
        <stp>BDP|14462970823134407655</stp>
        <tr r="E826" s="2"/>
      </tp>
      <tp t="s">
        <v>#N/A N/A</v>
        <stp/>
        <stp>BDP|16659892339351506125</stp>
        <tr r="M193" s="2"/>
      </tp>
      <tp t="s">
        <v>#N/A N/A</v>
        <stp/>
        <stp>BDP|12915976223722510690</stp>
        <tr r="C2168" s="2"/>
      </tp>
      <tp t="s">
        <v>#N/A N/A</v>
        <stp/>
        <stp>BDP|17625556528069873422</stp>
        <tr r="P2097" s="2"/>
      </tp>
      <tp t="s">
        <v>#N/A N/A</v>
        <stp/>
        <stp>BDP|18021130731683568463</stp>
        <tr r="R1327" s="2"/>
      </tp>
      <tp t="s">
        <v>#N/A N/A</v>
        <stp/>
        <stp>BDP|17987943801920934341</stp>
        <tr r="A1467" s="2"/>
      </tp>
      <tp t="s">
        <v>#N/A N/A</v>
        <stp/>
        <stp>BDP|13936287972528699348</stp>
        <tr r="T2087" s="2"/>
      </tp>
      <tp t="s">
        <v>#N/A N/A</v>
        <stp/>
        <stp>BDS|13917191043833012819</stp>
        <tr r="I1814" s="2"/>
      </tp>
      <tp t="s">
        <v>#N/A N/A</v>
        <stp/>
        <stp>BDS|14469138242885501926</stp>
        <tr r="I700" s="2"/>
      </tp>
      <tp t="s">
        <v>#N/A N/A</v>
        <stp/>
        <stp>BDP|15526862828803966139</stp>
        <tr r="F1821" s="2"/>
      </tp>
      <tp t="s">
        <v>#N/A N/A</v>
        <stp/>
        <stp>BDP|17037836179853226698</stp>
        <tr r="P424" s="2"/>
      </tp>
      <tp t="s">
        <v>#N/A N/A</v>
        <stp/>
        <stp>BDP|18020145307336546277</stp>
        <tr r="J489" s="2"/>
      </tp>
      <tp t="s">
        <v>#N/A N/A</v>
        <stp/>
        <stp>BDP|14328352447146107817</stp>
        <tr r="T1418" s="2"/>
      </tp>
      <tp t="s">
        <v>#N/A N/A</v>
        <stp/>
        <stp>BDP|15151320436318320072</stp>
        <tr r="D1325" s="2"/>
      </tp>
      <tp t="s">
        <v>#N/A N/A</v>
        <stp/>
        <stp>BDP|13056945033561746517</stp>
        <tr r="J769" s="2"/>
      </tp>
      <tp t="s">
        <v>#N/A N/A</v>
        <stp/>
        <stp>BDP|13723829472089093867</stp>
        <tr r="P265" s="2"/>
      </tp>
      <tp t="s">
        <v>#N/A N/A</v>
        <stp/>
        <stp>BDP|12356846966897271629</stp>
        <tr r="F537" s="2"/>
      </tp>
      <tp t="s">
        <v>#N/A N/A</v>
        <stp/>
        <stp>BDP|14706348870985371813</stp>
        <tr r="J811" s="2"/>
      </tp>
      <tp t="s">
        <v>#N/A N/A</v>
        <stp/>
        <stp>BDP|15482633571950445933</stp>
        <tr r="R1198" s="2"/>
      </tp>
      <tp t="s">
        <v>#N/A N/A</v>
        <stp/>
        <stp>BDP|15900497006288268456</stp>
        <tr r="E1184" s="2"/>
      </tp>
      <tp t="s">
        <v>#N/A N/A</v>
        <stp/>
        <stp>BDP|12207657382464221564</stp>
        <tr r="S662" s="2"/>
      </tp>
      <tp t="s">
        <v>#N/A N/A</v>
        <stp/>
        <stp>BDP|16258220322409359201</stp>
        <tr r="T308" s="2"/>
      </tp>
      <tp t="s">
        <v>#N/A N/A</v>
        <stp/>
        <stp>BDP|16492868145690456726</stp>
        <tr r="E1346" s="2"/>
      </tp>
      <tp t="s">
        <v>#N/A N/A</v>
        <stp/>
        <stp>BDP|10285635871264232827</stp>
        <tr r="D625" s="2"/>
      </tp>
      <tp t="s">
        <v>#N/A N/A</v>
        <stp/>
        <stp>BDS|16074944942252091453</stp>
        <tr r="I1497" s="2"/>
      </tp>
      <tp t="s">
        <v>#N/A N/A</v>
        <stp/>
        <stp>BDP|12441999338510355566</stp>
        <tr r="T1584" s="2"/>
      </tp>
      <tp t="s">
        <v>#N/A N/A</v>
        <stp/>
        <stp>BDP|16938316976487881863</stp>
        <tr r="K461" s="2"/>
      </tp>
      <tp t="s">
        <v>#N/A N/A</v>
        <stp/>
        <stp>BDP|15697947975072603414</stp>
        <tr r="O575" s="2"/>
      </tp>
      <tp t="s">
        <v>#N/A N/A</v>
        <stp/>
        <stp>BDP|14435108698654436584</stp>
        <tr r="N1049" s="2"/>
      </tp>
      <tp t="s">
        <v>#N/A N/A</v>
        <stp/>
        <stp>BDP|16457032157638485643</stp>
        <tr r="J940" s="2"/>
      </tp>
      <tp t="s">
        <v>#N/A N/A</v>
        <stp/>
        <stp>BDP|11756956442874646565</stp>
        <tr r="S1492" s="2"/>
      </tp>
      <tp t="s">
        <v>#N/A N/A</v>
        <stp/>
        <stp>BDP|12777030836789195533</stp>
        <tr r="A1772" s="2"/>
      </tp>
      <tp t="s">
        <v>#N/A N/A</v>
        <stp/>
        <stp>BDP|15440765781424643358</stp>
        <tr r="O451" s="2"/>
      </tp>
      <tp t="s">
        <v>#N/A N/A</v>
        <stp/>
        <stp>BDP|15322112589017891631</stp>
        <tr r="J1751" s="2"/>
      </tp>
      <tp t="s">
        <v>#N/A N/A</v>
        <stp/>
        <stp>BDP|12149324902109813598</stp>
        <tr r="Q771" s="2"/>
      </tp>
      <tp t="s">
        <v>#N/A N/A</v>
        <stp/>
        <stp>BDP|12421709657344790949</stp>
        <tr r="J1953" s="2"/>
      </tp>
      <tp t="s">
        <v>#N/A N/A</v>
        <stp/>
        <stp>BDS|18317241571125082551</stp>
        <tr r="I1263" s="2"/>
      </tp>
      <tp t="s">
        <v>#N/A N/A</v>
        <stp/>
        <stp>BDS|15941129059685451951</stp>
        <tr r="I2224" s="2"/>
      </tp>
      <tp t="s">
        <v>#N/A N/A</v>
        <stp/>
        <stp>BDP|17008902768361976418</stp>
        <tr r="K1925" s="2"/>
      </tp>
      <tp t="s">
        <v>#N/A N/A</v>
        <stp/>
        <stp>BDP|10163457474586991893</stp>
        <tr r="C1124" s="2"/>
      </tp>
      <tp t="s">
        <v>#N/A N/A</v>
        <stp/>
        <stp>BDP|16682623971683516902</stp>
        <tr r="S864" s="2"/>
      </tp>
      <tp t="s">
        <v>#N/A N/A</v>
        <stp/>
        <stp>BDP|15221903202963251223</stp>
        <tr r="G607" s="2"/>
      </tp>
      <tp t="s">
        <v>#N/A N/A</v>
        <stp/>
        <stp>BDP|17926782722676302908</stp>
        <tr r="J1702" s="2"/>
      </tp>
      <tp t="s">
        <v>#N/A N/A</v>
        <stp/>
        <stp>BDP|10187771298573702092</stp>
        <tr r="C713" s="2"/>
      </tp>
      <tp t="s">
        <v>#N/A N/A</v>
        <stp/>
        <stp>BDP|11226836154614696535</stp>
        <tr r="R1127" s="2"/>
      </tp>
      <tp t="s">
        <v>#N/A N/A</v>
        <stp/>
        <stp>BDP|15712850476424436308</stp>
        <tr r="C752" s="2"/>
      </tp>
      <tp t="s">
        <v>#N/A N/A</v>
        <stp/>
        <stp>BDP|18114367803881168755</stp>
        <tr r="P1035" s="2"/>
      </tp>
      <tp t="s">
        <v>#N/A N/A</v>
        <stp/>
        <stp>BDP|17500614881265594103</stp>
        <tr r="Q1824" s="2"/>
      </tp>
      <tp t="s">
        <v>#N/A N/A</v>
        <stp/>
        <stp>BDP|11820917436612891476</stp>
        <tr r="R916" s="2"/>
      </tp>
      <tp t="s">
        <v>#N/A N/A</v>
        <stp/>
        <stp>BDP|16861547296616296182</stp>
        <tr r="J1285" s="2"/>
      </tp>
      <tp t="s">
        <v>#N/A N/A</v>
        <stp/>
        <stp>BDS|10328960897424626978</stp>
        <tr r="I1746" s="2"/>
      </tp>
      <tp t="s">
        <v>#N/A N/A</v>
        <stp/>
        <stp>BDS|17117019673405025802</stp>
        <tr r="I421" s="2"/>
      </tp>
      <tp t="s">
        <v>#N/A N/A</v>
        <stp/>
        <stp>BDP|12785879930891644561</stp>
        <tr r="H832" s="2"/>
      </tp>
      <tp t="s">
        <v>#N/A N/A</v>
        <stp/>
        <stp>BDP|15117858161941134740</stp>
        <tr r="F1295" s="2"/>
      </tp>
      <tp t="s">
        <v>#N/A N/A</v>
        <stp/>
        <stp>BDP|11421573114329113160</stp>
        <tr r="K910" s="2"/>
      </tp>
      <tp t="s">
        <v>#N/A N/A</v>
        <stp/>
        <stp>BDP|15338156371828072678</stp>
        <tr r="N870" s="2"/>
      </tp>
      <tp t="s">
        <v>#N/A N/A</v>
        <stp/>
        <stp>BDP|11206000044538710016</stp>
        <tr r="E1000" s="2"/>
      </tp>
      <tp t="s">
        <v>#N/A N/A</v>
        <stp/>
        <stp>BDP|14316485093412833601</stp>
        <tr r="F1389" s="2"/>
      </tp>
      <tp t="s">
        <v>#N/A N/A</v>
        <stp/>
        <stp>BDP|16029844094213135916</stp>
        <tr r="D305" s="2"/>
      </tp>
      <tp t="s">
        <v>#N/A N/A</v>
        <stp/>
        <stp>BDP|13520566847546712931</stp>
        <tr r="O1829" s="2"/>
      </tp>
      <tp t="s">
        <v>#N/A N/A</v>
        <stp/>
        <stp>BDP|14999827789391449868</stp>
        <tr r="O105" s="2"/>
      </tp>
      <tp t="s">
        <v>#N/A N/A</v>
        <stp/>
        <stp>BDP|17449985792033826962</stp>
        <tr r="E756" s="2"/>
      </tp>
      <tp t="s">
        <v>#N/A N/A</v>
        <stp/>
        <stp>BDP|11580363273618399035</stp>
        <tr r="M1692" s="2"/>
      </tp>
      <tp t="s">
        <v>#N/A N/A</v>
        <stp/>
        <stp>BDP|14253097848508748542</stp>
        <tr r="C666" s="2"/>
      </tp>
      <tp t="s">
        <v>#N/A N/A</v>
        <stp/>
        <stp>BDP|15406868827343437118</stp>
        <tr r="R56" s="2"/>
      </tp>
      <tp t="s">
        <v>#N/A N/A</v>
        <stp/>
        <stp>BDP|17699862240545375339</stp>
        <tr r="F1571" s="2"/>
      </tp>
      <tp t="s">
        <v>#N/A N/A</v>
        <stp/>
        <stp>BDP|17040625225919583720</stp>
        <tr r="A207" s="2"/>
      </tp>
      <tp t="s">
        <v>#N/A N/A</v>
        <stp/>
        <stp>BDP|10010744082041149376</stp>
        <tr r="K252" s="2"/>
      </tp>
      <tp t="s">
        <v>#N/A N/A</v>
        <stp/>
        <stp>BDP|12458990348627027556</stp>
        <tr r="G1741" s="2"/>
      </tp>
      <tp t="s">
        <v>#N/A N/A</v>
        <stp/>
        <stp>BDP|13689568092612261007</stp>
        <tr r="M998" s="2"/>
      </tp>
      <tp t="s">
        <v>#N/A N/A</v>
        <stp/>
        <stp>BDP|16039206090281538153</stp>
        <tr r="A95" s="2"/>
      </tp>
      <tp t="s">
        <v>#N/A N/A</v>
        <stp/>
        <stp>BDP|15647457597873052649</stp>
        <tr r="F183" s="2"/>
      </tp>
      <tp t="s">
        <v>#N/A N/A</v>
        <stp/>
        <stp>BDP|13415117994287302123</stp>
        <tr r="J1271" s="2"/>
      </tp>
      <tp t="s">
        <v>#N/A N/A</v>
        <stp/>
        <stp>BDP|17848600292512957732</stp>
        <tr r="C1808" s="2"/>
      </tp>
      <tp t="s">
        <v>#N/A N/A</v>
        <stp/>
        <stp>BDP|10562656143588534760</stp>
        <tr r="F438" s="2"/>
      </tp>
      <tp t="s">
        <v>#N/A N/A</v>
        <stp/>
        <stp>BDP|14425872017190356072</stp>
        <tr r="G1337" s="2"/>
      </tp>
      <tp t="s">
        <v>#N/A N/A</v>
        <stp/>
        <stp>BDP|16435679688213968628</stp>
        <tr r="M1458" s="2"/>
      </tp>
      <tp t="s">
        <v>#N/A N/A</v>
        <stp/>
        <stp>BDP|14075587388390471441</stp>
        <tr r="H2017" s="2"/>
      </tp>
      <tp t="s">
        <v>#N/A N/A</v>
        <stp/>
        <stp>BDS|12447146215438328751</stp>
        <tr r="I1424" s="2"/>
      </tp>
      <tp t="s">
        <v>#N/A N/A</v>
        <stp/>
        <stp>BDP|14019065585026037732</stp>
        <tr r="O2152" s="2"/>
      </tp>
      <tp t="s">
        <v>#N/A N/A</v>
        <stp/>
        <stp>BDP|11343826271523839081</stp>
        <tr r="S595" s="2"/>
      </tp>
      <tp t="s">
        <v>#N/A N/A</v>
        <stp/>
        <stp>BDP|10316900864594155664</stp>
        <tr r="G1792" s="2"/>
      </tp>
      <tp t="s">
        <v>#N/A N/A</v>
        <stp/>
        <stp>BDP|14543976213641517040</stp>
        <tr r="S1030" s="2"/>
      </tp>
      <tp t="s">
        <v>#N/A N/A</v>
        <stp/>
        <stp>BDP|10004101314609458406</stp>
        <tr r="A2118" s="2"/>
      </tp>
      <tp t="s">
        <v>#N/A N/A</v>
        <stp/>
        <stp>BDP|14221046610568700015</stp>
        <tr r="P312" s="2"/>
      </tp>
      <tp t="s">
        <v>#N/A N/A</v>
        <stp/>
        <stp>BDP|16128352732049668202</stp>
        <tr r="O1707" s="2"/>
      </tp>
      <tp t="s">
        <v>#N/A N/A</v>
        <stp/>
        <stp>BDP|18169697872941256589</stp>
        <tr r="R213" s="2"/>
      </tp>
      <tp t="s">
        <v>#N/A N/A</v>
        <stp/>
        <stp>BDP|11810958447292972307</stp>
        <tr r="S1662" s="2"/>
      </tp>
      <tp t="s">
        <v>#N/A N/A</v>
        <stp/>
        <stp>BDP|11414858540018769854</stp>
        <tr r="H1242" s="2"/>
      </tp>
      <tp t="s">
        <v>#N/A N/A</v>
        <stp/>
        <stp>BDP|14115906223935845791</stp>
        <tr r="E2169" s="2"/>
      </tp>
      <tp t="s">
        <v>#N/A N/A</v>
        <stp/>
        <stp>BDP|13500814565101465168</stp>
        <tr r="A169" s="2"/>
      </tp>
      <tp t="s">
        <v>#N/A N/A</v>
        <stp/>
        <stp>BDP|11769543791333151309</stp>
        <tr r="S1507" s="2"/>
      </tp>
      <tp t="s">
        <v>#N/A N/A</v>
        <stp/>
        <stp>BDP|10882732790786903517</stp>
        <tr r="D1695" s="2"/>
      </tp>
      <tp t="s">
        <v>#N/A N/A</v>
        <stp/>
        <stp>BDP|12962337192380991521</stp>
        <tr r="K812" s="2"/>
      </tp>
      <tp t="s">
        <v>#N/A N/A</v>
        <stp/>
        <stp>BDP|10193780205353713981</stp>
        <tr r="D2097" s="2"/>
      </tp>
      <tp t="s">
        <v>#N/A N/A</v>
        <stp/>
        <stp>BDP|11214148653030470824</stp>
        <tr r="G123" s="2"/>
      </tp>
      <tp t="s">
        <v>#N/A N/A</v>
        <stp/>
        <stp>BDP|12845722593965815424</stp>
        <tr r="E2097" s="2"/>
      </tp>
      <tp t="s">
        <v>#N/A N/A</v>
        <stp/>
        <stp>BDP|18028524944381285574</stp>
        <tr r="T326" s="2"/>
      </tp>
      <tp t="s">
        <v>#N/A N/A</v>
        <stp/>
        <stp>BDP|11060871944947133714</stp>
        <tr r="E1092" s="2"/>
      </tp>
      <tp t="s">
        <v>#N/A N/A</v>
        <stp/>
        <stp>BDP|18088174419832451798</stp>
        <tr r="H1361" s="2"/>
      </tp>
      <tp t="s">
        <v>#N/A N/A</v>
        <stp/>
        <stp>BDP|10253839583299627475</stp>
        <tr r="J1066" s="2"/>
      </tp>
      <tp t="s">
        <v>#N/A N/A</v>
        <stp/>
        <stp>BDP|10688454482125654441</stp>
        <tr r="O1886" s="2"/>
      </tp>
      <tp t="s">
        <v>#N/A N/A</v>
        <stp/>
        <stp>BDP|13237051593557390047</stp>
        <tr r="E107" s="2"/>
      </tp>
      <tp t="s">
        <v>#N/A N/A</v>
        <stp/>
        <stp>BDP|16209324485198554839</stp>
        <tr r="E156" s="2"/>
      </tp>
      <tp t="s">
        <v>#N/A N/A</v>
        <stp/>
        <stp>BDP|17492563655372781838</stp>
        <tr r="D1693" s="2"/>
      </tp>
      <tp t="s">
        <v>#N/A N/A</v>
        <stp/>
        <stp>BDP|16154966781673088955</stp>
        <tr r="D428" s="2"/>
      </tp>
      <tp t="s">
        <v>#N/A N/A</v>
        <stp/>
        <stp>BDS|14544292131058589086</stp>
        <tr r="I928" s="2"/>
      </tp>
      <tp t="s">
        <v>#N/A N/A</v>
        <stp/>
        <stp>BDS|12111622391335489560</stp>
        <tr r="I1326" s="2"/>
      </tp>
      <tp t="s">
        <v>#N/A N/A</v>
        <stp/>
        <stp>BDP|11484112600565625805</stp>
        <tr r="Q908" s="2"/>
      </tp>
      <tp t="s">
        <v>#N/A N/A</v>
        <stp/>
        <stp>BDP|11066076112018286540</stp>
        <tr r="Q1309" s="2"/>
      </tp>
      <tp t="s">
        <v>#N/A N/A</v>
        <stp/>
        <stp>BDP|14762658662181213810</stp>
        <tr r="K1404" s="2"/>
      </tp>
      <tp t="s">
        <v>#N/A N/A</v>
        <stp/>
        <stp>BDP|17891306951904386890</stp>
        <tr r="E1340" s="2"/>
      </tp>
      <tp t="s">
        <v>#N/A N/A</v>
        <stp/>
        <stp>BDP|16837665668482141948</stp>
        <tr r="D1743" s="2"/>
      </tp>
      <tp t="s">
        <v>#N/A N/A</v>
        <stp/>
        <stp>BDP|11418563348214961908</stp>
        <tr r="H83" s="2"/>
      </tp>
      <tp t="s">
        <v>#N/A N/A</v>
        <stp/>
        <stp>BDP|11210701207349791214</stp>
        <tr r="D1855" s="2"/>
      </tp>
      <tp t="s">
        <v>#N/A N/A</v>
        <stp/>
        <stp>BDP|16003938483788313203</stp>
        <tr r="N1232" s="2"/>
      </tp>
      <tp t="s">
        <v>#N/A N/A</v>
        <stp/>
        <stp>BDP|13617487784013938108</stp>
        <tr r="T806" s="2"/>
      </tp>
      <tp t="s">
        <v>#N/A N/A</v>
        <stp/>
        <stp>BDP|12765599562105732980</stp>
        <tr r="R1040" s="2"/>
      </tp>
      <tp t="s">
        <v>#N/A N/A</v>
        <stp/>
        <stp>BDP|16980081695546524422</stp>
        <tr r="S962" s="2"/>
      </tp>
      <tp t="s">
        <v>#N/A N/A</v>
        <stp/>
        <stp>BDP|12087756587115649578</stp>
        <tr r="G2204" s="2"/>
      </tp>
      <tp t="s">
        <v>#N/A N/A</v>
        <stp/>
        <stp>BDP|16538332994944031518</stp>
        <tr r="M40" s="2"/>
      </tp>
      <tp t="s">
        <v>#N/A N/A</v>
        <stp/>
        <stp>BDP|14335606296794619200</stp>
        <tr r="P285" s="2"/>
      </tp>
      <tp t="s">
        <v>#N/A N/A</v>
        <stp/>
        <stp>BDP|12002022084520551701</stp>
        <tr r="J2210" s="2"/>
      </tp>
      <tp t="s">
        <v>#N/A N/A</v>
        <stp/>
        <stp>BDP|13321260465372133821</stp>
        <tr r="N1464" s="2"/>
      </tp>
      <tp t="s">
        <v>#N/A N/A</v>
        <stp/>
        <stp>BDP|13753664083277005710</stp>
        <tr r="J1660" s="2"/>
      </tp>
      <tp t="s">
        <v>#N/A N/A</v>
        <stp/>
        <stp>BDP|17215511489532850513</stp>
        <tr r="J481" s="2"/>
      </tp>
      <tp t="s">
        <v>#N/A N/A</v>
        <stp/>
        <stp>BDP|10525363364288444005</stp>
        <tr r="R1565" s="2"/>
      </tp>
      <tp t="s">
        <v>#N/A N/A</v>
        <stp/>
        <stp>BDP|12174755296365150405</stp>
        <tr r="J2162" s="2"/>
      </tp>
      <tp t="s">
        <v>#N/A N/A</v>
        <stp/>
        <stp>BDP|16322895814113909147</stp>
        <tr r="D1063" s="2"/>
      </tp>
      <tp t="s">
        <v>#N/A N/A</v>
        <stp/>
        <stp>BDP|17089566590065375369</stp>
        <tr r="S1362" s="2"/>
      </tp>
      <tp t="s">
        <v>#N/A N/A</v>
        <stp/>
        <stp>BDP|10389101660913185918</stp>
        <tr r="S1848" s="2"/>
      </tp>
      <tp t="s">
        <v>#N/A N/A</v>
        <stp/>
        <stp>BDP|17779236059095775896</stp>
        <tr r="K420" s="2"/>
      </tp>
      <tp t="s">
        <v>#N/A N/A</v>
        <stp/>
        <stp>BDP|11973199595352542639</stp>
        <tr r="Q323" s="2"/>
      </tp>
      <tp t="s">
        <v>#N/A N/A</v>
        <stp/>
        <stp>BDP|11229571494187600745</stp>
        <tr r="H1647" s="2"/>
      </tp>
      <tp t="s">
        <v>#N/A N/A</v>
        <stp/>
        <stp>BDP|12354853739747523394</stp>
        <tr r="T2173" s="2"/>
      </tp>
      <tp t="s">
        <v>#N/A N/A</v>
        <stp/>
        <stp>BDP|13791758040448351527</stp>
        <tr r="N38" s="2"/>
      </tp>
      <tp t="s">
        <v>#N/A N/A</v>
        <stp/>
        <stp>BDP|14048333487606678411</stp>
        <tr r="C1512" s="2"/>
      </tp>
      <tp t="s">
        <v>#N/A N/A</v>
        <stp/>
        <stp>BDP|10514486796959084981</stp>
        <tr r="K993" s="2"/>
      </tp>
      <tp t="s">
        <v>#N/A N/A</v>
        <stp/>
        <stp>BDS|18287067054498496844</stp>
        <tr r="I1770" s="2"/>
      </tp>
      <tp t="s">
        <v>#N/A N/A</v>
        <stp/>
        <stp>BDP|17073967250367567103</stp>
        <tr r="F610" s="2"/>
      </tp>
      <tp t="s">
        <v>#N/A N/A</v>
        <stp/>
        <stp>BDP|16221402095407572115</stp>
        <tr r="E478" s="2"/>
      </tp>
      <tp t="s">
        <v>#N/A N/A</v>
        <stp/>
        <stp>BDS|15344357080500587338</stp>
        <tr r="I661" s="2"/>
      </tp>
      <tp t="s">
        <v>#N/A N/A</v>
        <stp/>
        <stp>BDP|14845817840701988439</stp>
        <tr r="P1346" s="2"/>
      </tp>
      <tp t="s">
        <v>#N/A N/A</v>
        <stp/>
        <stp>BDP|16520977169425965112</stp>
        <tr r="D92" s="2"/>
      </tp>
      <tp t="s">
        <v>#N/A N/A</v>
        <stp/>
        <stp>BDP|15933676751763403887</stp>
        <tr r="T1409" s="2"/>
      </tp>
      <tp t="s">
        <v>#N/A N/A</v>
        <stp/>
        <stp>BDP|16877625215545860944</stp>
        <tr r="H149" s="2"/>
      </tp>
      <tp t="s">
        <v>#N/A N/A</v>
        <stp/>
        <stp>BDP|14344042152964580832</stp>
        <tr r="P355" s="2"/>
      </tp>
      <tp t="s">
        <v>#N/A N/A</v>
        <stp/>
        <stp>BDP|10070273952062112871</stp>
        <tr r="C982" s="2"/>
      </tp>
      <tp t="s">
        <v>#N/A N/A</v>
        <stp/>
        <stp>BDP|14160835861143912497</stp>
        <tr r="P1777" s="2"/>
      </tp>
      <tp t="s">
        <v>#N/A N/A</v>
        <stp/>
        <stp>BDP|10450931452228110973</stp>
        <tr r="R2003" s="2"/>
      </tp>
      <tp t="s">
        <v>#N/A N/A</v>
        <stp/>
        <stp>BDP|18058508469936284097</stp>
        <tr r="E303" s="2"/>
      </tp>
      <tp t="s">
        <v>#N/A N/A</v>
        <stp/>
        <stp>BDP|15251253401898516214</stp>
        <tr r="N721" s="2"/>
      </tp>
      <tp t="s">
        <v>#N/A N/A</v>
        <stp/>
        <stp>BDP|13643358191013554752</stp>
        <tr r="G1430" s="2"/>
      </tp>
      <tp t="s">
        <v>#N/A N/A</v>
        <stp/>
        <stp>BDP|17321078187356578444</stp>
        <tr r="M1770" s="2"/>
      </tp>
      <tp t="s">
        <v>#N/A N/A</v>
        <stp/>
        <stp>BDP|13359891357815613697</stp>
        <tr r="S852" s="2"/>
      </tp>
      <tp t="s">
        <v>#N/A N/A</v>
        <stp/>
        <stp>BDP|14859881148030993537</stp>
        <tr r="C2236" s="2"/>
      </tp>
      <tp t="s">
        <v>#N/A N/A</v>
        <stp/>
        <stp>BDP|11150562788022580385</stp>
        <tr r="Q1728" s="2"/>
      </tp>
      <tp t="s">
        <v>#N/A N/A</v>
        <stp/>
        <stp>BDP|17459804847857371127</stp>
        <tr r="R956" s="2"/>
      </tp>
      <tp t="s">
        <v>#N/A N/A</v>
        <stp/>
        <stp>BDS|12122954736446634358</stp>
        <tr r="I725" s="2"/>
      </tp>
      <tp t="s">
        <v>#N/A N/A</v>
        <stp/>
        <stp>BDP|16607250226073215858</stp>
        <tr r="H316" s="2"/>
      </tp>
      <tp t="s">
        <v>#N/A N/A</v>
        <stp/>
        <stp>BDP|16520956552571413649</stp>
        <tr r="N1044" s="2"/>
      </tp>
      <tp t="s">
        <v>#N/A N/A</v>
        <stp/>
        <stp>BDP|13392373769233615890</stp>
        <tr r="Q319" s="2"/>
      </tp>
      <tp t="s">
        <v>#N/A N/A</v>
        <stp/>
        <stp>BDP|14435357090853262013</stp>
        <tr r="J1806" s="2"/>
      </tp>
      <tp t="s">
        <v>#N/A N/A</v>
        <stp/>
        <stp>BDP|15180862333966527538</stp>
        <tr r="F922" s="2"/>
      </tp>
      <tp t="s">
        <v>#N/A N/A</v>
        <stp/>
        <stp>BDP|17290012991340990399</stp>
        <tr r="J665" s="2"/>
      </tp>
      <tp t="s">
        <v>#N/A N/A</v>
        <stp/>
        <stp>BDP|10182151527859414758</stp>
        <tr r="P2007" s="2"/>
      </tp>
      <tp t="s">
        <v>#N/A N/A</v>
        <stp/>
        <stp>BDP|18292022725670154760</stp>
        <tr r="H1795" s="2"/>
      </tp>
      <tp t="s">
        <v>#N/A N/A</v>
        <stp/>
        <stp>BDP|12660219673818396256</stp>
        <tr r="D1513" s="2"/>
      </tp>
      <tp t="s">
        <v>#N/A N/A</v>
        <stp/>
        <stp>BDP|13643569425281672817</stp>
        <tr r="K1539" s="2"/>
      </tp>
      <tp t="s">
        <v>#N/A N/A</v>
        <stp/>
        <stp>BDP|11006040580691581531</stp>
        <tr r="R1556" s="2"/>
      </tp>
      <tp t="s">
        <v>#N/A N/A</v>
        <stp/>
        <stp>BDS|15253839010756902794</stp>
        <tr r="I461" s="2"/>
      </tp>
      <tp t="s">
        <v>#N/A N/A</v>
        <stp/>
        <stp>BDP|12613605393792248258</stp>
        <tr r="N311" s="2"/>
      </tp>
      <tp t="s">
        <v>#N/A N/A</v>
        <stp/>
        <stp>BDP|13096852382496733822</stp>
        <tr r="S419" s="2"/>
      </tp>
      <tp t="s">
        <v>#N/A N/A</v>
        <stp/>
        <stp>BDP|16055127224520711838</stp>
        <tr r="S460" s="2"/>
      </tp>
      <tp t="s">
        <v>#N/A N/A</v>
        <stp/>
        <stp>BDP|14637852603805441463</stp>
        <tr r="D1524" s="2"/>
      </tp>
      <tp t="s">
        <v>#N/A N/A</v>
        <stp/>
        <stp>BDP|15200090805339492187</stp>
        <tr r="O1595" s="2"/>
      </tp>
      <tp t="s">
        <v>#N/A N/A</v>
        <stp/>
        <stp>BDP|16379957742926554031</stp>
        <tr r="T537" s="2"/>
      </tp>
      <tp t="s">
        <v>#N/A N/A</v>
        <stp/>
        <stp>BDP|10436316558089910269</stp>
        <tr r="H1109" s="2"/>
      </tp>
      <tp t="s">
        <v>#N/A N/A</v>
        <stp/>
        <stp>BDP|18142601937367537718</stp>
        <tr r="O699" s="2"/>
      </tp>
      <tp t="s">
        <v>#N/A N/A</v>
        <stp/>
        <stp>BDP|11788973850511234100</stp>
        <tr r="Q484" s="2"/>
      </tp>
      <tp t="s">
        <v>#N/A N/A</v>
        <stp/>
        <stp>BDP|12955371599904574107</stp>
        <tr r="D96" s="2"/>
      </tp>
      <tp t="s">
        <v>#N/A N/A</v>
        <stp/>
        <stp>BDP|15435650275431592833</stp>
        <tr r="G105" s="2"/>
      </tp>
      <tp t="s">
        <v>#N/A N/A</v>
        <stp/>
        <stp>BDP|15562325285656795571</stp>
        <tr r="A2183" s="2"/>
      </tp>
      <tp t="s">
        <v>#N/A N/A</v>
        <stp/>
        <stp>BDP|17123834401045596743</stp>
        <tr r="O587" s="2"/>
      </tp>
      <tp t="s">
        <v>#N/A N/A</v>
        <stp/>
        <stp>BDP|18075013005166685301</stp>
        <tr r="J1739" s="2"/>
      </tp>
      <tp t="s">
        <v>#N/A N/A</v>
        <stp/>
        <stp>BDP|15680757684651571602</stp>
        <tr r="R998" s="2"/>
      </tp>
      <tp t="s">
        <v>#N/A N/A</v>
        <stp/>
        <stp>BDP|16287054991247628520</stp>
        <tr r="M939" s="2"/>
      </tp>
      <tp t="s">
        <v>#N/A N/A</v>
        <stp/>
        <stp>BDP|15184110982912451347</stp>
        <tr r="E749" s="2"/>
      </tp>
      <tp t="s">
        <v>#N/A N/A</v>
        <stp/>
        <stp>BDP|14313132089802918229</stp>
        <tr r="E1412" s="2"/>
      </tp>
      <tp t="s">
        <v>#N/A N/A</v>
        <stp/>
        <stp>BDP|15021784972348967010</stp>
        <tr r="R2100" s="2"/>
      </tp>
      <tp t="s">
        <v>#N/A N/A</v>
        <stp/>
        <stp>BDP|17419363993416260613</stp>
        <tr r="E1720" s="2"/>
      </tp>
      <tp t="s">
        <v>#N/A N/A</v>
        <stp/>
        <stp>BDP|16466930610494349765</stp>
        <tr r="Q632" s="2"/>
      </tp>
      <tp t="s">
        <v>#N/A N/A</v>
        <stp/>
        <stp>BDP|17735346984722593309</stp>
        <tr r="P2052" s="2"/>
      </tp>
      <tp t="s">
        <v>#N/A N/A</v>
        <stp/>
        <stp>BDP|15184750851912143867</stp>
        <tr r="F1314" s="2"/>
      </tp>
      <tp t="s">
        <v>#N/A N/A</v>
        <stp/>
        <stp>BDP|15528447447638717030</stp>
        <tr r="A579" s="2"/>
      </tp>
      <tp t="s">
        <v>#N/A N/A</v>
        <stp/>
        <stp>BDP|13041644680752118274</stp>
        <tr r="T1836" s="2"/>
      </tp>
      <tp t="s">
        <v>#N/A N/A</v>
        <stp/>
        <stp>BDS|11291693046726996856</stp>
        <tr r="I837" s="2"/>
      </tp>
      <tp t="s">
        <v>#N/A N/A</v>
        <stp/>
        <stp>BDP|10959794110263318810</stp>
        <tr r="K46" s="2"/>
      </tp>
      <tp t="s">
        <v>#N/A N/A</v>
        <stp/>
        <stp>BDP|12060626631309215330</stp>
        <tr r="F1768" s="2"/>
      </tp>
      <tp t="s">
        <v>#N/A N/A</v>
        <stp/>
        <stp>BDP|10338887154550983048</stp>
        <tr r="G754" s="2"/>
      </tp>
      <tp t="s">
        <v>#N/A N/A</v>
        <stp/>
        <stp>BDP|16792258982036467766</stp>
        <tr r="J642" s="2"/>
      </tp>
      <tp t="s">
        <v>#N/A N/A</v>
        <stp/>
        <stp>BDP|15377177174978789650</stp>
        <tr r="P1627" s="2"/>
      </tp>
      <tp t="s">
        <v>#N/A N/A</v>
        <stp/>
        <stp>BDP|14263382188316807486</stp>
        <tr r="S354" s="2"/>
      </tp>
      <tp t="s">
        <v>#N/A N/A</v>
        <stp/>
        <stp>BDP|13767356986281260445</stp>
        <tr r="M975" s="2"/>
      </tp>
      <tp t="s">
        <v>#N/A N/A</v>
        <stp/>
        <stp>BDP|15524629567970635840</stp>
        <tr r="P737" s="2"/>
      </tp>
      <tp t="s">
        <v>#N/A N/A</v>
        <stp/>
        <stp>BDP|12279324191355544064</stp>
        <tr r="J661" s="2"/>
      </tp>
      <tp t="s">
        <v>#N/A N/A</v>
        <stp/>
        <stp>BDP|13573574652267546975</stp>
        <tr r="G1261" s="2"/>
      </tp>
      <tp t="s">
        <v>#N/A N/A</v>
        <stp/>
        <stp>BDP|13726928707307496040</stp>
        <tr r="H407" s="2"/>
      </tp>
      <tp t="s">
        <v>#N/A N/A</v>
        <stp/>
        <stp>BDP|10624707330550130953</stp>
        <tr r="E1632" s="2"/>
      </tp>
      <tp t="s">
        <v>#N/A N/A</v>
        <stp/>
        <stp>BDP|15585291588290699205</stp>
        <tr r="F213" s="2"/>
      </tp>
      <tp t="s">
        <v>#N/A N/A</v>
        <stp/>
        <stp>BDP|10205518193636505779</stp>
        <tr r="S1128" s="2"/>
      </tp>
      <tp t="s">
        <v>#N/A N/A</v>
        <stp/>
        <stp>BDP|10627454927083044865</stp>
        <tr r="M2200" s="2"/>
      </tp>
      <tp t="s">
        <v>#N/A N/A</v>
        <stp/>
        <stp>BDP|15618816156777334205</stp>
        <tr r="C941" s="2"/>
      </tp>
      <tp t="s">
        <v>#N/A N/A</v>
        <stp/>
        <stp>BDP|17162173986105511673</stp>
        <tr r="K1910" s="2"/>
      </tp>
      <tp t="s">
        <v>#N/A N/A</v>
        <stp/>
        <stp>BDP|10443041616205343975</stp>
        <tr r="S492" s="2"/>
      </tp>
      <tp t="s">
        <v>#N/A N/A</v>
        <stp/>
        <stp>BDP|13374282685354449087</stp>
        <tr r="G393" s="2"/>
      </tp>
      <tp t="s">
        <v>#N/A N/A</v>
        <stp/>
        <stp>BDP|10797114395857039213</stp>
        <tr r="T1027" s="2"/>
      </tp>
      <tp t="s">
        <v>#N/A N/A</v>
        <stp/>
        <stp>BDP|17014427621718908484</stp>
        <tr r="P2065" s="2"/>
      </tp>
      <tp t="s">
        <v>#N/A N/A</v>
        <stp/>
        <stp>BDP|13547270580491811584</stp>
        <tr r="K713" s="2"/>
      </tp>
      <tp t="s">
        <v>#N/A N/A</v>
        <stp/>
        <stp>BDP|17991816410545994636</stp>
        <tr r="S934" s="2"/>
      </tp>
      <tp t="s">
        <v>#N/A N/A</v>
        <stp/>
        <stp>BDP|17100559265968513164</stp>
        <tr r="H1186" s="2"/>
      </tp>
      <tp t="s">
        <v>#N/A N/A</v>
        <stp/>
        <stp>BDP|14051199373907891809</stp>
        <tr r="J350" s="2"/>
      </tp>
      <tp t="s">
        <v>#N/A N/A</v>
        <stp/>
        <stp>BDP|14571516347160947881</stp>
        <tr r="P657" s="2"/>
      </tp>
      <tp t="s">
        <v>#N/A N/A</v>
        <stp/>
        <stp>BDP|16385788898082717764</stp>
        <tr r="J531" s="2"/>
      </tp>
      <tp t="s">
        <v>#N/A N/A</v>
        <stp/>
        <stp>BDP|12025032696544218250</stp>
        <tr r="G67" s="2"/>
      </tp>
      <tp t="s">
        <v>#N/A N/A</v>
        <stp/>
        <stp>BDP|17045138454309529709</stp>
        <tr r="A1624" s="2"/>
      </tp>
      <tp t="s">
        <v>#N/A N/A</v>
        <stp/>
        <stp>BDP|10088978700381772520</stp>
        <tr r="A481" s="2"/>
      </tp>
      <tp t="s">
        <v>#N/A N/A</v>
        <stp/>
        <stp>BDP|12676865413340943681</stp>
        <tr r="P1690" s="2"/>
      </tp>
      <tp t="s">
        <v>#N/A N/A</v>
        <stp/>
        <stp>BDS|12067426903782653966</stp>
        <tr r="I911" s="2"/>
      </tp>
      <tp t="s">
        <v>#N/A N/A</v>
        <stp/>
        <stp>BDP|16407797365689338396</stp>
        <tr r="T1115" s="2"/>
      </tp>
      <tp t="s">
        <v>#N/A N/A</v>
        <stp/>
        <stp>BDP|13537736696219560975</stp>
        <tr r="G467" s="2"/>
      </tp>
      <tp t="s">
        <v>#N/A N/A</v>
        <stp/>
        <stp>BDP|11448409853944367966</stp>
        <tr r="R2123" s="2"/>
      </tp>
      <tp t="s">
        <v>#N/A N/A</v>
        <stp/>
        <stp>BDP|15711341662278609529</stp>
        <tr r="G1120" s="2"/>
      </tp>
      <tp t="s">
        <v>#N/A N/A</v>
        <stp/>
        <stp>BDP|17937092854459362628</stp>
        <tr r="G1260" s="2"/>
      </tp>
      <tp t="s">
        <v>#N/A N/A</v>
        <stp/>
        <stp>BDP|16498863430453242351</stp>
        <tr r="M1019" s="2"/>
      </tp>
      <tp t="s">
        <v>#N/A N/A</v>
        <stp/>
        <stp>BDP|10292285688594648316</stp>
        <tr r="F350" s="2"/>
      </tp>
      <tp t="s">
        <v>#N/A N/A</v>
        <stp/>
        <stp>BDP|15723502514838122471</stp>
        <tr r="K1788" s="2"/>
      </tp>
      <tp t="s">
        <v>#N/A N/A</v>
        <stp/>
        <stp>BDP|17530886159835823294</stp>
        <tr r="T384" s="2"/>
      </tp>
      <tp t="s">
        <v>#N/A N/A</v>
        <stp/>
        <stp>BDP|17631143496381913388</stp>
        <tr r="G965" s="2"/>
      </tp>
      <tp t="s">
        <v>#N/A N/A</v>
        <stp/>
        <stp>BDP|12044598088494729630</stp>
        <tr r="S1809" s="2"/>
      </tp>
      <tp t="s">
        <v>#N/A N/A</v>
        <stp/>
        <stp>BDP|10257813167503297030</stp>
        <tr r="O2103" s="2"/>
      </tp>
      <tp t="s">
        <v>#N/A N/A</v>
        <stp/>
        <stp>BDP|12363978747320046263</stp>
        <tr r="M1188" s="2"/>
      </tp>
      <tp t="s">
        <v>#N/A N/A</v>
        <stp/>
        <stp>BDP|17492898349861227731</stp>
        <tr r="H1721" s="2"/>
      </tp>
      <tp t="s">
        <v>#N/A N/A</v>
        <stp/>
        <stp>BDP|10508932267831744337</stp>
        <tr r="R552" s="2"/>
      </tp>
      <tp t="s">
        <v>#N/A N/A</v>
        <stp/>
        <stp>BDP|10938409126843991832</stp>
        <tr r="A2101" s="2"/>
      </tp>
      <tp t="s">
        <v>#N/A N/A</v>
        <stp/>
        <stp>BDP|16442525125889494529</stp>
        <tr r="T1342" s="2"/>
      </tp>
      <tp t="s">
        <v>#N/A N/A</v>
        <stp/>
        <stp>BDP|11480817377086125564</stp>
        <tr r="P188" s="2"/>
      </tp>
      <tp t="s">
        <v>#N/A N/A</v>
        <stp/>
        <stp>BDP|10655827314895230171</stp>
        <tr r="F756" s="2"/>
      </tp>
      <tp t="s">
        <v>#N/A N/A</v>
        <stp/>
        <stp>BDP|12735792097893505291</stp>
        <tr r="E392" s="2"/>
      </tp>
      <tp t="s">
        <v>#N/A N/A</v>
        <stp/>
        <stp>BDP|16097179972428448548</stp>
        <tr r="H1393" s="2"/>
      </tp>
      <tp t="s">
        <v>#N/A N/A</v>
        <stp/>
        <stp>BDP|15741732217958631604</stp>
        <tr r="N1898" s="2"/>
      </tp>
      <tp t="s">
        <v>#N/A N/A</v>
        <stp/>
        <stp>BDP|14498838006789182856</stp>
        <tr r="G2110" s="2"/>
      </tp>
      <tp t="s">
        <v>#N/A N/A</v>
        <stp/>
        <stp>BDP|12848929049705765713</stp>
        <tr r="Q2247" s="2"/>
      </tp>
      <tp t="s">
        <v>#N/A N/A</v>
        <stp/>
        <stp>BDP|11321615674935238812</stp>
        <tr r="J1522" s="2"/>
      </tp>
      <tp t="s">
        <v>#N/A N/A</v>
        <stp/>
        <stp>BDP|12040160345638588235</stp>
        <tr r="M1460" s="2"/>
      </tp>
      <tp t="s">
        <v>#N/A N/A</v>
        <stp/>
        <stp>BDP|17485650349759956145</stp>
        <tr r="R892" s="2"/>
      </tp>
      <tp t="s">
        <v>#N/A N/A</v>
        <stp/>
        <stp>BDP|17438808836408037973</stp>
        <tr r="M1323" s="2"/>
      </tp>
      <tp t="s">
        <v>#N/A N/A</v>
        <stp/>
        <stp>BDP|13913015166991238991</stp>
        <tr r="G99" s="2"/>
      </tp>
      <tp t="s">
        <v>#N/A N/A</v>
        <stp/>
        <stp>BDP|17012970745326294154</stp>
        <tr r="O1102" s="2"/>
      </tp>
      <tp t="s">
        <v>#N/A N/A</v>
        <stp/>
        <stp>BDP|11163243612036193932</stp>
        <tr r="N1352" s="2"/>
      </tp>
      <tp t="s">
        <v>#N/A N/A</v>
        <stp/>
        <stp>BDP|16612534389360093691</stp>
        <tr r="N211" s="2"/>
      </tp>
      <tp t="s">
        <v>#N/A N/A</v>
        <stp/>
        <stp>BDP|11669122819004187892</stp>
        <tr r="Q2189" s="2"/>
      </tp>
      <tp t="s">
        <v>#N/A N/A</v>
        <stp/>
        <stp>BDP|14251053186257383672</stp>
        <tr r="M2142" s="2"/>
      </tp>
      <tp t="s">
        <v>#N/A N/A</v>
        <stp/>
        <stp>BDP|14437114111929032013</stp>
        <tr r="C1425" s="2"/>
      </tp>
      <tp t="s">
        <v>#N/A N/A</v>
        <stp/>
        <stp>BDS|11790705655628014645</stp>
        <tr r="I263" s="2"/>
      </tp>
      <tp t="s">
        <v>#N/A N/A</v>
        <stp/>
        <stp>BDP|11596508987883302244</stp>
        <tr r="J1055" s="2"/>
      </tp>
      <tp t="s">
        <v>#N/A N/A</v>
        <stp/>
        <stp>BDP|10083550827253729905</stp>
        <tr r="G1327" s="2"/>
      </tp>
      <tp t="s">
        <v>#N/A N/A</v>
        <stp/>
        <stp>BDP|15581049674958642761</stp>
        <tr r="A866" s="2"/>
      </tp>
      <tp t="s">
        <v>#N/A N/A</v>
        <stp/>
        <stp>BDP|10236774331731095814</stp>
        <tr r="H179" s="2"/>
      </tp>
      <tp t="s">
        <v>#N/A N/A</v>
        <stp/>
        <stp>BDP|12744648010601777910</stp>
        <tr r="R509" s="2"/>
      </tp>
      <tp t="s">
        <v>#N/A N/A</v>
        <stp/>
        <stp>BDS|14372415357501083932</stp>
        <tr r="I793" s="2"/>
      </tp>
      <tp t="s">
        <v>#N/A N/A</v>
        <stp/>
        <stp>BDP|11642028487990507439</stp>
        <tr r="R1627" s="2"/>
      </tp>
      <tp t="s">
        <v>#N/A N/A</v>
        <stp/>
        <stp>BDP|17461925096759313369</stp>
        <tr r="K1887" s="2"/>
      </tp>
      <tp t="s">
        <v>#N/A N/A</v>
        <stp/>
        <stp>BDP|10629173053801725808</stp>
        <tr r="H882" s="2"/>
      </tp>
      <tp t="s">
        <v>#N/A N/A</v>
        <stp/>
        <stp>BDP|15901912443155954075</stp>
        <tr r="K510" s="2"/>
      </tp>
      <tp t="s">
        <v>#N/A N/A</v>
        <stp/>
        <stp>BDP|13562942344552372135</stp>
        <tr r="A91" s="2"/>
      </tp>
      <tp t="s">
        <v>#N/A N/A</v>
        <stp/>
        <stp>BDP|16242969770670490551</stp>
        <tr r="O195" s="2"/>
      </tp>
      <tp t="s">
        <v>#N/A N/A</v>
        <stp/>
        <stp>BDP|17154532830629226551</stp>
        <tr r="J830" s="2"/>
      </tp>
      <tp t="s">
        <v>#N/A N/A</v>
        <stp/>
        <stp>BDP|14470380290682931100</stp>
        <tr r="H591" s="2"/>
      </tp>
      <tp t="s">
        <v>#N/A N/A</v>
        <stp/>
        <stp>BDP|16704903501404664653</stp>
        <tr r="P1087" s="2"/>
      </tp>
      <tp t="s">
        <v>#N/A N/A</v>
        <stp/>
        <stp>BDP|11203821557708340910</stp>
        <tr r="E2131" s="2"/>
      </tp>
      <tp t="s">
        <v>#N/A N/A</v>
        <stp/>
        <stp>BDP|15890497601359462519</stp>
        <tr r="A935" s="2"/>
      </tp>
      <tp t="s">
        <v>#N/A N/A</v>
        <stp/>
        <stp>BDP|10471978357423793260</stp>
        <tr r="H2038" s="2"/>
      </tp>
      <tp t="s">
        <v>#N/A N/A</v>
        <stp/>
        <stp>BDP|11504992572260882239</stp>
        <tr r="Q1837" s="2"/>
      </tp>
      <tp t="s">
        <v>#N/A N/A</v>
        <stp/>
        <stp>BDP|14274862894539019150</stp>
        <tr r="S1919" s="2"/>
      </tp>
      <tp t="s">
        <v>#N/A N/A</v>
        <stp/>
        <stp>BDP|15219530881747628234</stp>
        <tr r="O1639" s="2"/>
      </tp>
      <tp t="s">
        <v>#N/A N/A</v>
        <stp/>
        <stp>BDP|13094974602894203325</stp>
        <tr r="D1839" s="2"/>
      </tp>
      <tp t="s">
        <v>#N/A N/A</v>
        <stp/>
        <stp>BDP|16004137649017727985</stp>
        <tr r="A1441" s="2"/>
      </tp>
      <tp t="s">
        <v>#N/A N/A</v>
        <stp/>
        <stp>BDP|12544400473459545564</stp>
        <tr r="M714" s="2"/>
      </tp>
      <tp t="s">
        <v>#N/A N/A</v>
        <stp/>
        <stp>BDP|11463312390837850189</stp>
        <tr r="D947" s="2"/>
      </tp>
      <tp t="s">
        <v>#N/A N/A</v>
        <stp/>
        <stp>BDP|12250247200454644952</stp>
        <tr r="J835" s="2"/>
      </tp>
      <tp t="s">
        <v>#N/A N/A</v>
        <stp/>
        <stp>BDP|12625676664107771872</stp>
        <tr r="A793" s="2"/>
      </tp>
      <tp t="s">
        <v>#N/A N/A</v>
        <stp/>
        <stp>BDP|15136481439528632734</stp>
        <tr r="K1763" s="2"/>
      </tp>
      <tp t="s">
        <v>#N/A N/A</v>
        <stp/>
        <stp>BDP|16705613957831783934</stp>
        <tr r="K1644" s="2"/>
      </tp>
      <tp t="s">
        <v>#N/A N/A</v>
        <stp/>
        <stp>BDP|11249716184776146536</stp>
        <tr r="D814" s="2"/>
      </tp>
      <tp t="s">
        <v>#N/A N/A</v>
        <stp/>
        <stp>BDP|13960692896530073131</stp>
        <tr r="G2122" s="2"/>
      </tp>
      <tp t="s">
        <v>#N/A N/A</v>
        <stp/>
        <stp>BDP|11672856618284908174</stp>
        <tr r="J1069" s="2"/>
      </tp>
      <tp t="s">
        <v>#N/A N/A</v>
        <stp/>
        <stp>BDP|11140260782717120116</stp>
        <tr r="C1280" s="2"/>
      </tp>
      <tp t="s">
        <v>#N/A N/A</v>
        <stp/>
        <stp>BDP|15995188981396144741</stp>
        <tr r="S1466" s="2"/>
      </tp>
      <tp t="s">
        <v>#N/A N/A</v>
        <stp/>
        <stp>BDP|11032060038506241995</stp>
        <tr r="A800" s="2"/>
      </tp>
      <tp t="s">
        <v>#N/A N/A</v>
        <stp/>
        <stp>BDP|14328296172898485492</stp>
        <tr r="N573" s="2"/>
      </tp>
      <tp t="s">
        <v>#N/A N/A</v>
        <stp/>
        <stp>BDP|12879823130055949166</stp>
        <tr r="E1489" s="2"/>
      </tp>
      <tp t="s">
        <v>#N/A N/A</v>
        <stp/>
        <stp>BDP|14913490331676154854</stp>
        <tr r="F1832" s="2"/>
      </tp>
      <tp t="s">
        <v>#N/A N/A</v>
        <stp/>
        <stp>BDP|16001741064463534900</stp>
        <tr r="O391" s="2"/>
      </tp>
      <tp t="s">
        <v>#N/A N/A</v>
        <stp/>
        <stp>BDP|10761744717693122803</stp>
        <tr r="T1874" s="2"/>
      </tp>
      <tp t="s">
        <v>#N/A N/A</v>
        <stp/>
        <stp>BDP|18221517066141529753</stp>
        <tr r="H1775" s="2"/>
      </tp>
      <tp t="s">
        <v>#N/A N/A</v>
        <stp/>
        <stp>BDP|15117633752568168344</stp>
        <tr r="S1949" s="2"/>
      </tp>
      <tp t="s">
        <v>#N/A N/A</v>
        <stp/>
        <stp>BDP|17293654981963114720</stp>
        <tr r="H2168" s="2"/>
      </tp>
      <tp t="s">
        <v>#N/A N/A</v>
        <stp/>
        <stp>BDP|15550718333145404969</stp>
        <tr r="A1425" s="2"/>
      </tp>
      <tp t="s">
        <v>#N/A N/A</v>
        <stp/>
        <stp>BDP|15260505890682521623</stp>
        <tr r="Q56" s="2"/>
      </tp>
      <tp t="s">
        <v>#N/A N/A</v>
        <stp/>
        <stp>BDP|17061111396613462163</stp>
        <tr r="S860" s="2"/>
      </tp>
      <tp t="s">
        <v>#N/A N/A</v>
        <stp/>
        <stp>BDP|16921952719741401243</stp>
        <tr r="E412" s="2"/>
      </tp>
      <tp t="s">
        <v>#N/A N/A</v>
        <stp/>
        <stp>BDP|16332861013897546575</stp>
        <tr r="Q723" s="2"/>
      </tp>
      <tp t="s">
        <v>#N/A N/A</v>
        <stp/>
        <stp>BDS|12742242922319162678</stp>
        <tr r="I43" s="2"/>
      </tp>
      <tp t="s">
        <v>#N/A N/A</v>
        <stp/>
        <stp>BDP|11847333082464894351</stp>
        <tr r="M2154" s="2"/>
      </tp>
      <tp t="s">
        <v>#N/A N/A</v>
        <stp/>
        <stp>BDP|15195216081840095255</stp>
        <tr r="S1058" s="2"/>
      </tp>
      <tp t="s">
        <v>#N/A N/A</v>
        <stp/>
        <stp>BDP|10254317051808252344</stp>
        <tr r="O1540" s="2"/>
      </tp>
      <tp t="s">
        <v>#N/A N/A</v>
        <stp/>
        <stp>BDP|11487124787290718524</stp>
        <tr r="N973" s="2"/>
      </tp>
      <tp t="s">
        <v>#N/A N/A</v>
        <stp/>
        <stp>BDP|11138713552976149876</stp>
        <tr r="F875" s="2"/>
      </tp>
      <tp t="s">
        <v>#N/A N/A</v>
        <stp/>
        <stp>BDP|11452945356770490064</stp>
        <tr r="Q638" s="2"/>
      </tp>
      <tp t="s">
        <v>#N/A N/A</v>
        <stp/>
        <stp>BDP|15879269368919688545</stp>
        <tr r="J466" s="2"/>
      </tp>
      <tp t="s">
        <v>#N/A N/A</v>
        <stp/>
        <stp>BDP|15814661704887849966</stp>
        <tr r="R584" s="2"/>
      </tp>
      <tp t="s">
        <v>#N/A N/A</v>
        <stp/>
        <stp>BDP|17420291888901300123</stp>
        <tr r="G940" s="2"/>
      </tp>
      <tp t="s">
        <v>#N/A N/A</v>
        <stp/>
        <stp>BDP|17989976189269205215</stp>
        <tr r="T1632" s="2"/>
      </tp>
      <tp t="s">
        <v>#N/A N/A</v>
        <stp/>
        <stp>BDP|16028183868018104458</stp>
        <tr r="Q1269" s="2"/>
      </tp>
      <tp t="s">
        <v>#N/A N/A</v>
        <stp/>
        <stp>BDP|10360952912692627769</stp>
        <tr r="M1550" s="2"/>
      </tp>
      <tp t="s">
        <v>#N/A N/A</v>
        <stp/>
        <stp>BDP|17487710696577530327</stp>
        <tr r="M2212" s="2"/>
      </tp>
      <tp t="s">
        <v>#N/A N/A</v>
        <stp/>
        <stp>BDP|16625868155364372227</stp>
        <tr r="D1880" s="2"/>
      </tp>
      <tp t="s">
        <v>#N/A N/A</v>
        <stp/>
        <stp>BDP|10213943066980024241</stp>
        <tr r="Q131" s="2"/>
      </tp>
      <tp t="s">
        <v>#N/A N/A</v>
        <stp/>
        <stp>BDP|14435832643557957299</stp>
        <tr r="K1062" s="2"/>
      </tp>
      <tp t="s">
        <v>#N/A N/A</v>
        <stp/>
        <stp>BDP|12582898364522594393</stp>
        <tr r="N1344" s="2"/>
      </tp>
      <tp t="s">
        <v>#N/A N/A</v>
        <stp/>
        <stp>BDP|11881858556796791780</stp>
        <tr r="P2096" s="2"/>
      </tp>
      <tp t="s">
        <v>#N/A N/A</v>
        <stp/>
        <stp>BDP|14990587980540723427</stp>
        <tr r="K1126" s="2"/>
      </tp>
      <tp t="s">
        <v>#N/A N/A</v>
        <stp/>
        <stp>BDS|10795653227391527875</stp>
        <tr r="I1846" s="2"/>
      </tp>
      <tp t="s">
        <v>#N/A N/A</v>
        <stp/>
        <stp>BDP|15082137307019877086</stp>
        <tr r="R1244" s="2"/>
      </tp>
      <tp t="s">
        <v>#N/A N/A</v>
        <stp/>
        <stp>BDP|16943441899485073308</stp>
        <tr r="D2119" s="2"/>
      </tp>
      <tp t="s">
        <v>#N/A N/A</v>
        <stp/>
        <stp>BDP|14683810877344403206</stp>
        <tr r="H1095" s="2"/>
      </tp>
      <tp t="s">
        <v>#N/A N/A</v>
        <stp/>
        <stp>BDP|15325675575599566009</stp>
        <tr r="O1294" s="2"/>
      </tp>
      <tp t="s">
        <v>#N/A N/A</v>
        <stp/>
        <stp>BDP|17792923100776641574</stp>
        <tr r="D1645" s="2"/>
      </tp>
      <tp t="s">
        <v>#N/A N/A</v>
        <stp/>
        <stp>BDP|10699736997460037365</stp>
        <tr r="R1510" s="2"/>
      </tp>
      <tp t="s">
        <v>#N/A N/A</v>
        <stp/>
        <stp>BDP|11710759710548142274</stp>
        <tr r="K1371" s="2"/>
      </tp>
      <tp t="s">
        <v>#N/A N/A</v>
        <stp/>
        <stp>BDP|10319529333329475220</stp>
        <tr r="O318" s="2"/>
      </tp>
      <tp t="s">
        <v>#N/A N/A</v>
        <stp/>
        <stp>BDP|16341795381863949761</stp>
        <tr r="P1488" s="2"/>
      </tp>
      <tp t="s">
        <v>#N/A N/A</v>
        <stp/>
        <stp>BDP|16439834083168023308</stp>
        <tr r="O400" s="2"/>
      </tp>
      <tp t="s">
        <v>#N/A N/A</v>
        <stp/>
        <stp>BDP|15299767312366503871</stp>
        <tr r="S109" s="2"/>
      </tp>
      <tp t="s">
        <v>#N/A N/A</v>
        <stp/>
        <stp>BDP|14911394380995461706</stp>
        <tr r="K2111" s="2"/>
      </tp>
      <tp t="s">
        <v>#N/A N/A</v>
        <stp/>
        <stp>BDP|10132514066856702853</stp>
        <tr r="M553" s="2"/>
      </tp>
      <tp t="s">
        <v>#N/A N/A</v>
        <stp/>
        <stp>BDP|18405689706762641186</stp>
        <tr r="C2145" s="2"/>
      </tp>
      <tp t="s">
        <v>#N/A N/A</v>
        <stp/>
        <stp>BDP|13684776760177020851</stp>
        <tr r="K291" s="2"/>
      </tp>
      <tp t="s">
        <v>#N/A N/A</v>
        <stp/>
        <stp>BDP|13705680260856955821</stp>
        <tr r="T2028" s="2"/>
      </tp>
      <tp t="s">
        <v>#N/A N/A</v>
        <stp/>
        <stp>BDP|10505438386624722530</stp>
        <tr r="J563" s="2"/>
      </tp>
      <tp t="s">
        <v>#N/A N/A</v>
        <stp/>
        <stp>BDP|13626260882782786611</stp>
        <tr r="P330" s="2"/>
      </tp>
      <tp t="s">
        <v>#N/A N/A</v>
        <stp/>
        <stp>BDP|16824990543405223348</stp>
        <tr r="G122" s="2"/>
      </tp>
      <tp t="s">
        <v>#N/A N/A</v>
        <stp/>
        <stp>BDP|15392259519698330386</stp>
        <tr r="D1669" s="2"/>
      </tp>
      <tp t="s">
        <v>#N/A N/A</v>
        <stp/>
        <stp>BDP|14472145735053761867</stp>
        <tr r="O903" s="2"/>
      </tp>
      <tp t="s">
        <v>#N/A N/A</v>
        <stp/>
        <stp>BDP|17298510723889745436</stp>
        <tr r="G1130" s="2"/>
      </tp>
      <tp t="s">
        <v>#N/A N/A</v>
        <stp/>
        <stp>BDP|17699550592566367068</stp>
        <tr r="G2082" s="2"/>
      </tp>
      <tp t="s">
        <v>#N/A N/A</v>
        <stp/>
        <stp>BDS|10944474858238490459</stp>
        <tr r="I1083" s="2"/>
      </tp>
      <tp t="s">
        <v>#N/A N/A</v>
        <stp/>
        <stp>BDP|17925913516304938633</stp>
        <tr r="D1019" s="2"/>
      </tp>
      <tp t="s">
        <v>#N/A N/A</v>
        <stp/>
        <stp>BDP|15126301310879395360</stp>
        <tr r="M337" s="2"/>
      </tp>
      <tp t="s">
        <v>#N/A N/A</v>
        <stp/>
        <stp>BDP|10893507290206877749</stp>
        <tr r="T1983" s="2"/>
      </tp>
      <tp t="s">
        <v>#N/A N/A</v>
        <stp/>
        <stp>BDP|16015935683113403907</stp>
        <tr r="F2086" s="2"/>
      </tp>
      <tp t="s">
        <v>#N/A N/A</v>
        <stp/>
        <stp>BDP|13764133374278403005</stp>
        <tr r="O295" s="2"/>
      </tp>
      <tp t="s">
        <v>#N/A N/A</v>
        <stp/>
        <stp>BDS|10613943303220771415</stp>
        <tr r="I2019" s="2"/>
      </tp>
      <tp t="s">
        <v>#N/A N/A</v>
        <stp/>
        <stp>BDP|16602854447206904194</stp>
        <tr r="P1836" s="2"/>
      </tp>
      <tp t="s">
        <v>#N/A N/A</v>
        <stp/>
        <stp>BDP|13664901670590676044</stp>
        <tr r="T2214" s="2"/>
      </tp>
      <tp t="s">
        <v>#N/A N/A</v>
        <stp/>
        <stp>BDP|11699846630057796017</stp>
        <tr r="G2216" s="2"/>
      </tp>
      <tp t="s">
        <v>#N/A N/A</v>
        <stp/>
        <stp>BDP|10297093263172586992</stp>
        <tr r="J987" s="2"/>
      </tp>
      <tp t="s">
        <v>#N/A N/A</v>
        <stp/>
        <stp>BDP|17765901321803560278</stp>
        <tr r="A1105" s="2"/>
      </tp>
      <tp t="s">
        <v>#N/A N/A</v>
        <stp/>
        <stp>BDP|17511340123288163375</stp>
        <tr r="P705" s="2"/>
      </tp>
      <tp t="s">
        <v>#N/A N/A</v>
        <stp/>
        <stp>BDP|14591514634976451901</stp>
        <tr r="H144" s="2"/>
      </tp>
      <tp t="s">
        <v>#N/A N/A</v>
        <stp/>
        <stp>BDP|14011162627422636834</stp>
        <tr r="S1817" s="2"/>
      </tp>
      <tp t="s">
        <v>#N/A N/A</v>
        <stp/>
        <stp>BDP|15375138437852678857</stp>
        <tr r="M1586" s="2"/>
      </tp>
      <tp t="s">
        <v>#N/A N/A</v>
        <stp/>
        <stp>BDP|14178101626079077336</stp>
        <tr r="A1909" s="2"/>
      </tp>
      <tp t="s">
        <v>#N/A N/A</v>
        <stp/>
        <stp>BDP|13632615320299701343</stp>
        <tr r="H1118" s="2"/>
      </tp>
      <tp t="s">
        <v>#N/A N/A</v>
        <stp/>
        <stp>BDP|13361904413446089049</stp>
        <tr r="M1955" s="2"/>
      </tp>
      <tp t="s">
        <v>#N/A N/A</v>
        <stp/>
        <stp>BDP|18096111377884326715</stp>
        <tr r="C1168" s="2"/>
      </tp>
      <tp t="s">
        <v>#N/A N/A</v>
        <stp/>
        <stp>BDP|13320398088834546131</stp>
        <tr r="H246" s="2"/>
      </tp>
      <tp t="s">
        <v>#N/A N/A</v>
        <stp/>
        <stp>BDP|11320087701078970475</stp>
        <tr r="S1142" s="2"/>
      </tp>
      <tp t="s">
        <v>#N/A N/A</v>
        <stp/>
        <stp>BDP|15525966650200148464</stp>
        <tr r="N1515" s="2"/>
      </tp>
      <tp t="s">
        <v>#N/A N/A</v>
        <stp/>
        <stp>BDP|15611992930590895239</stp>
        <tr r="M1222" s="2"/>
      </tp>
      <tp t="s">
        <v>#N/A N/A</v>
        <stp/>
        <stp>BDP|13747507072738159404</stp>
        <tr r="F208" s="2"/>
      </tp>
      <tp t="s">
        <v>#N/A N/A</v>
        <stp/>
        <stp>BDP|17686582337199868558</stp>
        <tr r="H1175" s="2"/>
      </tp>
      <tp t="s">
        <v>#N/A N/A</v>
        <stp/>
        <stp>BDP|10782545026719884397</stp>
        <tr r="H355" s="2"/>
      </tp>
      <tp t="s">
        <v>#N/A N/A</v>
        <stp/>
        <stp>BDP|13707502052349460753</stp>
        <tr r="A1041" s="2"/>
      </tp>
      <tp t="s">
        <v>#N/A N/A</v>
        <stp/>
        <stp>BDP|13160505207892265936</stp>
        <tr r="J455" s="2"/>
      </tp>
      <tp t="s">
        <v>#N/A N/A</v>
        <stp/>
        <stp>BDP|15858848600646391689</stp>
        <tr r="C1713" s="2"/>
      </tp>
      <tp t="s">
        <v>#N/A N/A</v>
        <stp/>
        <stp>BDS|17491570085273323412</stp>
        <tr r="I1561" s="2"/>
      </tp>
      <tp t="s">
        <v>#N/A N/A</v>
        <stp/>
        <stp>BDP|17336380397933298399</stp>
        <tr r="Q590" s="2"/>
      </tp>
      <tp t="s">
        <v>#N/A N/A</v>
        <stp/>
        <stp>BDP|14364907186989346116</stp>
        <tr r="O937" s="2"/>
      </tp>
      <tp t="s">
        <v>#N/A N/A</v>
        <stp/>
        <stp>BDP|15620120467046787930</stp>
        <tr r="M1910" s="2"/>
      </tp>
      <tp t="s">
        <v>#N/A N/A</v>
        <stp/>
        <stp>BDP|13340226206104111818</stp>
        <tr r="S153" s="2"/>
      </tp>
      <tp t="s">
        <v>#N/A N/A</v>
        <stp/>
        <stp>BDP|15052949750916152229</stp>
        <tr r="H2244" s="2"/>
      </tp>
      <tp t="s">
        <v>#N/A N/A</v>
        <stp/>
        <stp>BDP|16080717182201117555</stp>
        <tr r="T36" s="2"/>
      </tp>
      <tp t="s">
        <v>#N/A N/A</v>
        <stp/>
        <stp>BDP|18291479013090719068</stp>
        <tr r="N1370" s="2"/>
      </tp>
      <tp t="s">
        <v>#N/A N/A</v>
        <stp/>
        <stp>BDP|17649880729304193416</stp>
        <tr r="Q664" s="2"/>
      </tp>
      <tp t="s">
        <v>#N/A N/A</v>
        <stp/>
        <stp>BDP|16022641540190690953</stp>
        <tr r="G915" s="2"/>
      </tp>
      <tp t="s">
        <v>#N/A N/A</v>
        <stp/>
        <stp>BDP|16469476515557190904</stp>
        <tr r="C82" s="2"/>
      </tp>
      <tp t="s">
        <v>#N/A N/A</v>
        <stp/>
        <stp>BDP|11459330774840409805</stp>
        <tr r="M1731" s="2"/>
      </tp>
      <tp t="s">
        <v>#N/A N/A</v>
        <stp/>
        <stp>BDP|15525309656916521818</stp>
        <tr r="N1009" s="2"/>
      </tp>
      <tp t="s">
        <v>#N/A N/A</v>
        <stp/>
        <stp>BDP|15692799288092063509</stp>
        <tr r="S1083" s="2"/>
      </tp>
      <tp t="s">
        <v>#N/A N/A</v>
        <stp/>
        <stp>BDP|13010732914498117019</stp>
        <tr r="F1543" s="2"/>
      </tp>
      <tp t="s">
        <v>#N/A N/A</v>
        <stp/>
        <stp>BDP|10122635435880140815</stp>
        <tr r="F1203" s="2"/>
      </tp>
      <tp t="s">
        <v>#N/A N/A</v>
        <stp/>
        <stp>BDP|10614544817878455166</stp>
        <tr r="Q1937" s="2"/>
      </tp>
      <tp t="s">
        <v>#N/A N/A</v>
        <stp/>
        <stp>BDP|12978807350447826568</stp>
        <tr r="F667" s="2"/>
      </tp>
      <tp t="s">
        <v>#N/A N/A</v>
        <stp/>
        <stp>BDP|16685939781403788943</stp>
        <tr r="Q371" s="2"/>
      </tp>
      <tp t="s">
        <v>#N/A N/A</v>
        <stp/>
        <stp>BDP|12068231974579897385</stp>
        <tr r="M1403" s="2"/>
      </tp>
      <tp t="s">
        <v>#N/A N/A</v>
        <stp/>
        <stp>BDP|14861294047896029916</stp>
        <tr r="C1998" s="2"/>
      </tp>
      <tp t="s">
        <v>#N/A N/A</v>
        <stp/>
        <stp>BDP|12996154117818824749</stp>
        <tr r="A1394" s="2"/>
      </tp>
      <tp t="s">
        <v>#N/A N/A</v>
        <stp/>
        <stp>BDS|10047017980437484213</stp>
        <tr r="I1396" s="2"/>
      </tp>
      <tp t="s">
        <v>#N/A N/A</v>
        <stp/>
        <stp>BDP|15381794006418348780</stp>
        <tr r="J1875" s="2"/>
      </tp>
      <tp t="s">
        <v>#N/A N/A</v>
        <stp/>
        <stp>BDP|15542525776212329852</stp>
        <tr r="G645" s="2"/>
      </tp>
      <tp t="s">
        <v>#N/A N/A</v>
        <stp/>
        <stp>BDP|15768072270637695818</stp>
        <tr r="K1562" s="2"/>
      </tp>
      <tp t="s">
        <v>#N/A N/A</v>
        <stp/>
        <stp>BDP|13508754035738561276</stp>
        <tr r="Q1678" s="2"/>
      </tp>
      <tp t="s">
        <v>#N/A N/A</v>
        <stp/>
        <stp>BDP|12056115721535466930</stp>
        <tr r="O1261" s="2"/>
      </tp>
      <tp t="s">
        <v>#N/A N/A</v>
        <stp/>
        <stp>BDP|18330567545784529022</stp>
        <tr r="K442" s="2"/>
      </tp>
      <tp t="s">
        <v>#N/A N/A</v>
        <stp/>
        <stp>BDP|12446086689091466666</stp>
        <tr r="P650" s="2"/>
      </tp>
      <tp t="s">
        <v>#N/A N/A</v>
        <stp/>
        <stp>BDP|11520497920148313287</stp>
        <tr r="R739" s="2"/>
      </tp>
      <tp t="s">
        <v>#N/A N/A</v>
        <stp/>
        <stp>BDP|18422646134632738243</stp>
        <tr r="P216" s="2"/>
      </tp>
      <tp t="s">
        <v>#N/A N/A</v>
        <stp/>
        <stp>BDP|12261546703592029825</stp>
        <tr r="T2098" s="2"/>
      </tp>
      <tp t="s">
        <v>#N/A N/A</v>
        <stp/>
        <stp>BDP|13324878876163799220</stp>
        <tr r="J2077" s="2"/>
      </tp>
      <tp t="s">
        <v>#N/A N/A</v>
        <stp/>
        <stp>BDP|10806133308624353871</stp>
        <tr r="K1307" s="2"/>
      </tp>
      <tp t="s">
        <v>#N/A N/A</v>
        <stp/>
        <stp>BDP|10751143983215729107</stp>
        <tr r="P1164" s="2"/>
      </tp>
      <tp t="s">
        <v>#N/A N/A</v>
        <stp/>
        <stp>BDP|13031155525539424430</stp>
        <tr r="Q818" s="2"/>
      </tp>
      <tp t="s">
        <v>#N/A N/A</v>
        <stp/>
        <stp>BDP|15258837367231265736</stp>
        <tr r="M1803" s="2"/>
      </tp>
      <tp t="s">
        <v>#N/A N/A</v>
        <stp/>
        <stp>BDP|15641829986191598905</stp>
        <tr r="E954" s="2"/>
      </tp>
      <tp t="s">
        <v>#N/A N/A</v>
        <stp/>
        <stp>BDS|16027913792943000878</stp>
        <tr r="I1067" s="2"/>
      </tp>
      <tp t="s">
        <v>#N/A N/A</v>
        <stp/>
        <stp>BDP|16662526297192579516</stp>
        <tr r="N2041" s="2"/>
      </tp>
      <tp t="s">
        <v>#N/A N/A</v>
        <stp/>
        <stp>BDP|15682420561092363819</stp>
        <tr r="N265" s="2"/>
      </tp>
      <tp t="s">
        <v>#N/A N/A</v>
        <stp/>
        <stp>BDP|17212403147549318311</stp>
        <tr r="P1145" s="2"/>
      </tp>
      <tp t="s">
        <v>#N/A N/A</v>
        <stp/>
        <stp>BDP|13035142297397535116</stp>
        <tr r="M578" s="2"/>
      </tp>
      <tp t="s">
        <v>#N/A N/A</v>
        <stp/>
        <stp>BDP|12759055017739727753</stp>
        <tr r="J2140" s="2"/>
      </tp>
      <tp t="s">
        <v>#N/A N/A</v>
        <stp/>
        <stp>BDP|11502744822050023943</stp>
        <tr r="N1140" s="2"/>
      </tp>
      <tp t="s">
        <v>#N/A N/A</v>
        <stp/>
        <stp>BDP|14130822857854198025</stp>
        <tr r="D2117" s="2"/>
      </tp>
      <tp t="s">
        <v>#N/A N/A</v>
        <stp/>
        <stp>BDP|10269935452396040741</stp>
        <tr r="F742" s="2"/>
      </tp>
      <tp t="s">
        <v>#N/A N/A</v>
        <stp/>
        <stp>BDP|13134382489013650611</stp>
        <tr r="Q933" s="2"/>
      </tp>
      <tp t="s">
        <v>#N/A N/A</v>
        <stp/>
        <stp>BDP|17246147475338440401</stp>
        <tr r="M221" s="2"/>
      </tp>
      <tp t="s">
        <v>#N/A N/A</v>
        <stp/>
        <stp>BDP|17524552097364671261</stp>
        <tr r="O1308" s="2"/>
      </tp>
      <tp t="s">
        <v>#N/A N/A</v>
        <stp/>
        <stp>BDP|14397418777993143938</stp>
        <tr r="D33" s="2"/>
      </tp>
      <tp t="s">
        <v>#N/A N/A</v>
        <stp/>
        <stp>BDP|11083041274832257950</stp>
        <tr r="D1017" s="2"/>
      </tp>
      <tp t="s">
        <v>#N/A N/A</v>
        <stp/>
        <stp>BDP|13560771930209028353</stp>
        <tr r="R1575" s="2"/>
      </tp>
      <tp t="s">
        <v>#N/A N/A</v>
        <stp/>
        <stp>BDP|17257976137165673531</stp>
        <tr r="J149" s="2"/>
      </tp>
      <tp t="s">
        <v>#N/A N/A</v>
        <stp/>
        <stp>BDP|14239279188243253096</stp>
        <tr r="Q1638" s="2"/>
      </tp>
      <tp t="s">
        <v>#N/A N/A</v>
        <stp/>
        <stp>BDP|11479234724965510900</stp>
        <tr r="M479" s="2"/>
      </tp>
      <tp t="s">
        <v>#N/A N/A</v>
        <stp/>
        <stp>BDP|14666109354308561511</stp>
        <tr r="K2055" s="2"/>
      </tp>
      <tp t="s">
        <v>#N/A N/A</v>
        <stp/>
        <stp>BDP|15462547670573484927</stp>
        <tr r="K1507" s="2"/>
      </tp>
      <tp t="s">
        <v>#N/A N/A</v>
        <stp/>
        <stp>BDP|16527287062579191682</stp>
        <tr r="N262" s="2"/>
      </tp>
      <tp t="s">
        <v>#N/A N/A</v>
        <stp/>
        <stp>BDP|10718342600258523609</stp>
        <tr r="P256" s="2"/>
      </tp>
      <tp t="s">
        <v>#N/A N/A</v>
        <stp/>
        <stp>BDP|10384467830498473276</stp>
        <tr r="A1037" s="2"/>
      </tp>
      <tp t="s">
        <v>#N/A N/A</v>
        <stp/>
        <stp>BDP|10665018295471411501</stp>
        <tr r="A1627" s="2"/>
      </tp>
      <tp t="s">
        <v>#N/A N/A</v>
        <stp/>
        <stp>BDP|13749831343910538245</stp>
        <tr r="H1613" s="2"/>
      </tp>
      <tp t="s">
        <v>#N/A N/A</v>
        <stp/>
        <stp>BDP|18292389750944923751</stp>
        <tr r="N2253" s="2"/>
      </tp>
      <tp t="s">
        <v>#N/A N/A</v>
        <stp/>
        <stp>BDP|15629891048802115603</stp>
        <tr r="Q2048" s="2"/>
      </tp>
      <tp t="s">
        <v>#N/A N/A</v>
        <stp/>
        <stp>BDP|16427560067390102828</stp>
        <tr r="Q1089" s="2"/>
      </tp>
      <tp t="s">
        <v>#N/A N/A</v>
        <stp/>
        <stp>BDP|16924965877752689781</stp>
        <tr r="P1440" s="2"/>
      </tp>
      <tp t="s">
        <v>#N/A N/A</v>
        <stp/>
        <stp>BDP|12697540300462240860</stp>
        <tr r="S1089" s="2"/>
      </tp>
      <tp t="s">
        <v>#N/A N/A</v>
        <stp/>
        <stp>BDP|14685143441468712426</stp>
        <tr r="G1029" s="2"/>
      </tp>
      <tp t="s">
        <v>#N/A N/A</v>
        <stp/>
        <stp>BDP|17629868700492153073</stp>
        <tr r="A55" s="2"/>
      </tp>
      <tp t="s">
        <v>#N/A N/A</v>
        <stp/>
        <stp>BDP|14551078462768235741</stp>
        <tr r="E828" s="2"/>
      </tp>
      <tp t="s">
        <v>#N/A N/A</v>
        <stp/>
        <stp>BDP|10453371706706737848</stp>
        <tr r="E1695" s="2"/>
      </tp>
      <tp t="s">
        <v>#N/A N/A</v>
        <stp/>
        <stp>BDP|12087776306080531822</stp>
        <tr r="G1208" s="2"/>
      </tp>
      <tp t="s">
        <v>#N/A N/A</v>
        <stp/>
        <stp>BDP|11312631692297353478</stp>
        <tr r="G2215" s="2"/>
      </tp>
      <tp t="s">
        <v>#N/A N/A</v>
        <stp/>
        <stp>BDP|12736866597618190615</stp>
        <tr r="C238" s="2"/>
      </tp>
      <tp t="s">
        <v>#N/A N/A</v>
        <stp/>
        <stp>BDP|13587963043316134574</stp>
        <tr r="E516" s="2"/>
      </tp>
      <tp t="s">
        <v>#N/A N/A</v>
        <stp/>
        <stp>BDP|10266979183185922992</stp>
        <tr r="E878" s="2"/>
      </tp>
      <tp t="s">
        <v>#N/A N/A</v>
        <stp/>
        <stp>BDP|16034225530919047345</stp>
        <tr r="O1735" s="2"/>
      </tp>
      <tp t="s">
        <v>#N/A N/A</v>
        <stp/>
        <stp>BDP|17971499281723317546</stp>
        <tr r="H1359" s="2"/>
      </tp>
      <tp t="s">
        <v>#N/A N/A</v>
        <stp/>
        <stp>BDP|17112654296794792136</stp>
        <tr r="K1973" s="2"/>
      </tp>
      <tp t="s">
        <v>#N/A N/A</v>
        <stp/>
        <stp>BDP|13331677335818285359</stp>
        <tr r="P703" s="2"/>
      </tp>
      <tp t="s">
        <v>#N/A N/A</v>
        <stp/>
        <stp>BDP|10384223283013248463</stp>
        <tr r="J1692" s="2"/>
      </tp>
      <tp t="s">
        <v>#N/A N/A</v>
        <stp/>
        <stp>BDP|10538903152344763569</stp>
        <tr r="C1617" s="2"/>
      </tp>
      <tp t="s">
        <v>#N/A N/A</v>
        <stp/>
        <stp>BDP|18197623235139938994</stp>
        <tr r="R1932" s="2"/>
      </tp>
      <tp t="s">
        <v>#N/A N/A</v>
        <stp/>
        <stp>BDP|14293048082534294501</stp>
        <tr r="R840" s="2"/>
      </tp>
      <tp t="s">
        <v>#N/A N/A</v>
        <stp/>
        <stp>BDP|11463726402033042828</stp>
        <tr r="H440" s="2"/>
      </tp>
      <tp t="s">
        <v>#N/A N/A</v>
        <stp/>
        <stp>BDP|10942499915759203119</stp>
        <tr r="O2225" s="2"/>
      </tp>
      <tp t="s">
        <v>#N/A N/A</v>
        <stp/>
        <stp>BDP|18222149926957590138</stp>
        <tr r="F1386" s="2"/>
      </tp>
      <tp t="s">
        <v>#N/A N/A</v>
        <stp/>
        <stp>BDP|14598662973829624102</stp>
        <tr r="O1305" s="2"/>
      </tp>
      <tp t="s">
        <v>#N/A N/A</v>
        <stp/>
        <stp>BDP|11064809298594885960</stp>
        <tr r="S1909" s="2"/>
      </tp>
      <tp t="s">
        <v>#N/A N/A</v>
        <stp/>
        <stp>BDP|13651301701684884998</stp>
        <tr r="O1200" s="2"/>
      </tp>
      <tp t="s">
        <v>#N/A N/A</v>
        <stp/>
        <stp>BDP|17606924332815073509</stp>
        <tr r="G1883" s="2"/>
      </tp>
      <tp t="s">
        <v>#N/A N/A</v>
        <stp/>
        <stp>BDP|16314620380732422736</stp>
        <tr r="E1063" s="2"/>
      </tp>
      <tp t="s">
        <v>#N/A N/A</v>
        <stp/>
        <stp>BDP|10018548126392192851</stp>
        <tr r="C214" s="2"/>
      </tp>
      <tp t="s">
        <v>#N/A N/A</v>
        <stp/>
        <stp>BDP|12203260453648359022</stp>
        <tr r="K820" s="2"/>
      </tp>
      <tp t="s">
        <v>#N/A N/A</v>
        <stp/>
        <stp>BDP|13964295627428641672</stp>
        <tr r="H1489" s="2"/>
      </tp>
      <tp t="s">
        <v>#N/A N/A</v>
        <stp/>
        <stp>BDP|17522191361925921829</stp>
        <tr r="N170" s="2"/>
      </tp>
      <tp t="s">
        <v>#N/A N/A</v>
        <stp/>
        <stp>BDP|12629516797035402624</stp>
        <tr r="H541" s="2"/>
      </tp>
      <tp t="s">
        <v>#N/A N/A</v>
        <stp/>
        <stp>BDP|13853451386666418493</stp>
        <tr r="N2093" s="2"/>
      </tp>
      <tp t="s">
        <v>#N/A N/A</v>
        <stp/>
        <stp>BDP|11028596582555441495</stp>
        <tr r="D1376" s="2"/>
      </tp>
      <tp t="s">
        <v>#N/A N/A</v>
        <stp/>
        <stp>BDP|14269750584077217170</stp>
        <tr r="M1357" s="2"/>
      </tp>
      <tp t="s">
        <v>#N/A N/A</v>
        <stp/>
        <stp>BDP|11990878917643713681</stp>
        <tr r="E1057" s="2"/>
      </tp>
      <tp t="s">
        <v>#N/A N/A</v>
        <stp/>
        <stp>BDP|17702337961756607957</stp>
        <tr r="F1200" s="2"/>
      </tp>
      <tp t="s">
        <v>#N/A N/A</v>
        <stp/>
        <stp>BDP|17182973242725397212</stp>
        <tr r="M467" s="2"/>
      </tp>
      <tp t="s">
        <v>#N/A N/A</v>
        <stp/>
        <stp>BDS|17670835650161017605</stp>
        <tr r="I250" s="2"/>
      </tp>
      <tp t="s">
        <v>#N/A N/A</v>
        <stp/>
        <stp>BDP|10192859752468550856</stp>
        <tr r="Q263" s="2"/>
      </tp>
      <tp t="s">
        <v>#N/A N/A</v>
        <stp/>
        <stp>BDP|17919340455394966873</stp>
        <tr r="J1361" s="2"/>
      </tp>
      <tp t="s">
        <v>#N/A N/A</v>
        <stp/>
        <stp>BDP|14105820556720367407</stp>
        <tr r="A564" s="2"/>
      </tp>
      <tp t="s">
        <v>#N/A N/A</v>
        <stp/>
        <stp>BDP|10250151310228526542</stp>
        <tr r="E786" s="2"/>
      </tp>
      <tp t="s">
        <v>#N/A N/A</v>
        <stp/>
        <stp>BDP|17275451364740773820</stp>
        <tr r="S217" s="2"/>
      </tp>
      <tp t="s">
        <v>#N/A N/A</v>
        <stp/>
        <stp>BDP|10672973770600765302</stp>
        <tr r="S794" s="2"/>
      </tp>
      <tp t="s">
        <v>#N/A N/A</v>
        <stp/>
        <stp>BDP|18410478155337191315</stp>
        <tr r="K2062" s="2"/>
      </tp>
      <tp t="s">
        <v>#N/A N/A</v>
        <stp/>
        <stp>BDP|14839587797395295038</stp>
        <tr r="Q1354" s="2"/>
      </tp>
      <tp t="s">
        <v>#N/A N/A</v>
        <stp/>
        <stp>BDP|14454441680194587138</stp>
        <tr r="N1384" s="2"/>
      </tp>
      <tp t="s">
        <v>#N/A N/A</v>
        <stp/>
        <stp>BDS|16523875578295816171</stp>
        <tr r="I800" s="2"/>
      </tp>
      <tp t="s">
        <v>#N/A N/A</v>
        <stp/>
        <stp>BDP|14231159142644111828</stp>
        <tr r="F352" s="2"/>
      </tp>
      <tp t="s">
        <v>#N/A N/A</v>
        <stp/>
        <stp>BDP|16546071420678340172</stp>
        <tr r="Q1967" s="2"/>
      </tp>
      <tp t="s">
        <v>#N/A N/A</v>
        <stp/>
        <stp>BDP|10253836372504266675</stp>
        <tr r="A994" s="2"/>
      </tp>
      <tp t="s">
        <v>#N/A N/A</v>
        <stp/>
        <stp>BDP|15556698384963621583</stp>
        <tr r="J1358" s="2"/>
      </tp>
      <tp t="s">
        <v>#N/A N/A</v>
        <stp/>
        <stp>BDP|14525724361488022004</stp>
        <tr r="S1117" s="2"/>
      </tp>
      <tp t="s">
        <v>#N/A N/A</v>
        <stp/>
        <stp>BDP|16401702781014329004</stp>
        <tr r="S377" s="2"/>
      </tp>
      <tp t="s">
        <v>#N/A N/A</v>
        <stp/>
        <stp>BDP|13209941579302808216</stp>
        <tr r="D277" s="2"/>
      </tp>
      <tp t="s">
        <v>#N/A N/A</v>
        <stp/>
        <stp>BDP|13460815481987498967</stp>
        <tr r="R555" s="2"/>
      </tp>
      <tp t="s">
        <v>#N/A N/A</v>
        <stp/>
        <stp>BDP|16236418096856105027</stp>
        <tr r="Q714" s="2"/>
      </tp>
      <tp t="s">
        <v>#N/A N/A</v>
        <stp/>
        <stp>BDP|16152832074356266226</stp>
        <tr r="E1860" s="2"/>
      </tp>
      <tp t="s">
        <v>#N/A N/A</v>
        <stp/>
        <stp>BDS|11461707630124698382</stp>
        <tr r="I1687" s="2"/>
      </tp>
      <tp t="s">
        <v>#N/A N/A</v>
        <stp/>
        <stp>BDP|10870708564625118643</stp>
        <tr r="H904" s="2"/>
      </tp>
      <tp t="s">
        <v>#N/A N/A</v>
        <stp/>
        <stp>BDP|17329911198966291318</stp>
        <tr r="T629" s="2"/>
      </tp>
      <tp t="s">
        <v>#N/A N/A</v>
        <stp/>
        <stp>BDS|15830829824478536516</stp>
        <tr r="I1171" s="2"/>
      </tp>
      <tp t="s">
        <v>#N/A N/A</v>
        <stp/>
        <stp>BDP|14422719408036400700</stp>
        <tr r="D906" s="2"/>
      </tp>
      <tp t="s">
        <v>#N/A N/A</v>
        <stp/>
        <stp>BDP|16509729402497471481</stp>
        <tr r="R1168" s="2"/>
      </tp>
      <tp t="s">
        <v>#N/A N/A</v>
        <stp/>
        <stp>BDP|11065057067473875639</stp>
        <tr r="J1712" s="2"/>
      </tp>
      <tp t="s">
        <v>#N/A N/A</v>
        <stp/>
        <stp>BDP|12332729532732833625</stp>
        <tr r="J39" s="2"/>
      </tp>
      <tp t="s">
        <v>#N/A N/A</v>
        <stp/>
        <stp>BDP|17632715417836144581</stp>
        <tr r="J2023" s="2"/>
      </tp>
      <tp t="s">
        <v>#N/A N/A</v>
        <stp/>
        <stp>BDP|10050987466655261859</stp>
        <tr r="Q578" s="2"/>
      </tp>
      <tp t="s">
        <v>#N/A N/A</v>
        <stp/>
        <stp>BDP|14510568168006331311</stp>
        <tr r="C1328" s="2"/>
      </tp>
      <tp t="s">
        <v>#N/A N/A</v>
        <stp/>
        <stp>BDP|10324938777648954472</stp>
        <tr r="T525" s="2"/>
      </tp>
      <tp t="s">
        <v>#N/A N/A</v>
        <stp/>
        <stp>BDP|15822032664163621208</stp>
        <tr r="H1326" s="2"/>
      </tp>
      <tp t="s">
        <v>#N/A N/A</v>
        <stp/>
        <stp>BDP|14138685346356491226</stp>
        <tr r="T2167" s="2"/>
      </tp>
      <tp t="s">
        <v>#N/A N/A</v>
        <stp/>
        <stp>BDP|16935728241097395008</stp>
        <tr r="Q165" s="2"/>
      </tp>
      <tp t="s">
        <v>#N/A N/A</v>
        <stp/>
        <stp>BDP|16400087633902671503</stp>
        <tr r="Q304" s="2"/>
      </tp>
      <tp t="s">
        <v>#N/A N/A</v>
        <stp/>
        <stp>BDP|13031585637523313458</stp>
        <tr r="F419" s="2"/>
      </tp>
      <tp t="s">
        <v>#N/A N/A</v>
        <stp/>
        <stp>BDS|14358069383566813840</stp>
        <tr r="I817" s="2"/>
      </tp>
      <tp t="s">
        <v>#N/A N/A</v>
        <stp/>
        <stp>BDP|10710988913713220974</stp>
        <tr r="G1952" s="2"/>
      </tp>
      <tp t="s">
        <v>#N/A N/A</v>
        <stp/>
        <stp>BDP|14599882388175419383</stp>
        <tr r="S991" s="2"/>
      </tp>
      <tp t="s">
        <v>#N/A N/A</v>
        <stp/>
        <stp>BDP|12817917707819670011</stp>
        <tr r="P1211" s="2"/>
      </tp>
      <tp t="s">
        <v>#N/A N/A</v>
        <stp/>
        <stp>BDP|17579667779622491670</stp>
        <tr r="M2224" s="2"/>
      </tp>
      <tp t="s">
        <v>#N/A N/A</v>
        <stp/>
        <stp>BDP|11426702130320849758</stp>
        <tr r="S1741" s="2"/>
      </tp>
      <tp t="s">
        <v>#N/A N/A</v>
        <stp/>
        <stp>BDP|17389432360714047396</stp>
        <tr r="D709" s="2"/>
      </tp>
      <tp t="s">
        <v>#N/A N/A</v>
        <stp/>
        <stp>BDP|15193342109775720121</stp>
        <tr r="D372" s="2"/>
      </tp>
      <tp t="s">
        <v>#N/A N/A</v>
        <stp/>
        <stp>BDP|17018173549229363948</stp>
        <tr r="K659" s="2"/>
      </tp>
      <tp t="s">
        <v>#N/A N/A</v>
        <stp/>
        <stp>BDP|14089670245144801037</stp>
        <tr r="M1877" s="2"/>
      </tp>
      <tp t="s">
        <v>#N/A N/A</v>
        <stp/>
        <stp>BDP|15087861101538940776</stp>
        <tr r="H442" s="2"/>
      </tp>
      <tp t="s">
        <v>#N/A N/A</v>
        <stp/>
        <stp>BDP|15267613059554574069</stp>
        <tr r="M1211" s="2"/>
      </tp>
      <tp t="s">
        <v>#N/A N/A</v>
        <stp/>
        <stp>BDP|15489555954602901555</stp>
        <tr r="F1475" s="2"/>
      </tp>
      <tp t="s">
        <v>#N/A N/A</v>
        <stp/>
        <stp>BDP|10243996194465798712</stp>
        <tr r="C986" s="2"/>
      </tp>
      <tp t="s">
        <v>#N/A N/A</v>
        <stp/>
        <stp>BDP|18248821116477984464</stp>
        <tr r="N1944" s="2"/>
      </tp>
      <tp t="s">
        <v>#N/A N/A</v>
        <stp/>
        <stp>BDP|10320248111037744683</stp>
        <tr r="C1360" s="2"/>
      </tp>
      <tp t="s">
        <v>#N/A N/A</v>
        <stp/>
        <stp>BDP|13297709362568893811</stp>
        <tr r="S1705" s="2"/>
      </tp>
      <tp t="s">
        <v>#N/A N/A</v>
        <stp/>
        <stp>BDP|14516382553721501129</stp>
        <tr r="O849" s="2"/>
      </tp>
      <tp t="s">
        <v>#N/A N/A</v>
        <stp/>
        <stp>BDP|16106517582218396180</stp>
        <tr r="S204" s="2"/>
      </tp>
      <tp t="s">
        <v>#N/A N/A</v>
        <stp/>
        <stp>BDP|12702080267030184604</stp>
        <tr r="H703" s="2"/>
      </tp>
      <tp t="s">
        <v>#N/A N/A</v>
        <stp/>
        <stp>BDP|16602659509652733040</stp>
        <tr r="O366" s="2"/>
      </tp>
      <tp t="s">
        <v>#N/A N/A</v>
        <stp/>
        <stp>BDP|12014668442736561484</stp>
        <tr r="S60" s="2"/>
      </tp>
      <tp t="s">
        <v>#N/A N/A</v>
        <stp/>
        <stp>BDP|14161958664831128887</stp>
        <tr r="F2022" s="2"/>
      </tp>
      <tp t="s">
        <v>#N/A N/A</v>
        <stp/>
        <stp>BDS|13211390641066609062</stp>
        <tr r="I1476" s="2"/>
      </tp>
      <tp t="s">
        <v>#N/A N/A</v>
        <stp/>
        <stp>BDP|16409880552251372846</stp>
        <tr r="D1310" s="2"/>
      </tp>
      <tp t="s">
        <v>#N/A N/A</v>
        <stp/>
        <stp>BDP|14624205555078331997</stp>
        <tr r="E706" s="2"/>
      </tp>
      <tp t="s">
        <v>#N/A N/A</v>
        <stp/>
        <stp>BDP|18087670122738492685</stp>
        <tr r="H1821" s="2"/>
      </tp>
      <tp t="s">
        <v>#N/A N/A</v>
        <stp/>
        <stp>BDP|14549229536736090181</stp>
        <tr r="D614" s="2"/>
      </tp>
      <tp t="s">
        <v>#N/A N/A</v>
        <stp/>
        <stp>BDP|10615390937616849491</stp>
        <tr r="F1167" s="2"/>
      </tp>
      <tp t="s">
        <v>#N/A N/A</v>
        <stp/>
        <stp>BDP|14491378544209893868</stp>
        <tr r="K757" s="2"/>
      </tp>
      <tp t="s">
        <v>#N/A N/A</v>
        <stp/>
        <stp>BDP|15537192467459631944</stp>
        <tr r="J1760" s="2"/>
      </tp>
      <tp t="s">
        <v>#N/A N/A</v>
        <stp/>
        <stp>BDP|11979430044196356541</stp>
        <tr r="E1887" s="2"/>
      </tp>
      <tp t="s">
        <v>#N/A N/A</v>
        <stp/>
        <stp>BDP|12740260438276773773</stp>
        <tr r="Q1984" s="2"/>
      </tp>
      <tp t="s">
        <v>#N/A N/A</v>
        <stp/>
        <stp>BDS|11353842060788544585</stp>
        <tr r="I1760" s="2"/>
      </tp>
      <tp t="s">
        <v>#N/A N/A</v>
        <stp/>
        <stp>BDP|13088810909351921888</stp>
        <tr r="M801" s="2"/>
      </tp>
      <tp t="s">
        <v>#N/A N/A</v>
        <stp/>
        <stp>BDP|13171673858387275551</stp>
        <tr r="H926" s="2"/>
      </tp>
      <tp t="s">
        <v>#N/A N/A</v>
        <stp/>
        <stp>BDP|15326345495085809836</stp>
        <tr r="R929" s="2"/>
      </tp>
      <tp t="s">
        <v>#N/A N/A</v>
        <stp/>
        <stp>BDP|11422038748080091763</stp>
        <tr r="H2172" s="2"/>
      </tp>
      <tp t="s">
        <v>#N/A N/A</v>
        <stp/>
        <stp>BDP|12254225569190152414</stp>
        <tr r="F977" s="2"/>
      </tp>
      <tp t="s">
        <v>#N/A N/A</v>
        <stp/>
        <stp>BDP|17662460448371461453</stp>
        <tr r="H1024" s="2"/>
      </tp>
      <tp t="s">
        <v>#N/A N/A</v>
        <stp/>
        <stp>BDP|13866442860856159549</stp>
        <tr r="J1972" s="2"/>
      </tp>
      <tp t="s">
        <v>#N/A N/A</v>
        <stp/>
        <stp>BDP|14546153384427415892</stp>
        <tr r="O638" s="2"/>
      </tp>
      <tp t="s">
        <v>#N/A N/A</v>
        <stp/>
        <stp>BDP|13247932198495326437</stp>
        <tr r="O789" s="2"/>
      </tp>
      <tp t="s">
        <v>#N/A N/A</v>
        <stp/>
        <stp>BDP|14311548849922450532</stp>
        <tr r="A1405" s="2"/>
      </tp>
      <tp t="s">
        <v>#N/A N/A</v>
        <stp/>
        <stp>BDP|12379081572810211729</stp>
        <tr r="N1480" s="2"/>
      </tp>
      <tp t="s">
        <v>#N/A N/A</v>
        <stp/>
        <stp>BDP|11685949243246817804</stp>
        <tr r="J868" s="2"/>
      </tp>
      <tp t="s">
        <v>#N/A N/A</v>
        <stp/>
        <stp>BDP|17042778536621197095</stp>
        <tr r="N650" s="2"/>
      </tp>
      <tp t="s">
        <v>#N/A N/A</v>
        <stp/>
        <stp>BDP|12235274331525539484</stp>
        <tr r="S79" s="2"/>
      </tp>
      <tp t="s">
        <v>#N/A N/A</v>
        <stp/>
        <stp>BDP|17406336343704859651</stp>
        <tr r="S407" s="2"/>
      </tp>
      <tp t="s">
        <v>#N/A N/A</v>
        <stp/>
        <stp>BDP|16095935932279823709</stp>
        <tr r="K1500" s="2"/>
      </tp>
      <tp t="s">
        <v>#N/A N/A</v>
        <stp/>
        <stp>BDP|10328457043066834443</stp>
        <tr r="O758" s="2"/>
      </tp>
      <tp t="s">
        <v>#N/A N/A</v>
        <stp/>
        <stp>BDP|16213293525230711404</stp>
        <tr r="M1560" s="2"/>
      </tp>
      <tp t="s">
        <v>#N/A N/A</v>
        <stp/>
        <stp>BDS|17960264663645724413</stp>
        <tr r="I780" s="2"/>
      </tp>
      <tp t="s">
        <v>#N/A N/A</v>
        <stp/>
        <stp>BDP|14066672194160200980</stp>
        <tr r="H2113" s="2"/>
      </tp>
      <tp t="s">
        <v>#N/A N/A</v>
        <stp/>
        <stp>BDP|12640780979018763896</stp>
        <tr r="Q317" s="2"/>
      </tp>
      <tp t="s">
        <v>#N/A N/A</v>
        <stp/>
        <stp>BDP|13458684860257524605</stp>
        <tr r="G2247" s="2"/>
      </tp>
      <tp t="s">
        <v>#N/A N/A</v>
        <stp/>
        <stp>BDP|17049183705797617325</stp>
        <tr r="J1400" s="2"/>
      </tp>
      <tp t="s">
        <v>#N/A N/A</v>
        <stp/>
        <stp>BDP|12516597024241621672</stp>
        <tr r="T1556" s="2"/>
      </tp>
      <tp t="s">
        <v>#N/A N/A</v>
        <stp/>
        <stp>BDP|10858743125777736069</stp>
        <tr r="F35" s="2"/>
      </tp>
      <tp t="s">
        <v>#N/A N/A</v>
        <stp/>
        <stp>BDP|14973500581083685864</stp>
        <tr r="Q1998" s="2"/>
      </tp>
      <tp t="s">
        <v>#N/A N/A</v>
        <stp/>
        <stp>BDP|15520636558450091462</stp>
        <tr r="K1311" s="2"/>
      </tp>
      <tp t="s">
        <v>#N/A N/A</v>
        <stp/>
        <stp>BDP|11809345576260359719</stp>
        <tr r="K1666" s="2"/>
      </tp>
      <tp t="s">
        <v>#N/A N/A</v>
        <stp/>
        <stp>BDP|16244116531177304198</stp>
        <tr r="O1212" s="2"/>
      </tp>
      <tp t="s">
        <v>#N/A N/A</v>
        <stp/>
        <stp>BDP|17246024948848719972</stp>
        <tr r="R1698" s="2"/>
      </tp>
      <tp t="s">
        <v>#N/A N/A</v>
        <stp/>
        <stp>BDP|11379608768815193624</stp>
        <tr r="R1324" s="2"/>
      </tp>
      <tp t="s">
        <v>#N/A N/A</v>
        <stp/>
        <stp>BDP|13716221649874508312</stp>
        <tr r="O488" s="2"/>
      </tp>
      <tp t="s">
        <v>#N/A N/A</v>
        <stp/>
        <stp>BDP|11986157521509473917</stp>
        <tr r="E1956" s="2"/>
      </tp>
      <tp t="s">
        <v>#N/A N/A</v>
        <stp/>
        <stp>BDS|14879171311433434518</stp>
        <tr r="I1766" s="2"/>
      </tp>
      <tp t="s">
        <v>#N/A N/A</v>
        <stp/>
        <stp>BDP|18399954729554184569</stp>
        <tr r="J831" s="2"/>
      </tp>
      <tp t="s">
        <v>#N/A N/A</v>
        <stp/>
        <stp>BDP|17216319653170961316</stp>
        <tr r="F558" s="2"/>
      </tp>
      <tp t="s">
        <v>#N/A N/A</v>
        <stp/>
        <stp>BDP|17549091443696288753</stp>
        <tr r="A1572" s="2"/>
      </tp>
      <tp t="s">
        <v>#N/A N/A</v>
        <stp/>
        <stp>BDP|11794158002841878306</stp>
        <tr r="O647" s="2"/>
      </tp>
      <tp t="s">
        <v>#N/A N/A</v>
        <stp/>
        <stp>BDP|15213780362523888584</stp>
        <tr r="R2098" s="2"/>
      </tp>
      <tp t="s">
        <v>#N/A N/A</v>
        <stp/>
        <stp>BDP|12149948908231342862</stp>
        <tr r="C1231" s="2"/>
      </tp>
      <tp t="s">
        <v>#N/A N/A</v>
        <stp/>
        <stp>BDP|13480596374346377522</stp>
        <tr r="O2170" s="2"/>
      </tp>
      <tp t="s">
        <v>#N/A N/A</v>
        <stp/>
        <stp>BDP|14044235612655977008</stp>
        <tr r="Q2236" s="2"/>
      </tp>
      <tp t="s">
        <v>#N/A N/A</v>
        <stp/>
        <stp>BDS|11615683517134290002</stp>
        <tr r="I1052" s="2"/>
      </tp>
      <tp t="s">
        <v>#N/A N/A</v>
        <stp/>
        <stp>BDP|10491140618255210722</stp>
        <tr r="M715" s="2"/>
      </tp>
      <tp t="s">
        <v>#N/A N/A</v>
        <stp/>
        <stp>BDP|12868309217524233656</stp>
        <tr r="Q135" s="2"/>
      </tp>
      <tp t="s">
        <v>#N/A N/A</v>
        <stp/>
        <stp>BDP|17040713849920483648</stp>
        <tr r="D1905" s="2"/>
      </tp>
      <tp t="s">
        <v>#N/A N/A</v>
        <stp/>
        <stp>BDP|15458849289224852395</stp>
        <tr r="R441" s="2"/>
      </tp>
      <tp t="s">
        <v>#N/A N/A</v>
        <stp/>
        <stp>BDP|11684520143160826275</stp>
        <tr r="S2243" s="2"/>
      </tp>
      <tp t="s">
        <v>#N/A N/A</v>
        <stp/>
        <stp>BDP|15552910850562599997</stp>
        <tr r="P1552" s="2"/>
      </tp>
      <tp t="s">
        <v>#N/A N/A</v>
        <stp/>
        <stp>BDP|15713869696744926263</stp>
        <tr r="E1507" s="2"/>
      </tp>
      <tp t="s">
        <v>#N/A N/A</v>
        <stp/>
        <stp>BDP|12049278909625013765</stp>
        <tr r="N1327" s="2"/>
      </tp>
      <tp t="s">
        <v>#N/A N/A</v>
        <stp/>
        <stp>BDP|13303398619460228393</stp>
        <tr r="Q1909" s="2"/>
      </tp>
      <tp t="s">
        <v>#N/A N/A</v>
        <stp/>
        <stp>BDP|10083334969170618741</stp>
        <tr r="G585" s="2"/>
      </tp>
      <tp t="s">
        <v>#N/A N/A</v>
        <stp/>
        <stp>BDP|12366727115517512198</stp>
        <tr r="Q1607" s="2"/>
      </tp>
      <tp t="s">
        <v>#N/A N/A</v>
        <stp/>
        <stp>BDP|11605141238835353411</stp>
        <tr r="N1634" s="2"/>
      </tp>
      <tp t="s">
        <v>#N/A N/A</v>
        <stp/>
        <stp>BDP|10448798637066449065</stp>
        <tr r="A2019" s="2"/>
      </tp>
      <tp t="s">
        <v>#N/A N/A</v>
        <stp/>
        <stp>BDP|14458536369805329054</stp>
        <tr r="E1521" s="2"/>
      </tp>
      <tp t="s">
        <v>#N/A N/A</v>
        <stp/>
        <stp>BDP|12957291469283523748</stp>
        <tr r="M1182" s="2"/>
      </tp>
      <tp t="s">
        <v>#N/A N/A</v>
        <stp/>
        <stp>BDP|13601124062913656584</stp>
        <tr r="F109" s="2"/>
      </tp>
      <tp t="s">
        <v>#N/A N/A</v>
        <stp/>
        <stp>BDP|17880527431601474272</stp>
        <tr r="P1934" s="2"/>
      </tp>
      <tp t="s">
        <v>#N/A N/A</v>
        <stp/>
        <stp>BDP|13844379944723013538</stp>
        <tr r="E1723" s="2"/>
      </tp>
      <tp t="s">
        <v>#N/A N/A</v>
        <stp/>
        <stp>BDP|12398295642687813188</stp>
        <tr r="K323" s="2"/>
      </tp>
      <tp t="s">
        <v>#N/A N/A</v>
        <stp/>
        <stp>BDP|16574096164461967390</stp>
        <tr r="E1642" s="2"/>
      </tp>
      <tp t="s">
        <v>#N/A N/A</v>
        <stp/>
        <stp>BDP|12507036334011322297</stp>
        <tr r="T444" s="2"/>
      </tp>
      <tp t="s">
        <v>#N/A N/A</v>
        <stp/>
        <stp>BDP|11824701541817692771</stp>
        <tr r="A973" s="2"/>
      </tp>
      <tp t="s">
        <v>#N/A N/A</v>
        <stp/>
        <stp>BDP|13750487695075263907</stp>
        <tr r="H317" s="2"/>
      </tp>
      <tp t="s">
        <v>#N/A N/A</v>
        <stp/>
        <stp>BDP|15393523462720970428</stp>
        <tr r="K673" s="2"/>
      </tp>
      <tp t="s">
        <v>#N/A N/A</v>
        <stp/>
        <stp>BDP|11256584231600332506</stp>
        <tr r="P681" s="2"/>
      </tp>
      <tp t="s">
        <v>#N/A N/A</v>
        <stp/>
        <stp>BDP|15048616675895511399</stp>
        <tr r="F2184" s="2"/>
      </tp>
      <tp t="s">
        <v>#N/A N/A</v>
        <stp/>
        <stp>BDP|11544083928267538684</stp>
        <tr r="N954" s="2"/>
      </tp>
      <tp t="s">
        <v>#N/A N/A</v>
        <stp/>
        <stp>BDP|12309160158595243173</stp>
        <tr r="F693" s="2"/>
      </tp>
      <tp t="s">
        <v>#N/A N/A</v>
        <stp/>
        <stp>BDP|16266567494040964815</stp>
        <tr r="J1706" s="2"/>
      </tp>
      <tp t="s">
        <v>#N/A N/A</v>
        <stp/>
        <stp>BDP|11370285108297815630</stp>
        <tr r="D2102" s="2"/>
      </tp>
      <tp t="s">
        <v>#N/A N/A</v>
        <stp/>
        <stp>BDP|11693127460196492287</stp>
        <tr r="P617" s="2"/>
      </tp>
      <tp t="s">
        <v>#N/A N/A</v>
        <stp/>
        <stp>BDP|13347587629091356797</stp>
        <tr r="C593" s="2"/>
      </tp>
      <tp t="s">
        <v>#N/A N/A</v>
        <stp/>
        <stp>BDP|15559050346093934077</stp>
        <tr r="K355" s="2"/>
      </tp>
      <tp t="s">
        <v>#N/A N/A</v>
        <stp/>
        <stp>BDS|13906678956990651255</stp>
        <tr r="I27" s="2"/>
      </tp>
      <tp t="s">
        <v>#N/A N/A</v>
        <stp/>
        <stp>BDP|12772706876888111889</stp>
        <tr r="O578" s="2"/>
      </tp>
      <tp t="s">
        <v>#N/A N/A</v>
        <stp/>
        <stp>BDP|16960382179596684669</stp>
        <tr r="R1406" s="2"/>
      </tp>
      <tp t="s">
        <v>#N/A N/A</v>
        <stp/>
        <stp>BDP|13332078170947913153</stp>
        <tr r="K498" s="2"/>
      </tp>
      <tp t="s">
        <v>#N/A N/A</v>
        <stp/>
        <stp>BDP|10424648447075730589</stp>
        <tr r="S1417" s="2"/>
      </tp>
      <tp t="s">
        <v>#N/A N/A</v>
        <stp/>
        <stp>BDP|10996443895936863982</stp>
        <tr r="G661" s="2"/>
      </tp>
      <tp t="s">
        <v>#N/A N/A</v>
        <stp/>
        <stp>BDP|12747980497461370130</stp>
        <tr r="T1652" s="2"/>
      </tp>
      <tp t="s">
        <v>#N/A N/A</v>
        <stp/>
        <stp>BDP|16119585446792210755</stp>
        <tr r="J532" s="2"/>
      </tp>
      <tp t="s">
        <v>#N/A N/A</v>
        <stp/>
        <stp>BDP|12852207740572343434</stp>
        <tr r="T820" s="2"/>
      </tp>
      <tp t="s">
        <v>#N/A N/A</v>
        <stp/>
        <stp>BDP|11142317373700261795</stp>
        <tr r="A1703" s="2"/>
      </tp>
      <tp t="s">
        <v>#N/A N/A</v>
        <stp/>
        <stp>BDP|17243092304016703301</stp>
        <tr r="M253" s="2"/>
      </tp>
      <tp t="s">
        <v>#N/A N/A</v>
        <stp/>
        <stp>BDP|14287625164993512593</stp>
        <tr r="J790" s="2"/>
      </tp>
      <tp t="s">
        <v>#N/A N/A</v>
        <stp/>
        <stp>BDP|16789783192902276873</stp>
        <tr r="G1592" s="2"/>
      </tp>
      <tp t="s">
        <v>#N/A N/A</v>
        <stp/>
        <stp>BDP|11909518830796700379</stp>
        <tr r="A1250" s="2"/>
      </tp>
      <tp t="s">
        <v>#N/A N/A</v>
        <stp/>
        <stp>BDP|17358726659090233726</stp>
        <tr r="O118" s="2"/>
      </tp>
      <tp t="s">
        <v>#N/A N/A</v>
        <stp/>
        <stp>BDS|11873105635078158972</stp>
        <tr r="I422" s="2"/>
      </tp>
      <tp t="s">
        <v>#N/A N/A</v>
        <stp/>
        <stp>BDP|16305525624173563087</stp>
        <tr r="S1962" s="2"/>
      </tp>
      <tp t="s">
        <v>#N/A N/A</v>
        <stp/>
        <stp>BDP|15317171111211861651</stp>
        <tr r="T2223" s="2"/>
      </tp>
      <tp t="s">
        <v>#N/A N/A</v>
        <stp/>
        <stp>BDP|18002170560954954969</stp>
        <tr r="K2151" s="2"/>
      </tp>
      <tp t="s">
        <v>#N/A N/A</v>
        <stp/>
        <stp>BDP|11046566711075664291</stp>
        <tr r="C1380" s="2"/>
      </tp>
      <tp t="s">
        <v>#N/A N/A</v>
        <stp/>
        <stp>BDP|11909739117013647639</stp>
        <tr r="Q522" s="2"/>
      </tp>
      <tp t="s">
        <v>#N/A N/A</v>
        <stp/>
        <stp>BDP|14652980682534769332</stp>
        <tr r="T87" s="2"/>
      </tp>
      <tp t="s">
        <v>#N/A N/A</v>
        <stp/>
        <stp>BDP|12517261979766503373</stp>
        <tr r="Q1110" s="2"/>
      </tp>
      <tp t="s">
        <v>#N/A N/A</v>
        <stp/>
        <stp>BDP|12397002826532929048</stp>
        <tr r="G1456" s="2"/>
      </tp>
      <tp t="s">
        <v>#N/A N/A</v>
        <stp/>
        <stp>BDP|17742373081778960602</stp>
        <tr r="E1363" s="2"/>
      </tp>
      <tp t="s">
        <v>#N/A N/A</v>
        <stp/>
        <stp>BDP|17456448000704980516</stp>
        <tr r="R1517" s="2"/>
      </tp>
      <tp t="s">
        <v>#N/A N/A</v>
        <stp/>
        <stp>BDP|12644826009918159075</stp>
        <tr r="A473" s="2"/>
      </tp>
      <tp t="s">
        <v>#N/A N/A</v>
        <stp/>
        <stp>BDP|10156554397749987715</stp>
        <tr r="H2175" s="2"/>
      </tp>
      <tp t="s">
        <v>#N/A N/A</v>
        <stp/>
        <stp>BDP|16336127446970569191</stp>
        <tr r="Q746" s="2"/>
      </tp>
      <tp t="s">
        <v>#N/A N/A</v>
        <stp/>
        <stp>BDP|13879435411411944588</stp>
        <tr r="D1490" s="2"/>
      </tp>
      <tp t="s">
        <v>#N/A N/A</v>
        <stp/>
        <stp>BDS|14537593658757879149</stp>
        <tr r="I1057" s="2"/>
      </tp>
      <tp t="s">
        <v>#N/A N/A</v>
        <stp/>
        <stp>BDP|10050349318012667213</stp>
        <tr r="P1318" s="2"/>
      </tp>
      <tp t="s">
        <v>#N/A N/A</v>
        <stp/>
        <stp>BDP|14454549237536571697</stp>
        <tr r="Q1848" s="2"/>
      </tp>
      <tp t="s">
        <v>#N/A N/A</v>
        <stp/>
        <stp>BDP|13553897592920032051</stp>
        <tr r="P192" s="2"/>
      </tp>
      <tp t="s">
        <v>#N/A N/A</v>
        <stp/>
        <stp>BDP|12881789474833957365</stp>
        <tr r="R2090" s="2"/>
      </tp>
      <tp t="s">
        <v>#N/A N/A</v>
        <stp/>
        <stp>BDP|15381206068785578657</stp>
        <tr r="E35" s="2"/>
      </tp>
      <tp t="s">
        <v>#N/A N/A</v>
        <stp/>
        <stp>BDP|13818786759980615346</stp>
        <tr r="K1048" s="2"/>
      </tp>
      <tp t="s">
        <v>#N/A N/A</v>
        <stp/>
        <stp>BDP|14391836324024712887</stp>
        <tr r="R1028" s="2"/>
      </tp>
      <tp t="s">
        <v>#N/A N/A</v>
        <stp/>
        <stp>BDP|14453959308516463966</stp>
        <tr r="J1454" s="2"/>
      </tp>
      <tp t="s">
        <v>#N/A N/A</v>
        <stp/>
        <stp>BDP|11401147609895413766</stp>
        <tr r="H293" s="2"/>
      </tp>
      <tp t="s">
        <v>#N/A N/A</v>
        <stp/>
        <stp>BDP|12856694367197980740</stp>
        <tr r="J1890" s="2"/>
      </tp>
      <tp t="s">
        <v>#N/A N/A</v>
        <stp/>
        <stp>BDP|18207432928069184532</stp>
        <tr r="J1035" s="2"/>
      </tp>
      <tp t="s">
        <v>#N/A N/A</v>
        <stp/>
        <stp>BDP|10018300876116818059</stp>
        <tr r="J590" s="2"/>
      </tp>
      <tp t="s">
        <v>#N/A N/A</v>
        <stp/>
        <stp>BDP|11045395236086506519</stp>
        <tr r="E2096" s="2"/>
      </tp>
      <tp t="s">
        <v>#N/A N/A</v>
        <stp/>
        <stp>BDP|15376897322869036433</stp>
        <tr r="J32" s="2"/>
      </tp>
      <tp t="s">
        <v>#N/A N/A</v>
        <stp/>
        <stp>BDS|15902154243714422639</stp>
        <tr r="I672" s="2"/>
      </tp>
      <tp t="s">
        <v>#N/A N/A</v>
        <stp/>
        <stp>BDP|15698472524547603681</stp>
        <tr r="O1355" s="2"/>
      </tp>
      <tp t="s">
        <v>#N/A N/A</v>
        <stp/>
        <stp>BDP|11015669509413534610</stp>
        <tr r="G1514" s="2"/>
      </tp>
      <tp t="s">
        <v>#N/A N/A</v>
        <stp/>
        <stp>BDP|10550982082964042745</stp>
        <tr r="N2245" s="2"/>
      </tp>
      <tp t="s">
        <v>#N/A N/A</v>
        <stp/>
        <stp>BDP|14589489324653693340</stp>
        <tr r="K1219" s="2"/>
      </tp>
      <tp t="s">
        <v>#N/A N/A</v>
        <stp/>
        <stp>BDP|15898101725253245740</stp>
        <tr r="R1776" s="2"/>
      </tp>
      <tp t="s">
        <v>#N/A N/A</v>
        <stp/>
        <stp>BDP|17921029579283858112</stp>
        <tr r="O1601" s="2"/>
      </tp>
      <tp t="s">
        <v>#N/A N/A</v>
        <stp/>
        <stp>BDP|17529303551541639299</stp>
        <tr r="O853" s="2"/>
      </tp>
      <tp t="s">
        <v>#N/A N/A</v>
        <stp/>
        <stp>BDP|15936764855111383423</stp>
        <tr r="T1537" s="2"/>
      </tp>
      <tp t="s">
        <v>#N/A N/A</v>
        <stp/>
        <stp>BDP|15446496554534198233</stp>
        <tr r="Q1367" s="2"/>
      </tp>
      <tp t="s">
        <v>#N/A N/A</v>
        <stp/>
        <stp>BDP|18386991425037157651</stp>
        <tr r="G943" s="2"/>
      </tp>
      <tp t="s">
        <v>#N/A N/A</v>
        <stp/>
        <stp>BDP|11131749059250734106</stp>
        <tr r="E1158" s="2"/>
      </tp>
      <tp t="s">
        <v>#N/A N/A</v>
        <stp/>
        <stp>BDP|16591990571088516234</stp>
        <tr r="J1994" s="2"/>
      </tp>
      <tp t="s">
        <v>#N/A N/A</v>
        <stp/>
        <stp>BDP|11391292060672512540</stp>
        <tr r="R117" s="2"/>
      </tp>
      <tp t="s">
        <v>#N/A N/A</v>
        <stp/>
        <stp>BDP|11881713487209651530</stp>
        <tr r="R763" s="2"/>
      </tp>
      <tp t="s">
        <v>#N/A N/A</v>
        <stp/>
        <stp>BDP|15241446258633714529</stp>
        <tr r="G439" s="2"/>
      </tp>
      <tp t="s">
        <v>#N/A N/A</v>
        <stp/>
        <stp>BDP|14852626410844334524</stp>
        <tr r="K779" s="2"/>
      </tp>
      <tp t="s">
        <v>#N/A N/A</v>
        <stp/>
        <stp>BDP|11391638518951463572</stp>
        <tr r="C856" s="2"/>
      </tp>
      <tp t="s">
        <v>#N/A N/A</v>
        <stp/>
        <stp>BDP|10457736394729173590</stp>
        <tr r="J729" s="2"/>
      </tp>
      <tp t="s">
        <v>#N/A N/A</v>
        <stp/>
        <stp>BDP|14003196430914192035</stp>
        <tr r="H1517" s="2"/>
      </tp>
      <tp t="s">
        <v>#N/A N/A</v>
        <stp/>
        <stp>BDP|17315719784732845858</stp>
        <tr r="K618" s="2"/>
      </tp>
      <tp t="s">
        <v>#N/A N/A</v>
        <stp/>
        <stp>BDP|18352343142969792495</stp>
        <tr r="A1225" s="2"/>
      </tp>
      <tp t="s">
        <v>#N/A N/A</v>
        <stp/>
        <stp>BDP|10890678624422675461</stp>
        <tr r="N991" s="2"/>
      </tp>
      <tp t="s">
        <v>#N/A N/A</v>
        <stp/>
        <stp>BDP|12004237486519700391</stp>
        <tr r="J632" s="2"/>
      </tp>
      <tp t="s">
        <v>#N/A N/A</v>
        <stp/>
        <stp>BDP|12283149366194308383</stp>
        <tr r="M1918" s="2"/>
      </tp>
      <tp t="s">
        <v>#N/A N/A</v>
        <stp/>
        <stp>BDP|14500920984690121797</stp>
        <tr r="H2189" s="2"/>
      </tp>
      <tp t="s">
        <v>#N/A N/A</v>
        <stp/>
        <stp>BDP|10448061006696673497</stp>
        <tr r="T1397" s="2"/>
      </tp>
      <tp t="s">
        <v>#N/A N/A</v>
        <stp/>
        <stp>BDP|16328285572008642941</stp>
        <tr r="J1981" s="2"/>
      </tp>
      <tp t="s">
        <v>#N/A N/A</v>
        <stp/>
        <stp>BDS|13753256848252429561</stp>
        <tr r="I124" s="2"/>
      </tp>
      <tp t="s">
        <v>#N/A N/A</v>
        <stp/>
        <stp>BDP|16236725568210134525</stp>
        <tr r="C53" s="2"/>
      </tp>
      <tp t="s">
        <v>#N/A N/A</v>
        <stp/>
        <stp>BDP|17413067358530379025</stp>
        <tr r="S1060" s="2"/>
      </tp>
      <tp t="s">
        <v>#N/A N/A</v>
        <stp/>
        <stp>BDP|16939979987832644747</stp>
        <tr r="K1902" s="2"/>
      </tp>
      <tp t="s">
        <v>#N/A N/A</v>
        <stp/>
        <stp>BDP|16403147528272277513</stp>
        <tr r="P173" s="2"/>
      </tp>
      <tp t="s">
        <v>#N/A N/A</v>
        <stp/>
        <stp>BDP|17532805985485331080</stp>
        <tr r="E713" s="2"/>
      </tp>
      <tp t="s">
        <v>#N/A N/A</v>
        <stp/>
        <stp>BDP|14369244026647814125</stp>
        <tr r="F1143" s="2"/>
      </tp>
      <tp t="s">
        <v>#N/A N/A</v>
        <stp/>
        <stp>BDP|16846064073820611309</stp>
        <tr r="R1211" s="2"/>
      </tp>
      <tp t="s">
        <v>#N/A N/A</v>
        <stp/>
        <stp>BDP|10712947351367153980</stp>
        <tr r="Q1161" s="2"/>
      </tp>
      <tp t="s">
        <v>#N/A N/A</v>
        <stp/>
        <stp>BDS|13739477251793165385</stp>
        <tr r="I231" s="2"/>
      </tp>
      <tp t="s">
        <v>#N/A N/A</v>
        <stp/>
        <stp>BDP|10537495144235034737</stp>
        <tr r="T1553" s="2"/>
      </tp>
      <tp t="s">
        <v>#N/A N/A</v>
        <stp/>
        <stp>BDS|15440804145522943901</stp>
        <tr r="I368" s="2"/>
      </tp>
      <tp t="s">
        <v>#N/A N/A</v>
        <stp/>
        <stp>BDP|10857531221026118302</stp>
        <tr r="O89" s="2"/>
      </tp>
      <tp t="s">
        <v>#N/A N/A</v>
        <stp/>
        <stp>BDP|13049496434643578534</stp>
        <tr r="O646" s="2"/>
      </tp>
      <tp t="s">
        <v>#N/A N/A</v>
        <stp/>
        <stp>BDP|15142681839496222494</stp>
        <tr r="Q1154" s="2"/>
      </tp>
      <tp t="s">
        <v>#N/A N/A</v>
        <stp/>
        <stp>BDP|13638685844372254137</stp>
        <tr r="P1411" s="2"/>
      </tp>
      <tp t="s">
        <v>#N/A N/A</v>
        <stp/>
        <stp>BDP|15530495221103151275</stp>
        <tr r="T1132" s="2"/>
      </tp>
      <tp t="s">
        <v>#N/A N/A</v>
        <stp/>
        <stp>BDS|12805822213381402857</stp>
        <tr r="I31" s="2"/>
      </tp>
      <tp t="s">
        <v>#N/A N/A</v>
        <stp/>
        <stp>BDP|14009408628975147523</stp>
        <tr r="O71" s="2"/>
      </tp>
      <tp t="s">
        <v>#N/A N/A</v>
        <stp/>
        <stp>BDP|17022120839395101217</stp>
        <tr r="Q170" s="2"/>
      </tp>
      <tp t="s">
        <v>#N/A N/A</v>
        <stp/>
        <stp>BDP|14351969898830087669</stp>
        <tr r="D1980" s="2"/>
      </tp>
      <tp t="s">
        <v>#N/A N/A</v>
        <stp/>
        <stp>BDP|16994349293287303967</stp>
        <tr r="K1669" s="2"/>
      </tp>
      <tp t="s">
        <v>#N/A N/A</v>
        <stp/>
        <stp>BDP|16773586994019441140</stp>
        <tr r="A1383" s="2"/>
      </tp>
      <tp t="s">
        <v>#N/A N/A</v>
        <stp/>
        <stp>BDP|15980165478841906050</stp>
        <tr r="K1611" s="2"/>
      </tp>
      <tp t="s">
        <v>#N/A N/A</v>
        <stp/>
        <stp>BDP|14681829237818052589</stp>
        <tr r="F1206" s="2"/>
      </tp>
      <tp t="s">
        <v>#N/A N/A</v>
        <stp/>
        <stp>BDP|12987738296108646610</stp>
        <tr r="A1126" s="2"/>
      </tp>
      <tp t="s">
        <v>#N/A N/A</v>
        <stp/>
        <stp>BDP|16991101632987113114</stp>
        <tr r="S2099" s="2"/>
      </tp>
      <tp t="s">
        <v>#N/A N/A</v>
        <stp/>
        <stp>BDS|12820182419587569747</stp>
        <tr r="I2046" s="2"/>
      </tp>
      <tp t="s">
        <v>#N/A N/A</v>
        <stp/>
        <stp>BDP|17341209069664860599</stp>
        <tr r="J561" s="2"/>
      </tp>
      <tp t="s">
        <v>#N/A N/A</v>
        <stp/>
        <stp>BDP|17566344000405207382</stp>
        <tr r="S1516" s="2"/>
      </tp>
      <tp t="s">
        <v>#N/A N/A</v>
        <stp/>
        <stp>BDP|10794321136963063183</stp>
        <tr r="A1918" s="2"/>
      </tp>
      <tp t="s">
        <v>#N/A N/A</v>
        <stp/>
        <stp>BDP|14963704492378450040</stp>
        <tr r="A1319" s="2"/>
      </tp>
      <tp t="s">
        <v>#N/A N/A</v>
        <stp/>
        <stp>BDP|11708449167938727999</stp>
        <tr r="P879" s="2"/>
      </tp>
      <tp t="s">
        <v>#N/A N/A</v>
        <stp/>
        <stp>BDP|14634124258852212045</stp>
        <tr r="E315" s="2"/>
      </tp>
      <tp t="s">
        <v>#N/A N/A</v>
        <stp/>
        <stp>BDP|13155176514804040584</stp>
        <tr r="O1529" s="2"/>
      </tp>
      <tp t="s">
        <v>#N/A N/A</v>
        <stp/>
        <stp>BDP|17086744539589169864</stp>
        <tr r="T2162" s="2"/>
      </tp>
      <tp t="s">
        <v>#N/A N/A</v>
        <stp/>
        <stp>BDP|17591787335186518775</stp>
        <tr r="K1272" s="2"/>
      </tp>
      <tp t="s">
        <v>#N/A N/A</v>
        <stp/>
        <stp>BDP|11704677923262887517</stp>
        <tr r="C2225" s="2"/>
      </tp>
      <tp t="s">
        <v>#N/A N/A</v>
        <stp/>
        <stp>BDP|16808543763982661536</stp>
        <tr r="H386" s="2"/>
      </tp>
      <tp t="s">
        <v>#N/A N/A</v>
        <stp/>
        <stp>BDP|10127478219167733022</stp>
        <tr r="R1224" s="2"/>
      </tp>
      <tp t="s">
        <v>#N/A N/A</v>
        <stp/>
        <stp>BDP|17592480402625668430</stp>
        <tr r="N325" s="2"/>
      </tp>
      <tp t="s">
        <v>#N/A N/A</v>
        <stp/>
        <stp>BDP|10995643611497565231</stp>
        <tr r="P1445" s="2"/>
      </tp>
      <tp t="s">
        <v>#N/A N/A</v>
        <stp/>
        <stp>BDP|11841458578120608094</stp>
        <tr r="E226" s="2"/>
      </tp>
      <tp t="s">
        <v>#N/A N/A</v>
        <stp/>
        <stp>BDP|13940472160034767739</stp>
        <tr r="N208" s="2"/>
      </tp>
      <tp t="s">
        <v>#N/A N/A</v>
        <stp/>
        <stp>BDP|16856427997489282057</stp>
        <tr r="P893" s="2"/>
      </tp>
      <tp t="s">
        <v>#N/A N/A</v>
        <stp/>
        <stp>BDP|14799165349536118531</stp>
        <tr r="C1692" s="2"/>
      </tp>
      <tp t="s">
        <v>#N/A N/A</v>
        <stp/>
        <stp>BDP|15532225026337390085</stp>
        <tr r="S2042" s="2"/>
      </tp>
      <tp t="s">
        <v>#N/A N/A</v>
        <stp/>
        <stp>BDP|15482984552458402301</stp>
        <tr r="D1242" s="2"/>
      </tp>
      <tp t="s">
        <v>#N/A N/A</v>
        <stp/>
        <stp>BDP|11908688713575804105</stp>
        <tr r="M1758" s="2"/>
      </tp>
      <tp t="s">
        <v>#N/A N/A</v>
        <stp/>
        <stp>BDP|12277938487718457985</stp>
        <tr r="P21" s="2"/>
      </tp>
      <tp t="s">
        <v>#N/A N/A</v>
        <stp/>
        <stp>BDP|16092551626120922303</stp>
        <tr r="G407" s="2"/>
      </tp>
      <tp t="s">
        <v>#N/A N/A</v>
        <stp/>
        <stp>BDP|12425789063251716020</stp>
        <tr r="F843" s="2"/>
      </tp>
      <tp t="s">
        <v>#N/A N/A</v>
        <stp/>
        <stp>BDP|14227181456415793716</stp>
        <tr r="A1013" s="2"/>
      </tp>
      <tp t="s">
        <v>#N/A N/A</v>
        <stp/>
        <stp>BDP|14330337675994602692</stp>
        <tr r="M1496" s="2"/>
      </tp>
      <tp t="s">
        <v>#N/A N/A</v>
        <stp/>
        <stp>BDP|10069898739749264080</stp>
        <tr r="A1903" s="2"/>
      </tp>
      <tp t="s">
        <v>#N/A N/A</v>
        <stp/>
        <stp>BDP|10572312446674899105</stp>
        <tr r="T1827" s="2"/>
      </tp>
      <tp t="s">
        <v>#N/A N/A</v>
        <stp/>
        <stp>BDP|10502987844106280911</stp>
        <tr r="G183" s="2"/>
      </tp>
      <tp t="s">
        <v>#N/A N/A</v>
        <stp/>
        <stp>BDP|18085606628459273702</stp>
        <tr r="N407" s="2"/>
      </tp>
      <tp t="s">
        <v>#N/A N/A</v>
        <stp/>
        <stp>BDP|11601603315582085690</stp>
        <tr r="R1544" s="2"/>
      </tp>
      <tp t="s">
        <v>#N/A N/A</v>
        <stp/>
        <stp>BDP|11698117237107955634</stp>
        <tr r="A283" s="2"/>
      </tp>
      <tp t="s">
        <v>#N/A N/A</v>
        <stp/>
        <stp>BDP|15658716206625831538</stp>
        <tr r="N1731" s="2"/>
      </tp>
      <tp t="s">
        <v>#N/A N/A</v>
        <stp/>
        <stp>BDP|18058917221937261683</stp>
        <tr r="S2164" s="2"/>
      </tp>
      <tp t="s">
        <v>#N/A N/A</v>
        <stp/>
        <stp>BDP|14482735347336258385</stp>
        <tr r="A1376" s="2"/>
      </tp>
      <tp t="s">
        <v>#N/A N/A</v>
        <stp/>
        <stp>BDS|13281213327433825253</stp>
        <tr r="I955" s="2"/>
      </tp>
      <tp t="s">
        <v>#N/A N/A</v>
        <stp/>
        <stp>BDP|15072539219051084208</stp>
        <tr r="D883" s="2"/>
      </tp>
      <tp t="s">
        <v>#N/A N/A</v>
        <stp/>
        <stp>BDP|15349564679150547538</stp>
        <tr r="H986" s="2"/>
      </tp>
      <tp t="s">
        <v>#N/A N/A</v>
        <stp/>
        <stp>BDP|13756589487579039527</stp>
        <tr r="M2085" s="2"/>
      </tp>
      <tp t="s">
        <v>#N/A N/A</v>
        <stp/>
        <stp>BDP|10391562378235638517</stp>
        <tr r="F1363" s="2"/>
      </tp>
      <tp t="s">
        <v>#N/A N/A</v>
        <stp/>
        <stp>BDP|11495573611791042684</stp>
        <tr r="T218" s="2"/>
      </tp>
      <tp t="s">
        <v>#N/A N/A</v>
        <stp/>
        <stp>BDP|11217756898005737828</stp>
        <tr r="T642" s="2"/>
      </tp>
      <tp t="s">
        <v>#N/A N/A</v>
        <stp/>
        <stp>BDP|17497401514598913830</stp>
        <tr r="K2033" s="2"/>
      </tp>
      <tp t="s">
        <v>#N/A N/A</v>
        <stp/>
        <stp>BDP|16569084290175569829</stp>
        <tr r="S2069" s="2"/>
      </tp>
      <tp t="s">
        <v>#N/A N/A</v>
        <stp/>
        <stp>BDP|16721239349703203150</stp>
        <tr r="N33" s="2"/>
      </tp>
      <tp t="s">
        <v>#N/A N/A</v>
        <stp/>
        <stp>BDP|14915579802963055067</stp>
        <tr r="T2106" s="2"/>
      </tp>
      <tp t="s">
        <v>#N/A N/A</v>
        <stp/>
        <stp>BDP|17815646076537058304</stp>
        <tr r="H2104" s="2"/>
      </tp>
      <tp t="s">
        <v>#N/A N/A</v>
        <stp/>
        <stp>BDP|11946818761164280916</stp>
        <tr r="S57" s="2"/>
      </tp>
      <tp t="s">
        <v>#N/A N/A</v>
        <stp/>
        <stp>BDP|11122399265867040174</stp>
        <tr r="D1060" s="2"/>
      </tp>
      <tp t="s">
        <v>#N/A N/A</v>
        <stp/>
        <stp>BDP|12456605222300406480</stp>
        <tr r="T1752" s="2"/>
      </tp>
      <tp t="s">
        <v>#N/A N/A</v>
        <stp/>
        <stp>BDP|15863273976535264714</stp>
        <tr r="R1011" s="2"/>
      </tp>
      <tp t="s">
        <v>#N/A N/A</v>
        <stp/>
        <stp>BDP|17947400351487420360</stp>
        <tr r="M203" s="2"/>
      </tp>
      <tp t="s">
        <v>#N/A N/A</v>
        <stp/>
        <stp>BDP|18164797755220628813</stp>
        <tr r="F2145" s="2"/>
      </tp>
      <tp t="s">
        <v>#N/A N/A</v>
        <stp/>
        <stp>BDP|11477404314602210486</stp>
        <tr r="O1403" s="2"/>
      </tp>
      <tp t="s">
        <v>#N/A N/A</v>
        <stp/>
        <stp>BDP|17138252483186543986</stp>
        <tr r="A1341" s="2"/>
      </tp>
      <tp t="s">
        <v>#N/A N/A</v>
        <stp/>
        <stp>BDP|16231196615647147356</stp>
        <tr r="M609" s="2"/>
      </tp>
      <tp t="s">
        <v>#N/A N/A</v>
        <stp/>
        <stp>BDP|10225381141267304220</stp>
        <tr r="H1621" s="2"/>
      </tp>
      <tp t="s">
        <v>#N/A N/A</v>
        <stp/>
        <stp>BDP|16844340266793126211</stp>
        <tr r="M155" s="2"/>
      </tp>
      <tp t="s">
        <v>#N/A N/A</v>
        <stp/>
        <stp>BDP|16638204343166735485</stp>
        <tr r="J1255" s="2"/>
      </tp>
      <tp t="s">
        <v>#N/A N/A</v>
        <stp/>
        <stp>BDP|16334491503286382608</stp>
        <tr r="C779" s="2"/>
      </tp>
      <tp t="s">
        <v>#N/A N/A</v>
        <stp/>
        <stp>BDP|10619554540724012794</stp>
        <tr r="R1401" s="2"/>
      </tp>
      <tp t="s">
        <v>#N/A N/A</v>
        <stp/>
        <stp>BDP|17772187014520971585</stp>
        <tr r="N2110" s="2"/>
      </tp>
      <tp t="s">
        <v>#N/A N/A</v>
        <stp/>
        <stp>BDP|15558598466913400742</stp>
        <tr r="O1010" s="2"/>
      </tp>
      <tp t="s">
        <v>#N/A N/A</v>
        <stp/>
        <stp>BDP|12745357794128428286</stp>
        <tr r="F366" s="2"/>
      </tp>
      <tp t="s">
        <v>#N/A N/A</v>
        <stp/>
        <stp>BDP|12606524469236156565</stp>
        <tr r="E1964" s="2"/>
      </tp>
      <tp t="s">
        <v>#N/A N/A</v>
        <stp/>
        <stp>BDP|13586395966082120619</stp>
        <tr r="J2161" s="2"/>
      </tp>
      <tp t="s">
        <v>#N/A N/A</v>
        <stp/>
        <stp>BDP|12820633179734864506</stp>
        <tr r="T612" s="2"/>
      </tp>
      <tp t="s">
        <v>#N/A N/A</v>
        <stp/>
        <stp>BDP|13990219836894081446</stp>
        <tr r="M1846" s="2"/>
      </tp>
      <tp t="s">
        <v>#N/A N/A</v>
        <stp/>
        <stp>BDP|10416711908447492238</stp>
        <tr r="K564" s="2"/>
      </tp>
      <tp t="s">
        <v>#N/A N/A</v>
        <stp/>
        <stp>BDP|16010649467370869418</stp>
        <tr r="J2158" s="2"/>
      </tp>
      <tp t="s">
        <v>#N/A N/A</v>
        <stp/>
        <stp>BDP|15327680126451516222</stp>
        <tr r="S218" s="2"/>
      </tp>
      <tp t="s">
        <v>#N/A N/A</v>
        <stp/>
        <stp>BDP|11305000554966590085</stp>
        <tr r="K2153" s="2"/>
      </tp>
      <tp t="s">
        <v>#N/A N/A</v>
        <stp/>
        <stp>BDP|10472173311226943417</stp>
        <tr r="R1233" s="2"/>
      </tp>
      <tp t="s">
        <v>#N/A N/A</v>
        <stp/>
        <stp>BDP|10050209244894708091</stp>
        <tr r="R1383" s="2"/>
      </tp>
      <tp t="s">
        <v>#N/A N/A</v>
        <stp/>
        <stp>BDP|12396093392010383916</stp>
        <tr r="A223" s="2"/>
      </tp>
      <tp t="s">
        <v>#N/A N/A</v>
        <stp/>
        <stp>BDP|13983889646279805457</stp>
        <tr r="K1078" s="2"/>
      </tp>
      <tp t="s">
        <v>#N/A N/A</v>
        <stp/>
        <stp>BDP|16462847755039615094</stp>
        <tr r="M897" s="2"/>
      </tp>
      <tp t="s">
        <v>#N/A N/A</v>
        <stp/>
        <stp>BDP|13714362285218139289</stp>
        <tr r="K1747" s="2"/>
      </tp>
      <tp t="s">
        <v>#N/A N/A</v>
        <stp/>
        <stp>BDP|10845101460421587402</stp>
        <tr r="G1066" s="2"/>
      </tp>
      <tp t="s">
        <v>#N/A N/A</v>
        <stp/>
        <stp>BDP|12182629060143990372</stp>
        <tr r="G1050" s="2"/>
      </tp>
      <tp t="s">
        <v>#N/A N/A</v>
        <stp/>
        <stp>BDP|11897991788297708531</stp>
        <tr r="M1279" s="2"/>
      </tp>
      <tp t="s">
        <v>#N/A N/A</v>
        <stp/>
        <stp>BDP|13756823294570883040</stp>
        <tr r="P1791" s="2"/>
      </tp>
      <tp t="s">
        <v>#N/A N/A</v>
        <stp/>
        <stp>BDP|11528973328639154168</stp>
        <tr r="S80" s="2"/>
      </tp>
      <tp t="s">
        <v>#N/A N/A</v>
        <stp/>
        <stp>BDP|16119550878440199606</stp>
        <tr r="T1988" s="2"/>
      </tp>
      <tp t="s">
        <v>#N/A N/A</v>
        <stp/>
        <stp>BDP|18128588735244314823</stp>
        <tr r="M1661" s="2"/>
      </tp>
      <tp t="s">
        <v>#N/A N/A</v>
        <stp/>
        <stp>BDP|10472740502475609099</stp>
        <tr r="E790" s="2"/>
      </tp>
      <tp t="s">
        <v>#N/A N/A</v>
        <stp/>
        <stp>BDP|10266196712845560714</stp>
        <tr r="Q1262" s="2"/>
      </tp>
      <tp t="s">
        <v>#N/A N/A</v>
        <stp/>
        <stp>BDP|11195121458060313753</stp>
        <tr r="M483" s="2"/>
      </tp>
      <tp t="s">
        <v>#N/A N/A</v>
        <stp/>
        <stp>BDP|11842802534608494053</stp>
        <tr r="N938" s="2"/>
      </tp>
      <tp t="s">
        <v>#N/A N/A</v>
        <stp/>
        <stp>BDP|10946418860529471917</stp>
        <tr r="F320" s="2"/>
      </tp>
      <tp t="s">
        <v>#N/A N/A</v>
        <stp/>
        <stp>BDP|16017030847960096098</stp>
        <tr r="A1449" s="2"/>
      </tp>
      <tp t="s">
        <v>#N/A N/A</v>
        <stp/>
        <stp>BDP|10100402742210608289</stp>
        <tr r="C1283" s="2"/>
      </tp>
      <tp t="s">
        <v>#N/A N/A</v>
        <stp/>
        <stp>BDP|16834793754832119490</stp>
        <tr r="O235" s="2"/>
      </tp>
      <tp t="s">
        <v>#N/A N/A</v>
        <stp/>
        <stp>BDP|17414760303111982351</stp>
        <tr r="R1525" s="2"/>
      </tp>
      <tp t="s">
        <v>#N/A N/A</v>
        <stp/>
        <stp>BDS|11816926557246553969</stp>
        <tr r="I550" s="2"/>
      </tp>
      <tp t="s">
        <v>#N/A N/A</v>
        <stp/>
        <stp>BDP|13801421689955995878</stp>
        <tr r="M776" s="2"/>
      </tp>
      <tp t="s">
        <v>#N/A N/A</v>
        <stp/>
        <stp>BDP|11629695421836508166</stp>
        <tr r="Q369" s="2"/>
      </tp>
      <tp t="s">
        <v>#N/A N/A</v>
        <stp/>
        <stp>BDP|15697936502437952937</stp>
        <tr r="T735" s="2"/>
      </tp>
      <tp t="s">
        <v>#N/A N/A</v>
        <stp/>
        <stp>BDP|17322488012421462101</stp>
        <tr r="M1402" s="2"/>
      </tp>
      <tp t="s">
        <v>#N/A N/A</v>
        <stp/>
        <stp>BDP|17963167921566394005</stp>
        <tr r="E2109" s="2"/>
      </tp>
      <tp t="s">
        <v>#N/A N/A</v>
        <stp/>
        <stp>BDP|12337327419283189146</stp>
        <tr r="S1682" s="2"/>
      </tp>
      <tp t="s">
        <v>#N/A N/A</v>
        <stp/>
        <stp>BDP|11175319231335538691</stp>
        <tr r="M156" s="2"/>
      </tp>
      <tp t="s">
        <v>#N/A N/A</v>
        <stp/>
        <stp>BDP|15289199722046260268</stp>
        <tr r="Q556" s="2"/>
      </tp>
      <tp t="s">
        <v>#N/A N/A</v>
        <stp/>
        <stp>BDP|16246565624873831055</stp>
        <tr r="S2178" s="2"/>
      </tp>
      <tp t="s">
        <v>#N/A N/A</v>
        <stp/>
        <stp>BDP|12105935295707988734</stp>
        <tr r="M1074" s="2"/>
      </tp>
      <tp t="s">
        <v>#N/A N/A</v>
        <stp/>
        <stp>BDP|12162337359982156473</stp>
        <tr r="G900" s="2"/>
      </tp>
      <tp t="s">
        <v>#N/A N/A</v>
        <stp/>
        <stp>BDP|14516799366387313044</stp>
        <tr r="T1785" s="2"/>
      </tp>
      <tp t="s">
        <v>#N/A N/A</v>
        <stp/>
        <stp>BDP|11399356515451703095</stp>
        <tr r="E2012" s="2"/>
      </tp>
      <tp t="s">
        <v>#N/A N/A</v>
        <stp/>
        <stp>BDP|16829908585000158511</stp>
        <tr r="P1806" s="2"/>
      </tp>
      <tp t="s">
        <v>#N/A N/A</v>
        <stp/>
        <stp>BDP|11970333517759746879</stp>
        <tr r="T1986" s="2"/>
      </tp>
      <tp t="s">
        <v>#N/A N/A</v>
        <stp/>
        <stp>BDP|16976398308706004156</stp>
        <tr r="K584" s="2"/>
      </tp>
      <tp t="s">
        <v>#N/A N/A</v>
        <stp/>
        <stp>BDP|15189572164735754185</stp>
        <tr r="T1288" s="2"/>
      </tp>
      <tp t="s">
        <v>#N/A N/A</v>
        <stp/>
        <stp>BDP|16457455310382987356</stp>
        <tr r="T647" s="2"/>
      </tp>
      <tp t="s">
        <v>#N/A N/A</v>
        <stp/>
        <stp>BDP|11865362730132495171</stp>
        <tr r="G2113" s="2"/>
      </tp>
      <tp t="s">
        <v>#N/A N/A</v>
        <stp/>
        <stp>BDP|12389377504486542582</stp>
        <tr r="R958" s="2"/>
      </tp>
      <tp t="s">
        <v>#N/A N/A</v>
        <stp/>
        <stp>BDP|11892529787969462742</stp>
        <tr r="Q1245" s="2"/>
      </tp>
      <tp t="s">
        <v>#N/A N/A</v>
        <stp/>
        <stp>BDS|16732795228978137991</stp>
        <tr r="I965" s="2"/>
      </tp>
      <tp t="s">
        <v>#N/A N/A</v>
        <stp/>
        <stp>BDP|15467191085369202779</stp>
        <tr r="O1899" s="2"/>
      </tp>
      <tp t="s">
        <v>#N/A N/A</v>
        <stp/>
        <stp>BDP|12600405638896066137</stp>
        <tr r="A2253" s="2"/>
      </tp>
      <tp t="s">
        <v>#N/A N/A</v>
        <stp/>
        <stp>BDP|17171008711654828057</stp>
        <tr r="A509" s="2"/>
      </tp>
      <tp t="s">
        <v>#N/A N/A</v>
        <stp/>
        <stp>BDP|10946295038403091050</stp>
        <tr r="P912" s="2"/>
      </tp>
      <tp t="s">
        <v>#N/A N/A</v>
        <stp/>
        <stp>BDP|11455462216916041096</stp>
        <tr r="Q145" s="2"/>
      </tp>
      <tp t="s">
        <v>#N/A N/A</v>
        <stp/>
        <stp>BDP|15538402314343562197</stp>
        <tr r="J1532" s="2"/>
      </tp>
      <tp t="s">
        <v>#N/A N/A</v>
        <stp/>
        <stp>BDP|13823548111483495644</stp>
        <tr r="E2222" s="2"/>
      </tp>
      <tp t="s">
        <v>#N/A N/A</v>
        <stp/>
        <stp>BDP|11279252969091341602</stp>
        <tr r="H2206" s="2"/>
      </tp>
      <tp t="s">
        <v>#N/A N/A</v>
        <stp/>
        <stp>BDP|16815023609432940671</stp>
        <tr r="E987" s="2"/>
      </tp>
      <tp t="s">
        <v>#N/A N/A</v>
        <stp/>
        <stp>BDP|11228682184638204514</stp>
        <tr r="T977" s="2"/>
      </tp>
      <tp t="s">
        <v>#N/A N/A</v>
        <stp/>
        <stp>BDP|12189350619042932099</stp>
        <tr r="A50" s="2"/>
      </tp>
      <tp t="s">
        <v>#N/A N/A</v>
        <stp/>
        <stp>BDP|17238028353517759799</stp>
        <tr r="D1976" s="2"/>
      </tp>
      <tp t="s">
        <v>#N/A N/A</v>
        <stp/>
        <stp>BDP|14987894854533089890</stp>
        <tr r="F2075" s="2"/>
      </tp>
      <tp t="s">
        <v>#N/A N/A</v>
        <stp/>
        <stp>BDP|16253547176230924643</stp>
        <tr r="G785" s="2"/>
      </tp>
      <tp t="s">
        <v>#N/A N/A</v>
        <stp/>
        <stp>BDP|15336083582228306773</stp>
        <tr r="M1708" s="2"/>
      </tp>
      <tp t="s">
        <v>#N/A N/A</v>
        <stp/>
        <stp>BDP|16304242077936826758</stp>
        <tr r="E768" s="2"/>
      </tp>
      <tp t="s">
        <v>#N/A N/A</v>
        <stp/>
        <stp>BDP|17172440773351940721</stp>
        <tr r="J1929" s="2"/>
      </tp>
      <tp t="s">
        <v>#N/A N/A</v>
        <stp/>
        <stp>BDS|12825435237442543576</stp>
        <tr r="I1980" s="2"/>
      </tp>
      <tp t="s">
        <v>#N/A N/A</v>
        <stp/>
        <stp>BDS|11343090251427581109</stp>
        <tr r="I259" s="2"/>
      </tp>
      <tp t="s">
        <v>#N/A N/A</v>
        <stp/>
        <stp>BDP|10952985405983911808</stp>
        <tr r="F96" s="2"/>
      </tp>
      <tp t="s">
        <v>#N/A N/A</v>
        <stp/>
        <stp>BDP|13090399187213639951</stp>
        <tr r="S972" s="2"/>
      </tp>
      <tp t="s">
        <v>#N/A N/A</v>
        <stp/>
        <stp>BDP|15338798670190680712</stp>
        <tr r="P2015" s="2"/>
      </tp>
      <tp t="s">
        <v>#N/A N/A</v>
        <stp/>
        <stp>BDP|14186838226164121883</stp>
        <tr r="T1758" s="2"/>
      </tp>
      <tp t="s">
        <v>#N/A N/A</v>
        <stp/>
        <stp>BDP|13417281736531631116</stp>
        <tr r="D158" s="2"/>
      </tp>
      <tp t="s">
        <v>#N/A N/A</v>
        <stp/>
        <stp>BDP|12630085861666640043</stp>
        <tr r="H809" s="2"/>
      </tp>
      <tp t="s">
        <v>#N/A N/A</v>
        <stp/>
        <stp>BDP|13461585027996746019</stp>
        <tr r="A703" s="2"/>
      </tp>
      <tp t="s">
        <v>#N/A N/A</v>
        <stp/>
        <stp>BDP|11122713443553726391</stp>
        <tr r="C1507" s="2"/>
      </tp>
      <tp t="s">
        <v>#N/A N/A</v>
        <stp/>
        <stp>BDP|12143445656487658687</stp>
        <tr r="D344" s="2"/>
      </tp>
      <tp t="s">
        <v>#N/A N/A</v>
        <stp/>
        <stp>BDP|13413560145711887129</stp>
        <tr r="R98" s="2"/>
      </tp>
      <tp t="s">
        <v>#N/A N/A</v>
        <stp/>
        <stp>BDP|14811589184732995901</stp>
        <tr r="E644" s="2"/>
      </tp>
      <tp t="s">
        <v>#N/A N/A</v>
        <stp/>
        <stp>BDP|17142784887733504961</stp>
        <tr r="C278" s="2"/>
      </tp>
      <tp t="s">
        <v>#N/A N/A</v>
        <stp/>
        <stp>BDP|16641472966476943030</stp>
        <tr r="R2237" s="2"/>
      </tp>
      <tp t="s">
        <v>#N/A N/A</v>
        <stp/>
        <stp>BDP|17177054818645964185</stp>
        <tr r="C754" s="2"/>
      </tp>
      <tp t="s">
        <v>#N/A N/A</v>
        <stp/>
        <stp>BDP|12270634111172808554</stp>
        <tr r="H1540" s="2"/>
      </tp>
      <tp t="s">
        <v>#N/A N/A</v>
        <stp/>
        <stp>BDP|16473126544681819070</stp>
        <tr r="J180" s="2"/>
      </tp>
      <tp t="s">
        <v>#N/A N/A</v>
        <stp/>
        <stp>BDP|15687139764575901552</stp>
        <tr r="H699" s="2"/>
      </tp>
      <tp t="s">
        <v>#N/A N/A</v>
        <stp/>
        <stp>BDS|15523402238604033433</stp>
        <tr r="I1653" s="2"/>
      </tp>
      <tp t="s">
        <v>#N/A N/A</v>
        <stp/>
        <stp>BDP|17173722970520951570</stp>
        <tr r="F571" s="2"/>
      </tp>
      <tp t="s">
        <v>#N/A N/A</v>
        <stp/>
        <stp>BDP|13818713853227758400</stp>
        <tr r="T622" s="2"/>
      </tp>
      <tp t="s">
        <v>#N/A N/A</v>
        <stp/>
        <stp>BDP|14681044956791984206</stp>
        <tr r="M865" s="2"/>
      </tp>
      <tp t="s">
        <v>#N/A N/A</v>
        <stp/>
        <stp>BDP|15966705527563660155</stp>
        <tr r="N920" s="2"/>
      </tp>
      <tp t="s">
        <v>#N/A N/A</v>
        <stp/>
        <stp>BDP|16200034324754153293</stp>
        <tr r="A805" s="2"/>
      </tp>
      <tp t="s">
        <v>#N/A N/A</v>
        <stp/>
        <stp>BDP|17730352273602554397</stp>
        <tr r="M1836" s="2"/>
      </tp>
      <tp t="s">
        <v>#N/A N/A</v>
        <stp/>
        <stp>BDP|10831477400113619540</stp>
        <tr r="E840" s="2"/>
      </tp>
      <tp t="s">
        <v>#N/A N/A</v>
        <stp/>
        <stp>BDP|11399523336474390193</stp>
        <tr r="S1011" s="2"/>
      </tp>
      <tp t="s">
        <v>#N/A N/A</v>
        <stp/>
        <stp>BDP|16599674144122310489</stp>
        <tr r="Q709" s="2"/>
      </tp>
      <tp t="s">
        <v>#N/A N/A</v>
        <stp/>
        <stp>BDP|15117447098058435241</stp>
        <tr r="H1997" s="2"/>
      </tp>
      <tp t="s">
        <v>#N/A N/A</v>
        <stp/>
        <stp>BDP|11639920189491942397</stp>
        <tr r="P2218" s="2"/>
      </tp>
      <tp t="s">
        <v>#N/A N/A</v>
        <stp/>
        <stp>BDP|17135195815540882590</stp>
        <tr r="J118" s="2"/>
      </tp>
      <tp t="s">
        <v>#N/A N/A</v>
        <stp/>
        <stp>BDP|11974329483499173156</stp>
        <tr r="O951" s="2"/>
      </tp>
      <tp t="s">
        <v>#N/A N/A</v>
        <stp/>
        <stp>BDP|11917038101027331441</stp>
        <tr r="R47" s="2"/>
      </tp>
      <tp t="s">
        <v>#N/A N/A</v>
        <stp/>
        <stp>BDP|16195029845685987535</stp>
        <tr r="D1750" s="2"/>
      </tp>
      <tp t="s">
        <v>#N/A N/A</v>
        <stp/>
        <stp>BDP|15149301738373791425</stp>
        <tr r="O662" s="2"/>
      </tp>
      <tp t="s">
        <v>#N/A N/A</v>
        <stp/>
        <stp>BDS|12792189846812713713</stp>
        <tr r="I1284" s="2"/>
      </tp>
      <tp t="s">
        <v>#N/A N/A</v>
        <stp/>
        <stp>BDP|10927331394000683841</stp>
        <tr r="O1820" s="2"/>
      </tp>
      <tp t="s">
        <v>#N/A N/A</v>
        <stp/>
        <stp>BDP|14567439133299138884</stp>
        <tr r="P1198" s="2"/>
      </tp>
      <tp t="s">
        <v>#N/A N/A</v>
        <stp/>
        <stp>BDP|17416720429948126820</stp>
        <tr r="G737" s="2"/>
      </tp>
      <tp t="s">
        <v>#N/A N/A</v>
        <stp/>
        <stp>BDP|12456882997214453539</stp>
        <tr r="T298" s="2"/>
      </tp>
      <tp t="s">
        <v>#N/A N/A</v>
        <stp/>
        <stp>BDP|16577469215925969438</stp>
        <tr r="C562" s="2"/>
      </tp>
      <tp t="s">
        <v>#N/A N/A</v>
        <stp/>
        <stp>BDP|14294468251223181482</stp>
        <tr r="M1333" s="2"/>
      </tp>
      <tp t="s">
        <v>#N/A N/A</v>
        <stp/>
        <stp>BDP|10144239906433028382</stp>
        <tr r="C2220" s="2"/>
      </tp>
      <tp t="s">
        <v>#N/A N/A</v>
        <stp/>
        <stp>BDP|11663596264968626812</stp>
        <tr r="H210" s="2"/>
      </tp>
      <tp t="s">
        <v>#N/A N/A</v>
        <stp/>
        <stp>BDP|11089437978323042371</stp>
        <tr r="N963" s="2"/>
      </tp>
      <tp t="s">
        <v>#N/A N/A</v>
        <stp/>
        <stp>BDS|12468098900320719054</stp>
        <tr r="I213" s="2"/>
      </tp>
      <tp t="s">
        <v>#N/A N/A</v>
        <stp/>
        <stp>BDP|17882120636026051105</stp>
        <tr r="G1584" s="2"/>
      </tp>
      <tp t="s">
        <v>#N/A N/A</v>
        <stp/>
        <stp>BDP|18403227319350496975</stp>
        <tr r="R1471" s="2"/>
      </tp>
      <tp t="s">
        <v>#N/A N/A</v>
        <stp/>
        <stp>BDP|16299655377585925054</stp>
        <tr r="H1356" s="2"/>
      </tp>
      <tp t="s">
        <v>#N/A N/A</v>
        <stp/>
        <stp>BDP|10648322950970114491</stp>
        <tr r="D1639" s="2"/>
      </tp>
      <tp t="s">
        <v>#N/A N/A</v>
        <stp/>
        <stp>BDP|12781184803057621660</stp>
        <tr r="Q1817" s="2"/>
      </tp>
      <tp t="s">
        <v>#N/A N/A</v>
        <stp/>
        <stp>BDP|15537294064755291667</stp>
        <tr r="P1678" s="2"/>
      </tp>
      <tp t="s">
        <v>#N/A N/A</v>
        <stp/>
        <stp>BDP|16785783822992687374</stp>
        <tr r="N1250" s="2"/>
      </tp>
      <tp t="s">
        <v>#N/A N/A</v>
        <stp/>
        <stp>BDP|10788037555530563781</stp>
        <tr r="R1370" s="2"/>
      </tp>
      <tp t="s">
        <v>#N/A N/A</v>
        <stp/>
        <stp>BDP|12060065461830948622</stp>
        <tr r="C1924" s="2"/>
      </tp>
      <tp t="s">
        <v>#N/A N/A</v>
        <stp/>
        <stp>BDP|12309922894858033894</stp>
        <tr r="J1379" s="2"/>
      </tp>
      <tp t="s">
        <v>#N/A N/A</v>
        <stp/>
        <stp>BDP|17783181860294423674</stp>
        <tr r="C1034" s="2"/>
      </tp>
      <tp t="s">
        <v>#N/A N/A</v>
        <stp/>
        <stp>BDP|18411848785769919303</stp>
        <tr r="D1169" s="2"/>
      </tp>
      <tp t="s">
        <v>#N/A N/A</v>
        <stp/>
        <stp>BDP|11057388402693121375</stp>
        <tr r="R1729" s="2"/>
      </tp>
      <tp t="s">
        <v>#N/A N/A</v>
        <stp/>
        <stp>BDP|14917607902238018879</stp>
        <tr r="K580" s="2"/>
      </tp>
      <tp t="s">
        <v>#N/A N/A</v>
        <stp/>
        <stp>BDP|16044795447215328212</stp>
        <tr r="H146" s="2"/>
      </tp>
      <tp t="s">
        <v>#N/A N/A</v>
        <stp/>
        <stp>BDP|17541614626244659584</stp>
        <tr r="P1038" s="2"/>
      </tp>
      <tp t="s">
        <v>#N/A N/A</v>
        <stp/>
        <stp>BDP|16464376959112668004</stp>
        <tr r="E1738" s="2"/>
      </tp>
      <tp t="s">
        <v>#N/A N/A</v>
        <stp/>
        <stp>BDP|12731150479653220554</stp>
        <tr r="H1149" s="2"/>
      </tp>
      <tp t="s">
        <v>#N/A N/A</v>
        <stp/>
        <stp>BDP|12007783114112734472</stp>
        <tr r="G1163" s="2"/>
      </tp>
      <tp t="s">
        <v>#N/A N/A</v>
        <stp/>
        <stp>BDP|13120034569186030176</stp>
        <tr r="M695" s="2"/>
      </tp>
      <tp t="s">
        <v>#N/A N/A</v>
        <stp/>
        <stp>BDP|11688751059767292646</stp>
        <tr r="Q2044" s="2"/>
      </tp>
      <tp t="s">
        <v>#N/A N/A</v>
        <stp/>
        <stp>BDP|15462019668321058018</stp>
        <tr r="N1780" s="2"/>
      </tp>
      <tp t="s">
        <v>#N/A N/A</v>
        <stp/>
        <stp>BDP|15585221658557058738</stp>
        <tr r="J1889" s="2"/>
      </tp>
      <tp t="s">
        <v>#N/A N/A</v>
        <stp/>
        <stp>BDP|16937218169998567885</stp>
        <tr r="Q1335" s="2"/>
      </tp>
      <tp t="s">
        <v>#N/A N/A</v>
        <stp/>
        <stp>BDP|18093016898967167441</stp>
        <tr r="P1542" s="2"/>
      </tp>
      <tp t="s">
        <v>#N/A N/A</v>
        <stp/>
        <stp>BDP|15333769866372615498</stp>
        <tr r="D1029" s="2"/>
      </tp>
      <tp t="s">
        <v>#N/A N/A</v>
        <stp/>
        <stp>BDP|14627244502307549391</stp>
        <tr r="J700" s="2"/>
      </tp>
      <tp t="s">
        <v>#N/A N/A</v>
        <stp/>
        <stp>BDP|12997538486255553856</stp>
        <tr r="P391" s="2"/>
      </tp>
      <tp t="s">
        <v>#N/A N/A</v>
        <stp/>
        <stp>BDP|11785368802997706789</stp>
        <tr r="R1462" s="2"/>
      </tp>
      <tp t="s">
        <v>#N/A N/A</v>
        <stp/>
        <stp>BDP|15891660335755265758</stp>
        <tr r="S2057" s="2"/>
      </tp>
      <tp t="s">
        <v>#N/A N/A</v>
        <stp/>
        <stp>BDP|16233008054785997432</stp>
        <tr r="G688" s="2"/>
      </tp>
      <tp t="s">
        <v>#N/A N/A</v>
        <stp/>
        <stp>BDS|17465152721340833673</stp>
        <tr r="I1392" s="2"/>
      </tp>
      <tp t="s">
        <v>#N/A N/A</v>
        <stp/>
        <stp>BDP|12820735122631613437</stp>
        <tr r="T1990" s="2"/>
      </tp>
      <tp t="s">
        <v>#N/A N/A</v>
        <stp/>
        <stp>BDP|12101409704704894010</stp>
        <tr r="Q330" s="2"/>
      </tp>
      <tp t="s">
        <v>#N/A N/A</v>
        <stp/>
        <stp>BDP|10681090576602018759</stp>
        <tr r="T2092" s="2"/>
      </tp>
      <tp t="s">
        <v>#N/A N/A</v>
        <stp/>
        <stp>BDS|11150461674402429284</stp>
        <tr r="I803" s="2"/>
      </tp>
      <tp t="s">
        <v>#N/A N/A</v>
        <stp/>
        <stp>BDS|15970651803716707777</stp>
        <tr r="I383" s="2"/>
      </tp>
      <tp t="s">
        <v>#N/A N/A</v>
        <stp/>
        <stp>BDP|16370746299322748850</stp>
        <tr r="H1183" s="2"/>
      </tp>
      <tp t="s">
        <v>#N/A N/A</v>
        <stp/>
        <stp>BDP|17285644678204199031</stp>
        <tr r="F152" s="2"/>
      </tp>
      <tp t="s">
        <v>#N/A N/A</v>
        <stp/>
        <stp>BDP|14935852435835196846</stp>
        <tr r="D109" s="2"/>
      </tp>
      <tp t="s">
        <v>#N/A N/A</v>
        <stp/>
        <stp>BDP|17460190413707223205</stp>
        <tr r="O256" s="2"/>
      </tp>
      <tp t="s">
        <v>#N/A N/A</v>
        <stp/>
        <stp>BDP|17524091057321451133</stp>
        <tr r="F2049" s="2"/>
      </tp>
      <tp t="s">
        <v>#N/A N/A</v>
        <stp/>
        <stp>BDP|17698114742295101589</stp>
        <tr r="O2158" s="2"/>
      </tp>
      <tp t="s">
        <v>#N/A N/A</v>
        <stp/>
        <stp>BDP|12800114055477870382</stp>
        <tr r="D1070" s="2"/>
      </tp>
      <tp t="s">
        <v>#N/A N/A</v>
        <stp/>
        <stp>BDP|12934965602351825892</stp>
        <tr r="D607" s="2"/>
      </tp>
      <tp t="s">
        <v>#N/A N/A</v>
        <stp/>
        <stp>BDP|15685416439983203303</stp>
        <tr r="K1896" s="2"/>
      </tp>
      <tp t="s">
        <v>#N/A N/A</v>
        <stp/>
        <stp>BDP|16938987120246417993</stp>
        <tr r="O1016" s="2"/>
      </tp>
      <tp t="s">
        <v>#N/A N/A</v>
        <stp/>
        <stp>BDP|10832075212431616277</stp>
        <tr r="T280" s="2"/>
      </tp>
      <tp t="s">
        <v>#N/A N/A</v>
        <stp/>
        <stp>BDP|13167204523715715490</stp>
        <tr r="F1303" s="2"/>
      </tp>
      <tp t="s">
        <v>#N/A N/A</v>
        <stp/>
        <stp>BDP|18302421079959141058</stp>
        <tr r="P1769" s="2"/>
      </tp>
      <tp t="s">
        <v>#N/A N/A</v>
        <stp/>
        <stp>BDP|11941258221146016518</stp>
        <tr r="R636" s="2"/>
      </tp>
      <tp t="s">
        <v>#N/A N/A</v>
        <stp/>
        <stp>BDP|15633190015142625504</stp>
        <tr r="E1262" s="2"/>
      </tp>
      <tp t="s">
        <v>#N/A N/A</v>
        <stp/>
        <stp>BDS|13445006720771060288</stp>
        <tr r="I1064" s="2"/>
      </tp>
      <tp t="s">
        <v>#N/A N/A</v>
        <stp/>
        <stp>BDP|16110806382212474689</stp>
        <tr r="M1806" s="2"/>
      </tp>
      <tp t="s">
        <v>#N/A N/A</v>
        <stp/>
        <stp>BDP|17901465508214853509</stp>
        <tr r="J1579" s="2"/>
      </tp>
      <tp t="s">
        <v>#N/A N/A</v>
        <stp/>
        <stp>BDP|12807305717651615369</stp>
        <tr r="J1775" s="2"/>
      </tp>
      <tp t="s">
        <v>#N/A N/A</v>
        <stp/>
        <stp>BDP|12924697449715701719</stp>
        <tr r="E329" s="2"/>
      </tp>
      <tp t="s">
        <v>#N/A N/A</v>
        <stp/>
        <stp>BDP|16972099928397762100</stp>
        <tr r="O957" s="2"/>
      </tp>
      <tp t="s">
        <v>#N/A N/A</v>
        <stp/>
        <stp>BDP|12790764128923470628</stp>
        <tr r="A1193" s="2"/>
      </tp>
      <tp t="s">
        <v>#N/A N/A</v>
        <stp/>
        <stp>BDP|11405596976942555310</stp>
        <tr r="Q909" s="2"/>
      </tp>
      <tp t="s">
        <v>#N/A N/A</v>
        <stp/>
        <stp>BDP|16849106700312433738</stp>
        <tr r="R1872" s="2"/>
      </tp>
      <tp t="s">
        <v>#N/A N/A</v>
        <stp/>
        <stp>BDP|11472136954376492181</stp>
        <tr r="O2072" s="2"/>
      </tp>
      <tp t="s">
        <v>#N/A N/A</v>
        <stp/>
        <stp>BDP|12652147234971154384</stp>
        <tr r="H586" s="2"/>
      </tp>
      <tp t="s">
        <v>#N/A N/A</v>
        <stp/>
        <stp>BDP|14157232596315971829</stp>
        <tr r="M1163" s="2"/>
      </tp>
      <tp t="s">
        <v>#N/A N/A</v>
        <stp/>
        <stp>BDP|15551750215227990637</stp>
        <tr r="P983" s="2"/>
      </tp>
      <tp t="s">
        <v>#N/A N/A</v>
        <stp/>
        <stp>BDP|16042162891105183997</stp>
        <tr r="S1138" s="2"/>
      </tp>
      <tp t="s">
        <v>#N/A N/A</v>
        <stp/>
        <stp>BDP|14659771709770392142</stp>
        <tr r="G1945" s="2"/>
      </tp>
      <tp t="s">
        <v>#N/A N/A</v>
        <stp/>
        <stp>BDP|17813662805255695620</stp>
        <tr r="N1916" s="2"/>
      </tp>
      <tp t="s">
        <v>#N/A N/A</v>
        <stp/>
        <stp>BDP|16749034877234992753</stp>
        <tr r="Q1379" s="2"/>
      </tp>
      <tp t="s">
        <v>#N/A N/A</v>
        <stp/>
        <stp>BDP|10066656358928725953</stp>
        <tr r="K2114" s="2"/>
      </tp>
      <tp t="s">
        <v>#N/A N/A</v>
        <stp/>
        <stp>BDP|15882662941190755571</stp>
        <tr r="T528" s="2"/>
      </tp>
      <tp t="s">
        <v>#N/A N/A</v>
        <stp/>
        <stp>BDP|15862035101103395464</stp>
        <tr r="D1367" s="2"/>
      </tp>
      <tp t="s">
        <v>#N/A N/A</v>
        <stp/>
        <stp>BDP|11186136151150491789</stp>
        <tr r="N1251" s="2"/>
      </tp>
      <tp t="s">
        <v>#N/A N/A</v>
        <stp/>
        <stp>BDP|15904749342083842783</stp>
        <tr r="T389" s="2"/>
      </tp>
      <tp t="s">
        <v>#N/A N/A</v>
        <stp/>
        <stp>BDP|10938776926987161064</stp>
        <tr r="K826" s="2"/>
      </tp>
      <tp t="s">
        <v>#N/A N/A</v>
        <stp/>
        <stp>BDP|10277074790758331399</stp>
        <tr r="T1032" s="2"/>
      </tp>
      <tp t="s">
        <v>#N/A N/A</v>
        <stp/>
        <stp>BDP|17360023069781548228</stp>
        <tr r="T1649" s="2"/>
      </tp>
      <tp t="s">
        <v>#N/A N/A</v>
        <stp/>
        <stp>BDP|10876915487842833194</stp>
        <tr r="S38" s="2"/>
      </tp>
      <tp t="s">
        <v>#N/A N/A</v>
        <stp/>
        <stp>BDP|10892295430527900474</stp>
        <tr r="P1239" s="2"/>
      </tp>
      <tp t="s">
        <v>#N/A N/A</v>
        <stp/>
        <stp>BDP|16787858989962349670</stp>
        <tr r="M1868" s="2"/>
      </tp>
      <tp t="s">
        <v>#N/A N/A</v>
        <stp/>
        <stp>BDP|11074690069561681297</stp>
        <tr r="T627" s="2"/>
      </tp>
      <tp t="s">
        <v>#N/A N/A</v>
        <stp/>
        <stp>BDP|16928670552130082737</stp>
        <tr r="O772" s="2"/>
      </tp>
      <tp t="s">
        <v>#N/A N/A</v>
        <stp/>
        <stp>BDP|11902798308387532324</stp>
        <tr r="D818" s="2"/>
      </tp>
      <tp t="s">
        <v>#N/A N/A</v>
        <stp/>
        <stp>BDP|15165732358290295573</stp>
        <tr r="T120" s="2"/>
      </tp>
      <tp t="s">
        <v>#N/A N/A</v>
        <stp/>
        <stp>BDP|17826479056174367050</stp>
        <tr r="H709" s="2"/>
      </tp>
      <tp t="s">
        <v>#N/A N/A</v>
        <stp/>
        <stp>BDP|10993683979716676519</stp>
        <tr r="T1225" s="2"/>
      </tp>
      <tp t="s">
        <v>#N/A N/A</v>
        <stp/>
        <stp>BDP|14236784445550299528</stp>
        <tr r="J2111" s="2"/>
      </tp>
      <tp t="s">
        <v>#N/A N/A</v>
        <stp/>
        <stp>BDP|11457875308699656220</stp>
        <tr r="D143" s="2"/>
      </tp>
      <tp t="s">
        <v>#N/A N/A</v>
        <stp/>
        <stp>BDP|10027461066467714785</stp>
        <tr r="P1894" s="2"/>
      </tp>
      <tp t="s">
        <v>#N/A N/A</v>
        <stp/>
        <stp>BDP|11595792468917231592</stp>
        <tr r="J1525" s="2"/>
      </tp>
      <tp t="s">
        <v>#N/A N/A</v>
        <stp/>
        <stp>BDP|16343741672621979536</stp>
        <tr r="N1737" s="2"/>
      </tp>
      <tp t="s">
        <v>#N/A N/A</v>
        <stp/>
        <stp>BDP|14289693114376296723</stp>
        <tr r="G757" s="2"/>
      </tp>
      <tp t="s">
        <v>#N/A N/A</v>
        <stp/>
        <stp>BDP|11613844506352858931</stp>
        <tr r="A80" s="2"/>
      </tp>
      <tp t="s">
        <v>#N/A N/A</v>
        <stp/>
        <stp>BDP|13484059282729510095</stp>
        <tr r="M527" s="2"/>
      </tp>
      <tp t="s">
        <v>#N/A N/A</v>
        <stp/>
        <stp>BDP|16848620737509612841</stp>
        <tr r="O997" s="2"/>
      </tp>
      <tp t="s">
        <v>#N/A N/A</v>
        <stp/>
        <stp>BDP|16867490059476248357</stp>
        <tr r="O947" s="2"/>
      </tp>
      <tp t="s">
        <v>#N/A N/A</v>
        <stp/>
        <stp>BDP|11257381954533156605</stp>
        <tr r="H2109" s="2"/>
      </tp>
      <tp t="s">
        <v>#N/A N/A</v>
        <stp/>
        <stp>BDP|18224897311762575104</stp>
        <tr r="E1774" s="2"/>
      </tp>
      <tp t="s">
        <v>#N/A N/A</v>
        <stp/>
        <stp>BDP|14875044407514510216</stp>
        <tr r="P895" s="2"/>
      </tp>
      <tp t="s">
        <v>#N/A N/A</v>
        <stp/>
        <stp>BDS|12223166720094054781</stp>
        <tr r="I1806" s="2"/>
      </tp>
      <tp t="s">
        <v>#N/A N/A</v>
        <stp/>
        <stp>BDP|10450676832106873165</stp>
        <tr r="D1718" s="2"/>
      </tp>
      <tp t="s">
        <v>#N/A N/A</v>
        <stp/>
        <stp>BDP|12187693037985279025</stp>
        <tr r="T1002" s="2"/>
      </tp>
      <tp t="s">
        <v>#N/A N/A</v>
        <stp/>
        <stp>BDP|15960574754673166442</stp>
        <tr r="R1321" s="2"/>
      </tp>
      <tp t="s">
        <v>#N/A N/A</v>
        <stp/>
        <stp>BDP|12169786149587752480</stp>
        <tr r="A963" s="2"/>
      </tp>
      <tp t="s">
        <v>#N/A N/A</v>
        <stp/>
        <stp>BDP|12132328990462515899</stp>
        <tr r="H2256" s="2"/>
      </tp>
      <tp t="s">
        <v>#N/A N/A</v>
        <stp/>
        <stp>BDP|12343645274415938451</stp>
        <tr r="C1242" s="2"/>
      </tp>
      <tp t="s">
        <v>#N/A N/A</v>
        <stp/>
        <stp>BDP|10703720288845461869</stp>
        <tr r="N1926" s="2"/>
      </tp>
      <tp t="s">
        <v>#N/A N/A</v>
        <stp/>
        <stp>BDP|15968559903806461447</stp>
        <tr r="P1289" s="2"/>
      </tp>
      <tp t="s">
        <v>#N/A N/A</v>
        <stp/>
        <stp>BDP|16260434609277333745</stp>
        <tr r="N1624" s="2"/>
      </tp>
      <tp t="s">
        <v>#N/A N/A</v>
        <stp/>
        <stp>BDP|12559323532975237589</stp>
        <tr r="G895" s="2"/>
      </tp>
      <tp t="s">
        <v>#N/A N/A</v>
        <stp/>
        <stp>BDP|13809688041936624586</stp>
        <tr r="Q1789" s="2"/>
      </tp>
      <tp t="s">
        <v>#N/A N/A</v>
        <stp/>
        <stp>BDP|14098140626205864058</stp>
        <tr r="N1097" s="2"/>
      </tp>
      <tp t="s">
        <v>#N/A N/A</v>
        <stp/>
        <stp>BDP|17846689808142400139</stp>
        <tr r="J1897" s="2"/>
      </tp>
      <tp t="s">
        <v>#N/A N/A</v>
        <stp/>
        <stp>BDP|18169992276092015610</stp>
        <tr r="N244" s="2"/>
      </tp>
      <tp t="s">
        <v>#N/A N/A</v>
        <stp/>
        <stp>BDP|15150269300652165799</stp>
        <tr r="J2089" s="2"/>
      </tp>
      <tp t="s">
        <v>#N/A N/A</v>
        <stp/>
        <stp>BDP|15666242649423300275</stp>
        <tr r="F50" s="2"/>
      </tp>
      <tp t="s">
        <v>#N/A N/A</v>
        <stp/>
        <stp>BDP|12999018007515367536</stp>
        <tr r="K1764" s="2"/>
      </tp>
      <tp t="s">
        <v>#N/A N/A</v>
        <stp/>
        <stp>BDP|11765412098149129703</stp>
        <tr r="P34" s="2"/>
      </tp>
      <tp t="s">
        <v>#N/A N/A</v>
        <stp/>
        <stp>BDS|17758594763562233433</stp>
        <tr r="I595" s="2"/>
      </tp>
      <tp t="s">
        <v>#N/A N/A</v>
        <stp/>
        <stp>BDP|10052722168815181643</stp>
        <tr r="T44" s="2"/>
      </tp>
      <tp t="s">
        <v>#N/A N/A</v>
        <stp/>
        <stp>BDP|14258928058752662807</stp>
        <tr r="F2155" s="2"/>
      </tp>
      <tp t="s">
        <v>#N/A N/A</v>
        <stp/>
        <stp>BDP|17491997335447479826</stp>
        <tr r="T1530" s="2"/>
      </tp>
      <tp t="s">
        <v>#N/A N/A</v>
        <stp/>
        <stp>BDP|13385296481392102946</stp>
        <tr r="A1526" s="2"/>
      </tp>
      <tp t="s">
        <v>#N/A N/A</v>
        <stp/>
        <stp>BDP|16743038553141162080</stp>
        <tr r="N1846" s="2"/>
      </tp>
      <tp t="s">
        <v>#N/A N/A</v>
        <stp/>
        <stp>BDP|12786451571826829559</stp>
        <tr r="D1657" s="2"/>
      </tp>
      <tp t="s">
        <v>#N/A N/A</v>
        <stp/>
        <stp>BDP|16391054421244839216</stp>
        <tr r="S1383" s="2"/>
      </tp>
      <tp t="s">
        <v>#N/A N/A</v>
        <stp/>
        <stp>BDP|16200973859929260106</stp>
        <tr r="O1195" s="2"/>
      </tp>
      <tp t="s">
        <v>#N/A N/A</v>
        <stp/>
        <stp>BDP|13806283252142916459</stp>
        <tr r="E1187" s="2"/>
      </tp>
      <tp t="s">
        <v>#N/A N/A</v>
        <stp/>
        <stp>BDP|12087196701302141373</stp>
        <tr r="C1625" s="2"/>
      </tp>
      <tp t="s">
        <v>#N/A N/A</v>
        <stp/>
        <stp>BDP|10867439102925589327</stp>
        <tr r="O1803" s="2"/>
      </tp>
      <tp t="s">
        <v>#N/A N/A</v>
        <stp/>
        <stp>BDP|10050388092658029040</stp>
        <tr r="M854" s="2"/>
      </tp>
      <tp t="s">
        <v>#N/A N/A</v>
        <stp/>
        <stp>BDP|12977308716771639372</stp>
        <tr r="F1078" s="2"/>
      </tp>
      <tp t="s">
        <v>#N/A N/A</v>
        <stp/>
        <stp>BDP|10848476629972160694</stp>
        <tr r="R1700" s="2"/>
      </tp>
      <tp t="s">
        <v>#N/A N/A</v>
        <stp/>
        <stp>BDP|11067080048267648089</stp>
        <tr r="C410" s="2"/>
      </tp>
      <tp t="s">
        <v>#N/A N/A</v>
        <stp/>
        <stp>BDP|13092638518987525103</stp>
        <tr r="H1554" s="2"/>
      </tp>
      <tp t="s">
        <v>#N/A N/A</v>
        <stp/>
        <stp>BDP|11687247759655400110</stp>
        <tr r="D1171" s="2"/>
      </tp>
      <tp t="s">
        <v>#N/A N/A</v>
        <stp/>
        <stp>BDP|17096346590356272982</stp>
        <tr r="N1783" s="2"/>
      </tp>
      <tp t="s">
        <v>#N/A N/A</v>
        <stp/>
        <stp>BDP|10077579590558011693</stp>
        <tr r="F2072" s="2"/>
      </tp>
      <tp t="s">
        <v>#N/A N/A</v>
        <stp/>
        <stp>BDP|14904212616900234521</stp>
        <tr r="O2194" s="2"/>
      </tp>
      <tp t="s">
        <v>#N/A N/A</v>
        <stp/>
        <stp>BDP|15034291633827122151</stp>
        <tr r="K92" s="2"/>
      </tp>
      <tp t="s">
        <v>#N/A N/A</v>
        <stp/>
        <stp>BDP|10188092010134325751</stp>
        <tr r="Q1263" s="2"/>
      </tp>
      <tp t="s">
        <v>#N/A N/A</v>
        <stp/>
        <stp>BDP|13980456073126467451</stp>
        <tr r="G2009" s="2"/>
      </tp>
      <tp t="s">
        <v>#N/A N/A</v>
        <stp/>
        <stp>BDP|12706388632414310405</stp>
        <tr r="D1792" s="2"/>
      </tp>
      <tp t="s">
        <v>#N/A N/A</v>
        <stp/>
        <stp>BDP|16917739625578764963</stp>
        <tr r="E1795" s="2"/>
      </tp>
      <tp t="s">
        <v>#N/A N/A</v>
        <stp/>
        <stp>BDP|14691183715392256473</stp>
        <tr r="A2154" s="2"/>
      </tp>
      <tp t="s">
        <v>#N/A N/A</v>
        <stp/>
        <stp>BDP|10574208594289942066</stp>
        <tr r="H519" s="2"/>
      </tp>
      <tp t="s">
        <v>#N/A N/A</v>
        <stp/>
        <stp>BDP|17445125953100296196</stp>
        <tr r="H1176" s="2"/>
      </tp>
      <tp t="s">
        <v>#N/A N/A</v>
        <stp/>
        <stp>BDP|15934862356449635319</stp>
        <tr r="M1712" s="2"/>
      </tp>
      <tp t="s">
        <v>#N/A N/A</v>
        <stp/>
        <stp>BDS|15702985437525282877</stp>
        <tr r="I119" s="2"/>
      </tp>
      <tp t="s">
        <v>#N/A N/A</v>
        <stp/>
        <stp>BDP|13903911450525237848</stp>
        <tr r="G732" s="2"/>
      </tp>
      <tp t="s">
        <v>#N/A N/A</v>
        <stp/>
        <stp>BDP|18168788445051524872</stp>
        <tr r="K755" s="2"/>
      </tp>
      <tp t="s">
        <v>#N/A N/A</v>
        <stp/>
        <stp>BDP|17539138647757733781</stp>
        <tr r="H552" s="2"/>
      </tp>
      <tp t="s">
        <v>#N/A N/A</v>
        <stp/>
        <stp>BDP|10838371205853165252</stp>
        <tr r="Q2078" s="2"/>
      </tp>
      <tp t="s">
        <v>#N/A N/A</v>
        <stp/>
        <stp>BDP|12861544091974051830</stp>
        <tr r="J9" s="2"/>
      </tp>
      <tp t="s">
        <v>#N/A N/A</v>
        <stp/>
        <stp>BDP|12895788772006585697</stp>
        <tr r="J1426" s="2"/>
      </tp>
      <tp t="s">
        <v>#N/A N/A</v>
        <stp/>
        <stp>BDS|16888444983591144930</stp>
        <tr r="I1638" s="2"/>
      </tp>
      <tp t="s">
        <v>#N/A N/A</v>
        <stp/>
        <stp>BDP|12678491124271381761</stp>
        <tr r="P163" s="2"/>
      </tp>
      <tp t="s">
        <v>#N/A N/A</v>
        <stp/>
        <stp>BDP|15853905932509510419</stp>
        <tr r="E1950" s="2"/>
      </tp>
      <tp t="s">
        <v>#N/A N/A</v>
        <stp/>
        <stp>BDP|16481430722481268397</stp>
        <tr r="T1371" s="2"/>
      </tp>
      <tp t="s">
        <v>#N/A N/A</v>
        <stp/>
        <stp>BDP|12612281762016389214</stp>
        <tr r="O597" s="2"/>
      </tp>
      <tp t="s">
        <v>#N/A N/A</v>
        <stp/>
        <stp>BDP|17665317289789025708</stp>
        <tr r="J1688" s="2"/>
      </tp>
      <tp t="s">
        <v>#N/A N/A</v>
        <stp/>
        <stp>BDP|16896611505216045422</stp>
        <tr r="O364" s="2"/>
      </tp>
      <tp t="s">
        <v>#N/A N/A</v>
        <stp/>
        <stp>BDP|15336843803988906735</stp>
        <tr r="Q631" s="2"/>
      </tp>
      <tp t="s">
        <v>#N/A N/A</v>
        <stp/>
        <stp>BDP|17290747974991520499</stp>
        <tr r="F559" s="2"/>
      </tp>
      <tp t="s">
        <v>#N/A N/A</v>
        <stp/>
        <stp>BDP|11211647127097655090</stp>
        <tr r="J904" s="2"/>
      </tp>
      <tp t="s">
        <v>#N/A N/A</v>
        <stp/>
        <stp>BDS|14886865080243049538</stp>
        <tr r="I601" s="2"/>
      </tp>
      <tp t="s">
        <v>#N/A N/A</v>
        <stp/>
        <stp>BDP|14237380231411732727</stp>
        <tr r="R1387" s="2"/>
      </tp>
      <tp t="s">
        <v>#N/A N/A</v>
        <stp/>
        <stp>BDP|14018166547525922662</stp>
        <tr r="D2118" s="2"/>
      </tp>
      <tp t="s">
        <v>#N/A N/A</v>
        <stp/>
        <stp>BDP|12551417537664578381</stp>
        <tr r="C813" s="2"/>
      </tp>
      <tp t="s">
        <v>#N/A N/A</v>
        <stp/>
        <stp>BDP|13990673302331136638</stp>
        <tr r="O1319" s="2"/>
      </tp>
      <tp t="s">
        <v>#N/A N/A</v>
        <stp/>
        <stp>BDP|17981349008346334083</stp>
        <tr r="R881" s="2"/>
      </tp>
      <tp t="s">
        <v>#N/A N/A</v>
        <stp/>
        <stp>BDP|11890570179374005588</stp>
        <tr r="F1290" s="2"/>
      </tp>
      <tp t="s">
        <v>#N/A N/A</v>
        <stp/>
        <stp>BDP|14841238494154749968</stp>
        <tr r="P1671" s="2"/>
      </tp>
      <tp t="s">
        <v>#N/A N/A</v>
        <stp/>
        <stp>BDP|12714268100955880779</stp>
        <tr r="Q1194" s="2"/>
      </tp>
      <tp t="s">
        <v>#N/A N/A</v>
        <stp/>
        <stp>BDP|18383908717365822720</stp>
        <tr r="E1669" s="2"/>
      </tp>
      <tp t="s">
        <v>#N/A N/A</v>
        <stp/>
        <stp>BDP|15940151662120306035</stp>
        <tr r="A542" s="2"/>
      </tp>
      <tp t="s">
        <v>#N/A N/A</v>
        <stp/>
        <stp>BDP|17925444437197414506</stp>
        <tr r="N1413" s="2"/>
      </tp>
      <tp t="s">
        <v>#N/A N/A</v>
        <stp/>
        <stp>BDP|15026937482750829670</stp>
        <tr r="T1981" s="2"/>
      </tp>
      <tp t="s">
        <v>#N/A N/A</v>
        <stp/>
        <stp>BDS|14910272546916382662</stp>
        <tr r="I1926" s="2"/>
      </tp>
      <tp t="s">
        <v>#N/A N/A</v>
        <stp/>
        <stp>BDP|17142277474203534392</stp>
        <tr r="Q1095" s="2"/>
      </tp>
      <tp t="s">
        <v>#N/A N/A</v>
        <stp/>
        <stp>BDP|11378020359263655507</stp>
        <tr r="H1742" s="2"/>
      </tp>
      <tp t="s">
        <v>#N/A N/A</v>
        <stp/>
        <stp>BDP|12092026404422198294</stp>
        <tr r="T990" s="2"/>
      </tp>
      <tp t="s">
        <v>#N/A N/A</v>
        <stp/>
        <stp>BDP|17220372323563850706</stp>
        <tr r="T1941" s="2"/>
      </tp>
      <tp t="s">
        <v>#N/A N/A</v>
        <stp/>
        <stp>BDP|10897803230818267142</stp>
        <tr r="J731" s="2"/>
      </tp>
      <tp t="s">
        <v>#N/A N/A</v>
        <stp/>
        <stp>BDS|17442448659142295661</stp>
        <tr r="I681" s="2"/>
      </tp>
      <tp t="s">
        <v>#N/A N/A</v>
        <stp/>
        <stp>BDP|10415389102164046508</stp>
        <tr r="N1298" s="2"/>
      </tp>
      <tp t="s">
        <v>#N/A N/A</v>
        <stp/>
        <stp>BDP|16282487140862241666</stp>
        <tr r="R510" s="2"/>
      </tp>
      <tp t="s">
        <v>#N/A N/A</v>
        <stp/>
        <stp>BDP|10801825872474139977</stp>
        <tr r="R268" s="2"/>
      </tp>
      <tp t="s">
        <v>#N/A N/A</v>
        <stp/>
        <stp>BDP|18114343598339645950</stp>
        <tr r="N720" s="2"/>
      </tp>
      <tp t="s">
        <v>#N/A N/A</v>
        <stp/>
        <stp>BDP|12465916683732031381</stp>
        <tr r="H1808" s="2"/>
      </tp>
      <tp t="s">
        <v>#N/A N/A</v>
        <stp/>
        <stp>BDP|11809229810855179552</stp>
        <tr r="E90" s="2"/>
      </tp>
      <tp t="s">
        <v>#N/A N/A</v>
        <stp/>
        <stp>BDP|13252516566111959323</stp>
        <tr r="D1209" s="2"/>
      </tp>
      <tp t="s">
        <v>#N/A N/A</v>
        <stp/>
        <stp>BDP|14218949503768920729</stp>
        <tr r="S560" s="2"/>
      </tp>
      <tp t="s">
        <v>#N/A N/A</v>
        <stp/>
        <stp>BDP|13739785325883283762</stp>
        <tr r="R438" s="2"/>
      </tp>
      <tp t="s">
        <v>#N/A N/A</v>
        <stp/>
        <stp>BDP|12353546723693071459</stp>
        <tr r="C1206" s="2"/>
      </tp>
      <tp t="s">
        <v>#N/A N/A</v>
        <stp/>
        <stp>BDP|15021152646226483461</stp>
        <tr r="T715" s="2"/>
      </tp>
      <tp t="s">
        <v>#N/A N/A</v>
        <stp/>
        <stp>BDP|16869967053498466088</stp>
        <tr r="R328" s="2"/>
      </tp>
      <tp t="s">
        <v>#N/A N/A</v>
        <stp/>
        <stp>BDP|13209490614580666488</stp>
        <tr r="F1529" s="2"/>
      </tp>
      <tp t="s">
        <v>#N/A N/A</v>
        <stp/>
        <stp>BDP|15706402607864026713</stp>
        <tr r="G1147" s="2"/>
      </tp>
      <tp t="s">
        <v>#N/A N/A</v>
        <stp/>
        <stp>BDP|12988337362797011292</stp>
        <tr r="K1329" s="2"/>
      </tp>
      <tp t="s">
        <v>#N/A N/A</v>
        <stp/>
        <stp>BDP|15777605876990175617</stp>
        <tr r="G847" s="2"/>
      </tp>
      <tp t="s">
        <v>#N/A N/A</v>
        <stp/>
        <stp>BDP|17291334541764491658</stp>
        <tr r="D2122" s="2"/>
      </tp>
      <tp t="s">
        <v>#N/A N/A</v>
        <stp/>
        <stp>BDP|16321281124925660187</stp>
        <tr r="R1493" s="2"/>
      </tp>
      <tp t="s">
        <v>#N/A N/A</v>
        <stp/>
        <stp>BDS|15237620547193397661</stp>
        <tr r="I2081" s="2"/>
      </tp>
      <tp t="s">
        <v>#N/A N/A</v>
        <stp/>
        <stp>BDP|12442650134311288465</stp>
        <tr r="C375" s="2"/>
      </tp>
      <tp t="s">
        <v>#N/A N/A</v>
        <stp/>
        <stp>BDP|11466907497812625141</stp>
        <tr r="O2107" s="2"/>
      </tp>
      <tp t="s">
        <v>#N/A N/A</v>
        <stp/>
        <stp>BDP|11645447456346693433</stp>
        <tr r="P201" s="2"/>
      </tp>
      <tp t="s">
        <v>#N/A N/A</v>
        <stp/>
        <stp>BDP|16922983496446184277</stp>
        <tr r="C1399" s="2"/>
      </tp>
      <tp t="s">
        <v>#N/A N/A</v>
        <stp/>
        <stp>BDP|10225615104575312159</stp>
        <tr r="K1901" s="2"/>
      </tp>
      <tp t="s">
        <v>#N/A N/A</v>
        <stp/>
        <stp>BDP|16647238482676785818</stp>
        <tr r="T149" s="2"/>
      </tp>
      <tp t="s">
        <v>#N/A N/A</v>
        <stp/>
        <stp>BDP|10307116856780734628</stp>
        <tr r="G1154" s="2"/>
      </tp>
      <tp t="s">
        <v>#N/A N/A</v>
        <stp/>
        <stp>BDP|10786818463538662429</stp>
        <tr r="E656" s="2"/>
      </tp>
      <tp t="s">
        <v>#N/A N/A</v>
        <stp/>
        <stp>BDP|17951644348912110553</stp>
        <tr r="D458" s="2"/>
      </tp>
      <tp t="s">
        <v>#N/A N/A</v>
        <stp/>
        <stp>BDP|12657000817808670963</stp>
        <tr r="H1630" s="2"/>
      </tp>
      <tp t="s">
        <v>#N/A N/A</v>
        <stp/>
        <stp>BDP|16544428138136801564</stp>
        <tr r="M2219" s="2"/>
      </tp>
      <tp t="s">
        <v>#N/A N/A</v>
        <stp/>
        <stp>BDP|18166479860798520023</stp>
        <tr r="M1045" s="2"/>
      </tp>
      <tp t="s">
        <v>#N/A N/A</v>
        <stp/>
        <stp>BDP|12968789425160559502</stp>
        <tr r="F466" s="2"/>
      </tp>
      <tp t="s">
        <v>#N/A N/A</v>
        <stp/>
        <stp>BDP|18283129254909582709</stp>
        <tr r="M1270" s="2"/>
      </tp>
      <tp t="s">
        <v>#N/A N/A</v>
        <stp/>
        <stp>BDP|13496535853123113244</stp>
        <tr r="K1780" s="2"/>
      </tp>
      <tp t="s">
        <v>#N/A N/A</v>
        <stp/>
        <stp>BDP|13180264459070648690</stp>
        <tr r="D266" s="2"/>
      </tp>
      <tp t="s">
        <v>#N/A N/A</v>
        <stp/>
        <stp>BDP|17306533355617251268</stp>
        <tr r="N648" s="2"/>
      </tp>
      <tp t="s">
        <v>#N/A N/A</v>
        <stp/>
        <stp>BDP|17364739301511642366</stp>
        <tr r="A2035" s="2"/>
      </tp>
      <tp t="s">
        <v>#N/A N/A</v>
        <stp/>
        <stp>BDS|11330399818552779370</stp>
        <tr r="I799" s="2"/>
      </tp>
      <tp t="s">
        <v>#N/A N/A</v>
        <stp/>
        <stp>BDP|10298441931804706118</stp>
        <tr r="S1560" s="2"/>
      </tp>
      <tp t="s">
        <v>#N/A N/A</v>
        <stp/>
        <stp>BDP|18167218670326612974</stp>
        <tr r="E1673" s="2"/>
      </tp>
      <tp t="s">
        <v>#N/A N/A</v>
        <stp/>
        <stp>BDP|12674240642976736065</stp>
        <tr r="E1694" s="2"/>
      </tp>
      <tp t="s">
        <v>#N/A N/A</v>
        <stp/>
        <stp>BDP|18401425615276763959</stp>
        <tr r="Q566" s="2"/>
      </tp>
      <tp t="s">
        <v>#N/A N/A</v>
        <stp/>
        <stp>BDP|11612632770780491202</stp>
        <tr r="H1956" s="2"/>
      </tp>
      <tp t="s">
        <v>#N/A N/A</v>
        <stp/>
        <stp>BDP|15053835151698597260</stp>
        <tr r="G1186" s="2"/>
      </tp>
      <tp t="s">
        <v>#N/A N/A</v>
        <stp/>
        <stp>BDP|12093006932534760743</stp>
        <tr r="C101" s="2"/>
      </tp>
      <tp t="s">
        <v>#N/A N/A</v>
        <stp/>
        <stp>BDP|16058367171603422329</stp>
        <tr r="F1129" s="2"/>
      </tp>
      <tp t="s">
        <v>#N/A N/A</v>
        <stp/>
        <stp>BDP|17161737191722707959</stp>
        <tr r="H1245" s="2"/>
      </tp>
      <tp t="s">
        <v>#N/A N/A</v>
        <stp/>
        <stp>BDP|11366734876780531329</stp>
        <tr r="M1415" s="2"/>
      </tp>
      <tp t="s">
        <v>#N/A N/A</v>
        <stp/>
        <stp>BDP|15985763064751336790</stp>
        <tr r="J1168" s="2"/>
      </tp>
      <tp t="s">
        <v>#N/A N/A</v>
        <stp/>
        <stp>BDP|15160314671871741271</stp>
        <tr r="D1536" s="2"/>
      </tp>
      <tp t="s">
        <v>#N/A N/A</v>
        <stp/>
        <stp>BDS|13861838495626945653</stp>
        <tr r="I19" s="2"/>
      </tp>
      <tp t="s">
        <v>#N/A N/A</v>
        <stp/>
        <stp>BDP|11463123153780144758</stp>
        <tr r="M1553" s="2"/>
      </tp>
      <tp t="s">
        <v>#N/A N/A</v>
        <stp/>
        <stp>BDP|13832919339093753861</stp>
        <tr r="D295" s="2"/>
      </tp>
      <tp t="s">
        <v>#N/A N/A</v>
        <stp/>
        <stp>BDP|14591718951271759538</stp>
        <tr r="R1749" s="2"/>
      </tp>
      <tp t="s">
        <v>#N/A N/A</v>
        <stp/>
        <stp>BDP|14191497627014709493</stp>
        <tr r="M944" s="2"/>
      </tp>
      <tp t="s">
        <v>#N/A N/A</v>
        <stp/>
        <stp>BDP|17162409857474263050</stp>
        <tr r="P659" s="2"/>
      </tp>
      <tp t="s">
        <v>#N/A N/A</v>
        <stp/>
        <stp>BDP|10439058413201655251</stp>
        <tr r="C2246" s="2"/>
      </tp>
      <tp t="s">
        <v>#N/A N/A</v>
        <stp/>
        <stp>BDP|14658167987826615906</stp>
        <tr r="E113" s="2"/>
      </tp>
      <tp t="s">
        <v>#N/A N/A</v>
        <stp/>
        <stp>BDS|11454233536503577169</stp>
        <tr r="I148" s="2"/>
      </tp>
      <tp t="s">
        <v>#N/A N/A</v>
        <stp/>
        <stp>BDP|10436151552836600047</stp>
        <tr r="K1221" s="2"/>
      </tp>
      <tp t="s">
        <v>#N/A N/A</v>
        <stp/>
        <stp>BDP|15679537132518689900</stp>
        <tr r="M1498" s="2"/>
      </tp>
      <tp t="s">
        <v>#N/A N/A</v>
        <stp/>
        <stp>BDP|16194336090119748746</stp>
        <tr r="M624" s="2"/>
      </tp>
      <tp t="s">
        <v>#N/A N/A</v>
        <stp/>
        <stp>BDP|11493514773093697218</stp>
        <tr r="M961" s="2"/>
      </tp>
      <tp t="s">
        <v>#N/A N/A</v>
        <stp/>
        <stp>BDP|11561714325317149119</stp>
        <tr r="T160" s="2"/>
      </tp>
      <tp t="s">
        <v>#N/A N/A</v>
        <stp/>
        <stp>BDS|10502708015103067723</stp>
        <tr r="I1704" s="2"/>
      </tp>
      <tp t="s">
        <v>#N/A N/A</v>
        <stp/>
        <stp>BDP|11306186358913240407</stp>
        <tr r="C1173" s="2"/>
      </tp>
      <tp t="s">
        <v>#N/A N/A</v>
        <stp/>
        <stp>BDP|13317674798976511881</stp>
        <tr r="G281" s="2"/>
      </tp>
      <tp t="s">
        <v>#N/A N/A</v>
        <stp/>
        <stp>BDP|13790966587738147860</stp>
        <tr r="F1227" s="2"/>
      </tp>
      <tp t="s">
        <v>#N/A N/A</v>
        <stp/>
        <stp>BDP|17817477729777428430</stp>
        <tr r="Q49" s="2"/>
      </tp>
      <tp t="s">
        <v>#N/A N/A</v>
        <stp/>
        <stp>BDP|12313463666061476366</stp>
        <tr r="A838" s="2"/>
      </tp>
      <tp t="s">
        <v>#N/A N/A</v>
        <stp/>
        <stp>BDP|17210410394110156876</stp>
        <tr r="Q250" s="2"/>
      </tp>
      <tp t="s">
        <v>#N/A N/A</v>
        <stp/>
        <stp>BDS|14790209740826424619</stp>
        <tr r="I1510" s="2"/>
      </tp>
      <tp t="s">
        <v>#N/A N/A</v>
        <stp/>
        <stp>BDP|10627592931945889172</stp>
        <tr r="R1296" s="2"/>
      </tp>
      <tp t="s">
        <v>#N/A N/A</v>
        <stp/>
        <stp>BDP|17130281943031824232</stp>
        <tr r="N174" s="2"/>
      </tp>
      <tp t="s">
        <v>#N/A N/A</v>
        <stp/>
        <stp>BDP|13027531975624257752</stp>
        <tr r="E1040" s="2"/>
      </tp>
      <tp t="s">
        <v>#N/A N/A</v>
        <stp/>
        <stp>BDS|16400665910145977691</stp>
        <tr r="I534" s="2"/>
      </tp>
      <tp t="s">
        <v>#N/A N/A</v>
        <stp/>
        <stp>BDP|11914603623456257191</stp>
        <tr r="H340" s="2"/>
      </tp>
      <tp t="s">
        <v>#N/A N/A</v>
        <stp/>
        <stp>BDP|18172771366382213935</stp>
        <tr r="P1212" s="2"/>
      </tp>
      <tp t="s">
        <v>#N/A N/A</v>
        <stp/>
        <stp>BDP|14210496157516414192</stp>
        <tr r="D665" s="2"/>
      </tp>
      <tp t="s">
        <v>#N/A N/A</v>
        <stp/>
        <stp>BDS|15431695300826997766</stp>
        <tr r="I1831" s="2"/>
      </tp>
      <tp t="s">
        <v>#N/A N/A</v>
        <stp/>
        <stp>BDP|16510426545236140220</stp>
        <tr r="F1461" s="2"/>
      </tp>
      <tp t="s">
        <v>#N/A N/A</v>
        <stp/>
        <stp>BDP|10632482350391768285</stp>
        <tr r="R879" s="2"/>
      </tp>
      <tp t="s">
        <v>#N/A N/A</v>
        <stp/>
        <stp>BDP|13824753813666871170</stp>
        <tr r="K557" s="2"/>
      </tp>
      <tp t="s">
        <v>#N/A N/A</v>
        <stp/>
        <stp>BDP|15410737886669845184</stp>
        <tr r="H1315" s="2"/>
      </tp>
      <tp t="s">
        <v>#N/A N/A</v>
        <stp/>
        <stp>BDP|12147323106015464601</stp>
        <tr r="H60" s="2"/>
      </tp>
      <tp t="s">
        <v>#N/A N/A</v>
        <stp/>
        <stp>BDP|11305740951122623314</stp>
        <tr r="Q1200" s="2"/>
      </tp>
      <tp t="s">
        <v>#N/A N/A</v>
        <stp/>
        <stp>BDP|11200631241768928983</stp>
        <tr r="A1139" s="2"/>
      </tp>
      <tp t="s">
        <v>#N/A N/A</v>
        <stp/>
        <stp>BDP|13555910104128800093</stp>
        <tr r="K922" s="2"/>
      </tp>
      <tp t="s">
        <v>#N/A N/A</v>
        <stp/>
        <stp>BDP|15610630512136767611</stp>
        <tr r="T1097" s="2"/>
      </tp>
      <tp t="s">
        <v>#N/A N/A</v>
        <stp/>
        <stp>BDP|11915474495756977832</stp>
        <tr r="A826" s="2"/>
      </tp>
      <tp t="s">
        <v>#N/A N/A</v>
        <stp/>
        <stp>BDP|17474164334565473236</stp>
        <tr r="C488" s="2"/>
      </tp>
      <tp t="s">
        <v>#N/A N/A</v>
        <stp/>
        <stp>BDP|18320504926945118858</stp>
        <tr r="E953" s="2"/>
      </tp>
      <tp t="s">
        <v>#N/A N/A</v>
        <stp/>
        <stp>BDP|11238063342313339446</stp>
        <tr r="E1274" s="2"/>
      </tp>
      <tp t="s">
        <v>#N/A N/A</v>
        <stp/>
        <stp>BDP|11334474525057176216</stp>
        <tr r="S2019" s="2"/>
      </tp>
      <tp t="s">
        <v>#N/A N/A</v>
        <stp/>
        <stp>BDP|14820051378493158254</stp>
        <tr r="S135" s="2"/>
      </tp>
      <tp t="s">
        <v>#N/A N/A</v>
        <stp/>
        <stp>BDP|11044327902509757966</stp>
        <tr r="H905" s="2"/>
      </tp>
      <tp t="s">
        <v>#N/A N/A</v>
        <stp/>
        <stp>BDP|16582410524424381621</stp>
        <tr r="S92" s="2"/>
      </tp>
      <tp t="s">
        <v>#N/A N/A</v>
        <stp/>
        <stp>BDS|15401704824381546376</stp>
        <tr r="I1763" s="2"/>
      </tp>
      <tp t="s">
        <v>#N/A N/A</v>
        <stp/>
        <stp>BDP|16871204358321776262</stp>
        <tr r="H2021" s="2"/>
      </tp>
      <tp t="s">
        <v>#N/A N/A</v>
        <stp/>
        <stp>BDP|18414981606021226297</stp>
        <tr r="H1569" s="2"/>
      </tp>
      <tp t="s">
        <v>#N/A N/A</v>
        <stp/>
        <stp>BDP|13035575235424276310</stp>
        <tr r="O492" s="2"/>
      </tp>
      <tp t="s">
        <v>#N/A N/A</v>
        <stp/>
        <stp>BDP|14901515708037729463</stp>
        <tr r="S1205" s="2"/>
      </tp>
      <tp t="s">
        <v>#N/A N/A</v>
        <stp/>
        <stp>BDP|14313000401510052635</stp>
        <tr r="S29" s="2"/>
      </tp>
      <tp t="s">
        <v>#N/A N/A</v>
        <stp/>
        <stp>BDP|16521113334821051718</stp>
        <tr r="T441" s="2"/>
      </tp>
      <tp t="s">
        <v>#N/A N/A</v>
        <stp/>
        <stp>BDP|14256069579954874546</stp>
        <tr r="E1896" s="2"/>
      </tp>
      <tp t="s">
        <v>#N/A N/A</v>
        <stp/>
        <stp>BDP|11164071029896671793</stp>
        <tr r="Q194" s="2"/>
      </tp>
      <tp t="s">
        <v>#N/A N/A</v>
        <stp/>
        <stp>BDP|11465000737178449878</stp>
        <tr r="K329" s="2"/>
      </tp>
      <tp t="s">
        <v>#N/A N/A</v>
        <stp/>
        <stp>BDP|15296919862961454957</stp>
        <tr r="J2029" s="2"/>
      </tp>
      <tp t="s">
        <v>#N/A N/A</v>
        <stp/>
        <stp>BDP|17159480123924202787</stp>
        <tr r="N378" s="2"/>
      </tp>
      <tp t="s">
        <v>#N/A N/A</v>
        <stp/>
        <stp>BDP|14663709520137570432</stp>
        <tr r="T938" s="2"/>
      </tp>
      <tp t="s">
        <v>#N/A N/A</v>
        <stp/>
        <stp>BDP|13086913794107145645</stp>
        <tr r="J715" s="2"/>
      </tp>
      <tp t="s">
        <v>#N/A N/A</v>
        <stp/>
        <stp>BDP|16339433601221099110</stp>
        <tr r="R1323" s="2"/>
      </tp>
      <tp t="s">
        <v>#N/A N/A</v>
        <stp/>
        <stp>BDP|14699384840798849965</stp>
        <tr r="O1282" s="2"/>
      </tp>
      <tp t="s">
        <v>#N/A N/A</v>
        <stp/>
        <stp>BDP|11717735539226899155</stp>
        <tr r="M1533" s="2"/>
      </tp>
      <tp t="s">
        <v>#N/A N/A</v>
        <stp/>
        <stp>BDS|17057253854150542279</stp>
        <tr r="I760" s="2"/>
      </tp>
      <tp t="s">
        <v>#N/A N/A</v>
        <stp/>
        <stp>BDP|15644439824012827395</stp>
        <tr r="M1093" s="2"/>
      </tp>
      <tp t="s">
        <v>#N/A N/A</v>
        <stp/>
        <stp>BDP|11212373674266096113</stp>
        <tr r="T1000" s="2"/>
      </tp>
      <tp t="s">
        <v>#N/A N/A</v>
        <stp/>
        <stp>BDP|13692477717315645103</stp>
        <tr r="S1081" s="2"/>
      </tp>
      <tp t="s">
        <v>#N/A N/A</v>
        <stp/>
        <stp>BDP|16803318324360439591</stp>
        <tr r="C1777" s="2"/>
      </tp>
      <tp t="s">
        <v>#N/A N/A</v>
        <stp/>
        <stp>BDP|13024234942921779661</stp>
        <tr r="E1428" s="2"/>
      </tp>
      <tp t="s">
        <v>#N/A N/A</v>
        <stp/>
        <stp>BDP|11089867916278274223</stp>
        <tr r="M1502" s="2"/>
      </tp>
      <tp t="s">
        <v>#N/A N/A</v>
        <stp/>
        <stp>BDP|10088135416543764126</stp>
        <tr r="G2248" s="2"/>
      </tp>
      <tp t="s">
        <v>#N/A N/A</v>
        <stp/>
        <stp>BDP|14045788195909958148</stp>
        <tr r="R1655" s="2"/>
      </tp>
      <tp t="s">
        <v>#N/A N/A</v>
        <stp/>
        <stp>BDS|10042942995010162238</stp>
        <tr r="I692" s="2"/>
      </tp>
      <tp t="s">
        <v>#N/A N/A</v>
        <stp/>
        <stp>BDP|17989604418087550541</stp>
        <tr r="F1625" s="2"/>
      </tp>
      <tp t="s">
        <v>#N/A N/A</v>
        <stp/>
        <stp>BDP|12278306459634293291</stp>
        <tr r="M832" s="2"/>
      </tp>
      <tp t="s">
        <v>#N/A N/A</v>
        <stp/>
        <stp>BDP|15293464511752407015</stp>
        <tr r="F954" s="2"/>
      </tp>
      <tp t="s">
        <v>#N/A N/A</v>
        <stp/>
        <stp>BDP|10050865093863005057</stp>
        <tr r="Q539" s="2"/>
      </tp>
      <tp t="s">
        <v>#N/A N/A</v>
        <stp/>
        <stp>BDP|14582137576782761270</stp>
        <tr r="A1249" s="2"/>
      </tp>
      <tp t="s">
        <v>#N/A N/A</v>
        <stp/>
        <stp>BDP|10581447805451636726</stp>
        <tr r="C1659" s="2"/>
      </tp>
      <tp t="s">
        <v>#N/A N/A</v>
        <stp/>
        <stp>BDP|17514584882789890175</stp>
        <tr r="O181" s="2"/>
      </tp>
      <tp t="s">
        <v>#N/A N/A</v>
        <stp/>
        <stp>BDP|14419452681912429846</stp>
        <tr r="J1317" s="2"/>
      </tp>
      <tp t="s">
        <v>#N/A N/A</v>
        <stp/>
        <stp>BDP|13594384759054560315</stp>
        <tr r="Q668" s="2"/>
      </tp>
      <tp t="s">
        <v>#N/A N/A</v>
        <stp/>
        <stp>BDP|18127090343486931828</stp>
        <tr r="M465" s="2"/>
      </tp>
      <tp t="s">
        <v>#N/A N/A</v>
        <stp/>
        <stp>BDP|12706563102612689750</stp>
        <tr r="P1996" s="2"/>
      </tp>
      <tp t="s">
        <v>#N/A N/A</v>
        <stp/>
        <stp>BDS|16526301544884075721</stp>
        <tr r="I1978" s="2"/>
      </tp>
      <tp t="s">
        <v>#N/A N/A</v>
        <stp/>
        <stp>BDP|15759390936903099488</stp>
        <tr r="K2214" s="2"/>
      </tp>
      <tp t="s">
        <v>#N/A N/A</v>
        <stp/>
        <stp>BDP|12077114090890434855</stp>
        <tr r="Q1076" s="2"/>
      </tp>
      <tp t="s">
        <v>#N/A N/A</v>
        <stp/>
        <stp>BDP|13524945550538891596</stp>
        <tr r="A220" s="2"/>
      </tp>
      <tp t="s">
        <v>#N/A N/A</v>
        <stp/>
        <stp>BDP|13052078142227243276</stp>
        <tr r="O324" s="2"/>
      </tp>
      <tp t="s">
        <v>#N/A N/A</v>
        <stp/>
        <stp>BDP|14736218052776563717</stp>
        <tr r="Q1756" s="2"/>
      </tp>
      <tp t="s">
        <v>#N/A N/A</v>
        <stp/>
        <stp>BDP|12593674966666223665</stp>
        <tr r="T1706" s="2"/>
      </tp>
      <tp t="s">
        <v>#N/A N/A</v>
        <stp/>
        <stp>BDP|16890643922420654087</stp>
        <tr r="D1268" s="2"/>
      </tp>
      <tp t="s">
        <v>#N/A N/A</v>
        <stp/>
        <stp>BDS|15424261324394080354</stp>
        <tr r="I2085" s="2"/>
      </tp>
      <tp t="s">
        <v>#N/A N/A</v>
        <stp/>
        <stp>BDP|17043660039817797789</stp>
        <tr r="K1898" s="2"/>
      </tp>
      <tp t="s">
        <v>#N/A N/A</v>
        <stp/>
        <stp>BDP|13538660266682185341</stp>
        <tr r="K745" s="2"/>
      </tp>
      <tp t="s">
        <v>#N/A N/A</v>
        <stp/>
        <stp>BDP|15777203022664596307</stp>
        <tr r="C1347" s="2"/>
      </tp>
      <tp t="s">
        <v>#N/A N/A</v>
        <stp/>
        <stp>BDP|14425160833857759363</stp>
        <tr r="D1295" s="2"/>
      </tp>
      <tp t="s">
        <v>#N/A N/A</v>
        <stp/>
        <stp>BDP|17029764866757156318</stp>
        <tr r="J703" s="2"/>
      </tp>
      <tp t="s">
        <v>#N/A N/A</v>
        <stp/>
        <stp>BDP|12938817058209145411</stp>
        <tr r="D1621" s="2"/>
      </tp>
      <tp t="s">
        <v>#N/A N/A</v>
        <stp/>
        <stp>BDP|16279655320063101361</stp>
        <tr r="S1404" s="2"/>
      </tp>
      <tp t="s">
        <v>#N/A N/A</v>
        <stp/>
        <stp>BDP|10736353854301345554</stp>
        <tr r="E1232" s="2"/>
      </tp>
      <tp t="s">
        <v>#N/A N/A</v>
        <stp/>
        <stp>BDP|10500064320352550261</stp>
        <tr r="R728" s="2"/>
      </tp>
      <tp t="s">
        <v>#N/A N/A</v>
        <stp/>
        <stp>BDP|12128166156624078016</stp>
        <tr r="Q1551" s="2"/>
      </tp>
      <tp t="s">
        <v>#N/A N/A</v>
        <stp/>
        <stp>BDP|16759452114525013461</stp>
        <tr r="Q211" s="2"/>
      </tp>
      <tp t="s">
        <v>#N/A N/A</v>
        <stp/>
        <stp>BDP|17049490101932172398</stp>
        <tr r="K904" s="2"/>
      </tp>
      <tp t="s">
        <v>#N/A N/A</v>
        <stp/>
        <stp>BDP|11077473326573359626</stp>
        <tr r="A285" s="2"/>
      </tp>
      <tp t="s">
        <v>#N/A N/A</v>
        <stp/>
        <stp>BDP|17407901575843523849</stp>
        <tr r="D1778" s="2"/>
      </tp>
      <tp t="s">
        <v>#N/A N/A</v>
        <stp/>
        <stp>BDP|11864215276631841773</stp>
        <tr r="M1511" s="2"/>
      </tp>
      <tp t="s">
        <v>#N/A N/A</v>
        <stp/>
        <stp>BDP|13366080702360911106</stp>
        <tr r="E1464" s="2"/>
      </tp>
      <tp t="s">
        <v>#N/A N/A</v>
        <stp/>
        <stp>BDP|17379516243982625678</stp>
        <tr r="M1183" s="2"/>
      </tp>
      <tp t="s">
        <v>#N/A N/A</v>
        <stp/>
        <stp>BDP|16736208606883855597</stp>
        <tr r="M707" s="2"/>
      </tp>
      <tp t="s">
        <v>#N/A N/A</v>
        <stp/>
        <stp>BDS|13937583299604228995</stp>
        <tr r="I2051" s="2"/>
      </tp>
      <tp t="s">
        <v>#N/A N/A</v>
        <stp/>
        <stp>BDP|14718574751653043516</stp>
        <tr r="D1983" s="2"/>
      </tp>
      <tp t="s">
        <v>#N/A N/A</v>
        <stp/>
        <stp>BDP|10446218015407392630</stp>
        <tr r="E1630" s="2"/>
      </tp>
      <tp t="s">
        <v>#N/A N/A</v>
        <stp/>
        <stp>BDP|13764667753816615449</stp>
        <tr r="P6" s="2"/>
      </tp>
      <tp t="s">
        <v>#N/A N/A</v>
        <stp/>
        <stp>BDP|15973437296663901957</stp>
        <tr r="Q2069" s="2"/>
      </tp>
      <tp t="s">
        <v>#N/A N/A</v>
        <stp/>
        <stp>BDS|17603242975509469900</stp>
        <tr r="I1140" s="2"/>
      </tp>
      <tp t="s">
        <v>#N/A N/A</v>
        <stp/>
        <stp>BDP|14208973084391633672</stp>
        <tr r="M480" s="2"/>
      </tp>
      <tp t="s">
        <v>#N/A N/A</v>
        <stp/>
        <stp>BDS|13647753746784667606</stp>
        <tr r="I1227" s="2"/>
      </tp>
      <tp t="s">
        <v>#N/A N/A</v>
        <stp/>
        <stp>BDP|16048751236820081035</stp>
        <tr r="M1554" s="2"/>
      </tp>
      <tp t="s">
        <v>#N/A N/A</v>
        <stp/>
        <stp>BDP|10568212752533757614</stp>
        <tr r="F1613" s="2"/>
      </tp>
      <tp t="s">
        <v>#N/A N/A</v>
        <stp/>
        <stp>BDP|12947871678148210745</stp>
        <tr r="R226" s="2"/>
      </tp>
      <tp t="s">
        <v>#N/A N/A</v>
        <stp/>
        <stp>BDP|14513313695528333424</stp>
        <tr r="T498" s="2"/>
      </tp>
      <tp t="s">
        <v>#N/A N/A</v>
        <stp/>
        <stp>BDP|17143570242201707536</stp>
        <tr r="R1954" s="2"/>
      </tp>
      <tp t="s">
        <v>#N/A N/A</v>
        <stp/>
        <stp>BDP|15415143512821422668</stp>
        <tr r="S1881" s="2"/>
      </tp>
      <tp t="s">
        <v>#N/A N/A</v>
        <stp/>
        <stp>BDP|12544473720781248704</stp>
        <tr r="K1186" s="2"/>
      </tp>
      <tp t="s">
        <v>#N/A N/A</v>
        <stp/>
        <stp>BDP|12973156508405254460</stp>
        <tr r="Q1462" s="2"/>
      </tp>
      <tp t="s">
        <v>#N/A N/A</v>
        <stp/>
        <stp>BDP|15908804710178047696</stp>
        <tr r="O817" s="2"/>
      </tp>
      <tp t="s">
        <v>#N/A N/A</v>
        <stp/>
        <stp>BDP|15501556764586525216</stp>
        <tr r="M808" s="2"/>
      </tp>
      <tp t="s">
        <v>#N/A N/A</v>
        <stp/>
        <stp>BDP|12018253555524959395</stp>
        <tr r="N841" s="2"/>
      </tp>
      <tp t="s">
        <v>#N/A N/A</v>
        <stp/>
        <stp>BDP|14302366037533342510</stp>
        <tr r="P1135" s="2"/>
      </tp>
      <tp t="s">
        <v>#N/A N/A</v>
        <stp/>
        <stp>BDP|11230975315163068807</stp>
        <tr r="H880" s="2"/>
      </tp>
      <tp t="s">
        <v>#N/A N/A</v>
        <stp/>
        <stp>BDP|10082979695684708651</stp>
        <tr r="F1576" s="2"/>
      </tp>
      <tp t="s">
        <v>#N/A N/A</v>
        <stp/>
        <stp>BDP|13661166756646111371</stp>
        <tr r="J172" s="2"/>
      </tp>
      <tp t="s">
        <v>#N/A N/A</v>
        <stp/>
        <stp>BDP|11168840647546717957</stp>
        <tr r="C1951" s="2"/>
      </tp>
      <tp t="s">
        <v>#N/A N/A</v>
        <stp/>
        <stp>BDP|18388344288141993061</stp>
        <tr r="F91" s="2"/>
      </tp>
      <tp t="s">
        <v>#N/A N/A</v>
        <stp/>
        <stp>BDP|11089437841861058227</stp>
        <tr r="M924" s="2"/>
      </tp>
      <tp t="s">
        <v>#N/A N/A</v>
        <stp/>
        <stp>BDP|12245632814453357462</stp>
        <tr r="H1314" s="2"/>
      </tp>
      <tp t="s">
        <v>#N/A N/A</v>
        <stp/>
        <stp>BDP|13223323304445428703</stp>
        <tr r="Q63" s="2"/>
      </tp>
      <tp t="s">
        <v>#N/A N/A</v>
        <stp/>
        <stp>BDP|14858587273553556766</stp>
        <tr r="T1238" s="2"/>
      </tp>
      <tp t="s">
        <v>#N/A N/A</v>
        <stp/>
        <stp>BDP|11058469662947051644</stp>
        <tr r="N951" s="2"/>
      </tp>
      <tp t="s">
        <v>#N/A N/A</v>
        <stp/>
        <stp>BDP|11267383333592828116</stp>
        <tr r="N617" s="2"/>
      </tp>
      <tp t="s">
        <v>#N/A N/A</v>
        <stp/>
        <stp>BDP|16032352025131850481</stp>
        <tr r="H619" s="2"/>
      </tp>
      <tp t="s">
        <v>#N/A N/A</v>
        <stp/>
        <stp>BDP|11512937897401785251</stp>
        <tr r="O703" s="2"/>
      </tp>
      <tp t="s">
        <v>#N/A N/A</v>
        <stp/>
        <stp>BDP|15384014902573410473</stp>
        <tr r="F2170" s="2"/>
      </tp>
      <tp t="s">
        <v>#N/A N/A</v>
        <stp/>
        <stp>BDP|11129120271862047714</stp>
        <tr r="K2068" s="2"/>
      </tp>
      <tp t="s">
        <v>#N/A N/A</v>
        <stp/>
        <stp>BDP|13140147809457648799</stp>
        <tr r="A1403" s="2"/>
      </tp>
      <tp t="s">
        <v>#N/A N/A</v>
        <stp/>
        <stp>BDP|15168113941975540772</stp>
        <tr r="O1053" s="2"/>
      </tp>
      <tp t="s">
        <v>#N/A N/A</v>
        <stp/>
        <stp>BDS|15527055120625382033</stp>
        <tr r="I1338" s="2"/>
      </tp>
      <tp t="s">
        <v>#N/A N/A</v>
        <stp/>
        <stp>BDP|16736208088068950654</stp>
        <tr r="T1745" s="2"/>
      </tp>
      <tp t="s">
        <v>#N/A N/A</v>
        <stp/>
        <stp>BDP|12872930129642334928</stp>
        <tr r="P1222" s="2"/>
      </tp>
      <tp t="s">
        <v>#N/A N/A</v>
        <stp/>
        <stp>BDP|12481552367594326764</stp>
        <tr r="R31" s="2"/>
      </tp>
      <tp t="s">
        <v>#N/A N/A</v>
        <stp/>
        <stp>BDP|13698924522168142241</stp>
        <tr r="F733" s="2"/>
      </tp>
      <tp t="s">
        <v>#N/A N/A</v>
        <stp/>
        <stp>BDP|17740664636063598310</stp>
        <tr r="S488" s="2"/>
      </tp>
      <tp t="s">
        <v>#N/A N/A</v>
        <stp/>
        <stp>BDP|14513259473047760477</stp>
        <tr r="C1758" s="2"/>
      </tp>
      <tp t="s">
        <v>#N/A N/A</v>
        <stp/>
        <stp>BDP|17744626920799586834</stp>
        <tr r="P1882" s="2"/>
      </tp>
      <tp t="s">
        <v>#N/A N/A</v>
        <stp/>
        <stp>BDP|17270278135496624251</stp>
        <tr r="R1855" s="2"/>
      </tp>
      <tp t="s">
        <v>#N/A N/A</v>
        <stp/>
        <stp>BDP|17193203284676718915</stp>
        <tr r="N936" s="2"/>
      </tp>
      <tp t="s">
        <v>#N/A N/A</v>
        <stp/>
        <stp>BDP|12969937023863346895</stp>
        <tr r="C2112" s="2"/>
      </tp>
      <tp t="s">
        <v>#N/A N/A</v>
        <stp/>
        <stp>BDP|13325120945106235258</stp>
        <tr r="H966" s="2"/>
      </tp>
      <tp t="s">
        <v>#N/A N/A</v>
        <stp/>
        <stp>BDP|10436353396888785038</stp>
        <tr r="A1641" s="2"/>
      </tp>
      <tp t="s">
        <v>#N/A N/A</v>
        <stp/>
        <stp>BDP|15080226313784481069</stp>
        <tr r="A1044" s="2"/>
      </tp>
      <tp t="s">
        <v>#N/A N/A</v>
        <stp/>
        <stp>BDP|11970838499510170215</stp>
        <tr r="P1647" s="2"/>
      </tp>
      <tp t="s">
        <v>#N/A N/A</v>
        <stp/>
        <stp>BDP|14293938975891497938</stp>
        <tr r="R225" s="2"/>
      </tp>
      <tp t="s">
        <v>#N/A N/A</v>
        <stp/>
        <stp>BDP|16779952472298365209</stp>
        <tr r="G332" s="2"/>
      </tp>
      <tp t="s">
        <v>#N/A N/A</v>
        <stp/>
        <stp>BDP|16578325877832123220</stp>
        <tr r="R589" s="2"/>
      </tp>
      <tp t="s">
        <v>#N/A N/A</v>
        <stp/>
        <stp>BDP|11240066720736429738</stp>
        <tr r="R1574" s="2"/>
      </tp>
      <tp t="s">
        <v>#N/A N/A</v>
        <stp/>
        <stp>BDP|18118178181662623122</stp>
        <tr r="O1445" s="2"/>
      </tp>
      <tp t="s">
        <v>#N/A N/A</v>
        <stp/>
        <stp>BDP|13558010604257085630</stp>
        <tr r="A1634" s="2"/>
      </tp>
      <tp t="s">
        <v>#N/A N/A</v>
        <stp/>
        <stp>BDP|12880558158796081660</stp>
        <tr r="R1529" s="2"/>
      </tp>
      <tp t="s">
        <v>#N/A N/A</v>
        <stp/>
        <stp>BDP|12086977389844819559</stp>
        <tr r="N196" s="2"/>
      </tp>
      <tp t="s">
        <v>#N/A N/A</v>
        <stp/>
        <stp>BDP|17855558758190051566</stp>
        <tr r="K971" s="2"/>
      </tp>
      <tp t="s">
        <v>#N/A N/A</v>
        <stp/>
        <stp>BDP|12740862315830426933</stp>
        <tr r="A594" s="2"/>
      </tp>
      <tp t="s">
        <v>#N/A N/A</v>
        <stp/>
        <stp>BDP|13109519085075423925</stp>
        <tr r="N703" s="2"/>
      </tp>
      <tp t="s">
        <v>#N/A N/A</v>
        <stp/>
        <stp>BDP|10248668735527032024</stp>
        <tr r="C2" s="2"/>
      </tp>
      <tp t="s">
        <v>#N/A N/A</v>
        <stp/>
        <stp>BDP|16061138721474053311</stp>
        <tr r="P2253" s="2"/>
      </tp>
      <tp t="s">
        <v>#N/A N/A</v>
        <stp/>
        <stp>BDP|14420119455981070338</stp>
        <tr r="C1366" s="2"/>
      </tp>
      <tp t="s">
        <v>#N/A N/A</v>
        <stp/>
        <stp>BDP|17449748386923214979</stp>
        <tr r="F2133" s="2"/>
      </tp>
      <tp t="s">
        <v>#N/A N/A</v>
        <stp/>
        <stp>BDP|10268866021849002165</stp>
        <tr r="R10" s="2"/>
      </tp>
      <tp t="s">
        <v>#N/A N/A</v>
        <stp/>
        <stp>BDP|15243610544352188752</stp>
        <tr r="R1595" s="2"/>
      </tp>
      <tp t="s">
        <v>#N/A N/A</v>
        <stp/>
        <stp>BDP|10554600913681690437</stp>
        <tr r="P646" s="2"/>
      </tp>
      <tp t="s">
        <v>#N/A N/A</v>
        <stp/>
        <stp>BDS|14751160041754791776</stp>
        <tr r="I1183" s="2"/>
      </tp>
      <tp t="s">
        <v>#N/A N/A</v>
        <stp/>
        <stp>BDP|14093741127342032105</stp>
        <tr r="A2199" s="2"/>
      </tp>
      <tp t="s">
        <v>#N/A N/A</v>
        <stp/>
        <stp>BDP|12467438704310787478</stp>
        <tr r="A1989" s="2"/>
      </tp>
      <tp t="s">
        <v>#N/A N/A</v>
        <stp/>
        <stp>BDP|13491363234279537806</stp>
        <tr r="J182" s="2"/>
      </tp>
      <tp t="s">
        <v>#N/A N/A</v>
        <stp/>
        <stp>BDP|13356685037843756781</stp>
        <tr r="R953" s="2"/>
      </tp>
      <tp t="s">
        <v>#N/A N/A</v>
        <stp/>
        <stp>BDP|15235647581628086146</stp>
        <tr r="J192" s="2"/>
      </tp>
      <tp t="s">
        <v>#N/A N/A</v>
        <stp/>
        <stp>BDS|16457748550655441343</stp>
        <tr r="I412" s="2"/>
      </tp>
      <tp t="s">
        <v>#N/A N/A</v>
        <stp/>
        <stp>BDP|17849485046546306367</stp>
        <tr r="Q720" s="2"/>
      </tp>
      <tp t="s">
        <v>#N/A N/A</v>
        <stp/>
        <stp>BDP|11427743805124627001</stp>
        <tr r="D1698" s="2"/>
      </tp>
      <tp t="s">
        <v>#N/A N/A</v>
        <stp/>
        <stp>BDS|11654157344461045771</stp>
        <tr r="I935" s="2"/>
      </tp>
      <tp t="s">
        <v>#N/A N/A</v>
        <stp/>
        <stp>BDP|10634337217712296239</stp>
        <tr r="M1524" s="2"/>
      </tp>
      <tp t="s">
        <v>#N/A N/A</v>
        <stp/>
        <stp>BDP|11415604340210167162</stp>
        <tr r="G602" s="2"/>
      </tp>
      <tp t="s">
        <v>#N/A N/A</v>
        <stp/>
        <stp>BDP|16304423361114165227</stp>
        <tr r="K1993" s="2"/>
      </tp>
      <tp t="s">
        <v>#N/A N/A</v>
        <stp/>
        <stp>BDP|14782383314820141494</stp>
        <tr r="P1595" s="2"/>
      </tp>
      <tp t="s">
        <v>#N/A N/A</v>
        <stp/>
        <stp>BDP|11609650691474104806</stp>
        <tr r="E1939" s="2"/>
      </tp>
      <tp t="s">
        <v>#N/A N/A</v>
        <stp/>
        <stp>BDP|12249826214161276856</stp>
        <tr r="A775" s="2"/>
      </tp>
      <tp t="s">
        <v>#N/A N/A</v>
        <stp/>
        <stp>BDP|15128487202351074283</stp>
        <tr r="S1291" s="2"/>
      </tp>
      <tp t="s">
        <v>#N/A N/A</v>
        <stp/>
        <stp>BDP|11062375155484621177</stp>
        <tr r="O738" s="2"/>
      </tp>
      <tp t="s">
        <v>#N/A N/A</v>
        <stp/>
        <stp>BDP|13882029108160203132</stp>
        <tr r="G1027" s="2"/>
      </tp>
      <tp t="s">
        <v>#N/A N/A</v>
        <stp/>
        <stp>BDP|15752870292636385029</stp>
        <tr r="F364" s="2"/>
      </tp>
      <tp t="s">
        <v>#N/A N/A</v>
        <stp/>
        <stp>BDP|17573926585731939584</stp>
        <tr r="H232" s="2"/>
      </tp>
      <tp t="s">
        <v>#N/A N/A</v>
        <stp/>
        <stp>BDP|12684629845753407167</stp>
        <tr r="K1590" s="2"/>
      </tp>
      <tp t="s">
        <v>#N/A N/A</v>
        <stp/>
        <stp>BDP|11127841115502641853</stp>
        <tr r="J2044" s="2"/>
      </tp>
      <tp t="s">
        <v>#N/A N/A</v>
        <stp/>
        <stp>BDP|13787658715434555210</stp>
        <tr r="K656" s="2"/>
      </tp>
      <tp t="s">
        <v>#N/A N/A</v>
        <stp/>
        <stp>BDP|10965486173604754562</stp>
        <tr r="N1553" s="2"/>
      </tp>
      <tp t="s">
        <v>#N/A N/A</v>
        <stp/>
        <stp>BDP|15994971696007901029</stp>
        <tr r="A794" s="2"/>
      </tp>
      <tp t="s">
        <v>#N/A N/A</v>
        <stp/>
        <stp>BDP|13860223374333412796</stp>
        <tr r="S1152" s="2"/>
      </tp>
      <tp t="s">
        <v>#N/A N/A</v>
        <stp/>
        <stp>BDP|14515222278126419583</stp>
        <tr r="R1236" s="2"/>
      </tp>
      <tp t="s">
        <v>#N/A N/A</v>
        <stp/>
        <stp>BDP|14649446299742007985</stp>
        <tr r="S624" s="2"/>
      </tp>
      <tp t="s">
        <v>#N/A N/A</v>
        <stp/>
        <stp>BDP|16082348466498507944</stp>
        <tr r="J1863" s="2"/>
      </tp>
      <tp t="s">
        <v>#N/A N/A</v>
        <stp/>
        <stp>BDP|14715663302596819686</stp>
        <tr r="K1796" s="2"/>
      </tp>
      <tp t="s">
        <v>#N/A N/A</v>
        <stp/>
        <stp>BDP|15603081550474900645</stp>
        <tr r="A1620" s="2"/>
      </tp>
      <tp t="s">
        <v>#N/A N/A</v>
        <stp/>
        <stp>BDP|12531771851294292629</stp>
        <tr r="E1467" s="2"/>
      </tp>
      <tp t="s">
        <v>#N/A N/A</v>
        <stp/>
        <stp>BDP|15598333733811161673</stp>
        <tr r="S1878" s="2"/>
      </tp>
      <tp t="s">
        <v>#N/A N/A</v>
        <stp/>
        <stp>BDP|10498639697069450472</stp>
        <tr r="T2112" s="2"/>
      </tp>
      <tp t="s">
        <v>#N/A N/A</v>
        <stp/>
        <stp>BDP|15205123630980343509</stp>
        <tr r="P1660" s="2"/>
      </tp>
      <tp t="s">
        <v>#N/A N/A</v>
        <stp/>
        <stp>BDP|11287788249340642060</stp>
        <tr r="H1539" s="2"/>
      </tp>
      <tp t="s">
        <v>#N/A N/A</v>
        <stp/>
        <stp>BDP|14534266907070305443</stp>
        <tr r="M1917" s="2"/>
      </tp>
      <tp t="s">
        <v>#N/A N/A</v>
        <stp/>
        <stp>BDP|13099076111995785528</stp>
        <tr r="E2192" s="2"/>
      </tp>
      <tp t="s">
        <v>#N/A N/A</v>
        <stp/>
        <stp>BDP|10588876481220588252</stp>
        <tr r="D487" s="2"/>
      </tp>
      <tp t="s">
        <v>#N/A N/A</v>
        <stp/>
        <stp>BDP|14424008581326273848</stp>
        <tr r="S1003" s="2"/>
      </tp>
      <tp t="s">
        <v>#N/A N/A</v>
        <stp/>
        <stp>BDP|12126217221088092829</stp>
        <tr r="D1071" s="2"/>
      </tp>
      <tp t="s">
        <v>#N/A N/A</v>
        <stp/>
        <stp>BDP|13078600372079154907</stp>
        <tr r="Q410" s="2"/>
      </tp>
      <tp t="s">
        <v>#N/A N/A</v>
        <stp/>
        <stp>BDP|17665646928515128482</stp>
        <tr r="P1206" s="2"/>
      </tp>
      <tp t="s">
        <v>#N/A N/A</v>
        <stp/>
        <stp>BDP|17163044251134016477</stp>
        <tr r="C568" s="2"/>
      </tp>
      <tp t="s">
        <v>#N/A N/A</v>
        <stp/>
        <stp>BDP|13756920362408276663</stp>
        <tr r="N1259" s="2"/>
      </tp>
      <tp t="s">
        <v>#N/A N/A</v>
        <stp/>
        <stp>BDP|17194670692609691313</stp>
        <tr r="J458" s="2"/>
      </tp>
      <tp t="s">
        <v>#N/A N/A</v>
        <stp/>
        <stp>BDP|12400278641187253138</stp>
        <tr r="J2048" s="2"/>
      </tp>
      <tp t="s">
        <v>#N/A N/A</v>
        <stp/>
        <stp>BDP|10917985169959888431</stp>
        <tr r="H288" s="2"/>
      </tp>
      <tp t="s">
        <v>#N/A N/A</v>
        <stp/>
        <stp>BDP|13437215717985028719</stp>
        <tr r="J2221" s="2"/>
      </tp>
      <tp t="s">
        <v>#N/A N/A</v>
        <stp/>
        <stp>BDP|14402714665333454476</stp>
        <tr r="D381" s="2"/>
      </tp>
      <tp t="s">
        <v>#N/A N/A</v>
        <stp/>
        <stp>BDP|11681434465720409160</stp>
        <tr r="C1406" s="2"/>
      </tp>
      <tp t="s">
        <v>#N/A N/A</v>
        <stp/>
        <stp>BDP|10303314101734508548</stp>
        <tr r="E1144" s="2"/>
      </tp>
      <tp t="s">
        <v>#N/A N/A</v>
        <stp/>
        <stp>BDP|15519023147883478066</stp>
        <tr r="T1233" s="2"/>
      </tp>
      <tp t="s">
        <v>#N/A N/A</v>
        <stp/>
        <stp>BDP|12211435875325780614</stp>
        <tr r="S1668" s="2"/>
      </tp>
      <tp t="s">
        <v>#N/A N/A</v>
        <stp/>
        <stp>BDP|14789926627508145514</stp>
        <tr r="J1024" s="2"/>
      </tp>
      <tp t="s">
        <v>#N/A N/A</v>
        <stp/>
        <stp>BDP|13807200924538899967</stp>
        <tr r="Q1401" s="2"/>
      </tp>
      <tp t="s">
        <v>#N/A N/A</v>
        <stp/>
        <stp>BDP|10751450366408024868</stp>
        <tr r="H955" s="2"/>
      </tp>
      <tp t="s">
        <v>#N/A N/A</v>
        <stp/>
        <stp>BDP|16906200273822020381</stp>
        <tr r="E1728" s="2"/>
      </tp>
      <tp t="s">
        <v>#N/A N/A</v>
        <stp/>
        <stp>BDP|14760663249236948239</stp>
        <tr r="Q687" s="2"/>
      </tp>
      <tp t="s">
        <v>#N/A N/A</v>
        <stp/>
        <stp>BDP|18289254822408064274</stp>
        <tr r="Q1281" s="2"/>
      </tp>
      <tp t="s">
        <v>#N/A N/A</v>
        <stp/>
        <stp>BDP|11741881957997932936</stp>
        <tr r="N1739" s="2"/>
      </tp>
      <tp t="s">
        <v>#N/A N/A</v>
        <stp/>
        <stp>BDP|15079222674824705635</stp>
        <tr r="Q1201" s="2"/>
      </tp>
      <tp t="s">
        <v>#N/A N/A</v>
        <stp/>
        <stp>BDP|17125074571985650732</stp>
        <tr r="S1567" s="2"/>
      </tp>
      <tp t="s">
        <v>#N/A N/A</v>
        <stp/>
        <stp>BDP|14491282467027022591</stp>
        <tr r="R2181" s="2"/>
      </tp>
      <tp t="s">
        <v>#N/A N/A</v>
        <stp/>
        <stp>BDP|14695900882593075463</stp>
        <tr r="H561" s="2"/>
      </tp>
      <tp t="s">
        <v>#N/A N/A</v>
        <stp/>
        <stp>BDP|16991569215759187997</stp>
        <tr r="A1939" s="2"/>
      </tp>
      <tp t="s">
        <v>#N/A N/A</v>
        <stp/>
        <stp>BDP|13052608367543446214</stp>
        <tr r="M1871" s="2"/>
      </tp>
      <tp t="s">
        <v>#N/A N/A</v>
        <stp/>
        <stp>BDP|13399385066647950360</stp>
        <tr r="C1799" s="2"/>
      </tp>
      <tp t="s">
        <v>#N/A N/A</v>
        <stp/>
        <stp>BDP|17113715755932409532</stp>
        <tr r="Q1594" s="2"/>
      </tp>
      <tp t="s">
        <v>#N/A N/A</v>
        <stp/>
        <stp>BDP|15803322203502395681</stp>
        <tr r="H761" s="2"/>
      </tp>
      <tp t="s">
        <v>#N/A N/A</v>
        <stp/>
        <stp>BDP|13646324918990861360</stp>
        <tr r="G1973" s="2"/>
      </tp>
      <tp t="s">
        <v>#N/A N/A</v>
        <stp/>
        <stp>BDP|16363508640484332127</stp>
        <tr r="J240" s="2"/>
      </tp>
      <tp t="s">
        <v>#N/A N/A</v>
        <stp/>
        <stp>BDP|15277196028682091610</stp>
        <tr r="G1406" s="2"/>
      </tp>
      <tp t="s">
        <v>#N/A N/A</v>
        <stp/>
        <stp>BDP|15487639877953161530</stp>
        <tr r="J897" s="2"/>
      </tp>
      <tp t="s">
        <v>#N/A N/A</v>
        <stp/>
        <stp>BDP|13745652103533550468</stp>
        <tr r="H2158" s="2"/>
      </tp>
      <tp t="s">
        <v>#N/A N/A</v>
        <stp/>
        <stp>BDP|16641861834008698702</stp>
        <tr r="Q1082" s="2"/>
      </tp>
      <tp t="s">
        <v>#N/A N/A</v>
        <stp/>
        <stp>BDP|15963301742621859119</stp>
        <tr r="R2" s="2"/>
      </tp>
      <tp t="s">
        <v>#N/A N/A</v>
        <stp/>
        <stp>BDP|16640619933160176176</stp>
        <tr r="H899" s="2"/>
      </tp>
      <tp t="s">
        <v>#N/A N/A</v>
        <stp/>
        <stp>BDP|10597865537509018065</stp>
        <tr r="D534" s="2"/>
      </tp>
      <tp t="s">
        <v>#N/A N/A</v>
        <stp/>
        <stp>BDP|13073909095523547222</stp>
        <tr r="F1889" s="2"/>
      </tp>
      <tp t="s">
        <v>#N/A N/A</v>
        <stp/>
        <stp>BDP|15762943989381122799</stp>
        <tr r="R1922" s="2"/>
      </tp>
      <tp t="s">
        <v>#N/A N/A</v>
        <stp/>
        <stp>BDP|10806926030610899805</stp>
        <tr r="O264" s="2"/>
      </tp>
      <tp t="s">
        <v>#N/A N/A</v>
        <stp/>
        <stp>BDP|10071136657531481720</stp>
        <tr r="R1958" s="2"/>
      </tp>
      <tp t="s">
        <v>#N/A N/A</v>
        <stp/>
        <stp>BDS|12928328998328446261</stp>
        <tr r="I331" s="2"/>
      </tp>
      <tp t="s">
        <v>#N/A N/A</v>
        <stp/>
        <stp>BDP|13225641100986608126</stp>
        <tr r="S484" s="2"/>
      </tp>
      <tp t="s">
        <v>#N/A N/A</v>
        <stp/>
        <stp>BDP|12885993242299819494</stp>
        <tr r="F1535" s="2"/>
      </tp>
      <tp t="s">
        <v>#N/A N/A</v>
        <stp/>
        <stp>BDP|15513538152343640402</stp>
        <tr r="N118" s="2"/>
      </tp>
      <tp t="s">
        <v>#N/A N/A</v>
        <stp/>
        <stp>BDP|12064403929466889035</stp>
        <tr r="F869" s="2"/>
      </tp>
      <tp t="s">
        <v>#N/A N/A</v>
        <stp/>
        <stp>BDP|14251836762298636071</stp>
        <tr r="D1320" s="2"/>
      </tp>
      <tp t="s">
        <v>#N/A N/A</v>
        <stp/>
        <stp>BDP|16378296677662661392</stp>
        <tr r="N1750" s="2"/>
      </tp>
      <tp t="s">
        <v>#N/A N/A</v>
        <stp/>
        <stp>BDP|15418367448029925917</stp>
        <tr r="H142" s="2"/>
      </tp>
      <tp t="s">
        <v>#N/A N/A</v>
        <stp/>
        <stp>BDP|16239781555512937447</stp>
        <tr r="J1521" s="2"/>
      </tp>
      <tp t="s">
        <v>#N/A N/A</v>
        <stp/>
        <stp>BDP|10494395592418827059</stp>
        <tr r="H1764" s="2"/>
      </tp>
      <tp t="s">
        <v>#N/A N/A</v>
        <stp/>
        <stp>BDS|18014560509797908875</stp>
        <tr r="I589" s="2"/>
      </tp>
      <tp t="s">
        <v>#N/A N/A</v>
        <stp/>
        <stp>BDP|14100481268792458670</stp>
        <tr r="K955" s="2"/>
      </tp>
      <tp t="s">
        <v>#N/A N/A</v>
        <stp/>
        <stp>BDP|10959680402195126105</stp>
        <tr r="D366" s="2"/>
      </tp>
      <tp t="s">
        <v>#N/A N/A</v>
        <stp/>
        <stp>BDP|11434227664695356235</stp>
        <tr r="G1921" s="2"/>
      </tp>
      <tp t="s">
        <v>#N/A N/A</v>
        <stp/>
        <stp>BDP|15520665660406339122</stp>
        <tr r="J903" s="2"/>
      </tp>
      <tp t="s">
        <v>#N/A N/A</v>
        <stp/>
        <stp>BDP|13578459152434737478</stp>
        <tr r="O353" s="2"/>
      </tp>
      <tp t="s">
        <v>#N/A N/A</v>
        <stp/>
        <stp>BDP|13654001060426441105</stp>
        <tr r="Q1193" s="2"/>
      </tp>
      <tp t="s">
        <v>#N/A N/A</v>
        <stp/>
        <stp>BDP|10344680018213333624</stp>
        <tr r="A54" s="2"/>
      </tp>
      <tp t="s">
        <v>#N/A N/A</v>
        <stp/>
        <stp>BDP|18377903422932596365</stp>
        <tr r="S577" s="2"/>
      </tp>
      <tp t="s">
        <v>#N/A N/A</v>
        <stp/>
        <stp>BDP|16864861073629865276</stp>
        <tr r="J2197" s="2"/>
      </tp>
      <tp t="s">
        <v>#N/A N/A</v>
        <stp/>
        <stp>BDP|17106863577769369312</stp>
        <tr r="E211" s="2"/>
      </tp>
      <tp t="s">
        <v>#N/A N/A</v>
        <stp/>
        <stp>BDP|10004760931412005454</stp>
        <tr r="G1975" s="2"/>
      </tp>
      <tp t="s">
        <v>#N/A N/A</v>
        <stp/>
        <stp>BDP|13942900739438222302</stp>
        <tr r="D1439" s="2"/>
      </tp>
      <tp t="s">
        <v>#N/A N/A</v>
        <stp/>
        <stp>BDP|11417116362256451210</stp>
        <tr r="C528" s="2"/>
      </tp>
      <tp t="s">
        <v>#N/A N/A</v>
        <stp/>
        <stp>BDP|13133306034240647113</stp>
        <tr r="K2141" s="2"/>
      </tp>
      <tp t="s">
        <v>#N/A N/A</v>
        <stp/>
        <stp>BDP|10064054873066479305</stp>
        <tr r="A1529" s="2"/>
      </tp>
      <tp t="s">
        <v>#N/A N/A</v>
        <stp/>
        <stp>BDP|12639470621134630246</stp>
        <tr r="P2091" s="2"/>
      </tp>
      <tp t="s">
        <v>#N/A N/A</v>
        <stp/>
        <stp>BDP|13407964881096508643</stp>
        <tr r="H1773" s="2"/>
      </tp>
      <tp t="s">
        <v>#N/A N/A</v>
        <stp/>
        <stp>BDP|14508648273861675660</stp>
        <tr r="G801" s="2"/>
      </tp>
      <tp t="s">
        <v>#N/A N/A</v>
        <stp/>
        <stp>BDP|18396739684103219647</stp>
        <tr r="S2221" s="2"/>
      </tp>
      <tp t="s">
        <v>#N/A N/A</v>
        <stp/>
        <stp>BDP|15589914093296795120</stp>
        <tr r="O360" s="2"/>
      </tp>
      <tp t="s">
        <v>#N/A N/A</v>
        <stp/>
        <stp>BDP|11719005982139114263</stp>
        <tr r="Q1566" s="2"/>
      </tp>
      <tp t="s">
        <v>#N/A N/A</v>
        <stp/>
        <stp>BDP|11200495273322846225</stp>
        <tr r="T685" s="2"/>
      </tp>
      <tp t="s">
        <v>#N/A N/A</v>
        <stp/>
        <stp>BDP|17186326661578356839</stp>
        <tr r="F2092" s="2"/>
      </tp>
      <tp t="s">
        <v>#N/A N/A</v>
        <stp/>
        <stp>BDP|16523169326982318544</stp>
        <tr r="A739" s="2"/>
      </tp>
      <tp t="s">
        <v>#N/A N/A</v>
        <stp/>
        <stp>BDP|10277077838053729285</stp>
        <tr r="G755" s="2"/>
      </tp>
      <tp t="s">
        <v>#N/A N/A</v>
        <stp/>
        <stp>BDP|13300121084268635017</stp>
        <tr r="M566" s="2"/>
      </tp>
      <tp t="s">
        <v>#N/A N/A</v>
        <stp/>
        <stp>BDP|17176368435154804189</stp>
        <tr r="M2171" s="2"/>
      </tp>
      <tp t="s">
        <v>#N/A N/A</v>
        <stp/>
        <stp>BDS|16724207093538365761</stp>
        <tr r="I1188" s="2"/>
      </tp>
      <tp t="s">
        <v>#N/A N/A</v>
        <stp/>
        <stp>BDP|14400757563343739471</stp>
        <tr r="M1786" s="2"/>
      </tp>
      <tp t="s">
        <v>#N/A N/A</v>
        <stp/>
        <stp>BDP|17824784441371534760</stp>
        <tr r="S1000" s="2"/>
      </tp>
      <tp t="s">
        <v>#N/A N/A</v>
        <stp/>
        <stp>BDP|18246970361774237145</stp>
        <tr r="K789" s="2"/>
      </tp>
      <tp t="s">
        <v>#N/A N/A</v>
        <stp/>
        <stp>BDP|11270401704063401403</stp>
        <tr r="K1771" s="2"/>
      </tp>
      <tp t="s">
        <v>#N/A N/A</v>
        <stp/>
        <stp>BDP|11512735557120165126</stp>
        <tr r="A2182" s="2"/>
      </tp>
      <tp t="s">
        <v>#N/A N/A</v>
        <stp/>
        <stp>BDP|14191435973907688258</stp>
        <tr r="C1194" s="2"/>
      </tp>
      <tp t="s">
        <v>#N/A N/A</v>
        <stp/>
        <stp>BDP|14832709023165067698</stp>
        <tr r="D988" s="2"/>
      </tp>
      <tp t="s">
        <v>#N/A N/A</v>
        <stp/>
        <stp>BDP|17383549671483702431</stp>
        <tr r="R985" s="2"/>
      </tp>
      <tp t="s">
        <v>#N/A N/A</v>
        <stp/>
        <stp>BDP|12287881063319368788</stp>
        <tr r="O125" s="2"/>
      </tp>
      <tp t="s">
        <v>#N/A N/A</v>
        <stp/>
        <stp>BDP|15038153856013058011</stp>
        <tr r="F1501" s="2"/>
      </tp>
      <tp t="s">
        <v>#N/A N/A</v>
        <stp/>
        <stp>BDP|14901118458946049421</stp>
        <tr r="A626" s="2"/>
      </tp>
      <tp t="s">
        <v>#N/A N/A</v>
        <stp/>
        <stp>BDP|16649758050642769468</stp>
        <tr r="S1946" s="2"/>
      </tp>
      <tp t="s">
        <v>#N/A N/A</v>
        <stp/>
        <stp>BDP|15824067258646502417</stp>
        <tr r="D123" s="2"/>
      </tp>
      <tp t="s">
        <v>#N/A N/A</v>
        <stp/>
        <stp>BDP|15503019425462403779</stp>
        <tr r="Q1013" s="2"/>
      </tp>
      <tp t="s">
        <v>#N/A N/A</v>
        <stp/>
        <stp>BDP|17021454370361598757</stp>
        <tr r="F1974" s="2"/>
      </tp>
      <tp t="s">
        <v>#N/A N/A</v>
        <stp/>
        <stp>BDP|17958073688045796844</stp>
        <tr r="E1121" s="2"/>
      </tp>
      <tp t="s">
        <v>#N/A N/A</v>
        <stp/>
        <stp>BDS|16360146017326198271</stp>
        <tr r="I338" s="2"/>
      </tp>
      <tp t="s">
        <v>#N/A N/A</v>
        <stp/>
        <stp>BDP|14318409897569873291</stp>
        <tr r="F1664" s="2"/>
      </tp>
      <tp t="s">
        <v>#N/A N/A</v>
        <stp/>
        <stp>BDP|14091703185921896881</stp>
        <tr r="C141" s="2"/>
      </tp>
      <tp t="s">
        <v>#N/A N/A</v>
        <stp/>
        <stp>BDP|10031360593128100019</stp>
        <tr r="F1468" s="2"/>
      </tp>
      <tp t="s">
        <v>#N/A N/A</v>
        <stp/>
        <stp>BDP|16389603430260224141</stp>
        <tr r="Q707" s="2"/>
      </tp>
      <tp t="s">
        <v>#N/A N/A</v>
        <stp/>
        <stp>BDP|13763388178416724352</stp>
        <tr r="H2075" s="2"/>
      </tp>
      <tp t="s">
        <v>#N/A N/A</v>
        <stp/>
        <stp>BDP|14663609028410304281</stp>
        <tr r="S350" s="2"/>
      </tp>
      <tp t="s">
        <v>#N/A N/A</v>
        <stp/>
        <stp>BDS|14597668725072281023</stp>
        <tr r="I1780" s="2"/>
      </tp>
      <tp t="s">
        <v>#N/A N/A</v>
        <stp/>
        <stp>BDP|14615544820938372942</stp>
        <tr r="H1960" s="2"/>
      </tp>
      <tp t="s">
        <v>#N/A N/A</v>
        <stp/>
        <stp>BDP|13441606516093032578</stp>
        <tr r="R2152" s="2"/>
      </tp>
      <tp t="s">
        <v>#N/A N/A</v>
        <stp/>
        <stp>BDP|17502139044796105667</stp>
        <tr r="K807" s="2"/>
      </tp>
      <tp t="s">
        <v>#N/A N/A</v>
        <stp/>
        <stp>BDP|13708641436800545454</stp>
        <tr r="R1316" s="2"/>
      </tp>
      <tp t="s">
        <v>#N/A N/A</v>
        <stp/>
        <stp>BDP|12489012317777567622</stp>
        <tr r="T400" s="2"/>
      </tp>
      <tp t="s">
        <v>#N/A N/A</v>
        <stp/>
        <stp>BDP|15421623794829233153</stp>
        <tr r="F1436" s="2"/>
      </tp>
      <tp t="s">
        <v>#N/A N/A</v>
        <stp/>
        <stp>BDP|14317361644178599910</stp>
        <tr r="M1437" s="2"/>
      </tp>
      <tp t="s">
        <v>#N/A N/A</v>
        <stp/>
        <stp>BDP|10030908277865559979</stp>
        <tr r="S1366" s="2"/>
      </tp>
      <tp t="s">
        <v>#N/A N/A</v>
        <stp/>
        <stp>BDS|16247128844673051220</stp>
        <tr r="I327" s="2"/>
      </tp>
      <tp t="s">
        <v>#N/A N/A</v>
        <stp/>
        <stp>BDP|17395710916814297737</stp>
        <tr r="E106" s="2"/>
      </tp>
      <tp t="s">
        <v>#N/A N/A</v>
        <stp/>
        <stp>BDP|10497411846890765219</stp>
        <tr r="G1414" s="2"/>
      </tp>
      <tp t="s">
        <v>#N/A N/A</v>
        <stp/>
        <stp>BDP|17115232665770487163</stp>
        <tr r="F1024" s="2"/>
      </tp>
      <tp t="s">
        <v>#N/A N/A</v>
        <stp/>
        <stp>BDP|16437552362502539539</stp>
        <tr r="H415" s="2"/>
      </tp>
      <tp t="s">
        <v>#N/A N/A</v>
        <stp/>
        <stp>BDP|17833646954662590484</stp>
        <tr r="A449" s="2"/>
      </tp>
      <tp t="s">
        <v>#N/A N/A</v>
        <stp/>
        <stp>BDP|13020877153498870498</stp>
        <tr r="E1886" s="2"/>
      </tp>
      <tp t="s">
        <v>#N/A N/A</v>
        <stp/>
        <stp>BDP|10391257897149628023</stp>
        <tr r="S1632" s="2"/>
      </tp>
      <tp t="s">
        <v>#N/A N/A</v>
        <stp/>
        <stp>BDP|16098602212594486738</stp>
        <tr r="C1993" s="2"/>
      </tp>
      <tp t="s">
        <v>#N/A N/A</v>
        <stp/>
        <stp>BDP|12868860199855638443</stp>
        <tr r="T263" s="2"/>
      </tp>
      <tp t="s">
        <v>#N/A N/A</v>
        <stp/>
        <stp>BDP|14752984068608492160</stp>
        <tr r="D1119" s="2"/>
      </tp>
      <tp t="s">
        <v>#N/A N/A</v>
        <stp/>
        <stp>BDP|15182678506967162641</stp>
        <tr r="S1145" s="2"/>
      </tp>
      <tp t="s">
        <v>#N/A N/A</v>
        <stp/>
        <stp>BDP|10142448111530262731</stp>
        <tr r="Q1165" s="2"/>
      </tp>
      <tp t="s">
        <v>#N/A N/A</v>
        <stp/>
        <stp>BDP|10902322420947670482</stp>
        <tr r="O1433" s="2"/>
      </tp>
      <tp t="s">
        <v>#N/A N/A</v>
        <stp/>
        <stp>BDP|12794251800023722107</stp>
        <tr r="K133" s="2"/>
      </tp>
      <tp t="s">
        <v>#N/A N/A</v>
        <stp/>
        <stp>BDP|10838413102314961278</stp>
        <tr r="A1404" s="2"/>
      </tp>
      <tp t="s">
        <v>#N/A N/A</v>
        <stp/>
        <stp>BDS|12514204570993330602</stp>
        <tr r="I1432" s="2"/>
      </tp>
      <tp t="s">
        <v>#N/A N/A</v>
        <stp/>
        <stp>BDP|11142656286174481936</stp>
        <tr r="O247" s="2"/>
      </tp>
      <tp t="s">
        <v>#N/A N/A</v>
        <stp/>
        <stp>BDP|13044773264791099164</stp>
        <tr r="F1823" s="2"/>
      </tp>
      <tp t="s">
        <v>#N/A N/A</v>
        <stp/>
        <stp>BDP|12616469430633060455</stp>
        <tr r="C1169" s="2"/>
      </tp>
      <tp t="s">
        <v>#N/A N/A</v>
        <stp/>
        <stp>BDP|11787317382638255031</stp>
        <tr r="G1989" s="2"/>
      </tp>
      <tp t="s">
        <v>#N/A N/A</v>
        <stp/>
        <stp>BDP|14256166383919471661</stp>
        <tr r="T1355" s="2"/>
      </tp>
      <tp t="s">
        <v>#N/A N/A</v>
        <stp/>
        <stp>BDP|17007952472768094320</stp>
        <tr r="M1421" s="2"/>
      </tp>
      <tp t="s">
        <v>#N/A N/A</v>
        <stp/>
        <stp>BDP|11987651347158662982</stp>
        <tr r="S1768" s="2"/>
      </tp>
      <tp t="s">
        <v>#N/A N/A</v>
        <stp/>
        <stp>BDP|15226708226611869399</stp>
        <tr r="O197" s="2"/>
      </tp>
      <tp t="s">
        <v>#N/A N/A</v>
        <stp/>
        <stp>BDP|18207200734089256216</stp>
        <tr r="A1019" s="2"/>
      </tp>
      <tp t="s">
        <v>#N/A N/A</v>
        <stp/>
        <stp>BDP|13318946083563107301</stp>
        <tr r="K596" s="2"/>
      </tp>
      <tp t="s">
        <v>#N/A N/A</v>
        <stp/>
        <stp>BDP|17665594373091966607</stp>
        <tr r="G722" s="2"/>
      </tp>
      <tp t="s">
        <v>#N/A N/A</v>
        <stp/>
        <stp>BDP|11925561102594005285</stp>
        <tr r="J1772" s="2"/>
      </tp>
      <tp t="s">
        <v>#N/A N/A</v>
        <stp/>
        <stp>BDP|15345223754356502657</stp>
        <tr r="M2151" s="2"/>
      </tp>
      <tp t="s">
        <v>#N/A N/A</v>
        <stp/>
        <stp>BDP|15235071010032531452</stp>
        <tr r="F1210" s="2"/>
      </tp>
      <tp t="s">
        <v>#N/A N/A</v>
        <stp/>
        <stp>BDS|14681309746122572334</stp>
        <tr r="I1940" s="2"/>
      </tp>
      <tp t="s">
        <v>#N/A N/A</v>
        <stp/>
        <stp>BDP|12527437113404325130</stp>
        <tr r="D1319" s="2"/>
      </tp>
      <tp t="s">
        <v>#N/A N/A</v>
        <stp/>
        <stp>BDP|14753687018451114034</stp>
        <tr r="P2184" s="2"/>
      </tp>
      <tp t="s">
        <v>#N/A N/A</v>
        <stp/>
        <stp>BDP|17212559460814049226</stp>
        <tr r="D379" s="2"/>
      </tp>
      <tp t="s">
        <v>#N/A N/A</v>
        <stp/>
        <stp>BDP|15746952532695452817</stp>
        <tr r="C40" s="2"/>
      </tp>
      <tp t="s">
        <v>#N/A N/A</v>
        <stp/>
        <stp>BDP|10729063963134219053</stp>
        <tr r="E118" s="2"/>
      </tp>
      <tp t="s">
        <v>#N/A N/A</v>
        <stp/>
        <stp>BDP|17342493431447717590</stp>
        <tr r="D1863" s="2"/>
      </tp>
      <tp t="s">
        <v>#N/A N/A</v>
        <stp/>
        <stp>BDP|17832159740952807201</stp>
        <tr r="R1647" s="2"/>
      </tp>
      <tp t="s">
        <v>#N/A N/A</v>
        <stp/>
        <stp>BDP|11802794731746417110</stp>
        <tr r="E1876" s="2"/>
      </tp>
      <tp t="s">
        <v>#N/A N/A</v>
        <stp/>
        <stp>BDP|15793223668053806008</stp>
        <tr r="S476" s="2"/>
      </tp>
      <tp t="s">
        <v>#N/A N/A</v>
        <stp/>
        <stp>BDP|18381212023522492804</stp>
        <tr r="J398" s="2"/>
      </tp>
      <tp t="s">
        <v>#N/A N/A</v>
        <stp/>
        <stp>BDP|13143151032070607357</stp>
        <tr r="H780" s="2"/>
      </tp>
      <tp t="s">
        <v>#N/A N/A</v>
        <stp/>
        <stp>BDP|14658922489013921414</stp>
        <tr r="T1166" s="2"/>
      </tp>
      <tp t="s">
        <v>#N/A N/A</v>
        <stp/>
        <stp>BDP|16547291525080804444</stp>
        <tr r="N1602" s="2"/>
      </tp>
      <tp t="s">
        <v>#N/A N/A</v>
        <stp/>
        <stp>BDP|15213442413653977193</stp>
        <tr r="J1050" s="2"/>
      </tp>
      <tp t="s">
        <v>#N/A N/A</v>
        <stp/>
        <stp>BDP|10640728350778893893</stp>
        <tr r="Q608" s="2"/>
      </tp>
      <tp t="s">
        <v>#N/A N/A</v>
        <stp/>
        <stp>BDP|16517787362822990736</stp>
        <tr r="T1971" s="2"/>
      </tp>
      <tp t="s">
        <v>#N/A N/A</v>
        <stp/>
        <stp>BDP|12411012102752545271</stp>
        <tr r="M1141" s="2"/>
      </tp>
      <tp t="s">
        <v>#N/A N/A</v>
        <stp/>
        <stp>BDP|10129242214665703436</stp>
        <tr r="D1084" s="2"/>
      </tp>
      <tp t="s">
        <v>#N/A N/A</v>
        <stp/>
        <stp>BDP|13325604465207059631</stp>
        <tr r="S1469" s="2"/>
      </tp>
      <tp t="s">
        <v>#N/A N/A</v>
        <stp/>
        <stp>BDP|17453222607294476302</stp>
        <tr r="F1735" s="2"/>
      </tp>
      <tp t="s">
        <v>#N/A N/A</v>
        <stp/>
        <stp>BDP|11011233623450066350</stp>
        <tr r="O1738" s="2"/>
      </tp>
      <tp t="s">
        <v>#N/A N/A</v>
        <stp/>
        <stp>BDP|14723613464036285059</stp>
        <tr r="Q1482" s="2"/>
      </tp>
      <tp t="s">
        <v>#N/A N/A</v>
        <stp/>
        <stp>BDP|15933422379274654016</stp>
        <tr r="C519" s="2"/>
      </tp>
      <tp t="s">
        <v>#N/A N/A</v>
        <stp/>
        <stp>BDP|13984135116281082090</stp>
        <tr r="O111" s="2"/>
      </tp>
      <tp t="s">
        <v>#N/A N/A</v>
        <stp/>
        <stp>BDP|14143959900836776965</stp>
        <tr r="R1545" s="2"/>
      </tp>
      <tp t="s">
        <v>#N/A N/A</v>
        <stp/>
        <stp>BDP|13170069093810311820</stp>
        <tr r="D710" s="2"/>
      </tp>
      <tp t="s">
        <v>#N/A N/A</v>
        <stp/>
        <stp>BDP|11050801687275422663</stp>
        <tr r="J1908" s="2"/>
      </tp>
      <tp t="s">
        <v>#N/A N/A</v>
        <stp/>
        <stp>BDP|14561665343072016655</stp>
        <tr r="R1318" s="2"/>
      </tp>
      <tp t="s">
        <v>#N/A N/A</v>
        <stp/>
        <stp>BDP|13250592911840600599</stp>
        <tr r="F1591" s="2"/>
      </tp>
      <tp t="s">
        <v>#N/A N/A</v>
        <stp/>
        <stp>BDP|15345309355972258317</stp>
        <tr r="D1678" s="2"/>
      </tp>
      <tp t="s">
        <v>#N/A N/A</v>
        <stp/>
        <stp>BDP|17237462238004847613</stp>
        <tr r="S1912" s="2"/>
      </tp>
      <tp t="s">
        <v>#N/A N/A</v>
        <stp/>
        <stp>BDP|18158806004720077206</stp>
        <tr r="M1861" s="2"/>
      </tp>
      <tp t="s">
        <v>#N/A N/A</v>
        <stp/>
        <stp>BDP|18135189628881624825</stp>
        <tr r="J1622" s="2"/>
      </tp>
      <tp t="s">
        <v>#N/A N/A</v>
        <stp/>
        <stp>BDP|13418923881678312810</stp>
        <tr r="E540" s="2"/>
      </tp>
      <tp t="s">
        <v>#N/A N/A</v>
        <stp/>
        <stp>BDP|13873066496621460994</stp>
        <tr r="T2046" s="2"/>
      </tp>
      <tp t="s">
        <v>#N/A N/A</v>
        <stp/>
        <stp>BDP|10023024457031903693</stp>
        <tr r="P22" s="2"/>
      </tp>
      <tp t="s">
        <v>#N/A N/A</v>
        <stp/>
        <stp>BDP|13704836959998893403</stp>
        <tr r="N1493" s="2"/>
      </tp>
      <tp t="s">
        <v>#N/A N/A</v>
        <stp/>
        <stp>BDP|13745002228750935337</stp>
        <tr r="S1938" s="2"/>
      </tp>
      <tp t="s">
        <v>#N/A N/A</v>
        <stp/>
        <stp>BDP|10111744152020732053</stp>
        <tr r="J1397" s="2"/>
      </tp>
      <tp t="s">
        <v>#N/A N/A</v>
        <stp/>
        <stp>BDP|12075127446347776261</stp>
        <tr r="H621" s="2"/>
      </tp>
      <tp t="s">
        <v>#N/A N/A</v>
        <stp/>
        <stp>BDP|14589004483308394602</stp>
        <tr r="T78" s="2"/>
      </tp>
      <tp t="s">
        <v>#N/A N/A</v>
        <stp/>
        <stp>BDP|13902474819037211301</stp>
        <tr r="J2168" s="2"/>
      </tp>
      <tp t="s">
        <v>#N/A N/A</v>
        <stp/>
        <stp>BDP|18313547961390598968</stp>
        <tr r="C1954" s="2"/>
      </tp>
      <tp t="s">
        <v>#N/A N/A</v>
        <stp/>
        <stp>BDS|11043917024788021032</stp>
        <tr r="I577" s="2"/>
      </tp>
      <tp t="s">
        <v>#N/A N/A</v>
        <stp/>
        <stp>BDS|11706965670904391941</stp>
        <tr r="I544" s="2"/>
      </tp>
      <tp t="s">
        <v>#N/A N/A</v>
        <stp/>
        <stp>BDP|14673483778062202710</stp>
        <tr r="S503" s="2"/>
      </tp>
      <tp t="s">
        <v>#N/A N/A</v>
        <stp/>
        <stp>BDP|10991214947822294697</stp>
        <tr r="S730" s="2"/>
      </tp>
      <tp t="s">
        <v>#N/A N/A</v>
        <stp/>
        <stp>BDP|13406765490927018866</stp>
        <tr r="H1275" s="2"/>
      </tp>
      <tp t="s">
        <v>#N/A N/A</v>
        <stp/>
        <stp>BDP|11793408833285888180</stp>
        <tr r="N1789" s="2"/>
      </tp>
      <tp t="s">
        <v>#N/A N/A</v>
        <stp/>
        <stp>BDP|16511017003047041339</stp>
        <tr r="S366" s="2"/>
      </tp>
      <tp t="s">
        <v>#N/A N/A</v>
        <stp/>
        <stp>BDP|14664731063756397112</stp>
        <tr r="A1212" s="2"/>
      </tp>
      <tp t="s">
        <v>#N/A N/A</v>
        <stp/>
        <stp>BDP|13698204821652457375</stp>
        <tr r="J2085" s="2"/>
      </tp>
      <tp t="s">
        <v>#N/A N/A</v>
        <stp/>
        <stp>BDP|10617775951901243163</stp>
        <tr r="K236" s="2"/>
      </tp>
      <tp t="s">
        <v>#N/A N/A</v>
        <stp/>
        <stp>BDP|13288836302551781809</stp>
        <tr r="M2162" s="2"/>
      </tp>
      <tp t="s">
        <v>#N/A N/A</v>
        <stp/>
        <stp>BDP|16469176630704751208</stp>
        <tr r="F918" s="2"/>
      </tp>
      <tp t="s">
        <v>#N/A N/A</v>
        <stp/>
        <stp>BDP|16297105704726647345</stp>
        <tr r="F1313" s="2"/>
      </tp>
      <tp t="s">
        <v>#N/A N/A</v>
        <stp/>
        <stp>BDP|13221136207812423264</stp>
        <tr r="F1277" s="2"/>
      </tp>
      <tp t="s">
        <v>#N/A N/A</v>
        <stp/>
        <stp>BDP|11313744120815228316</stp>
        <tr r="O63" s="2"/>
      </tp>
      <tp t="s">
        <v>#N/A N/A</v>
        <stp/>
        <stp>BDP|12426243806254386613</stp>
        <tr r="S2183" s="2"/>
      </tp>
      <tp t="s">
        <v>#N/A N/A</v>
        <stp/>
        <stp>BDP|13364101435940558373</stp>
        <tr r="C2218" s="2"/>
      </tp>
      <tp t="s">
        <v>#N/A N/A</v>
        <stp/>
        <stp>BDP|17682255494787672955</stp>
        <tr r="T1712" s="2"/>
      </tp>
      <tp t="s">
        <v>#N/A N/A</v>
        <stp/>
        <stp>BDP|11893606860775506690</stp>
        <tr r="E1827" s="2"/>
      </tp>
      <tp t="s">
        <v>#N/A N/A</v>
        <stp/>
        <stp>BDP|16651333645010180356</stp>
        <tr r="R1879" s="2"/>
      </tp>
      <tp t="s">
        <v>#N/A N/A</v>
        <stp/>
        <stp>BDP|11005511263979663906</stp>
        <tr r="J1975" s="2"/>
      </tp>
      <tp t="s">
        <v>#N/A N/A</v>
        <stp/>
        <stp>BDP|12993677608463660544</stp>
        <tr r="D1660" s="2"/>
      </tp>
      <tp t="s">
        <v>#N/A N/A</v>
        <stp/>
        <stp>BDP|15478309286755263940</stp>
        <tr r="P1674" s="2"/>
      </tp>
      <tp t="s">
        <v>#N/A N/A</v>
        <stp/>
        <stp>BDP|13826049040786141397</stp>
        <tr r="S1501" s="2"/>
      </tp>
      <tp t="s">
        <v>#N/A N/A</v>
        <stp/>
        <stp>BDP|15890795554181265434</stp>
        <tr r="K634" s="2"/>
      </tp>
      <tp t="s">
        <v>#N/A N/A</v>
        <stp/>
        <stp>BDP|12172466479173975038</stp>
        <tr r="T1814" s="2"/>
      </tp>
      <tp t="s">
        <v>#N/A N/A</v>
        <stp/>
        <stp>BDP|12528429694755466834</stp>
        <tr r="J1917" s="2"/>
      </tp>
      <tp t="s">
        <v>#N/A N/A</v>
        <stp/>
        <stp>BDP|12853318929652200365</stp>
        <tr r="E351" s="2"/>
      </tp>
      <tp t="s">
        <v>#N/A N/A</v>
        <stp/>
        <stp>BDP|11055634273864359672</stp>
        <tr r="F1979" s="2"/>
      </tp>
      <tp t="s">
        <v>#N/A N/A</v>
        <stp/>
        <stp>BDP|13323304792969669237</stp>
        <tr r="J1638" s="2"/>
      </tp>
      <tp t="s">
        <v>#N/A N/A</v>
        <stp/>
        <stp>BDP|10948321205918341996</stp>
        <tr r="J1526" s="2"/>
      </tp>
      <tp t="s">
        <v>#N/A N/A</v>
        <stp/>
        <stp>BDP|12052448291479137404</stp>
        <tr r="M1229" s="2"/>
      </tp>
      <tp t="s">
        <v>#N/A N/A</v>
        <stp/>
        <stp>BDP|17096511152791717403</stp>
        <tr r="A1732" s="2"/>
      </tp>
      <tp t="s">
        <v>#N/A N/A</v>
        <stp/>
        <stp>BDP|10335407330966643314</stp>
        <tr r="C1858" s="2"/>
      </tp>
      <tp t="s">
        <v>#N/A N/A</v>
        <stp/>
        <stp>BDP|13881091030877795525</stp>
        <tr r="C1320" s="2"/>
      </tp>
      <tp t="s">
        <v>#N/A N/A</v>
        <stp/>
        <stp>BDP|15760379823361513721</stp>
        <tr r="S1076" s="2"/>
      </tp>
      <tp t="s">
        <v>#N/A N/A</v>
        <stp/>
        <stp>BDP|12273649928636877223</stp>
        <tr r="F521" s="2"/>
      </tp>
      <tp t="s">
        <v>#N/A N/A</v>
        <stp/>
        <stp>BDP|10099037697402747972</stp>
        <tr r="R321" s="2"/>
      </tp>
      <tp t="s">
        <v>#N/A N/A</v>
        <stp/>
        <stp>BDP|12996123646795082099</stp>
        <tr r="F1330" s="2"/>
      </tp>
      <tp t="s">
        <v>#N/A N/A</v>
        <stp/>
        <stp>BDP|10882835441747927974</stp>
        <tr r="H2186" s="2"/>
      </tp>
      <tp t="s">
        <v>#N/A N/A</v>
        <stp/>
        <stp>BDP|14777346348450690190</stp>
        <tr r="K825" s="2"/>
      </tp>
      <tp t="s">
        <v>#N/A N/A</v>
        <stp/>
        <stp>BDP|15140281656925215591</stp>
        <tr r="A576" s="2"/>
      </tp>
      <tp t="s">
        <v>#N/A N/A</v>
        <stp/>
        <stp>BDP|13184282019374673622</stp>
        <tr r="M67" s="2"/>
      </tp>
      <tp t="s">
        <v>#N/A N/A</v>
        <stp/>
        <stp>BDP|16158289348523797123</stp>
        <tr r="D87" s="2"/>
      </tp>
      <tp t="s">
        <v>#N/A N/A</v>
        <stp/>
        <stp>BDP|16166340246583422032</stp>
        <tr r="A808" s="2"/>
      </tp>
      <tp t="s">
        <v>#N/A N/A</v>
        <stp/>
        <stp>BDP|15531235741745216413</stp>
        <tr r="G174" s="2"/>
      </tp>
      <tp t="s">
        <v>#N/A N/A</v>
        <stp/>
        <stp>BDP|15014538058305683291</stp>
        <tr r="Q691" s="2"/>
      </tp>
      <tp t="s">
        <v>#N/A N/A</v>
        <stp/>
        <stp>BDP|18346001299565745697</stp>
        <tr r="D1296" s="2"/>
      </tp>
      <tp t="s">
        <v>#N/A N/A</v>
        <stp/>
        <stp>BDP|11449231631266108434</stp>
        <tr r="H925" s="2"/>
      </tp>
      <tp t="s">
        <v>#N/A N/A</v>
        <stp/>
        <stp>BDP|12705113646421302474</stp>
        <tr r="N1673" s="2"/>
      </tp>
      <tp t="s">
        <v>#N/A N/A</v>
        <stp/>
        <stp>BDP|17121327335643339612</stp>
        <tr r="G1243" s="2"/>
      </tp>
      <tp t="s">
        <v>#N/A N/A</v>
        <stp/>
        <stp>BDP|10159212632490108371</stp>
        <tr r="S334" s="2"/>
      </tp>
      <tp t="s">
        <v>#N/A N/A</v>
        <stp/>
        <stp>BDP|12389555977504329668</stp>
        <tr r="A875" s="2"/>
      </tp>
      <tp t="s">
        <v>#N/A N/A</v>
        <stp/>
        <stp>BDP|14033666541462345607</stp>
        <tr r="E307" s="2"/>
      </tp>
      <tp t="s">
        <v>#N/A N/A</v>
        <stp/>
        <stp>BDP|14121205714377124204</stp>
        <tr r="C778" s="2"/>
      </tp>
      <tp t="s">
        <v>#N/A N/A</v>
        <stp/>
        <stp>BDP|17009336774917088635</stp>
        <tr r="F377" s="2"/>
      </tp>
      <tp t="s">
        <v>#N/A N/A</v>
        <stp/>
        <stp>BDP|15488954993963651402</stp>
        <tr r="K15" s="2"/>
      </tp>
      <tp t="s">
        <v>#N/A N/A</v>
        <stp/>
        <stp>BDP|10061711940106725725</stp>
        <tr r="J1295" s="2"/>
      </tp>
      <tp t="s">
        <v>#N/A N/A</v>
        <stp/>
        <stp>BDP|11457638865632083162</stp>
        <tr r="P1903" s="2"/>
      </tp>
      <tp t="s">
        <v>#N/A N/A</v>
        <stp/>
        <stp>BDP|16849873077268549390</stp>
        <tr r="A727" s="2"/>
      </tp>
      <tp t="s">
        <v>#N/A N/A</v>
        <stp/>
        <stp>BDP|17981896355169062118</stp>
        <tr r="F1847" s="2"/>
      </tp>
      <tp t="s">
        <v>#N/A N/A</v>
        <stp/>
        <stp>BDP|15161726528636839475</stp>
        <tr r="Q677" s="2"/>
      </tp>
      <tp t="s">
        <v>#N/A N/A</v>
        <stp/>
        <stp>BDP|17523308842950660255</stp>
        <tr r="M1676" s="2"/>
      </tp>
      <tp t="s">
        <v>#N/A N/A</v>
        <stp/>
        <stp>BDP|14611205053289740862</stp>
        <tr r="Q179" s="2"/>
      </tp>
      <tp t="s">
        <v>#N/A N/A</v>
        <stp/>
        <stp>BDP|15163092545675128680</stp>
        <tr r="D925" s="2"/>
      </tp>
      <tp t="s">
        <v>#N/A N/A</v>
        <stp/>
        <stp>BDP|11206108600761677308</stp>
        <tr r="M42" s="2"/>
      </tp>
      <tp t="s">
        <v>#N/A N/A</v>
        <stp/>
        <stp>BDP|13169484332646952066</stp>
        <tr r="Q302" s="2"/>
      </tp>
      <tp t="s">
        <v>#N/A N/A</v>
        <stp/>
        <stp>BDP|14457283518691312436</stp>
        <tr r="P365" s="2"/>
      </tp>
      <tp t="s">
        <v>#N/A N/A</v>
        <stp/>
        <stp>BDP|10619371742674653114</stp>
        <tr r="S1790" s="2"/>
      </tp>
      <tp t="s">
        <v>#N/A N/A</v>
        <stp/>
        <stp>BDP|18031963335255453530</stp>
        <tr r="G1573" s="2"/>
      </tp>
      <tp t="s">
        <v>#N/A N/A</v>
        <stp/>
        <stp>BDP|16310578502819665840</stp>
        <tr r="P1744" s="2"/>
      </tp>
      <tp t="s">
        <v>#N/A N/A</v>
        <stp/>
        <stp>BDP|17545564519152718396</stp>
        <tr r="O2104" s="2"/>
      </tp>
      <tp t="s">
        <v>#N/A N/A</v>
        <stp/>
        <stp>BDP|15455162470698554932</stp>
        <tr r="F284" s="2"/>
      </tp>
      <tp t="s">
        <v>#N/A N/A</v>
        <stp/>
        <stp>BDP|15690497761663378699</stp>
        <tr r="G2172" s="2"/>
      </tp>
      <tp t="s">
        <v>#N/A N/A</v>
        <stp/>
        <stp>BDP|17942234091189701787</stp>
        <tr r="H2239" s="2"/>
      </tp>
      <tp t="s">
        <v>#N/A N/A</v>
        <stp/>
        <stp>BDP|17137116027132543466</stp>
        <tr r="F45" s="2"/>
      </tp>
      <tp t="s">
        <v>#N/A N/A</v>
        <stp/>
        <stp>BDP|17130172363604705661</stp>
        <tr r="D118" s="2"/>
      </tp>
      <tp t="s">
        <v>#N/A N/A</v>
        <stp/>
        <stp>BDP|10597056262956130273</stp>
        <tr r="Q775" s="2"/>
      </tp>
      <tp t="s">
        <v>#N/A N/A</v>
        <stp/>
        <stp>BDP|13979655278535698568</stp>
        <tr r="O595" s="2"/>
      </tp>
      <tp t="s">
        <v>#N/A N/A</v>
        <stp/>
        <stp>BDP|13345815716378369031</stp>
        <tr r="D436" s="2"/>
      </tp>
      <tp t="s">
        <v>#N/A N/A</v>
        <stp/>
        <stp>BDP|16680982687580826558</stp>
        <tr r="H604" s="2"/>
      </tp>
      <tp t="s">
        <v>#N/A N/A</v>
        <stp/>
        <stp>BDP|18002727214624108834</stp>
        <tr r="E2079" s="2"/>
      </tp>
      <tp t="s">
        <v>#N/A N/A</v>
        <stp/>
        <stp>BDP|13490141006901115135</stp>
        <tr r="A1488" s="2"/>
      </tp>
      <tp t="s">
        <v>#N/A N/A</v>
        <stp/>
        <stp>BDP|18227448280913255503</stp>
        <tr r="H1603" s="2"/>
      </tp>
      <tp t="s">
        <v>#N/A N/A</v>
        <stp/>
        <stp>BDS|17030139833583590423</stp>
        <tr r="I729" s="2"/>
      </tp>
      <tp t="s">
        <v>#N/A N/A</v>
        <stp/>
        <stp>BDP|15058444435292316267</stp>
        <tr r="J1807" s="2"/>
      </tp>
      <tp t="s">
        <v>#N/A N/A</v>
        <stp/>
        <stp>BDP|10795752446959956892</stp>
        <tr r="N1587" s="2"/>
      </tp>
      <tp t="s">
        <v>#N/A N/A</v>
        <stp/>
        <stp>BDP|13481120096081256869</stp>
        <tr r="K1741" s="2"/>
      </tp>
      <tp t="s">
        <v>#N/A N/A</v>
        <stp/>
        <stp>BDP|12338238504636887481</stp>
        <tr r="C2080" s="2"/>
      </tp>
      <tp t="s">
        <v>#N/A N/A</v>
        <stp/>
        <stp>BDP|13187358345981396764</stp>
        <tr r="C284" s="2"/>
      </tp>
      <tp t="s">
        <v>#N/A N/A</v>
        <stp/>
        <stp>BDP|15366264954310429017</stp>
        <tr r="R1745" s="2"/>
      </tp>
      <tp t="s">
        <v>#N/A N/A</v>
        <stp/>
        <stp>BDS|17333072180555560866</stp>
        <tr r="I782" s="2"/>
      </tp>
      <tp t="s">
        <v>#N/A N/A</v>
        <stp/>
        <stp>BDP|17320276777194518420</stp>
        <tr r="C271" s="2"/>
      </tp>
      <tp t="s">
        <v>#N/A N/A</v>
        <stp/>
        <stp>BDP|10632372045863295624</stp>
        <tr r="N946" s="2"/>
      </tp>
      <tp t="s">
        <v>#N/A N/A</v>
        <stp/>
        <stp>BDP|14089228420474359255</stp>
        <tr r="F1691" s="2"/>
      </tp>
      <tp t="s">
        <v>#N/A N/A</v>
        <stp/>
        <stp>BDP|13431269670180593409</stp>
        <tr r="K56" s="2"/>
      </tp>
      <tp t="s">
        <v>#N/A N/A</v>
        <stp/>
        <stp>BDP|12396106347637019233</stp>
        <tr r="A1480" s="2"/>
      </tp>
      <tp t="s">
        <v>#N/A N/A</v>
        <stp/>
        <stp>BDP|14237114966020049128</stp>
        <tr r="T1423" s="2"/>
      </tp>
      <tp t="s">
        <v>#N/A N/A</v>
        <stp/>
        <stp>BDP|14751246513400680514</stp>
        <tr r="C37" s="2"/>
      </tp>
      <tp t="s">
        <v>#N/A N/A</v>
        <stp/>
        <stp>BDP|13690165651360516535</stp>
        <tr r="R982" s="2"/>
      </tp>
      <tp t="s">
        <v>#N/A N/A</v>
        <stp/>
        <stp>BDP|17162474218058807819</stp>
        <tr r="F1684" s="2"/>
      </tp>
      <tp t="s">
        <v>#N/A N/A</v>
        <stp/>
        <stp>BDP|16785096602315356182</stp>
        <tr r="T1302" s="2"/>
      </tp>
      <tp t="s">
        <v>#N/A N/A</v>
        <stp/>
        <stp>BDP|15041959943362719865</stp>
        <tr r="R2143" s="2"/>
      </tp>
      <tp t="s">
        <v>#N/A N/A</v>
        <stp/>
        <stp>BDP|14476657327973653176</stp>
        <tr r="E503" s="2"/>
      </tp>
      <tp t="s">
        <v>#N/A N/A</v>
        <stp/>
        <stp>BDP|17720743203035588720</stp>
        <tr r="K949" s="2"/>
      </tp>
      <tp t="s">
        <v>#N/A N/A</v>
        <stp/>
        <stp>BDP|15943168082438918630</stp>
        <tr r="R110" s="2"/>
      </tp>
      <tp t="s">
        <v>#N/A N/A</v>
        <stp/>
        <stp>BDP|12820907089639385852</stp>
        <tr r="M2021" s="2"/>
      </tp>
      <tp t="s">
        <v>#N/A N/A</v>
        <stp/>
        <stp>BDP|14419719629566228596</stp>
        <tr r="F906" s="2"/>
      </tp>
      <tp t="s">
        <v>#N/A N/A</v>
        <stp/>
        <stp>BDP|18332791004575986806</stp>
        <tr r="Q1536" s="2"/>
      </tp>
      <tp t="s">
        <v>#N/A N/A</v>
        <stp/>
        <stp>BDP|13388153002405557562</stp>
        <tr r="M1778" s="2"/>
      </tp>
      <tp t="s">
        <v>#N/A N/A</v>
        <stp/>
        <stp>BDP|14708199413736814027</stp>
        <tr r="J1167" s="2"/>
      </tp>
      <tp t="s">
        <v>#N/A N/A</v>
        <stp/>
        <stp>BDP|11796589752930392398</stp>
        <tr r="D2015" s="2"/>
      </tp>
      <tp t="s">
        <v>#N/A N/A</v>
        <stp/>
        <stp>BDP|15734082512980824625</stp>
        <tr r="O2164" s="2"/>
      </tp>
      <tp t="s">
        <v>#N/A N/A</v>
        <stp/>
        <stp>BDP|13726248531254409417</stp>
        <tr r="E977" s="2"/>
      </tp>
      <tp t="s">
        <v>#N/A N/A</v>
        <stp/>
        <stp>BDP|17642840850139336169</stp>
        <tr r="E852" s="2"/>
      </tp>
      <tp t="s">
        <v>#N/A N/A</v>
        <stp/>
        <stp>BDP|11384341565521609732</stp>
        <tr r="N884" s="2"/>
      </tp>
      <tp t="s">
        <v>#N/A N/A</v>
        <stp/>
        <stp>BDP|11095347276800115749</stp>
        <tr r="T2102" s="2"/>
      </tp>
      <tp t="s">
        <v>#N/A N/A</v>
        <stp/>
        <stp>BDP|18422712666078561318</stp>
        <tr r="C1781" s="2"/>
      </tp>
      <tp t="s">
        <v>#N/A N/A</v>
        <stp/>
        <stp>BDP|14241036731855477030</stp>
        <tr r="R422" s="2"/>
      </tp>
      <tp t="s">
        <v>#N/A N/A</v>
        <stp/>
        <stp>BDP|14386567737731743121</stp>
        <tr r="R1009" s="2"/>
      </tp>
      <tp t="s">
        <v>#N/A N/A</v>
        <stp/>
        <stp>BDP|11977113121462792294</stp>
        <tr r="O2029" s="2"/>
      </tp>
      <tp t="s">
        <v>#N/A N/A</v>
        <stp/>
        <stp>BDP|17056153065703359148</stp>
        <tr r="M2125" s="2"/>
      </tp>
      <tp t="s">
        <v>#N/A N/A</v>
        <stp/>
        <stp>BDP|10565737214201495516</stp>
        <tr r="T1516" s="2"/>
      </tp>
      <tp t="s">
        <v>#N/A N/A</v>
        <stp/>
        <stp>BDP|12340471127003483501</stp>
        <tr r="J1365" s="2"/>
      </tp>
      <tp t="s">
        <v>#N/A N/A</v>
        <stp/>
        <stp>BDP|14322994812228941663</stp>
        <tr r="R2155" s="2"/>
      </tp>
      <tp t="s">
        <v>#N/A N/A</v>
        <stp/>
        <stp>BDP|17210364857072628124</stp>
        <tr r="Q2029" s="2"/>
      </tp>
      <tp t="s">
        <v>#N/A N/A</v>
        <stp/>
        <stp>BDP|13153406280498345551</stp>
        <tr r="Q2159" s="2"/>
      </tp>
      <tp t="s">
        <v>#N/A N/A</v>
        <stp/>
        <stp>BDP|12564456657352098308</stp>
        <tr r="M451" s="2"/>
      </tp>
      <tp t="s">
        <v>#N/A N/A</v>
        <stp/>
        <stp>BDP|13844751939631544465</stp>
        <tr r="N306" s="2"/>
      </tp>
      <tp t="s">
        <v>#N/A N/A</v>
        <stp/>
        <stp>BDP|17871310125501265596</stp>
        <tr r="J326" s="2"/>
      </tp>
      <tp t="s">
        <v>#N/A N/A</v>
        <stp/>
        <stp>BDP|12443246436311262035</stp>
        <tr r="T1620" s="2"/>
      </tp>
      <tp t="s">
        <v>#N/A N/A</v>
        <stp/>
        <stp>BDP|16754299701534081283</stp>
        <tr r="J932" s="2"/>
      </tp>
      <tp t="s">
        <v>#N/A N/A</v>
        <stp/>
        <stp>BDP|17123921465178621272</stp>
        <tr r="J2065" s="2"/>
      </tp>
      <tp t="s">
        <v>#N/A N/A</v>
        <stp/>
        <stp>BDP|15062514296773049800</stp>
        <tr r="C1143" s="2"/>
      </tp>
      <tp t="s">
        <v>#N/A N/A</v>
        <stp/>
        <stp>BDP|16246238655814617754</stp>
        <tr r="A81" s="2"/>
      </tp>
      <tp t="s">
        <v>#N/A N/A</v>
        <stp/>
        <stp>BDP|16702739303973354034</stp>
        <tr r="M133" s="2"/>
      </tp>
      <tp t="s">
        <v>#N/A N/A</v>
        <stp/>
        <stp>BDP|11271058907534727708</stp>
        <tr r="Q1681" s="2"/>
      </tp>
      <tp t="s">
        <v>#N/A N/A</v>
        <stp/>
        <stp>BDP|13431506144080624017</stp>
        <tr r="C1210" s="2"/>
      </tp>
      <tp t="s">
        <v>#N/A N/A</v>
        <stp/>
        <stp>BDP|18198855238724280593</stp>
        <tr r="T568" s="2"/>
      </tp>
      <tp t="s">
        <v>#N/A N/A</v>
        <stp/>
        <stp>BDS|15444027261615100425</stp>
        <tr r="I1461" s="2"/>
      </tp>
      <tp t="s">
        <v>#N/A N/A</v>
        <stp/>
        <stp>BDP|11036044440114302306</stp>
        <tr r="N1933" s="2"/>
      </tp>
      <tp t="s">
        <v>#N/A N/A</v>
        <stp/>
        <stp>BDP|15357043971582917282</stp>
        <tr r="M850" s="2"/>
      </tp>
      <tp t="s">
        <v>#N/A N/A</v>
        <stp/>
        <stp>BDP|14723655366696459074</stp>
        <tr r="O893" s="2"/>
      </tp>
      <tp t="s">
        <v>#N/A N/A</v>
        <stp/>
        <stp>BDP|16511560995108148004</stp>
        <tr r="J97" s="2"/>
      </tp>
      <tp t="s">
        <v>#N/A N/A</v>
        <stp/>
        <stp>BDP|17025511471496067176</stp>
        <tr r="F1115" s="2"/>
      </tp>
      <tp t="s">
        <v>#N/A N/A</v>
        <stp/>
        <stp>BDP|16148226513037244051</stp>
        <tr r="K2142" s="2"/>
      </tp>
      <tp t="s">
        <v>#N/A N/A</v>
        <stp/>
        <stp>BDP|16427357106566055102</stp>
        <tr r="S1870" s="2"/>
      </tp>
      <tp t="s">
        <v>#N/A N/A</v>
        <stp/>
        <stp>BDP|16315200453875082676</stp>
        <tr r="F1268" s="2"/>
      </tp>
      <tp t="s">
        <v>#N/A N/A</v>
        <stp/>
        <stp>BDP|13759003191999296131</stp>
        <tr r="G1089" s="2"/>
      </tp>
      <tp t="s">
        <v>#N/A N/A</v>
        <stp/>
        <stp>BDP|12253069181130637849</stp>
        <tr r="E1277" s="2"/>
      </tp>
      <tp t="s">
        <v>#N/A N/A</v>
        <stp/>
        <stp>BDP|11372154242587664156</stp>
        <tr r="D807" s="2"/>
      </tp>
      <tp t="s">
        <v>#N/A N/A</v>
        <stp/>
        <stp>BDP|16225170916333160751</stp>
        <tr r="N1961" s="2"/>
      </tp>
      <tp t="s">
        <v>#N/A N/A</v>
        <stp/>
        <stp>BDP|11324573643757399539</stp>
        <tr r="Q1975" s="2"/>
      </tp>
      <tp t="s">
        <v>#N/A N/A</v>
        <stp/>
        <stp>BDP|11160198766462044698</stp>
        <tr r="K1868" s="2"/>
      </tp>
      <tp t="s">
        <v>#N/A N/A</v>
        <stp/>
        <stp>BDP|14060032151816421518</stp>
        <tr r="A1895" s="2"/>
      </tp>
      <tp t="s">
        <v>#N/A N/A</v>
        <stp/>
        <stp>BDP|15418572026034415467</stp>
        <tr r="T789" s="2"/>
      </tp>
      <tp t="s">
        <v>#N/A N/A</v>
        <stp/>
        <stp>BDP|14737930182466939181</stp>
        <tr r="G1490" s="2"/>
      </tp>
      <tp t="s">
        <v>#N/A N/A</v>
        <stp/>
        <stp>BDP|15780000667442784301</stp>
        <tr r="S2082" s="2"/>
      </tp>
      <tp t="s">
        <v>#N/A N/A</v>
        <stp/>
        <stp>BDP|15605194178037057604</stp>
        <tr r="K292" s="2"/>
      </tp>
      <tp t="s">
        <v>#N/A N/A</v>
        <stp/>
        <stp>BDP|11407293288451663844</stp>
        <tr r="N1252" s="2"/>
      </tp>
      <tp t="s">
        <v>#N/A N/A</v>
        <stp/>
        <stp>BDP|17343067101874288117</stp>
        <tr r="A1118" s="2"/>
      </tp>
      <tp t="s">
        <v>#N/A N/A</v>
        <stp/>
        <stp>BDP|14015924815719663760</stp>
        <tr r="R1578" s="2"/>
      </tp>
      <tp t="s">
        <v>#N/A N/A</v>
        <stp/>
        <stp>BDP|11527478447130189337</stp>
        <tr r="M447" s="2"/>
      </tp>
      <tp t="s">
        <v>#N/A N/A</v>
        <stp/>
        <stp>BDP|10345085644532018481</stp>
        <tr r="M679" s="2"/>
      </tp>
      <tp t="s">
        <v>#N/A N/A</v>
        <stp/>
        <stp>BDP|14319795649012084748</stp>
        <tr r="F114" s="2"/>
      </tp>
      <tp t="s">
        <v>#N/A N/A</v>
        <stp/>
        <stp>BDP|13894585415941011420</stp>
        <tr r="E1440" s="2"/>
      </tp>
      <tp t="s">
        <v>#N/A N/A</v>
        <stp/>
        <stp>BDP|14577061355730652370</stp>
        <tr r="H1136" s="2"/>
      </tp>
      <tp t="s">
        <v>#N/A N/A</v>
        <stp/>
        <stp>BDP|16516400065077267153</stp>
        <tr r="C637" s="2"/>
      </tp>
      <tp t="s">
        <v>#N/A N/A</v>
        <stp/>
        <stp>BDP|12114882026733146994</stp>
        <tr r="G1102" s="2"/>
      </tp>
      <tp t="s">
        <v>#N/A N/A</v>
        <stp/>
        <stp>BDP|17210259137045346148</stp>
        <tr r="J453" s="2"/>
      </tp>
      <tp t="s">
        <v>#N/A N/A</v>
        <stp/>
        <stp>BDP|16839199191255715912</stp>
        <tr r="E404" s="2"/>
      </tp>
      <tp t="s">
        <v>#N/A N/A</v>
        <stp/>
        <stp>BDP|17026730637102708358</stp>
        <tr r="T689" s="2"/>
      </tp>
      <tp t="s">
        <v>#N/A N/A</v>
        <stp/>
        <stp>BDP|10537219981089023133</stp>
        <tr r="T258" s="2"/>
      </tp>
      <tp t="s">
        <v>#N/A N/A</v>
        <stp/>
        <stp>BDP|10995844708229371303</stp>
        <tr r="Q617" s="2"/>
      </tp>
      <tp t="s">
        <v>#N/A N/A</v>
        <stp/>
        <stp>BDP|16682125061780718340</stp>
        <tr r="G980" s="2"/>
      </tp>
      <tp t="s">
        <v>#N/A N/A</v>
        <stp/>
        <stp>BDP|13309077536662084043</stp>
        <tr r="J1599" s="2"/>
      </tp>
      <tp t="s">
        <v>#N/A N/A</v>
        <stp/>
        <stp>BDP|17676475005579659848</stp>
        <tr r="P917" s="2"/>
      </tp>
      <tp t="s">
        <v>#N/A N/A</v>
        <stp/>
        <stp>BDP|16790474330291711214</stp>
        <tr r="H1050" s="2"/>
      </tp>
      <tp t="s">
        <v>#N/A N/A</v>
        <stp/>
        <stp>BDP|16958899337476483959</stp>
        <tr r="J819" s="2"/>
      </tp>
      <tp t="s">
        <v>#N/A N/A</v>
        <stp/>
        <stp>BDP|11687669864567781455</stp>
        <tr r="J1311" s="2"/>
      </tp>
      <tp t="s">
        <v>#N/A N/A</v>
        <stp/>
        <stp>BDP|10623500241424286737</stp>
        <tr r="F930" s="2"/>
      </tp>
      <tp t="s">
        <v>#N/A N/A</v>
        <stp/>
        <stp>BDP|17400647736875965590</stp>
        <tr r="N338" s="2"/>
      </tp>
      <tp t="s">
        <v>#N/A N/A</v>
        <stp/>
        <stp>BDP|14634222115555481035</stp>
        <tr r="D772" s="2"/>
      </tp>
      <tp t="s">
        <v>#N/A N/A</v>
        <stp/>
        <stp>BDP|12884081818841708098</stp>
        <tr r="R1141" s="2"/>
      </tp>
      <tp t="s">
        <v>#N/A N/A</v>
        <stp/>
        <stp>BDP|17591428616314286453</stp>
        <tr r="S1948" s="2"/>
      </tp>
      <tp t="s">
        <v>#N/A N/A</v>
        <stp/>
        <stp>BDP|13313528454305774444</stp>
        <tr r="C121" s="2"/>
      </tp>
      <tp t="s">
        <v>#N/A N/A</v>
        <stp/>
        <stp>BDP|17024984168813236944</stp>
        <tr r="K1324" s="2"/>
      </tp>
      <tp t="s">
        <v>#N/A N/A</v>
        <stp/>
        <stp>BDP|12873703812802964452</stp>
        <tr r="O1535" s="2"/>
      </tp>
      <tp t="s">
        <v>#N/A N/A</v>
        <stp/>
        <stp>BDP|16389565727661247267</stp>
        <tr r="N1956" s="2"/>
      </tp>
      <tp t="s">
        <v>#N/A N/A</v>
        <stp/>
        <stp>BDP|10659235071352040528</stp>
        <tr r="M219" s="2"/>
      </tp>
      <tp t="s">
        <v>#N/A N/A</v>
        <stp/>
        <stp>BDP|12494715938137912323</stp>
        <tr r="R1899" s="2"/>
      </tp>
      <tp t="s">
        <v>#N/A N/A</v>
        <stp/>
        <stp>BDP|11435038431465089508</stp>
        <tr r="N1941" s="2"/>
      </tp>
      <tp t="s">
        <v>#N/A N/A</v>
        <stp/>
        <stp>BDP|17999330420377443381</stp>
        <tr r="C1266" s="2"/>
      </tp>
      <tp t="s">
        <v>#N/A N/A</v>
        <stp/>
        <stp>BDP|12857107900342882366</stp>
        <tr r="J155" s="2"/>
      </tp>
      <tp t="s">
        <v>#N/A N/A</v>
        <stp/>
        <stp>BDP|10141629767336681449</stp>
        <tr r="N1099" s="2"/>
      </tp>
      <tp t="s">
        <v>#N/A N/A</v>
        <stp/>
        <stp>BDP|13610030713842147212</stp>
        <tr r="M696" s="2"/>
      </tp>
      <tp t="s">
        <v>#N/A N/A</v>
        <stp/>
        <stp>BDS|12702383999879378303</stp>
        <tr r="I449" s="2"/>
      </tp>
      <tp t="s">
        <v>#N/A N/A</v>
        <stp/>
        <stp>BDP|10765006313414181733</stp>
        <tr r="C1397" s="2"/>
      </tp>
      <tp t="s">
        <v>#N/A N/A</v>
        <stp/>
        <stp>BDP|10284274620051356306</stp>
        <tr r="S677" s="2"/>
      </tp>
      <tp t="s">
        <v>#N/A N/A</v>
        <stp/>
        <stp>BDP|11255724420381558738</stp>
        <tr r="N1751" s="2"/>
      </tp>
      <tp t="s">
        <v>#N/A N/A</v>
        <stp/>
        <stp>BDP|10673220995530059978</stp>
        <tr r="H1033" s="2"/>
      </tp>
      <tp t="s">
        <v>#N/A N/A</v>
        <stp/>
        <stp>BDP|15747636071962712445</stp>
        <tr r="Q1745" s="2"/>
      </tp>
      <tp t="s">
        <v>#N/A N/A</v>
        <stp/>
        <stp>BDP|17365051719822992609</stp>
        <tr r="P1361" s="2"/>
      </tp>
      <tp t="s">
        <v>#N/A N/A</v>
        <stp/>
        <stp>BDP|10359772856380221068</stp>
        <tr r="J802" s="2"/>
      </tp>
      <tp t="s">
        <v>#N/A N/A</v>
        <stp/>
        <stp>BDP|17094284079441338144</stp>
        <tr r="P467" s="2"/>
      </tp>
      <tp t="s">
        <v>#N/A N/A</v>
        <stp/>
        <stp>BDP|14368344142450516169</stp>
        <tr r="Q130" s="2"/>
      </tp>
      <tp t="s">
        <v>#N/A N/A</v>
        <stp/>
        <stp>BDP|17051841494196329259</stp>
        <tr r="T712" s="2"/>
      </tp>
      <tp t="s">
        <v>#N/A N/A</v>
        <stp/>
        <stp>BDP|18112615062563784937</stp>
        <tr r="P587" s="2"/>
      </tp>
      <tp t="s">
        <v>#N/A N/A</v>
        <stp/>
        <stp>BDP|16274933682174387163</stp>
        <tr r="P51" s="2"/>
      </tp>
      <tp t="s">
        <v>#N/A N/A</v>
        <stp/>
        <stp>BDP|10034685814025992032</stp>
        <tr r="C413" s="2"/>
      </tp>
      <tp t="s">
        <v>#N/A N/A</v>
        <stp/>
        <stp>BDS|11124256015396681622</stp>
        <tr r="I1837" s="2"/>
      </tp>
      <tp t="s">
        <v>#N/A N/A</v>
        <stp/>
        <stp>BDS|11221747061694066628</stp>
        <tr r="I1736" s="2"/>
      </tp>
      <tp t="s">
        <v>#N/A N/A</v>
        <stp/>
        <stp>BDP|17458233006830212752</stp>
        <tr r="R1203" s="2"/>
      </tp>
      <tp t="s">
        <v>#N/A N/A</v>
        <stp/>
        <stp>BDP|10691805241686640873</stp>
        <tr r="K364" s="2"/>
      </tp>
      <tp t="s">
        <v>#N/A N/A</v>
        <stp/>
        <stp>BDP|17280056392278662457</stp>
        <tr r="E647" s="2"/>
      </tp>
      <tp t="s">
        <v>#N/A N/A</v>
        <stp/>
        <stp>BDP|16874970896835976164</stp>
        <tr r="C436" s="2"/>
      </tp>
      <tp t="s">
        <v>#N/A N/A</v>
        <stp/>
        <stp>BDP|10359406372885658412</stp>
        <tr r="P32" s="2"/>
      </tp>
      <tp t="s">
        <v>#N/A N/A</v>
        <stp/>
        <stp>BDP|11567046380063044878</stp>
        <tr r="E1677" s="2"/>
      </tp>
      <tp t="s">
        <v>#N/A N/A</v>
        <stp/>
        <stp>BDP|10832625105297167381</stp>
        <tr r="P172" s="2"/>
      </tp>
      <tp t="s">
        <v>#N/A N/A</v>
        <stp/>
        <stp>BDP|11783507575515718438</stp>
        <tr r="R1459" s="2"/>
      </tp>
      <tp t="s">
        <v>#N/A N/A</v>
        <stp/>
        <stp>BDP|17416065715085076110</stp>
        <tr r="N568" s="2"/>
      </tp>
      <tp t="s">
        <v>#N/A N/A</v>
        <stp/>
        <stp>BDP|11195201145396603348</stp>
        <tr r="J1574" s="2"/>
      </tp>
      <tp t="s">
        <v>#N/A N/A</v>
        <stp/>
        <stp>BDP|11911585861140203046</stp>
        <tr r="E312" s="2"/>
      </tp>
      <tp t="s">
        <v>#N/A N/A</v>
        <stp/>
        <stp>BDP|13612150904563943383</stp>
        <tr r="T1522" s="2"/>
      </tp>
      <tp t="s">
        <v>#N/A N/A</v>
        <stp/>
        <stp>BDP|10997057519192693155</stp>
        <tr r="R50" s="2"/>
      </tp>
      <tp t="s">
        <v>#N/A N/A</v>
        <stp/>
        <stp>BDP|16390901057698441069</stp>
        <tr r="Q2179" s="2"/>
      </tp>
      <tp t="s">
        <v>#N/A N/A</v>
        <stp/>
        <stp>BDP|15305510064462918696</stp>
        <tr r="R1107" s="2"/>
      </tp>
      <tp t="s">
        <v>#N/A N/A</v>
        <stp/>
        <stp>BDS|14195712233202292043</stp>
        <tr r="I621" s="2"/>
      </tp>
      <tp t="s">
        <v>#N/A N/A</v>
        <stp/>
        <stp>BDP|11459822579495932903</stp>
        <tr r="E1561" s="2"/>
      </tp>
      <tp t="s">
        <v>#N/A N/A</v>
        <stp/>
        <stp>BDP|13412857293372510217</stp>
        <tr r="N815" s="2"/>
      </tp>
      <tp t="s">
        <v>#N/A N/A</v>
        <stp/>
        <stp>BDP|14324421733361013042</stp>
        <tr r="M892" s="2"/>
      </tp>
      <tp t="s">
        <v>#N/A N/A</v>
        <stp/>
        <stp>BDP|11469170486088624257</stp>
        <tr r="R281" s="2"/>
      </tp>
      <tp t="s">
        <v>#N/A N/A</v>
        <stp/>
        <stp>BDP|17744706064150790429</stp>
        <tr r="Q1526" s="2"/>
      </tp>
      <tp t="s">
        <v>#N/A N/A</v>
        <stp/>
        <stp>BDP|14375575782589036206</stp>
        <tr r="E1044" s="2"/>
      </tp>
      <tp t="s">
        <v>#N/A N/A</v>
        <stp/>
        <stp>BDP|11814196995159257201</stp>
        <tr r="F2171" s="2"/>
      </tp>
      <tp t="s">
        <v>#N/A N/A</v>
        <stp/>
        <stp>BDP|15449939080352942488</stp>
        <tr r="Q528" s="2"/>
      </tp>
      <tp t="s">
        <v>#N/A N/A</v>
        <stp/>
        <stp>BDP|17069251562943883294</stp>
        <tr r="S477" s="2"/>
      </tp>
      <tp t="s">
        <v>#N/A N/A</v>
        <stp/>
        <stp>BDP|16449152225405361216</stp>
        <tr r="H1779" s="2"/>
      </tp>
      <tp t="s">
        <v>#N/A N/A</v>
        <stp/>
        <stp>BDP|14719866844663433970</stp>
        <tr r="N567" s="2"/>
      </tp>
      <tp t="s">
        <v>#N/A N/A</v>
        <stp/>
        <stp>BDP|17116377876107058660</stp>
        <tr r="K1648" s="2"/>
      </tp>
      <tp t="s">
        <v>#N/A N/A</v>
        <stp/>
        <stp>BDP|13420635285778054747</stp>
        <tr r="E917" s="2"/>
      </tp>
      <tp t="s">
        <v>#N/A N/A</v>
        <stp/>
        <stp>BDP|11052396931084673786</stp>
        <tr r="F964" s="2"/>
      </tp>
      <tp t="s">
        <v>#N/A N/A</v>
        <stp/>
        <stp>BDP|12702425757469369876</stp>
        <tr r="R1388" s="2"/>
      </tp>
      <tp t="s">
        <v>#N/A N/A</v>
        <stp/>
        <stp>BDP|17719665446950942788</stp>
        <tr r="H1717" s="2"/>
      </tp>
      <tp t="s">
        <v>#N/A N/A</v>
        <stp/>
        <stp>BDP|16424821075608403314</stp>
        <tr r="R890" s="2"/>
      </tp>
      <tp t="s">
        <v>#N/A N/A</v>
        <stp/>
        <stp>BDP|12194569857497033766</stp>
        <tr r="H184" s="2"/>
      </tp>
      <tp t="s">
        <v>#N/A N/A</v>
        <stp/>
        <stp>BDP|18265066451666261911</stp>
        <tr r="K1652" s="2"/>
      </tp>
      <tp t="s">
        <v>#N/A N/A</v>
        <stp/>
        <stp>BDP|12808920191110438093</stp>
        <tr r="N685" s="2"/>
      </tp>
      <tp t="s">
        <v>#N/A N/A</v>
        <stp/>
        <stp>BDP|12436556703466298368</stp>
        <tr r="A1164" s="2"/>
      </tp>
      <tp t="s">
        <v>#N/A N/A</v>
        <stp/>
        <stp>BDP|16409620456657716017</stp>
        <tr r="S2104" s="2"/>
      </tp>
      <tp t="s">
        <v>#N/A N/A</v>
        <stp/>
        <stp>BDP|13756520901774629040</stp>
        <tr r="C399" s="2"/>
      </tp>
      <tp t="s">
        <v>#N/A N/A</v>
        <stp/>
        <stp>BDS|11765776675841305238</stp>
        <tr r="I2184" s="2"/>
      </tp>
      <tp t="s">
        <v>#N/A N/A</v>
        <stp/>
        <stp>BDP|10474009891768783346</stp>
        <tr r="R253" s="2"/>
      </tp>
      <tp t="s">
        <v>#N/A N/A</v>
        <stp/>
        <stp>BDP|16876141247652829355</stp>
        <tr r="Q1086" s="2"/>
      </tp>
      <tp t="s">
        <v>#N/A N/A</v>
        <stp/>
        <stp>BDP|16968926694663172786</stp>
        <tr r="P1060" s="2"/>
      </tp>
      <tp t="s">
        <v>#N/A N/A</v>
        <stp/>
        <stp>BDP|13946080673944591213</stp>
        <tr r="N1081" s="2"/>
      </tp>
      <tp t="s">
        <v>#N/A N/A</v>
        <stp/>
        <stp>BDP|14917104326120023591</stp>
        <tr r="M397" s="2"/>
      </tp>
      <tp t="s">
        <v>#N/A N/A</v>
        <stp/>
        <stp>BDP|14047505442704437302</stp>
        <tr r="R310" s="2"/>
      </tp>
      <tp t="s">
        <v>#N/A N/A</v>
        <stp/>
        <stp>BDP|14130177731575717167</stp>
        <tr r="R531" s="2"/>
      </tp>
      <tp t="s">
        <v>#N/A N/A</v>
        <stp/>
        <stp>BDP|12211674122930082413</stp>
        <tr r="R1756" s="2"/>
      </tp>
      <tp t="s">
        <v>#N/A N/A</v>
        <stp/>
        <stp>BDP|13013520015607392229</stp>
        <tr r="C1505" s="2"/>
      </tp>
      <tp t="s">
        <v>#N/A N/A</v>
        <stp/>
        <stp>BDP|13989850666468884742</stp>
        <tr r="R771" s="2"/>
      </tp>
      <tp t="s">
        <v>#N/A N/A</v>
        <stp/>
        <stp>BDP|17842646965633651697</stp>
        <tr r="F2240" s="2"/>
      </tp>
      <tp t="s">
        <v>#N/A N/A</v>
        <stp/>
        <stp>BDP|17153852750348208002</stp>
        <tr r="J107" s="2"/>
      </tp>
      <tp t="s">
        <v>#N/A N/A</v>
        <stp/>
        <stp>BDP|14825226243290785088</stp>
        <tr r="E627" s="2"/>
      </tp>
      <tp t="s">
        <v>#N/A N/A</v>
        <stp/>
        <stp>BDP|16836166137580735685</stp>
        <tr r="D2088" s="2"/>
      </tp>
      <tp t="s">
        <v>#N/A N/A</v>
        <stp/>
        <stp>BDP|11213724708704923076</stp>
        <tr r="Q427" s="2"/>
      </tp>
      <tp t="s">
        <v>#N/A N/A</v>
        <stp/>
        <stp>BDP|14197916576879212120</stp>
        <tr r="M814" s="2"/>
      </tp>
      <tp t="s">
        <v>#N/A N/A</v>
        <stp/>
        <stp>BDP|18048811867204830082</stp>
        <tr r="G341" s="2"/>
      </tp>
      <tp t="s">
        <v>#N/A N/A</v>
        <stp/>
        <stp>BDP|11285482516850807624</stp>
        <tr r="A2140" s="2"/>
      </tp>
      <tp t="s">
        <v>#N/A N/A</v>
        <stp/>
        <stp>BDP|13106366678394804110</stp>
        <tr r="M1373" s="2"/>
      </tp>
      <tp t="s">
        <v>#N/A N/A</v>
        <stp/>
        <stp>BDP|18315326300591372840</stp>
        <tr r="D1614" s="2"/>
      </tp>
      <tp t="s">
        <v>#N/A N/A</v>
        <stp/>
        <stp>BDP|11020902842856581815</stp>
        <tr r="D1926" s="2"/>
      </tp>
      <tp t="s">
        <v>#N/A N/A</v>
        <stp/>
        <stp>BDP|18430101105309074273</stp>
        <tr r="Q1991" s="2"/>
      </tp>
      <tp t="s">
        <v>#N/A N/A</v>
        <stp/>
        <stp>BDP|11683458841194444700</stp>
        <tr r="M1268" s="2"/>
      </tp>
      <tp t="s">
        <v>#N/A N/A</v>
        <stp/>
        <stp>BDP|11657870169725865861</stp>
        <tr r="C2017" s="2"/>
      </tp>
      <tp t="s">
        <v>#N/A N/A</v>
        <stp/>
        <stp>BDP|17228250078157031794</stp>
        <tr r="C1304" s="2"/>
      </tp>
      <tp t="s">
        <v>#N/A N/A</v>
        <stp/>
        <stp>BDP|13940152504243978377</stp>
        <tr r="H161" s="2"/>
      </tp>
      <tp t="s">
        <v>#N/A N/A</v>
        <stp/>
        <stp>BDP|10530342718173716385</stp>
        <tr r="S1262" s="2"/>
      </tp>
      <tp t="s">
        <v>#N/A N/A</v>
        <stp/>
        <stp>BDP|14372666517004266563</stp>
        <tr r="F591" s="2"/>
      </tp>
      <tp t="s">
        <v>#N/A N/A</v>
        <stp/>
        <stp>BDP|16638982159180732867</stp>
        <tr r="M1734" s="2"/>
      </tp>
      <tp t="s">
        <v>#N/A N/A</v>
        <stp/>
        <stp>BDP|17392506767687574085</stp>
        <tr r="F1838" s="2"/>
      </tp>
      <tp t="s">
        <v>#N/A N/A</v>
        <stp/>
        <stp>BDP|16691590008555761591</stp>
        <tr r="C1794" s="2"/>
      </tp>
      <tp t="s">
        <v>#N/A N/A</v>
        <stp/>
        <stp>BDP|14707439460517476290</stp>
        <tr r="E1987" s="2"/>
      </tp>
      <tp t="s">
        <v>#N/A N/A</v>
        <stp/>
        <stp>BDP|17504341038367385331</stp>
        <tr r="O1836" s="2"/>
      </tp>
      <tp t="s">
        <v>#N/A N/A</v>
        <stp/>
        <stp>BDP|11300467379417712629</stp>
        <tr r="A1722" s="2"/>
      </tp>
      <tp t="s">
        <v>#N/A N/A</v>
        <stp/>
        <stp>BDP|13625162447830637581</stp>
        <tr r="N1416" s="2"/>
      </tp>
      <tp t="s">
        <v>#N/A N/A</v>
        <stp/>
        <stp>BDP|14552901749363296974</stp>
        <tr r="Q1485" s="2"/>
      </tp>
      <tp t="s">
        <v>#N/A N/A</v>
        <stp/>
        <stp>BDP|10560855068944493959</stp>
        <tr r="D759" s="2"/>
      </tp>
      <tp t="s">
        <v>#N/A N/A</v>
        <stp/>
        <stp>BDP|16523505268911766732</stp>
        <tr r="S2059" s="2"/>
      </tp>
      <tp t="s">
        <v>#N/A N/A</v>
        <stp/>
        <stp>BDP|16748462821771035298</stp>
        <tr r="C1200" s="2"/>
      </tp>
      <tp t="s">
        <v>#N/A N/A</v>
        <stp/>
        <stp>BDP|10895372807165272534</stp>
        <tr r="A547" s="2"/>
      </tp>
      <tp t="s">
        <v>#N/A N/A</v>
        <stp/>
        <stp>BDP|17299254622907997354</stp>
        <tr r="C374" s="2"/>
      </tp>
      <tp t="s">
        <v>#N/A N/A</v>
        <stp/>
        <stp>BDP|11630633356918932932</stp>
        <tr r="S238" s="2"/>
      </tp>
      <tp t="s">
        <v>#N/A N/A</v>
        <stp/>
        <stp>BDP|10876798082268942431</stp>
        <tr r="P489" s="2"/>
      </tp>
      <tp t="s">
        <v>#N/A N/A</v>
        <stp/>
        <stp>BDP|12510402257591399187</stp>
        <tr r="A2133" s="2"/>
      </tp>
      <tp t="s">
        <v>#N/A N/A</v>
        <stp/>
        <stp>BDP|10181079683033898847</stp>
        <tr r="A1318" s="2"/>
      </tp>
      <tp t="s">
        <v>#N/A N/A</v>
        <stp/>
        <stp>BDP|11025308985749834041</stp>
        <tr r="M410" s="2"/>
      </tp>
      <tp t="s">
        <v>#N/A N/A</v>
        <stp/>
        <stp>BDP|12329038028341261230</stp>
        <tr r="G2028" s="2"/>
      </tp>
      <tp t="s">
        <v>#N/A N/A</v>
        <stp/>
        <stp>BDP|16277491506394531519</stp>
        <tr r="A1455" s="2"/>
      </tp>
      <tp t="s">
        <v>#N/A N/A</v>
        <stp/>
        <stp>BDS|18028177355448095787</stp>
        <tr r="I1001" s="2"/>
      </tp>
      <tp t="s">
        <v>#N/A N/A</v>
        <stp/>
        <stp>BDP|13988518307163098667</stp>
        <tr r="F205" s="2"/>
      </tp>
      <tp t="s">
        <v>#N/A N/A</v>
        <stp/>
        <stp>BDS|15973671943095416138</stp>
        <tr r="I619" s="2"/>
      </tp>
      <tp t="s">
        <v>#N/A N/A</v>
        <stp/>
        <stp>BDP|10139516008316580040</stp>
        <tr r="A1872" s="2"/>
      </tp>
      <tp t="s">
        <v>#N/A N/A</v>
        <stp/>
        <stp>BDP|17405909122658925763</stp>
        <tr r="S1928" s="2"/>
      </tp>
      <tp t="s">
        <v>#N/A N/A</v>
        <stp/>
        <stp>BDP|13427958348279752473</stp>
        <tr r="A1083" s="2"/>
      </tp>
      <tp t="s">
        <v>#N/A N/A</v>
        <stp/>
        <stp>BDP|14171543409264702628</stp>
        <tr r="F242" s="2"/>
      </tp>
      <tp t="s">
        <v>#N/A N/A</v>
        <stp/>
        <stp>BDP|11110918749598747775</stp>
        <tr r="F2221" s="2"/>
      </tp>
      <tp t="s">
        <v>#N/A N/A</v>
        <stp/>
        <stp>BDP|10376694825775083261</stp>
        <tr r="M1858" s="2"/>
      </tp>
      <tp t="s">
        <v>#N/A N/A</v>
        <stp/>
        <stp>BDP|11962127411923141121</stp>
        <tr r="H1347" s="2"/>
      </tp>
      <tp t="s">
        <v>#N/A N/A</v>
        <stp/>
        <stp>BDP|16555771709402245009</stp>
        <tr r="K573" s="2"/>
      </tp>
      <tp t="s">
        <v>#N/A N/A</v>
        <stp/>
        <stp>BDP|16483581650104679133</stp>
        <tr r="M1541" s="2"/>
      </tp>
      <tp t="s">
        <v>#N/A N/A</v>
        <stp/>
        <stp>BDP|10068035545443922469</stp>
        <tr r="F1699" s="2"/>
      </tp>
      <tp t="s">
        <v>#N/A N/A</v>
        <stp/>
        <stp>BDS|14887598173531105499</stp>
        <tr r="I241" s="2"/>
      </tp>
      <tp t="s">
        <v>#N/A N/A</v>
        <stp/>
        <stp>BDP|15372811548283133924</stp>
        <tr r="G2125" s="2"/>
      </tp>
      <tp t="s">
        <v>#N/A N/A</v>
        <stp/>
        <stp>BDP|13274137913701222196</stp>
        <tr r="R827" s="2"/>
      </tp>
      <tp t="s">
        <v>#N/A N/A</v>
        <stp/>
        <stp>BDP|13668607247253987118</stp>
        <tr r="P1668" s="2"/>
      </tp>
      <tp t="s">
        <v>#N/A N/A</v>
        <stp/>
        <stp>BDS|11951425346792013075</stp>
        <tr r="I1471" s="2"/>
      </tp>
      <tp t="s">
        <v>#N/A N/A</v>
        <stp/>
        <stp>BDP|14061546719165556617</stp>
        <tr r="T1269" s="2"/>
      </tp>
      <tp t="s">
        <v>#N/A N/A</v>
        <stp/>
        <stp>BDP|13758916495058865827</stp>
        <tr r="F885" s="2"/>
      </tp>
      <tp t="s">
        <v>#N/A N/A</v>
        <stp/>
        <stp>BDP|14602382655891001028</stp>
        <tr r="E109" s="2"/>
      </tp>
      <tp t="s">
        <v>#N/A N/A</v>
        <stp/>
        <stp>BDP|15733984256463299928</stp>
        <tr r="O1642" s="2"/>
      </tp>
      <tp t="s">
        <v>#N/A N/A</v>
        <stp/>
        <stp>BDP|11752709558674588430</stp>
        <tr r="N764" s="2"/>
      </tp>
      <tp t="s">
        <v>#N/A N/A</v>
        <stp/>
        <stp>BDP|16877611264456368376</stp>
        <tr r="N1890" s="2"/>
      </tp>
      <tp t="s">
        <v>#N/A N/A</v>
        <stp/>
        <stp>BDP|17645377358637342533</stp>
        <tr r="G1376" s="2"/>
      </tp>
      <tp t="s">
        <v>#N/A N/A</v>
        <stp/>
        <stp>BDP|12747766529044277037</stp>
        <tr r="E1357" s="2"/>
      </tp>
      <tp t="s">
        <v>#N/A N/A</v>
        <stp/>
        <stp>BDP|10843933697335046652</stp>
        <tr r="C1498" s="2"/>
      </tp>
      <tp t="s">
        <v>#N/A N/A</v>
        <stp/>
        <stp>BDS|11196626967161699385</stp>
        <tr r="I763" s="2"/>
      </tp>
      <tp t="s">
        <v>#N/A N/A</v>
        <stp/>
        <stp>BDP|18401963112554970700</stp>
        <tr r="F972" s="2"/>
      </tp>
      <tp t="s">
        <v>#N/A N/A</v>
        <stp/>
        <stp>BDP|12306825089143746261</stp>
        <tr r="E17" s="2"/>
      </tp>
      <tp t="s">
        <v>#N/A N/A</v>
        <stp/>
        <stp>BDP|13885816802549096122</stp>
        <tr r="Q600" s="2"/>
      </tp>
      <tp t="s">
        <v>#N/A N/A</v>
        <stp/>
        <stp>BDP|15689699751574701104</stp>
        <tr r="Q2255" s="2"/>
      </tp>
      <tp t="s">
        <v>#N/A N/A</v>
        <stp/>
        <stp>BDP|15042347501846989354</stp>
        <tr r="M2008" s="2"/>
      </tp>
      <tp t="s">
        <v>#N/A N/A</v>
        <stp/>
        <stp>BDP|10495189488572933841</stp>
        <tr r="Q1707" s="2"/>
      </tp>
      <tp t="s">
        <v>#N/A N/A</v>
        <stp/>
        <stp>BDP|14571794991698045146</stp>
        <tr r="T640" s="2"/>
      </tp>
      <tp t="s">
        <v>#N/A N/A</v>
        <stp/>
        <stp>BDP|17095258765450960004</stp>
        <tr r="H1825" s="2"/>
      </tp>
      <tp t="s">
        <v>#N/A N/A</v>
        <stp/>
        <stp>BDP|18264393057658557501</stp>
        <tr r="O792" s="2"/>
      </tp>
      <tp t="s">
        <v>#N/A N/A</v>
        <stp/>
        <stp>BDP|12690704129473167778</stp>
        <tr r="E1551" s="2"/>
      </tp>
      <tp t="s">
        <v>#N/A N/A</v>
        <stp/>
        <stp>BDP|13904461466710290228</stp>
        <tr r="C2197" s="2"/>
      </tp>
      <tp t="s">
        <v>#N/A N/A</v>
        <stp/>
        <stp>BDP|11975512741225690669</stp>
        <tr r="M586" s="2"/>
      </tp>
      <tp t="s">
        <v>#N/A N/A</v>
        <stp/>
        <stp>BDP|14264048473508853849</stp>
        <tr r="O955" s="2"/>
      </tp>
      <tp t="s">
        <v>#N/A N/A</v>
        <stp/>
        <stp>BDP|17734262878361567052</stp>
        <tr r="Q686" s="2"/>
      </tp>
      <tp t="s">
        <v>#N/A N/A</v>
        <stp/>
        <stp>BDS|11319555913356896078</stp>
        <tr r="I1484" s="2"/>
      </tp>
      <tp t="s">
        <v>#N/A N/A</v>
        <stp/>
        <stp>BDP|10488094745417742069</stp>
        <tr r="Q2032" s="2"/>
      </tp>
      <tp t="s">
        <v>#N/A N/A</v>
        <stp/>
        <stp>BDP|11126129206094961758</stp>
        <tr r="H1127" s="2"/>
      </tp>
      <tp t="s">
        <v>#N/A N/A</v>
        <stp/>
        <stp>BDP|17972731637215689529</stp>
        <tr r="O396" s="2"/>
      </tp>
      <tp t="s">
        <v>#N/A N/A</v>
        <stp/>
        <stp>BDP|11200734351289151986</stp>
        <tr r="S393" s="2"/>
      </tp>
      <tp t="s">
        <v>#N/A N/A</v>
        <stp/>
        <stp>BDP|11014576609324675316</stp>
        <tr r="R1361" s="2"/>
      </tp>
      <tp t="s">
        <v>#N/A N/A</v>
        <stp/>
        <stp>BDP|15195838782853097595</stp>
        <tr r="H1637" s="2"/>
      </tp>
      <tp t="s">
        <v>#N/A N/A</v>
        <stp/>
        <stp>BDP|12322329731140173188</stp>
        <tr r="F852" s="2"/>
      </tp>
      <tp t="s">
        <v>#N/A N/A</v>
        <stp/>
        <stp>BDP|10114026112607862503</stp>
        <tr r="S1292" s="2"/>
      </tp>
      <tp t="s">
        <v>#N/A N/A</v>
        <stp/>
        <stp>BDP|16484680019432858052</stp>
        <tr r="R1092" s="2"/>
      </tp>
      <tp t="s">
        <v>#N/A N/A</v>
        <stp/>
        <stp>BDS|18113847666894912114</stp>
        <tr r="I1631" s="2"/>
      </tp>
      <tp t="s">
        <v>#N/A N/A</v>
        <stp/>
        <stp>BDP|16172329863368914817</stp>
        <tr r="K610" s="2"/>
      </tp>
      <tp t="s">
        <v>#N/A N/A</v>
        <stp/>
        <stp>BDP|13484311270360854454</stp>
        <tr r="H64" s="2"/>
      </tp>
      <tp t="s">
        <v>#N/A N/A</v>
        <stp/>
        <stp>BDP|13746515123067997043</stp>
        <tr r="R497" s="2"/>
      </tp>
      <tp t="s">
        <v>#N/A N/A</v>
        <stp/>
        <stp>BDP|11386539919812871494</stp>
        <tr r="S573" s="2"/>
      </tp>
      <tp t="s">
        <v>#N/A N/A</v>
        <stp/>
        <stp>BDP|12869101016428315958</stp>
        <tr r="J1707" s="2"/>
      </tp>
      <tp t="s">
        <v>#N/A N/A</v>
        <stp/>
        <stp>BDP|16492873935668852660</stp>
        <tr r="Q1320" s="2"/>
      </tp>
      <tp t="s">
        <v>#N/A N/A</v>
        <stp/>
        <stp>BDP|10681206838785636703</stp>
        <tr r="G2042" s="2"/>
      </tp>
      <tp t="s">
        <v>#N/A N/A</v>
        <stp/>
        <stp>BDS|11975321716943431325</stp>
        <tr r="I1307" s="2"/>
      </tp>
      <tp t="s">
        <v>#N/A N/A</v>
        <stp/>
        <stp>BDP|14516488050684053252</stp>
        <tr r="J139" s="2"/>
      </tp>
      <tp t="s">
        <v>#N/A N/A</v>
        <stp/>
        <stp>BDS|17970706403975645674</stp>
        <tr r="I1957" s="2"/>
      </tp>
      <tp t="s">
        <v>#N/A N/A</v>
        <stp/>
        <stp>BDP|15971458060965175159</stp>
        <tr r="H1134" s="2"/>
      </tp>
      <tp t="s">
        <v>#N/A N/A</v>
        <stp/>
        <stp>BDP|16222174348278138848</stp>
        <tr r="F1396" s="2"/>
      </tp>
      <tp t="s">
        <v>#N/A N/A</v>
        <stp/>
        <stp>BDP|13757601177887876604</stp>
        <tr r="T189" s="2"/>
      </tp>
      <tp t="s">
        <v>#N/A N/A</v>
        <stp/>
        <stp>BDP|16226349963770440097</stp>
        <tr r="P194" s="2"/>
      </tp>
      <tp t="s">
        <v>#N/A N/A</v>
        <stp/>
        <stp>BDP|18059916208812472053</stp>
        <tr r="F1854" s="2"/>
      </tp>
      <tp t="s">
        <v>#N/A N/A</v>
        <stp/>
        <stp>BDP|12378069879934087240</stp>
        <tr r="Q486" s="2"/>
      </tp>
      <tp t="s">
        <v>#N/A N/A</v>
        <stp/>
        <stp>BDP|12895964649479964561</stp>
        <tr r="G583" s="2"/>
      </tp>
      <tp t="s">
        <v>#N/A N/A</v>
        <stp/>
        <stp>BDP|10354601294685993966</stp>
        <tr r="E100" s="2"/>
      </tp>
      <tp t="s">
        <v>#N/A N/A</v>
        <stp/>
        <stp>BDP|15884346231291671736</stp>
        <tr r="Q518" s="2"/>
      </tp>
      <tp t="s">
        <v>#N/A N/A</v>
        <stp/>
        <stp>BDP|10794154222596946611</stp>
        <tr r="T1294" s="2"/>
      </tp>
      <tp t="s">
        <v>#N/A N/A</v>
        <stp/>
        <stp>BDP|17723193653976335666</stp>
        <tr r="N715" s="2"/>
      </tp>
      <tp t="s">
        <v>#N/A N/A</v>
        <stp/>
        <stp>BDP|17339343947240889306</stp>
        <tr r="G1829" s="2"/>
      </tp>
      <tp t="s">
        <v>#N/A N/A</v>
        <stp/>
        <stp>BDP|11016801101933046991</stp>
        <tr r="M2208" s="2"/>
      </tp>
      <tp t="s">
        <v>#N/A N/A</v>
        <stp/>
        <stp>BDP|15642092154696335500</stp>
        <tr r="O697" s="2"/>
      </tp>
      <tp t="s">
        <v>#N/A N/A</v>
        <stp/>
        <stp>BDP|16409018421647940059</stp>
        <tr r="E1765" s="2"/>
      </tp>
      <tp t="s">
        <v>#N/A N/A</v>
        <stp/>
        <stp>BDP|14835901947153012971</stp>
        <tr r="S759" s="2"/>
      </tp>
      <tp t="s">
        <v>#N/A N/A</v>
        <stp/>
        <stp>BDP|12383668663099808863</stp>
        <tr r="S1080" s="2"/>
      </tp>
      <tp t="s">
        <v>#N/A N/A</v>
        <stp/>
        <stp>BDP|13768046375256659184</stp>
        <tr r="S1754" s="2"/>
      </tp>
      <tp t="s">
        <v>#N/A N/A</v>
        <stp/>
        <stp>BDP|10118283472454728247</stp>
        <tr r="R1050" s="2"/>
      </tp>
      <tp t="s">
        <v>#N/A N/A</v>
        <stp/>
        <stp>BDP|15984104628126181386</stp>
        <tr r="D1062" s="2"/>
      </tp>
      <tp t="s">
        <v>#N/A N/A</v>
        <stp/>
        <stp>BDP|16231050230620753683</stp>
        <tr r="K1950" s="2"/>
      </tp>
      <tp t="s">
        <v>#N/A N/A</v>
        <stp/>
        <stp>BDP|13290793661562188335</stp>
        <tr r="N845" s="2"/>
      </tp>
      <tp t="s">
        <v>#N/A N/A</v>
        <stp/>
        <stp>BDP|14021048389238793723</stp>
        <tr r="O522" s="2"/>
      </tp>
      <tp t="s">
        <v>#N/A N/A</v>
        <stp/>
        <stp>BDP|15924301874505463711</stp>
        <tr r="R111" s="2"/>
      </tp>
      <tp t="s">
        <v>#N/A N/A</v>
        <stp/>
        <stp>BDP|13148632239381709444</stp>
        <tr r="C822" s="2"/>
      </tp>
      <tp t="s">
        <v>#N/A N/A</v>
        <stp/>
        <stp>BDP|15445903285255938207</stp>
        <tr r="S1939" s="2"/>
      </tp>
      <tp t="s">
        <v>#N/A N/A</v>
        <stp/>
        <stp>BDP|13185415279555497650</stp>
        <tr r="T320" s="2"/>
      </tp>
      <tp t="s">
        <v>#N/A N/A</v>
        <stp/>
        <stp>BDP|11715224534212975100</stp>
        <tr r="C78" s="2"/>
      </tp>
      <tp t="s">
        <v>#N/A N/A</v>
        <stp/>
        <stp>BDP|10801840926980716958</stp>
        <tr r="G1804" s="2"/>
      </tp>
      <tp t="s">
        <v>#N/A N/A</v>
        <stp/>
        <stp>BDP|17775602813393865040</stp>
        <tr r="Q1282" s="2"/>
      </tp>
      <tp t="s">
        <v>#N/A N/A</v>
        <stp/>
        <stp>BDP|10923501846584660610</stp>
        <tr r="E1149" s="2"/>
      </tp>
      <tp t="s">
        <v>#N/A N/A</v>
        <stp/>
        <stp>BDP|14125397725700463613</stp>
        <tr r="G2036" s="2"/>
      </tp>
      <tp t="s">
        <v>#N/A N/A</v>
        <stp/>
        <stp>BDP|14240834563250838927</stp>
        <tr r="T1352" s="2"/>
      </tp>
      <tp t="s">
        <v>#N/A N/A</v>
        <stp/>
        <stp>BDP|14305000157015928757</stp>
        <tr r="J680" s="2"/>
      </tp>
      <tp t="s">
        <v>#N/A N/A</v>
        <stp/>
        <stp>BDP|15061639045885776195</stp>
        <tr r="M792" s="2"/>
      </tp>
      <tp t="s">
        <v>#N/A N/A</v>
        <stp/>
        <stp>BDP|15163017835357859252</stp>
        <tr r="D1036" s="2"/>
      </tp>
      <tp t="s">
        <v>#N/A N/A</v>
        <stp/>
        <stp>BDP|10560262260821382681</stp>
        <tr r="E384" s="2"/>
      </tp>
      <tp t="s">
        <v>#N/A N/A</v>
        <stp/>
        <stp>BDP|14447097079566928650</stp>
        <tr r="J2234" s="2"/>
      </tp>
      <tp t="s">
        <v>#N/A N/A</v>
        <stp/>
        <stp>BDP|14768212180194638982</stp>
        <tr r="R105" s="2"/>
      </tp>
      <tp t="s">
        <v>#N/A N/A</v>
        <stp/>
        <stp>BDP|15181226539357393010</stp>
        <tr r="R2006" s="2"/>
      </tp>
      <tp t="s">
        <v>#N/A N/A</v>
        <stp/>
        <stp>BDP|13826624837856145371</stp>
        <tr r="M1190" s="2"/>
      </tp>
      <tp t="s">
        <v>#N/A N/A</v>
        <stp/>
        <stp>BDP|12485358319745748648</stp>
        <tr r="Q1056" s="2"/>
      </tp>
      <tp t="s">
        <v>#N/A N/A</v>
        <stp/>
        <stp>BDP|11715798730012728421</stp>
        <tr r="F275" s="2"/>
      </tp>
      <tp t="s">
        <v>#N/A N/A</v>
        <stp/>
        <stp>BDP|14501310883204403888</stp>
        <tr r="K1170" s="2"/>
      </tp>
      <tp t="s">
        <v>#N/A N/A</v>
        <stp/>
        <stp>BDP|17442381717987728174</stp>
        <tr r="T1232" s="2"/>
      </tp>
      <tp t="s">
        <v>#N/A N/A</v>
        <stp/>
        <stp>BDP|16350482773910612655</stp>
        <tr r="N321" s="2"/>
      </tp>
      <tp t="s">
        <v>#N/A N/A</v>
        <stp/>
        <stp>BDP|10872564680876050854</stp>
        <tr r="D1309" s="2"/>
      </tp>
      <tp t="s">
        <v>#N/A N/A</v>
        <stp/>
        <stp>BDP|14914768705594347421</stp>
        <tr r="A1080" s="2"/>
      </tp>
      <tp t="s">
        <v>#N/A N/A</v>
        <stp/>
        <stp>BDP|13697163193399150195</stp>
        <tr r="H16" s="2"/>
      </tp>
      <tp t="s">
        <v>#N/A N/A</v>
        <stp/>
        <stp>BDP|14351503448872648463</stp>
        <tr r="T1666" s="2"/>
      </tp>
      <tp t="s">
        <v>#N/A N/A</v>
        <stp/>
        <stp>BDP|11657699766142023026</stp>
        <tr r="K1185" s="2"/>
      </tp>
      <tp t="s">
        <v>#N/A N/A</v>
        <stp/>
        <stp>BDP|13529368308250899388</stp>
        <tr r="H1034" s="2"/>
      </tp>
      <tp t="s">
        <v>#N/A N/A</v>
        <stp/>
        <stp>BDP|12405474428653995492</stp>
        <tr r="M907" s="2"/>
      </tp>
      <tp t="s">
        <v>#N/A N/A</v>
        <stp/>
        <stp>BDP|13913439373527111435</stp>
        <tr r="R232" s="2"/>
      </tp>
      <tp t="s">
        <v>#N/A N/A</v>
        <stp/>
        <stp>BDP|10708159472397318283</stp>
        <tr r="C1762" s="2"/>
      </tp>
      <tp t="s">
        <v>#N/A N/A</v>
        <stp/>
        <stp>BDP|11288329359675280107</stp>
        <tr r="G1679" s="2"/>
      </tp>
      <tp t="s">
        <v>#N/A N/A</v>
        <stp/>
        <stp>BDP|14266249758680167047</stp>
        <tr r="J2082" s="2"/>
      </tp>
      <tp t="s">
        <v>#N/A N/A</v>
        <stp/>
        <stp>BDP|15402297445257159728</stp>
        <tr r="N528" s="2"/>
      </tp>
      <tp t="s">
        <v>#N/A N/A</v>
        <stp/>
        <stp>BDP|14718212263665788695</stp>
        <tr r="G2117" s="2"/>
      </tp>
      <tp t="s">
        <v>#N/A N/A</v>
        <stp/>
        <stp>BDP|11896359869492656599</stp>
        <tr r="H336" s="2"/>
      </tp>
      <tp t="s">
        <v>#N/A N/A</v>
        <stp/>
        <stp>BDP|12714805798940104055</stp>
        <tr r="J791" s="2"/>
      </tp>
      <tp t="s">
        <v>#N/A N/A</v>
        <stp/>
        <stp>BDP|15553851089194587272</stp>
        <tr r="G939" s="2"/>
      </tp>
      <tp t="s">
        <v>#N/A N/A</v>
        <stp/>
        <stp>BDP|17353220410222388590</stp>
        <tr r="E451" s="2"/>
      </tp>
      <tp t="s">
        <v>#N/A N/A</v>
        <stp/>
        <stp>BDP|16861625409896106594</stp>
        <tr r="R1651" s="2"/>
      </tp>
      <tp t="s">
        <v>#N/A N/A</v>
        <stp/>
        <stp>BDP|18362361069938185669</stp>
        <tr r="A194" s="2"/>
      </tp>
      <tp t="s">
        <v>#N/A N/A</v>
        <stp/>
        <stp>BDP|11674308360023512481</stp>
        <tr r="A392" s="2"/>
      </tp>
      <tp t="s">
        <v>#N/A N/A</v>
        <stp/>
        <stp>BDS|11936160293413402908</stp>
        <tr r="I1342" s="2"/>
      </tp>
      <tp t="s">
        <v>#N/A N/A</v>
        <stp/>
        <stp>BDP|16861090965811940264</stp>
        <tr r="H2173" s="2"/>
      </tp>
      <tp t="s">
        <v>#N/A N/A</v>
        <stp/>
        <stp>BDP|11317726264946789598</stp>
        <tr r="H1036" s="2"/>
      </tp>
      <tp t="s">
        <v>#N/A N/A</v>
        <stp/>
        <stp>BDP|10674455069064088514</stp>
        <tr r="F807" s="2"/>
      </tp>
      <tp t="s">
        <v>#N/A N/A</v>
        <stp/>
        <stp>BDP|14902288966332552190</stp>
        <tr r="M927" s="2"/>
      </tp>
      <tp t="s">
        <v>#N/A N/A</v>
        <stp/>
        <stp>BDP|15377216529820723675</stp>
        <tr r="Q1696" s="2"/>
      </tp>
      <tp t="s">
        <v>#N/A N/A</v>
        <stp/>
        <stp>BDP|14322054558595162748</stp>
        <tr r="C1058" s="2"/>
      </tp>
      <tp t="s">
        <v>#N/A N/A</v>
        <stp/>
        <stp>BDP|15942900082862068507</stp>
        <tr r="K1600" s="2"/>
      </tp>
      <tp t="s">
        <v>#N/A N/A</v>
        <stp/>
        <stp>BDP|11267517079362278238</stp>
        <tr r="G2239" s="2"/>
      </tp>
      <tp t="s">
        <v>#N/A N/A</v>
        <stp/>
        <stp>BDP|10546001627665090497</stp>
        <tr r="J2017" s="2"/>
      </tp>
      <tp t="s">
        <v>#N/A N/A</v>
        <stp/>
        <stp>BDP|10786642048327208625</stp>
        <tr r="H883" s="2"/>
      </tp>
      <tp t="s">
        <v>#N/A N/A</v>
        <stp/>
        <stp>BDP|12319114165207494182</stp>
        <tr r="G1641" s="2"/>
      </tp>
      <tp t="s">
        <v>#N/A N/A</v>
        <stp/>
        <stp>BDP|12102546284504888827</stp>
        <tr r="R558" s="2"/>
      </tp>
      <tp t="s">
        <v>#N/A N/A</v>
        <stp/>
        <stp>BDP|13805127846651350448</stp>
        <tr r="R776" s="2"/>
      </tp>
      <tp t="s">
        <v>#N/A N/A</v>
        <stp/>
        <stp>BDP|13434607007966017080</stp>
        <tr r="E1880" s="2"/>
      </tp>
      <tp t="s">
        <v>#N/A N/A</v>
        <stp/>
        <stp>BDP|13693906535729151391</stp>
        <tr r="J2115" s="2"/>
      </tp>
      <tp t="s">
        <v>#N/A N/A</v>
        <stp/>
        <stp>BDP|13180450251017942670</stp>
        <tr r="P803" s="2"/>
      </tp>
      <tp t="s">
        <v>#N/A N/A</v>
        <stp/>
        <stp>BDP|14196447205826336589</stp>
        <tr r="Q384" s="2"/>
      </tp>
      <tp t="s">
        <v>#N/A N/A</v>
        <stp/>
        <stp>BDP|18153794356818141141</stp>
        <tr r="S1694" s="2"/>
      </tp>
      <tp t="s">
        <v>#N/A N/A</v>
        <stp/>
        <stp>BDS|13930717361955426453</stp>
        <tr r="I50" s="2"/>
      </tp>
      <tp t="s">
        <v>#N/A N/A</v>
        <stp/>
        <stp>BDP|13470974092972925234</stp>
        <tr r="H1342" s="2"/>
      </tp>
      <tp t="s">
        <v>#N/A N/A</v>
        <stp/>
        <stp>BDP|14590074557745623784</stp>
        <tr r="M2236" s="2"/>
      </tp>
      <tp t="s">
        <v>#N/A N/A</v>
        <stp/>
        <stp>BDP|10964040140664529331</stp>
        <tr r="R1222" s="2"/>
      </tp>
      <tp t="s">
        <v>#N/A N/A</v>
        <stp/>
        <stp>BDP|14434992585623616555</stp>
        <tr r="S130" s="2"/>
      </tp>
      <tp t="s">
        <v>#N/A N/A</v>
        <stp/>
        <stp>BDP|13216205374445406093</stp>
        <tr r="F1365" s="2"/>
      </tp>
      <tp t="s">
        <v>#N/A N/A</v>
        <stp/>
        <stp>BDP|17575863550429043087</stp>
        <tr r="P713" s="2"/>
      </tp>
      <tp t="s">
        <v>#N/A N/A</v>
        <stp/>
        <stp>BDP|16320756478192322765</stp>
        <tr r="P291" s="2"/>
      </tp>
      <tp t="s">
        <v>#N/A N/A</v>
        <stp/>
        <stp>BDP|17476026832255905261</stp>
        <tr r="D2187" s="2"/>
      </tp>
      <tp t="s">
        <v>#N/A N/A</v>
        <stp/>
        <stp>BDP|12246384628594932404</stp>
        <tr r="O1845" s="2"/>
      </tp>
      <tp t="s">
        <v>#N/A N/A</v>
        <stp/>
        <stp>BDP|14594634904488834918</stp>
        <tr r="P1279" s="2"/>
      </tp>
      <tp t="s">
        <v>#N/A N/A</v>
        <stp/>
        <stp>BDP|14138134057604705790</stp>
        <tr r="S237" s="2"/>
      </tp>
      <tp t="s">
        <v>#N/A N/A</v>
        <stp/>
        <stp>BDP|15141436925644472482</stp>
        <tr r="P2179" s="2"/>
      </tp>
      <tp t="s">
        <v>#N/A N/A</v>
        <stp/>
        <stp>BDP|15496568986212927960</stp>
        <tr r="A1246" s="2"/>
      </tp>
      <tp t="s">
        <v>#N/A N/A</v>
        <stp/>
        <stp>BDP|12253353037541355087</stp>
        <tr r="T1100" s="2"/>
      </tp>
      <tp t="s">
        <v>#N/A N/A</v>
        <stp/>
        <stp>BDS|11101703913610244481</stp>
        <tr r="I1266" s="2"/>
      </tp>
      <tp t="s">
        <v>#N/A N/A</v>
        <stp/>
        <stp>BDP|10808069337201637148</stp>
        <tr r="G384" s="2"/>
      </tp>
      <tp t="s">
        <v>#N/A N/A</v>
        <stp/>
        <stp>BDP|13800039826362027068</stp>
        <tr r="F847" s="2"/>
      </tp>
      <tp t="s">
        <v>#N/A N/A</v>
        <stp/>
        <stp>BDP|15639684677256543171</stp>
        <tr r="C2014" s="2"/>
      </tp>
      <tp t="s">
        <v>#N/A N/A</v>
        <stp/>
        <stp>BDP|14356697406122338340</stp>
        <tr r="N1226" s="2"/>
      </tp>
      <tp t="s">
        <v>#N/A N/A</v>
        <stp/>
        <stp>BDP|15849921026545247854</stp>
        <tr r="P821" s="2"/>
      </tp>
      <tp t="s">
        <v>#N/A N/A</v>
        <stp/>
        <stp>BDP|17255480157676255346</stp>
        <tr r="O885" s="2"/>
      </tp>
      <tp t="s">
        <v>#N/A N/A</v>
        <stp/>
        <stp>BDP|14475293774355738753</stp>
        <tr r="S2185" s="2"/>
      </tp>
      <tp t="s">
        <v>#N/A N/A</v>
        <stp/>
        <stp>BDP|18188859430477754787</stp>
        <tr r="S1056" s="2"/>
      </tp>
      <tp t="s">
        <v>#N/A N/A</v>
        <stp/>
        <stp>BDP|10484074698499285327</stp>
        <tr r="P1908" s="2"/>
      </tp>
      <tp t="s">
        <v>#N/A N/A</v>
        <stp/>
        <stp>BDS|15729682311704341554</stp>
        <tr r="I811" s="2"/>
      </tp>
      <tp t="s">
        <v>#N/A N/A</v>
        <stp/>
        <stp>BDP|17857743610996082470</stp>
        <tr r="H1145" s="2"/>
      </tp>
      <tp t="s">
        <v>#N/A N/A</v>
        <stp/>
        <stp>BDP|17976659621601761119</stp>
        <tr r="P664" s="2"/>
      </tp>
      <tp t="s">
        <v>#N/A N/A</v>
        <stp/>
        <stp>BDP|13961673107634303214</stp>
        <tr r="G1934" s="2"/>
      </tp>
      <tp t="s">
        <v>#N/A N/A</v>
        <stp/>
        <stp>BDS|15160452737927985622</stp>
        <tr r="I776" s="2"/>
      </tp>
      <tp t="s">
        <v>#N/A N/A</v>
        <stp/>
        <stp>BDP|14572680546805314039</stp>
        <tr r="C107" s="2"/>
      </tp>
      <tp t="s">
        <v>#N/A N/A</v>
        <stp/>
        <stp>BDP|17646158568945074605</stp>
        <tr r="S2189" s="2"/>
      </tp>
      <tp t="s">
        <v>#N/A N/A</v>
        <stp/>
        <stp>BDP|14652030511325957364</stp>
        <tr r="R1632" s="2"/>
      </tp>
      <tp t="s">
        <v>#N/A N/A</v>
        <stp/>
        <stp>BDP|12009646659127596538</stp>
        <tr r="R374" s="2"/>
      </tp>
      <tp t="s">
        <v>#N/A N/A</v>
        <stp/>
        <stp>BDP|14910430728343916205</stp>
        <tr r="E941" s="2"/>
      </tp>
      <tp t="s">
        <v>#N/A N/A</v>
        <stp/>
        <stp>BDP|18216687184735630034</stp>
        <tr r="O2094" s="2"/>
      </tp>
      <tp t="s">
        <v>#N/A N/A</v>
        <stp/>
        <stp>BDP|14814322525154753231</stp>
        <tr r="O304" s="2"/>
      </tp>
      <tp t="s">
        <v>#N/A N/A</v>
        <stp/>
        <stp>BDP|13969481600910937438</stp>
        <tr r="D687" s="2"/>
      </tp>
      <tp t="s">
        <v>#N/A N/A</v>
        <stp/>
        <stp>BDP|14399551718935164642</stp>
        <tr r="N1800" s="2"/>
      </tp>
      <tp t="s">
        <v>#N/A N/A</v>
        <stp/>
        <stp>BDP|14671523726363967304</stp>
        <tr r="T545" s="2"/>
      </tp>
      <tp t="s">
        <v>#N/A N/A</v>
        <stp/>
        <stp>BDP|10235154541743926547</stp>
        <tr r="M712" s="2"/>
      </tp>
      <tp t="s">
        <v>#N/A N/A</v>
        <stp/>
        <stp>BDP|16082184058645889436</stp>
        <tr r="A1658" s="2"/>
      </tp>
      <tp t="s">
        <v>#N/A N/A</v>
        <stp/>
        <stp>BDP|14012350649115651511</stp>
        <tr r="R370" s="2"/>
      </tp>
      <tp t="s">
        <v>#N/A N/A</v>
        <stp/>
        <stp>BDP|10122842588094709714</stp>
        <tr r="H2228" s="2"/>
      </tp>
      <tp t="s">
        <v>#N/A N/A</v>
        <stp/>
        <stp>BDP|16270092652217241707</stp>
        <tr r="O607" s="2"/>
      </tp>
      <tp t="s">
        <v>#N/A N/A</v>
        <stp/>
        <stp>BDP|12898437754872068244</stp>
        <tr r="T2101" s="2"/>
      </tp>
      <tp t="s">
        <v>#N/A N/A</v>
        <stp/>
        <stp>BDP|10849155518063684092</stp>
        <tr r="M787" s="2"/>
      </tp>
      <tp t="s">
        <v>#N/A N/A</v>
        <stp/>
        <stp>BDP|15582940226075930840</stp>
        <tr r="Q579" s="2"/>
      </tp>
      <tp t="s">
        <v>#N/A N/A</v>
        <stp/>
        <stp>BDP|14959770870843015447</stp>
        <tr r="S1692" s="2"/>
      </tp>
      <tp t="s">
        <v>#N/A N/A</v>
        <stp/>
        <stp>BDP|12768332225945967521</stp>
        <tr r="J1370" s="2"/>
      </tp>
      <tp t="s">
        <v>#N/A N/A</v>
        <stp/>
        <stp>BDP|15146245868345290751</stp>
        <tr r="H417" s="2"/>
      </tp>
      <tp t="s">
        <v>#N/A N/A</v>
        <stp/>
        <stp>BDP|14661625700511992075</stp>
        <tr r="S1518" s="2"/>
      </tp>
      <tp t="s">
        <v>#N/A N/A</v>
        <stp/>
        <stp>BDP|15863239966896395444</stp>
        <tr r="R29" s="2"/>
      </tp>
      <tp t="s">
        <v>#N/A N/A</v>
        <stp/>
        <stp>BDP|11210890042558776649</stp>
        <tr r="N1012" s="2"/>
      </tp>
      <tp t="s">
        <v>#N/A N/A</v>
        <stp/>
        <stp>BDP|12232117829125391735</stp>
        <tr r="F1048" s="2"/>
      </tp>
      <tp t="s">
        <v>#N/A N/A</v>
        <stp/>
        <stp>BDP|12274619734590940446</stp>
        <tr r="P358" s="2"/>
      </tp>
      <tp t="s">
        <v>#N/A N/A</v>
        <stp/>
        <stp>BDP|12393921581428917834</stp>
        <tr r="R1434" s="2"/>
      </tp>
      <tp t="s">
        <v>#N/A N/A</v>
        <stp/>
        <stp>BDP|13652549340722930311</stp>
        <tr r="G1313" s="2"/>
      </tp>
      <tp t="s">
        <v>#N/A N/A</v>
        <stp/>
        <stp>BDP|11716033265817319383</stp>
        <tr r="F2182" s="2"/>
      </tp>
      <tp t="s">
        <v>#N/A N/A</v>
        <stp/>
        <stp>BDP|16916243276728340829</stp>
        <tr r="N1069" s="2"/>
      </tp>
      <tp t="s">
        <v>#N/A N/A</v>
        <stp/>
        <stp>BDP|17593635678963255668</stp>
        <tr r="P558" s="2"/>
      </tp>
      <tp t="s">
        <v>#N/A N/A</v>
        <stp/>
        <stp>BDP|15973128043831583277</stp>
        <tr r="R133" s="2"/>
      </tp>
      <tp t="s">
        <v>#N/A N/A</v>
        <stp/>
        <stp>BDP|17942154532845375370</stp>
        <tr r="C228" s="2"/>
      </tp>
      <tp t="s">
        <v>#N/A N/A</v>
        <stp/>
        <stp>BDP|12223588340192800285</stp>
        <tr r="Q1043" s="2"/>
      </tp>
      <tp t="s">
        <v>#N/A N/A</v>
        <stp/>
        <stp>BDP|11620176204160937368</stp>
        <tr r="N1616" s="2"/>
      </tp>
      <tp t="s">
        <v>#N/A N/A</v>
        <stp/>
        <stp>BDS|15900916884337617039</stp>
        <tr r="I2207" s="2"/>
      </tp>
      <tp t="s">
        <v>#N/A N/A</v>
        <stp/>
        <stp>BDS|15117194671982430242</stp>
        <tr r="I856" s="2"/>
      </tp>
      <tp t="s">
        <v>#N/A N/A</v>
        <stp/>
        <stp>BDP|16921479465477908082</stp>
        <tr r="O44" s="2"/>
      </tp>
      <tp t="s">
        <v>#N/A N/A</v>
        <stp/>
        <stp>BDP|11538531279492487213</stp>
        <tr r="K1416" s="2"/>
      </tp>
      <tp t="s">
        <v>#N/A N/A</v>
        <stp/>
        <stp>BDP|17718586953270301458</stp>
        <tr r="Q1866" s="2"/>
      </tp>
      <tp t="s">
        <v>#N/A N/A</v>
        <stp/>
        <stp>BDS|13565775034372955668</stp>
        <tr r="I807" s="2"/>
      </tp>
      <tp t="s">
        <v>#N/A N/A</v>
        <stp/>
        <stp>BDP|17025348188678691708</stp>
        <tr r="G1685" s="2"/>
      </tp>
      <tp t="s">
        <v>#N/A N/A</v>
        <stp/>
        <stp>BDP|11633341974654404288</stp>
        <tr r="F1093" s="2"/>
      </tp>
      <tp t="s">
        <v>#N/A N/A</v>
        <stp/>
        <stp>BDP|17923921681100499548</stp>
        <tr r="J1063" s="2"/>
      </tp>
      <tp t="s">
        <v>#N/A N/A</v>
        <stp/>
        <stp>BDP|10150773168913458109</stp>
        <tr r="E1943" s="2"/>
      </tp>
      <tp t="s">
        <v>#N/A N/A</v>
        <stp/>
        <stp>BDP|13505419658272301358</stp>
        <tr r="N1075" s="2"/>
      </tp>
      <tp t="s">
        <v>#N/A N/A</v>
        <stp/>
        <stp>BDP|15219615948651860597</stp>
        <tr r="S683" s="2"/>
      </tp>
      <tp t="s">
        <v>#N/A N/A</v>
        <stp/>
        <stp>BDP|15696646040815821106</stp>
        <tr r="G1492" s="2"/>
      </tp>
      <tp t="s">
        <v>#N/A N/A</v>
        <stp/>
        <stp>BDS|16732326823640985469</stp>
        <tr r="I2150" s="2"/>
      </tp>
      <tp t="s">
        <v>#N/A N/A</v>
        <stp/>
        <stp>BDP|11362489653992109134</stp>
        <tr r="E2005" s="2"/>
      </tp>
      <tp t="s">
        <v>#N/A N/A</v>
        <stp/>
        <stp>BDP|17593619635239241894</stp>
        <tr r="T512" s="2"/>
      </tp>
      <tp t="s">
        <v>#N/A N/A</v>
        <stp/>
        <stp>BDP|13526865969709132712</stp>
        <tr r="Q278" s="2"/>
      </tp>
      <tp t="s">
        <v>#N/A N/A</v>
        <stp/>
        <stp>BDP|16858765026311735151</stp>
        <tr r="D1632" s="2"/>
      </tp>
      <tp t="s">
        <v>#N/A N/A</v>
        <stp/>
        <stp>BDP|15580060665804999458</stp>
        <tr r="P83" s="2"/>
      </tp>
      <tp t="s">
        <v>#N/A N/A</v>
        <stp/>
        <stp>BDP|16808119217166092340</stp>
        <tr r="S382" s="2"/>
      </tp>
      <tp t="s">
        <v>#N/A N/A</v>
        <stp/>
        <stp>BDP|14366491098048118297</stp>
        <tr r="A468" s="2"/>
      </tp>
      <tp t="s">
        <v>#N/A N/A</v>
        <stp/>
        <stp>BDP|15162253176426880508</stp>
        <tr r="E724" s="2"/>
      </tp>
      <tp t="s">
        <v>#N/A N/A</v>
        <stp/>
        <stp>BDP|17533682971205324051</stp>
        <tr r="N2074" s="2"/>
      </tp>
      <tp t="s">
        <v>#N/A N/A</v>
        <stp/>
        <stp>BDP|12712991417360348907</stp>
        <tr r="H1958" s="2"/>
      </tp>
      <tp t="s">
        <v>#N/A N/A</v>
        <stp/>
        <stp>BDP|13716267934102925365</stp>
        <tr r="S1594" s="2"/>
      </tp>
      <tp t="s">
        <v>#N/A N/A</v>
        <stp/>
        <stp>BDP|11294266324635310798</stp>
        <tr r="K1561" s="2"/>
      </tp>
      <tp t="s">
        <v>#N/A N/A</v>
        <stp/>
        <stp>BDP|14246497320857386623</stp>
        <tr r="R977" s="2"/>
      </tp>
      <tp t="s">
        <v>#N/A N/A</v>
        <stp/>
        <stp>BDP|11740561838217155325</stp>
        <tr r="F387" s="2"/>
      </tp>
      <tp t="s">
        <v>#N/A N/A</v>
        <stp/>
        <stp>BDP|14223506177081844477</stp>
        <tr r="K91" s="2"/>
      </tp>
      <tp t="s">
        <v>#N/A N/A</v>
        <stp/>
        <stp>BDP|17455176729801085604</stp>
        <tr r="C664" s="2"/>
      </tp>
      <tp t="s">
        <v>#N/A N/A</v>
        <stp/>
        <stp>BDP|13322892127209755300</stp>
        <tr r="F407" s="2"/>
      </tp>
      <tp t="s">
        <v>#N/A N/A</v>
        <stp/>
        <stp>BDP|14879420325747748623</stp>
        <tr r="M172" s="2"/>
      </tp>
      <tp t="s">
        <v>#N/A N/A</v>
        <stp/>
        <stp>BDP|14585584500617443539</stp>
        <tr r="P862" s="2"/>
      </tp>
      <tp t="s">
        <v>#N/A N/A</v>
        <stp/>
        <stp>BDP|14721318109801438517</stp>
        <tr r="A1367" s="2"/>
      </tp>
      <tp t="s">
        <v>#N/A N/A</v>
        <stp/>
        <stp>BDP|15901733626241678200</stp>
        <tr r="A87" s="2"/>
      </tp>
      <tp t="s">
        <v>#N/A N/A</v>
        <stp/>
        <stp>BDP|13874972682768172963</stp>
        <tr r="Q20" s="2"/>
      </tp>
      <tp t="s">
        <v>#N/A N/A</v>
        <stp/>
        <stp>BDS|15730275619921005409</stp>
        <tr r="I1027" s="2"/>
      </tp>
      <tp t="s">
        <v>#N/A N/A</v>
        <stp/>
        <stp>BDP|15190311324240879768</stp>
        <tr r="D1995" s="2"/>
      </tp>
      <tp t="s">
        <v>#N/A N/A</v>
        <stp/>
        <stp>BDP|18358362974367390888</stp>
        <tr r="Q50" s="2"/>
      </tp>
      <tp t="s">
        <v>#N/A N/A</v>
        <stp/>
        <stp>BDS|15806796873601278792</stp>
        <tr r="I1004" s="2"/>
      </tp>
      <tp t="s">
        <v>#N/A N/A</v>
        <stp/>
        <stp>BDP|10155175622557817761</stp>
        <tr r="K2118" s="2"/>
      </tp>
      <tp t="s">
        <v>#N/A N/A</v>
        <stp/>
        <stp>BDP|17339576068291001662</stp>
        <tr r="H1065" s="2"/>
      </tp>
      <tp t="s">
        <v>#N/A N/A</v>
        <stp/>
        <stp>BDP|17969347517025353330</stp>
        <tr r="E1657" s="2"/>
      </tp>
      <tp t="s">
        <v>#N/A N/A</v>
        <stp/>
        <stp>BDP|11077862180195490789</stp>
        <tr r="R1117" s="2"/>
      </tp>
      <tp t="s">
        <v>#N/A N/A</v>
        <stp/>
        <stp>BDP|17330799944621010649</stp>
        <tr r="P2043" s="2"/>
      </tp>
      <tp t="s">
        <v>#N/A N/A</v>
        <stp/>
        <stp>BDP|17644307372120965070</stp>
        <tr r="G1530" s="2"/>
      </tp>
      <tp t="s">
        <v>#N/A N/A</v>
        <stp/>
        <stp>BDP|13102433501682781696</stp>
        <tr r="N2073" s="2"/>
      </tp>
      <tp t="s">
        <v>#N/A N/A</v>
        <stp/>
        <stp>BDP|14800602911435394574</stp>
        <tr r="T1678" s="2"/>
      </tp>
      <tp t="s">
        <v>#N/A N/A</v>
        <stp/>
        <stp>BDS|14024421823058817979</stp>
        <tr r="I192" s="2"/>
      </tp>
      <tp t="s">
        <v>#N/A N/A</v>
        <stp/>
        <stp>BDP|17938640666692690607</stp>
        <tr r="T100" s="2"/>
      </tp>
      <tp t="s">
        <v>#N/A N/A</v>
        <stp/>
        <stp>BDP|10864925409872658884</stp>
        <tr r="M2215" s="2"/>
      </tp>
      <tp t="s">
        <v>#N/A N/A</v>
        <stp/>
        <stp>BDP|11644739430073138594</stp>
        <tr r="E349" s="2"/>
      </tp>
      <tp t="s">
        <v>#N/A N/A</v>
        <stp/>
        <stp>BDP|16346282402385795236</stp>
        <tr r="K626" s="2"/>
      </tp>
      <tp t="s">
        <v>#N/A N/A</v>
        <stp/>
        <stp>BDP|13948654646933126161</stp>
        <tr r="C385" s="2"/>
      </tp>
      <tp t="s">
        <v>#N/A N/A</v>
        <stp/>
        <stp>BDP|12437588524451662733</stp>
        <tr r="R1992" s="2"/>
      </tp>
      <tp t="s">
        <v>#N/A N/A</v>
        <stp/>
        <stp>BDP|11804655101966603276</stp>
        <tr r="K2108" s="2"/>
      </tp>
      <tp t="s">
        <v>#N/A N/A</v>
        <stp/>
        <stp>BDP|14743339705222856640</stp>
        <tr r="S250" s="2"/>
      </tp>
      <tp t="s">
        <v>#N/A N/A</v>
        <stp/>
        <stp>BDP|14887265902113312624</stp>
        <tr r="N892" s="2"/>
      </tp>
      <tp t="s">
        <v>#N/A N/A</v>
        <stp/>
        <stp>BDP|16345160916982709794</stp>
        <tr r="M1472" s="2"/>
      </tp>
      <tp t="s">
        <v>#N/A N/A</v>
        <stp/>
        <stp>BDP|14002322455942879325</stp>
        <tr r="F2099" s="2"/>
      </tp>
      <tp t="s">
        <v>#N/A N/A</v>
        <stp/>
        <stp>BDP|18266152570735880822</stp>
        <tr r="F1171" s="2"/>
      </tp>
      <tp t="s">
        <v>#N/A N/A</v>
        <stp/>
        <stp>BDP|16588382500304144215</stp>
        <tr r="R599" s="2"/>
      </tp>
      <tp t="s">
        <v>#N/A N/A</v>
        <stp/>
        <stp>BDP|16180690908376525581</stp>
        <tr r="C559" s="2"/>
      </tp>
      <tp t="s">
        <v>#N/A N/A</v>
        <stp/>
        <stp>BDP|14307176315305552298</stp>
        <tr r="H1062" s="2"/>
      </tp>
      <tp t="s">
        <v>#N/A N/A</v>
        <stp/>
        <stp>BDS|17486363448096208563</stp>
        <tr r="I2118" s="2"/>
      </tp>
      <tp t="s">
        <v>#N/A N/A</v>
        <stp/>
        <stp>BDP|16061760970930972527</stp>
        <tr r="R833" s="2"/>
      </tp>
      <tp t="s">
        <v>#N/A N/A</v>
        <stp/>
        <stp>BDP|13294772165255544482</stp>
        <tr r="J1746" s="2"/>
      </tp>
      <tp t="s">
        <v>#N/A N/A</v>
        <stp/>
        <stp>BDP|14572599602736476471</stp>
        <tr r="H698" s="2"/>
      </tp>
      <tp t="s">
        <v>#N/A N/A</v>
        <stp/>
        <stp>BDP|18263486032518683432</stp>
        <tr r="G1732" s="2"/>
      </tp>
      <tp t="s">
        <v>#N/A N/A</v>
        <stp/>
        <stp>BDP|10507305869341281730</stp>
        <tr r="A2200" s="2"/>
      </tp>
      <tp t="s">
        <v>#N/A N/A</v>
        <stp/>
        <stp>BDP|14438384167832110070</stp>
        <tr r="N413" s="2"/>
      </tp>
      <tp t="s">
        <v>#N/A N/A</v>
        <stp/>
        <stp>BDP|10347098824042008332</stp>
        <tr r="C739" s="2"/>
      </tp>
      <tp t="s">
        <v>#N/A N/A</v>
        <stp/>
        <stp>BDP|14414795508675154599</stp>
        <tr r="S643" s="2"/>
      </tp>
      <tp t="s">
        <v>#N/A N/A</v>
        <stp/>
        <stp>BDS|17685166339377533120</stp>
        <tr r="I524" s="2"/>
      </tp>
      <tp t="s">
        <v>#N/A N/A</v>
        <stp/>
        <stp>BDP|13350202369400176469</stp>
        <tr r="H1710" s="2"/>
      </tp>
      <tp t="s">
        <v>#N/A N/A</v>
        <stp/>
        <stp>BDP|10687714037787863051</stp>
        <tr r="S1873" s="2"/>
      </tp>
      <tp t="s">
        <v>#N/A N/A</v>
        <stp/>
        <stp>BDP|14199109992736939978</stp>
        <tr r="T1113" s="2"/>
      </tp>
      <tp t="s">
        <v>#N/A N/A</v>
        <stp/>
        <stp>BDP|11706024938522048309</stp>
        <tr r="R94" s="2"/>
      </tp>
      <tp t="s">
        <v>#N/A N/A</v>
        <stp/>
        <stp>BDP|13233900993997823744</stp>
        <tr r="Q871" s="2"/>
      </tp>
      <tp t="s">
        <v>#N/A N/A</v>
        <stp/>
        <stp>BDP|12909747276629436821</stp>
        <tr r="M525" s="2"/>
      </tp>
      <tp t="s">
        <v>#N/A N/A</v>
        <stp/>
        <stp>BDS|11565187237289131953</stp>
        <tr r="I636" s="2"/>
      </tp>
      <tp t="s">
        <v>#N/A N/A</v>
        <stp/>
        <stp>BDP|13988917780756383763</stp>
        <tr r="C229" s="2"/>
      </tp>
      <tp t="s">
        <v>#N/A N/A</v>
        <stp/>
        <stp>BDP|14333566939328161903</stp>
        <tr r="C450" s="2"/>
      </tp>
      <tp t="s">
        <v>#N/A N/A</v>
        <stp/>
        <stp>BDP|15054957939354271835</stp>
        <tr r="D844" s="2"/>
      </tp>
      <tp t="s">
        <v>#N/A N/A</v>
        <stp/>
        <stp>BDS|11747026909035556774</stp>
        <tr r="I1850" s="2"/>
      </tp>
      <tp t="s">
        <v>#N/A N/A</v>
        <stp/>
        <stp>BDP|10960523232332024747</stp>
        <tr r="G1127" s="2"/>
      </tp>
      <tp t="s">
        <v>#N/A N/A</v>
        <stp/>
        <stp>BDP|11239143885832883963</stp>
        <tr r="D251" s="2"/>
      </tp>
      <tp t="s">
        <v>#N/A N/A</v>
        <stp/>
        <stp>BDP|13756680869331300184</stp>
        <tr r="K804" s="2"/>
      </tp>
      <tp t="s">
        <v>#N/A N/A</v>
        <stp/>
        <stp>BDP|15307703815806802639</stp>
        <tr r="M1929" s="2"/>
      </tp>
      <tp t="s">
        <v>#N/A N/A</v>
        <stp/>
        <stp>BDP|11629387802498354926</stp>
        <tr r="Q774" s="2"/>
      </tp>
      <tp t="s">
        <v>#N/A N/A</v>
        <stp/>
        <stp>BDP|12513593330154549345</stp>
        <tr r="K1423" s="2"/>
      </tp>
      <tp t="s">
        <v>#N/A N/A</v>
        <stp/>
        <stp>BDP|13111376921612925331</stp>
        <tr r="N290" s="2"/>
      </tp>
      <tp t="s">
        <v>#N/A N/A</v>
        <stp/>
        <stp>BDP|12189580902107499322</stp>
        <tr r="R2093" s="2"/>
      </tp>
      <tp t="s">
        <v>#N/A N/A</v>
        <stp/>
        <stp>BDP|17880547504827535606</stp>
        <tr r="O1775" s="2"/>
      </tp>
      <tp t="s">
        <v>#N/A N/A</v>
        <stp/>
        <stp>BDP|16074487964122302520</stp>
        <tr r="R1201" s="2"/>
      </tp>
      <tp t="s">
        <v>#N/A N/A</v>
        <stp/>
        <stp>BDP|16640866264302028992</stp>
        <tr r="H946" s="2"/>
      </tp>
      <tp t="s">
        <v>#N/A N/A</v>
        <stp/>
        <stp>BDP|15487782719950900012</stp>
        <tr r="J234" s="2"/>
      </tp>
      <tp t="s">
        <v>#N/A N/A</v>
        <stp/>
        <stp>BDP|16830013530460567613</stp>
        <tr r="J379" s="2"/>
      </tp>
      <tp t="s">
        <v>#N/A N/A</v>
        <stp/>
        <stp>BDP|15179505470797413385</stp>
        <tr r="S2158" s="2"/>
      </tp>
      <tp t="s">
        <v>#N/A N/A</v>
        <stp/>
        <stp>BDP|10108879964099708488</stp>
        <tr r="F1789" s="2"/>
      </tp>
      <tp t="s">
        <v>#N/A N/A</v>
        <stp/>
        <stp>BDP|12948956906381384949</stp>
        <tr r="K2052" s="2"/>
      </tp>
      <tp t="s">
        <v>#N/A N/A</v>
        <stp/>
        <stp>BDP|14716770363521949770</stp>
        <tr r="A1963" s="2"/>
      </tp>
      <tp t="s">
        <v>#N/A N/A</v>
        <stp/>
        <stp>BDP|13598097978284142388</stp>
        <tr r="A447" s="2"/>
      </tp>
      <tp t="s">
        <v>#N/A N/A</v>
        <stp/>
        <stp>BDP|10848852774928267469</stp>
        <tr r="T559" s="2"/>
      </tp>
      <tp t="s">
        <v>#N/A N/A</v>
        <stp/>
        <stp>BDP|17816725231381476120</stp>
        <tr r="R2112" s="2"/>
      </tp>
      <tp t="s">
        <v>#N/A N/A</v>
        <stp/>
        <stp>BDP|11857369004862466332</stp>
        <tr r="C335" s="2"/>
      </tp>
      <tp t="s">
        <v>#N/A N/A</v>
        <stp/>
        <stp>BDP|12935266021707244616</stp>
        <tr r="J214" s="2"/>
      </tp>
      <tp t="s">
        <v>#N/A N/A</v>
        <stp/>
        <stp>BDP|17342713959021361756</stp>
        <tr r="P1571" s="2"/>
      </tp>
      <tp t="s">
        <v>#N/A N/A</v>
        <stp/>
        <stp>BDS|11934366513764731456</stp>
        <tr r="I1771" s="2"/>
      </tp>
      <tp t="s">
        <v>#N/A N/A</v>
        <stp/>
        <stp>BDP|14701111178737353604</stp>
        <tr r="S458" s="2"/>
      </tp>
      <tp t="s">
        <v>#N/A N/A</v>
        <stp/>
        <stp>BDP|11025921058418238652</stp>
        <tr r="S1038" s="2"/>
      </tp>
      <tp t="s">
        <v>#N/A N/A</v>
        <stp/>
        <stp>BDS|12828913311651472826</stp>
        <tr r="I48" s="2"/>
      </tp>
      <tp t="s">
        <v>#N/A N/A</v>
        <stp/>
        <stp>BDP|14156828727105188882</stp>
        <tr r="R1223" s="2"/>
      </tp>
      <tp t="s">
        <v>#N/A N/A</v>
        <stp/>
        <stp>BDS|12395167382998059094</stp>
        <tr r="I1695" s="2"/>
      </tp>
      <tp t="s">
        <v>#N/A N/A</v>
        <stp/>
        <stp>BDP|17233636749174473215</stp>
        <tr r="N102" s="2"/>
      </tp>
      <tp t="s">
        <v>#N/A N/A</v>
        <stp/>
        <stp>BDP|17268216811246762181</stp>
        <tr r="H1333" s="2"/>
      </tp>
      <tp t="s">
        <v>#N/A N/A</v>
        <stp/>
        <stp>BDP|13332629165685906508</stp>
        <tr r="A403" s="2"/>
      </tp>
      <tp t="s">
        <v>#N/A N/A</v>
        <stp/>
        <stp>BDP|15029172061176842731</stp>
        <tr r="Q67" s="2"/>
      </tp>
      <tp t="s">
        <v>#N/A N/A</v>
        <stp/>
        <stp>BDP|12811042764690100741</stp>
        <tr r="G194" s="2"/>
      </tp>
      <tp t="s">
        <v>#N/A N/A</v>
        <stp/>
        <stp>BDP|11441502979686528656</stp>
        <tr r="A2179" s="2"/>
      </tp>
      <tp t="s">
        <v>#N/A N/A</v>
        <stp/>
        <stp>BDP|10145014998032538807</stp>
        <tr r="D1335" s="2"/>
      </tp>
      <tp t="s">
        <v>#N/A N/A</v>
        <stp/>
        <stp>BDP|16946195105403930712</stp>
        <tr r="J1481" s="2"/>
      </tp>
      <tp t="s">
        <v>#N/A N/A</v>
        <stp/>
        <stp>BDP|12841272220351174036</stp>
        <tr r="Q158" s="2"/>
      </tp>
      <tp t="s">
        <v>#N/A N/A</v>
        <stp/>
        <stp>BDP|11328193861951438430</stp>
        <tr r="Q2182" s="2"/>
      </tp>
      <tp t="s">
        <v>#N/A N/A</v>
        <stp/>
        <stp>BDP|10041019602311929267</stp>
        <tr r="M901" s="2"/>
      </tp>
      <tp t="s">
        <v>#N/A N/A</v>
        <stp/>
        <stp>BDS|10261288914411926183</stp>
        <tr r="I739" s="2"/>
      </tp>
      <tp t="s">
        <v>#N/A N/A</v>
        <stp/>
        <stp>BDS|12949556737231724639</stp>
        <tr r="I1826" s="2"/>
      </tp>
      <tp t="s">
        <v>#N/A N/A</v>
        <stp/>
        <stp>BDS|13011498811201763406</stp>
        <tr r="I287" s="2"/>
      </tp>
      <tp t="s">
        <v>#N/A N/A</v>
        <stp/>
        <stp>BDP|17317851989896142227</stp>
        <tr r="J319" s="2"/>
      </tp>
      <tp t="s">
        <v>#N/A N/A</v>
        <stp/>
        <stp>BDP|12094590550174542507</stp>
        <tr r="A2098" s="2"/>
      </tp>
      <tp t="s">
        <v>#N/A N/A</v>
        <stp/>
        <stp>BDP|15503999303437264810</stp>
        <tr r="G1471" s="2"/>
      </tp>
      <tp t="s">
        <v>#N/A N/A</v>
        <stp/>
        <stp>BDP|11976037952663688425</stp>
        <tr r="C913" s="2"/>
      </tp>
      <tp t="s">
        <v>#N/A N/A</v>
        <stp/>
        <stp>BDP|15894242741723060311</stp>
        <tr r="T1033" s="2"/>
      </tp>
      <tp t="s">
        <v>#N/A N/A</v>
        <stp/>
        <stp>BDP|13462274191052984971</stp>
        <tr r="D749" s="2"/>
      </tp>
      <tp t="s">
        <v>#N/A N/A</v>
        <stp/>
        <stp>BDP|13359599722445757237</stp>
        <tr r="O1262" s="2"/>
      </tp>
      <tp t="s">
        <v>#N/A N/A</v>
        <stp/>
        <stp>BDP|16088207238766132251</stp>
        <tr r="M79" s="2"/>
      </tp>
      <tp t="s">
        <v>#N/A N/A</v>
        <stp/>
        <stp>BDP|15902563808537950429</stp>
        <tr r="O240" s="2"/>
      </tp>
      <tp t="s">
        <v>#N/A N/A</v>
        <stp/>
        <stp>BDP|17503945025647997810</stp>
        <tr r="C1171" s="2"/>
      </tp>
      <tp t="s">
        <v>#N/A N/A</v>
        <stp/>
        <stp>BDP|10552000748413098411</stp>
        <tr r="O1314" s="2"/>
      </tp>
      <tp t="s">
        <v>#N/A N/A</v>
        <stp/>
        <stp>BDP|16144893910469037549</stp>
        <tr r="J989" s="2"/>
      </tp>
      <tp t="s">
        <v>#N/A N/A</v>
        <stp/>
        <stp>BDS|10758709842029825927</stp>
        <tr r="I1952" s="2"/>
      </tp>
      <tp t="s">
        <v>#N/A N/A</v>
        <stp/>
        <stp>BDP|12780091845601609416</stp>
        <tr r="G2005" s="2"/>
      </tp>
      <tp t="s">
        <v>#N/A N/A</v>
        <stp/>
        <stp>BDP|13773788133036041202</stp>
        <tr r="N310" s="2"/>
      </tp>
      <tp t="s">
        <v>#N/A N/A</v>
        <stp/>
        <stp>BDP|17991000646230046037</stp>
        <tr r="A1351" s="2"/>
      </tp>
      <tp t="s">
        <v>#N/A N/A</v>
        <stp/>
        <stp>BDP|16315154690568388597</stp>
        <tr r="C642" s="2"/>
      </tp>
      <tp t="s">
        <v>#N/A N/A</v>
        <stp/>
        <stp>BDP|10903736242055293560</stp>
        <tr r="P266" s="2"/>
      </tp>
      <tp t="s">
        <v>#N/A N/A</v>
        <stp/>
        <stp>BDP|13843918680890320168</stp>
        <tr r="F983" s="2"/>
      </tp>
      <tp t="s">
        <v>#N/A N/A</v>
        <stp/>
        <stp>BDP|14137545317842617181</stp>
        <tr r="R1568" s="2"/>
      </tp>
      <tp t="s">
        <v>#N/A N/A</v>
        <stp/>
        <stp>BDP|14082051478625264537</stp>
        <tr r="E2049" s="2"/>
      </tp>
      <tp t="s">
        <v>#N/A N/A</v>
        <stp/>
        <stp>BDP|15834089105426064096</stp>
        <tr r="O1413" s="2"/>
      </tp>
      <tp t="s">
        <v>#N/A N/A</v>
        <stp/>
        <stp>BDP|17085340480506012982</stp>
        <tr r="A1211" s="2"/>
      </tp>
      <tp t="s">
        <v>#N/A N/A</v>
        <stp/>
        <stp>BDP|10875775564654727608</stp>
        <tr r="N2096" s="2"/>
      </tp>
      <tp t="s">
        <v>#N/A N/A</v>
        <stp/>
        <stp>BDP|10853179154031039672</stp>
        <tr r="P1358" s="2"/>
      </tp>
      <tp t="s">
        <v>#N/A N/A</v>
        <stp/>
        <stp>BDP|15748472758445793236</stp>
        <tr r="J1073" s="2"/>
      </tp>
      <tp t="s">
        <v>#N/A N/A</v>
        <stp/>
        <stp>BDP|13162954258319445548</stp>
        <tr r="S1170" s="2"/>
      </tp>
      <tp t="s">
        <v>#N/A N/A</v>
        <stp/>
        <stp>BDS|10568889975608015475</stp>
        <tr r="I581" s="2"/>
      </tp>
      <tp t="s">
        <v>#N/A N/A</v>
        <stp/>
        <stp>BDP|12418032852152865619</stp>
        <tr r="K780" s="2"/>
      </tp>
      <tp t="s">
        <v>#N/A N/A</v>
        <stp/>
        <stp>BDP|15346855060948872022</stp>
        <tr r="G1420" s="2"/>
      </tp>
      <tp t="s">
        <v>#N/A N/A</v>
        <stp/>
        <stp>BDP|16339592540960328457</stp>
        <tr r="D1216" s="2"/>
      </tp>
      <tp t="s">
        <v>#N/A N/A</v>
        <stp/>
        <stp>BDP|11123646798398320529</stp>
        <tr r="C1215" s="2"/>
      </tp>
      <tp t="s">
        <v>#N/A N/A</v>
        <stp/>
        <stp>BDP|17038069083928176488</stp>
        <tr r="M1425" s="2"/>
      </tp>
      <tp t="s">
        <v>#N/A N/A</v>
        <stp/>
        <stp>BDP|13829760690969652742</stp>
        <tr r="E1214" s="2"/>
      </tp>
      <tp t="s">
        <v>#N/A N/A</v>
        <stp/>
        <stp>BDS|14106395726306495053</stp>
        <tr r="I923" s="2"/>
      </tp>
      <tp t="s">
        <v>#N/A N/A</v>
        <stp/>
        <stp>BDP|10078586948860901255</stp>
        <tr r="K1420" s="2"/>
      </tp>
      <tp t="s">
        <v>#N/A N/A</v>
        <stp/>
        <stp>BDP|12194909692074854579</stp>
        <tr r="H2243" s="2"/>
      </tp>
      <tp t="s">
        <v>#N/A N/A</v>
        <stp/>
        <stp>BDP|17500371780857751890</stp>
        <tr r="R2171" s="2"/>
      </tp>
      <tp t="s">
        <v>#N/A N/A</v>
        <stp/>
        <stp>BDP|15640224023350341684</stp>
        <tr r="K1672" s="2"/>
      </tp>
      <tp t="s">
        <v>#N/A N/A</v>
        <stp/>
        <stp>BDP|17082542115159815959</stp>
        <tr r="C2179" s="2"/>
      </tp>
      <tp t="s">
        <v>#N/A N/A</v>
        <stp/>
        <stp>BDP|10834743819295028092</stp>
        <tr r="T2108" s="2"/>
      </tp>
      <tp t="s">
        <v>#N/A N/A</v>
        <stp/>
        <stp>BDP|15079292123127104176</stp>
        <tr r="E2229" s="2"/>
      </tp>
      <tp t="s">
        <v>#N/A N/A</v>
        <stp/>
        <stp>BDP|14176257569327854494</stp>
        <tr r="P1120" s="2"/>
      </tp>
      <tp t="s">
        <v>#N/A N/A</v>
        <stp/>
        <stp>BDP|17043760501653817031</stp>
        <tr r="A1459" s="2"/>
      </tp>
      <tp t="s">
        <v>#N/A N/A</v>
        <stp/>
        <stp>BDP|12214544553588111980</stp>
        <tr r="G1917" s="2"/>
      </tp>
      <tp t="s">
        <v>#N/A N/A</v>
        <stp/>
        <stp>BDP|13978191072580901672</stp>
        <tr r="D471" s="2"/>
      </tp>
      <tp t="s">
        <v>#N/A N/A</v>
        <stp/>
        <stp>BDP|17945329552811502304</stp>
        <tr r="F499" s="2"/>
      </tp>
      <tp t="s">
        <v>#N/A N/A</v>
        <stp/>
        <stp>BDP|10407415279684461445</stp>
        <tr r="S627" s="2"/>
      </tp>
      <tp t="s">
        <v>#N/A N/A</v>
        <stp/>
        <stp>BDP|10357536668088131850</stp>
        <tr r="N1038" s="2"/>
      </tp>
      <tp t="s">
        <v>#N/A N/A</v>
        <stp/>
        <stp>BDP|14524563907724055683</stp>
        <tr r="P720" s="2"/>
      </tp>
      <tp t="s">
        <v>#N/A N/A</v>
        <stp/>
        <stp>BDP|10887859232941206918</stp>
        <tr r="F255" s="2"/>
      </tp>
      <tp t="s">
        <v>#N/A N/A</v>
        <stp/>
        <stp>BDS|16298378130392326790</stp>
        <tr r="I1715" s="2"/>
      </tp>
      <tp t="s">
        <v>#N/A N/A</v>
        <stp/>
        <stp>BDP|14807069134004396050</stp>
        <tr r="M575" s="2"/>
      </tp>
      <tp t="s">
        <v>#N/A N/A</v>
        <stp/>
        <stp>BDP|15890549392138380219</stp>
        <tr r="F24" s="2"/>
      </tp>
      <tp t="s">
        <v>#N/A N/A</v>
        <stp/>
        <stp>BDP|16906694750272544492</stp>
        <tr r="N1094" s="2"/>
      </tp>
      <tp t="s">
        <v>#N/A N/A</v>
        <stp/>
        <stp>BDS|12021732361000938044</stp>
        <tr r="I74" s="2"/>
      </tp>
      <tp t="s">
        <v>#N/A N/A</v>
        <stp/>
        <stp>BDP|10572724272144903705</stp>
        <tr r="S1155" s="2"/>
      </tp>
      <tp t="s">
        <v>#N/A N/A</v>
        <stp/>
        <stp>BDP|18032666669533658853</stp>
        <tr r="R795" s="2"/>
      </tp>
      <tp t="s">
        <v>#N/A N/A</v>
        <stp/>
        <stp>BDP|16315180142175010557</stp>
        <tr r="S1428" s="2"/>
      </tp>
      <tp t="s">
        <v>#N/A N/A</v>
        <stp/>
        <stp>BDP|14777765255107917214</stp>
        <tr r="G1303" s="2"/>
      </tp>
      <tp t="s">
        <v>#N/A N/A</v>
        <stp/>
        <stp>BDP|16273452468997492070</stp>
        <tr r="J2226" s="2"/>
      </tp>
      <tp t="s">
        <v>#N/A N/A</v>
        <stp/>
        <stp>BDP|16686657972956406293</stp>
        <tr r="N2022" s="2"/>
      </tp>
      <tp t="s">
        <v>#N/A N/A</v>
        <stp/>
        <stp>BDS|10455832868929493442</stp>
        <tr r="I1984" s="2"/>
      </tp>
      <tp t="s">
        <v>#N/A N/A</v>
        <stp/>
        <stp>BDP|14537671892861572998</stp>
        <tr r="O982" s="2"/>
      </tp>
      <tp t="s">
        <v>#N/A N/A</v>
        <stp/>
        <stp>BDP|15262297566946846499</stp>
        <tr r="R1533" s="2"/>
      </tp>
      <tp t="s">
        <v>#N/A N/A</v>
        <stp/>
        <stp>BDP|11122797637552065433</stp>
        <tr r="S830" s="2"/>
      </tp>
      <tp t="s">
        <v>#N/A N/A</v>
        <stp/>
        <stp>BDP|13924130793120066850</stp>
        <tr r="A2062" s="2"/>
      </tp>
      <tp t="s">
        <v>#N/A N/A</v>
        <stp/>
        <stp>BDP|10906574176756351773</stp>
        <tr r="D233" s="2"/>
      </tp>
      <tp t="s">
        <v>#N/A N/A</v>
        <stp/>
        <stp>BDP|14985091063844732587</stp>
        <tr r="T425" s="2"/>
      </tp>
      <tp t="s">
        <v>#N/A N/A</v>
        <stp/>
        <stp>BDP|10651041317554835617</stp>
        <tr r="E530" s="2"/>
      </tp>
      <tp t="s">
        <v>#N/A N/A</v>
        <stp/>
        <stp>BDP|12437384150826298122</stp>
        <tr r="S2108" s="2"/>
      </tp>
      <tp t="s">
        <v>#N/A N/A</v>
        <stp/>
        <stp>BDP|11449487541235127707</stp>
        <tr r="K2073" s="2"/>
      </tp>
      <tp t="s">
        <v>#N/A N/A</v>
        <stp/>
        <stp>BDP|15969302522053623412</stp>
        <tr r="P1871" s="2"/>
      </tp>
      <tp t="s">
        <v>#N/A N/A</v>
        <stp/>
        <stp>BDP|13540181003237776654</stp>
        <tr r="T1848" s="2"/>
      </tp>
      <tp t="s">
        <v>#N/A N/A</v>
        <stp/>
        <stp>BDP|11933344136751671313</stp>
        <tr r="C1821" s="2"/>
      </tp>
      <tp t="s">
        <v>#N/A N/A</v>
        <stp/>
        <stp>BDP|17514277331330825573</stp>
        <tr r="P2233" s="2"/>
      </tp>
      <tp t="s">
        <v>#N/A N/A</v>
        <stp/>
        <stp>BDP|17173096442914385454</stp>
        <tr r="O2182" s="2"/>
      </tp>
      <tp t="s">
        <v>#N/A N/A</v>
        <stp/>
        <stp>BDP|18289052027438643191</stp>
        <tr r="E353" s="2"/>
      </tp>
      <tp t="s">
        <v>#N/A N/A</v>
        <stp/>
        <stp>BDP|11560137336543886377</stp>
        <tr r="C1573" s="2"/>
      </tp>
      <tp t="s">
        <v>#N/A N/A</v>
        <stp/>
        <stp>BDP|14724747061942930444</stp>
        <tr r="C748" s="2"/>
      </tp>
      <tp t="s">
        <v>#N/A N/A</v>
        <stp/>
        <stp>BDP|13053669668261250130</stp>
        <tr r="R2166" s="2"/>
      </tp>
      <tp t="s">
        <v>#N/A N/A</v>
        <stp/>
        <stp>BDP|15237864597951925657</stp>
        <tr r="T1518" s="2"/>
      </tp>
      <tp t="s">
        <v>#N/A N/A</v>
        <stp/>
        <stp>BDP|14584813696571448790</stp>
        <tr r="S1130" s="2"/>
      </tp>
      <tp t="s">
        <v>#N/A N/A</v>
        <stp/>
        <stp>BDP|15483892432718108517</stp>
        <tr r="Q328" s="2"/>
      </tp>
      <tp t="s">
        <v>#N/A N/A</v>
        <stp/>
        <stp>BDP|16462843627927136895</stp>
        <tr r="H540" s="2"/>
      </tp>
      <tp t="s">
        <v>#N/A N/A</v>
        <stp/>
        <stp>BDS|16918279770551348113</stp>
        <tr r="I722" s="2"/>
      </tp>
      <tp t="s">
        <v>#N/A N/A</v>
        <stp/>
        <stp>BDP|16907656556881243773</stp>
        <tr r="J1109" s="2"/>
      </tp>
      <tp t="s">
        <v>#N/A N/A</v>
        <stp/>
        <stp>BDP|15957973486875402237</stp>
        <tr r="F1977" s="2"/>
      </tp>
      <tp t="s">
        <v>#N/A N/A</v>
        <stp/>
        <stp>BDP|11247039959143666412</stp>
        <tr r="S2090" s="2"/>
      </tp>
      <tp t="s">
        <v>#N/A N/A</v>
        <stp/>
        <stp>BDP|15635184663266799754</stp>
        <tr r="H2202" s="2"/>
      </tp>
      <tp t="s">
        <v>#N/A N/A</v>
        <stp/>
        <stp>BDP|17956315965221794053</stp>
        <tr r="D200" s="2"/>
      </tp>
      <tp t="s">
        <v>#N/A N/A</v>
        <stp/>
        <stp>BDP|10397864573499153584</stp>
        <tr r="J1062" s="2"/>
      </tp>
      <tp t="s">
        <v>#N/A N/A</v>
        <stp/>
        <stp>BDP|15730084420822703677</stp>
        <tr r="G804" s="2"/>
      </tp>
      <tp t="s">
        <v>#N/A N/A</v>
        <stp/>
        <stp>BDP|17597128835852976441</stp>
        <tr r="R1812" s="2"/>
      </tp>
      <tp t="s">
        <v>#N/A N/A</v>
        <stp/>
        <stp>BDS|14909157140645295727</stp>
        <tr r="I796" s="2"/>
      </tp>
      <tp t="s">
        <v>#N/A N/A</v>
        <stp/>
        <stp>BDP|13588325153560921624</stp>
        <tr r="Q1107" s="2"/>
      </tp>
      <tp t="s">
        <v>#N/A N/A</v>
        <stp/>
        <stp>BDP|16533529470877959019</stp>
        <tr r="H1224" s="2"/>
      </tp>
      <tp t="s">
        <v>#N/A N/A</v>
        <stp/>
        <stp>BDP|18108684194944258006</stp>
        <tr r="D1520" s="2"/>
      </tp>
      <tp t="s">
        <v>#N/A N/A</v>
        <stp/>
        <stp>BDP|11339456463969245985</stp>
        <tr r="N793" s="2"/>
      </tp>
      <tp t="s">
        <v>#N/A N/A</v>
        <stp/>
        <stp>BDP|17904241903073546549</stp>
        <tr r="P1093" s="2"/>
      </tp>
      <tp t="s">
        <v>#N/A N/A</v>
        <stp/>
        <stp>BDP|18137440980873317496</stp>
        <tr r="F386" s="2"/>
      </tp>
      <tp t="s">
        <v>#N/A N/A</v>
        <stp/>
        <stp>BDP|12020913834092846929</stp>
        <tr r="R1851" s="2"/>
      </tp>
      <tp t="s">
        <v>#N/A N/A</v>
        <stp/>
        <stp>BDP|14800112604790737655</stp>
        <tr r="E1306" s="2"/>
      </tp>
      <tp t="s">
        <v>#N/A N/A</v>
        <stp/>
        <stp>BDP|10577198215865536637</stp>
        <tr r="E66" s="2"/>
      </tp>
      <tp t="s">
        <v>#N/A N/A</v>
        <stp/>
        <stp>BDP|16334847646131830865</stp>
        <tr r="G5" s="2"/>
      </tp>
      <tp t="s">
        <v>#N/A N/A</v>
        <stp/>
        <stp>BDP|11785281620986535451</stp>
        <tr r="K1921" s="2"/>
      </tp>
      <tp t="s">
        <v>#N/A N/A</v>
        <stp/>
        <stp>BDP|17518363233212831671</stp>
        <tr r="M594" s="2"/>
      </tp>
      <tp t="s">
        <v>#N/A N/A</v>
        <stp/>
        <stp>BDP|13079120698398422014</stp>
        <tr r="M154" s="2"/>
      </tp>
      <tp t="s">
        <v>#N/A N/A</v>
        <stp/>
        <stp>BDP|12751099873086087026</stp>
        <tr r="N1457" s="2"/>
      </tp>
      <tp t="s">
        <v>#N/A N/A</v>
        <stp/>
        <stp>BDP|15973653569642223482</stp>
        <tr r="D278" s="2"/>
      </tp>
      <tp t="s">
        <v>#N/A N/A</v>
        <stp/>
        <stp>BDP|17284319057882281090</stp>
        <tr r="C1906" s="2"/>
      </tp>
      <tp t="s">
        <v>#N/A N/A</v>
        <stp/>
        <stp>BDP|12717656853341914374</stp>
        <tr r="O650" s="2"/>
      </tp>
      <tp t="s">
        <v>#N/A N/A</v>
        <stp/>
        <stp>BDP|12480688368240232190</stp>
        <tr r="C961" s="2"/>
      </tp>
      <tp t="s">
        <v>#N/A N/A</v>
        <stp/>
        <stp>BDP|14727281053173155326</stp>
        <tr r="D473" s="2"/>
      </tp>
      <tp t="s">
        <v>#N/A N/A</v>
        <stp/>
        <stp>BDP|15525732268371165604</stp>
        <tr r="N1893" s="2"/>
      </tp>
      <tp t="s">
        <v>#N/A N/A</v>
        <stp/>
        <stp>BDP|10503583610172242507</stp>
        <tr r="Q1443" s="2"/>
      </tp>
      <tp t="s">
        <v>#N/A N/A</v>
        <stp/>
        <stp>BDS|11825036096562096918</stp>
        <tr r="I985" s="2"/>
      </tp>
      <tp t="s">
        <v>#N/A N/A</v>
        <stp/>
        <stp>BDP|11726087166193338757</stp>
        <tr r="C1431" s="2"/>
      </tp>
      <tp t="s">
        <v>#N/A N/A</v>
        <stp/>
        <stp>BDP|16037966420868947609</stp>
        <tr r="S549" s="2"/>
      </tp>
      <tp t="s">
        <v>#N/A N/A</v>
        <stp/>
        <stp>BDP|18238120021730967875</stp>
        <tr r="K1797" s="2"/>
      </tp>
      <tp t="s">
        <v>#N/A N/A</v>
        <stp/>
        <stp>BDP|14602863901796646987</stp>
        <tr r="F375" s="2"/>
      </tp>
      <tp t="s">
        <v>#N/A N/A</v>
        <stp/>
        <stp>BDP|17844626758344933345</stp>
        <tr r="T2020" s="2"/>
      </tp>
      <tp t="s">
        <v>#N/A N/A</v>
        <stp/>
        <stp>BDS|12708593125583425533</stp>
        <tr r="I741" s="2"/>
      </tp>
      <tp t="s">
        <v>#N/A N/A</v>
        <stp/>
        <stp>BDP|12207254606193924071</stp>
        <tr r="A330" s="2"/>
      </tp>
      <tp t="s">
        <v>#N/A N/A</v>
        <stp/>
        <stp>BDP|13139759103447185090</stp>
        <tr r="C573" s="2"/>
      </tp>
      <tp t="s">
        <v>#N/A N/A</v>
        <stp/>
        <stp>BDP|17688108354200473093</stp>
        <tr r="O1807" s="2"/>
      </tp>
      <tp t="s">
        <v>#N/A N/A</v>
        <stp/>
        <stp>BDP|11224930052477886948</stp>
        <tr r="J1384" s="2"/>
      </tp>
      <tp t="s">
        <v>#N/A N/A</v>
        <stp/>
        <stp>BDP|16206787524135464556</stp>
        <tr r="F1521" s="2"/>
      </tp>
      <tp t="s">
        <v>#N/A N/A</v>
        <stp/>
        <stp>BDP|11695719154917487787</stp>
        <tr r="D1590" s="2"/>
      </tp>
      <tp t="s">
        <v>#N/A N/A</v>
        <stp/>
        <stp>BDP|11996579552472118020</stp>
        <tr r="T235" s="2"/>
      </tp>
      <tp t="s">
        <v>#N/A N/A</v>
        <stp/>
        <stp>BDP|14882171832736686343</stp>
        <tr r="M959" s="2"/>
      </tp>
      <tp t="s">
        <v>#N/A N/A</v>
        <stp/>
        <stp>BDP|15536437618181660276</stp>
        <tr r="F1341" s="2"/>
      </tp>
      <tp t="s">
        <v>#N/A N/A</v>
        <stp/>
        <stp>BDS|14641184712662055506</stp>
        <tr r="I946" s="2"/>
      </tp>
      <tp t="s">
        <v>#N/A N/A</v>
        <stp/>
        <stp>BDP|12595138158825044018</stp>
        <tr r="N1180" s="2"/>
      </tp>
      <tp t="s">
        <v>#N/A N/A</v>
        <stp/>
        <stp>BDP|11083132972507936378</stp>
        <tr r="J2086" s="2"/>
      </tp>
      <tp t="s">
        <v>#N/A N/A</v>
        <stp/>
        <stp>BDP|13449057676561977615</stp>
        <tr r="F241" s="2"/>
      </tp>
      <tp t="s">
        <v>#N/A N/A</v>
        <stp/>
        <stp>BDS|17078032604635305187</stp>
        <tr r="I996" s="2"/>
      </tp>
      <tp t="s">
        <v>#N/A N/A</v>
        <stp/>
        <stp>BDS|10768321375346595199</stp>
        <tr r="I849" s="2"/>
      </tp>
      <tp t="s">
        <v>#N/A N/A</v>
        <stp/>
        <stp>BDP|13663711044615404685</stp>
        <tr r="O285" s="2"/>
      </tp>
      <tp t="s">
        <v>#N/A N/A</v>
        <stp/>
        <stp>BDP|16591558874240213789</stp>
        <tr r="F877" s="2"/>
      </tp>
      <tp t="s">
        <v>#N/A N/A</v>
        <stp/>
        <stp>BDP|11513067215297182497</stp>
        <tr r="E1742" s="2"/>
      </tp>
      <tp t="s">
        <v>#N/A N/A</v>
        <stp/>
        <stp>BDP|18324260836228928249</stp>
        <tr r="E1254" s="2"/>
      </tp>
      <tp t="s">
        <v>#N/A N/A</v>
        <stp/>
        <stp>BDS|16272775166276832268</stp>
        <tr r="I1526" s="2"/>
      </tp>
      <tp t="s">
        <v>#N/A N/A</v>
        <stp/>
        <stp>BDP|12202440776051833368</stp>
        <tr r="K1559" s="2"/>
      </tp>
      <tp t="s">
        <v>#N/A N/A</v>
        <stp/>
        <stp>BDP|13138522013053822769</stp>
        <tr r="H1470" s="2"/>
      </tp>
      <tp t="s">
        <v>#N/A N/A</v>
        <stp/>
        <stp>BDP|13908062073722383517</stp>
        <tr r="H1240" s="2"/>
      </tp>
      <tp t="s">
        <v>#N/A N/A</v>
        <stp/>
        <stp>BDP|13305373360983945634</stp>
        <tr r="K950" s="2"/>
      </tp>
      <tp t="s">
        <v>#N/A N/A</v>
        <stp/>
        <stp>BDP|14699513231872198391</stp>
        <tr r="C1457" s="2"/>
      </tp>
      <tp t="s">
        <v>#N/A N/A</v>
        <stp/>
        <stp>BDS|12870289338813189347</stp>
        <tr r="I1644" s="2"/>
      </tp>
      <tp t="s">
        <v>#N/A N/A</v>
        <stp/>
        <stp>BDP|15785508238651794166</stp>
        <tr r="M369" s="2"/>
      </tp>
      <tp t="s">
        <v>#N/A N/A</v>
        <stp/>
        <stp>BDP|14930900756489463259</stp>
        <tr r="A816" s="2"/>
      </tp>
      <tp t="s">
        <v>#N/A N/A</v>
        <stp/>
        <stp>BDP|10509473767300210199</stp>
        <tr r="E1136" s="2"/>
      </tp>
      <tp t="s">
        <v>#N/A N/A</v>
        <stp/>
        <stp>BDP|11396073542085912313</stp>
        <tr r="D260" s="2"/>
      </tp>
      <tp t="s">
        <v>#N/A N/A</v>
        <stp/>
        <stp>BDS|16632755892872549992</stp>
        <tr r="I164" s="2"/>
      </tp>
      <tp t="s">
        <v>#N/A N/A</v>
        <stp/>
        <stp>BDP|11093163118624876683</stp>
        <tr r="F569" s="2"/>
      </tp>
      <tp t="s">
        <v>#N/A N/A</v>
        <stp/>
        <stp>BDP|14608413641676934119</stp>
        <tr r="S1172" s="2"/>
      </tp>
      <tp t="s">
        <v>#N/A N/A</v>
        <stp/>
        <stp>BDP|13827050754477419238</stp>
        <tr r="M1055" s="2"/>
      </tp>
      <tp t="s">
        <v>#N/A N/A</v>
        <stp/>
        <stp>BDP|15064479985463450981</stp>
        <tr r="F1419" s="2"/>
      </tp>
      <tp t="s">
        <v>#N/A N/A</v>
        <stp/>
        <stp>BDP|11482538520011887417</stp>
        <tr r="M1191" s="2"/>
      </tp>
      <tp t="s">
        <v>#N/A N/A</v>
        <stp/>
        <stp>BDS|17503904299461194506</stp>
        <tr r="I1155" s="2"/>
      </tp>
      <tp t="s">
        <v>#N/A N/A</v>
        <stp/>
        <stp>BDP|11620888811423338822</stp>
        <tr r="C1151" s="2"/>
      </tp>
      <tp t="s">
        <v>#N/A N/A</v>
        <stp/>
        <stp>BDP|12673283123297307608</stp>
        <tr r="E2185" s="2"/>
      </tp>
      <tp t="s">
        <v>#N/A N/A</v>
        <stp/>
        <stp>BDP|10348075671114265098</stp>
        <tr r="A858" s="2"/>
      </tp>
      <tp t="s">
        <v>#N/A N/A</v>
        <stp/>
        <stp>BDP|13185679688138174619</stp>
        <tr r="G1053" s="2"/>
      </tp>
      <tp t="s">
        <v>#N/A N/A</v>
        <stp/>
        <stp>BDP|16803277089269981613</stp>
        <tr r="K1871" s="2"/>
      </tp>
      <tp t="s">
        <v>#N/A N/A</v>
        <stp/>
        <stp>BDP|15136327719873466704</stp>
        <tr r="H599" s="2"/>
      </tp>
      <tp t="s">
        <v>#N/A N/A</v>
        <stp/>
        <stp>BDP|18029634578812224871</stp>
        <tr r="F1359" s="2"/>
      </tp>
      <tp t="s">
        <v>#N/A N/A</v>
        <stp/>
        <stp>BDP|15896200300774166075</stp>
        <tr r="S538" s="2"/>
      </tp>
      <tp t="s">
        <v>#N/A N/A</v>
        <stp/>
        <stp>BDP|17822060919695881011</stp>
        <tr r="O2085" s="2"/>
      </tp>
      <tp t="s">
        <v>#N/A N/A</v>
        <stp/>
        <stp>BDP|17142293840807078565</stp>
        <tr r="D1418" s="2"/>
      </tp>
      <tp t="s">
        <v>#N/A N/A</v>
        <stp/>
        <stp>BDP|17344747320147168688</stp>
        <tr r="H796" s="2"/>
      </tp>
      <tp t="s">
        <v>#N/A N/A</v>
        <stp/>
        <stp>BDP|15377052459967083418</stp>
        <tr r="R410" s="2"/>
      </tp>
      <tp t="s">
        <v>#N/A N/A</v>
        <stp/>
        <stp>BDP|16533761831612809348</stp>
        <tr r="M1559" s="2"/>
      </tp>
      <tp t="s">
        <v>#N/A N/A</v>
        <stp/>
        <stp>BDP|15914271760597657563</stp>
        <tr r="G2232" s="2"/>
      </tp>
      <tp t="s">
        <v>#N/A N/A</v>
        <stp/>
        <stp>BDP|12667436220093309483</stp>
        <tr r="M2194" s="2"/>
      </tp>
      <tp t="s">
        <v>#N/A N/A</v>
        <stp/>
        <stp>BDP|14415244521011924664</stp>
        <tr r="F67" s="2"/>
      </tp>
      <tp t="s">
        <v>#N/A N/A</v>
        <stp/>
        <stp>BDP|15444371224447801012</stp>
        <tr r="Q208" s="2"/>
      </tp>
      <tp t="s">
        <v>#N/A N/A</v>
        <stp/>
        <stp>BDP|18121964832939246899</stp>
        <tr r="N808" s="2"/>
      </tp>
      <tp t="s">
        <v>#N/A N/A</v>
        <stp/>
        <stp>BDP|12496710178596070739</stp>
        <tr r="J390" s="2"/>
      </tp>
      <tp t="s">
        <v>#N/A N/A</v>
        <stp/>
        <stp>BDP|15144591645195215217</stp>
        <tr r="K2182" s="2"/>
      </tp>
      <tp t="s">
        <v>#N/A N/A</v>
        <stp/>
        <stp>BDP|15752541053691921772</stp>
        <tr r="G1759" s="2"/>
      </tp>
      <tp t="s">
        <v>#N/A N/A</v>
        <stp/>
        <stp>BDP|12875244449545970223</stp>
        <tr r="O1726" s="2"/>
      </tp>
      <tp t="s">
        <v>#N/A N/A</v>
        <stp/>
        <stp>BDP|15122522789783529817</stp>
        <tr r="D1228" s="2"/>
      </tp>
      <tp t="s">
        <v>#N/A N/A</v>
        <stp/>
        <stp>BDP|14766363519453758615</stp>
        <tr r="P1296" s="2"/>
      </tp>
      <tp t="s">
        <v>#N/A N/A</v>
        <stp/>
        <stp>BDP|12419726285756986849</stp>
        <tr r="C1688" s="2"/>
      </tp>
      <tp t="s">
        <v>#N/A N/A</v>
        <stp/>
        <stp>BDP|12291266538999527975</stp>
        <tr r="A2210" s="2"/>
      </tp>
      <tp t="s">
        <v>#N/A N/A</v>
        <stp/>
        <stp>BDP|13858122901741410010</stp>
        <tr r="F1592" s="2"/>
      </tp>
      <tp t="s">
        <v>#N/A N/A</v>
        <stp/>
        <stp>BDP|16543299498269864728</stp>
        <tr r="Q1339" s="2"/>
      </tp>
      <tp t="s">
        <v>#N/A N/A</v>
        <stp/>
        <stp>BDS|17597261399986318941</stp>
        <tr r="I1908" s="2"/>
      </tp>
      <tp t="s">
        <v>#N/A N/A</v>
        <stp/>
        <stp>BDP|15915075270320867180</stp>
        <tr r="R1024" s="2"/>
      </tp>
      <tp t="s">
        <v>#N/A N/A</v>
        <stp/>
        <stp>BDP|16238547304914991454</stp>
        <tr r="Q281" s="2"/>
      </tp>
      <tp t="s">
        <v>#N/A N/A</v>
        <stp/>
        <stp>BDP|12032475653404225480</stp>
        <tr r="F1825" s="2"/>
      </tp>
      <tp t="s">
        <v>#N/A N/A</v>
        <stp/>
        <stp>BDP|14384470376460443488</stp>
        <tr r="M1102" s="2"/>
      </tp>
      <tp t="s">
        <v>#N/A N/A</v>
        <stp/>
        <stp>BDP|11679171238166616611</stp>
        <tr r="G963" s="2"/>
      </tp>
      <tp t="s">
        <v>#N/A N/A</v>
        <stp/>
        <stp>BDP|17348569163190825709</stp>
        <tr r="Q274" s="2"/>
      </tp>
      <tp t="s">
        <v>#N/A N/A</v>
        <stp/>
        <stp>BDP|10268833665699203484</stp>
        <tr r="M2003" s="2"/>
      </tp>
      <tp t="s">
        <v>#N/A N/A</v>
        <stp/>
        <stp>BDP|11653398526853025070</stp>
        <tr r="M918" s="2"/>
      </tp>
      <tp t="s">
        <v>#N/A N/A</v>
        <stp/>
        <stp>BDP|11087494525875426161</stp>
        <tr r="N704" s="2"/>
      </tp>
      <tp t="s">
        <v>#N/A N/A</v>
        <stp/>
        <stp>BDP|13550112816129909951</stp>
        <tr r="T338" s="2"/>
      </tp>
      <tp t="s">
        <v>#N/A N/A</v>
        <stp/>
        <stp>BDP|16028010050318654892</stp>
        <tr r="J1058" s="2"/>
      </tp>
      <tp t="s">
        <v>#N/A N/A</v>
        <stp/>
        <stp>BDP|11266252637045718693</stp>
        <tr r="N2227" s="2"/>
      </tp>
      <tp t="s">
        <v>#N/A N/A</v>
        <stp/>
        <stp>BDS|11423522002732049595</stp>
        <tr r="I660" s="2"/>
      </tp>
      <tp t="s">
        <v>#N/A N/A</v>
        <stp/>
        <stp>BDP|11352369972644195285</stp>
        <tr r="S933" s="2"/>
      </tp>
      <tp t="s">
        <v>#N/A N/A</v>
        <stp/>
        <stp>BDP|12582986390854060536</stp>
        <tr r="T1780" s="2"/>
      </tp>
      <tp t="s">
        <v>#N/A N/A</v>
        <stp/>
        <stp>BDS|13696714410873954536</stp>
        <tr r="I1930" s="2"/>
      </tp>
      <tp t="s">
        <v>#N/A N/A</v>
        <stp/>
        <stp>BDS|17993766432760372039</stp>
        <tr r="I1420" s="2"/>
      </tp>
      <tp t="s">
        <v>#N/A N/A</v>
        <stp/>
        <stp>BDP|17209482052723045664</stp>
        <tr r="E582" s="2"/>
      </tp>
      <tp t="s">
        <v>#N/A N/A</v>
        <stp/>
        <stp>BDP|13026127908810607128</stp>
        <tr r="S1824" s="2"/>
      </tp>
      <tp t="s">
        <v>#N/A N/A</v>
        <stp/>
        <stp>BDP|14212396850629061852</stp>
        <tr r="Q1046" s="2"/>
      </tp>
      <tp t="s">
        <v>#N/A N/A</v>
        <stp/>
        <stp>BDP|13773352537430833037</stp>
        <tr r="O2091" s="2"/>
      </tp>
      <tp t="s">
        <v>#N/A N/A</v>
        <stp/>
        <stp>BDP|12771397305124279672</stp>
        <tr r="N558" s="2"/>
      </tp>
      <tp t="s">
        <v>#N/A N/A</v>
        <stp/>
        <stp>BDP|16550346796168066790</stp>
        <tr r="S1704" s="2"/>
      </tp>
      <tp t="s">
        <v>#N/A N/A</v>
        <stp/>
        <stp>BDP|10190974258406644969</stp>
        <tr r="P954" s="2"/>
      </tp>
      <tp t="s">
        <v>#N/A N/A</v>
        <stp/>
        <stp>BDP|10981265060633693476</stp>
        <tr r="K1906" s="2"/>
      </tp>
      <tp t="s">
        <v>#N/A N/A</v>
        <stp/>
        <stp>BDP|10291229271067706184</stp>
        <tr r="Q295" s="2"/>
      </tp>
      <tp t="s">
        <v>#N/A N/A</v>
        <stp/>
        <stp>BDP|10681450822005626061</stp>
        <tr r="R1347" s="2"/>
      </tp>
      <tp t="s">
        <v>#N/A N/A</v>
        <stp/>
        <stp>BDP|12201002965997041064</stp>
        <tr r="Q1545" s="2"/>
      </tp>
      <tp t="s">
        <v>#N/A N/A</v>
        <stp/>
        <stp>BDP|15544606361946753025</stp>
        <tr r="N106" s="2"/>
      </tp>
      <tp t="s">
        <v>#N/A N/A</v>
        <stp/>
        <stp>BDP|15883298650745782474</stp>
        <tr r="R1538" s="2"/>
      </tp>
      <tp t="s">
        <v>#N/A N/A</v>
        <stp/>
        <stp>BDP|11473786014772148688</stp>
        <tr r="T1948" s="2"/>
      </tp>
      <tp t="s">
        <v>#N/A N/A</v>
        <stp/>
        <stp>BDP|13805559299038110442</stp>
        <tr r="E523" s="2"/>
      </tp>
      <tp t="s">
        <v>#N/A N/A</v>
        <stp/>
        <stp>BDP|18377751166569914388</stp>
        <tr r="J2255" s="2"/>
      </tp>
      <tp t="s">
        <v>#N/A N/A</v>
        <stp/>
        <stp>BDP|10547758457141636004</stp>
        <tr r="N425" s="2"/>
      </tp>
      <tp t="s">
        <v>#N/A N/A</v>
        <stp/>
        <stp>BDP|11044675858820693189</stp>
        <tr r="T832" s="2"/>
      </tp>
      <tp t="s">
        <v>#N/A N/A</v>
        <stp/>
        <stp>BDP|13395557772511107342</stp>
        <tr r="Q2090" s="2"/>
      </tp>
      <tp t="s">
        <v>#N/A N/A</v>
        <stp/>
        <stp>BDP|13454457171445360629</stp>
        <tr r="N2028" s="2"/>
      </tp>
      <tp t="s">
        <v>#N/A N/A</v>
        <stp/>
        <stp>BDP|12023249320879624838</stp>
        <tr r="O357" s="2"/>
      </tp>
      <tp t="s">
        <v>#N/A N/A</v>
        <stp/>
        <stp>BDP|16643581453674939158</stp>
        <tr r="C1446" s="2"/>
      </tp>
      <tp t="s">
        <v>#N/A N/A</v>
        <stp/>
        <stp>BDS|10267164434412374319</stp>
        <tr r="I53" s="2"/>
      </tp>
      <tp t="s">
        <v>#N/A N/A</v>
        <stp/>
        <stp>BDP|17131298352320292399</stp>
        <tr r="P1095" s="2"/>
      </tp>
      <tp t="s">
        <v>#N/A N/A</v>
        <stp/>
        <stp>BDS|13558318407313280039</stp>
        <tr r="I1666" s="2"/>
      </tp>
      <tp t="s">
        <v>#N/A N/A</v>
        <stp/>
        <stp>BDP|17368438502620431074</stp>
        <tr r="C2091" s="2"/>
      </tp>
      <tp t="s">
        <v>#N/A N/A</v>
        <stp/>
        <stp>BDP|11260366175003178518</stp>
        <tr r="D773" s="2"/>
      </tp>
      <tp t="s">
        <v>#N/A N/A</v>
        <stp/>
        <stp>BDP|13039102275785099340</stp>
        <tr r="E488" s="2"/>
      </tp>
      <tp t="s">
        <v>#N/A N/A</v>
        <stp/>
        <stp>BDP|14033444755887096109</stp>
        <tr r="D961" s="2"/>
      </tp>
      <tp t="s">
        <v>#N/A N/A</v>
        <stp/>
        <stp>BDP|12297773863685773504</stp>
        <tr r="R1972" s="2"/>
      </tp>
      <tp t="s">
        <v>#N/A N/A</v>
        <stp/>
        <stp>BDP|17440906372209680317</stp>
        <tr r="G1459" s="2"/>
      </tp>
      <tp t="s">
        <v>#N/A N/A</v>
        <stp/>
        <stp>BDP|14937759798970199944</stp>
        <tr r="O95" s="2"/>
      </tp>
      <tp t="s">
        <v>#N/A N/A</v>
        <stp/>
        <stp>BDP|16476752456735445228</stp>
        <tr r="F1867" s="2"/>
      </tp>
      <tp t="s">
        <v>#N/A N/A</v>
        <stp/>
        <stp>BDP|11182361611722767206</stp>
        <tr r="N949" s="2"/>
      </tp>
      <tp t="s">
        <v>#N/A N/A</v>
        <stp/>
        <stp>BDP|16099729317330158358</stp>
        <tr r="H1445" s="2"/>
      </tp>
      <tp t="s">
        <v>#N/A N/A</v>
        <stp/>
        <stp>BDP|14535485292939974376</stp>
        <tr r="C1160" s="2"/>
      </tp>
      <tp t="s">
        <v>#N/A N/A</v>
        <stp/>
        <stp>BDP|14206467455595788374</stp>
        <tr r="R55" s="2"/>
      </tp>
      <tp t="s">
        <v>#N/A N/A</v>
        <stp/>
        <stp>BDP|12829944590975849455</stp>
        <tr r="N1089" s="2"/>
      </tp>
      <tp t="s">
        <v>#N/A N/A</v>
        <stp/>
        <stp>BDP|16781919219225764898</stp>
        <tr r="T981" s="2"/>
      </tp>
      <tp t="s">
        <v>#N/A N/A</v>
        <stp/>
        <stp>BDP|10499993767608281498</stp>
        <tr r="E1565" s="2"/>
      </tp>
      <tp t="s">
        <v>#N/A N/A</v>
        <stp/>
        <stp>BDP|15685748385949778012</stp>
        <tr r="P504" s="2"/>
      </tp>
      <tp t="s">
        <v>#N/A N/A</v>
        <stp/>
        <stp>BDP|13385004693640936985</stp>
        <tr r="H171" s="2"/>
      </tp>
      <tp t="s">
        <v>#N/A N/A</v>
        <stp/>
        <stp>BDP|11556405110602334579</stp>
        <tr r="S1585" s="2"/>
      </tp>
      <tp t="s">
        <v>#N/A N/A</v>
        <stp/>
        <stp>BDS|12754092691220982841</stp>
        <tr r="I2103" s="2"/>
      </tp>
      <tp t="s">
        <v>#N/A N/A</v>
        <stp/>
        <stp>BDP|16890216771812138287</stp>
        <tr r="E255" s="2"/>
      </tp>
      <tp t="s">
        <v>#N/A N/A</v>
        <stp/>
        <stp>BDP|17824299960803593359</stp>
        <tr r="J1056" s="2"/>
      </tp>
      <tp t="s">
        <v>#N/A N/A</v>
        <stp/>
        <stp>BDP|17277937976479110376</stp>
        <tr r="C1618" s="2"/>
      </tp>
      <tp t="s">
        <v>#N/A N/A</v>
        <stp/>
        <stp>BDP|10456723009777839361</stp>
        <tr r="T619" s="2"/>
      </tp>
      <tp t="s">
        <v>#N/A N/A</v>
        <stp/>
        <stp>BDS|17309238902926837081</stp>
        <tr r="I608" s="2"/>
      </tp>
      <tp t="s">
        <v>#N/A N/A</v>
        <stp/>
        <stp>BDP|15253348010715484131</stp>
        <tr r="A981" s="2"/>
      </tp>
      <tp t="s">
        <v>#N/A N/A</v>
        <stp/>
        <stp>BDP|18432607779839590396</stp>
        <tr r="R936" s="2"/>
      </tp>
      <tp t="s">
        <v>#N/A N/A</v>
        <stp/>
        <stp>BDP|17423671257097547005</stp>
        <tr r="J572" s="2"/>
      </tp>
      <tp t="s">
        <v>#N/A N/A</v>
        <stp/>
        <stp>BDP|17892527149094244108</stp>
        <tr r="O2090" s="2"/>
      </tp>
      <tp t="s">
        <v>#N/A N/A</v>
        <stp/>
        <stp>BDP|16318623666265351057</stp>
        <tr r="S410" s="2"/>
      </tp>
      <tp t="s">
        <v>#N/A N/A</v>
        <stp/>
        <stp>BDP|16263644400696578521</stp>
        <tr r="E1635" s="2"/>
      </tp>
      <tp t="s">
        <v>#N/A N/A</v>
        <stp/>
        <stp>BDP|13819110492081867925</stp>
        <tr r="G2030" s="2"/>
      </tp>
      <tp t="s">
        <v>#N/A N/A</v>
        <stp/>
        <stp>BDS|12836222124229838841</stp>
        <tr r="I239" s="2"/>
      </tp>
      <tp t="s">
        <v>#N/A N/A</v>
        <stp/>
        <stp>BDP|11136980199361439352</stp>
        <tr r="Q1542" s="2"/>
      </tp>
      <tp t="s">
        <v>#N/A N/A</v>
        <stp/>
        <stp>BDP|16422097288484522912</stp>
        <tr r="E771" s="2"/>
      </tp>
      <tp t="s">
        <v>#N/A N/A</v>
        <stp/>
        <stp>BDP|17950290783387055922</stp>
        <tr r="C2188" s="2"/>
      </tp>
      <tp t="s">
        <v>#N/A N/A</v>
        <stp/>
        <stp>BDP|14970477883328959357</stp>
        <tr r="Q310" s="2"/>
      </tp>
      <tp t="s">
        <v>#N/A N/A</v>
        <stp/>
        <stp>BDP|11090173374634459069</stp>
        <tr r="A1327" s="2"/>
      </tp>
      <tp t="s">
        <v>#N/A N/A</v>
        <stp/>
        <stp>BDP|16294643502532199146</stp>
        <tr r="N441" s="2"/>
      </tp>
      <tp t="s">
        <v>#N/A N/A</v>
        <stp/>
        <stp>BDP|18142857540437433014</stp>
        <tr r="F1964" s="2"/>
      </tp>
      <tp t="s">
        <v>#N/A N/A</v>
        <stp/>
        <stp>BDP|10782254101003751259</stp>
        <tr r="S551" s="2"/>
      </tp>
      <tp t="s">
        <v>#N/A N/A</v>
        <stp/>
        <stp>BDP|10233269126682137128</stp>
        <tr r="N179" s="2"/>
      </tp>
      <tp t="s">
        <v>#N/A N/A</v>
        <stp/>
        <stp>BDP|17619050213135307027</stp>
        <tr r="S290" s="2"/>
      </tp>
      <tp t="s">
        <v>#N/A N/A</v>
        <stp/>
        <stp>BDP|11012011523669738942</stp>
        <tr r="N396" s="2"/>
      </tp>
      <tp t="s">
        <v>#N/A N/A</v>
        <stp/>
        <stp>BDP|17373645638374815567</stp>
        <tr r="M180" s="2"/>
      </tp>
      <tp t="s">
        <v>#N/A N/A</v>
        <stp/>
        <stp>BDP|16947846477259824335</stp>
        <tr r="Q1106" s="2"/>
      </tp>
      <tp t="s">
        <v>#N/A N/A</v>
        <stp/>
        <stp>BDP|14425594814065872607</stp>
        <tr r="S527" s="2"/>
      </tp>
      <tp t="s">
        <v>#N/A N/A</v>
        <stp/>
        <stp>BDP|14415057016567536136</stp>
        <tr r="N1260" s="2"/>
      </tp>
      <tp t="s">
        <v>#N/A N/A</v>
        <stp/>
        <stp>BDP|18092656961883347865</stp>
        <tr r="K1881" s="2"/>
      </tp>
      <tp t="s">
        <v>#N/A N/A</v>
        <stp/>
        <stp>BDP|12476331527166683679</stp>
        <tr r="F1950" s="2"/>
      </tp>
      <tp t="s">
        <v>#N/A N/A</v>
        <stp/>
        <stp>BDP|15753732722032296158</stp>
        <tr r="Q52" s="2"/>
      </tp>
      <tp t="s">
        <v>#N/A N/A</v>
        <stp/>
        <stp>BDP|10171265084438091129</stp>
        <tr r="R2039" s="2"/>
      </tp>
      <tp t="s">
        <v>#N/A N/A</v>
        <stp/>
        <stp>BDP|16603164538015176286</stp>
        <tr r="G2069" s="2"/>
      </tp>
      <tp t="s">
        <v>#N/A N/A</v>
        <stp/>
        <stp>BDP|17191535730070011238</stp>
        <tr r="P1368" s="2"/>
      </tp>
      <tp t="s">
        <v>#N/A N/A</v>
        <stp/>
        <stp>BDP|12835906132552313984</stp>
        <tr r="F507" s="2"/>
      </tp>
      <tp t="s">
        <v>#N/A N/A</v>
        <stp/>
        <stp>BDP|13320757627947708278</stp>
        <tr r="F2135" s="2"/>
      </tp>
      <tp t="s">
        <v>#N/A N/A</v>
        <stp/>
        <stp>BDP|17266527642045001035</stp>
        <tr r="O540" s="2"/>
      </tp>
      <tp t="s">
        <v>#N/A N/A</v>
        <stp/>
        <stp>BDP|17663448095840546936</stp>
        <tr r="F211" s="2"/>
      </tp>
      <tp t="s">
        <v>#N/A N/A</v>
        <stp/>
        <stp>BDS|12283175052856347365</stp>
        <tr r="I1300" s="2"/>
      </tp>
      <tp t="s">
        <v>#N/A N/A</v>
        <stp/>
        <stp>BDP|11501627449614977462</stp>
        <tr r="O1664" s="2"/>
      </tp>
      <tp t="s">
        <v>#N/A N/A</v>
        <stp/>
        <stp>BDP|17755638914583848087</stp>
        <tr r="M1264" s="2"/>
      </tp>
      <tp t="s">
        <v>#N/A N/A</v>
        <stp/>
        <stp>BDP|17792917687074626177</stp>
        <tr r="J245" s="2"/>
      </tp>
      <tp t="s">
        <v>#N/A N/A</v>
        <stp/>
        <stp>BDP|13803734167412594392</stp>
        <tr r="H1738" s="2"/>
      </tp>
      <tp t="s">
        <v>#N/A N/A</v>
        <stp/>
        <stp>BDP|10947126058451544669</stp>
        <tr r="J1067" s="2"/>
      </tp>
      <tp t="s">
        <v>#N/A N/A</v>
        <stp/>
        <stp>BDP|17192972185302231710</stp>
        <tr r="P1480" s="2"/>
      </tp>
      <tp t="s">
        <v>#N/A N/A</v>
        <stp/>
        <stp>BDP|10894155873205821066</stp>
        <tr r="H1407" s="2"/>
      </tp>
      <tp t="s">
        <v>#N/A N/A</v>
        <stp/>
        <stp>BDP|11120288139483834087</stp>
        <tr r="F604" s="2"/>
      </tp>
      <tp t="s">
        <v>#N/A N/A</v>
        <stp/>
        <stp>BDP|10516577950516112538</stp>
        <tr r="J593" s="2"/>
      </tp>
      <tp t="s">
        <v>#N/A N/A</v>
        <stp/>
        <stp>BDP|11315267817045546478</stp>
        <tr r="G2245" s="2"/>
      </tp>
      <tp t="s">
        <v>#N/A N/A</v>
        <stp/>
        <stp>BDP|15439720127927685478</stp>
        <tr r="T1557" s="2"/>
      </tp>
      <tp t="s">
        <v>#N/A N/A</v>
        <stp/>
        <stp>BDP|17773601826722421259</stp>
        <tr r="H554" s="2"/>
      </tp>
      <tp t="s">
        <v>#N/A N/A</v>
        <stp/>
        <stp>BDP|16008740461870321460</stp>
        <tr r="Q1316" s="2"/>
      </tp>
      <tp t="s">
        <v>#N/A N/A</v>
        <stp/>
        <stp>BDS|12085606346590053357</stp>
        <tr r="I1600" s="2"/>
      </tp>
      <tp t="s">
        <v>#N/A N/A</v>
        <stp/>
        <stp>BDP|14590711235491704265</stp>
        <tr r="O813" s="2"/>
      </tp>
      <tp t="s">
        <v>#N/A N/A</v>
        <stp/>
        <stp>BDP|13089646701475501303</stp>
        <tr r="S1731" s="2"/>
      </tp>
      <tp t="s">
        <v>#N/A N/A</v>
        <stp/>
        <stp>BDS|13630657768935115595</stp>
        <tr r="I1453" s="2"/>
      </tp>
      <tp t="s">
        <v>#N/A N/A</v>
        <stp/>
        <stp>BDS|17081015630956253108</stp>
        <tr r="I623" s="2"/>
      </tp>
      <tp t="s">
        <v>#N/A N/A</v>
        <stp/>
        <stp>BDP|10172293953390392487</stp>
        <tr r="K1645" s="2"/>
      </tp>
      <tp t="s">
        <v>#N/A N/A</v>
        <stp/>
        <stp>BDP|10438636363833448000</stp>
        <tr r="J1618" s="2"/>
      </tp>
      <tp t="s">
        <v>#N/A N/A</v>
        <stp/>
        <stp>BDP|17884157684274055991</stp>
        <tr r="T1281" s="2"/>
      </tp>
      <tp t="s">
        <v>#N/A N/A</v>
        <stp/>
        <stp>BDP|15231349535290002630</stp>
        <tr r="C1534" s="2"/>
      </tp>
      <tp t="s">
        <v>#N/A N/A</v>
        <stp/>
        <stp>BDP|13515703537107438368</stp>
        <tr r="F1805" s="2"/>
      </tp>
      <tp t="s">
        <v>#N/A N/A</v>
        <stp/>
        <stp>BDP|12781482308314346145</stp>
        <tr r="H502" s="2"/>
      </tp>
      <tp t="s">
        <v>#N/A N/A</v>
        <stp/>
        <stp>BDP|17686210271019012861</stp>
        <tr r="D1982" s="2"/>
      </tp>
      <tp t="s">
        <v>#N/A N/A</v>
        <stp/>
        <stp>BDP|16320647025376666748</stp>
        <tr r="G1224" s="2"/>
      </tp>
      <tp t="s">
        <v>#N/A N/A</v>
        <stp/>
        <stp>BDP|11314749043417565612</stp>
        <tr r="F1271" s="2"/>
      </tp>
      <tp t="s">
        <v>#N/A N/A</v>
        <stp/>
        <stp>BDP|15899912398402717461</stp>
        <tr r="D2151" s="2"/>
      </tp>
      <tp t="s">
        <v>#N/A N/A</v>
        <stp/>
        <stp>BDP|17838979313234954852</stp>
        <tr r="P1153" s="2"/>
      </tp>
      <tp t="s">
        <v>#N/A N/A</v>
        <stp/>
        <stp>BDP|11223954737381827988</stp>
        <tr r="R2244" s="2"/>
      </tp>
      <tp t="s">
        <v>#N/A N/A</v>
        <stp/>
        <stp>BDP|15149173935126105229</stp>
        <tr r="O43" s="2"/>
      </tp>
      <tp t="s">
        <v>#N/A N/A</v>
        <stp/>
        <stp>BDP|10593180630830486196</stp>
        <tr r="E2252" s="2"/>
      </tp>
      <tp t="s">
        <v>#N/A N/A</v>
        <stp/>
        <stp>BDP|14350000254233511129</stp>
        <tr r="A1417" s="2"/>
      </tp>
      <tp t="s">
        <v>#N/A N/A</v>
        <stp/>
        <stp>BDS|16237693661890175581</stp>
        <tr r="I1373" s="2"/>
      </tp>
      <tp t="s">
        <v>#N/A N/A</v>
        <stp/>
        <stp>BDP|18150804306293693014</stp>
        <tr r="H242" s="2"/>
      </tp>
      <tp t="s">
        <v>#N/A N/A</v>
        <stp/>
        <stp>BDP|14498520427577100702</stp>
        <tr r="E213" s="2"/>
      </tp>
      <tp t="s">
        <v>#N/A N/A</v>
        <stp/>
        <stp>BDP|12089095394671418994</stp>
        <tr r="M698" s="2"/>
      </tp>
      <tp t="s">
        <v>#N/A N/A</v>
        <stp/>
        <stp>BDP|13905364704460990327</stp>
        <tr r="J2049" s="2"/>
      </tp>
      <tp t="s">
        <v>#N/A N/A</v>
        <stp/>
        <stp>BDP|14958004826837613296</stp>
        <tr r="G863" s="2"/>
      </tp>
      <tp t="s">
        <v>#N/A N/A</v>
        <stp/>
        <stp>BDS|13208230321757533769</stp>
        <tr r="I2084" s="2"/>
      </tp>
      <tp t="s">
        <v>#N/A N/A</v>
        <stp/>
        <stp>BDP|17239675114713146008</stp>
        <tr r="A916" s="2"/>
      </tp>
      <tp t="s">
        <v>#N/A N/A</v>
        <stp/>
        <stp>BDP|10724030030236342679</stp>
        <tr r="P345" s="2"/>
      </tp>
      <tp t="s">
        <v>#N/A N/A</v>
        <stp/>
        <stp>BDS|14373262296515744979</stp>
        <tr r="I1865" s="2"/>
      </tp>
      <tp t="s">
        <v>#N/A N/A</v>
        <stp/>
        <stp>BDP|17024492078506617179</stp>
        <tr r="N2133" s="2"/>
      </tp>
      <tp t="s">
        <v>#N/A N/A</v>
        <stp/>
        <stp>BDP|17959658674442059781</stp>
        <tr r="J672" s="2"/>
      </tp>
      <tp t="s">
        <v>#N/A N/A</v>
        <stp/>
        <stp>BDP|18194675589534678192</stp>
        <tr r="T438" s="2"/>
      </tp>
      <tp t="s">
        <v>#N/A N/A</v>
        <stp/>
        <stp>BDP|11759109125173792257</stp>
        <tr r="C2229" s="2"/>
      </tp>
      <tp t="s">
        <v>#N/A N/A</v>
        <stp/>
        <stp>BDP|12412593557831200089</stp>
        <tr r="F1025" s="2"/>
      </tp>
      <tp t="s">
        <v>#N/A N/A</v>
        <stp/>
        <stp>BDP|13495535355047376718</stp>
        <tr r="N115" s="2"/>
      </tp>
      <tp t="s">
        <v>#N/A N/A</v>
        <stp/>
        <stp>BDP|17221286368519004922</stp>
        <tr r="A568" s="2"/>
      </tp>
      <tp t="s">
        <v>#N/A N/A</v>
        <stp/>
        <stp>BDP|14550470520747360617</stp>
        <tr r="J1305" s="2"/>
      </tp>
      <tp t="s">
        <v>#N/A N/A</v>
        <stp/>
        <stp>BDP|14351695418658510874</stp>
        <tr r="J1766" s="2"/>
      </tp>
      <tp t="s">
        <v>#N/A N/A</v>
        <stp/>
        <stp>BDP|10748579744782208068</stp>
        <tr r="D2126" s="2"/>
      </tp>
      <tp t="s">
        <v>#N/A N/A</v>
        <stp/>
        <stp>BDP|14316113101404748240</stp>
        <tr r="N727" s="2"/>
      </tp>
      <tp t="s">
        <v>#N/A N/A</v>
        <stp/>
        <stp>BDP|11128885415038831346</stp>
        <tr r="P750" s="2"/>
      </tp>
      <tp t="s">
        <v>#N/A N/A</v>
        <stp/>
        <stp>BDP|10800170075555914036</stp>
        <tr r="A2102" s="2"/>
      </tp>
      <tp t="s">
        <v>#N/A N/A</v>
        <stp/>
        <stp>BDS|14303642432253173175</stp>
        <tr r="I1686" s="2"/>
      </tp>
      <tp t="s">
        <v>#N/A N/A</v>
        <stp/>
        <stp>BDP|16279290009495480269</stp>
        <tr r="J1921" s="2"/>
      </tp>
      <tp t="s">
        <v>#N/A N/A</v>
        <stp/>
        <stp>BDP|17330021945657607725</stp>
        <tr r="T1820" s="2"/>
      </tp>
      <tp t="s">
        <v>#N/A N/A</v>
        <stp/>
        <stp>BDP|14057764774374513372</stp>
        <tr r="C1520" s="2"/>
      </tp>
      <tp t="s">
        <v>#N/A N/A</v>
        <stp/>
        <stp>BDP|17564145111693128716</stp>
        <tr r="G1925" s="2"/>
      </tp>
      <tp t="s">
        <v>#N/A N/A</v>
        <stp/>
        <stp>BDP|11707779269252121188</stp>
        <tr r="Q1081" s="2"/>
      </tp>
      <tp t="s">
        <v>#N/A N/A</v>
        <stp/>
        <stp>BDP|15077108716494098263</stp>
        <tr r="T1788" s="2"/>
      </tp>
      <tp t="s">
        <v>#N/A N/A</v>
        <stp/>
        <stp>BDP|12463427332047424102</stp>
        <tr r="Q616" s="2"/>
      </tp>
      <tp t="s">
        <v>#N/A N/A</v>
        <stp/>
        <stp>BDP|15247317168021367284</stp>
        <tr r="S322" s="2"/>
      </tp>
      <tp t="s">
        <v>#N/A N/A</v>
        <stp/>
        <stp>BDP|10268932390212308127</stp>
        <tr r="F595" s="2"/>
      </tp>
      <tp t="s">
        <v>#N/A N/A</v>
        <stp/>
        <stp>BDP|12722282903947502499</stp>
        <tr r="P1603" s="2"/>
      </tp>
      <tp t="s">
        <v>#N/A N/A</v>
        <stp/>
        <stp>BDP|13979580679150027284</stp>
        <tr r="F286" s="2"/>
      </tp>
      <tp t="s">
        <v>#N/A N/A</v>
        <stp/>
        <stp>BDP|16620012252356668635</stp>
        <tr r="C2134" s="2"/>
      </tp>
      <tp t="s">
        <v>#N/A N/A</v>
        <stp/>
        <stp>BDP|15228927530158926496</stp>
        <tr r="S1290" s="2"/>
      </tp>
      <tp t="s">
        <v>#N/A N/A</v>
        <stp/>
        <stp>BDP|15012450734173899299</stp>
        <tr r="F1312" s="2"/>
      </tp>
      <tp t="s">
        <v>#N/A N/A</v>
        <stp/>
        <stp>BDP|16811281631384635070</stp>
        <tr r="C2113" s="2"/>
      </tp>
      <tp t="s">
        <v>#N/A N/A</v>
        <stp/>
        <stp>BDP|17901734526404407580</stp>
        <tr r="T1118" s="2"/>
      </tp>
      <tp t="s">
        <v>#N/A N/A</v>
        <stp/>
        <stp>BDP|18245018896894649637</stp>
        <tr r="F2103" s="2"/>
      </tp>
      <tp t="s">
        <v>#N/A N/A</v>
        <stp/>
        <stp>BDP|13922353509683233073</stp>
        <tr r="N757" s="2"/>
      </tp>
      <tp t="s">
        <v>#N/A N/A</v>
        <stp/>
        <stp>BDP|10025564276076848785</stp>
        <tr r="O145" s="2"/>
      </tp>
      <tp t="s">
        <v>#N/A N/A</v>
        <stp/>
        <stp>BDP|10361807768344979922</stp>
        <tr r="D1055" s="2"/>
      </tp>
      <tp t="s">
        <v>#N/A N/A</v>
        <stp/>
        <stp>BDP|10535559481969661772</stp>
        <tr r="T591" s="2"/>
      </tp>
      <tp t="s">
        <v>#N/A N/A</v>
        <stp/>
        <stp>BDP|10136180567234831065</stp>
        <tr r="G1035" s="2"/>
      </tp>
      <tp t="s">
        <v>#N/A N/A</v>
        <stp/>
        <stp>BDP|14478080924777165291</stp>
        <tr r="F1980" s="2"/>
      </tp>
      <tp t="s">
        <v>#N/A N/A</v>
        <stp/>
        <stp>BDP|15914357035434134286</stp>
        <tr r="D1225" s="2"/>
      </tp>
      <tp t="s">
        <v>#N/A N/A</v>
        <stp/>
        <stp>BDP|11331937254647425907</stp>
        <tr r="H1763" s="2"/>
      </tp>
      <tp t="s">
        <v>#N/A N/A</v>
        <stp/>
        <stp>BDP|16684339021991092547</stp>
        <tr r="G1207" s="2"/>
      </tp>
      <tp t="s">
        <v>#N/A N/A</v>
        <stp/>
        <stp>BDP|11422592910734801251</stp>
        <tr r="T143" s="2"/>
      </tp>
      <tp t="s">
        <v>#N/A N/A</v>
        <stp/>
        <stp>BDP|11565584867803854229</stp>
        <tr r="D1272" s="2"/>
      </tp>
      <tp t="s">
        <v>#N/A N/A</v>
        <stp/>
        <stp>BDP|17313112661781065234</stp>
        <tr r="M436" s="2"/>
      </tp>
      <tp t="s">
        <v>#N/A N/A</v>
        <stp/>
        <stp>BDP|13548023341832082661</stp>
        <tr r="E416" s="2"/>
      </tp>
      <tp t="s">
        <v>#N/A N/A</v>
        <stp/>
        <stp>BDP|15027175946365132601</stp>
        <tr r="P775" s="2"/>
      </tp>
      <tp t="s">
        <v>#N/A N/A</v>
        <stp/>
        <stp>BDP|17604238003885216347</stp>
        <tr r="J765" s="2"/>
      </tp>
      <tp t="s">
        <v>#N/A N/A</v>
        <stp/>
        <stp>BDS|16611331540616740414</stp>
        <tr r="I1463" s="2"/>
      </tp>
      <tp t="s">
        <v>#N/A N/A</v>
        <stp/>
        <stp>BDP|14375911641472125826</stp>
        <tr r="C1800" s="2"/>
      </tp>
      <tp t="s">
        <v>#N/A N/A</v>
        <stp/>
        <stp>BDP|13611866051624153902</stp>
        <tr r="S1726" s="2"/>
      </tp>
      <tp t="s">
        <v>#N/A N/A</v>
        <stp/>
        <stp>BDP|13357850674247236802</stp>
        <tr r="N126" s="2"/>
      </tp>
      <tp t="s">
        <v>#N/A N/A</v>
        <stp/>
        <stp>BDS|15148863923225401933</stp>
        <tr r="I1231" s="2"/>
      </tp>
      <tp t="s">
        <v>#N/A N/A</v>
        <stp/>
        <stp>BDP|13995416859374017518</stp>
        <tr r="A947" s="2"/>
      </tp>
      <tp t="s">
        <v>#N/A N/A</v>
        <stp/>
        <stp>BDP|12143692868733904294</stp>
        <tr r="G964" s="2"/>
      </tp>
      <tp t="s">
        <v>#N/A N/A</v>
        <stp/>
        <stp>BDP|16255123345526748622</stp>
        <tr r="A2243" s="2"/>
      </tp>
      <tp t="s">
        <v>#N/A N/A</v>
        <stp/>
        <stp>BDP|12869463103440939547</stp>
        <tr r="G1155" s="2"/>
      </tp>
      <tp t="s">
        <v>#N/A N/A</v>
        <stp/>
        <stp>BDP|15018736970543116526</stp>
        <tr r="G1354" s="2"/>
      </tp>
      <tp t="s">
        <v>#N/A N/A</v>
        <stp/>
        <stp>BDP|13249417516277179243</stp>
        <tr r="K2086" s="2"/>
      </tp>
      <tp t="s">
        <v>#N/A N/A</v>
        <stp/>
        <stp>BDP|16859227164272733397</stp>
        <tr r="H2160" s="2"/>
      </tp>
      <tp t="s">
        <v>#N/A N/A</v>
        <stp/>
        <stp>BDP|11287038254494438313</stp>
        <tr r="O509" s="2"/>
      </tp>
      <tp t="s">
        <v>#N/A N/A</v>
        <stp/>
        <stp>BDP|10934527726935907149</stp>
        <tr r="G907" s="2"/>
      </tp>
      <tp t="s">
        <v>#N/A N/A</v>
        <stp/>
        <stp>BDP|13806124456121546595</stp>
        <tr r="A2151" s="2"/>
      </tp>
      <tp t="s">
        <v>#N/A N/A</v>
        <stp/>
        <stp>BDP|11339812784573038163</stp>
        <tr r="K534" s="2"/>
      </tp>
      <tp t="s">
        <v>#N/A N/A</v>
        <stp/>
        <stp>BDP|16129432333731268335</stp>
        <tr r="G2257" s="2"/>
      </tp>
      <tp t="s">
        <v>#N/A N/A</v>
        <stp/>
        <stp>BDP|14925073336451871506</stp>
        <tr r="H2037" s="2"/>
      </tp>
      <tp t="s">
        <v>#N/A N/A</v>
        <stp/>
        <stp>BDP|10404509486289175707</stp>
        <tr r="Q1035" s="2"/>
      </tp>
      <tp t="s">
        <v>#N/A N/A</v>
        <stp/>
        <stp>BDP|15254516421381187003</stp>
        <tr r="T2004" s="2"/>
      </tp>
      <tp t="s">
        <v>#N/A N/A</v>
        <stp/>
        <stp>BDP|13499520092739764503</stp>
        <tr r="S1667" s="2"/>
      </tp>
      <tp t="s">
        <v>#N/A N/A</v>
        <stp/>
        <stp>BDP|17653023962944600634</stp>
        <tr r="A1626" s="2"/>
      </tp>
      <tp t="s">
        <v>#N/A N/A</v>
        <stp/>
        <stp>BDP|11652143866432193760</stp>
        <tr r="S2037" s="2"/>
      </tp>
      <tp t="s">
        <v>#N/A N/A</v>
        <stp/>
        <stp>BDP|15820590568914894129</stp>
        <tr r="F1915" s="2"/>
      </tp>
      <tp t="s">
        <v>#N/A N/A</v>
        <stp/>
        <stp>BDP|16154561260852751432</stp>
        <tr r="O146" s="2"/>
      </tp>
      <tp t="s">
        <v>#N/A N/A</v>
        <stp/>
        <stp>BDP|17449561480808312126</stp>
        <tr r="T1550" s="2"/>
      </tp>
      <tp t="s">
        <v>#N/A N/A</v>
        <stp/>
        <stp>BDP|13536108727092220133</stp>
        <tr r="T1462" s="2"/>
      </tp>
      <tp t="s">
        <v>#N/A N/A</v>
        <stp/>
        <stp>BDP|12457418239285918364</stp>
        <tr r="A1978" s="2"/>
      </tp>
      <tp t="s">
        <v>#N/A N/A</v>
        <stp/>
        <stp>BDP|12653639641442633111</stp>
        <tr r="C219" s="2"/>
      </tp>
      <tp t="s">
        <v>#N/A N/A</v>
        <stp/>
        <stp>BDP|17055570753476308248</stp>
        <tr r="K925" s="2"/>
      </tp>
      <tp t="s">
        <v>#N/A N/A</v>
        <stp/>
        <stp>BDP|11371453116476098130</stp>
        <tr r="D1331" s="2"/>
      </tp>
      <tp t="s">
        <v>#N/A N/A</v>
        <stp/>
        <stp>BDP|17120434867633404529</stp>
        <tr r="O798" s="2"/>
      </tp>
      <tp t="s">
        <v>#N/A N/A</v>
        <stp/>
        <stp>BDP|15139448321136152666</stp>
        <tr r="N887" s="2"/>
      </tp>
      <tp t="s">
        <v>#N/A N/A</v>
        <stp/>
        <stp>BDP|14560278543470448167</stp>
        <tr r="O2125" s="2"/>
      </tp>
      <tp t="s">
        <v>#N/A N/A</v>
        <stp/>
        <stp>BDP|11758037745982667444</stp>
        <tr r="E73" s="2"/>
      </tp>
      <tp t="s">
        <v>#N/A N/A</v>
        <stp/>
        <stp>BDP|16843013166813453083</stp>
        <tr r="Q334" s="2"/>
      </tp>
      <tp t="s">
        <v>#N/A N/A</v>
        <stp/>
        <stp>BDP|17973768568881493406</stp>
        <tr r="M805" s="2"/>
      </tp>
      <tp t="s">
        <v>#N/A N/A</v>
        <stp/>
        <stp>BDP|11961279510477567685</stp>
        <tr r="R804" s="2"/>
      </tp>
      <tp t="s">
        <v>#N/A N/A</v>
        <stp/>
        <stp>BDP|17503745624894738516</stp>
        <tr r="P1128" s="2"/>
      </tp>
      <tp t="s">
        <v>#N/A N/A</v>
        <stp/>
        <stp>BDP|17847089462525106700</stp>
        <tr r="D1434" s="2"/>
      </tp>
      <tp t="s">
        <v>#N/A N/A</v>
        <stp/>
        <stp>BDS|12143673776707416749</stp>
        <tr r="I864" s="2"/>
      </tp>
      <tp t="s">
        <v>#N/A N/A</v>
        <stp/>
        <stp>BDP|10794472936346777220</stp>
        <tr r="S1641" s="2"/>
      </tp>
      <tp t="s">
        <v>#N/A N/A</v>
        <stp/>
        <stp>BDP|16657324924443790743</stp>
        <tr r="J1023" s="2"/>
      </tp>
      <tp t="s">
        <v>#N/A N/A</v>
        <stp/>
        <stp>BDP|17362518316118460836</stp>
        <tr r="O402" s="2"/>
      </tp>
      <tp t="s">
        <v>#N/A N/A</v>
        <stp/>
        <stp>BDP|11539750577880606224</stp>
        <tr r="T372" s="2"/>
      </tp>
      <tp t="s">
        <v>#N/A N/A</v>
        <stp/>
        <stp>BDP|11086194836728405885</stp>
        <tr r="H714" s="2"/>
      </tp>
      <tp t="s">
        <v>#N/A N/A</v>
        <stp/>
        <stp>BDS|14877678613695532594</stp>
        <tr r="I885" s="2"/>
      </tp>
      <tp t="s">
        <v>#N/A N/A</v>
        <stp/>
        <stp>BDP|14586402159520710680</stp>
        <tr r="H1667" s="2"/>
      </tp>
      <tp t="s">
        <v>#N/A N/A</v>
        <stp/>
        <stp>BDS|16789376714064069346</stp>
        <tr r="I1479" s="2"/>
      </tp>
      <tp t="s">
        <v>#N/A N/A</v>
        <stp/>
        <stp>BDP|17992521726774852764</stp>
        <tr r="G1294" s="2"/>
      </tp>
      <tp t="s">
        <v>#N/A N/A</v>
        <stp/>
        <stp>BDP|17743470103936163615</stp>
        <tr r="G511" s="2"/>
      </tp>
      <tp t="s">
        <v>#N/A N/A</v>
        <stp/>
        <stp>BDS|15938006818953067414</stp>
        <tr r="I413" s="2"/>
      </tp>
      <tp t="s">
        <v>#N/A N/A</v>
        <stp/>
        <stp>BDP|11702968834040416824</stp>
        <tr r="D1875" s="2"/>
      </tp>
      <tp t="s">
        <v>#N/A N/A</v>
        <stp/>
        <stp>BDP|14882847328064100962</stp>
        <tr r="G275" s="2"/>
      </tp>
      <tp t="s">
        <v>#N/A N/A</v>
        <stp/>
        <stp>BDP|13564921768078887742</stp>
        <tr r="N227" s="2"/>
      </tp>
      <tp t="s">
        <v>#N/A N/A</v>
        <stp/>
        <stp>BDP|12995626797218841674</stp>
        <tr r="O1381" s="2"/>
      </tp>
      <tp t="s">
        <v>#N/A N/A</v>
        <stp/>
        <stp>BDP|14792123362178064840</stp>
        <tr r="N1291" s="2"/>
      </tp>
      <tp t="s">
        <v>#N/A N/A</v>
        <stp/>
        <stp>BDP|13625028859604661186</stp>
        <tr r="F2126" s="2"/>
      </tp>
      <tp t="s">
        <v>#N/A N/A</v>
        <stp/>
        <stp>BDP|11141066065402828698</stp>
        <tr r="P153" s="2"/>
      </tp>
      <tp t="s">
        <v>#N/A N/A</v>
        <stp/>
        <stp>BDP|11529533611512717439</stp>
        <tr r="C980" s="2"/>
      </tp>
      <tp t="s">
        <v>#N/A N/A</v>
        <stp/>
        <stp>BDP|18284026821110514972</stp>
        <tr r="E1623" s="2"/>
      </tp>
      <tp t="s">
        <v>#N/A N/A</v>
        <stp/>
        <stp>BDP|16345661201946125562</stp>
        <tr r="S838" s="2"/>
      </tp>
      <tp t="s">
        <v>#N/A N/A</v>
        <stp/>
        <stp>BDP|13388703215627479116</stp>
        <tr r="P610" s="2"/>
      </tp>
      <tp t="s">
        <v>#N/A N/A</v>
        <stp/>
        <stp>BDP|15084052243841082356</stp>
        <tr r="O660" s="2"/>
      </tp>
      <tp t="s">
        <v>#N/A N/A</v>
        <stp/>
        <stp>BDP|14976100988226170831</stp>
        <tr r="A1259" s="2"/>
      </tp>
      <tp t="s">
        <v>#N/A N/A</v>
        <stp/>
        <stp>BDP|18359064061339475436</stp>
        <tr r="E1597" s="2"/>
      </tp>
      <tp t="s">
        <v>#N/A N/A</v>
        <stp/>
        <stp>BDP|17344825020078412663</stp>
        <tr r="K348" s="2"/>
      </tp>
      <tp t="s">
        <v>#N/A N/A</v>
        <stp/>
        <stp>BDP|18251885918717419555</stp>
        <tr r="N592" s="2"/>
      </tp>
      <tp t="s">
        <v>#N/A N/A</v>
        <stp/>
        <stp>BDP|15286389823315863226</stp>
        <tr r="F971" s="2"/>
      </tp>
      <tp t="s">
        <v>#N/A N/A</v>
        <stp/>
        <stp>BDP|13758341345733026453</stp>
        <tr r="G482" s="2"/>
      </tp>
      <tp t="s">
        <v>#N/A N/A</v>
        <stp/>
        <stp>BDP|11234756166465578674</stp>
        <tr r="T1156" s="2"/>
      </tp>
      <tp t="s">
        <v>#N/A N/A</v>
        <stp/>
        <stp>BDP|11240560769490925170</stp>
        <tr r="K2176" s="2"/>
      </tp>
      <tp t="s">
        <v>#N/A N/A</v>
        <stp/>
        <stp>BDP|13573568277326389446</stp>
        <tr r="O229" s="2"/>
      </tp>
      <tp t="s">
        <v>#N/A N/A</v>
        <stp/>
        <stp>BDP|16867682245084178371</stp>
        <tr r="S117" s="2"/>
      </tp>
      <tp t="s">
        <v>#N/A N/A</v>
        <stp/>
        <stp>BDS|10281256873487186150</stp>
        <tr r="I275" s="2"/>
      </tp>
      <tp t="s">
        <v>#N/A N/A</v>
        <stp/>
        <stp>BDP|14846025117202741495</stp>
        <tr r="Q248" s="2"/>
      </tp>
      <tp t="s">
        <v>#N/A N/A</v>
        <stp/>
        <stp>BDP|15808475752714998379</stp>
        <tr r="F144" s="2"/>
      </tp>
      <tp t="s">
        <v>#N/A N/A</v>
        <stp/>
        <stp>BDP|15080279601065173144</stp>
        <tr r="D2146" s="2"/>
      </tp>
      <tp t="s">
        <v>#N/A N/A</v>
        <stp/>
        <stp>BDP|16046502719414382598</stp>
        <tr r="J984" s="2"/>
      </tp>
      <tp t="s">
        <v>#N/A N/A</v>
        <stp/>
        <stp>BDP|12715048377894145264</stp>
        <tr r="T1424" s="2"/>
      </tp>
      <tp t="s">
        <v>#N/A N/A</v>
        <stp/>
        <stp>BDP|10358603185098361561</stp>
        <tr r="F795" s="2"/>
      </tp>
      <tp t="s">
        <v>#N/A N/A</v>
        <stp/>
        <stp>BDP|12181418211272165635</stp>
        <tr r="K1577" s="2"/>
      </tp>
      <tp t="s">
        <v>#N/A N/A</v>
        <stp/>
        <stp>BDP|13916855280065822577</stp>
        <tr r="S2040" s="2"/>
      </tp>
      <tp t="s">
        <v>#N/A N/A</v>
        <stp/>
        <stp>BDP|18008956237622944384</stp>
        <tr r="C454" s="2"/>
      </tp>
      <tp t="s">
        <v>#N/A N/A</v>
        <stp/>
        <stp>BDP|18082933856025330258</stp>
        <tr r="C990" s="2"/>
      </tp>
      <tp t="s">
        <v>#N/A N/A</v>
        <stp/>
        <stp>BDP|11753071842174109205</stp>
        <tr r="P148" s="2"/>
      </tp>
      <tp t="s">
        <v>#N/A N/A</v>
        <stp/>
        <stp>BDP|14037701485550247843</stp>
        <tr r="O1668" s="2"/>
      </tp>
      <tp t="s">
        <v>#N/A N/A</v>
        <stp/>
        <stp>BDP|17128185828144107336</stp>
        <tr r="F1350" s="2"/>
      </tp>
      <tp t="s">
        <v>#N/A N/A</v>
        <stp/>
        <stp>BDP|10310552035504309131</stp>
        <tr r="N2246" s="2"/>
      </tp>
      <tp t="s">
        <v>#N/A N/A</v>
        <stp/>
        <stp>BDP|10376203611082562245</stp>
        <tr r="Q2021" s="2"/>
      </tp>
      <tp t="s">
        <v>#N/A N/A</v>
        <stp/>
        <stp>BDP|17353708267193029679</stp>
        <tr r="K1333" s="2"/>
      </tp>
      <tp t="s">
        <v>#N/A N/A</v>
        <stp/>
        <stp>BDS|17100743076406531263</stp>
        <tr r="I2033" s="2"/>
      </tp>
      <tp t="s">
        <v>#N/A N/A</v>
        <stp/>
        <stp>BDS|17178864195121468463</stp>
        <tr r="I2183" s="2"/>
      </tp>
      <tp t="s">
        <v>#N/A N/A</v>
        <stp/>
        <stp>BDP|16282612256887176173</stp>
        <tr r="O445" s="2"/>
      </tp>
      <tp t="s">
        <v>#N/A N/A</v>
        <stp/>
        <stp>BDP|15169365550770771035</stp>
        <tr r="O393" s="2"/>
      </tp>
      <tp t="s">
        <v>#N/A N/A</v>
        <stp/>
        <stp>BDP|12914153200022833277</stp>
        <tr r="S1515" s="2"/>
      </tp>
      <tp t="s">
        <v>#N/A N/A</v>
        <stp/>
        <stp>BDP|15687172001722022539</stp>
        <tr r="N1197" s="2"/>
      </tp>
      <tp t="s">
        <v>#N/A N/A</v>
        <stp/>
        <stp>BDP|17140724368357165293</stp>
        <tr r="P196" s="2"/>
      </tp>
      <tp t="s">
        <v>#N/A N/A</v>
        <stp/>
        <stp>BDP|17303303402203354412</stp>
        <tr r="C1336" s="2"/>
      </tp>
      <tp t="s">
        <v>#N/A N/A</v>
        <stp/>
        <stp>BDP|15153723244830110559</stp>
        <tr r="Q1447" s="2"/>
      </tp>
      <tp t="s">
        <v>#N/A N/A</v>
        <stp/>
        <stp>BDP|16987343469354174469</stp>
        <tr r="Q1109" s="2"/>
      </tp>
      <tp t="s">
        <v>#N/A N/A</v>
        <stp/>
        <stp>BDP|10065922407099617300</stp>
        <tr r="J1437" s="2"/>
      </tp>
      <tp t="s">
        <v>#N/A N/A</v>
        <stp/>
        <stp>BDP|15932513920631950026</stp>
        <tr r="O644" s="2"/>
      </tp>
      <tp t="s">
        <v>#N/A N/A</v>
        <stp/>
        <stp>BDS|12721130824651804381</stp>
        <tr r="I991" s="2"/>
      </tp>
      <tp t="s">
        <v>#N/A N/A</v>
        <stp/>
        <stp>BDP|14409830485221264631</stp>
        <tr r="C1509" s="2"/>
      </tp>
      <tp t="s">
        <v>#N/A N/A</v>
        <stp/>
        <stp>BDP|10763412554845700769</stp>
        <tr r="M1042" s="2"/>
      </tp>
      <tp t="s">
        <v>#N/A N/A</v>
        <stp/>
        <stp>BDP|12585508868075703794</stp>
        <tr r="K1486" s="2"/>
      </tp>
      <tp t="s">
        <v>#N/A N/A</v>
        <stp/>
        <stp>BDP|10152540241592751001</stp>
        <tr r="A1364" s="2"/>
      </tp>
      <tp t="s">
        <v>#N/A N/A</v>
        <stp/>
        <stp>BDP|15249631635021156264</stp>
        <tr r="T402" s="2"/>
      </tp>
      <tp t="s">
        <v>#N/A N/A</v>
        <stp/>
        <stp>BDS|11437623057445119401</stp>
        <tr r="I2010" s="2"/>
      </tp>
      <tp t="s">
        <v>#N/A N/A</v>
        <stp/>
        <stp>BDP|16418127929041941756</stp>
        <tr r="J920" s="2"/>
      </tp>
      <tp t="s">
        <v>#N/A N/A</v>
        <stp/>
        <stp>BDS|11467887509532146844</stp>
        <tr r="I59" s="2"/>
      </tp>
      <tp t="s">
        <v>#N/A N/A</v>
        <stp/>
        <stp>BDP|16382701256904310355</stp>
        <tr r="F1467" s="2"/>
      </tp>
      <tp t="s">
        <v>#N/A N/A</v>
        <stp/>
        <stp>BDP|14771217564042284123</stp>
        <tr r="O496" s="2"/>
      </tp>
      <tp t="s">
        <v>#N/A N/A</v>
        <stp/>
        <stp>BDP|12691040403702156320</stp>
        <tr r="A831" s="2"/>
      </tp>
      <tp t="s">
        <v>#N/A N/A</v>
        <stp/>
        <stp>BDP|10636718946268241817</stp>
        <tr r="K2187" s="2"/>
      </tp>
      <tp t="s">
        <v>#N/A N/A</v>
        <stp/>
        <stp>BDP|10636687801320496594</stp>
        <tr r="H1939" s="2"/>
      </tp>
      <tp t="s">
        <v>#N/A N/A</v>
        <stp/>
        <stp>BDP|11248350176204583264</stp>
        <tr r="K623" s="2"/>
      </tp>
      <tp t="s">
        <v>#N/A N/A</v>
        <stp/>
        <stp>BDP|12899585846465732531</stp>
        <tr r="P1546" s="2"/>
      </tp>
      <tp t="s">
        <v>#N/A N/A</v>
        <stp/>
        <stp>BDP|16089372949427955551</stp>
        <tr r="G772" s="2"/>
      </tp>
      <tp t="s">
        <v>#N/A N/A</v>
        <stp/>
        <stp>BDP|16337128011753465660</stp>
        <tr r="H1092" s="2"/>
      </tp>
      <tp t="s">
        <v>#N/A N/A</v>
        <stp/>
        <stp>BDP|13162313783602984981</stp>
        <tr r="C297" s="2"/>
      </tp>
      <tp t="s">
        <v>#N/A N/A</v>
        <stp/>
        <stp>BDP|11797557066209775811</stp>
        <tr r="C1841" s="2"/>
      </tp>
      <tp t="s">
        <v>#N/A N/A</v>
        <stp/>
        <stp>BDP|15640737726374532749</stp>
        <tr r="T1102" s="2"/>
      </tp>
      <tp t="s">
        <v>#N/A N/A</v>
        <stp/>
        <stp>BDP|11966502128481603459</stp>
        <tr r="K1444" s="2"/>
      </tp>
      <tp t="s">
        <v>#N/A N/A</v>
        <stp/>
        <stp>BDP|10723763871816544574</stp>
        <tr r="M921" s="2"/>
      </tp>
      <tp t="s">
        <v>#N/A N/A</v>
        <stp/>
        <stp>BDP|14716860685704589337</stp>
        <tr r="E2073" s="2"/>
      </tp>
      <tp t="s">
        <v>#N/A N/A</v>
        <stp/>
        <stp>BDP|11452117743846479104</stp>
        <tr r="A792" s="2"/>
      </tp>
      <tp t="s">
        <v>#N/A N/A</v>
        <stp/>
        <stp>BDP|10685914377499585479</stp>
        <tr r="S227" s="2"/>
      </tp>
      <tp t="s">
        <v>#N/A N/A</v>
        <stp/>
        <stp>BDS|18427389394512101387</stp>
        <tr r="I1833" s="2"/>
      </tp>
      <tp t="s">
        <v>#N/A N/A</v>
        <stp/>
        <stp>BDP|14077012605842434527</stp>
        <tr r="G1061" s="2"/>
      </tp>
      <tp t="s">
        <v>#N/A N/A</v>
        <stp/>
        <stp>BDP|12618525866837920597</stp>
        <tr r="P1681" s="2"/>
      </tp>
      <tp t="s">
        <v>#N/A N/A</v>
        <stp/>
        <stp>BDP|14249167262626456608</stp>
        <tr r="N1217" s="2"/>
      </tp>
      <tp t="s">
        <v>#N/A N/A</v>
        <stp/>
        <stp>BDP|17038330150327013519</stp>
        <tr r="C1426" s="2"/>
      </tp>
      <tp t="s">
        <v>#N/A N/A</v>
        <stp/>
        <stp>BDP|13766361033585125518</stp>
        <tr r="J1102" s="2"/>
      </tp>
      <tp t="s">
        <v>#N/A N/A</v>
        <stp/>
        <stp>BDP|10210115803007492565</stp>
        <tr r="T695" s="2"/>
      </tp>
      <tp t="s">
        <v>#N/A N/A</v>
        <stp/>
        <stp>BDP|10431080501481966269</stp>
        <tr r="K1869" s="2"/>
      </tp>
      <tp t="s">
        <v>#N/A N/A</v>
        <stp/>
        <stp>BDP|16158460658581516589</stp>
        <tr r="C155" s="2"/>
      </tp>
      <tp t="s">
        <v>#N/A N/A</v>
        <stp/>
        <stp>BDP|14258303491078517548</stp>
        <tr r="G295" s="2"/>
      </tp>
      <tp t="s">
        <v>#N/A N/A</v>
        <stp/>
        <stp>BDP|16295425131504061630</stp>
        <tr r="C2088" s="2"/>
      </tp>
      <tp t="s">
        <v>#N/A N/A</v>
        <stp/>
        <stp>BDP|13517419811087711206</stp>
        <tr r="N52" s="2"/>
      </tp>
      <tp t="s">
        <v>#N/A N/A</v>
        <stp/>
        <stp>BDP|11344708997655769913</stp>
        <tr r="D1789" s="2"/>
      </tp>
      <tp t="s">
        <v>#N/A N/A</v>
        <stp/>
        <stp>BDP|16696667832372779274</stp>
        <tr r="K422" s="2"/>
      </tp>
      <tp t="s">
        <v>#N/A N/A</v>
        <stp/>
        <stp>BDP|18056459691122672404</stp>
        <tr r="R13" s="2"/>
      </tp>
      <tp t="s">
        <v>#N/A N/A</v>
        <stp/>
        <stp>BDP|13318652576202641348</stp>
        <tr r="E425" s="2"/>
      </tp>
      <tp t="s">
        <v>#N/A N/A</v>
        <stp/>
        <stp>BDP|12571929861688067643</stp>
        <tr r="E1399" s="2"/>
      </tp>
      <tp t="s">
        <v>#N/A N/A</v>
        <stp/>
        <stp>BDP|14708713145925564140</stp>
        <tr r="N2046" s="2"/>
      </tp>
      <tp t="s">
        <v>#N/A N/A</v>
        <stp/>
        <stp>BDP|18014022919872110886</stp>
        <tr r="M1769" s="2"/>
      </tp>
      <tp t="s">
        <v>#N/A N/A</v>
        <stp/>
        <stp>BDP|17779146405293581617</stp>
        <tr r="Q1239" s="2"/>
      </tp>
      <tp t="s">
        <v>#N/A N/A</v>
        <stp/>
        <stp>BDP|10373018072255790158</stp>
        <tr r="N1856" s="2"/>
      </tp>
      <tp t="s">
        <v>#N/A N/A</v>
        <stp/>
        <stp>BDP|12938761703402689482</stp>
        <tr r="M1438" s="2"/>
      </tp>
      <tp t="s">
        <v>#N/A N/A</v>
        <stp/>
        <stp>BDP|11081140805771452279</stp>
        <tr r="R1809" s="2"/>
      </tp>
      <tp t="s">
        <v>#N/A N/A</v>
        <stp/>
        <stp>BDP|16335659902315025668</stp>
        <tr r="T1136" s="2"/>
      </tp>
      <tp t="s">
        <v>#N/A N/A</v>
        <stp/>
        <stp>BDP|17236606029372949201</stp>
        <tr r="E611" s="2"/>
      </tp>
      <tp t="s">
        <v>#N/A N/A</v>
        <stp/>
        <stp>BDP|17067130535316018047</stp>
        <tr r="H1893" s="2"/>
      </tp>
      <tp t="s">
        <v>#N/A N/A</v>
        <stp/>
        <stp>BDP|16354594834103426081</stp>
        <tr r="H260" s="2"/>
      </tp>
      <tp t="s">
        <v>#N/A N/A</v>
        <stp/>
        <stp>BDP|10772473829683855634</stp>
        <tr r="S2097" s="2"/>
      </tp>
      <tp t="s">
        <v>#N/A N/A</v>
        <stp/>
        <stp>BDP|11205733195015765916</stp>
        <tr r="G1791" s="2"/>
      </tp>
      <tp t="s">
        <v>#N/A N/A</v>
        <stp/>
        <stp>BDS|16720476230012861091</stp>
        <tr r="I1035" s="2"/>
      </tp>
      <tp t="s">
        <v>#N/A N/A</v>
        <stp/>
        <stp>BDP|12839391137745302477</stp>
        <tr r="P337" s="2"/>
      </tp>
      <tp t="s">
        <v>#N/A N/A</v>
        <stp/>
        <stp>BDP|17360663846004346223</stp>
        <tr r="D188" s="2"/>
      </tp>
      <tp t="s">
        <v>#N/A N/A</v>
        <stp/>
        <stp>BDP|13650966912530733877</stp>
        <tr r="A1657" s="2"/>
      </tp>
      <tp t="s">
        <v>#N/A N/A</v>
        <stp/>
        <stp>BDP|13032235861343415746</stp>
        <tr r="O1309" s="2"/>
      </tp>
      <tp t="s">
        <v>#N/A N/A</v>
        <stp/>
        <stp>BDP|13434104430066041461</stp>
        <tr r="A450" s="2"/>
      </tp>
      <tp t="s">
        <v>#N/A N/A</v>
        <stp/>
        <stp>BDP|15236798728404396724</stp>
        <tr r="C1442" s="2"/>
      </tp>
      <tp t="s">
        <v>#N/A N/A</v>
        <stp/>
        <stp>BDP|16834749697348130388</stp>
        <tr r="D1541" s="2"/>
      </tp>
      <tp t="s">
        <v>#N/A N/A</v>
        <stp/>
        <stp>BDS|11765200648553634782</stp>
        <tr r="I271" s="2"/>
      </tp>
      <tp t="s">
        <v>#N/A N/A</v>
        <stp/>
        <stp>BDP|10326442318376957047</stp>
        <tr r="M2227" s="2"/>
      </tp>
      <tp t="s">
        <v>#N/A N/A</v>
        <stp/>
        <stp>BDP|17448764724020368177</stp>
        <tr r="J1744" s="2"/>
      </tp>
      <tp t="s">
        <v>#N/A N/A</v>
        <stp/>
        <stp>BDP|10363794963251389389</stp>
        <tr r="E1280" s="2"/>
      </tp>
      <tp t="s">
        <v>#N/A N/A</v>
        <stp/>
        <stp>BDP|18037644017625224932</stp>
        <tr r="F1812" s="2"/>
      </tp>
      <tp t="s">
        <v>#N/A N/A</v>
        <stp/>
        <stp>BDS|13159046542293455725</stp>
        <tr r="I594" s="2"/>
      </tp>
      <tp t="s">
        <v>#N/A N/A</v>
        <stp/>
        <stp>BDP|18410621587997681251</stp>
        <tr r="Q702" s="2"/>
      </tp>
      <tp t="s">
        <v>#N/A N/A</v>
        <stp/>
        <stp>BDP|12575863381536689769</stp>
        <tr r="N85" s="2"/>
      </tp>
      <tp t="s">
        <v>#N/A N/A</v>
        <stp/>
        <stp>BDP|15153780161863858428</stp>
        <tr r="T179" s="2"/>
      </tp>
      <tp t="s">
        <v>#N/A N/A</v>
        <stp/>
        <stp>BDP|15775745575503721535</stp>
        <tr r="E449" s="2"/>
      </tp>
      <tp t="s">
        <v>#N/A N/A</v>
        <stp/>
        <stp>BDP|15935917511579335782</stp>
        <tr r="K2222" s="2"/>
      </tp>
      <tp t="s">
        <v>#N/A N/A</v>
        <stp/>
        <stp>BDS|16965245944247127494</stp>
        <tr r="I2158" s="2"/>
      </tp>
      <tp t="s">
        <v>#N/A N/A</v>
        <stp/>
        <stp>BDP|15689615572277495031</stp>
        <tr r="C950" s="2"/>
      </tp>
      <tp t="s">
        <v>#N/A N/A</v>
        <stp/>
        <stp>BDP|15743412361482266673</stp>
        <tr r="T446" s="2"/>
      </tp>
      <tp t="s">
        <v>#N/A N/A</v>
        <stp/>
        <stp>BDP|10968038718632685067</stp>
        <tr r="R1307" s="2"/>
      </tp>
      <tp t="s">
        <v>#N/A N/A</v>
        <stp/>
        <stp>BDP|13899733663373271289</stp>
        <tr r="H1462" s="2"/>
      </tp>
      <tp t="s">
        <v>#N/A N/A</v>
        <stp/>
        <stp>BDP|16039413997498320071</stp>
        <tr r="O1732" s="2"/>
      </tp>
      <tp t="s">
        <v>#N/A N/A</v>
        <stp/>
        <stp>BDP|16346136026183724536</stp>
        <tr r="F282" s="2"/>
      </tp>
      <tp t="s">
        <v>#N/A N/A</v>
        <stp/>
        <stp>BDP|11159173174684260021</stp>
        <tr r="K1517" s="2"/>
      </tp>
      <tp t="s">
        <v>#N/A N/A</v>
        <stp/>
        <stp>BDP|15310315680904825988</stp>
        <tr r="E624" s="2"/>
      </tp>
      <tp t="s">
        <v>#N/A N/A</v>
        <stp/>
        <stp>BDP|17393207033894379116</stp>
        <tr r="C1861" s="2"/>
      </tp>
      <tp t="s">
        <v>#N/A N/A</v>
        <stp/>
        <stp>BDP|16178328060443491354</stp>
        <tr r="M1005" s="2"/>
      </tp>
      <tp t="s">
        <v>#N/A N/A</v>
        <stp/>
        <stp>BDP|13199268532222372342</stp>
        <tr r="M774" s="2"/>
      </tp>
      <tp t="s">
        <v>#N/A N/A</v>
        <stp/>
        <stp>BDP|13239242501016021455</stp>
        <tr r="J626" s="2"/>
      </tp>
      <tp t="s">
        <v>#N/A N/A</v>
        <stp/>
        <stp>BDP|16978764843910750699</stp>
        <tr r="A1058" s="2"/>
      </tp>
      <tp t="s">
        <v>#N/A N/A</v>
        <stp/>
        <stp>BDP|14873285284415382858</stp>
        <tr r="H1511" s="2"/>
      </tp>
      <tp t="s">
        <v>#N/A N/A</v>
        <stp/>
        <stp>BDP|15927304726576835156</stp>
        <tr r="T1824" s="2"/>
      </tp>
      <tp t="s">
        <v>#N/A N/A</v>
        <stp/>
        <stp>BDP|11973431613194371385</stp>
        <tr r="E348" s="2"/>
      </tp>
      <tp t="s">
        <v>#N/A N/A</v>
        <stp/>
        <stp>BDP|16532748502321858398</stp>
        <tr r="O224" s="2"/>
      </tp>
      <tp t="s">
        <v>#N/A N/A</v>
        <stp/>
        <stp>BDP|16875595689458818022</stp>
        <tr r="O629" s="2"/>
      </tp>
      <tp t="s">
        <v>#N/A N/A</v>
        <stp/>
        <stp>BDP|10819597513216425143</stp>
        <tr r="H1596" s="2"/>
      </tp>
      <tp t="s">
        <v>#N/A N/A</v>
        <stp/>
        <stp>BDP|14520899688047579039</stp>
        <tr r="A191" s="2"/>
      </tp>
      <tp t="s">
        <v>#N/A N/A</v>
        <stp/>
        <stp>BDP|12524162055590197559</stp>
        <tr r="R8" s="2"/>
      </tp>
      <tp t="s">
        <v>#N/A N/A</v>
        <stp/>
        <stp>BDP|18223029374944063861</stp>
        <tr r="A337" s="2"/>
      </tp>
      <tp t="s">
        <v>#N/A N/A</v>
        <stp/>
        <stp>BDP|13241325221463754245</stp>
        <tr r="K1795" s="2"/>
      </tp>
      <tp t="s">
        <v>#N/A N/A</v>
        <stp/>
        <stp>BDP|13927387485068608301</stp>
        <tr r="R1877" s="2"/>
      </tp>
      <tp t="s">
        <v>#N/A N/A</v>
        <stp/>
        <stp>BDS|11648741310752012637</stp>
        <tr r="I66" s="2"/>
      </tp>
      <tp t="s">
        <v>#N/A N/A</v>
        <stp/>
        <stp>BDP|16742283267868228989</stp>
        <tr r="A769" s="2"/>
      </tp>
      <tp t="s">
        <v>#N/A N/A</v>
        <stp/>
        <stp>BDP|15185619715926549728</stp>
        <tr r="A1896" s="2"/>
      </tp>
      <tp t="s">
        <v>#N/A N/A</v>
        <stp/>
        <stp>BDP|16469191419824227149</stp>
        <tr r="C1185" s="2"/>
      </tp>
      <tp t="s">
        <v>#N/A N/A</v>
        <stp/>
        <stp>BDP|12201485439622433454</stp>
        <tr r="Q1325" s="2"/>
      </tp>
      <tp t="s">
        <v>#N/A N/A</v>
        <stp/>
        <stp>BDP|15527501634517674755</stp>
        <tr r="M1154" s="2"/>
      </tp>
      <tp t="s">
        <v>#N/A N/A</v>
        <stp/>
        <stp>BDP|12545775388458013680</stp>
        <tr r="O1476" s="2"/>
      </tp>
      <tp t="s">
        <v>#N/A N/A</v>
        <stp/>
        <stp>BDP|13724597749638463911</stp>
        <tr r="A77" s="2"/>
      </tp>
      <tp t="s">
        <v>#N/A N/A</v>
        <stp/>
        <stp>BDP|12978276638957000733</stp>
        <tr r="S596" s="2"/>
      </tp>
      <tp t="s">
        <v>#N/A N/A</v>
        <stp/>
        <stp>BDP|14014888468038178145</stp>
        <tr r="K1111" s="2"/>
      </tp>
      <tp t="s">
        <v>#N/A N/A</v>
        <stp/>
        <stp>BDP|11626717642128884987</stp>
        <tr r="T1285" s="2"/>
      </tp>
      <tp t="s">
        <v>#N/A N/A</v>
        <stp/>
        <stp>BDP|11980931058496458833</stp>
        <tr r="E741" s="2"/>
      </tp>
      <tp t="s">
        <v>#N/A N/A</v>
        <stp/>
        <stp>BDS|10791461097099306732</stp>
        <tr r="I221" s="2"/>
      </tp>
      <tp t="s">
        <v>#N/A N/A</v>
        <stp/>
        <stp>BDP|10860592825900671470</stp>
        <tr r="M2088" s="2"/>
      </tp>
      <tp t="s">
        <v>#N/A N/A</v>
        <stp/>
        <stp>BDP|14622062403497776019</stp>
        <tr r="H52" s="2"/>
      </tp>
      <tp t="s">
        <v>#N/A N/A</v>
        <stp/>
        <stp>BDP|10153713892579419438</stp>
        <tr r="O299" s="2"/>
      </tp>
      <tp t="s">
        <v>#N/A N/A</v>
        <stp/>
        <stp>BDP|12162014726335232618</stp>
        <tr r="P103" s="2"/>
      </tp>
      <tp t="s">
        <v>#N/A N/A</v>
        <stp/>
        <stp>BDP|16246926147680178839</stp>
        <tr r="A1680" s="2"/>
      </tp>
      <tp t="s">
        <v>#N/A N/A</v>
        <stp/>
        <stp>BDP|13757368636498774857</stp>
        <tr r="Q249" s="2"/>
      </tp>
      <tp t="s">
        <v>#N/A N/A</v>
        <stp/>
        <stp>BDP|14168356181658697466</stp>
        <tr r="J867" s="2"/>
      </tp>
      <tp t="s">
        <v>#N/A N/A</v>
        <stp/>
        <stp>BDP|13281660022015747145</stp>
        <tr r="P854" s="2"/>
      </tp>
      <tp t="s">
        <v>#N/A N/A</v>
        <stp/>
        <stp>BDP|12242039694961942999</stp>
        <tr r="T1234" s="2"/>
      </tp>
      <tp t="s">
        <v>#N/A N/A</v>
        <stp/>
        <stp>BDP|13629234524691699121</stp>
        <tr r="N2058" s="2"/>
      </tp>
      <tp t="s">
        <v>#N/A N/A</v>
        <stp/>
        <stp>BDP|15021042470039409858</stp>
        <tr r="J1193" s="2"/>
      </tp>
      <tp t="s">
        <v>#N/A N/A</v>
        <stp/>
        <stp>BDP|16456459673331155762</stp>
        <tr r="G144" s="2"/>
      </tp>
      <tp t="s">
        <v>#N/A N/A</v>
        <stp/>
        <stp>BDP|14189183673173639291</stp>
        <tr r="G685" s="2"/>
      </tp>
      <tp t="s">
        <v>#N/A N/A</v>
        <stp/>
        <stp>BDP|11062511899876853855</stp>
        <tr r="H494" s="2"/>
      </tp>
      <tp t="s">
        <v>#N/A N/A</v>
        <stp/>
        <stp>BDP|15582759559790487481</stp>
        <tr r="M2041" s="2"/>
      </tp>
      <tp t="s">
        <v>#N/A N/A</v>
        <stp/>
        <stp>BDP|10855966722799883113</stp>
        <tr r="P180" s="2"/>
      </tp>
      <tp t="s">
        <v>#N/A N/A</v>
        <stp/>
        <stp>BDP|18157325526883302937</stp>
        <tr r="J51" s="2"/>
      </tp>
      <tp t="s">
        <v>#N/A N/A</v>
        <stp/>
        <stp>BDP|12238625137971774557</stp>
        <tr r="H33" s="2"/>
      </tp>
      <tp t="s">
        <v>#N/A N/A</v>
        <stp/>
        <stp>BDP|10518692361921964212</stp>
        <tr r="O1805" s="2"/>
      </tp>
      <tp t="s">
        <v>#N/A N/A</v>
        <stp/>
        <stp>BDP|17354293846247180582</stp>
        <tr r="O2184" s="2"/>
      </tp>
      <tp t="s">
        <v>#N/A N/A</v>
        <stp/>
        <stp>BDP|16456230341571389206</stp>
        <tr r="P2062" s="2"/>
      </tp>
      <tp t="s">
        <v>#N/A N/A</v>
        <stp/>
        <stp>BDS|16414441646981471440</stp>
        <tr r="I1175" s="2"/>
      </tp>
      <tp t="s">
        <v>#N/A N/A</v>
        <stp/>
        <stp>BDP|15170689345350942407</stp>
        <tr r="R871" s="2"/>
      </tp>
      <tp t="s">
        <v>#N/A N/A</v>
        <stp/>
        <stp>BDP|14370634600301180046</stp>
        <tr r="E413" s="2"/>
      </tp>
      <tp t="s">
        <v>#N/A N/A</v>
        <stp/>
        <stp>BDP|14798780209541552164</stp>
        <tr r="G1714" s="2"/>
      </tp>
      <tp t="s">
        <v>#N/A N/A</v>
        <stp/>
        <stp>BDP|13093173105475670414</stp>
        <tr r="J1939" s="2"/>
      </tp>
      <tp t="s">
        <v>#N/A N/A</v>
        <stp/>
        <stp>BDP|15029144145252098140</stp>
        <tr r="C1234" s="2"/>
      </tp>
      <tp t="s">
        <v>#N/A N/A</v>
        <stp/>
        <stp>BDP|14024351587825736904</stp>
        <tr r="R1260" s="2"/>
      </tp>
      <tp t="s">
        <v>#N/A N/A</v>
        <stp/>
        <stp>BDP|10445365411164543538</stp>
        <tr r="P206" s="2"/>
      </tp>
      <tp t="s">
        <v>#N/A N/A</v>
        <stp/>
        <stp>BDP|12447498349712034314</stp>
        <tr r="Q509" s="2"/>
      </tp>
      <tp t="s">
        <v>#N/A N/A</v>
        <stp/>
        <stp>BDP|13433451208180899446</stp>
        <tr r="S2246" s="2"/>
      </tp>
      <tp t="s">
        <v>#N/A N/A</v>
        <stp/>
        <stp>BDP|10658397678694304318</stp>
        <tr r="K1429" s="2"/>
      </tp>
      <tp t="s">
        <v>#N/A N/A</v>
        <stp/>
        <stp>BDP|12691094099129340104</stp>
        <tr r="N681" s="2"/>
      </tp>
      <tp t="s">
        <v>#N/A N/A</v>
        <stp/>
        <stp>BDP|17409412273240552766</stp>
        <tr r="K1520" s="2"/>
      </tp>
      <tp t="s">
        <v>#N/A N/A</v>
        <stp/>
        <stp>BDP|10076708805670191413</stp>
        <tr r="N2037" s="2"/>
      </tp>
      <tp t="s">
        <v>#N/A N/A</v>
        <stp/>
        <stp>BDP|13202442834747525024</stp>
        <tr r="P1204" s="2"/>
      </tp>
      <tp t="s">
        <v>#N/A N/A</v>
        <stp/>
        <stp>BDP|13970292627772095228</stp>
        <tr r="R1747" s="2"/>
      </tp>
      <tp t="s">
        <v>#N/A N/A</v>
        <stp/>
        <stp>BDP|16360500015067002635</stp>
        <tr r="M73" s="2"/>
      </tp>
      <tp t="s">
        <v>#N/A N/A</v>
        <stp/>
        <stp>BDP|12215057714047221747</stp>
        <tr r="N1586" s="2"/>
      </tp>
      <tp t="s">
        <v>#N/A N/A</v>
        <stp/>
        <stp>BDP|13342125767524514366</stp>
        <tr r="G2240" s="2"/>
      </tp>
      <tp t="s">
        <v>#N/A N/A</v>
        <stp/>
        <stp>BDP|16236097543485402492</stp>
        <tr r="F1306" s="2"/>
      </tp>
      <tp t="s">
        <v>#N/A N/A</v>
        <stp/>
        <stp>BDP|12852773464314862461</stp>
        <tr r="M457" s="2"/>
      </tp>
      <tp t="s">
        <v>#N/A N/A</v>
        <stp/>
        <stp>BDP|17259162117254519036</stp>
        <tr r="P675" s="2"/>
      </tp>
      <tp t="s">
        <v>#N/A N/A</v>
        <stp/>
        <stp>BDP|16955167259316121721</stp>
        <tr r="P2139" s="2"/>
      </tp>
      <tp t="s">
        <v>#N/A N/A</v>
        <stp/>
        <stp>BDS|14695269778774832666</stp>
        <tr r="I204" s="2"/>
      </tp>
      <tp t="s">
        <v>#N/A N/A</v>
        <stp/>
        <stp>BDP|11426549617191409768</stp>
        <tr r="M1665" s="2"/>
      </tp>
      <tp t="s">
        <v>#N/A N/A</v>
        <stp/>
        <stp>BDP|15933036008327532127</stp>
        <tr r="N1614" s="2"/>
      </tp>
      <tp t="s">
        <v>#N/A N/A</v>
        <stp/>
        <stp>BDP|11591343242484173178</stp>
        <tr r="C67" s="2"/>
      </tp>
      <tp t="s">
        <v>#N/A N/A</v>
        <stp/>
        <stp>BDP|17377172426006277153</stp>
        <tr r="A416" s="2"/>
      </tp>
      <tp t="s">
        <v>#N/A N/A</v>
        <stp/>
        <stp>BDP|11381086041964731285</stp>
        <tr r="S2050" s="2"/>
      </tp>
      <tp t="s">
        <v>#N/A N/A</v>
        <stp/>
        <stp>BDP|11114047978962088786</stp>
        <tr r="Q1876" s="2"/>
      </tp>
      <tp t="s">
        <v>#N/A N/A</v>
        <stp/>
        <stp>BDP|11764329112169561979</stp>
        <tr r="F1148" s="2"/>
      </tp>
      <tp t="s">
        <v>#N/A N/A</v>
        <stp/>
        <stp>BDP|13934556379215934795</stp>
        <tr r="G1824" s="2"/>
      </tp>
      <tp t="s">
        <v>#N/A N/A</v>
        <stp/>
        <stp>BDP|10877785915650676563</stp>
        <tr r="R791" s="2"/>
      </tp>
      <tp t="s">
        <v>#N/A N/A</v>
        <stp/>
        <stp>BDP|16958340297877641899</stp>
        <tr r="D1484" s="2"/>
      </tp>
      <tp t="s">
        <v>#N/A N/A</v>
        <stp/>
        <stp>BDP|16900340848547073502</stp>
        <tr r="T672" s="2"/>
      </tp>
      <tp t="s">
        <v>#N/A N/A</v>
        <stp/>
        <stp>BDP|15678676746034012020</stp>
        <tr r="S1545" s="2"/>
      </tp>
      <tp t="s">
        <v>#N/A N/A</v>
        <stp/>
        <stp>BDP|13829895904711709970</stp>
        <tr r="G1516" s="2"/>
      </tp>
      <tp t="s">
        <v>#N/A N/A</v>
        <stp/>
        <stp>BDP|13675922695879681925</stp>
        <tr r="K1918" s="2"/>
      </tp>
      <tp t="s">
        <v>#N/A N/A</v>
        <stp/>
        <stp>BDP|13329875780154086419</stp>
        <tr r="E1258" s="2"/>
      </tp>
      <tp t="s">
        <v>#N/A N/A</v>
        <stp/>
        <stp>BDP|17162709441492142548</stp>
        <tr r="E1433" s="2"/>
      </tp>
      <tp t="s">
        <v>#N/A N/A</v>
        <stp/>
        <stp>BDP|13318816105720647843</stp>
        <tr r="C1324" s="2"/>
      </tp>
      <tp t="s">
        <v>#N/A N/A</v>
        <stp/>
        <stp>BDP|16319882309229657413</stp>
        <tr r="Q1572" s="2"/>
      </tp>
      <tp t="s">
        <v>#N/A N/A</v>
        <stp/>
        <stp>BDP|17066474057555287078</stp>
        <tr r="T727" s="2"/>
      </tp>
      <tp t="s">
        <v>#N/A N/A</v>
        <stp/>
        <stp>BDP|13102138570614600219</stp>
        <tr r="M929" s="2"/>
      </tp>
      <tp t="s">
        <v>#N/A N/A</v>
        <stp/>
        <stp>BDP|12409556940935116558</stp>
        <tr r="O2004" s="2"/>
      </tp>
      <tp t="s">
        <v>#N/A N/A</v>
        <stp/>
        <stp>BDP|10423120041327075120</stp>
        <tr r="H1061" s="2"/>
      </tp>
      <tp t="s">
        <v>#N/A N/A</v>
        <stp/>
        <stp>BDS|11365754134747256166</stp>
        <tr r="I756" s="2"/>
      </tp>
      <tp t="s">
        <v>#N/A N/A</v>
        <stp/>
        <stp>BDP|13822973641078962521</stp>
        <tr r="T1549" s="2"/>
      </tp>
      <tp t="s">
        <v>#N/A N/A</v>
        <stp/>
        <stp>BDP|16475728726838230872</stp>
        <tr r="E2235" s="2"/>
      </tp>
      <tp t="s">
        <v>#N/A N/A</v>
        <stp/>
        <stp>BDP|12585440683508490532</stp>
        <tr r="H1578" s="2"/>
      </tp>
      <tp t="s">
        <v>#N/A N/A</v>
        <stp/>
        <stp>BDP|15066147436184376042</stp>
        <tr r="P940" s="2"/>
      </tp>
      <tp t="s">
        <v>#N/A N/A</v>
        <stp/>
        <stp>BDP|14974664551995282197</stp>
        <tr r="A1938" s="2"/>
      </tp>
      <tp t="s">
        <v>#N/A N/A</v>
        <stp/>
        <stp>BDP|13017491519561613431</stp>
        <tr r="N60" s="2"/>
      </tp>
      <tp t="s">
        <v>#N/A N/A</v>
        <stp/>
        <stp>BDP|11205380027505846604</stp>
        <tr r="O1077" s="2"/>
      </tp>
      <tp t="s">
        <v>#N/A N/A</v>
        <stp/>
        <stp>BDP|14719822691134131205</stp>
        <tr r="F924" s="2"/>
      </tp>
      <tp t="s">
        <v>#N/A N/A</v>
        <stp/>
        <stp>BDP|16633602717212678020</stp>
        <tr r="T613" s="2"/>
      </tp>
      <tp t="s">
        <v>#N/A N/A</v>
        <stp/>
        <stp>BDP|13663426020281467750</stp>
        <tr r="Q1855" s="2"/>
      </tp>
      <tp t="s">
        <v>#N/A N/A</v>
        <stp/>
        <stp>BDP|12767308730961033020</stp>
        <tr r="N2236" s="2"/>
      </tp>
      <tp t="s">
        <v>#N/A N/A</v>
        <stp/>
        <stp>BDS|17617159267753725059</stp>
        <tr r="I396" s="2"/>
      </tp>
      <tp t="s">
        <v>#N/A N/A</v>
        <stp/>
        <stp>BDP|18129134043359318770</stp>
        <tr r="G2025" s="2"/>
      </tp>
      <tp t="s">
        <v>#N/A N/A</v>
        <stp/>
        <stp>BDS|15725904279960826809</stp>
        <tr r="I1062" s="2"/>
      </tp>
      <tp t="s">
        <v>#N/A N/A</v>
        <stp/>
        <stp>BDP|13164864040718053424</stp>
        <tr r="D313" s="2"/>
      </tp>
      <tp t="s">
        <v>#N/A N/A</v>
        <stp/>
        <stp>BDP|16552404525672131140</stp>
        <tr r="O1761" s="2"/>
      </tp>
      <tp t="s">
        <v>#N/A N/A</v>
        <stp/>
        <stp>BDS|16064598839383539025</stp>
        <tr r="I2119" s="2"/>
      </tp>
      <tp t="s">
        <v>#N/A N/A</v>
        <stp/>
        <stp>BDP|17552488105941968159</stp>
        <tr r="N257" s="2"/>
      </tp>
      <tp t="s">
        <v>#N/A N/A</v>
        <stp/>
        <stp>BDP|15975686387991266905</stp>
        <tr r="D624" s="2"/>
      </tp>
      <tp t="s">
        <v>#N/A N/A</v>
        <stp/>
        <stp>BDP|13849589421203026456</stp>
        <tr r="A2247" s="2"/>
      </tp>
      <tp t="s">
        <v>#N/A N/A</v>
        <stp/>
        <stp>BDP|10184025624961092036</stp>
        <tr r="H1257" s="2"/>
      </tp>
      <tp t="s">
        <v>#N/A N/A</v>
        <stp/>
        <stp>BDP|18419682413798395486</stp>
        <tr r="J2176" s="2"/>
      </tp>
      <tp t="s">
        <v>#N/A N/A</v>
        <stp/>
        <stp>BDS|11421642667961852387</stp>
        <tr r="I1341" s="2"/>
      </tp>
      <tp t="s">
        <v>#N/A N/A</v>
        <stp/>
        <stp>BDS|17196324756044357613</stp>
        <tr r="I1641" s="2"/>
      </tp>
      <tp t="s">
        <v>#N/A N/A</v>
        <stp/>
        <stp>BDP|17913701547904959336</stp>
        <tr r="P2213" s="2"/>
      </tp>
      <tp t="s">
        <v>#N/A N/A</v>
        <stp/>
        <stp>BDP|10984166964144702085</stp>
        <tr r="J1003" s="2"/>
      </tp>
      <tp t="s">
        <v>#N/A N/A</v>
        <stp/>
        <stp>BDP|12055992682826813674</stp>
        <tr r="P2140" s="2"/>
      </tp>
      <tp t="s">
        <v>#N/A N/A</v>
        <stp/>
        <stp>BDP|12452181429305854798</stp>
        <tr r="F233" s="2"/>
      </tp>
      <tp t="s">
        <v>#N/A N/A</v>
        <stp/>
        <stp>BDP|15416405141562609478</stp>
        <tr r="H311" s="2"/>
      </tp>
      <tp t="s">
        <v>#N/A N/A</v>
        <stp/>
        <stp>BDS|14062013870984669403</stp>
        <tr r="I2168" s="2"/>
      </tp>
      <tp t="s">
        <v>#N/A N/A</v>
        <stp/>
        <stp>BDP|13644174350437290374</stp>
        <tr r="R928" s="2"/>
      </tp>
      <tp t="s">
        <v>#N/A N/A</v>
        <stp/>
        <stp>BDP|15959491395723699873</stp>
        <tr r="G256" s="2"/>
      </tp>
      <tp t="s">
        <v>#N/A N/A</v>
        <stp/>
        <stp>BDP|16349158578593945034</stp>
        <tr r="H1835" s="2"/>
      </tp>
      <tp t="s">
        <v>#N/A N/A</v>
        <stp/>
        <stp>BDP|16888616826017971620</stp>
        <tr r="G838" s="2"/>
      </tp>
      <tp t="s">
        <v>#N/A N/A</v>
        <stp/>
        <stp>BDP|15386233987189010533</stp>
        <tr r="D1387" s="2"/>
      </tp>
      <tp t="s">
        <v>#N/A N/A</v>
        <stp/>
        <stp>BDP|14293563167221733503</stp>
        <tr r="P1173" s="2"/>
      </tp>
      <tp t="s">
        <v>#N/A N/A</v>
        <stp/>
        <stp>BDP|16712387710554283393</stp>
        <tr r="A2258" s="2"/>
      </tp>
      <tp t="s">
        <v>#N/A N/A</v>
        <stp/>
        <stp>BDP|16258757569512985630</stp>
        <tr r="C1315" s="2"/>
      </tp>
      <tp t="s">
        <v>#N/A N/A</v>
        <stp/>
        <stp>BDP|10757345451840770510</stp>
        <tr r="S1233" s="2"/>
      </tp>
      <tp t="s">
        <v>#N/A N/A</v>
        <stp/>
        <stp>BDS|18370670200174599961</stp>
        <tr r="I1336" s="2"/>
      </tp>
      <tp t="s">
        <v>#N/A N/A</v>
        <stp/>
        <stp>BDP|14111218932626242045</stp>
        <tr r="A2211" s="2"/>
      </tp>
      <tp t="s">
        <v>#N/A N/A</v>
        <stp/>
        <stp>BDS|12669205766495600019</stp>
        <tr r="I256" s="2"/>
      </tp>
      <tp t="s">
        <v>#N/A N/A</v>
        <stp/>
        <stp>BDP|16993385445546635464</stp>
        <tr r="M1015" s="2"/>
      </tp>
      <tp t="s">
        <v>#N/A N/A</v>
        <stp/>
        <stp>BDP|12482052266316053132</stp>
        <tr r="K868" s="2"/>
      </tp>
      <tp t="s">
        <v>#N/A N/A</v>
        <stp/>
        <stp>BDP|13526555065962562146</stp>
        <tr r="P1859" s="2"/>
      </tp>
      <tp t="s">
        <v>#N/A N/A</v>
        <stp/>
        <stp>BDP|17579639353452521545</stp>
        <tr r="F497" s="2"/>
      </tp>
      <tp t="s">
        <v>#N/A N/A</v>
        <stp/>
        <stp>BDP|12136394614334183791</stp>
        <tr r="M1762" s="2"/>
      </tp>
      <tp t="s">
        <v>#N/A N/A</v>
        <stp/>
        <stp>BDP|10693034118710831214</stp>
        <tr r="Q1841" s="2"/>
      </tp>
      <tp t="s">
        <v>#N/A N/A</v>
        <stp/>
        <stp>BDP|14282795348767219357</stp>
        <tr r="G2081" s="2"/>
      </tp>
      <tp t="s">
        <v>#N/A N/A</v>
        <stp/>
        <stp>BDP|16245714926903357320</stp>
        <tr r="P278" s="2"/>
      </tp>
      <tp t="s">
        <v>#N/A N/A</v>
        <stp/>
        <stp>BDP|12218338871536047344</stp>
        <tr r="J885" s="2"/>
      </tp>
      <tp t="s">
        <v>#N/A N/A</v>
        <stp/>
        <stp>BDP|11167467057326072549</stp>
        <tr r="T2252" s="2"/>
      </tp>
      <tp t="s">
        <v>#N/A N/A</v>
        <stp/>
        <stp>BDP|17153894855781894813</stp>
        <tr r="J1761" s="2"/>
      </tp>
      <tp t="s">
        <v>#N/A N/A</v>
        <stp/>
        <stp>BDP|13959833181997977764</stp>
        <tr r="C1337" s="2"/>
      </tp>
      <tp t="s">
        <v>#N/A N/A</v>
        <stp/>
        <stp>BDP|18012370145579287540</stp>
        <tr r="P878" s="2"/>
      </tp>
      <tp t="s">
        <v>#N/A N/A</v>
        <stp/>
        <stp>BDP|16190737714057270405</stp>
        <tr r="E1909" s="2"/>
      </tp>
      <tp t="s">
        <v>#N/A N/A</v>
        <stp/>
        <stp>BDP|12948096893160268856</stp>
        <tr r="S1337" s="2"/>
      </tp>
      <tp t="s">
        <v>#N/A N/A</v>
        <stp/>
        <stp>BDP|12336055038664870624</stp>
        <tr r="Q864" s="2"/>
      </tp>
      <tp t="s">
        <v>#N/A N/A</v>
        <stp/>
        <stp>BDP|17499882800839902510</stp>
        <tr r="N1909" s="2"/>
      </tp>
      <tp t="s">
        <v>#N/A N/A</v>
        <stp/>
        <stp>BDP|18198779585492359643</stp>
        <tr r="A1878" s="2"/>
      </tp>
      <tp t="s">
        <v>#N/A N/A</v>
        <stp/>
        <stp>BDP|17474210161070654060</stp>
        <tr r="R932" s="2"/>
      </tp>
      <tp t="s">
        <v>#N/A N/A</v>
        <stp/>
        <stp>BDP|15132874172301702876</stp>
        <tr r="H1937" s="2"/>
      </tp>
      <tp t="s">
        <v>#N/A N/A</v>
        <stp/>
        <stp>BDP|14316827415778705673</stp>
        <tr r="E651" s="2"/>
      </tp>
      <tp t="s">
        <v>#N/A N/A</v>
        <stp/>
        <stp>BDP|17219585208735198478</stp>
        <tr r="H409" s="2"/>
      </tp>
      <tp t="s">
        <v>#N/A N/A</v>
        <stp/>
        <stp>BDP|11743668521017664128</stp>
        <tr r="E1990" s="2"/>
      </tp>
      <tp t="s">
        <v>#N/A N/A</v>
        <stp/>
        <stp>BDP|13061396157017333191</stp>
        <tr r="C2177" s="2"/>
      </tp>
      <tp t="s">
        <v>#N/A N/A</v>
        <stp/>
        <stp>BDP|14339717855616172327</stp>
        <tr r="Q173" s="2"/>
      </tp>
      <tp t="s">
        <v>#N/A N/A</v>
        <stp/>
        <stp>BDP|15408720717540044050</stp>
        <tr r="E436" s="2"/>
      </tp>
      <tp t="s">
        <v>#N/A N/A</v>
        <stp/>
        <stp>BDP|16626660543163314443</stp>
        <tr r="K1348" s="2"/>
      </tp>
      <tp t="s">
        <v>#N/A N/A</v>
        <stp/>
        <stp>BDP|11402170259044664287</stp>
        <tr r="O1645" s="2"/>
      </tp>
      <tp t="s">
        <v>#N/A N/A</v>
        <stp/>
        <stp>BDP|14419222213090402452</stp>
        <tr r="D329" s="2"/>
      </tp>
      <tp t="s">
        <v>#N/A N/A</v>
        <stp/>
        <stp>BDS|14255714130915516618</stp>
        <tr r="I1655" s="2"/>
      </tp>
      <tp t="s">
        <v>#N/A N/A</v>
        <stp/>
        <stp>BDP|15550913524309617425</stp>
        <tr r="C2079" s="2"/>
      </tp>
      <tp t="s">
        <v>#N/A N/A</v>
        <stp/>
        <stp>BDP|14159206563260057364</stp>
        <tr r="P466" s="2"/>
      </tp>
      <tp t="s">
        <v>#N/A N/A</v>
        <stp/>
        <stp>BDP|10267470731693997799</stp>
        <tr r="G1285" s="2"/>
      </tp>
      <tp t="s">
        <v>#N/A N/A</v>
        <stp/>
        <stp>BDP|11006064902481081308</stp>
        <tr r="T1405" s="2"/>
      </tp>
      <tp t="s">
        <v>#N/A N/A</v>
        <stp/>
        <stp>BDP|17542337202530655763</stp>
        <tr r="R2122" s="2"/>
      </tp>
      <tp t="s">
        <v>#N/A N/A</v>
        <stp/>
        <stp>BDP|12610887877689413791</stp>
        <tr r="D1963" s="2"/>
      </tp>
      <tp t="s">
        <v>#N/A N/A</v>
        <stp/>
        <stp>BDP|12060653510687423156</stp>
        <tr r="R1488" s="2"/>
      </tp>
      <tp t="s">
        <v>#N/A N/A</v>
        <stp/>
        <stp>BDP|17270251547962608028</stp>
        <tr r="O1944" s="2"/>
      </tp>
      <tp t="s">
        <v>#N/A N/A</v>
        <stp/>
        <stp>BDP|10329620614753910783</stp>
        <tr r="N2053" s="2"/>
      </tp>
      <tp t="s">
        <v>#N/A N/A</v>
        <stp/>
        <stp>BDP|11440517721206430345</stp>
        <tr r="O1121" s="2"/>
      </tp>
      <tp t="s">
        <v>#N/A N/A</v>
        <stp/>
        <stp>BDP|18421574133765647822</stp>
        <tr r="K2065" s="2"/>
      </tp>
      <tp t="s">
        <v>#N/A N/A</v>
        <stp/>
        <stp>BDP|10457740528803881542</stp>
        <tr r="E1973" s="2"/>
      </tp>
      <tp t="s">
        <v>#N/A N/A</v>
        <stp/>
        <stp>BDS|17073304827370371531</stp>
        <tr r="I1279" s="2"/>
      </tp>
      <tp t="s">
        <v>#N/A N/A</v>
        <stp/>
        <stp>BDP|11666267034480712372</stp>
        <tr r="P568" s="2"/>
      </tp>
      <tp t="s">
        <v>#N/A N/A</v>
        <stp/>
        <stp>BDP|10800617908464304165</stp>
        <tr r="K1864" s="2"/>
      </tp>
      <tp t="s">
        <v>#N/A N/A</v>
        <stp/>
        <stp>BDP|15770345151280502036</stp>
        <tr r="P98" s="2"/>
      </tp>
      <tp t="s">
        <v>#N/A N/A</v>
        <stp/>
        <stp>BDS|10241040912042109022</stp>
        <tr r="I2199" s="2"/>
      </tp>
      <tp t="s">
        <v>#N/A N/A</v>
        <stp/>
        <stp>BDP|16885653356552694491</stp>
        <tr r="H150" s="2"/>
      </tp>
      <tp t="s">
        <v>#N/A N/A</v>
        <stp/>
        <stp>BDP|13110622642304609635</stp>
        <tr r="N367" s="2"/>
      </tp>
      <tp t="s">
        <v>#N/A N/A</v>
        <stp/>
        <stp>BDP|17434024902005317133</stp>
        <tr r="R1073" s="2"/>
      </tp>
      <tp t="s">
        <v>#N/A N/A</v>
        <stp/>
        <stp>BDP|16709173866112221005</stp>
        <tr r="M1920" s="2"/>
      </tp>
      <tp t="s">
        <v>#N/A N/A</v>
        <stp/>
        <stp>BDP|16053715835722510352</stp>
        <tr r="N371" s="2"/>
      </tp>
      <tp t="s">
        <v>#N/A N/A</v>
        <stp/>
        <stp>BDP|11478009974306702339</stp>
        <tr r="R1588" s="2"/>
      </tp>
      <tp t="s">
        <v>#N/A N/A</v>
        <stp/>
        <stp>BDP|12097176342126125208</stp>
        <tr r="M1580" s="2"/>
      </tp>
      <tp t="s">
        <v>#N/A N/A</v>
        <stp/>
        <stp>BDP|15623019743114087606</stp>
        <tr r="T793" s="2"/>
      </tp>
      <tp t="s">
        <v>#N/A N/A</v>
        <stp/>
        <stp>BDP|14240214933310004678</stp>
        <tr r="T191" s="2"/>
      </tp>
      <tp t="s">
        <v>#N/A N/A</v>
        <stp/>
        <stp>BDP|14438959197870305729</stp>
        <tr r="D1535" s="2"/>
      </tp>
      <tp t="s">
        <v>#N/A N/A</v>
        <stp/>
        <stp>BDP|15565119322305332024</stp>
        <tr r="T200" s="2"/>
      </tp>
      <tp t="s">
        <v>#N/A N/A</v>
        <stp/>
        <stp>BDP|12275260681833676843</stp>
        <tr r="M201" s="2"/>
      </tp>
      <tp t="s">
        <v>#N/A N/A</v>
        <stp/>
        <stp>BDP|15000489891588726395</stp>
        <tr r="G1507" s="2"/>
      </tp>
      <tp t="s">
        <v>#N/A N/A</v>
        <stp/>
        <stp>BDP|16472790008954466663</stp>
        <tr r="J1039" s="2"/>
      </tp>
      <tp t="s">
        <v>#N/A N/A</v>
        <stp/>
        <stp>BDP|12136368682783730955</stp>
        <tr r="M867" s="2"/>
      </tp>
      <tp t="s">
        <v>#N/A N/A</v>
        <stp/>
        <stp>BDP|15909176325784827149</stp>
        <tr r="K1437" s="2"/>
      </tp>
      <tp t="s">
        <v>#N/A N/A</v>
        <stp/>
        <stp>BDP|12201255652077481167</stp>
        <tr r="N828" s="2"/>
      </tp>
      <tp t="s">
        <v>#N/A N/A</v>
        <stp/>
        <stp>BDP|17893282255755525674</stp>
        <tr r="O1183" s="2"/>
      </tp>
      <tp t="s">
        <v>#N/A N/A</v>
        <stp/>
        <stp>BDP|15087324596369316504</stp>
        <tr r="M1449" s="2"/>
      </tp>
      <tp t="s">
        <v>#N/A N/A</v>
        <stp/>
        <stp>BDP|11208387473340886665</stp>
        <tr r="H1750" s="2"/>
      </tp>
      <tp t="s">
        <v>#N/A N/A</v>
        <stp/>
        <stp>BDP|13041809953415657825</stp>
        <tr r="H1493" s="2"/>
      </tp>
      <tp t="s">
        <v>#N/A N/A</v>
        <stp/>
        <stp>BDP|15439086074841934067</stp>
        <tr r="E273" s="2"/>
      </tp>
      <tp t="s">
        <v>#N/A N/A</v>
        <stp/>
        <stp>BDP|16030019464856699542</stp>
        <tr r="N380" s="2"/>
      </tp>
      <tp t="s">
        <v>#N/A N/A</v>
        <stp/>
        <stp>BDP|13634623183516759878</stp>
        <tr r="N405" s="2"/>
      </tp>
      <tp t="s">
        <v>#N/A N/A</v>
        <stp/>
        <stp>BDP|14004439125263864295</stp>
        <tr r="F761" s="2"/>
      </tp>
      <tp t="s">
        <v>#N/A N/A</v>
        <stp/>
        <stp>BDP|15996680224870514278</stp>
        <tr r="G1832" s="2"/>
      </tp>
      <tp t="s">
        <v>#N/A N/A</v>
        <stp/>
        <stp>BDS|18105889259692618426</stp>
        <tr r="I448" s="2"/>
      </tp>
      <tp t="s">
        <v>#N/A N/A</v>
        <stp/>
        <stp>BDP|17048042943167766779</stp>
        <tr r="E839" s="2"/>
      </tp>
      <tp t="s">
        <v>#N/A N/A</v>
        <stp/>
        <stp>BDP|10792264743501008457</stp>
        <tr r="M1863" s="2"/>
      </tp>
      <tp t="s">
        <v>#N/A N/A</v>
        <stp/>
        <stp>BDP|17012735280788744338</stp>
        <tr r="H1967" s="2"/>
      </tp>
      <tp t="s">
        <v>#N/A N/A</v>
        <stp/>
        <stp>BDP|11521183396152570898</stp>
        <tr r="N1084" s="2"/>
      </tp>
      <tp t="s">
        <v>#N/A N/A</v>
        <stp/>
        <stp>BDP|16895444209467076621</stp>
        <tr r="Q1804" s="2"/>
      </tp>
      <tp t="s">
        <v>#N/A N/A</v>
        <stp/>
        <stp>BDP|12746072554556797245</stp>
        <tr r="H1888" s="2"/>
      </tp>
      <tp t="s">
        <v>#N/A N/A</v>
        <stp/>
        <stp>BDP|10321623957293851399</stp>
        <tr r="N837" s="2"/>
      </tp>
      <tp t="s">
        <v>#N/A N/A</v>
        <stp/>
        <stp>BDP|18056426733965777912</stp>
        <tr r="F2139" s="2"/>
      </tp>
      <tp t="s">
        <v>#N/A N/A</v>
        <stp/>
        <stp>BDP|10562979518078443394</stp>
        <tr r="N857" s="2"/>
      </tp>
      <tp t="s">
        <v>#N/A N/A</v>
        <stp/>
        <stp>BDP|16698043162427073477</stp>
        <tr r="N980" s="2"/>
      </tp>
      <tp t="s">
        <v>#N/A N/A</v>
        <stp/>
        <stp>BDP|10786775951030307153</stp>
        <tr r="K674" s="2"/>
      </tp>
      <tp t="s">
        <v>#N/A N/A</v>
        <stp/>
        <stp>BDP|17406679514391750271</stp>
        <tr r="O165" s="2"/>
      </tp>
      <tp t="s">
        <v>#N/A N/A</v>
        <stp/>
        <stp>BDP|11751210767752185474</stp>
        <tr r="S5" s="2"/>
      </tp>
      <tp t="s">
        <v>#N/A N/A</v>
        <stp/>
        <stp>BDP|14275821557953543955</stp>
        <tr r="D105" s="2"/>
      </tp>
      <tp t="s">
        <v>#N/A N/A</v>
        <stp/>
        <stp>BDP|10385872696973555108</stp>
        <tr r="N1159" s="2"/>
      </tp>
      <tp t="s">
        <v>#N/A N/A</v>
        <stp/>
        <stp>BDP|12558905402161457949</stp>
        <tr r="M902" s="2"/>
      </tp>
      <tp t="s">
        <v>#N/A N/A</v>
        <stp/>
        <stp>BDP|16026760041484392232</stp>
        <tr r="N1403" s="2"/>
      </tp>
      <tp t="s">
        <v>#N/A N/A</v>
        <stp/>
        <stp>BDS|12648922737042385943</stp>
        <tr r="I2060" s="2"/>
      </tp>
      <tp t="s">
        <v>#N/A N/A</v>
        <stp/>
        <stp>BDP|12678323651804186339</stp>
        <tr r="D1015" s="2"/>
      </tp>
      <tp t="s">
        <v>#N/A N/A</v>
        <stp/>
        <stp>BDP|14893117063676809654</stp>
        <tr r="N1134" s="2"/>
      </tp>
      <tp t="s">
        <v>#N/A N/A</v>
        <stp/>
        <stp>BDP|10539711927012694427</stp>
        <tr r="K1061" s="2"/>
      </tp>
      <tp t="s">
        <v>#N/A N/A</v>
        <stp/>
        <stp>BDP|12809280962345491016</stp>
        <tr r="J798" s="2"/>
      </tp>
      <tp t="s">
        <v>#N/A N/A</v>
        <stp/>
        <stp>BDP|14520804453812926880</stp>
        <tr r="T1659" s="2"/>
      </tp>
      <tp t="s">
        <v>#N/A N/A</v>
        <stp/>
        <stp>BDP|17264108761565546613</stp>
        <tr r="S558" s="2"/>
      </tp>
      <tp t="s">
        <v>#N/A N/A</v>
        <stp/>
        <stp>BDP|14356941806469565735</stp>
        <tr r="D747" s="2"/>
      </tp>
      <tp t="s">
        <v>#N/A N/A</v>
        <stp/>
        <stp>BDP|11104172355472449401</stp>
        <tr r="K1280" s="2"/>
      </tp>
      <tp t="s">
        <v>#N/A N/A</v>
        <stp/>
        <stp>BDP|13631620490747278810</stp>
        <tr r="P880" s="2"/>
      </tp>
      <tp t="s">
        <v>#N/A N/A</v>
        <stp/>
        <stp>BDP|17468638768437107399</stp>
        <tr r="N40" s="2"/>
      </tp>
      <tp t="s">
        <v>#N/A N/A</v>
        <stp/>
        <stp>BDP|16675243875733928392</stp>
        <tr r="J2018" s="2"/>
      </tp>
      <tp t="s">
        <v>#N/A N/A</v>
        <stp/>
        <stp>BDP|18289063915813430923</stp>
        <tr r="J2173" s="2"/>
      </tp>
      <tp t="s">
        <v>#N/A N/A</v>
        <stp/>
        <stp>BDP|16893537112981669082</stp>
        <tr r="Q2164" s="2"/>
      </tp>
      <tp t="s">
        <v>#N/A N/A</v>
        <stp/>
        <stp>BDP|10814257727061858251</stp>
        <tr r="R1238" s="2"/>
      </tp>
      <tp t="s">
        <v>#N/A N/A</v>
        <stp/>
        <stp>BDP|11648350248211917455</stp>
        <tr r="O261" s="2"/>
      </tp>
      <tp t="s">
        <v>#N/A N/A</v>
        <stp/>
        <stp>BDP|11769407647310795209</stp>
        <tr r="D800" s="2"/>
      </tp>
      <tp t="s">
        <v>#N/A N/A</v>
        <stp/>
        <stp>BDP|10191182330994748594</stp>
        <tr r="S667" s="2"/>
      </tp>
      <tp t="s">
        <v>#N/A N/A</v>
        <stp/>
        <stp>BDP|16047701182043760921</stp>
        <tr r="Q1612" s="2"/>
      </tp>
      <tp t="s">
        <v>#N/A N/A</v>
        <stp/>
        <stp>BDP|15006740857125153155</stp>
        <tr r="A710" s="2"/>
      </tp>
      <tp t="s">
        <v>#N/A N/A</v>
        <stp/>
        <stp>BDP|13629023373210070705</stp>
        <tr r="G1074" s="2"/>
      </tp>
      <tp t="s">
        <v>#N/A N/A</v>
        <stp/>
        <stp>BDP|15495949646103236833</stp>
        <tr r="R1931" s="2"/>
      </tp>
      <tp t="s">
        <v>#N/A N/A</v>
        <stp/>
        <stp>BDP|14015122207207573177</stp>
        <tr r="T1605" s="2"/>
      </tp>
      <tp t="s">
        <v>#N/A N/A</v>
        <stp/>
        <stp>BDP|17664469504300045039</stp>
        <tr r="Q161" s="2"/>
      </tp>
      <tp t="s">
        <v>#N/A N/A</v>
        <stp/>
        <stp>BDP|16991747152923011487</stp>
        <tr r="K50" s="2"/>
      </tp>
      <tp t="s">
        <v>#N/A N/A</v>
        <stp/>
        <stp>BDP|14808952082947124199</stp>
        <tr r="H776" s="2"/>
      </tp>
      <tp t="s">
        <v>#N/A N/A</v>
        <stp/>
        <stp>BDP|13216337607356300525</stp>
        <tr r="Q144" s="2"/>
      </tp>
      <tp t="s">
        <v>#N/A N/A</v>
        <stp/>
        <stp>BDP|10347564576471474003</stp>
        <tr r="J1322" s="2"/>
      </tp>
      <tp t="s">
        <v>#N/A N/A</v>
        <stp/>
        <stp>BDP|13382504875252587041</stp>
        <tr r="G1167" s="2"/>
      </tp>
      <tp t="s">
        <v>#N/A N/A</v>
        <stp/>
        <stp>BDP|15120462811676335522</stp>
        <tr r="P1155" s="2"/>
      </tp>
      <tp t="s">
        <v>#N/A N/A</v>
        <stp/>
        <stp>BDP|17492720516545283753</stp>
        <tr r="K1266" s="2"/>
      </tp>
      <tp t="s">
        <v>#N/A N/A</v>
        <stp/>
        <stp>BDP|17649816724839491705</stp>
        <tr r="O1482" s="2"/>
      </tp>
      <tp t="s">
        <v>#N/A N/A</v>
        <stp/>
        <stp>BDP|11371470973171750075</stp>
        <tr r="C1463" s="2"/>
      </tp>
      <tp t="s">
        <v>#N/A N/A</v>
        <stp/>
        <stp>BDP|13698889032029962220</stp>
        <tr r="K1276" s="2"/>
      </tp>
      <tp t="s">
        <v>#N/A N/A</v>
        <stp/>
        <stp>BDP|13454216946065710334</stp>
        <tr r="S1497" s="2"/>
      </tp>
      <tp t="s">
        <v>#N/A N/A</v>
        <stp/>
        <stp>BDP|15856016859132508124</stp>
        <tr r="N471" s="2"/>
      </tp>
      <tp t="s">
        <v>#N/A N/A</v>
        <stp/>
        <stp>BDP|16077315720521585539</stp>
        <tr r="P1429" s="2"/>
      </tp>
      <tp t="s">
        <v>#N/A N/A</v>
        <stp/>
        <stp>BDP|13885239310492949157</stp>
        <tr r="H1503" s="2"/>
      </tp>
      <tp t="s">
        <v>#N/A N/A</v>
        <stp/>
        <stp>BDP|14839497026283513251</stp>
        <tr r="T449" s="2"/>
      </tp>
      <tp t="s">
        <v>#N/A N/A</v>
        <stp/>
        <stp>BDP|14472262667922493160</stp>
        <tr r="F53" s="2"/>
      </tp>
      <tp t="s">
        <v>#N/A N/A</v>
        <stp/>
        <stp>BDP|11365447553425594669</stp>
        <tr r="Q727" s="2"/>
      </tp>
      <tp t="s">
        <v>#N/A N/A</v>
        <stp/>
        <stp>BDP|18031848544475433239</stp>
        <tr r="F2055" s="2"/>
      </tp>
      <tp t="s">
        <v>#N/A N/A</v>
        <stp/>
        <stp>BDP|17199228681898698634</stp>
        <tr r="H2190" s="2"/>
      </tp>
      <tp t="s">
        <v>#N/A N/A</v>
        <stp/>
        <stp>BDP|13720431675952375159</stp>
        <tr r="E1636" s="2"/>
      </tp>
      <tp t="s">
        <v>#N/A N/A</v>
        <stp/>
        <stp>BDP|14308237545918033936</stp>
        <tr r="M772" s="2"/>
      </tp>
      <tp t="s">
        <v>#N/A N/A</v>
        <stp/>
        <stp>BDP|17294951240208278136</stp>
        <tr r="J727" s="2"/>
      </tp>
      <tp t="s">
        <v>#N/A N/A</v>
        <stp/>
        <stp>BDP|15108560223706183734</stp>
        <tr r="O576" s="2"/>
      </tp>
      <tp t="s">
        <v>#N/A N/A</v>
        <stp/>
        <stp>BDP|15482766272297472120</stp>
        <tr r="G908" s="2"/>
      </tp>
      <tp t="s">
        <v>#N/A N/A</v>
        <stp/>
        <stp>BDP|12537059608599862862</stp>
        <tr r="A1953" s="2"/>
      </tp>
      <tp t="s">
        <v>#N/A N/A</v>
        <stp/>
        <stp>BDP|14876288766507910490</stp>
        <tr r="G1379" s="2"/>
      </tp>
      <tp t="s">
        <v>#N/A N/A</v>
        <stp/>
        <stp>BDP|16798531294708469122</stp>
        <tr r="D1417" s="2"/>
      </tp>
      <tp t="s">
        <v>#N/A N/A</v>
        <stp/>
        <stp>BDP|12800761192589266688</stp>
        <tr r="J1992" s="2"/>
      </tp>
      <tp t="s">
        <v>#N/A N/A</v>
        <stp/>
        <stp>BDP|11203408229400518487</stp>
        <tr r="J2243" s="2"/>
      </tp>
      <tp t="s">
        <v>#N/A N/A</v>
        <stp/>
        <stp>BDP|17929662235270985150</stp>
        <tr r="D585" s="2"/>
      </tp>
      <tp t="s">
        <v>#N/A N/A</v>
        <stp/>
        <stp>BDP|17411570267255503279</stp>
        <tr r="O97" s="2"/>
      </tp>
      <tp t="s">
        <v>#N/A N/A</v>
        <stp/>
        <stp>BDP|13102367048906943100</stp>
        <tr r="N194" s="2"/>
      </tp>
      <tp t="s">
        <v>#N/A N/A</v>
        <stp/>
        <stp>BDP|15273312260940704326</stp>
        <tr r="H128" s="2"/>
      </tp>
      <tp t="s">
        <v>#N/A N/A</v>
        <stp/>
        <stp>BDP|15251545977170113469</stp>
        <tr r="F1908" s="2"/>
      </tp>
      <tp t="s">
        <v>#N/A N/A</v>
        <stp/>
        <stp>BDP|11053678214430098559</stp>
        <tr r="P167" s="2"/>
      </tp>
      <tp t="s">
        <v>#N/A N/A</v>
        <stp/>
        <stp>BDP|11827559615066726090</stp>
        <tr r="N1785" s="2"/>
      </tp>
      <tp t="s">
        <v>#N/A N/A</v>
        <stp/>
        <stp>BDP|11065989386630156395</stp>
        <tr r="M236" s="2"/>
      </tp>
      <tp t="s">
        <v>#N/A N/A</v>
        <stp/>
        <stp>BDP|13265000835505420659</stp>
        <tr r="M44" s="2"/>
      </tp>
      <tp t="s">
        <v>#N/A N/A</v>
        <stp/>
        <stp>BDP|13392330941106575127</stp>
        <tr r="R416" s="2"/>
      </tp>
      <tp t="s">
        <v>#N/A N/A</v>
        <stp/>
        <stp>BDP|15583099591487954828</stp>
        <tr r="T1239" s="2"/>
      </tp>
      <tp t="s">
        <v>#N/A N/A</v>
        <stp/>
        <stp>BDP|13460099587119908151</stp>
        <tr r="S1374" s="2"/>
      </tp>
      <tp t="s">
        <v>#N/A N/A</v>
        <stp/>
        <stp>BDP|16093644025280160166</stp>
        <tr r="S1890" s="2"/>
      </tp>
      <tp t="s">
        <v>#N/A N/A</v>
        <stp/>
        <stp>BDP|14512068194828684676</stp>
        <tr r="T1388" s="2"/>
      </tp>
      <tp t="s">
        <v>#N/A N/A</v>
        <stp/>
        <stp>BDP|16092336654415733667</stp>
        <tr r="Q776" s="2"/>
      </tp>
      <tp t="s">
        <v>#N/A N/A</v>
        <stp/>
        <stp>BDP|14330428241715160275</stp>
        <tr r="D223" s="2"/>
      </tp>
      <tp t="s">
        <v>#N/A N/A</v>
        <stp/>
        <stp>BDP|15576771090199712138</stp>
        <tr r="C305" s="2"/>
      </tp>
      <tp t="s">
        <v>#N/A N/A</v>
        <stp/>
        <stp>BDP|13130363332877515767</stp>
        <tr r="K1013" s="2"/>
      </tp>
      <tp t="s">
        <v>#N/A N/A</v>
        <stp/>
        <stp>BDP|13470145157372259639</stp>
        <tr r="S1779" s="2"/>
      </tp>
      <tp t="s">
        <v>#N/A N/A</v>
        <stp/>
        <stp>BDP|11780472902101317777</stp>
        <tr r="G1872" s="2"/>
      </tp>
      <tp t="s">
        <v>#N/A N/A</v>
        <stp/>
        <stp>BDP|10232647020734289326</stp>
        <tr r="M1760" s="2"/>
      </tp>
      <tp t="s">
        <v>#N/A N/A</v>
        <stp/>
        <stp>BDP|10807121442720999672</stp>
        <tr r="N2056" s="2"/>
      </tp>
      <tp t="s">
        <v>#N/A N/A</v>
        <stp/>
        <stp>BDS|14159498328228233971</stp>
        <tr r="I591" s="2"/>
      </tp>
      <tp t="s">
        <v>#N/A N/A</v>
        <stp/>
        <stp>BDP|15037768330063428144</stp>
        <tr r="J1476" s="2"/>
      </tp>
      <tp t="s">
        <v>#N/A N/A</v>
        <stp/>
        <stp>BDP|14794149616122584564</stp>
        <tr r="O898" s="2"/>
      </tp>
      <tp t="s">
        <v>#N/A N/A</v>
        <stp/>
        <stp>BDP|10755798358247242626</stp>
        <tr r="E990" s="2"/>
      </tp>
      <tp t="s">
        <v>#N/A N/A</v>
        <stp/>
        <stp>BDP|17430100362234555758</stp>
        <tr r="T722" s="2"/>
      </tp>
      <tp t="s">
        <v>#N/A N/A</v>
        <stp/>
        <stp>BDP|12339687569413789234</stp>
        <tr r="E56" s="2"/>
      </tp>
      <tp t="s">
        <v>#N/A N/A</v>
        <stp/>
        <stp>BDP|13730386644842915540</stp>
        <tr r="A409" s="2"/>
      </tp>
      <tp t="s">
        <v>#N/A N/A</v>
        <stp/>
        <stp>BDP|10666488428805622068</stp>
        <tr r="D1461" s="2"/>
      </tp>
      <tp t="s">
        <v>#N/A N/A</v>
        <stp/>
        <stp>BDP|11410534670639487957</stp>
        <tr r="T1133" s="2"/>
      </tp>
      <tp t="s">
        <v>#N/A N/A</v>
        <stp/>
        <stp>BDP|18396788694766809315</stp>
        <tr r="G1695" s="2"/>
      </tp>
      <tp t="s">
        <v>#N/A N/A</v>
        <stp/>
        <stp>BDP|16444694472383013790</stp>
        <tr r="F792" s="2"/>
      </tp>
      <tp t="s">
        <v>#N/A N/A</v>
        <stp/>
        <stp>BDP|17130523120235218671</stp>
        <tr r="O585" s="2"/>
      </tp>
      <tp t="s">
        <v>#N/A N/A</v>
        <stp/>
        <stp>BDP|17698544915230448059</stp>
        <tr r="P1606" s="2"/>
      </tp>
      <tp t="s">
        <v>#N/A N/A</v>
        <stp/>
        <stp>BDP|12527451677141120302</stp>
        <tr r="M1667" s="2"/>
      </tp>
      <tp t="s">
        <v>#N/A N/A</v>
        <stp/>
        <stp>BDP|18279132872804495916</stp>
        <tr r="P474" s="2"/>
      </tp>
      <tp t="s">
        <v>#N/A N/A</v>
        <stp/>
        <stp>BDP|11826242587251926942</stp>
        <tr r="K131" s="2"/>
      </tp>
      <tp t="s">
        <v>#N/A N/A</v>
        <stp/>
        <stp>BDP|12250799421855841142</stp>
        <tr r="T377" s="2"/>
      </tp>
      <tp t="s">
        <v>#N/A N/A</v>
        <stp/>
        <stp>BDP|13135134657246537264</stp>
        <tr r="Q1524" s="2"/>
      </tp>
      <tp t="s">
        <v>#N/A N/A</v>
        <stp/>
        <stp>BDP|14024075675788428800</stp>
        <tr r="A731" s="2"/>
      </tp>
      <tp t="s">
        <v>#N/A N/A</v>
        <stp/>
        <stp>BDP|10530498916972462485</stp>
        <tr r="C16" s="2"/>
      </tp>
      <tp t="s">
        <v>#N/A N/A</v>
        <stp/>
        <stp>BDP|15969495258934934378</stp>
        <tr r="H1253" s="2"/>
      </tp>
      <tp t="s">
        <v>#N/A N/A</v>
        <stp/>
        <stp>BDP|14202509562974507031</stp>
        <tr r="H1002" s="2"/>
      </tp>
      <tp t="s">
        <v>#N/A N/A</v>
        <stp/>
        <stp>BDP|11065966103329417273</stp>
        <tr r="M1689" s="2"/>
      </tp>
      <tp t="s">
        <v>#N/A N/A</v>
        <stp/>
        <stp>BDP|10374222241774061165</stp>
        <tr r="M688" s="2"/>
      </tp>
      <tp t="s">
        <v>#N/A N/A</v>
        <stp/>
        <stp>BDP|11223775562542950186</stp>
        <tr r="O1383" s="2"/>
      </tp>
      <tp t="s">
        <v>#N/A N/A</v>
        <stp/>
        <stp>BDP|14808774098051500844</stp>
        <tr r="F758" s="2"/>
      </tp>
      <tp t="s">
        <v>#N/A N/A</v>
        <stp/>
        <stp>BDP|15275168865259296854</stp>
        <tr r="S2044" s="2"/>
      </tp>
      <tp t="s">
        <v>#N/A N/A</v>
        <stp/>
        <stp>BDP|13880748742494826706</stp>
        <tr r="M2054" s="2"/>
      </tp>
      <tp t="s">
        <v>#N/A N/A</v>
        <stp/>
        <stp>BDP|11272220973116068150</stp>
        <tr r="P1091" s="2"/>
      </tp>
      <tp t="s">
        <v>#N/A N/A</v>
        <stp/>
        <stp>BDP|16291362077092085354</stp>
        <tr r="H71" s="2"/>
      </tp>
      <tp t="s">
        <v>#N/A N/A</v>
        <stp/>
        <stp>BDP|16354654945563265475</stp>
        <tr r="Q228" s="2"/>
      </tp>
      <tp t="s">
        <v>#N/A N/A</v>
        <stp/>
        <stp>BDP|14462265985309543443</stp>
        <tr r="G2130" s="2"/>
      </tp>
      <tp t="s">
        <v>#N/A N/A</v>
        <stp/>
        <stp>BDP|15557947503406659924</stp>
        <tr r="H80" s="2"/>
      </tp>
      <tp t="s">
        <v>#N/A N/A</v>
        <stp/>
        <stp>BDP|17422306349542250193</stp>
        <tr r="C337" s="2"/>
      </tp>
      <tp t="s">
        <v>#N/A N/A</v>
        <stp/>
        <stp>BDP|17622464944467239306</stp>
        <tr r="J1110" s="2"/>
      </tp>
      <tp t="s">
        <v>#N/A N/A</v>
        <stp/>
        <stp>BDP|13770024953485367036</stp>
        <tr r="Q1712" s="2"/>
      </tp>
      <tp t="s">
        <v>#N/A N/A</v>
        <stp/>
        <stp>BDP|17311857656089769017</stp>
        <tr r="E504" s="2"/>
      </tp>
      <tp t="s">
        <v>#N/A N/A</v>
        <stp/>
        <stp>BDP|15373654176876194175</stp>
        <tr r="H1191" s="2"/>
      </tp>
      <tp t="s">
        <v>#N/A N/A</v>
        <stp/>
        <stp>BDP|10972417640352601184</stp>
        <tr r="D287" s="2"/>
      </tp>
      <tp t="s">
        <v>#N/A N/A</v>
        <stp/>
        <stp>BDP|12704111971143149403</stp>
        <tr r="M2121" s="2"/>
      </tp>
      <tp t="s">
        <v>#N/A N/A</v>
        <stp/>
        <stp>BDP|14226619110097653738</stp>
        <tr r="A607" s="2"/>
      </tp>
      <tp t="s">
        <v>#N/A N/A</v>
        <stp/>
        <stp>BDP|12789559867386321406</stp>
        <tr r="H1465" s="2"/>
      </tp>
      <tp t="s">
        <v>#N/A N/A</v>
        <stp/>
        <stp>BDP|12170036154751884588</stp>
        <tr r="P1557" s="2"/>
      </tp>
      <tp t="s">
        <v>#N/A N/A</v>
        <stp/>
        <stp>BDP|16764711829245064596</stp>
        <tr r="K134" s="2"/>
      </tp>
      <tp t="s">
        <v>#N/A N/A</v>
        <stp/>
        <stp>BDP|12002434445507578653</stp>
        <tr r="M1413" s="2"/>
      </tp>
      <tp t="s">
        <v>#N/A N/A</v>
        <stp/>
        <stp>BDP|16165234372395556531</stp>
        <tr r="T1485" s="2"/>
      </tp>
      <tp t="s">
        <v>#N/A N/A</v>
        <stp/>
        <stp>BDP|14219470751494131233</stp>
        <tr r="T773" s="2"/>
      </tp>
      <tp t="s">
        <v>#N/A N/A</v>
        <stp/>
        <stp>BDP|15416352860654266757</stp>
        <tr r="N101" s="2"/>
      </tp>
      <tp t="s">
        <v>#N/A N/A</v>
        <stp/>
        <stp>BDP|17277651951806734179</stp>
        <tr r="P1070" s="2"/>
      </tp>
      <tp t="s">
        <v>#N/A N/A</v>
        <stp/>
        <stp>BDP|16323875531167660954</stp>
        <tr r="G1602" s="2"/>
      </tp>
      <tp t="s">
        <v>#N/A N/A</v>
        <stp/>
        <stp>BDP|10371552032141657445</stp>
        <tr r="M296" s="2"/>
      </tp>
      <tp t="s">
        <v>#N/A N/A</v>
        <stp/>
        <stp>BDP|14956296283014047953</stp>
        <tr r="M670" s="2"/>
      </tp>
      <tp t="s">
        <v>#N/A N/A</v>
        <stp/>
        <stp>BDP|10449728271014705497</stp>
        <tr r="T1207" s="2"/>
      </tp>
      <tp t="s">
        <v>#N/A N/A</v>
        <stp/>
        <stp>BDP|17335449164485808025</stp>
        <tr r="M1354" s="2"/>
      </tp>
      <tp t="s">
        <v>#N/A N/A</v>
        <stp/>
        <stp>BDP|10639800128898270256</stp>
        <tr r="N1671" s="2"/>
      </tp>
      <tp t="s">
        <v>#N/A N/A</v>
        <stp/>
        <stp>BDP|11581171330095859636</stp>
        <tr r="R852" s="2"/>
      </tp>
      <tp t="s">
        <v>#N/A N/A</v>
        <stp/>
        <stp>BDP|12628640264124685692</stp>
        <tr r="F433" s="2"/>
      </tp>
      <tp t="s">
        <v>#N/A N/A</v>
        <stp/>
        <stp>BDP|16635176672148348899</stp>
        <tr r="F1164" s="2"/>
      </tp>
      <tp t="s">
        <v>#N/A N/A</v>
        <stp/>
        <stp>BDP|15385682700185564674</stp>
        <tr r="N1039" s="2"/>
      </tp>
      <tp t="s">
        <v>#N/A N/A</v>
        <stp/>
        <stp>BDP|13384339957816989378</stp>
        <tr r="N1360" s="2"/>
      </tp>
      <tp t="s">
        <v>#N/A N/A</v>
        <stp/>
        <stp>BDP|11295242305561241283</stp>
        <tr r="C1643" s="2"/>
      </tp>
      <tp t="s">
        <v>#N/A N/A</v>
        <stp/>
        <stp>BDP|17374060172572881263</stp>
        <tr r="O2139" s="2"/>
      </tp>
      <tp t="s">
        <v>#N/A N/A</v>
        <stp/>
        <stp>BDP|18176946219680086057</stp>
        <tr r="D1306" s="2"/>
      </tp>
      <tp t="s">
        <v>#N/A N/A</v>
        <stp/>
        <stp>BDP|15916219996636548822</stp>
        <tr r="E39" s="2"/>
      </tp>
      <tp t="s">
        <v>#N/A N/A</v>
        <stp/>
        <stp>BDP|14281792734479700916</stp>
        <tr r="J424" s="2"/>
      </tp>
      <tp t="s">
        <v>#N/A N/A</v>
        <stp/>
        <stp>BDP|16147651640396804259</stp>
        <tr r="A1643" s="2"/>
      </tp>
      <tp t="s">
        <v>#N/A N/A</v>
        <stp/>
        <stp>BDP|14147987792492186630</stp>
        <tr r="N1712" s="2"/>
      </tp>
      <tp t="s">
        <v>#N/A N/A</v>
        <stp/>
        <stp>BDP|16902137890528047639</stp>
        <tr r="C2038" s="2"/>
      </tp>
      <tp t="s">
        <v>#N/A N/A</v>
        <stp/>
        <stp>BDP|17502616008998594909</stp>
        <tr r="Q1900" s="2"/>
      </tp>
      <tp t="s">
        <v>#N/A N/A</v>
        <stp/>
        <stp>BDP|16639421667796837229</stp>
        <tr r="S892" s="2"/>
      </tp>
      <tp t="s">
        <v>#N/A N/A</v>
        <stp/>
        <stp>BDP|14777283202850713632</stp>
        <tr r="J973" s="2"/>
      </tp>
      <tp t="s">
        <v>#N/A N/A</v>
        <stp/>
        <stp>BDP|10704457244848960866</stp>
        <tr r="N1029" s="2"/>
      </tp>
      <tp t="s">
        <v>#N/A N/A</v>
        <stp/>
        <stp>BDP|17092269727595183290</stp>
        <tr r="J1922" s="2"/>
      </tp>
      <tp t="s">
        <v>#N/A N/A</v>
        <stp/>
        <stp>BDP|10603799044717115432</stp>
        <tr r="S2179" s="2"/>
      </tp>
      <tp t="s">
        <v>#N/A N/A</v>
        <stp/>
        <stp>BDP|12260219371020332781</stp>
        <tr r="K64" s="2"/>
      </tp>
      <tp t="s">
        <v>#N/A N/A</v>
        <stp/>
        <stp>BDP|16715311548851216054</stp>
        <tr r="E967" s="2"/>
      </tp>
      <tp t="s">
        <v>#N/A N/A</v>
        <stp/>
        <stp>BDP|11775499034740735646</stp>
        <tr r="C1056" s="2"/>
      </tp>
      <tp t="s">
        <v>#N/A N/A</v>
        <stp/>
        <stp>BDP|12336656412441445499</stp>
        <tr r="C1647" s="2"/>
      </tp>
      <tp t="s">
        <v>#N/A N/A</v>
        <stp/>
        <stp>BDP|12525759477336987473</stp>
        <tr r="O1878" s="2"/>
      </tp>
      <tp t="s">
        <v>#N/A N/A</v>
        <stp/>
        <stp>BDP|13406108323139690983</stp>
        <tr r="K1624" s="2"/>
      </tp>
      <tp t="s">
        <v>#N/A N/A</v>
        <stp/>
        <stp>BDP|13325487504456315153</stp>
        <tr r="R295" s="2"/>
      </tp>
      <tp t="s">
        <v>#N/A N/A</v>
        <stp/>
        <stp>BDP|14807022200565003134</stp>
        <tr r="K331" s="2"/>
      </tp>
      <tp t="s">
        <v>#N/A N/A</v>
        <stp/>
        <stp>BDP|11112345436335237487</stp>
        <tr r="H472" s="2"/>
      </tp>
      <tp t="s">
        <v>#N/A N/A</v>
        <stp/>
        <stp>BDP|18353244599682362143</stp>
        <tr r="P1166" s="2"/>
      </tp>
      <tp t="s">
        <v>#N/A N/A</v>
        <stp/>
        <stp>BDP|10888753151836472416</stp>
        <tr r="H483" s="2"/>
      </tp>
      <tp t="s">
        <v>#N/A N/A</v>
        <stp/>
        <stp>BDP|18193956326491919228</stp>
        <tr r="K2234" s="2"/>
      </tp>
      <tp t="s">
        <v>#N/A N/A</v>
        <stp/>
        <stp>BDP|18291147164949377682</stp>
        <tr r="T1358" s="2"/>
      </tp>
      <tp t="s">
        <v>#N/A N/A</v>
        <stp/>
        <stp>BDP|11943714176185153465</stp>
        <tr r="R1806" s="2"/>
      </tp>
      <tp t="s">
        <v>#N/A N/A</v>
        <stp/>
        <stp>BDP|18439948914909858956</stp>
        <tr r="N831" s="2"/>
      </tp>
      <tp t="s">
        <v>#N/A N/A</v>
        <stp/>
        <stp>BDP|16917433322109221930</stp>
        <tr r="S1344" s="2"/>
      </tp>
      <tp t="s">
        <v>#N/A N/A</v>
        <stp/>
        <stp>BDP|15923525135012312147</stp>
        <tr r="Q1856" s="2"/>
      </tp>
      <tp t="s">
        <v>#N/A N/A</v>
        <stp/>
        <stp>BDP|12403193264287439243</stp>
        <tr r="O1473" s="2"/>
      </tp>
      <tp t="s">
        <v>#N/A N/A</v>
        <stp/>
        <stp>BDP|13711505738292136775</stp>
        <tr r="G519" s="2"/>
      </tp>
      <tp t="s">
        <v>#N/A N/A</v>
        <stp/>
        <stp>BDP|15622065301321938417</stp>
        <tr r="M2255" s="2"/>
      </tp>
      <tp t="s">
        <v>#N/A N/A</v>
        <stp/>
        <stp>BDP|13782185119371673299</stp>
        <tr r="O1281" s="2"/>
      </tp>
      <tp t="s">
        <v>#N/A N/A</v>
        <stp/>
        <stp>BDP|13323612726374435390</stp>
        <tr r="M1195" s="2"/>
      </tp>
      <tp t="s">
        <v>#N/A N/A</v>
        <stp/>
        <stp>BDP|11068344799033572812</stp>
        <tr r="J1015" s="2"/>
      </tp>
      <tp t="s">
        <v>#N/A N/A</v>
        <stp/>
        <stp>BDP|17399728238387723477</stp>
        <tr r="T473" s="2"/>
      </tp>
      <tp t="s">
        <v>#N/A N/A</v>
        <stp/>
        <stp>BDP|17410076725975702089</stp>
        <tr r="F2056" s="2"/>
      </tp>
      <tp t="s">
        <v>#N/A N/A</v>
        <stp/>
        <stp>BDP|14858481690071807812</stp>
        <tr r="T1019" s="2"/>
      </tp>
      <tp t="s">
        <v>#N/A N/A</v>
        <stp/>
        <stp>BDP|15124775401174701690</stp>
        <tr r="M1889" s="2"/>
      </tp>
      <tp t="s">
        <v>#N/A N/A</v>
        <stp/>
        <stp>BDP|10100383131517141704</stp>
        <tr r="F1243" s="2"/>
      </tp>
      <tp t="s">
        <v>#N/A N/A</v>
        <stp/>
        <stp>BDP|18051507990091071593</stp>
        <tr r="K711" s="2"/>
      </tp>
      <tp t="s">
        <v>#N/A N/A</v>
        <stp/>
        <stp>BDP|11406188265522885483</stp>
        <tr r="O1608" s="2"/>
      </tp>
      <tp t="s">
        <v>#N/A N/A</v>
        <stp/>
        <stp>BDP|11647766817233806465</stp>
        <tr r="M1187" s="2"/>
      </tp>
      <tp t="s">
        <v>#N/A N/A</v>
        <stp/>
        <stp>BDP|12577364617600480098</stp>
        <tr r="K203" s="2"/>
      </tp>
      <tp t="s">
        <v>#N/A N/A</v>
        <stp/>
        <stp>BDP|13659569481997905910</stp>
        <tr r="K81" s="2"/>
      </tp>
      <tp t="s">
        <v>#N/A N/A</v>
        <stp/>
        <stp>BDP|12902567031664777003</stp>
        <tr r="M864" s="2"/>
      </tp>
      <tp t="s">
        <v>#N/A N/A</v>
        <stp/>
        <stp>BDP|11568747326324915077</stp>
        <tr r="O1119" s="2"/>
      </tp>
      <tp t="s">
        <v>#N/A N/A</v>
        <stp/>
        <stp>BDP|17517533223798815840</stp>
        <tr r="F298" s="2"/>
      </tp>
      <tp t="s">
        <v>#N/A N/A</v>
        <stp/>
        <stp>BDP|11888169647200016406</stp>
        <tr r="A479" s="2"/>
      </tp>
      <tp t="s">
        <v>#N/A N/A</v>
        <stp/>
        <stp>BDP|15473480078411954742</stp>
        <tr r="A483" s="2"/>
      </tp>
      <tp t="s">
        <v>#N/A N/A</v>
        <stp/>
        <stp>BDP|14002791659524956205</stp>
        <tr r="M1166" s="2"/>
      </tp>
      <tp t="s">
        <v>#N/A N/A</v>
        <stp/>
        <stp>BDP|12856049104804575647</stp>
        <tr r="O1521" s="2"/>
      </tp>
      <tp t="s">
        <v>#N/A N/A</v>
        <stp/>
        <stp>BDP|14590039046647998714</stp>
        <tr r="R1979" s="2"/>
      </tp>
      <tp t="s">
        <v>#N/A N/A</v>
        <stp/>
        <stp>BDP|15823452774157128108</stp>
        <tr r="M2152" s="2"/>
      </tp>
      <tp t="s">
        <v>#N/A N/A</v>
        <stp/>
        <stp>BDP|15448572345542607688</stp>
        <tr r="P2051" s="2"/>
      </tp>
      <tp t="s">
        <v>#N/A N/A</v>
        <stp/>
        <stp>BDP|11126177455500399582</stp>
        <tr r="G1119" s="2"/>
      </tp>
      <tp t="s">
        <v>#N/A N/A</v>
        <stp/>
        <stp>BDP|17861364415567299215</stp>
        <tr r="S1676" s="2"/>
      </tp>
      <tp t="s">
        <v>#N/A N/A</v>
        <stp/>
        <stp>BDP|16552914193620944668</stp>
        <tr r="J844" s="2"/>
      </tp>
      <tp t="s">
        <v>#N/A N/A</v>
        <stp/>
        <stp>BDP|18133799486116552135</stp>
        <tr r="E1397" s="2"/>
      </tp>
      <tp t="s">
        <v>#N/A N/A</v>
        <stp/>
        <stp>BDP|17587211839774438216</stp>
        <tr r="G2249" s="2"/>
      </tp>
      <tp t="s">
        <v>#N/A N/A</v>
        <stp/>
        <stp>BDS|13602425486298182785</stp>
        <tr r="I906" s="2"/>
      </tp>
      <tp t="s">
        <v>#N/A N/A</v>
        <stp/>
        <stp>BDP|10993635965154560421</stp>
        <tr r="D1247" s="2"/>
      </tp>
      <tp t="s">
        <v>#N/A N/A</v>
        <stp/>
        <stp>BDP|14518291050957353476</stp>
        <tr r="J1493" s="2"/>
      </tp>
      <tp t="s">
        <v>#N/A N/A</v>
        <stp/>
        <stp>BDP|10718652219975345204</stp>
        <tr r="M1010" s="2"/>
      </tp>
      <tp t="s">
        <v>#N/A N/A</v>
        <stp/>
        <stp>BDP|14978527709975202483</stp>
        <tr r="D1522" s="2"/>
      </tp>
      <tp t="s">
        <v>#N/A N/A</v>
        <stp/>
        <stp>BDP|15557932463872811854</stp>
        <tr r="K2103" s="2"/>
      </tp>
      <tp t="s">
        <v>#N/A N/A</v>
        <stp/>
        <stp>BDP|14393799142103086403</stp>
        <tr r="K1875" s="2"/>
      </tp>
      <tp t="s">
        <v>#N/A N/A</v>
        <stp/>
        <stp>BDP|16256286044992778217</stp>
        <tr r="N643" s="2"/>
      </tp>
      <tp t="s">
        <v>#N/A N/A</v>
        <stp/>
        <stp>BDP|14663043049917024734</stp>
        <tr r="Q480" s="2"/>
      </tp>
      <tp t="s">
        <v>#N/A N/A</v>
        <stp/>
        <stp>BDP|10509113561591446698</stp>
        <tr r="P238" s="2"/>
      </tp>
      <tp t="s">
        <v>#N/A N/A</v>
        <stp/>
        <stp>BDP|11625696678420632099</stp>
        <tr r="A2137" s="2"/>
      </tp>
      <tp t="s">
        <v>#N/A N/A</v>
        <stp/>
        <stp>BDP|11285329224101881141</stp>
        <tr r="Q641" s="2"/>
      </tp>
      <tp t="s">
        <v>#N/A N/A</v>
        <stp/>
        <stp>BDP|12839318901119651866</stp>
        <tr r="S2194" s="2"/>
      </tp>
      <tp t="s">
        <v>#N/A N/A</v>
        <stp/>
        <stp>BDP|17053209365414953744</stp>
        <tr r="H2213" s="2"/>
      </tp>
      <tp t="s">
        <v>#N/A N/A</v>
        <stp/>
        <stp>BDP|18224879808707701724</stp>
        <tr r="R1013" s="2"/>
      </tp>
      <tp t="s">
        <v>#N/A N/A</v>
        <stp/>
        <stp>BDP|13144383340335051119</stp>
        <tr r="H245" s="2"/>
      </tp>
      <tp t="s">
        <v>#N/A N/A</v>
        <stp/>
        <stp>BDP|17694571724755923545</stp>
        <tr r="T1644" s="2"/>
      </tp>
      <tp t="s">
        <v>#N/A N/A</v>
        <stp/>
        <stp>BDP|18096713128414053913</stp>
        <tr r="J1292" s="2"/>
      </tp>
      <tp t="s">
        <v>#N/A N/A</v>
        <stp/>
        <stp>BDP|13341054313942892058</stp>
        <tr r="K901" s="2"/>
      </tp>
      <tp t="s">
        <v>#N/A N/A</v>
        <stp/>
        <stp>BDP|17426289733253623513</stp>
        <tr r="D1260" s="2"/>
      </tp>
      <tp t="s">
        <v>#N/A N/A</v>
        <stp/>
        <stp>BDP|17119265967993875005</stp>
        <tr r="C86" s="2"/>
      </tp>
      <tp t="s">
        <v>#N/A N/A</v>
        <stp/>
        <stp>BDP|17639129770758854947</stp>
        <tr r="A735" s="2"/>
      </tp>
      <tp t="s">
        <v>#N/A N/A</v>
        <stp/>
        <stp>BDP|13880140671624045155</stp>
        <tr r="F133" s="2"/>
      </tp>
      <tp t="s">
        <v>#N/A N/A</v>
        <stp/>
        <stp>BDP|12828773836144566249</stp>
        <tr r="E1403" s="2"/>
      </tp>
      <tp t="s">
        <v>#N/A N/A</v>
        <stp/>
        <stp>BDP|15833489743096272393</stp>
        <tr r="F285" s="2"/>
      </tp>
      <tp t="s">
        <v>#N/A N/A</v>
        <stp/>
        <stp>BDP|12267930368579956488</stp>
        <tr r="O2219" s="2"/>
      </tp>
      <tp t="s">
        <v>#N/A N/A</v>
        <stp/>
        <stp>BDP|10238489833661677675</stp>
        <tr r="S245" s="2"/>
      </tp>
      <tp t="s">
        <v>#N/A N/A</v>
        <stp/>
        <stp>BDP|15201724970436088386</stp>
        <tr r="S1171" s="2"/>
      </tp>
      <tp t="s">
        <v>#N/A N/A</v>
        <stp/>
        <stp>BDP|18278389575715041970</stp>
        <tr r="G1146" s="2"/>
      </tp>
      <tp t="s">
        <v>#N/A N/A</v>
        <stp/>
        <stp>BDP|16148249678017646434</stp>
        <tr r="N334" s="2"/>
      </tp>
      <tp t="s">
        <v>#N/A N/A</v>
        <stp/>
        <stp>BDP|10416991288983821257</stp>
        <tr r="K588" s="2"/>
      </tp>
      <tp t="s">
        <v>#N/A N/A</v>
        <stp/>
        <stp>BDP|10789343780019324285</stp>
        <tr r="C1395" s="2"/>
      </tp>
      <tp t="s">
        <v>#N/A N/A</v>
        <stp/>
        <stp>BDP|12996281392530852934</stp>
        <tr r="M1869" s="2"/>
      </tp>
      <tp t="s">
        <v>#N/A N/A</v>
        <stp/>
        <stp>BDP|13722031642931731695</stp>
        <tr r="G1686" s="2"/>
      </tp>
      <tp t="s">
        <v>#N/A N/A</v>
        <stp/>
        <stp>BDP|18117303078528686473</stp>
        <tr r="Q1293" s="2"/>
      </tp>
      <tp t="s">
        <v>#N/A N/A</v>
        <stp/>
        <stp>BDP|13926156551007378060</stp>
        <tr r="N27" s="2"/>
      </tp>
      <tp t="s">
        <v>#N/A N/A</v>
        <stp/>
        <stp>BDP|14417730769433336655</stp>
        <tr r="K644" s="2"/>
      </tp>
      <tp t="s">
        <v>#N/A N/A</v>
        <stp/>
        <stp>BDP|13009489127460698517</stp>
        <tr r="C1658" s="2"/>
      </tp>
      <tp t="s">
        <v>#N/A N/A</v>
        <stp/>
        <stp>BDP|10851761187746809991</stp>
        <tr r="F171" s="2"/>
      </tp>
      <tp t="s">
        <v>#N/A N/A</v>
        <stp/>
        <stp>BDS|11006987336108646330</stp>
        <tr r="I1417" s="2"/>
      </tp>
      <tp t="s">
        <v>#N/A N/A</v>
        <stp/>
        <stp>BDP|16072583641777931082</stp>
        <tr r="F1478" s="2"/>
      </tp>
      <tp t="s">
        <v>#N/A N/A</v>
        <stp/>
        <stp>BDS|14221532614690852062</stp>
        <tr r="I561" s="2"/>
      </tp>
      <tp t="s">
        <v>#N/A N/A</v>
        <stp/>
        <stp>BDP|14127563477697102196</stp>
        <tr r="M183" s="2"/>
      </tp>
      <tp t="s">
        <v>#N/A N/A</v>
        <stp/>
        <stp>BDP|17877420079460359487</stp>
        <tr r="F1978" s="2"/>
      </tp>
      <tp t="s">
        <v>#N/A N/A</v>
        <stp/>
        <stp>BDP|12607370021310943316</stp>
        <tr r="P2034" s="2"/>
      </tp>
      <tp t="s">
        <v>#N/A N/A</v>
        <stp/>
        <stp>BDP|18017185282902395315</stp>
        <tr r="Q230" s="2"/>
      </tp>
      <tp t="s">
        <v>#N/A N/A</v>
        <stp/>
        <stp>BDP|14917615750266865181</stp>
        <tr r="N1975" s="2"/>
      </tp>
      <tp t="s">
        <v>#N/A N/A</v>
        <stp/>
        <stp>BDP|15703286571058701817</stp>
        <tr r="E128" s="2"/>
      </tp>
      <tp t="s">
        <v>#N/A N/A</v>
        <stp/>
        <stp>BDP|11865550626690716641</stp>
        <tr r="Q1529" s="2"/>
      </tp>
      <tp t="s">
        <v>#N/A N/A</v>
        <stp/>
        <stp>BDP|15872618430390486054</stp>
        <tr r="N590" s="2"/>
      </tp>
      <tp t="s">
        <v>#N/A N/A</v>
        <stp/>
        <stp>BDP|15568227036044857014</stp>
        <tr r="P783" s="2"/>
      </tp>
      <tp t="s">
        <v>#N/A N/A</v>
        <stp/>
        <stp>BDP|15372605834980987063</stp>
        <tr r="O1801" s="2"/>
      </tp>
      <tp t="s">
        <v>#N/A N/A</v>
        <stp/>
        <stp>BDP|14300562189510677920</stp>
        <tr r="R452" s="2"/>
      </tp>
      <tp t="s">
        <v>#N/A N/A</v>
        <stp/>
        <stp>BDP|10422123379522443430</stp>
        <tr r="J695" s="2"/>
      </tp>
      <tp t="s">
        <v>#N/A N/A</v>
        <stp/>
        <stp>BDS|11157590831901320619</stp>
        <tr r="I1493" s="2"/>
      </tp>
      <tp t="s">
        <v>#N/A N/A</v>
        <stp/>
        <stp>BDP|11506993605791851996</stp>
        <tr r="G1644" s="2"/>
      </tp>
      <tp t="s">
        <v>#N/A N/A</v>
        <stp/>
        <stp>BDP|16252828859878975385</stp>
        <tr r="T506" s="2"/>
      </tp>
      <tp t="s">
        <v>#N/A N/A</v>
        <stp/>
        <stp>BDP|18121238196591981250</stp>
        <tr r="E1414" s="2"/>
      </tp>
      <tp t="s">
        <v>#N/A N/A</v>
        <stp/>
        <stp>BDP|18342436511305042892</stp>
        <tr r="R2239" s="2"/>
      </tp>
      <tp t="s">
        <v>#N/A N/A</v>
        <stp/>
        <stp>BDP|11350350369175120161</stp>
        <tr r="J1737" s="2"/>
      </tp>
      <tp t="s">
        <v>#N/A N/A</v>
        <stp/>
        <stp>BDP|12677220505075854515</stp>
        <tr r="R1807" s="2"/>
      </tp>
      <tp t="s">
        <v>#N/A N/A</v>
        <stp/>
        <stp>BDP|12704707470052899078</stp>
        <tr r="D2232" s="2"/>
      </tp>
      <tp t="s">
        <v>#N/A N/A</v>
        <stp/>
        <stp>BDP|17786588372055318067</stp>
        <tr r="E1222" s="2"/>
      </tp>
      <tp t="s">
        <v>#N/A N/A</v>
        <stp/>
        <stp>BDP|12058633342920882011</stp>
        <tr r="Q859" s="2"/>
      </tp>
      <tp t="s">
        <v>#N/A N/A</v>
        <stp/>
        <stp>BDS|11611479429990547763</stp>
        <tr r="I1060" s="2"/>
      </tp>
      <tp t="s">
        <v>#N/A N/A</v>
        <stp/>
        <stp>BDP|13051083804201173255</stp>
        <tr r="R2017" s="2"/>
      </tp>
      <tp t="s">
        <v>#N/A N/A</v>
        <stp/>
        <stp>BDP|10431116149257782239</stp>
        <tr r="E1596" s="2"/>
      </tp>
      <tp t="s">
        <v>#N/A N/A</v>
        <stp/>
        <stp>BDP|10810539628436292193</stp>
        <tr r="N209" s="2"/>
      </tp>
      <tp t="s">
        <v>#N/A N/A</v>
        <stp/>
        <stp>BDP|16633075333424955131</stp>
        <tr r="D268" s="2"/>
      </tp>
      <tp t="s">
        <v>#N/A N/A</v>
        <stp/>
        <stp>BDP|16430463606651525392</stp>
        <tr r="G15" s="2"/>
      </tp>
      <tp t="s">
        <v>#N/A N/A</v>
        <stp/>
        <stp>BDP|16438175327356851345</stp>
        <tr r="N154" s="2"/>
      </tp>
      <tp t="s">
        <v>#N/A N/A</v>
        <stp/>
        <stp>BDP|10418493534715392229</stp>
        <tr r="F1839" s="2"/>
      </tp>
      <tp t="s">
        <v>#N/A N/A</v>
        <stp/>
        <stp>BDP|10060122269636538164</stp>
        <tr r="D1076" s="2"/>
      </tp>
      <tp t="s">
        <v>#N/A N/A</v>
        <stp/>
        <stp>BDP|13110089224197653639</stp>
        <tr r="A1933" s="2"/>
      </tp>
      <tp t="s">
        <v>#N/A N/A</v>
        <stp/>
        <stp>BDP|10888522944435594432</stp>
        <tr r="E1873" s="2"/>
      </tp>
      <tp t="s">
        <v>#N/A N/A</v>
        <stp/>
        <stp>BDP|14710075056033675286</stp>
        <tr r="A2110" s="2"/>
      </tp>
      <tp t="s">
        <v>#N/A N/A</v>
        <stp/>
        <stp>BDP|11435579793169896407</stp>
        <tr r="C1481" s="2"/>
      </tp>
      <tp t="s">
        <v>#N/A N/A</v>
        <stp/>
        <stp>BDP|13823424956603157151</stp>
        <tr r="J1954" s="2"/>
      </tp>
      <tp t="s">
        <v>#N/A N/A</v>
        <stp/>
        <stp>BDP|17754788216987891699</stp>
        <tr r="N695" s="2"/>
      </tp>
      <tp t="s">
        <v>#N/A N/A</v>
        <stp/>
        <stp>BDP|13508038236007053789</stp>
        <tr r="A827" s="2"/>
      </tp>
      <tp t="s">
        <v>#N/A N/A</v>
        <stp/>
        <stp>BDP|12263831014298860357</stp>
        <tr r="N1050" s="2"/>
      </tp>
      <tp t="s">
        <v>#N/A N/A</v>
        <stp/>
        <stp>BDP|11793337569135380163</stp>
        <tr r="Q1723" s="2"/>
      </tp>
      <tp t="s">
        <v>#N/A N/A</v>
        <stp/>
        <stp>BDP|14302249048470411238</stp>
        <tr r="N122" s="2"/>
      </tp>
      <tp t="s">
        <v>#N/A N/A</v>
        <stp/>
        <stp>BDP|11364572420037895149</stp>
        <tr r="M462" s="2"/>
      </tp>
      <tp t="s">
        <v>#N/A N/A</v>
        <stp/>
        <stp>BDP|15300457310245646585</stp>
        <tr r="F1433" s="2"/>
      </tp>
      <tp t="s">
        <v>#N/A N/A</v>
        <stp/>
        <stp>BDP|12337008703900040282</stp>
        <tr r="S1211" s="2"/>
      </tp>
      <tp t="s">
        <v>#N/A N/A</v>
        <stp/>
        <stp>BDP|15029127439330242729</stp>
        <tr r="P1478" s="2"/>
      </tp>
      <tp t="s">
        <v>#N/A N/A</v>
        <stp/>
        <stp>BDP|14496961089793014605</stp>
        <tr r="K1187" s="2"/>
      </tp>
      <tp t="s">
        <v>#N/A N/A</v>
        <stp/>
        <stp>BDP|15669046558555278539</stp>
        <tr r="A199" s="2"/>
      </tp>
      <tp t="s">
        <v>#N/A N/A</v>
        <stp/>
        <stp>BDP|14173624658820118710</stp>
        <tr r="G1681" s="2"/>
      </tp>
      <tp t="s">
        <v>#N/A N/A</v>
        <stp/>
        <stp>BDP|15637085660087647438</stp>
        <tr r="J1020" s="2"/>
      </tp>
      <tp t="s">
        <v>#N/A N/A</v>
        <stp/>
        <stp>BDP|17956538325323649320</stp>
        <tr r="C362" s="2"/>
      </tp>
      <tp t="s">
        <v>#N/A N/A</v>
        <stp/>
        <stp>BDP|11349224062194199192</stp>
        <tr r="H2229" s="2"/>
      </tp>
      <tp t="s">
        <v>#N/A N/A</v>
        <stp/>
        <stp>BDP|11841868104681932883</stp>
        <tr r="O945" s="2"/>
      </tp>
      <tp t="s">
        <v>#N/A N/A</v>
        <stp/>
        <stp>BDS|17470782972960348752</stp>
        <tr r="I456" s="2"/>
      </tp>
      <tp t="s">
        <v>#N/A N/A</v>
        <stp/>
        <stp>BDP|12892587812471949707</stp>
        <tr r="M1996" s="2"/>
      </tp>
      <tp t="s">
        <v>#N/A N/A</v>
        <stp/>
        <stp>BDP|17953232977003668108</stp>
        <tr r="T645" s="2"/>
      </tp>
      <tp t="s">
        <v>#N/A N/A</v>
        <stp/>
        <stp>BDP|16273592263690291512</stp>
        <tr r="O1988" s="2"/>
      </tp>
      <tp t="s">
        <v>#N/A N/A</v>
        <stp/>
        <stp>BDP|14821369839743916755</stp>
        <tr r="N1950" s="2"/>
      </tp>
      <tp t="s">
        <v>#N/A N/A</v>
        <stp/>
        <stp>BDP|12165716101395889023</stp>
        <tr r="T1299" s="2"/>
      </tp>
      <tp t="s">
        <v>#N/A N/A</v>
        <stp/>
        <stp>BDP|13801178094132582959</stp>
        <tr r="Q1826" s="2"/>
      </tp>
      <tp t="s">
        <v>#N/A N/A</v>
        <stp/>
        <stp>BDP|17074599317126466511</stp>
        <tr r="R637" s="2"/>
      </tp>
      <tp t="s">
        <v>#N/A N/A</v>
        <stp/>
        <stp>BDP|18240072881964916461</stp>
        <tr r="O744" s="2"/>
      </tp>
      <tp t="s">
        <v>#N/A N/A</v>
        <stp/>
        <stp>BDP|10752880572249599631</stp>
        <tr r="F129" s="2"/>
      </tp>
      <tp t="s">
        <v>#N/A N/A</v>
        <stp/>
        <stp>BDP|17783549343470220698</stp>
        <tr r="S1156" s="2"/>
      </tp>
      <tp t="s">
        <v>#N/A N/A</v>
        <stp/>
        <stp>BDP|17747603966591249688</stp>
        <tr r="M737" s="2"/>
      </tp>
      <tp t="s">
        <v>#N/A N/A</v>
        <stp/>
        <stp>BDP|13308911678058072518</stp>
        <tr r="H1380" s="2"/>
      </tp>
      <tp t="s">
        <v>#N/A N/A</v>
        <stp/>
        <stp>BDP|15498557012763865201</stp>
        <tr r="S1648" s="2"/>
      </tp>
      <tp t="s">
        <v>#N/A N/A</v>
        <stp/>
        <stp>BDP|10258173110595987575</stp>
        <tr r="K718" s="2"/>
      </tp>
      <tp t="s">
        <v>#N/A N/A</v>
        <stp/>
        <stp>BDP|12893031711201708267</stp>
        <tr r="T2161" s="2"/>
      </tp>
      <tp t="s">
        <v>#N/A N/A</v>
        <stp/>
        <stp>BDP|17695697961305010251</stp>
        <tr r="G72" s="2"/>
      </tp>
      <tp t="s">
        <v>#N/A N/A</v>
        <stp/>
        <stp>BDP|12247637651586226799</stp>
        <tr r="T855" s="2"/>
      </tp>
      <tp t="s">
        <v>#N/A N/A</v>
        <stp/>
        <stp>BDP|15839477804534489544</stp>
        <tr r="K511" s="2"/>
      </tp>
      <tp t="s">
        <v>#N/A N/A</v>
        <stp/>
        <stp>BDP|12193541775450222093</stp>
        <tr r="J2043" s="2"/>
      </tp>
      <tp t="s">
        <v>#N/A N/A</v>
        <stp/>
        <stp>BDP|16006020335526915359</stp>
        <tr r="P951" s="2"/>
      </tp>
      <tp t="s">
        <v>#N/A N/A</v>
        <stp/>
        <stp>BDP|11134208731158228894</stp>
        <tr r="F803" s="2"/>
      </tp>
      <tp t="s">
        <v>#N/A N/A</v>
        <stp/>
        <stp>BDS|18356168693183681388</stp>
        <tr r="I143" s="2"/>
      </tp>
      <tp t="s">
        <v>#N/A N/A</v>
        <stp/>
        <stp>BDP|16037197415055781300</stp>
        <tr r="H2204" s="2"/>
      </tp>
      <tp t="s">
        <v>#N/A N/A</v>
        <stp/>
        <stp>BDP|14142346398947715916</stp>
        <tr r="N689" s="2"/>
      </tp>
      <tp t="s">
        <v>#N/A N/A</v>
        <stp/>
        <stp>BDP|13161648831634948260</stp>
        <tr r="F1806" s="2"/>
      </tp>
      <tp t="s">
        <v>#N/A N/A</v>
        <stp/>
        <stp>BDP|15018080789719263483</stp>
        <tr r="C2204" s="2"/>
      </tp>
      <tp t="s">
        <v>#N/A N/A</v>
        <stp/>
        <stp>BDP|15511287544586231503</stp>
        <tr r="C659" s="2"/>
      </tp>
      <tp t="s">
        <v>#N/A N/A</v>
        <stp/>
        <stp>BDP|13282520902826877014</stp>
        <tr r="D1892" s="2"/>
      </tp>
      <tp t="s">
        <v>#N/A N/A</v>
        <stp/>
        <stp>BDP|13264717968891392333</stp>
        <tr r="O1791" s="2"/>
      </tp>
      <tp t="s">
        <v>#N/A N/A</v>
        <stp/>
        <stp>BDP|11571134497928306199</stp>
        <tr r="G1259" s="2"/>
      </tp>
      <tp t="s">
        <v>#N/A N/A</v>
        <stp/>
        <stp>BDP|15594923709545085954</stp>
        <tr r="C550" s="2"/>
      </tp>
      <tp t="s">
        <v>#N/A N/A</v>
        <stp/>
        <stp>BDP|10439620514334052397</stp>
        <tr r="F1425" s="2"/>
      </tp>
      <tp t="s">
        <v>#N/A N/A</v>
        <stp/>
        <stp>BDP|12134505238322648643</stp>
        <tr r="C1991" s="2"/>
      </tp>
      <tp t="s">
        <v>#N/A N/A</v>
        <stp/>
        <stp>BDP|18173731432429279597</stp>
        <tr r="O553" s="2"/>
      </tp>
      <tp t="s">
        <v>#N/A N/A</v>
        <stp/>
        <stp>BDP|14660135954497978732</stp>
        <tr r="Q95" s="2"/>
      </tp>
      <tp t="s">
        <v>#N/A N/A</v>
        <stp/>
        <stp>BDP|10641395017032225011</stp>
        <tr r="R2069" s="2"/>
      </tp>
      <tp t="s">
        <v>#N/A N/A</v>
        <stp/>
        <stp>BDP|14242430258946397316</stp>
        <tr r="S1969" s="2"/>
      </tp>
      <tp t="s">
        <v>#N/A N/A</v>
        <stp/>
        <stp>BDP|11245657515345141385</stp>
        <tr r="N479" s="2"/>
      </tp>
      <tp t="s">
        <v>#N/A N/A</v>
        <stp/>
        <stp>BDP|13381288516321653107</stp>
        <tr r="K1593" s="2"/>
      </tp>
      <tp t="s">
        <v>#N/A N/A</v>
        <stp/>
        <stp>BDP|14250085731943316439</stp>
        <tr r="E2082" s="2"/>
      </tp>
      <tp t="s">
        <v>#N/A N/A</v>
        <stp/>
        <stp>BDP|12033143500421674292</stp>
        <tr r="F1413" s="2"/>
      </tp>
      <tp t="s">
        <v>#N/A N/A</v>
        <stp/>
        <stp>BDP|13231267039766015463</stp>
        <tr r="S2124" s="2"/>
      </tp>
      <tp t="s">
        <v>#N/A N/A</v>
        <stp/>
        <stp>BDP|14747982340469510012</stp>
        <tr r="Q2064" s="2"/>
      </tp>
      <tp t="s">
        <v>#N/A N/A</v>
        <stp/>
        <stp>BDP|12207230812141173096</stp>
        <tr r="F412" s="2"/>
      </tp>
      <tp t="s">
        <v>#N/A N/A</v>
        <stp/>
        <stp>BDP|10031948290922864274</stp>
        <tr r="J2020" s="2"/>
      </tp>
      <tp t="s">
        <v>#N/A N/A</v>
        <stp/>
        <stp>BDP|11564271329664495548</stp>
        <tr r="M2217" s="2"/>
      </tp>
      <tp t="s">
        <v>#N/A N/A</v>
        <stp/>
        <stp>BDP|12888309164592711505</stp>
        <tr r="C93" s="2"/>
      </tp>
      <tp t="s">
        <v>#N/A N/A</v>
        <stp/>
        <stp>BDS|17534506496712900922</stp>
        <tr r="I1097" s="2"/>
      </tp>
      <tp t="s">
        <v>#N/A N/A</v>
        <stp/>
        <stp>BDP|11117824306470920973</stp>
        <tr r="M24" s="2"/>
      </tp>
      <tp t="s">
        <v>#N/A N/A</v>
        <stp/>
        <stp>BDP|11974956180575650511</stp>
        <tr r="D2252" s="2"/>
      </tp>
      <tp t="s">
        <v>#N/A N/A</v>
        <stp/>
        <stp>BDP|18243294060785294929</stp>
        <tr r="S1422" s="2"/>
      </tp>
      <tp t="s">
        <v>#N/A N/A</v>
        <stp/>
        <stp>BDP|12067493863341592148</stp>
        <tr r="O62" s="2"/>
      </tp>
      <tp t="s">
        <v>#N/A N/A</v>
        <stp/>
        <stp>BDP|13165672257541878121</stp>
        <tr r="T831" s="2"/>
      </tp>
      <tp t="s">
        <v>#N/A N/A</v>
        <stp/>
        <stp>BDP|18123597531157359916</stp>
        <tr r="P1938" s="2"/>
      </tp>
      <tp t="s">
        <v>#N/A N/A</v>
        <stp/>
        <stp>BDP|15066940408605606917</stp>
        <tr r="R1520" s="2"/>
      </tp>
      <tp t="s">
        <v>#N/A N/A</v>
        <stp/>
        <stp>BDS|13751696010831650509</stp>
        <tr r="I88" s="2"/>
      </tp>
      <tp t="s">
        <v>#N/A N/A</v>
        <stp/>
        <stp>BDP|15934193150141866031</stp>
        <tr r="O2048" s="2"/>
      </tp>
      <tp t="s">
        <v>#N/A N/A</v>
        <stp/>
        <stp>BDP|18045004349994552879</stp>
        <tr r="Q1098" s="2"/>
      </tp>
      <tp t="s">
        <v>#N/A N/A</v>
        <stp/>
        <stp>BDP|16144635418424697579</stp>
        <tr r="F1540" s="2"/>
      </tp>
      <tp t="s">
        <v>#N/A N/A</v>
        <stp/>
        <stp>BDS|15851874680750447537</stp>
        <tr r="I555" s="2"/>
      </tp>
      <tp t="s">
        <v>#N/A N/A</v>
        <stp/>
        <stp>BDP|16952498128359482973</stp>
        <tr r="E1678" s="2"/>
      </tp>
      <tp t="s">
        <v>#N/A N/A</v>
        <stp/>
        <stp>BDP|17812697177150531681</stp>
        <tr r="J161" s="2"/>
      </tp>
      <tp t="s">
        <v>#N/A N/A</v>
        <stp/>
        <stp>BDP|15132366302550917674</stp>
        <tr r="C1193" s="2"/>
      </tp>
      <tp t="s">
        <v>#N/A N/A</v>
        <stp/>
        <stp>BDP|13524518023083468788</stp>
        <tr r="C2211" s="2"/>
      </tp>
      <tp t="s">
        <v>#N/A N/A</v>
        <stp/>
        <stp>BDP|12055320378266303023</stp>
        <tr r="E1120" s="2"/>
      </tp>
      <tp t="s">
        <v>#N/A N/A</v>
        <stp/>
        <stp>BDP|12788660559253253204</stp>
        <tr r="T521" s="2"/>
      </tp>
      <tp t="s">
        <v>#N/A N/A</v>
        <stp/>
        <stp>BDP|12934009936804006559</stp>
        <tr r="E111" s="2"/>
      </tp>
      <tp t="s">
        <v>#N/A N/A</v>
        <stp/>
        <stp>BDP|12719978959236684858</stp>
        <tr r="C655" s="2"/>
      </tp>
      <tp t="s">
        <v>#N/A N/A</v>
        <stp/>
        <stp>BDP|17815435312816707447</stp>
        <tr r="P2046" s="2"/>
      </tp>
      <tp t="s">
        <v>#N/A N/A</v>
        <stp/>
        <stp>BDS|15822362308874636290</stp>
        <tr r="I1071" s="2"/>
      </tp>
      <tp t="s">
        <v>#N/A N/A</v>
        <stp/>
        <stp>BDP|15825111511777265209</stp>
        <tr r="F159" s="2"/>
      </tp>
      <tp t="s">
        <v>#N/A N/A</v>
        <stp/>
        <stp>BDP|10397285406096325444</stp>
        <tr r="D575" s="2"/>
      </tp>
      <tp t="s">
        <v>#N/A N/A</v>
        <stp/>
        <stp>BDP|15599302500192664496</stp>
        <tr r="G1461" s="2"/>
      </tp>
      <tp t="s">
        <v>#N/A N/A</v>
        <stp/>
        <stp>BDP|17879420714995736737</stp>
        <tr r="G137" s="2"/>
      </tp>
      <tp t="s">
        <v>#N/A N/A</v>
        <stp/>
        <stp>BDP|12505685194655312808</stp>
        <tr r="K459" s="2"/>
      </tp>
      <tp t="s">
        <v>#N/A N/A</v>
        <stp/>
        <stp>BDP|13126287686920476912</stp>
        <tr r="M818" s="2"/>
      </tp>
      <tp t="s">
        <v>#N/A N/A</v>
        <stp/>
        <stp>BDP|12823070452565076279</stp>
        <tr r="D809" s="2"/>
      </tp>
      <tp t="s">
        <v>#N/A N/A</v>
        <stp/>
        <stp>BDP|14800811682596158208</stp>
        <tr r="R276" s="2"/>
      </tp>
      <tp t="s">
        <v>#N/A N/A</v>
        <stp/>
        <stp>BDP|10126538201315858014</stp>
        <tr r="F1424" s="2"/>
      </tp>
      <tp t="s">
        <v>#N/A N/A</v>
        <stp/>
        <stp>BDP|11932103671284036329</stp>
        <tr r="E1180" s="2"/>
      </tp>
      <tp t="s">
        <v>#N/A N/A</v>
        <stp/>
        <stp>BDP|13083502700742913434</stp>
        <tr r="O403" s="2"/>
      </tp>
      <tp t="s">
        <v>#N/A N/A</v>
        <stp/>
        <stp>BDP|14144151078014286645</stp>
        <tr r="T1908" s="2"/>
      </tp>
      <tp t="s">
        <v>#N/A N/A</v>
        <stp/>
        <stp>BDP|12566825479609090444</stp>
        <tr r="T915" s="2"/>
      </tp>
      <tp t="s">
        <v>#N/A N/A</v>
        <stp/>
        <stp>BDP|17807309156499500812</stp>
        <tr r="D1805" s="2"/>
      </tp>
      <tp t="s">
        <v>#N/A N/A</v>
        <stp/>
        <stp>BDP|10257489338381105690</stp>
        <tr r="D1908" s="2"/>
      </tp>
      <tp t="s">
        <v>#N/A N/A</v>
        <stp/>
        <stp>BDP|18095292884972493034</stp>
        <tr r="R1400" s="2"/>
      </tp>
      <tp t="s">
        <v>#N/A N/A</v>
        <stp/>
        <stp>BDP|16419710046485987002</stp>
        <tr r="Q575" s="2"/>
      </tp>
      <tp t="s">
        <v>#N/A N/A</v>
        <stp/>
        <stp>BDP|13850280171237982120</stp>
        <tr r="A641" s="2"/>
      </tp>
      <tp t="s">
        <v>#N/A N/A</v>
        <stp/>
        <stp>BDP|12293252778517758025</stp>
        <tr r="C919" s="2"/>
      </tp>
      <tp t="s">
        <v>#N/A N/A</v>
        <stp/>
        <stp>BDP|17056858409467049863</stp>
        <tr r="O306" s="2"/>
      </tp>
      <tp t="s">
        <v>#N/A N/A</v>
        <stp/>
        <stp>BDP|18256879369647448120</stp>
        <tr r="H760" s="2"/>
      </tp>
      <tp t="s">
        <v>#N/A N/A</v>
        <stp/>
        <stp>BDP|14009389002651057604</stp>
        <tr r="S734" s="2"/>
      </tp>
      <tp t="s">
        <v>#N/A N/A</v>
        <stp/>
        <stp>BDP|14962558066636354133</stp>
        <tr r="H296" s="2"/>
      </tp>
      <tp t="s">
        <v>#N/A N/A</v>
        <stp/>
        <stp>BDP|15160539215311921040</stp>
        <tr r="T2021" s="2"/>
      </tp>
      <tp t="s">
        <v>#N/A N/A</v>
        <stp/>
        <stp>BDP|17396388922931261713</stp>
        <tr r="E1700" s="2"/>
      </tp>
      <tp t="s">
        <v>#N/A N/A</v>
        <stp/>
        <stp>BDP|15124941197323198694</stp>
        <tr r="M13" s="2"/>
      </tp>
      <tp t="s">
        <v>#N/A N/A</v>
        <stp/>
        <stp>BDP|15574228948414432715</stp>
        <tr r="T1568" s="2"/>
      </tp>
      <tp t="s">
        <v>#N/A N/A</v>
        <stp/>
        <stp>BDP|13351788994228111543</stp>
        <tr r="S654" s="2"/>
      </tp>
      <tp t="s">
        <v>#N/A N/A</v>
        <stp/>
        <stp>BDS|10700421209893361762</stp>
        <tr r="I1542" s="2"/>
      </tp>
      <tp t="s">
        <v>#N/A N/A</v>
        <stp/>
        <stp>BDP|17658610189168118158</stp>
        <tr r="A1447" s="2"/>
      </tp>
      <tp t="s">
        <v>#N/A N/A</v>
        <stp/>
        <stp>BDP|14402057046991509183</stp>
        <tr r="A929" s="2"/>
      </tp>
      <tp t="s">
        <v>#N/A N/A</v>
        <stp/>
        <stp>BDP|15952228538063003790</stp>
        <tr r="H422" s="2"/>
      </tp>
      <tp t="s">
        <v>#N/A N/A</v>
        <stp/>
        <stp>BDP|15391977567002819813</stp>
        <tr r="R503" s="2"/>
      </tp>
      <tp t="s">
        <v>#N/A N/A</v>
        <stp/>
        <stp>BDP|17496275553264268484</stp>
        <tr r="Q580" s="2"/>
      </tp>
      <tp t="s">
        <v>#N/A N/A</v>
        <stp/>
        <stp>BDP|10373099836354261747</stp>
        <tr r="N1892" s="2"/>
      </tp>
      <tp t="s">
        <v>#N/A N/A</v>
        <stp/>
        <stp>BDP|11589662874815975549</stp>
        <tr r="E980" s="2"/>
      </tp>
      <tp t="s">
        <v>#N/A N/A</v>
        <stp/>
        <stp>BDP|10176548678472623015</stp>
        <tr r="G603" s="2"/>
      </tp>
      <tp t="s">
        <v>#N/A N/A</v>
        <stp/>
        <stp>BDP|11247931272967927802</stp>
        <tr r="H1791" s="2"/>
      </tp>
      <tp t="s">
        <v>#N/A N/A</v>
        <stp/>
        <stp>BDP|10351495203870423476</stp>
        <tr r="R539" s="2"/>
      </tp>
      <tp t="s">
        <v>#N/A N/A</v>
        <stp/>
        <stp>BDP|16488872351752089989</stp>
        <tr r="C83" s="2"/>
      </tp>
      <tp t="s">
        <v>#N/A N/A</v>
        <stp/>
        <stp>BDP|16688698305745129519</stp>
        <tr r="O934" s="2"/>
      </tp>
      <tp t="s">
        <v>#N/A N/A</v>
        <stp/>
        <stp>BDP|13341341595578192195</stp>
        <tr r="H470" s="2"/>
      </tp>
      <tp t="s">
        <v>#N/A N/A</v>
        <stp/>
        <stp>BDP|11929667162757483639</stp>
        <tr r="M1617" s="2"/>
      </tp>
      <tp t="s">
        <v>#N/A N/A</v>
        <stp/>
        <stp>BDP|16238666041407622390</stp>
        <tr r="P867" s="2"/>
      </tp>
      <tp t="s">
        <v>#N/A N/A</v>
        <stp/>
        <stp>BDP|11842977580570115044</stp>
        <tr r="Q781" s="2"/>
      </tp>
      <tp t="s">
        <v>#N/A N/A</v>
        <stp/>
        <stp>BDP|12210296327565360757</stp>
        <tr r="K1489" s="2"/>
      </tp>
      <tp t="s">
        <v>#N/A N/A</v>
        <stp/>
        <stp>BDP|12937500491026212801</stp>
        <tr r="K2090" s="2"/>
      </tp>
      <tp t="s">
        <v>#N/A N/A</v>
        <stp/>
        <stp>BDP|17489706439537782401</stp>
        <tr r="G2223" s="2"/>
      </tp>
      <tp t="s">
        <v>#N/A N/A</v>
        <stp/>
        <stp>BDP|12632786815772674677</stp>
        <tr r="Q787" s="2"/>
      </tp>
      <tp t="s">
        <v>#N/A N/A</v>
        <stp/>
        <stp>BDP|12695260124046825469</stp>
        <tr r="N1770" s="2"/>
      </tp>
      <tp t="s">
        <v>#N/A N/A</v>
        <stp/>
        <stp>BDP|14165338238806174213</stp>
        <tr r="T233" s="2"/>
      </tp>
      <tp t="s">
        <v>#N/A N/A</v>
        <stp/>
        <stp>BDP|11142382034210759100</stp>
        <tr r="H1695" s="2"/>
      </tp>
      <tp t="s">
        <v>#N/A N/A</v>
        <stp/>
        <stp>BDP|16705711638342600023</stp>
        <tr r="G2067" s="2"/>
      </tp>
      <tp t="s">
        <v>#N/A N/A</v>
        <stp/>
        <stp>BDP|11732351569975582142</stp>
        <tr r="Q2114" s="2"/>
      </tp>
      <tp t="s">
        <v>#N/A N/A</v>
        <stp/>
        <stp>BDP|17826833201228808783</stp>
        <tr r="T1093" s="2"/>
      </tp>
      <tp t="s">
        <v>#N/A N/A</v>
        <stp/>
        <stp>BDS|11078106903899896920</stp>
        <tr r="I813" s="2"/>
      </tp>
      <tp t="s">
        <v>#N/A N/A</v>
        <stp/>
        <stp>BDP|10309850759269210473</stp>
        <tr r="N5" s="2"/>
      </tp>
      <tp t="s">
        <v>#N/A N/A</v>
        <stp/>
        <stp>BDP|14015857165069348392</stp>
        <tr r="D1611" s="2"/>
      </tp>
      <tp t="s">
        <v>#N/A N/A</v>
        <stp/>
        <stp>BDP|10245025732750823304</stp>
        <tr r="D544" s="2"/>
      </tp>
      <tp t="s">
        <v>#N/A N/A</v>
        <stp/>
        <stp>BDP|14720741155767530197</stp>
        <tr r="D1861" s="2"/>
      </tp>
      <tp t="s">
        <v>#N/A N/A</v>
        <stp/>
        <stp>BDP|17750993143633181968</stp>
        <tr r="P290" s="2"/>
      </tp>
      <tp t="s">
        <v>#N/A N/A</v>
        <stp/>
        <stp>BDS|16302451007792834002</stp>
        <tr r="I1094" s="2"/>
      </tp>
      <tp t="s">
        <v>#N/A N/A</v>
        <stp/>
        <stp>BDP|15355212818412756471</stp>
        <tr r="N996" s="2"/>
      </tp>
      <tp t="s">
        <v>#N/A N/A</v>
        <stp/>
        <stp>BDP|17129782401610466067</stp>
        <tr r="H2145" s="2"/>
      </tp>
      <tp t="s">
        <v>#N/A N/A</v>
        <stp/>
        <stp>BDP|17496530382282850878</stp>
        <tr r="E2112" s="2"/>
      </tp>
      <tp t="s">
        <v>#N/A N/A</v>
        <stp/>
        <stp>BDP|14381785847706590135</stp>
        <tr r="C2161" s="2"/>
      </tp>
      <tp t="s">
        <v>#N/A N/A</v>
        <stp/>
        <stp>BDP|15292632725999835867</stp>
        <tr r="E1318" s="2"/>
      </tp>
      <tp t="s">
        <v>#N/A N/A</v>
        <stp/>
        <stp>BDP|15830770831707210663</stp>
        <tr r="F1940" s="2"/>
      </tp>
      <tp t="s">
        <v>#N/A N/A</v>
        <stp/>
        <stp>BDP|16756786954114844090</stp>
        <tr r="O1350" s="2"/>
      </tp>
      <tp t="s">
        <v>#N/A N/A</v>
        <stp/>
        <stp>BDP|17779649856805645194</stp>
        <tr r="E587" s="2"/>
      </tp>
      <tp t="s">
        <v>#N/A N/A</v>
        <stp/>
        <stp>BDP|17561864796327804177</stp>
        <tr r="G1438" s="2"/>
      </tp>
      <tp t="s">
        <v>#N/A N/A</v>
        <stp/>
        <stp>BDP|11673164583849051198</stp>
        <tr r="A277" s="2"/>
      </tp>
      <tp t="s">
        <v>#N/A N/A</v>
        <stp/>
        <stp>BDP|16827781748116642340</stp>
        <tr r="M1246" s="2"/>
      </tp>
      <tp t="s">
        <v>#N/A N/A</v>
        <stp/>
        <stp>BDS|15355715169292611646</stp>
        <tr r="I1807" s="2"/>
      </tp>
      <tp t="s">
        <v>#N/A N/A</v>
        <stp/>
        <stp>BDP|13918217340721122436</stp>
        <tr r="M674" s="2"/>
      </tp>
      <tp t="s">
        <v>#N/A N/A</v>
        <stp/>
        <stp>BDP|10216516898405304926</stp>
        <tr r="P629" s="2"/>
      </tp>
      <tp t="s">
        <v>#N/A N/A</v>
        <stp/>
        <stp>BDP|11476319852726449198</stp>
        <tr r="D1901" s="2"/>
      </tp>
      <tp t="s">
        <v>#N/A N/A</v>
        <stp/>
        <stp>BDP|16916828027394199876</stp>
        <tr r="A2208" s="2"/>
      </tp>
      <tp t="s">
        <v>#N/A N/A</v>
        <stp/>
        <stp>BDP|13074713640557208795</stp>
        <tr r="T22" s="2"/>
      </tp>
      <tp t="s">
        <v>#N/A N/A</v>
        <stp/>
        <stp>BDP|15548707009056602407</stp>
        <tr r="Q2127" s="2"/>
      </tp>
      <tp t="s">
        <v>#N/A N/A</v>
        <stp/>
        <stp>BDP|14036754859513348552</stp>
        <tr r="E550" s="2"/>
      </tp>
      <tp t="s">
        <v>#N/A N/A</v>
        <stp/>
        <stp>BDP|10976924495048335874</stp>
        <tr r="N1083" s="2"/>
      </tp>
      <tp t="s">
        <v>#N/A N/A</v>
        <stp/>
        <stp>BDP|11394344901270599292</stp>
        <tr r="S123" s="2"/>
      </tp>
      <tp t="s">
        <v>#N/A N/A</v>
        <stp/>
        <stp>BDP|11510601408695547259</stp>
        <tr r="K169" s="2"/>
      </tp>
      <tp t="s">
        <v>#N/A N/A</v>
        <stp/>
        <stp>BDP|14954626219806794589</stp>
        <tr r="H1910" s="2"/>
      </tp>
      <tp t="s">
        <v>#N/A N/A</v>
        <stp/>
        <stp>BDP|11939478322452201535</stp>
        <tr r="S320" s="2"/>
      </tp>
      <tp t="s">
        <v>#N/A N/A</v>
        <stp/>
        <stp>BDP|10060539850610762095</stp>
        <tr r="H2048" s="2"/>
      </tp>
      <tp t="s">
        <v>#N/A N/A</v>
        <stp/>
        <stp>BDP|10034488256310402172</stp>
        <tr r="D1705" s="2"/>
      </tp>
      <tp t="s">
        <v>#N/A N/A</v>
        <stp/>
        <stp>BDP|11120389564783639765</stp>
        <tr r="P621" s="2"/>
      </tp>
      <tp t="s">
        <v>#N/A N/A</v>
        <stp/>
        <stp>BDP|16742466340953915550</stp>
        <tr r="T1524" s="2"/>
      </tp>
      <tp t="s">
        <v>#N/A N/A</v>
        <stp/>
        <stp>BDP|16636731998558566058</stp>
        <tr r="A1576" s="2"/>
      </tp>
      <tp t="s">
        <v>#N/A N/A</v>
        <stp/>
        <stp>BDP|14625939649340929983</stp>
        <tr r="T1122" s="2"/>
      </tp>
      <tp t="s">
        <v>#N/A N/A</v>
        <stp/>
        <stp>BDS|13224093222120003179</stp>
        <tr r="I784" s="2"/>
      </tp>
      <tp t="s">
        <v>#N/A N/A</v>
        <stp/>
        <stp>BDP|10925986839308060259</stp>
        <tr r="T1224" s="2"/>
      </tp>
      <tp t="s">
        <v>#N/A N/A</v>
        <stp/>
        <stp>BDP|13650795811062596761</stp>
        <tr r="E1573" s="2"/>
      </tp>
      <tp t="s">
        <v>#N/A N/A</v>
        <stp/>
        <stp>BDP|15342437829580679329</stp>
        <tr r="H976" s="2"/>
      </tp>
      <tp t="s">
        <v>#N/A N/A</v>
        <stp/>
        <stp>BDP|12070787646822320302</stp>
        <tr r="G93" s="2"/>
      </tp>
      <tp t="s">
        <v>#N/A N/A</v>
        <stp/>
        <stp>BDP|12353296244715246118</stp>
        <tr r="T1488" s="2"/>
      </tp>
      <tp t="s">
        <v>#N/A N/A</v>
        <stp/>
        <stp>BDP|10800859300249276124</stp>
        <tr r="A1585" s="2"/>
      </tp>
      <tp t="s">
        <v>#N/A N/A</v>
        <stp/>
        <stp>BDP|13939649274650142257</stp>
        <tr r="T614" s="2"/>
      </tp>
      <tp t="s">
        <v>#N/A N/A</v>
        <stp/>
        <stp>BDP|13682599605393253558</stp>
        <tr r="P738" s="2"/>
      </tp>
      <tp t="s">
        <v>#N/A N/A</v>
        <stp/>
        <stp>BDP|17782041730067837365</stp>
        <tr r="F1882" s="2"/>
      </tp>
      <tp t="s">
        <v>#N/A N/A</v>
        <stp/>
        <stp>BDP|11645616354810920277</stp>
        <tr r="K1414" s="2"/>
      </tp>
      <tp t="s">
        <v>#N/A N/A</v>
        <stp/>
        <stp>BDP|11601905179818123730</stp>
        <tr r="S1764" s="2"/>
      </tp>
      <tp t="s">
        <v>#N/A N/A</v>
        <stp/>
        <stp>BDP|10841625553680712338</stp>
        <tr r="S1452" s="2"/>
      </tp>
      <tp t="s">
        <v>#N/A N/A</v>
        <stp/>
        <stp>BDP|16738279055397879600</stp>
        <tr r="E843" s="2"/>
      </tp>
      <tp t="s">
        <v>#N/A N/A</v>
        <stp/>
        <stp>BDP|12656339573311268797</stp>
        <tr r="J1186" s="2"/>
      </tp>
      <tp t="s">
        <v>#N/A N/A</v>
        <stp/>
        <stp>BDP|13046632537505982305</stp>
        <tr r="T836" s="2"/>
      </tp>
      <tp t="s">
        <v>#N/A N/A</v>
        <stp/>
        <stp>BDP|16278675398728903198</stp>
        <tr r="N1216" s="2"/>
      </tp>
      <tp t="s">
        <v>#N/A N/A</v>
        <stp/>
        <stp>BDP|14764433568932827493</stp>
        <tr r="Q389" s="2"/>
      </tp>
      <tp t="s">
        <v>#N/A N/A</v>
        <stp/>
        <stp>BDP|16320417595739892226</stp>
        <tr r="E691" s="2"/>
      </tp>
      <tp t="s">
        <v>#N/A N/A</v>
        <stp/>
        <stp>BDP|17899773731373137026</stp>
        <tr r="A2120" s="2"/>
      </tp>
      <tp t="s">
        <v>#N/A N/A</v>
        <stp/>
        <stp>BDS|12988296697678922106</stp>
        <tr r="I1891" s="2"/>
      </tp>
      <tp t="s">
        <v>#N/A N/A</v>
        <stp/>
        <stp>BDP|16280238958769037847</stp>
        <tr r="H1001" s="2"/>
      </tp>
      <tp t="s">
        <v>#N/A N/A</v>
        <stp/>
        <stp>BDP|11050549039421397632</stp>
        <tr r="A1662" s="2"/>
      </tp>
      <tp t="s">
        <v>#N/A N/A</v>
        <stp/>
        <stp>BDP|11210765474041546083</stp>
        <tr r="C1629" s="2"/>
      </tp>
      <tp t="s">
        <v>#N/A N/A</v>
        <stp/>
        <stp>BDP|10188099008688823856</stp>
        <tr r="E712" s="2"/>
      </tp>
      <tp t="s">
        <v>#N/A N/A</v>
        <stp/>
        <stp>BDP|17054959519868454752</stp>
        <tr r="Q1294" s="2"/>
      </tp>
      <tp t="s">
        <v>#N/A N/A</v>
        <stp/>
        <stp>BDP|12414595730390766473</stp>
        <tr r="R499" s="2"/>
      </tp>
      <tp t="s">
        <v>#N/A N/A</v>
        <stp/>
        <stp>BDP|15804689920963967244</stp>
        <tr r="A83" s="2"/>
      </tp>
      <tp t="s">
        <v>#N/A N/A</v>
        <stp/>
        <stp>BDP|14366730238154649431</stp>
        <tr r="A1140" s="2"/>
      </tp>
      <tp t="s">
        <v>#N/A N/A</v>
        <stp/>
        <stp>BDP|14227962178488654273</stp>
        <tr r="F541" s="2"/>
      </tp>
      <tp t="s">
        <v>#N/A N/A</v>
        <stp/>
        <stp>BDP|15838645347583437422</stp>
        <tr r="Q786" s="2"/>
      </tp>
      <tp t="s">
        <v>#N/A N/A</v>
        <stp/>
        <stp>BDP|14912235422345711124</stp>
        <tr r="E2105" s="2"/>
      </tp>
      <tp t="s">
        <v>#N/A N/A</v>
        <stp/>
        <stp>BDP|18410039917358521188</stp>
        <tr r="G573" s="2"/>
      </tp>
      <tp t="s">
        <v>#N/A N/A</v>
        <stp/>
        <stp>BDP|14128292005252403443</stp>
        <tr r="C492" s="2"/>
      </tp>
      <tp t="s">
        <v>#N/A N/A</v>
        <stp/>
        <stp>BDP|11303173570377900001</stp>
        <tr r="K2138" s="2"/>
      </tp>
      <tp t="s">
        <v>#N/A N/A</v>
        <stp/>
        <stp>BDP|13650385562027485159</stp>
        <tr r="G2206" s="2"/>
      </tp>
      <tp t="s">
        <v>#N/A N/A</v>
        <stp/>
        <stp>BDP|16861166435500347450</stp>
        <tr r="J610" s="2"/>
      </tp>
      <tp t="s">
        <v>#N/A N/A</v>
        <stp/>
        <stp>BDP|13930835665799726453</stp>
        <tr r="P1034" s="2"/>
      </tp>
      <tp t="s">
        <v>#N/A N/A</v>
        <stp/>
        <stp>BDP|14339811888110358446</stp>
        <tr r="H1010" s="2"/>
      </tp>
      <tp t="s">
        <v>#N/A N/A</v>
        <stp/>
        <stp>BDP|13824820986706776562</stp>
        <tr r="R333" s="2"/>
      </tp>
      <tp t="s">
        <v>#N/A N/A</v>
        <stp/>
        <stp>BDP|12656999714373161979</stp>
        <tr r="C2031" s="2"/>
      </tp>
      <tp t="s">
        <v>#N/A N/A</v>
        <stp/>
        <stp>BDP|16311592631547060760</stp>
        <tr r="A2040" s="2"/>
      </tp>
      <tp t="s">
        <v>#N/A N/A</v>
        <stp/>
        <stp>BDP|17947531876774861193</stp>
        <tr r="A1633" s="2"/>
      </tp>
      <tp t="s">
        <v>#N/A N/A</v>
        <stp/>
        <stp>BDP|15253216224854947138</stp>
        <tr r="H1438" s="2"/>
      </tp>
      <tp t="s">
        <v>#N/A N/A</v>
        <stp/>
        <stp>BDP|15353573439314465744</stp>
        <tr r="M1266" s="2"/>
      </tp>
      <tp t="s">
        <v>#N/A N/A</v>
        <stp/>
        <stp>BDP|11380711076427198682</stp>
        <tr r="G1301" s="2"/>
      </tp>
      <tp t="s">
        <v>#N/A N/A</v>
        <stp/>
        <stp>BDP|16437001465707465785</stp>
        <tr r="A1955" s="2"/>
      </tp>
      <tp t="s">
        <v>#N/A N/A</v>
        <stp/>
        <stp>BDP|11724264258813104558</stp>
        <tr r="G2140" s="2"/>
      </tp>
      <tp t="s">
        <v>#N/A N/A</v>
        <stp/>
        <stp>BDP|15712390083618551654</stp>
        <tr r="N2206" s="2"/>
      </tp>
      <tp t="s">
        <v>#N/A N/A</v>
        <stp/>
        <stp>BDP|10894529471650708213</stp>
        <tr r="D702" s="2"/>
      </tp>
      <tp t="s">
        <v>#N/A N/A</v>
        <stp/>
        <stp>BDP|16605043918470567724</stp>
        <tr r="K1043" s="2"/>
      </tp>
      <tp t="s">
        <v>#N/A N/A</v>
        <stp/>
        <stp>BDP|11200703459643270047</stp>
        <tr r="M2081" s="2"/>
      </tp>
      <tp t="s">
        <v>#N/A N/A</v>
        <stp/>
        <stp>BDP|13385522698017292866</stp>
        <tr r="C2251" s="2"/>
      </tp>
      <tp t="s">
        <v>#N/A N/A</v>
        <stp/>
        <stp>BDP|16412490570640470545</stp>
        <tr r="T1508" s="2"/>
      </tp>
      <tp t="s">
        <v>#N/A N/A</v>
        <stp/>
        <stp>BDS|15863108579903912062</stp>
        <tr r="I875" s="2"/>
      </tp>
      <tp t="s">
        <v>#N/A N/A</v>
        <stp/>
        <stp>BDP|11254246416444942647</stp>
        <tr r="Q1256" s="2"/>
      </tp>
      <tp t="s">
        <v>#N/A N/A</v>
        <stp/>
        <stp>BDP|13855552608934923218</stp>
        <tr r="T1496" s="2"/>
      </tp>
      <tp t="s">
        <v>#N/A N/A</v>
        <stp/>
        <stp>BDP|12881336447575860099</stp>
        <tr r="F1394" s="2"/>
      </tp>
      <tp t="s">
        <v>#N/A N/A</v>
        <stp/>
        <stp>BDP|17468879213309446783</stp>
        <tr r="D546" s="2"/>
      </tp>
      <tp t="s">
        <v>#N/A N/A</v>
        <stp/>
        <stp>BDP|12150000359705014248</stp>
        <tr r="R428" s="2"/>
      </tp>
      <tp t="s">
        <v>#N/A N/A</v>
        <stp/>
        <stp>BDP|17397421623259808860</stp>
        <tr r="P351" s="2"/>
      </tp>
      <tp t="s">
        <v>#N/A N/A</v>
        <stp/>
        <stp>BDP|12704032662880385498</stp>
        <tr r="A1109" s="2"/>
      </tp>
      <tp t="s">
        <v>#N/A N/A</v>
        <stp/>
        <stp>BDP|14008395250850761221</stp>
        <tr r="A2124" s="2"/>
      </tp>
      <tp t="s">
        <v>#N/A N/A</v>
        <stp/>
        <stp>BDP|10088505336733242584</stp>
        <tr r="P1632" s="2"/>
      </tp>
      <tp t="s">
        <v>#N/A N/A</v>
        <stp/>
        <stp>BDP|14111806732837610894</stp>
        <tr r="N611" s="2"/>
      </tp>
      <tp t="s">
        <v>#N/A N/A</v>
        <stp/>
        <stp>BDP|14133225302756827059</stp>
        <tr r="H774" s="2"/>
      </tp>
      <tp t="s">
        <v>#N/A N/A</v>
        <stp/>
        <stp>BDP|11070591796595636859</stp>
        <tr r="E79" s="2"/>
      </tp>
      <tp t="s">
        <v>#N/A N/A</v>
        <stp/>
        <stp>BDP|12747856208068387253</stp>
        <tr r="C444" s="2"/>
      </tp>
      <tp t="s">
        <v>#N/A N/A</v>
        <stp/>
        <stp>BDP|14684546721756731583</stp>
        <tr r="S17" s="2"/>
      </tp>
      <tp t="s">
        <v>#N/A N/A</v>
        <stp/>
        <stp>BDP|11938476133811928786</stp>
        <tr r="H1251" s="2"/>
      </tp>
      <tp t="s">
        <v>#N/A N/A</v>
        <stp/>
        <stp>BDP|15821754914541430218</stp>
        <tr r="O508" s="2"/>
      </tp>
      <tp t="s">
        <v>#N/A N/A</v>
        <stp/>
        <stp>BDP|15591571279583305445</stp>
        <tr r="K144" s="2"/>
      </tp>
      <tp t="s">
        <v>#N/A N/A</v>
        <stp/>
        <stp>BDP|11617325498519398230</stp>
        <tr r="G298" s="2"/>
      </tp>
      <tp t="s">
        <v>#N/A N/A</v>
        <stp/>
        <stp>BDP|16095371060290929320</stp>
        <tr r="O1969" s="2"/>
      </tp>
      <tp t="s">
        <v>#N/A N/A</v>
        <stp/>
        <stp>BDP|14404945108905742830</stp>
        <tr r="K277" s="2"/>
      </tp>
      <tp t="s">
        <v>#N/A N/A</v>
        <stp/>
        <stp>BDP|12629336548586485351</stp>
        <tr r="K431" s="2"/>
      </tp>
      <tp t="s">
        <v>#N/A N/A</v>
        <stp/>
        <stp>BDP|17301576928696902698</stp>
        <tr r="O489" s="2"/>
      </tp>
      <tp t="s">
        <v>#N/A N/A</v>
        <stp/>
        <stp>BDP|10124535796104907819</stp>
        <tr r="H1435" s="2"/>
      </tp>
      <tp t="s">
        <v>#N/A N/A</v>
        <stp/>
        <stp>BDP|14857427159632781783</stp>
        <tr r="D745" s="2"/>
      </tp>
      <tp t="s">
        <v>#N/A N/A</v>
        <stp/>
        <stp>BDP|13209725394645088884</stp>
        <tr r="S2188" s="2"/>
      </tp>
      <tp t="s">
        <v>#N/A N/A</v>
        <stp/>
        <stp>BDP|16802329157153427355</stp>
        <tr r="R1090" s="2"/>
      </tp>
      <tp t="s">
        <v>#N/A N/A</v>
        <stp/>
        <stp>BDP|16916061746981547303</stp>
        <tr r="N2165" s="2"/>
      </tp>
      <tp t="s">
        <v>#N/A N/A</v>
        <stp/>
        <stp>BDP|10758838459204716960</stp>
        <tr r="O1141" s="2"/>
      </tp>
      <tp t="s">
        <v>#N/A N/A</v>
        <stp/>
        <stp>BDP|17019295120856057157</stp>
        <tr r="O616" s="2"/>
      </tp>
      <tp t="s">
        <v>#N/A N/A</v>
        <stp/>
        <stp>BDP|17408250308685584000</stp>
        <tr r="A1887" s="2"/>
      </tp>
      <tp t="s">
        <v>#N/A N/A</v>
        <stp/>
        <stp>BDP|14381526757207855327</stp>
        <tr r="K643" s="2"/>
      </tp>
      <tp t="s">
        <v>#N/A N/A</v>
        <stp/>
        <stp>BDP|15085139668893023176</stp>
        <tr r="S119" s="2"/>
      </tp>
      <tp t="s">
        <v>#N/A N/A</v>
        <stp/>
        <stp>BDP|12786190772526859285</stp>
        <tr r="M1092" s="2"/>
      </tp>
      <tp t="s">
        <v>#N/A N/A</v>
        <stp/>
        <stp>BDP|17564488328432920305</stp>
        <tr r="A1361" s="2"/>
      </tp>
      <tp t="s">
        <v>#N/A N/A</v>
        <stp/>
        <stp>BDS|18293418681340465499</stp>
        <tr r="I116" s="2"/>
      </tp>
      <tp t="s">
        <v>#N/A N/A</v>
        <stp/>
        <stp>BDP|14930605682959724300</stp>
        <tr r="E306" s="2"/>
      </tp>
      <tp t="s">
        <v>#N/A N/A</v>
        <stp/>
        <stp>BDP|10999930297126808695</stp>
        <tr r="K2088" s="2"/>
      </tp>
      <tp t="s">
        <v>#N/A N/A</v>
        <stp/>
        <stp>BDP|10289665378417825687</stp>
        <tr r="A1900" s="2"/>
      </tp>
      <tp t="s">
        <v>#N/A N/A</v>
        <stp/>
        <stp>BDP|10783502843609141894</stp>
        <tr r="S1901" s="2"/>
      </tp>
      <tp t="s">
        <v>#N/A N/A</v>
        <stp/>
        <stp>BDP|17260322979560095354</stp>
        <tr r="C1740" s="2"/>
      </tp>
      <tp t="s">
        <v>#N/A N/A</v>
        <stp/>
        <stp>BDP|18160488034766122907</stp>
        <tr r="S1943" s="2"/>
      </tp>
      <tp t="s">
        <v>#N/A N/A</v>
        <stp/>
        <stp>BDP|16648359687875150893</stp>
        <tr r="R1079" s="2"/>
      </tp>
      <tp t="s">
        <v>#N/A N/A</v>
        <stp/>
        <stp>BDP|12800800141227142945</stp>
        <tr r="D1720" s="2"/>
      </tp>
      <tp t="s">
        <v>#N/A N/A</v>
        <stp/>
        <stp>BDP|14650426060837012189</stp>
        <tr r="H379" s="2"/>
      </tp>
      <tp t="s">
        <v>#N/A N/A</v>
        <stp/>
        <stp>BDP|17397437041916554181</stp>
        <tr r="S1316" s="2"/>
      </tp>
      <tp t="s">
        <v>#N/A N/A</v>
        <stp/>
        <stp>BDP|14436246511281561683</stp>
        <tr r="T332" s="2"/>
      </tp>
      <tp t="s">
        <v>#N/A N/A</v>
        <stp/>
        <stp>BDP|14624442907909037998</stp>
        <tr r="C190" s="2"/>
      </tp>
      <tp t="s">
        <v>#N/A N/A</v>
        <stp/>
        <stp>BDP|16254801599502035570</stp>
        <tr r="E1567" s="2"/>
      </tp>
      <tp t="s">
        <v>#N/A N/A</v>
        <stp/>
        <stp>BDP|12533565450876886474</stp>
        <tr r="R270" s="2"/>
      </tp>
      <tp t="s">
        <v>#N/A N/A</v>
        <stp/>
        <stp>BDP|11314537455614833511</stp>
        <tr r="A1885" s="2"/>
      </tp>
      <tp t="s">
        <v>#N/A N/A</v>
        <stp/>
        <stp>BDP|17197355118406324338</stp>
        <tr r="T615" s="2"/>
      </tp>
      <tp t="s">
        <v>#N/A N/A</v>
        <stp/>
        <stp>BDP|10972415477326405570</stp>
        <tr r="K1327" s="2"/>
      </tp>
      <tp t="s">
        <v>#N/A N/A</v>
        <stp/>
        <stp>BDP|18418550692140677497</stp>
        <tr r="H1929" s="2"/>
      </tp>
      <tp t="s">
        <v>#N/A N/A</v>
        <stp/>
        <stp>BDP|11274646344306908572</stp>
        <tr r="S912" s="2"/>
      </tp>
      <tp t="s">
        <v>#N/A N/A</v>
        <stp/>
        <stp>BDP|11975021847272445740</stp>
        <tr r="E2003" s="2"/>
      </tp>
      <tp t="s">
        <v>#N/A N/A</v>
        <stp/>
        <stp>BDP|10585623856241402299</stp>
        <tr r="J843" s="2"/>
      </tp>
      <tp t="s">
        <v>#N/A N/A</v>
        <stp/>
        <stp>BDP|16917387164951069299</stp>
        <tr r="H970" s="2"/>
      </tp>
      <tp t="s">
        <v>#N/A N/A</v>
        <stp/>
        <stp>BDP|10976702548171515285</stp>
        <tr r="A323" s="2"/>
      </tp>
      <tp t="s">
        <v>#N/A N/A</v>
        <stp/>
        <stp>BDP|16194113593077997963</stp>
        <tr r="R1429" s="2"/>
      </tp>
      <tp t="s">
        <v>#N/A N/A</v>
        <stp/>
        <stp>BDP|15753556778534074361</stp>
        <tr r="M2167" s="2"/>
      </tp>
      <tp t="s">
        <v>#N/A N/A</v>
        <stp/>
        <stp>BDP|13293510954127281497</stp>
        <tr r="G1633" s="2"/>
      </tp>
      <tp t="s">
        <v>#N/A N/A</v>
        <stp/>
        <stp>BDS|10292594498524861849</stp>
        <tr r="I1783" s="2"/>
      </tp>
      <tp t="s">
        <v>#N/A N/A</v>
        <stp/>
        <stp>BDP|11654158618855740406</stp>
        <tr r="G7" s="2"/>
      </tp>
      <tp t="s">
        <v>#N/A N/A</v>
        <stp/>
        <stp>BDP|12432085470113780678</stp>
        <tr r="H2250" s="2"/>
      </tp>
      <tp t="s">
        <v>#N/A N/A</v>
        <stp/>
        <stp>BDP|14576487613638364917</stp>
        <tr r="H375" s="2"/>
      </tp>
      <tp t="s">
        <v>#N/A N/A</v>
        <stp/>
        <stp>BDP|13811736185605013927</stp>
        <tr r="R340" s="2"/>
      </tp>
      <tp t="s">
        <v>#N/A N/A</v>
        <stp/>
        <stp>BDP|11446255986859264299</stp>
        <tr r="M1392" s="2"/>
      </tp>
      <tp t="s">
        <v>#N/A N/A</v>
        <stp/>
        <stp>BDP|17807163864937282744</stp>
        <tr r="C604" s="2"/>
      </tp>
      <tp t="s">
        <v>#N/A N/A</v>
        <stp/>
        <stp>BDP|15887425932836645427</stp>
        <tr r="Q2165" s="2"/>
      </tp>
      <tp t="s">
        <v>#N/A N/A</v>
        <stp/>
        <stp>BDP|10447018672942850536</stp>
        <tr r="J1158" s="2"/>
      </tp>
      <tp t="s">
        <v>#N/A N/A</v>
        <stp/>
        <stp>BDP|17543595190949763278</stp>
        <tr r="G1385" s="2"/>
      </tp>
      <tp t="s">
        <v>#N/A N/A</v>
        <stp/>
        <stp>BDP|11425226970884294083</stp>
        <tr r="G1386" s="2"/>
      </tp>
      <tp t="s">
        <v>#N/A N/A</v>
        <stp/>
        <stp>BDP|18054500069508707326</stp>
        <tr r="N2139" s="2"/>
      </tp>
      <tp t="s">
        <v>#N/A N/A</v>
        <stp/>
        <stp>BDP|14960967833408662666</stp>
        <tr r="R1151" s="2"/>
      </tp>
      <tp t="s">
        <v>#N/A N/A</v>
        <stp/>
        <stp>BDP|11156311804157068586</stp>
        <tr r="E1287" s="2"/>
      </tp>
      <tp t="s">
        <v>#N/A N/A</v>
        <stp/>
        <stp>BDP|13376816359788310643</stp>
        <tr r="F1199" s="2"/>
      </tp>
      <tp t="s">
        <v>#N/A N/A</v>
        <stp/>
        <stp>BDP|17873056238690074494</stp>
        <tr r="G244" s="2"/>
      </tp>
      <tp t="s">
        <v>#N/A N/A</v>
        <stp/>
        <stp>BDP|18358960397261624981</stp>
        <tr r="N1418" s="2"/>
      </tp>
      <tp t="s">
        <v>#N/A N/A</v>
        <stp/>
        <stp>BDP|16863145066989560838</stp>
        <tr r="Q2214" s="2"/>
      </tp>
      <tp t="s">
        <v>#N/A N/A</v>
        <stp/>
        <stp>BDP|12307028446081248798</stp>
        <tr r="S2198" s="2"/>
      </tp>
      <tp t="s">
        <v>#N/A N/A</v>
        <stp/>
        <stp>BDP|16971665811631278007</stp>
        <tr r="Q160" s="2"/>
      </tp>
      <tp t="s">
        <v>#N/A N/A</v>
        <stp/>
        <stp>BDS|11316340860921802533</stp>
        <tr r="I302" s="2"/>
      </tp>
      <tp t="s">
        <v>#N/A N/A</v>
        <stp/>
        <stp>BDP|11263468881039250480</stp>
        <tr r="K1247" s="2"/>
      </tp>
      <tp t="s">
        <v>#N/A N/A</v>
        <stp/>
        <stp>BDP|14148561579962220435</stp>
        <tr r="F1697" s="2"/>
      </tp>
      <tp t="s">
        <v>#N/A N/A</v>
        <stp/>
        <stp>BDP|14527888490602608747</stp>
        <tr r="R2094" s="2"/>
      </tp>
      <tp t="s">
        <v>#N/A N/A</v>
        <stp/>
        <stp>BDP|10963983730838740292</stp>
        <tr r="R181" s="2"/>
      </tp>
      <tp t="s">
        <v>#N/A N/A</v>
        <stp/>
        <stp>BDP|18263134475077210998</stp>
        <tr r="G682" s="2"/>
      </tp>
      <tp t="s">
        <v>#N/A N/A</v>
        <stp/>
        <stp>BDP|14601525342006071399</stp>
        <tr r="O1694" s="2"/>
      </tp>
      <tp t="s">
        <v>#N/A N/A</v>
        <stp/>
        <stp>BDP|13120488377793453352</stp>
        <tr r="Q1075" s="2"/>
      </tp>
      <tp t="s">
        <v>#N/A N/A</v>
        <stp/>
        <stp>BDS|12311531050084983652</stp>
        <tr r="I1368" s="2"/>
      </tp>
      <tp t="s">
        <v>#N/A N/A</v>
        <stp/>
        <stp>BDP|16318317928440380760</stp>
        <tr r="H387" s="2"/>
      </tp>
      <tp t="s">
        <v>#N/A N/A</v>
        <stp/>
        <stp>BDP|13533870380383813058</stp>
        <tr r="H140" s="2"/>
      </tp>
      <tp t="s">
        <v>#N/A N/A</v>
        <stp/>
        <stp>BDP|12187567716461936771</stp>
        <tr r="Q547" s="2"/>
      </tp>
      <tp t="s">
        <v>#N/A N/A</v>
        <stp/>
        <stp>BDP|12224941078618497455</stp>
        <tr r="N1436" s="2"/>
      </tp>
      <tp t="s">
        <v>#N/A N/A</v>
        <stp/>
        <stp>BDP|15284768529875799559</stp>
        <tr r="J764" s="2"/>
      </tp>
      <tp t="s">
        <v>#N/A N/A</v>
        <stp/>
        <stp>BDP|17227775501995374581</stp>
        <tr r="O748" s="2"/>
      </tp>
      <tp t="s">
        <v>#N/A N/A</v>
        <stp/>
        <stp>BDP|17003885862930541900</stp>
        <tr r="J291" s="2"/>
      </tp>
      <tp t="s">
        <v>#N/A N/A</v>
        <stp/>
        <stp>BDP|17644598340694467244</stp>
        <tr r="T206" s="2"/>
      </tp>
      <tp t="s">
        <v>#N/A N/A</v>
        <stp/>
        <stp>BDP|17883075712693777554</stp>
        <tr r="N864" s="2"/>
      </tp>
      <tp t="s">
        <v>#N/A N/A</v>
        <stp/>
        <stp>BDP|12031779444363827243</stp>
        <tr r="K352" s="2"/>
      </tp>
      <tp t="s">
        <v>#N/A N/A</v>
        <stp/>
        <stp>BDP|13646719608475743175</stp>
        <tr r="C1435" s="2"/>
      </tp>
      <tp t="s">
        <v>#N/A N/A</v>
        <stp/>
        <stp>BDP|15863325104354211239</stp>
        <tr r="H1865" s="2"/>
      </tp>
      <tp t="s">
        <v>#N/A N/A</v>
        <stp/>
        <stp>BDP|15886310910750726712</stp>
        <tr r="D2093" s="2"/>
      </tp>
      <tp t="s">
        <v>#N/A N/A</v>
        <stp/>
        <stp>BDP|11812318912421550217</stp>
        <tr r="H1313" s="2"/>
      </tp>
      <tp t="s">
        <v>#N/A N/A</v>
        <stp/>
        <stp>BDP|17457436386779735298</stp>
        <tr r="F197" s="2"/>
      </tp>
      <tp t="s">
        <v>#N/A N/A</v>
        <stp/>
        <stp>BDP|18013283844947172922</stp>
        <tr r="M1556" s="2"/>
      </tp>
      <tp t="s">
        <v>#N/A N/A</v>
        <stp/>
        <stp>BDP|14944804684685614149</stp>
        <tr r="Q2054" s="2"/>
      </tp>
      <tp t="s">
        <v>#N/A N/A</v>
        <stp/>
        <stp>BDP|15628483416893423335</stp>
        <tr r="E1629" s="2"/>
      </tp>
      <tp t="s">
        <v>#N/A N/A</v>
        <stp/>
        <stp>BDP|10340880191927650636</stp>
        <tr r="C109" s="2"/>
      </tp>
      <tp t="s">
        <v>#N/A N/A</v>
        <stp/>
        <stp>BDS|17708729638215117607</stp>
        <tr r="I639" s="2"/>
      </tp>
      <tp t="s">
        <v>#N/A N/A</v>
        <stp/>
        <stp>BDP|17465406252670085693</stp>
        <tr r="J1916" s="2"/>
      </tp>
      <tp t="s">
        <v>#N/A N/A</v>
        <stp/>
        <stp>BDP|17889010918375843362</stp>
        <tr r="Q149" s="2"/>
      </tp>
      <tp t="s">
        <v>#N/A N/A</v>
        <stp/>
        <stp>BDP|17619997923938304402</stp>
        <tr r="C2169" s="2"/>
      </tp>
      <tp t="s">
        <v>#N/A N/A</v>
        <stp/>
        <stp>BDP|15883935286652012627</stp>
        <tr r="Q218" s="2"/>
      </tp>
      <tp t="s">
        <v>#N/A N/A</v>
        <stp/>
        <stp>BDP|12287493787739142725</stp>
        <tr r="G778" s="2"/>
      </tp>
      <tp t="s">
        <v>#N/A N/A</v>
        <stp/>
        <stp>BDP|15061109259815393453</stp>
        <tr r="G702" s="2"/>
      </tp>
      <tp t="s">
        <v>#N/A N/A</v>
        <stp/>
        <stp>BDP|17915419611243577130</stp>
        <tr r="P1459" s="2"/>
      </tp>
      <tp t="s">
        <v>#N/A N/A</v>
        <stp/>
        <stp>BDP|14470281452304509749</stp>
        <tr r="J1655" s="2"/>
      </tp>
      <tp t="s">
        <v>#N/A N/A</v>
        <stp/>
        <stp>BDP|10781183985280051950</stp>
        <tr r="H1845" s="2"/>
      </tp>
      <tp t="s">
        <v>#N/A N/A</v>
        <stp/>
        <stp>BDP|12601712129357357028</stp>
        <tr r="N317" s="2"/>
      </tp>
      <tp t="s">
        <v>#N/A N/A</v>
        <stp/>
        <stp>BDP|13475741844673305383</stp>
        <tr r="K1863" s="2"/>
      </tp>
      <tp t="s">
        <v>#N/A N/A</v>
        <stp/>
        <stp>BDP|14408208078830654156</stp>
        <tr r="T1901" s="2"/>
      </tp>
      <tp t="s">
        <v>#N/A N/A</v>
        <stp/>
        <stp>BDP|17788882544373324878</stp>
        <tr r="O1970" s="2"/>
      </tp>
      <tp t="s">
        <v>#N/A N/A</v>
        <stp/>
        <stp>BDS|13182233019297733709</stp>
        <tr r="I78" s="2"/>
      </tp>
      <tp t="s">
        <v>#N/A N/A</v>
        <stp/>
        <stp>BDP|10885693362045418589</stp>
        <tr r="A1549" s="2"/>
      </tp>
      <tp t="s">
        <v>#N/A N/A</v>
        <stp/>
        <stp>BDP|10841770367023674210</stp>
        <tr r="D1629" s="2"/>
      </tp>
      <tp t="s">
        <v>#N/A N/A</v>
        <stp/>
        <stp>BDP|12801432075765447452</stp>
        <tr r="O1085" s="2"/>
      </tp>
      <tp t="s">
        <v>#N/A N/A</v>
        <stp/>
        <stp>BDS|17529590270311909492</stp>
        <tr r="I70" s="2"/>
      </tp>
      <tp t="s">
        <v>#N/A N/A</v>
        <stp/>
        <stp>BDS|17178362231675292288</stp>
        <tr r="I366" s="2"/>
      </tp>
      <tp t="s">
        <v>#N/A N/A</v>
        <stp/>
        <stp>BDP|13851278090749398132</stp>
        <tr r="N1986" s="2"/>
      </tp>
      <tp t="s">
        <v>#N/A N/A</v>
        <stp/>
        <stp>BDP|12700635429580050624</stp>
        <tr r="K1610" s="2"/>
      </tp>
      <tp t="s">
        <v>#N/A N/A</v>
        <stp/>
        <stp>BDP|16222103039783735734</stp>
        <tr r="T1189" s="2"/>
      </tp>
      <tp t="s">
        <v>#N/A N/A</v>
        <stp/>
        <stp>BDP|10224382491718075241</stp>
        <tr r="C1331" s="2"/>
      </tp>
      <tp t="s">
        <v>#N/A N/A</v>
        <stp/>
        <stp>BDP|13041161772333955622</stp>
        <tr r="H405" s="2"/>
      </tp>
      <tp t="s">
        <v>#N/A N/A</v>
        <stp/>
        <stp>BDP|16620809319237003808</stp>
        <tr r="E1242" s="2"/>
      </tp>
      <tp t="s">
        <v>#N/A N/A</v>
        <stp/>
        <stp>BDP|12873356047626153343</stp>
        <tr r="P548" s="2"/>
      </tp>
      <tp t="s">
        <v>#N/A N/A</v>
        <stp/>
        <stp>BDP|14161220023492814673</stp>
        <tr r="S221" s="2"/>
      </tp>
      <tp t="s">
        <v>#N/A N/A</v>
        <stp/>
        <stp>BDP|12932352570213503563</stp>
        <tr r="G1744" s="2"/>
      </tp>
      <tp t="s">
        <v>#N/A N/A</v>
        <stp/>
        <stp>BDP|14073811294514226181</stp>
        <tr r="K500" s="2"/>
      </tp>
      <tp t="s">
        <v>#N/A N/A</v>
        <stp/>
        <stp>BDP|10607116404067954653</stp>
        <tr r="O978" s="2"/>
      </tp>
      <tp t="s">
        <v>#N/A N/A</v>
        <stp/>
        <stp>BDP|13459238726176948578</stp>
        <tr r="O919" s="2"/>
      </tp>
      <tp t="s">
        <v>#N/A N/A</v>
        <stp/>
        <stp>BDP|14323750245662954551</stp>
        <tr r="H137" s="2"/>
      </tp>
      <tp t="s">
        <v>#N/A N/A</v>
        <stp/>
        <stp>BDP|13716539948320252219</stp>
        <tr r="E3" s="2"/>
      </tp>
      <tp t="s">
        <v>#N/A N/A</v>
        <stp/>
        <stp>BDP|15937484499200658817</stp>
        <tr r="Q980" s="2"/>
      </tp>
      <tp t="s">
        <v>#N/A N/A</v>
        <stp/>
        <stp>BDP|11432718744370888267</stp>
        <tr r="A397" s="2"/>
      </tp>
      <tp t="s">
        <v>#N/A N/A</v>
        <stp/>
        <stp>BDP|13416848355787397990</stp>
        <tr r="T2219" s="2"/>
      </tp>
      <tp t="s">
        <v>#N/A N/A</v>
        <stp/>
        <stp>BDP|11512140069802485436</stp>
        <tr r="Q1981" s="2"/>
      </tp>
      <tp t="s">
        <v>#N/A N/A</v>
        <stp/>
        <stp>BDP|18219547841541874803</stp>
        <tr r="N1167" s="2"/>
      </tp>
      <tp t="s">
        <v>#N/A N/A</v>
        <stp/>
        <stp>BDP|16574433714132463194</stp>
        <tr r="R1563" s="2"/>
      </tp>
      <tp t="s">
        <v>#N/A N/A</v>
        <stp/>
        <stp>BDP|11601874484690303194</stp>
        <tr r="S779" s="2"/>
      </tp>
      <tp t="s">
        <v>#N/A N/A</v>
        <stp/>
        <stp>BDP|18424851483398860050</stp>
        <tr r="A1323" s="2"/>
      </tp>
      <tp t="s">
        <v>#N/A N/A</v>
        <stp/>
        <stp>BDP|18416140514738988028</stp>
        <tr r="A668" s="2"/>
      </tp>
      <tp t="s">
        <v>#N/A N/A</v>
        <stp/>
        <stp>BDP|16559160803162846576</stp>
        <tr r="G445" s="2"/>
      </tp>
      <tp t="s">
        <v>#N/A N/A</v>
        <stp/>
        <stp>BDP|15191174863965943735</stp>
        <tr r="T172" s="2"/>
      </tp>
      <tp t="s">
        <v>#N/A N/A</v>
        <stp/>
        <stp>BDP|16510444331084772587</stp>
        <tr r="N1095" s="2"/>
      </tp>
      <tp t="s">
        <v>#N/A N/A</v>
        <stp/>
        <stp>BDP|16510661411045514484</stp>
        <tr r="K353" s="2"/>
      </tp>
      <tp t="s">
        <v>#N/A N/A</v>
        <stp/>
        <stp>BDP|10600336209316580568</stp>
        <tr r="Q1976" s="2"/>
      </tp>
      <tp t="s">
        <v>#N/A N/A</v>
        <stp/>
        <stp>BDP|15542980417079523403</stp>
        <tr r="C376" s="2"/>
      </tp>
      <tp t="s">
        <v>#N/A N/A</v>
        <stp/>
        <stp>BDP|13680766801932812662</stp>
        <tr r="G1691" s="2"/>
      </tp>
      <tp t="s">
        <v>#N/A N/A</v>
        <stp/>
        <stp>BDP|11370130359094169175</stp>
        <tr r="E1930" s="2"/>
      </tp>
      <tp t="s">
        <v>#N/A N/A</v>
        <stp/>
        <stp>BDP|13561733559824928584</stp>
        <tr r="C1759" s="2"/>
      </tp>
      <tp t="s">
        <v>#N/A N/A</v>
        <stp/>
        <stp>BDP|10981621902970386643</stp>
        <tr r="J967" s="2"/>
      </tp>
      <tp t="s">
        <v>#N/A N/A</v>
        <stp/>
        <stp>BDP|12288854317412802963</stp>
        <tr r="A604" s="2"/>
      </tp>
      <tp t="s">
        <v>#N/A N/A</v>
        <stp/>
        <stp>BDP|17588481547052762534</stp>
        <tr r="T497" s="2"/>
      </tp>
      <tp t="s">
        <v>#N/A N/A</v>
        <stp/>
        <stp>BDP|15583300872494036594</stp>
        <tr r="M149" s="2"/>
      </tp>
      <tp t="s">
        <v>#N/A N/A</v>
        <stp/>
        <stp>BDS|13997372954161485438</stp>
        <tr r="I637" s="2"/>
      </tp>
      <tp t="s">
        <v>#N/A N/A</v>
        <stp/>
        <stp>BDP|16433309574183777196</stp>
        <tr r="R1599" s="2"/>
      </tp>
      <tp t="s">
        <v>#N/A N/A</v>
        <stp/>
        <stp>BDS|11778085667651073659</stp>
        <tr r="I1136" s="2"/>
      </tp>
      <tp t="s">
        <v>#N/A N/A</v>
        <stp/>
        <stp>BDP|11455140301482694292</stp>
        <tr r="G989" s="2"/>
      </tp>
      <tp t="s">
        <v>#N/A N/A</v>
        <stp/>
        <stp>BDP|15845540971423197420</stp>
        <tr r="D70" s="2"/>
      </tp>
      <tp t="s">
        <v>#N/A N/A</v>
        <stp/>
        <stp>BDP|17702714921127959508</stp>
        <tr r="R148" s="2"/>
      </tp>
      <tp t="s">
        <v>#N/A N/A</v>
        <stp/>
        <stp>BDP|15548092085794202959</stp>
        <tr r="D1431" s="2"/>
      </tp>
      <tp t="s">
        <v>#N/A N/A</v>
        <stp/>
        <stp>BDP|16854749955045157166</stp>
        <tr r="G63" s="2"/>
      </tp>
      <tp t="s">
        <v>#N/A N/A</v>
        <stp/>
        <stp>BDS|13183558862797385780</stp>
        <tr r="I2243" s="2"/>
      </tp>
      <tp t="s">
        <v>#N/A N/A</v>
        <stp/>
        <stp>BDP|13274595684828571642</stp>
        <tr r="J529" s="2"/>
      </tp>
      <tp t="s">
        <v>#N/A N/A</v>
        <stp/>
        <stp>BDP|14907688168065700107</stp>
        <tr r="T241" s="2"/>
      </tp>
      <tp t="s">
        <v>#N/A N/A</v>
        <stp/>
        <stp>BDP|17497403016191430386</stp>
        <tr r="H1385" s="2"/>
      </tp>
      <tp t="s">
        <v>#N/A N/A</v>
        <stp/>
        <stp>BDP|16104180865259581874</stp>
        <tr r="T540" s="2"/>
      </tp>
      <tp t="s">
        <v>#N/A N/A</v>
        <stp/>
        <stp>BDP|16491756765071294688</stp>
        <tr r="G1594" s="2"/>
      </tp>
      <tp t="s">
        <v>#N/A N/A</v>
        <stp/>
        <stp>BDS|11859435397999932584</stp>
        <tr r="I369" s="2"/>
      </tp>
      <tp t="s">
        <v>#N/A N/A</v>
        <stp/>
        <stp>BDP|10515407324300695692</stp>
        <tr r="A1328" s="2"/>
      </tp>
      <tp t="s">
        <v>#N/A N/A</v>
        <stp/>
        <stp>BDP|16236322200925675081</stp>
        <tr r="S158" s="2"/>
      </tp>
      <tp t="s">
        <v>#N/A N/A</v>
        <stp/>
        <stp>BDP|11888927770149661625</stp>
        <tr r="P1827" s="2"/>
      </tp>
      <tp t="s">
        <v>#N/A N/A</v>
        <stp/>
        <stp>BDP|14323565108616746748</stp>
        <tr r="M1206" s="2"/>
      </tp>
      <tp t="s">
        <v>#N/A N/A</v>
        <stp/>
        <stp>BDP|17500004821794263188</stp>
        <tr r="S1655" s="2"/>
      </tp>
      <tp t="s">
        <v>#N/A N/A</v>
        <stp/>
        <stp>BDP|11397538669802025077</stp>
        <tr r="T1746" s="2"/>
      </tp>
      <tp t="s">
        <v>#N/A N/A</v>
        <stp/>
        <stp>BDS|16638102850667882533</stp>
        <tr r="I604" s="2"/>
      </tp>
      <tp t="s">
        <v>#N/A N/A</v>
        <stp/>
        <stp>BDP|10888670935712227761</stp>
        <tr r="T1300" s="2"/>
      </tp>
      <tp t="s">
        <v>#N/A N/A</v>
        <stp/>
        <stp>BDP|12696828759707480872</stp>
        <tr r="F1627" s="2"/>
      </tp>
      <tp t="s">
        <v>#N/A N/A</v>
        <stp/>
        <stp>BDP|13393554923683201797</stp>
        <tr r="G1486" s="2"/>
      </tp>
      <tp t="s">
        <v>#N/A N/A</v>
        <stp/>
        <stp>BDP|13612220439224187627</stp>
        <tr r="T813" s="2"/>
      </tp>
      <tp t="s">
        <v>#N/A N/A</v>
        <stp/>
        <stp>BDP|13044666248101633063</stp>
        <tr r="T865" s="2"/>
      </tp>
      <tp t="s">
        <v>#N/A N/A</v>
        <stp/>
        <stp>BDP|15705905931889863608</stp>
        <tr r="Q569" s="2"/>
      </tp>
      <tp t="s">
        <v>#N/A N/A</v>
        <stp/>
        <stp>BDP|10916173396420435826</stp>
        <tr r="K1544" s="2"/>
      </tp>
      <tp t="s">
        <v>#N/A N/A</v>
        <stp/>
        <stp>BDP|14361553565757809050</stp>
        <tr r="J1026" s="2"/>
      </tp>
      <tp t="s">
        <v>#N/A N/A</v>
        <stp/>
        <stp>BDP|16727681310090735162</stp>
        <tr r="S1861" s="2"/>
      </tp>
      <tp t="s">
        <v>#N/A N/A</v>
        <stp/>
        <stp>BDS|11195684678985501596</stp>
        <tr r="I2039" s="2"/>
      </tp>
      <tp t="s">
        <v>#N/A N/A</v>
        <stp/>
        <stp>BDP|14173178775903841150</stp>
        <tr r="F55" s="2"/>
      </tp>
      <tp t="s">
        <v>#N/A N/A</v>
        <stp/>
        <stp>BDP|14753310249215047611</stp>
        <tr r="F1081" s="2"/>
      </tp>
      <tp t="s">
        <v>#N/A N/A</v>
        <stp/>
        <stp>BDP|17263022666760144195</stp>
        <tr r="J241" s="2"/>
      </tp>
      <tp t="s">
        <v>#N/A N/A</v>
        <stp/>
        <stp>BDP|16240484732019217843</stp>
        <tr r="T270" s="2"/>
      </tp>
      <tp t="s">
        <v>#N/A N/A</v>
        <stp/>
        <stp>BDP|13684034069054372119</stp>
        <tr r="H911" s="2"/>
      </tp>
      <tp t="s">
        <v>#N/A N/A</v>
        <stp/>
        <stp>BDP|17753246259919402908</stp>
        <tr r="A1814" s="2"/>
      </tp>
      <tp t="s">
        <v>#N/A N/A</v>
        <stp/>
        <stp>BDP|14237981952201666907</stp>
        <tr r="P823" s="2"/>
      </tp>
      <tp t="s">
        <v>#N/A N/A</v>
        <stp/>
        <stp>BDP|11670788558477099483</stp>
        <tr r="E1791" s="2"/>
      </tp>
      <tp t="s">
        <v>#N/A N/A</v>
        <stp/>
        <stp>BDP|10073988286068392937</stp>
        <tr r="J726" s="2"/>
      </tp>
      <tp t="s">
        <v>#N/A N/A</v>
        <stp/>
        <stp>BDP|13819575868109054991</stp>
        <tr r="S1711" s="2"/>
      </tp>
      <tp t="s">
        <v>#N/A N/A</v>
        <stp/>
        <stp>BDP|11908667765434338571</stp>
        <tr r="R1731" s="2"/>
      </tp>
      <tp t="s">
        <v>#N/A N/A</v>
        <stp/>
        <stp>BDP|13937821197166431461</stp>
        <tr r="P251" s="2"/>
      </tp>
      <tp t="s">
        <v>#N/A N/A</v>
        <stp/>
        <stp>BDP|12749578395677222998</stp>
        <tr r="J42" s="2"/>
      </tp>
      <tp t="s">
        <v>#N/A N/A</v>
        <stp/>
        <stp>BDP|15254142019423749667</stp>
        <tr r="T906" s="2"/>
      </tp>
      <tp t="s">
        <v>#N/A N/A</v>
        <stp/>
        <stp>BDP|11158563218795948085</stp>
        <tr r="A1600" s="2"/>
      </tp>
      <tp t="s">
        <v>#N/A N/A</v>
        <stp/>
        <stp>BDP|12436973809723368876</stp>
        <tr r="A1506" s="2"/>
      </tp>
      <tp t="s">
        <v>#N/A N/A</v>
        <stp/>
        <stp>BDP|11159154601585230590</stp>
        <tr r="R1189" s="2"/>
      </tp>
      <tp t="s">
        <v>#N/A N/A</v>
        <stp/>
        <stp>BDP|14004199181869425424</stp>
        <tr r="J2196" s="2"/>
      </tp>
      <tp t="s">
        <v>#N/A N/A</v>
        <stp/>
        <stp>BDP|15645792713451176232</stp>
        <tr r="N486" s="2"/>
      </tp>
      <tp t="s">
        <v>#N/A N/A</v>
        <stp/>
        <stp>BDP|10009285956215081208</stp>
        <tr r="R2185" s="2"/>
      </tp>
      <tp t="s">
        <v>#N/A N/A</v>
        <stp/>
        <stp>BDP|11675456609565068044</stp>
        <tr r="E972" s="2"/>
      </tp>
      <tp t="s">
        <v>#N/A N/A</v>
        <stp/>
        <stp>BDP|15082439351363949750</stp>
        <tr r="T1521" s="2"/>
      </tp>
      <tp t="s">
        <v>#N/A N/A</v>
        <stp/>
        <stp>BDP|13201088833969438934</stp>
        <tr r="T1786" s="2"/>
      </tp>
      <tp t="s">
        <v>#N/A N/A</v>
        <stp/>
        <stp>BDP|12752085533598472967</stp>
        <tr r="F1220" s="2"/>
      </tp>
      <tp t="s">
        <v>#N/A N/A</v>
        <stp/>
        <stp>BDP|11813886908151050866</stp>
        <tr r="O548" s="2"/>
      </tp>
      <tp t="s">
        <v>#N/A N/A</v>
        <stp/>
        <stp>BDP|15999563762261147729</stp>
        <tr r="R347" s="2"/>
      </tp>
      <tp t="s">
        <v>#N/A N/A</v>
        <stp/>
        <stp>BDP|12400705611082365686</stp>
        <tr r="G542" s="2"/>
      </tp>
      <tp t="s">
        <v>#N/A N/A</v>
        <stp/>
        <stp>BDP|12763098939988119983</stp>
        <tr r="M1570" s="2"/>
      </tp>
      <tp t="s">
        <v>#N/A N/A</v>
        <stp/>
        <stp>BDP|11656462011007742386</stp>
        <tr r="R430" s="2"/>
      </tp>
      <tp t="s">
        <v>#N/A N/A</v>
        <stp/>
        <stp>BDP|12090033730730880150</stp>
        <tr r="O709" s="2"/>
      </tp>
      <tp t="s">
        <v>#N/A N/A</v>
        <stp/>
        <stp>BDP|14234897137879594670</stp>
        <tr r="K1428" s="2"/>
      </tp>
      <tp t="s">
        <v>#N/A N/A</v>
        <stp/>
        <stp>BDP|10536210611177967421</stp>
        <tr r="Q1162" s="2"/>
      </tp>
      <tp t="s">
        <v>#N/A N/A</v>
        <stp/>
        <stp>BDP|14102934771232945847</stp>
        <tr r="F2229" s="2"/>
      </tp>
      <tp t="s">
        <v>#N/A N/A</v>
        <stp/>
        <stp>BDP|17175609979414470229</stp>
        <tr r="D1954" s="2"/>
      </tp>
      <tp t="s">
        <v>#N/A N/A</v>
        <stp/>
        <stp>BDP|11922983243008834446</stp>
        <tr r="Q1364" s="2"/>
      </tp>
      <tp t="s">
        <v>#N/A N/A</v>
        <stp/>
        <stp>BDP|10454405561196839436</stp>
        <tr r="M1011" s="2"/>
      </tp>
      <tp t="s">
        <v>#N/A N/A</v>
        <stp/>
        <stp>BDP|15608151840264835454</stp>
        <tr r="T1898" s="2"/>
      </tp>
      <tp t="s">
        <v>#N/A N/A</v>
        <stp/>
        <stp>BDS|16391205035786111151</stp>
        <tr r="I2065" s="2"/>
      </tp>
      <tp t="s">
        <v>#N/A N/A</v>
        <stp/>
        <stp>BDP|11433099026596821526</stp>
        <tr r="S1116" s="2"/>
      </tp>
      <tp t="s">
        <v>#N/A N/A</v>
        <stp/>
        <stp>BDP|15807026571090851228</stp>
        <tr r="P946" s="2"/>
      </tp>
      <tp t="s">
        <v>#N/A N/A</v>
        <stp/>
        <stp>BDP|15283635751405334321</stp>
        <tr r="H1894" s="2"/>
      </tp>
      <tp t="s">
        <v>#N/A N/A</v>
        <stp/>
        <stp>BDP|12167743957176093637</stp>
        <tr r="E1439" s="2"/>
      </tp>
      <tp t="s">
        <v>#N/A N/A</v>
        <stp/>
        <stp>BDP|11114730543700184214</stp>
        <tr r="M1071" s="2"/>
      </tp>
      <tp t="s">
        <v>#N/A N/A</v>
        <stp/>
        <stp>BDP|13272975053118306749</stp>
        <tr r="K983" s="2"/>
      </tp>
      <tp t="s">
        <v>#N/A N/A</v>
        <stp/>
        <stp>BDP|15657647112903793168</stp>
        <tr r="C1595" s="2"/>
      </tp>
      <tp t="s">
        <v>#N/A N/A</v>
        <stp/>
        <stp>BDP|12636806412849122245</stp>
        <tr r="S1913" s="2"/>
      </tp>
      <tp t="s">
        <v>#N/A N/A</v>
        <stp/>
        <stp>BDP|12735900292654474608</stp>
        <tr r="T1021" s="2"/>
      </tp>
      <tp t="s">
        <v>#N/A N/A</v>
        <stp/>
        <stp>BDP|13699240208945209499</stp>
        <tr r="Q986" s="2"/>
      </tp>
      <tp t="s">
        <v>#N/A N/A</v>
        <stp/>
        <stp>BDP|11750411203237360279</stp>
        <tr r="T2182" s="2"/>
      </tp>
      <tp t="s">
        <v>#N/A N/A</v>
        <stp/>
        <stp>BDP|10220409417535717036</stp>
        <tr r="F1816" s="2"/>
      </tp>
      <tp t="s">
        <v>#N/A N/A</v>
        <stp/>
        <stp>BDP|14035929693631073502</stp>
        <tr r="S1264" s="2"/>
      </tp>
      <tp t="s">
        <v>#N/A N/A</v>
        <stp/>
        <stp>BDP|15817432805843608292</stp>
        <tr r="H1948" s="2"/>
      </tp>
      <tp t="s">
        <v>#N/A N/A</v>
        <stp/>
        <stp>BDP|17196538621233080322</stp>
        <tr r="J1371" s="2"/>
      </tp>
      <tp t="s">
        <v>#N/A N/A</v>
        <stp/>
        <stp>BDP|14685743426357246675</stp>
        <tr r="A1623" s="2"/>
      </tp>
      <tp t="s">
        <v>#N/A N/A</v>
        <stp/>
        <stp>BDP|16489141325517519214</stp>
        <tr r="Q993" s="2"/>
      </tp>
      <tp t="s">
        <v>#N/A N/A</v>
        <stp/>
        <stp>BDP|13708630995319499542</stp>
        <tr r="Q1749" s="2"/>
      </tp>
      <tp t="s">
        <v>#N/A N/A</v>
        <stp/>
        <stp>BDP|10916503228874555357</stp>
        <tr r="O544" s="2"/>
      </tp>
      <tp t="s">
        <v>#N/A N/A</v>
        <stp/>
        <stp>BDP|10160166815329587964</stp>
        <tr r="M923" s="2"/>
      </tp>
      <tp t="s">
        <v>#N/A N/A</v>
        <stp/>
        <stp>BDP|13150266911436697611</stp>
        <tr r="A1496" s="2"/>
      </tp>
      <tp t="s">
        <v>#N/A N/A</v>
        <stp/>
        <stp>BDP|18209878237513002032</stp>
        <tr r="G294" s="2"/>
      </tp>
      <tp t="s">
        <v>#N/A N/A</v>
        <stp/>
        <stp>BDP|15656510573116093152</stp>
        <tr r="P870" s="2"/>
      </tp>
      <tp t="s">
        <v>#N/A N/A</v>
        <stp/>
        <stp>BDP|12341100424952578334</stp>
        <tr r="J953" s="2"/>
      </tp>
      <tp t="s">
        <v>#N/A N/A</v>
        <stp/>
        <stp>BDP|18402616374220829988</stp>
        <tr r="M1452" s="2"/>
      </tp>
      <tp t="s">
        <v>#N/A N/A</v>
        <stp/>
        <stp>BDP|10150727412361597756</stp>
        <tr r="S1557" s="2"/>
      </tp>
      <tp t="s">
        <v>#N/A N/A</v>
        <stp/>
        <stp>BDP|13596926698024727793</stp>
        <tr r="Q756" s="2"/>
      </tp>
      <tp t="s">
        <v>#N/A N/A</v>
        <stp/>
        <stp>BDP|11269919886133336373</stp>
        <tr r="O1234" s="2"/>
      </tp>
      <tp t="s">
        <v>#N/A N/A</v>
        <stp/>
        <stp>BDP|15636363974968251971</stp>
        <tr r="E62" s="2"/>
      </tp>
      <tp t="s">
        <v>#N/A N/A</v>
        <stp/>
        <stp>BDP|10795575702090510560</stp>
        <tr r="F1669" s="2"/>
      </tp>
      <tp t="s">
        <v>#N/A N/A</v>
        <stp/>
        <stp>BDP|16733249411600173526</stp>
        <tr r="G1148" s="2"/>
      </tp>
      <tp t="s">
        <v>#N/A N/A</v>
        <stp/>
        <stp>BDS|16481013036441431451</stp>
        <tr r="I1994" s="2"/>
      </tp>
      <tp t="s">
        <v>#N/A N/A</v>
        <stp/>
        <stp>BDP|14007658086632423861</stp>
        <tr r="P1452" s="2"/>
      </tp>
      <tp t="s">
        <v>#N/A N/A</v>
        <stp/>
        <stp>BDP|10012629642745872795</stp>
        <tr r="H104" s="2"/>
      </tp>
      <tp t="s">
        <v>#N/A N/A</v>
        <stp/>
        <stp>BDP|15392666981112078954</stp>
        <tr r="R142" s="2"/>
      </tp>
      <tp t="s">
        <v>#N/A N/A</v>
        <stp/>
        <stp>BDP|17290749965333564579</stp>
        <tr r="S876" s="2"/>
      </tp>
      <tp t="s">
        <v>#N/A N/A</v>
        <stp/>
        <stp>BDP|16995261046481907110</stp>
        <tr r="G1431" s="2"/>
      </tp>
      <tp t="s">
        <v>#N/A N/A</v>
        <stp/>
        <stp>BDP|11478774356041379278</stp>
        <tr r="C802" s="2"/>
      </tp>
      <tp t="s">
        <v>#N/A N/A</v>
        <stp/>
        <stp>BDP|13494708356934439578</stp>
        <tr r="R296" s="2"/>
      </tp>
      <tp t="s">
        <v>#N/A N/A</v>
        <stp/>
        <stp>BDP|15044714528415069581</stp>
        <tr r="J35" s="2"/>
      </tp>
      <tp t="s">
        <v>#N/A N/A</v>
        <stp/>
        <stp>BDP|16175835027274439800</stp>
        <tr r="N250" s="2"/>
      </tp>
      <tp t="s">
        <v>#N/A N/A</v>
        <stp/>
        <stp>BDP|16666067038721020497</stp>
        <tr r="K385" s="2"/>
      </tp>
      <tp t="s">
        <v>#N/A N/A</v>
        <stp/>
        <stp>BDP|17664532765143003716</stp>
        <tr r="N792" s="2"/>
      </tp>
      <tp t="s">
        <v>#N/A N/A</v>
        <stp/>
        <stp>BDP|14432512317023703342</stp>
        <tr r="E804" s="2"/>
      </tp>
      <tp t="s">
        <v>#N/A N/A</v>
        <stp/>
        <stp>BDP|12053287699061068806</stp>
        <tr r="H712" s="2"/>
      </tp>
      <tp t="s">
        <v>#N/A N/A</v>
        <stp/>
        <stp>BDP|18301136082039666852</stp>
        <tr r="D456" s="2"/>
      </tp>
      <tp t="s">
        <v>#N/A N/A</v>
        <stp/>
        <stp>BDP|14673259540411410369</stp>
        <tr r="Q196" s="2"/>
      </tp>
      <tp t="s">
        <v>#N/A N/A</v>
        <stp/>
        <stp>BDP|10764618338713790682</stp>
        <tr r="S513" s="2"/>
      </tp>
      <tp t="s">
        <v>#N/A N/A</v>
        <stp/>
        <stp>BDP|11677524603702440622</stp>
        <tr r="E794" s="2"/>
      </tp>
      <tp t="s">
        <v>#N/A N/A</v>
        <stp/>
        <stp>BDP|18161476484772361603</stp>
        <tr r="H1214" s="2"/>
      </tp>
      <tp t="s">
        <v>#N/A N/A</v>
        <stp/>
        <stp>BDP|11160790912433867435</stp>
        <tr r="J1429" s="2"/>
      </tp>
      <tp t="s">
        <v>#N/A N/A</v>
        <stp/>
        <stp>BDP|10981566630277799194</stp>
        <tr r="R644" s="2"/>
      </tp>
      <tp t="s">
        <v>#N/A N/A</v>
        <stp/>
        <stp>BDP|15625200302375436213</stp>
        <tr r="F619" s="2"/>
      </tp>
      <tp t="s">
        <v>#N/A N/A</v>
        <stp/>
        <stp>BDP|16422664033636847585</stp>
        <tr r="Q311" s="2"/>
      </tp>
      <tp t="s">
        <v>#N/A N/A</v>
        <stp/>
        <stp>BDP|11210255825520638153</stp>
        <tr r="P1012" s="2"/>
      </tp>
      <tp t="s">
        <v>#N/A N/A</v>
        <stp/>
        <stp>BDP|17912426562693943615</stp>
        <tr r="Q2152" s="2"/>
      </tp>
      <tp t="s">
        <v>#N/A N/A</v>
        <stp/>
        <stp>BDP|16912689914277420608</stp>
        <tr r="D477" s="2"/>
      </tp>
      <tp t="s">
        <v>#N/A N/A</v>
        <stp/>
        <stp>BDP|17675441388738919320</stp>
        <tr r="T1526" s="2"/>
      </tp>
      <tp t="s">
        <v>#N/A N/A</v>
        <stp/>
        <stp>BDP|17547740092311208807</stp>
        <tr r="R792" s="2"/>
      </tp>
      <tp t="s">
        <v>#N/A N/A</v>
        <stp/>
        <stp>BDP|13831312240241043587</stp>
        <tr r="N361" s="2"/>
      </tp>
      <tp t="s">
        <v>#N/A N/A</v>
        <stp/>
        <stp>BDP|14079687939987285626</stp>
        <tr r="T592" s="2"/>
      </tp>
      <tp t="s">
        <v>#N/A N/A</v>
        <stp/>
        <stp>BDP|18239667204698839696</stp>
        <tr r="S2191" s="2"/>
      </tp>
      <tp t="s">
        <v>#N/A N/A</v>
        <stp/>
        <stp>BDP|11313702977181128047</stp>
        <tr r="O292" s="2"/>
      </tp>
      <tp t="s">
        <v>#N/A N/A</v>
        <stp/>
        <stp>BDP|12140456430491277476</stp>
        <tr r="N1650" s="2"/>
      </tp>
      <tp t="s">
        <v>#N/A N/A</v>
        <stp/>
        <stp>BDP|17754606034585036722</stp>
        <tr r="T1801" s="2"/>
      </tp>
      <tp t="s">
        <v>#N/A N/A</v>
        <stp/>
        <stp>BDP|10968797861579512852</stp>
        <tr r="R1062" s="2"/>
      </tp>
      <tp t="s">
        <v>#N/A N/A</v>
        <stp/>
        <stp>BDP|14550827189951894575</stp>
        <tr r="C1354" s="2"/>
      </tp>
      <tp t="s">
        <v>#N/A N/A</v>
        <stp/>
        <stp>BDP|12318777748741538085</stp>
        <tr r="R1628" s="2"/>
      </tp>
      <tp t="s">
        <v>#N/A N/A</v>
        <stp/>
        <stp>BDP|15507643748213822404</stp>
        <tr r="M2176" s="2"/>
      </tp>
      <tp t="s">
        <v>#N/A N/A</v>
        <stp/>
        <stp>BDP|14125112834531107743</stp>
        <tr r="S1770" s="2"/>
      </tp>
      <tp t="s">
        <v>#N/A N/A</v>
        <stp/>
        <stp>BDP|13771748059300294193</stp>
        <tr r="E1716" s="2"/>
      </tp>
      <tp t="s">
        <v>#N/A N/A</v>
        <stp/>
        <stp>BDP|17426056181258136703</stp>
        <tr r="P429" s="2"/>
      </tp>
      <tp t="s">
        <v>#N/A N/A</v>
        <stp/>
        <stp>BDP|13728047627360588108</stp>
        <tr r="J1455" s="2"/>
      </tp>
      <tp t="s">
        <v>#N/A N/A</v>
        <stp/>
        <stp>BDP|11858691073553605354</stp>
        <tr r="O1525" s="2"/>
      </tp>
      <tp t="s">
        <v>#N/A N/A</v>
        <stp/>
        <stp>BDP|14280090855742627398</stp>
        <tr r="Q242" s="2"/>
      </tp>
      <tp t="s">
        <v>#N/A N/A</v>
        <stp/>
        <stp>BDP|12270426146572103061</stp>
        <tr r="A763" s="2"/>
      </tp>
      <tp t="s">
        <v>#N/A N/A</v>
        <stp/>
        <stp>BDS|11930480162603011011</stp>
        <tr r="I824" s="2"/>
      </tp>
      <tp t="s">
        <v>#N/A N/A</v>
        <stp/>
        <stp>BDP|12322305116367296768</stp>
        <tr r="S314" s="2"/>
      </tp>
      <tp t="s">
        <v>#N/A N/A</v>
        <stp/>
        <stp>BDP|16318282562411111392</stp>
        <tr r="R1887" s="2"/>
      </tp>
      <tp t="s">
        <v>#N/A N/A</v>
        <stp/>
        <stp>BDP|17409091465292908307</stp>
        <tr r="P1968" s="2"/>
      </tp>
      <tp t="s">
        <v>#N/A N/A</v>
        <stp/>
        <stp>BDP|17334722983068244011</stp>
        <tr r="J449" s="2"/>
      </tp>
      <tp t="s">
        <v>#N/A N/A</v>
        <stp/>
        <stp>BDP|10408632362006153653</stp>
        <tr r="A803" s="2"/>
      </tp>
      <tp t="s">
        <v>#N/A N/A</v>
        <stp/>
        <stp>BDP|16252151642194218760</stp>
        <tr r="E1519" s="2"/>
      </tp>
      <tp t="s">
        <v>#N/A N/A</v>
        <stp/>
        <stp>BDP|16941541086239267285</stp>
        <tr r="T2100" s="2"/>
      </tp>
      <tp t="s">
        <v>#N/A N/A</v>
        <stp/>
        <stp>BDP|14500303030473703733</stp>
        <tr r="C1208" s="2"/>
      </tp>
      <tp t="s">
        <v>#N/A N/A</v>
        <stp/>
        <stp>BDP|10320173860797063054</stp>
        <tr r="Q53" s="2"/>
      </tp>
      <tp t="s">
        <v>#N/A N/A</v>
        <stp/>
        <stp>BDP|14169631557624782322</stp>
        <tr r="O1977" s="2"/>
      </tp>
      <tp t="s">
        <v>#N/A N/A</v>
        <stp/>
        <stp>BDP|13849918398961174209</stp>
        <tr r="S2168" s="2"/>
      </tp>
      <tp t="s">
        <v>#N/A N/A</v>
        <stp/>
        <stp>BDP|14978966431209806768</stp>
        <tr r="H92" s="2"/>
      </tp>
      <tp t="s">
        <v>#N/A N/A</v>
        <stp/>
        <stp>BDP|10733320003906106571</stp>
        <tr r="O1558" s="2"/>
      </tp>
      <tp t="s">
        <v>#N/A N/A</v>
        <stp/>
        <stp>BDS|12934950574838976427</stp>
        <tr r="I1613" s="2"/>
      </tp>
      <tp t="s">
        <v>#N/A N/A</v>
        <stp/>
        <stp>BDP|14013717538964001494</stp>
        <tr r="C2071" s="2"/>
      </tp>
      <tp t="s">
        <v>#N/A N/A</v>
        <stp/>
        <stp>BDP|10920891562308628648</stp>
        <tr r="O2214" s="2"/>
      </tp>
      <tp t="s">
        <v>#N/A N/A</v>
        <stp/>
        <stp>BDP|17827338341093900330</stp>
        <tr r="F2140" s="2"/>
      </tp>
      <tp t="s">
        <v>#N/A N/A</v>
        <stp/>
        <stp>BDS|18295356657386657853</stp>
        <tr r="I469" s="2"/>
      </tp>
      <tp t="s">
        <v>#N/A N/A</v>
        <stp/>
        <stp>BDP|11781751407162438411</stp>
        <tr r="A952" s="2"/>
      </tp>
      <tp t="s">
        <v>#N/A N/A</v>
        <stp/>
        <stp>BDS|10490932727083235812</stp>
        <tr r="I2127" s="2"/>
      </tp>
      <tp t="s">
        <v>#N/A N/A</v>
        <stp/>
        <stp>BDP|18039734889922846520</stp>
        <tr r="R2037" s="2"/>
      </tp>
      <tp t="s">
        <v>#N/A N/A</v>
        <stp/>
        <stp>BDP|15683283907943808418</stp>
        <tr r="E442" s="2"/>
      </tp>
      <tp t="s">
        <v>#N/A N/A</v>
        <stp/>
        <stp>BDP|13575910603112442838</stp>
        <tr r="E217" s="2"/>
      </tp>
      <tp t="s">
        <v>#N/A N/A</v>
        <stp/>
        <stp>BDP|16064426702384936699</stp>
        <tr r="K17" s="2"/>
      </tp>
      <tp t="s">
        <v>#N/A N/A</v>
        <stp/>
        <stp>BDP|14409612432368694911</stp>
        <tr r="D1727" s="2"/>
      </tp>
      <tp t="s">
        <v>#N/A N/A</v>
        <stp/>
        <stp>BDP|15512092925252194581</stp>
        <tr r="P759" s="2"/>
      </tp>
      <tp t="s">
        <v>#N/A N/A</v>
        <stp/>
        <stp>BDP|12701616354828056922</stp>
        <tr r="K908" s="2"/>
      </tp>
      <tp t="s">
        <v>#N/A N/A</v>
        <stp/>
        <stp>BDS|13095734880574398838</stp>
        <tr r="I710" s="2"/>
      </tp>
      <tp t="s">
        <v>#N/A N/A</v>
        <stp/>
        <stp>BDP|14009239043996898481</stp>
        <tr r="F1051" s="2"/>
      </tp>
      <tp t="s">
        <v>#N/A N/A</v>
        <stp/>
        <stp>BDP|15439258916217594128</stp>
        <tr r="F1737" s="2"/>
      </tp>
      <tp t="s">
        <v>#N/A N/A</v>
        <stp/>
        <stp>BDS|16011881909888257605</stp>
        <tr r="I1585" s="2"/>
      </tp>
      <tp t="s">
        <v>#N/A N/A</v>
        <stp/>
        <stp>BDP|11959981964078297675</stp>
        <tr r="D591" s="2"/>
      </tp>
      <tp t="s">
        <v>#N/A N/A</v>
        <stp/>
        <stp>BDP|17356073660971355072</stp>
        <tr r="J355" s="2"/>
      </tp>
      <tp t="s">
        <v>#N/A N/A</v>
        <stp/>
        <stp>BDS|15674223616005690375</stp>
        <tr r="I395" s="2"/>
      </tp>
      <tp t="s">
        <v>#N/A N/A</v>
        <stp/>
        <stp>BDP|10226826719789942008</stp>
        <tr r="N2148" s="2"/>
      </tp>
      <tp t="s">
        <v>#N/A N/A</v>
        <stp/>
        <stp>BDP|13368987502539134388</stp>
        <tr r="M115" s="2"/>
      </tp>
      <tp t="s">
        <v>#N/A N/A</v>
        <stp/>
        <stp>BDP|10520046110130797163</stp>
        <tr r="G1511" s="2"/>
      </tp>
      <tp t="s">
        <v>#N/A N/A</v>
        <stp/>
        <stp>BDP|17080224868761259281</stp>
        <tr r="M569" s="2"/>
      </tp>
      <tp t="s">
        <v>#N/A N/A</v>
        <stp/>
        <stp>BDP|13355033791622163809</stp>
        <tr r="E1750" s="2"/>
      </tp>
      <tp t="s">
        <v>#N/A N/A</v>
        <stp/>
        <stp>BDP|12206489518752324513</stp>
        <tr r="H31" s="2"/>
      </tp>
      <tp t="s">
        <v>#N/A N/A</v>
        <stp/>
        <stp>BDP|13119460736924153003</stp>
        <tr r="E1383" s="2"/>
      </tp>
      <tp t="s">
        <v>#N/A N/A</v>
        <stp/>
        <stp>BDP|13645055546574139349</stp>
        <tr r="J1473" s="2"/>
      </tp>
      <tp t="s">
        <v>#N/A N/A</v>
        <stp/>
        <stp>BDP|15472419819295550594</stp>
        <tr r="R283" s="2"/>
      </tp>
      <tp t="s">
        <v>#N/A N/A</v>
        <stp/>
        <stp>BDP|15515541536913433037</stp>
        <tr r="F689" s="2"/>
      </tp>
      <tp t="s">
        <v>#N/A N/A</v>
        <stp/>
        <stp>BDP|11050354886279172328</stp>
        <tr r="C616" s="2"/>
      </tp>
      <tp t="s">
        <v>#N/A N/A</v>
        <stp/>
        <stp>BDP|15452704131097254678</stp>
        <tr r="A96" s="2"/>
      </tp>
      <tp t="s">
        <v>#N/A N/A</v>
        <stp/>
        <stp>BDP|13878864758179491727</stp>
        <tr r="N1811" s="2"/>
      </tp>
      <tp t="s">
        <v>#N/A N/A</v>
        <stp/>
        <stp>BDP|15132756122032619208</stp>
        <tr r="M1865" s="2"/>
      </tp>
      <tp t="s">
        <v>#N/A N/A</v>
        <stp/>
        <stp>BDP|17669223420613087447</stp>
        <tr r="F1471" s="2"/>
      </tp>
      <tp t="s">
        <v>#N/A N/A</v>
        <stp/>
        <stp>BDP|12056229446887280360</stp>
        <tr r="N2125" s="2"/>
      </tp>
      <tp t="s">
        <v>#N/A N/A</v>
        <stp/>
        <stp>BDP|11297024646055360057</stp>
        <tr r="N1547" s="2"/>
      </tp>
      <tp t="s">
        <v>#N/A N/A</v>
        <stp/>
        <stp>BDP|13292752514304260112</stp>
        <tr r="K2229" s="2"/>
      </tp>
      <tp t="s">
        <v>#N/A N/A</v>
        <stp/>
        <stp>BDP|16875004029764280030</stp>
        <tr r="A153" s="2"/>
      </tp>
      <tp t="s">
        <v>#N/A N/A</v>
        <stp/>
        <stp>BDP|11827727758575145638</stp>
        <tr r="J774" s="2"/>
      </tp>
      <tp t="s">
        <v>#N/A N/A</v>
        <stp/>
        <stp>BDP|15586035810935351152</stp>
        <tr r="Q1980" s="2"/>
      </tp>
      <tp t="s">
        <v>#N/A N/A</v>
        <stp/>
        <stp>BDP|11129953410481248863</stp>
        <tr r="J1864" s="2"/>
      </tp>
      <tp t="s">
        <v>#N/A N/A</v>
        <stp/>
        <stp>BDP|12699239087040351817</stp>
        <tr r="S2153" s="2"/>
      </tp>
      <tp t="s">
        <v>#N/A N/A</v>
        <stp/>
        <stp>BDP|16219764504203253220</stp>
        <tr r="A79" s="2"/>
      </tp>
      <tp t="s">
        <v>#N/A N/A</v>
        <stp/>
        <stp>BDP|14566904120357418812</stp>
        <tr r="C2151" s="2"/>
      </tp>
      <tp t="s">
        <v>#N/A N/A</v>
        <stp/>
        <stp>BDP|12976741350007461792</stp>
        <tr r="K1308" s="2"/>
      </tp>
      <tp t="s">
        <v>#N/A N/A</v>
        <stp/>
        <stp>BDP|13613501675484219517</stp>
        <tr r="O1724" s="2"/>
      </tp>
      <tp t="s">
        <v>#N/A N/A</v>
        <stp/>
        <stp>BDP|15842109539565825298</stp>
        <tr r="T2062" s="2"/>
      </tp>
      <tp t="s">
        <v>#N/A N/A</v>
        <stp/>
        <stp>BDP|18297699039105573874</stp>
        <tr r="P1441" s="2"/>
      </tp>
      <tp t="s">
        <v>#N/A N/A</v>
        <stp/>
        <stp>BDP|14731124693908281444</stp>
        <tr r="A1525" s="2"/>
      </tp>
      <tp t="s">
        <v>#N/A N/A</v>
        <stp/>
        <stp>BDP|15833433436314966647</stp>
        <tr r="A1407" s="2"/>
      </tp>
      <tp t="s">
        <v>#N/A N/A</v>
        <stp/>
        <stp>BDP|11972692811056503044</stp>
        <tr r="M1375" s="2"/>
      </tp>
      <tp t="s">
        <v>#N/A N/A</v>
        <stp/>
        <stp>BDP|17638185058777580438</stp>
        <tr r="E881" s="2"/>
      </tp>
      <tp t="s">
        <v>#N/A N/A</v>
        <stp/>
        <stp>BDP|16086278096038360527</stp>
        <tr r="Q1688" s="2"/>
      </tp>
      <tp t="s">
        <v>#N/A N/A</v>
        <stp/>
        <stp>BDP|11563063200850652159</stp>
        <tr r="M108" s="2"/>
      </tp>
      <tp t="s">
        <v>#N/A N/A</v>
        <stp/>
        <stp>BDP|12960427138165574066</stp>
        <tr r="S1413" s="2"/>
      </tp>
      <tp t="s">
        <v>#N/A N/A</v>
        <stp/>
        <stp>BDS|11372747740913107158</stp>
        <tr r="I175" s="2"/>
      </tp>
      <tp t="s">
        <v>#N/A N/A</v>
        <stp/>
        <stp>BDP|15508375663183378323</stp>
        <tr r="M164" s="2"/>
      </tp>
      <tp t="s">
        <v>#N/A N/A</v>
        <stp/>
        <stp>BDP|17302415914262375050</stp>
        <tr r="O717" s="2"/>
      </tp>
      <tp t="s">
        <v>#N/A N/A</v>
        <stp/>
        <stp>BDP|16450120376922255229</stp>
        <tr r="G179" s="2"/>
      </tp>
      <tp t="s">
        <v>#N/A N/A</v>
        <stp/>
        <stp>BDP|10030117720415891699</stp>
        <tr r="F947" s="2"/>
      </tp>
      <tp t="s">
        <v>#N/A N/A</v>
        <stp/>
        <stp>BDP|17245220909724869115</stp>
        <tr r="Q1489" s="2"/>
      </tp>
      <tp t="s">
        <v>#N/A N/A</v>
        <stp/>
        <stp>BDP|14932624979654778156</stp>
        <tr r="G1801" s="2"/>
      </tp>
      <tp t="s">
        <v>#N/A N/A</v>
        <stp/>
        <stp>BDP|10864203811586114581</stp>
        <tr r="G35" s="2"/>
      </tp>
      <tp t="s">
        <v>#N/A N/A</v>
        <stp/>
        <stp>BDP|17331662270070264677</stp>
        <tr r="E1333" s="2"/>
      </tp>
      <tp t="s">
        <v>#N/A N/A</v>
        <stp/>
        <stp>BDP|18118966906718482958</stp>
        <tr r="R2248" s="2"/>
      </tp>
      <tp t="s">
        <v>#N/A N/A</v>
        <stp/>
        <stp>BDP|13231175971307727230</stp>
        <tr r="P1172" s="2"/>
      </tp>
      <tp t="s">
        <v>#N/A N/A</v>
        <stp/>
        <stp>BDP|15906398527882414636</stp>
        <tr r="Q1084" s="2"/>
      </tp>
      <tp t="s">
        <v>#N/A N/A</v>
        <stp/>
        <stp>BDP|14963518211823148385</stp>
        <tr r="P1304" s="2"/>
      </tp>
      <tp t="s">
        <v>#N/A N/A</v>
        <stp/>
        <stp>BDP|12097119236756641614</stp>
        <tr r="C1895" s="2"/>
      </tp>
      <tp t="s">
        <v>#N/A N/A</v>
        <stp/>
        <stp>BDP|14548509814529290936</stp>
        <tr r="G2092" s="2"/>
      </tp>
      <tp t="s">
        <v>#N/A N/A</v>
        <stp/>
        <stp>BDP|11589668402130022715</stp>
        <tr r="J756" s="2"/>
      </tp>
      <tp t="s">
        <v>#N/A N/A</v>
        <stp/>
        <stp>BDP|13247774814050046512</stp>
        <tr r="O525" s="2"/>
      </tp>
      <tp t="s">
        <v>#N/A N/A</v>
        <stp/>
        <stp>BDP|14649782371263823770</stp>
        <tr r="C1226" s="2"/>
      </tp>
      <tp t="s">
        <v>#N/A N/A</v>
        <stp/>
        <stp>BDP|17698414693198528218</stp>
        <tr r="M49" s="2"/>
      </tp>
      <tp t="s">
        <v>#N/A N/A</v>
        <stp/>
        <stp>BDP|17473775455061638407</stp>
        <tr r="C1655" s="2"/>
      </tp>
      <tp t="s">
        <v>#N/A N/A</v>
        <stp/>
        <stp>BDP|10885048933381621297</stp>
        <tr r="F1999" s="2"/>
      </tp>
      <tp t="s">
        <v>#N/A N/A</v>
        <stp/>
        <stp>BDP|13110282308508217931</stp>
        <tr r="R2063" s="2"/>
      </tp>
      <tp t="s">
        <v>#N/A N/A</v>
        <stp/>
        <stp>BDP|17501231430707002160</stp>
        <tr r="M1646" s="2"/>
      </tp>
      <tp t="s">
        <v>#N/A N/A</v>
        <stp/>
        <stp>BDP|12280254200844605412</stp>
        <tr r="H362" s="2"/>
      </tp>
      <tp t="s">
        <v>#N/A N/A</v>
        <stp/>
        <stp>BDP|14645211558627971462</stp>
        <tr r="H1455" s="2"/>
      </tp>
      <tp t="s">
        <v>#N/A N/A</v>
        <stp/>
        <stp>BDP|14804460663681827751</stp>
        <tr r="T2139" s="2"/>
      </tp>
      <tp t="s">
        <v>#N/A N/A</v>
        <stp/>
        <stp>BDP|12690250760761429779</stp>
        <tr r="O252" s="2"/>
      </tp>
      <tp t="s">
        <v>#N/A N/A</v>
        <stp/>
        <stp>BDP|18098730723358462549</stp>
        <tr r="Q2235" s="2"/>
      </tp>
      <tp t="s">
        <v>#N/A N/A</v>
        <stp/>
        <stp>BDP|10901193577705102361</stp>
        <tr r="J1530" s="2"/>
      </tp>
      <tp t="s">
        <v>#N/A N/A</v>
        <stp/>
        <stp>BDP|13054214554143523707</stp>
        <tr r="P1573" s="2"/>
      </tp>
      <tp t="s">
        <v>#N/A N/A</v>
        <stp/>
        <stp>BDP|15647587914466932730</stp>
        <tr r="O733" s="2"/>
      </tp>
      <tp t="s">
        <v>#N/A N/A</v>
        <stp/>
        <stp>BDP|10662098372441573689</stp>
        <tr r="A1647" s="2"/>
      </tp>
      <tp t="s">
        <v>#N/A N/A</v>
        <stp/>
        <stp>BDP|17531379648872361290</stp>
        <tr r="R567" s="2"/>
      </tp>
      <tp t="s">
        <v>#N/A N/A</v>
        <stp/>
        <stp>BDP|12838281426827161547</stp>
        <tr r="D1284" s="2"/>
      </tp>
      <tp t="s">
        <v>#N/A N/A</v>
        <stp/>
        <stp>BDP|18072569286392757743</stp>
        <tr r="T475" s="2"/>
      </tp>
      <tp t="s">
        <v>#N/A N/A</v>
        <stp/>
        <stp>BDP|13511515937467296222</stp>
        <tr r="T348" s="2"/>
      </tp>
      <tp t="s">
        <v>#N/A N/A</v>
        <stp/>
        <stp>BDP|16302026524114246048</stp>
        <tr r="R681" s="2"/>
      </tp>
      <tp t="s">
        <v>#N/A N/A</v>
        <stp/>
        <stp>BDP|17787431472226719220</stp>
        <tr r="K151" s="2"/>
      </tp>
      <tp t="s">
        <v>#N/A N/A</v>
        <stp/>
        <stp>BDP|17404117915150582764</stp>
        <tr r="O1264" s="2"/>
      </tp>
      <tp t="s">
        <v>#N/A N/A</v>
        <stp/>
        <stp>BDP|16974039819606048106</stp>
        <tr r="D1542" s="2"/>
      </tp>
      <tp t="s">
        <v>#N/A N/A</v>
        <stp/>
        <stp>BDP|16620985217356366898</stp>
        <tr r="A873" s="2"/>
      </tp>
      <tp t="s">
        <v>#N/A N/A</v>
        <stp/>
        <stp>BDP|11429088310459646993</stp>
        <tr r="C1607" s="2"/>
      </tp>
      <tp t="s">
        <v>#N/A N/A</v>
        <stp/>
        <stp>BDP|12647569435637517333</stp>
        <tr r="A1157" s="2"/>
      </tp>
      <tp t="s">
        <v>#N/A N/A</v>
        <stp/>
        <stp>BDP|12402040764052381641</stp>
        <tr r="H1260" s="2"/>
      </tp>
      <tp t="s">
        <v>#N/A N/A</v>
        <stp/>
        <stp>BDP|10011011958393983632</stp>
        <tr r="D299" s="2"/>
      </tp>
      <tp t="s">
        <v>#N/A N/A</v>
        <stp/>
        <stp>BDP|10794375467847488204</stp>
        <tr r="S715" s="2"/>
      </tp>
      <tp t="s">
        <v>#N/A N/A</v>
        <stp/>
        <stp>BDP|10651649168391057192</stp>
        <tr r="Q934" s="2"/>
      </tp>
      <tp t="s">
        <v>#N/A N/A</v>
        <stp/>
        <stp>BDP|17158764144956967296</stp>
        <tr r="F1422" s="2"/>
      </tp>
      <tp t="s">
        <v>#N/A N/A</v>
        <stp/>
        <stp>BDP|15225216932855153131</stp>
        <tr r="R312" s="2"/>
      </tp>
      <tp t="s">
        <v>#N/A N/A</v>
        <stp/>
        <stp>BDS|16167437521910227012</stp>
        <tr r="I804" s="2"/>
      </tp>
      <tp t="s">
        <v>#N/A N/A</v>
        <stp/>
        <stp>BDP|17010713655882778705</stp>
        <tr r="N1017" s="2"/>
      </tp>
      <tp t="s">
        <v>#N/A N/A</v>
        <stp/>
        <stp>BDP|14095210476813011248</stp>
        <tr r="A983" s="2"/>
      </tp>
      <tp t="s">
        <v>#N/A N/A</v>
        <stp/>
        <stp>BDP|18259621262708395025</stp>
        <tr r="A1419" s="2"/>
      </tp>
      <tp t="s">
        <v>#N/A N/A</v>
        <stp/>
        <stp>BDP|16255922676839579107</stp>
        <tr r="Q1491" s="2"/>
      </tp>
      <tp t="s">
        <v>#N/A N/A</v>
        <stp/>
        <stp>BDP|14993474383661861962</stp>
        <tr r="J1501" s="2"/>
      </tp>
      <tp t="s">
        <v>#N/A N/A</v>
        <stp/>
        <stp>BDP|10890392004331065261</stp>
        <tr r="G1623" s="2"/>
      </tp>
      <tp t="s">
        <v>#N/A N/A</v>
        <stp/>
        <stp>BDP|17007149742867778528</stp>
        <tr r="K1564" s="2"/>
      </tp>
      <tp t="s">
        <v>#N/A N/A</v>
        <stp/>
        <stp>BDP|12016537574855030543</stp>
        <tr r="C932" s="2"/>
      </tp>
      <tp t="s">
        <v>#N/A N/A</v>
        <stp/>
        <stp>BDP|15821069878343631136</stp>
        <tr r="R2203" s="2"/>
      </tp>
      <tp t="s">
        <v>#N/A N/A</v>
        <stp/>
        <stp>BDP|10606306921466297766</stp>
        <tr r="G1922" s="2"/>
      </tp>
      <tp t="s">
        <v>#N/A N/A</v>
        <stp/>
        <stp>BDP|13182546907707431157</stp>
        <tr r="G1964" s="2"/>
      </tp>
      <tp t="s">
        <v>#N/A N/A</v>
        <stp/>
        <stp>BDP|13654687484414084993</stp>
        <tr r="Q1360" s="2"/>
      </tp>
      <tp t="s">
        <v>#N/A N/A</v>
        <stp/>
        <stp>BDP|14922735336140635098</stp>
        <tr r="S1429" s="2"/>
      </tp>
      <tp t="s">
        <v>#N/A N/A</v>
        <stp/>
        <stp>BDP|12724511506972404577</stp>
        <tr r="K1386" s="2"/>
      </tp>
      <tp t="s">
        <v>#N/A N/A</v>
        <stp/>
        <stp>BDP|14397212366135245553</stp>
        <tr r="D1515" s="2"/>
      </tp>
      <tp t="s">
        <v>#N/A N/A</v>
        <stp/>
        <stp>BDP|17566069247627124466</stp>
        <tr r="R2158" s="2"/>
      </tp>
      <tp t="s">
        <v>#N/A N/A</v>
        <stp/>
        <stp>BDP|12752806782684681601</stp>
        <tr r="D1585" s="2"/>
      </tp>
      <tp t="s">
        <v>#N/A N/A</v>
        <stp/>
        <stp>BDP|18314876060900228650</stp>
        <tr r="F66" s="2"/>
      </tp>
      <tp t="s">
        <v>#N/A N/A</v>
        <stp/>
        <stp>BDP|13209438445782062175</stp>
        <tr r="N830" s="2"/>
      </tp>
      <tp t="s">
        <v>#N/A N/A</v>
        <stp/>
        <stp>BDP|16577153916985781329</stp>
        <tr r="Q1315" s="2"/>
      </tp>
      <tp t="s">
        <v>#N/A N/A</v>
        <stp/>
        <stp>BDP|18335598119808492446</stp>
        <tr r="O298" s="2"/>
      </tp>
      <tp t="s">
        <v>#N/A N/A</v>
        <stp/>
        <stp>BDP|12362715464033718021</stp>
        <tr r="H1726" s="2"/>
      </tp>
      <tp t="s">
        <v>#N/A N/A</v>
        <stp/>
        <stp>BDP|15432788063896566296</stp>
        <tr r="M463" s="2"/>
      </tp>
      <tp t="s">
        <v>#N/A N/A</v>
        <stp/>
        <stp>BDS|11507243838648077891</stp>
        <tr r="I1673" s="2"/>
      </tp>
      <tp t="s">
        <v>#N/A N/A</v>
        <stp/>
        <stp>BDP|15689227510870065672</stp>
        <tr r="M552" s="2"/>
      </tp>
      <tp t="s">
        <v>#N/A N/A</v>
        <stp/>
        <stp>BDP|10102703154960780211</stp>
        <tr r="S986" s="2"/>
      </tp>
      <tp t="s">
        <v>#N/A N/A</v>
        <stp/>
        <stp>BDP|15846480709576262784</stp>
        <tr r="N1383" s="2"/>
      </tp>
      <tp t="s">
        <v>#N/A N/A</v>
        <stp/>
        <stp>BDP|17359349161930117246</stp>
        <tr r="N1277" s="2"/>
      </tp>
      <tp t="s">
        <v>#N/A N/A</v>
        <stp/>
        <stp>BDP|12669674105211456537</stp>
        <tr r="F365" s="2"/>
      </tp>
      <tp t="s">
        <v>#N/A N/A</v>
        <stp/>
        <stp>BDP|12835330273011849735</stp>
        <tr r="Q1512" s="2"/>
      </tp>
      <tp t="s">
        <v>#N/A N/A</v>
        <stp/>
        <stp>BDP|12327441080618368671</stp>
        <tr r="M46" s="2"/>
      </tp>
      <tp t="s">
        <v>#N/A N/A</v>
        <stp/>
        <stp>BDP|16150138776740594021</stp>
        <tr r="F2166" s="2"/>
      </tp>
      <tp t="s">
        <v>#N/A N/A</v>
        <stp/>
        <stp>BDP|17050673039406567486</stp>
        <tr r="F1955" s="2"/>
      </tp>
      <tp t="s">
        <v>#N/A N/A</v>
        <stp/>
        <stp>BDP|14160628092572391910</stp>
        <tr r="F716" s="2"/>
      </tp>
      <tp t="s">
        <v>#N/A N/A</v>
        <stp/>
        <stp>BDP|16740985887775359281</stp>
        <tr r="O882" s="2"/>
      </tp>
      <tp t="s">
        <v>#N/A N/A</v>
        <stp/>
        <stp>BDP|18205665794775003230</stp>
        <tr r="O389" s="2"/>
      </tp>
      <tp t="s">
        <v>#N/A N/A</v>
        <stp/>
        <stp>BDP|14116773962365435033</stp>
        <tr r="P606" s="2"/>
      </tp>
      <tp t="s">
        <v>#N/A N/A</v>
        <stp/>
        <stp>BDP|10966653542606978445</stp>
        <tr r="P824" s="2"/>
      </tp>
      <tp t="s">
        <v>#N/A N/A</v>
        <stp/>
        <stp>BDP|12730610016916334308</stp>
        <tr r="H438" s="2"/>
      </tp>
      <tp t="s">
        <v>#N/A N/A</v>
        <stp/>
        <stp>BDP|16499168603116519170</stp>
        <tr r="O1139" s="2"/>
      </tp>
      <tp t="s">
        <v>#N/A N/A</v>
        <stp/>
        <stp>BDP|12407989477705975918</stp>
        <tr r="J117" s="2"/>
      </tp>
      <tp t="s">
        <v>#N/A N/A</v>
        <stp/>
        <stp>BDP|18390673494606495174</stp>
        <tr r="M1591" s="2"/>
      </tp>
      <tp t="s">
        <v>#N/A N/A</v>
        <stp/>
        <stp>BDP|11304892345269482489</stp>
        <tr r="O1023" s="2"/>
      </tp>
      <tp t="s">
        <v>#N/A N/A</v>
        <stp/>
        <stp>BDP|16749236944219682959</stp>
        <tr r="J101" s="2"/>
      </tp>
      <tp t="s">
        <v>#N/A N/A</v>
        <stp/>
        <stp>BDP|17591685558855549130</stp>
        <tr r="Q2172" s="2"/>
      </tp>
      <tp t="s">
        <v>#N/A N/A</v>
        <stp/>
        <stp>BDP|16356013255152344173</stp>
        <tr r="K1811" s="2"/>
      </tp>
      <tp t="s">
        <v>#N/A N/A</v>
        <stp/>
        <stp>BDP|15361745783123753907</stp>
        <tr r="P1489" s="2"/>
      </tp>
      <tp t="s">
        <v>#N/A N/A</v>
        <stp/>
        <stp>BDP|10312215823689323910</stp>
        <tr r="S919" s="2"/>
      </tp>
      <tp t="s">
        <v>#N/A N/A</v>
        <stp/>
        <stp>BDP|17548360231181971682</stp>
        <tr r="J321" s="2"/>
      </tp>
      <tp t="s">
        <v>#N/A N/A</v>
        <stp/>
        <stp>BDP|15069135437794569325</stp>
        <tr r="H1841" s="2"/>
      </tp>
      <tp t="s">
        <v>#N/A N/A</v>
        <stp/>
        <stp>BDP|16700024360351313151</stp>
        <tr r="P1597" s="2"/>
      </tp>
      <tp t="s">
        <v>#N/A N/A</v>
        <stp/>
        <stp>BDP|17490644484861337841</stp>
        <tr r="Q588" s="2"/>
      </tp>
      <tp t="s">
        <v>#N/A N/A</v>
        <stp/>
        <stp>BDP|11162154124702765044</stp>
        <tr r="P2214" s="2"/>
      </tp>
      <tp t="s">
        <v>#N/A N/A</v>
        <stp/>
        <stp>BDP|12961703173166847417</stp>
        <tr r="G1880" s="2"/>
      </tp>
      <tp t="s">
        <v>#N/A N/A</v>
        <stp/>
        <stp>BDS|12612420754700987399</stp>
        <tr r="I1950" s="2"/>
      </tp>
      <tp t="s">
        <v>#N/A N/A</v>
        <stp/>
        <stp>BDP|11765245742877651048</stp>
        <tr r="R1457" s="2"/>
      </tp>
      <tp t="s">
        <v>#N/A N/A</v>
        <stp/>
        <stp>BDP|16659986842582898979</stp>
        <tr r="G802" s="2"/>
      </tp>
      <tp t="s">
        <v>#N/A N/A</v>
        <stp/>
        <stp>BDP|13221326619756242781</stp>
        <tr r="K1574" s="2"/>
      </tp>
      <tp t="s">
        <v>#N/A N/A</v>
        <stp/>
        <stp>BDP|11614772808271840720</stp>
        <tr r="O1172" s="2"/>
      </tp>
      <tp t="s">
        <v>#N/A N/A</v>
        <stp/>
        <stp>BDP|14759582633973882173</stp>
        <tr r="R258" s="2"/>
      </tp>
      <tp t="s">
        <v>#N/A N/A</v>
        <stp/>
        <stp>BDP|17008762160391055751</stp>
        <tr r="E341" s="2"/>
      </tp>
      <tp t="s">
        <v>#N/A N/A</v>
        <stp/>
        <stp>BDP|14213033347127515707</stp>
        <tr r="O179" s="2"/>
      </tp>
      <tp t="s">
        <v>#N/A N/A</v>
        <stp/>
        <stp>BDP|17965317928485723342</stp>
        <tr r="P527" s="2"/>
      </tp>
      <tp t="s">
        <v>#N/A N/A</v>
        <stp/>
        <stp>BDP|14042462455345193019</stp>
        <tr r="D184" s="2"/>
      </tp>
      <tp t="s">
        <v>#N/A N/A</v>
        <stp/>
        <stp>BDP|13193321144954569013</stp>
        <tr r="S1895" s="2"/>
      </tp>
      <tp t="s">
        <v>#N/A N/A</v>
        <stp/>
        <stp>BDP|16256361077952806089</stp>
        <tr r="O1197" s="2"/>
      </tp>
      <tp t="s">
        <v>#N/A N/A</v>
        <stp/>
        <stp>BDP|14699416965400361629</stp>
        <tr r="K1872" s="2"/>
      </tp>
      <tp t="s">
        <v>#N/A N/A</v>
        <stp/>
        <stp>BDP|10676040715846525719</stp>
        <tr r="D751" s="2"/>
      </tp>
      <tp t="s">
        <v>#N/A N/A</v>
        <stp/>
        <stp>BDP|18217472895462259716</stp>
        <tr r="T1621" s="2"/>
      </tp>
      <tp t="s">
        <v>#N/A N/A</v>
        <stp/>
        <stp>BDP|17470363537413607404</stp>
        <tr r="T3" s="2"/>
      </tp>
      <tp t="s">
        <v>#N/A N/A</v>
        <stp/>
        <stp>BDP|16400177861233199208</stp>
        <tr r="K444" s="2"/>
      </tp>
      <tp t="s">
        <v>#N/A N/A</v>
        <stp/>
        <stp>BDP|11689465102066963390</stp>
        <tr r="M21" s="2"/>
      </tp>
      <tp t="s">
        <v>#N/A N/A</v>
        <stp/>
        <stp>BDP|13755648773194777650</stp>
        <tr r="O1640" s="2"/>
      </tp>
      <tp t="s">
        <v>#N/A N/A</v>
        <stp/>
        <stp>BDP|11143532370267779478</stp>
        <tr r="T1190" s="2"/>
      </tp>
      <tp t="s">
        <v>#N/A N/A</v>
        <stp/>
        <stp>BDS|10677961986637492632</stp>
        <tr r="I1634" s="2"/>
      </tp>
      <tp t="s">
        <v>#N/A N/A</v>
        <stp/>
        <stp>BDP|10055158177290404644</stp>
        <tr r="J2045" s="2"/>
      </tp>
      <tp t="s">
        <v>#N/A N/A</v>
        <stp/>
        <stp>BDP|11186652137743525744</stp>
        <tr r="O1204" s="2"/>
      </tp>
      <tp t="s">
        <v>#N/A N/A</v>
        <stp/>
        <stp>BDP|15054166605996512241</stp>
        <tr r="O1415" s="2"/>
      </tp>
      <tp t="s">
        <v>#N/A N/A</v>
        <stp/>
        <stp>BDP|12055413849196892424</stp>
        <tr r="O676" s="2"/>
      </tp>
      <tp t="s">
        <v>#N/A N/A</v>
        <stp/>
        <stp>BDP|10924928590067878714</stp>
        <tr r="G1189" s="2"/>
      </tp>
      <tp t="s">
        <v>#N/A N/A</v>
        <stp/>
        <stp>BDP|11028568541241746125</stp>
        <tr r="E1829" s="2"/>
      </tp>
      <tp t="s">
        <v>#N/A N/A</v>
        <stp/>
        <stp>BDP|13693706251193301267</stp>
        <tr r="D1822" s="2"/>
      </tp>
      <tp t="s">
        <v>#N/A N/A</v>
        <stp/>
        <stp>BDP|11644763632765381031</stp>
        <tr r="N206" s="2"/>
      </tp>
      <tp t="s">
        <v>#N/A N/A</v>
        <stp/>
        <stp>BDS|10497903356955194923</stp>
        <tr r="I190" s="2"/>
      </tp>
      <tp t="s">
        <v>#N/A N/A</v>
        <stp/>
        <stp>BDP|14955897805718048478</stp>
        <tr r="J186" s="2"/>
      </tp>
      <tp t="s">
        <v>#N/A N/A</v>
        <stp/>
        <stp>BDP|17393866381210017765</stp>
        <tr r="F1332" s="2"/>
      </tp>
      <tp t="s">
        <v>#N/A N/A</v>
        <stp/>
        <stp>BDP|15272000660361452248</stp>
        <tr r="C612" s="2"/>
      </tp>
      <tp t="s">
        <v>#N/A N/A</v>
        <stp/>
        <stp>BDP|17996136301221844710</stp>
        <tr r="G1397" s="2"/>
      </tp>
      <tp t="s">
        <v>#N/A N/A</v>
        <stp/>
        <stp>BDS|12625912107838475356</stp>
        <tr r="I1851" s="2"/>
      </tp>
      <tp t="s">
        <v>#N/A N/A</v>
        <stp/>
        <stp>BDP|17814486118952948032</stp>
        <tr r="C464" s="2"/>
      </tp>
      <tp t="s">
        <v>#N/A N/A</v>
        <stp/>
        <stp>BDP|12295227055335613014</stp>
        <tr r="M1290" s="2"/>
      </tp>
      <tp t="s">
        <v>#N/A N/A</v>
        <stp/>
        <stp>BDP|10426532552921486139</stp>
        <tr r="C1128" s="2"/>
      </tp>
      <tp t="s">
        <v>#N/A N/A</v>
        <stp/>
        <stp>BDP|13635395931695587690</stp>
        <tr r="M843" s="2"/>
      </tp>
      <tp t="s">
        <v>#N/A N/A</v>
        <stp/>
        <stp>BDS|15724355360032296216</stp>
        <tr r="I80" s="2"/>
      </tp>
      <tp t="s">
        <v>#N/A N/A</v>
        <stp/>
        <stp>BDP|17126709433980640369</stp>
        <tr r="M289" s="2"/>
      </tp>
      <tp t="s">
        <v>#N/A N/A</v>
        <stp/>
        <stp>BDP|10283259237921234004</stp>
        <tr r="R2081" s="2"/>
      </tp>
      <tp t="s">
        <v>#N/A N/A</v>
        <stp/>
        <stp>BDP|16628368414397762310</stp>
        <tr r="O380" s="2"/>
      </tp>
      <tp t="s">
        <v>#N/A N/A</v>
        <stp/>
        <stp>BDP|15525041425893449420</stp>
        <tr r="K2241" s="2"/>
      </tp>
      <tp t="s">
        <v>#N/A N/A</v>
        <stp/>
        <stp>BDP|11521279166427222242</stp>
        <tr r="J1829" s="2"/>
      </tp>
      <tp t="s">
        <v>#N/A N/A</v>
        <stp/>
        <stp>BDP|16440034285168967698</stp>
        <tr r="A141" s="2"/>
      </tp>
      <tp t="s">
        <v>#N/A N/A</v>
        <stp/>
        <stp>BDS|13559739154559545863</stp>
        <tr r="I1977" s="2"/>
      </tp>
      <tp t="s">
        <v>#N/A N/A</v>
        <stp/>
        <stp>BDP|17479909271168677116</stp>
        <tr r="D1564" s="2"/>
      </tp>
      <tp t="s">
        <v>#N/A N/A</v>
        <stp/>
        <stp>BDP|16011033792349063639</stp>
        <tr r="M1198" s="2"/>
      </tp>
      <tp t="s">
        <v>#N/A N/A</v>
        <stp/>
        <stp>BDP|16921241772024998747</stp>
        <tr r="K1003" s="2"/>
      </tp>
      <tp t="s">
        <v>#N/A N/A</v>
        <stp/>
        <stp>BDP|13015738500644421050</stp>
        <tr r="D1625" s="2"/>
      </tp>
      <tp t="s">
        <v>#N/A N/A</v>
        <stp/>
        <stp>BDP|17785760065342224444</stp>
        <tr r="C129" s="2"/>
      </tp>
      <tp t="s">
        <v>#N/A N/A</v>
        <stp/>
        <stp>BDP|18011982170296955038</stp>
        <tr r="H307" s="2"/>
      </tp>
      <tp t="s">
        <v>#N/A N/A</v>
        <stp/>
        <stp>BDP|12441323082581597837</stp>
        <tr r="D398" s="2"/>
      </tp>
      <tp t="s">
        <v>#N/A N/A</v>
        <stp/>
        <stp>BDP|14725209636846669359</stp>
        <tr r="N921" s="2"/>
      </tp>
      <tp t="s">
        <v>#N/A N/A</v>
        <stp/>
        <stp>BDP|12442929836150558875</stp>
        <tr r="G1042" s="2"/>
      </tp>
      <tp t="s">
        <v>#N/A N/A</v>
        <stp/>
        <stp>BDP|16353133160839607842</stp>
        <tr r="A1356" s="2"/>
      </tp>
      <tp t="s">
        <v>#N/A N/A</v>
        <stp/>
        <stp>BDP|17309781854322571789</stp>
        <tr r="M77" s="2"/>
      </tp>
      <tp t="s">
        <v>#N/A N/A</v>
        <stp/>
        <stp>BDP|11461674942660353302</stp>
        <tr r="F2047" s="2"/>
      </tp>
      <tp t="s">
        <v>#N/A N/A</v>
        <stp/>
        <stp>BDS|11437669778190314089</stp>
        <tr r="I1061" s="2"/>
      </tp>
      <tp t="s">
        <v>#N/A N/A</v>
        <stp/>
        <stp>BDP|13248913860049238537</stp>
        <tr r="S1921" s="2"/>
      </tp>
      <tp t="s">
        <v>#N/A N/A</v>
        <stp/>
        <stp>BDP|13846534998428025715</stp>
        <tr r="G170" s="2"/>
      </tp>
      <tp t="s">
        <v>#N/A N/A</v>
        <stp/>
        <stp>BDP|14436556242881089416</stp>
        <tr r="O949" s="2"/>
      </tp>
      <tp t="s">
        <v>#N/A N/A</v>
        <stp/>
        <stp>BDP|17414662914411249160</stp>
        <tr r="O1049" s="2"/>
      </tp>
      <tp t="s">
        <v>#N/A N/A</v>
        <stp/>
        <stp>BDP|11620175874563149465</stp>
        <tr r="Q688" s="2"/>
      </tp>
      <tp t="s">
        <v>#N/A N/A</v>
        <stp/>
        <stp>BDP|11142165700179011952</stp>
        <tr r="R1962" s="2"/>
      </tp>
      <tp t="s">
        <v>#N/A N/A</v>
        <stp/>
        <stp>BDP|12554211589120970861</stp>
        <tr r="T1031" s="2"/>
      </tp>
      <tp t="s">
        <v>#N/A N/A</v>
        <stp/>
        <stp>BDP|10419739919441589796</stp>
        <tr r="M476" s="2"/>
      </tp>
      <tp t="s">
        <v>#N/A N/A</v>
        <stp/>
        <stp>BDP|10149268620462395263</stp>
        <tr r="S2218" s="2"/>
      </tp>
      <tp t="s">
        <v>#N/A N/A</v>
        <stp/>
        <stp>BDP|11168595216010824543</stp>
        <tr r="C587" s="2"/>
      </tp>
      <tp t="s">
        <v>#N/A N/A</v>
        <stp/>
        <stp>BDP|16513330455640962083</stp>
        <tr r="F1575" s="2"/>
      </tp>
      <tp t="s">
        <v>#N/A N/A</v>
        <stp/>
        <stp>BDP|15478016673747469502</stp>
        <tr r="G1666" s="2"/>
      </tp>
      <tp t="s">
        <v>#N/A N/A</v>
        <stp/>
        <stp>BDP|16487664417748605919</stp>
        <tr r="G1444" s="2"/>
      </tp>
      <tp t="s">
        <v>#N/A N/A</v>
        <stp/>
        <stp>BDP|17335528072582283737</stp>
        <tr r="C2215" s="2"/>
      </tp>
      <tp t="s">
        <v>#N/A N/A</v>
        <stp/>
        <stp>BDP|11472686024427214285</stp>
        <tr r="E616" s="2"/>
      </tp>
      <tp t="s">
        <v>#N/A N/A</v>
        <stp/>
        <stp>BDP|17304434023076144701</stp>
        <tr r="F1250" s="2"/>
      </tp>
      <tp t="s">
        <v>#N/A N/A</v>
        <stp/>
        <stp>BDP|17490057756265786725</stp>
        <tr r="P482" s="2"/>
      </tp>
      <tp t="s">
        <v>#N/A N/A</v>
        <stp/>
        <stp>BDP|10233979120832452936</stp>
        <tr r="E2214" s="2"/>
      </tp>
      <tp t="s">
        <v>#N/A N/A</v>
        <stp/>
        <stp>BDP|12700390565170111781</stp>
        <tr r="J704" s="2"/>
      </tp>
      <tp t="s">
        <v>#N/A N/A</v>
        <stp/>
        <stp>BDP|14943515162593074483</stp>
        <tr r="O186" s="2"/>
      </tp>
      <tp t="s">
        <v>#N/A N/A</v>
        <stp/>
        <stp>BDP|12321744173781642305</stp>
        <tr r="C1945" s="2"/>
      </tp>
      <tp t="s">
        <v>#N/A N/A</v>
        <stp/>
        <stp>BDP|11197211353237522148</stp>
        <tr r="J1747" s="2"/>
      </tp>
      <tp t="s">
        <v>#N/A N/A</v>
        <stp/>
        <stp>BDP|17709431334497434766</stp>
        <tr r="O1519" s="2"/>
      </tp>
      <tp t="s">
        <v>#N/A N/A</v>
        <stp/>
        <stp>BDP|13016620453310402072</stp>
        <tr r="E352" s="2"/>
      </tp>
      <tp t="s">
        <v>#N/A N/A</v>
        <stp/>
        <stp>BDP|16422565666562442726</stp>
        <tr r="E1641" s="2"/>
      </tp>
      <tp t="s">
        <v>#N/A N/A</v>
        <stp/>
        <stp>BDP|12032110236513412317</stp>
        <tr r="H1692" s="2"/>
      </tp>
      <tp t="s">
        <v>#N/A N/A</v>
        <stp/>
        <stp>BDS|10698559245970784106</stp>
        <tr r="I2099" s="2"/>
      </tp>
      <tp t="s">
        <v>#N/A N/A</v>
        <stp/>
        <stp>BDP|11041362345146980088</stp>
        <tr r="S2135" s="2"/>
      </tp>
      <tp t="s">
        <v>#N/A N/A</v>
        <stp/>
        <stp>BDP|17312698408338886985</stp>
        <tr r="H616" s="2"/>
      </tp>
      <tp t="s">
        <v>#N/A N/A</v>
        <stp/>
        <stp>BDP|14927997495396488239</stp>
        <tr r="F1788" s="2"/>
      </tp>
      <tp t="s">
        <v>#N/A N/A</v>
        <stp/>
        <stp>BDP|13641673716680322465</stp>
        <tr r="S1823" s="2"/>
      </tp>
      <tp t="s">
        <v>#N/A N/A</v>
        <stp/>
        <stp>BDP|17730108623687699302</stp>
        <tr r="A834" s="2"/>
      </tp>
      <tp t="s">
        <v>#N/A N/A</v>
        <stp/>
        <stp>BDP|10755771471242024232</stp>
        <tr r="N981" s="2"/>
      </tp>
      <tp t="s">
        <v>#N/A N/A</v>
        <stp/>
        <stp>BDP|14788103145919755872</stp>
        <tr r="K1244" s="2"/>
      </tp>
      <tp t="s">
        <v>#N/A N/A</v>
        <stp/>
        <stp>BDP|15006001694225158973</stp>
        <tr r="N212" s="2"/>
      </tp>
      <tp t="s">
        <v>#N/A N/A</v>
        <stp/>
        <stp>BDP|12261433225265703112</stp>
        <tr r="O1727" s="2"/>
      </tp>
      <tp t="s">
        <v>#N/A N/A</v>
        <stp/>
        <stp>BDP|12843412668655063533</stp>
        <tr r="E1434" s="2"/>
      </tp>
      <tp t="s">
        <v>#N/A N/A</v>
        <stp/>
        <stp>BDP|12846393642305133002</stp>
        <tr r="R1940" s="2"/>
      </tp>
      <tp t="s">
        <v>#N/A N/A</v>
        <stp/>
        <stp>BDP|12614700064584319731</stp>
        <tr r="R664" s="2"/>
      </tp>
      <tp t="s">
        <v>#N/A N/A</v>
        <stp/>
        <stp>BDP|12876526286719841666</stp>
        <tr r="S1054" s="2"/>
      </tp>
      <tp t="s">
        <v>#N/A N/A</v>
        <stp/>
        <stp>BDP|17116309184249384546</stp>
        <tr r="G668" s="2"/>
      </tp>
      <tp t="s">
        <v>#N/A N/A</v>
        <stp/>
        <stp>BDP|15927386576128106941</stp>
        <tr r="J1782" s="2"/>
      </tp>
      <tp t="s">
        <v>#N/A N/A</v>
        <stp/>
        <stp>BDP|18293237497631355279</stp>
        <tr r="P1023" s="2"/>
      </tp>
      <tp t="s">
        <v>#N/A N/A</v>
        <stp/>
        <stp>BDP|15581722050266087154</stp>
        <tr r="D956" s="2"/>
      </tp>
      <tp t="s">
        <v>#N/A N/A</v>
        <stp/>
        <stp>BDP|14602667666825735138</stp>
        <tr r="Q2153" s="2"/>
      </tp>
      <tp t="s">
        <v>#N/A N/A</v>
        <stp/>
        <stp>BDP|16147062245121415342</stp>
        <tr r="R2061" s="2"/>
      </tp>
      <tp t="s">
        <v>#N/A N/A</v>
        <stp/>
        <stp>BDP|18129285395664890713</stp>
        <tr r="O1514" s="2"/>
      </tp>
      <tp t="s">
        <v>#N/A N/A</v>
        <stp/>
        <stp>BDS|11200960840748242408</stp>
        <tr r="I14" s="2"/>
      </tp>
      <tp t="s">
        <v>#N/A N/A</v>
        <stp/>
        <stp>BDP|13472747912480366549</stp>
        <tr r="F1695" s="2"/>
      </tp>
      <tp t="s">
        <v>#N/A N/A</v>
        <stp/>
        <stp>BDP|17365747731746086535</stp>
        <tr r="F737" s="2"/>
      </tp>
      <tp t="s">
        <v>#N/A N/A</v>
        <stp/>
        <stp>BDP|10802822118968769107</stp>
        <tr r="P1412" s="2"/>
      </tp>
      <tp t="s">
        <v>#N/A N/A</v>
        <stp/>
        <stp>BDP|13427263061630698704</stp>
        <tr r="G1935" s="2"/>
      </tp>
      <tp t="s">
        <v>#N/A N/A</v>
        <stp/>
        <stp>BDP|18349438245438221020</stp>
        <tr r="F1435" s="2"/>
      </tp>
      <tp t="s">
        <v>#N/A N/A</v>
        <stp/>
        <stp>BDP|17004269956429525905</stp>
        <tr r="J1347" s="2"/>
      </tp>
      <tp t="s">
        <v>#N/A N/A</v>
        <stp/>
        <stp>BDP|14429184904041841458</stp>
        <tr r="S219" s="2"/>
      </tp>
      <tp t="s">
        <v>#N/A N/A</v>
        <stp/>
        <stp>BDP|14252347419723260589</stp>
        <tr r="M872" s="2"/>
      </tp>
      <tp t="s">
        <v>#N/A N/A</v>
        <stp/>
        <stp>BDS|15115059025530320745</stp>
        <tr r="I974" s="2"/>
      </tp>
      <tp t="s">
        <v>#N/A N/A</v>
        <stp/>
        <stp>BDP|15485623178226315282</stp>
        <tr r="M1342" s="2"/>
      </tp>
      <tp t="s">
        <v>#N/A N/A</v>
        <stp/>
        <stp>BDP|17994097994479317722</stp>
        <tr r="K1123" s="2"/>
      </tp>
      <tp t="s">
        <v>#N/A N/A</v>
        <stp/>
        <stp>BDP|15386602322595664420</stp>
        <tr r="H1327" s="2"/>
      </tp>
      <tp t="s">
        <v>#N/A N/A</v>
        <stp/>
        <stp>BDP|17796505888632355896</stp>
        <tr r="J918" s="2"/>
      </tp>
      <tp t="s">
        <v>#N/A N/A</v>
        <stp/>
        <stp>BDP|10000521235273122538</stp>
        <tr r="E121" s="2"/>
      </tp>
      <tp t="s">
        <v>#N/A N/A</v>
        <stp/>
        <stp>BDP|10099483355756179793</stp>
        <tr r="R989" s="2"/>
      </tp>
      <tp t="s">
        <v>#N/A N/A</v>
        <stp/>
        <stp>BDP|11209507786994237834</stp>
        <tr r="K1418" s="2"/>
      </tp>
      <tp t="s">
        <v>#N/A N/A</v>
        <stp/>
        <stp>BDP|13612215839207989527</stp>
        <tr r="C1108" s="2"/>
      </tp>
      <tp t="s">
        <v>#N/A N/A</v>
        <stp/>
        <stp>BDP|10436382315964831642</stp>
        <tr r="Q767" s="2"/>
      </tp>
      <tp t="s">
        <v>#N/A N/A</v>
        <stp/>
        <stp>BDP|13694165224729306922</stp>
        <tr r="R1002" s="2"/>
      </tp>
      <tp t="s">
        <v>#N/A N/A</v>
        <stp/>
        <stp>BDP|15617496346920964551</stp>
        <tr r="S45" s="2"/>
      </tp>
      <tp t="s">
        <v>#N/A N/A</v>
        <stp/>
        <stp>BDP|15919371941846978437</stp>
        <tr r="J1957" s="2"/>
      </tp>
      <tp t="s">
        <v>#N/A N/A</v>
        <stp/>
        <stp>BDP|10936799060543379260</stp>
        <tr r="C1059" s="2"/>
      </tp>
      <tp t="s">
        <v>#N/A N/A</v>
        <stp/>
        <stp>BDP|16163602852354474128</stp>
        <tr r="Q1507" s="2"/>
      </tp>
      <tp t="s">
        <v>#N/A N/A</v>
        <stp/>
        <stp>BDP|12358098946737806112</stp>
        <tr r="R2040" s="2"/>
      </tp>
      <tp t="s">
        <v>#N/A N/A</v>
        <stp/>
        <stp>BDP|14687814532616425940</stp>
        <tr r="T60" s="2"/>
      </tp>
      <tp t="s">
        <v>#N/A N/A</v>
        <stp/>
        <stp>BDP|13608117833492738368</stp>
        <tr r="C319" s="2"/>
      </tp>
      <tp t="s">
        <v>#N/A N/A</v>
        <stp/>
        <stp>BDP|11004758945185215770</stp>
        <tr r="E2111" s="2"/>
      </tp>
      <tp t="s">
        <v>#N/A N/A</v>
        <stp/>
        <stp>BDP|16094373035597581128</stp>
        <tr r="P1398" s="2"/>
      </tp>
      <tp t="s">
        <v>#N/A N/A</v>
        <stp/>
        <stp>BDP|14398034445610122016</stp>
        <tr r="E160" s="2"/>
      </tp>
      <tp t="s">
        <v>#N/A N/A</v>
        <stp/>
        <stp>BDP|14071304979862915255</stp>
        <tr r="H700" s="2"/>
      </tp>
      <tp t="s">
        <v>#N/A N/A</v>
        <stp/>
        <stp>BDP|11075963536583282876</stp>
        <tr r="F1981" s="2"/>
      </tp>
      <tp t="s">
        <v>#N/A N/A</v>
        <stp/>
        <stp>BDP|13671965160074442819</stp>
        <tr r="C1252" s="2"/>
      </tp>
      <tp t="s">
        <v>#N/A N/A</v>
        <stp/>
        <stp>BDP|10384627117134361307</stp>
        <tr r="Q788" s="2"/>
      </tp>
      <tp t="s">
        <v>#N/A N/A</v>
        <stp/>
        <stp>BDP|10033296724447866708</stp>
        <tr r="C801" s="2"/>
      </tp>
      <tp t="s">
        <v>#N/A N/A</v>
        <stp/>
        <stp>BDP|11284205062616753321</stp>
        <tr r="E658" s="2"/>
      </tp>
      <tp t="s">
        <v>#N/A N/A</v>
        <stp/>
        <stp>BDP|10657008011361701051</stp>
        <tr r="J207" s="2"/>
      </tp>
      <tp t="s">
        <v>#N/A N/A</v>
        <stp/>
        <stp>BDP|11307632416923764543</stp>
        <tr r="P764" s="2"/>
      </tp>
      <tp t="s">
        <v>#N/A N/A</v>
        <stp/>
        <stp>BDP|10020889594328946902</stp>
        <tr r="J2030" s="2"/>
      </tp>
      <tp t="s">
        <v>#N/A N/A</v>
        <stp/>
        <stp>BDP|12797734764391419211</stp>
        <tr r="O462" s="2"/>
      </tp>
      <tp t="s">
        <v>#N/A N/A</v>
        <stp/>
        <stp>BDP|13641790767904916642</stp>
        <tr r="O824" s="2"/>
      </tp>
      <tp t="s">
        <v>#N/A N/A</v>
        <stp/>
        <stp>BDP|17974099017922616448</stp>
        <tr r="Q2014" s="2"/>
      </tp>
      <tp t="s">
        <v>#N/A N/A</v>
        <stp/>
        <stp>BDP|18406003583973217305</stp>
        <tr r="F234" s="2"/>
      </tp>
      <tp t="s">
        <v>#N/A N/A</v>
        <stp/>
        <stp>BDP|13810424145654879729</stp>
        <tr r="T1400" s="2"/>
      </tp>
      <tp t="s">
        <v>#N/A N/A</v>
        <stp/>
        <stp>BDP|10108769149764970724</stp>
        <tr r="S955" s="2"/>
      </tp>
      <tp t="s">
        <v>#N/A N/A</v>
        <stp/>
        <stp>BDS|16302986978319615139</stp>
        <tr r="I2182" s="2"/>
      </tp>
      <tp t="s">
        <v>#N/A N/A</v>
        <stp/>
        <stp>BDP|12921849042287820926</stp>
        <tr r="S1935" s="2"/>
      </tp>
      <tp t="s">
        <v>#N/A N/A</v>
        <stp/>
        <stp>BDP|12356561720831658464</stp>
        <tr r="N323" s="2"/>
      </tp>
      <tp t="s">
        <v>#N/A N/A</v>
        <stp/>
        <stp>BDP|11964742027073817778</stp>
        <tr r="G2039" s="2"/>
      </tp>
      <tp t="s">
        <v>#N/A N/A</v>
        <stp/>
        <stp>BDP|17000892009896268971</stp>
        <tr r="R1763" s="2"/>
      </tp>
      <tp t="s">
        <v>#N/A N/A</v>
        <stp/>
        <stp>BDP|12196889059049280675</stp>
        <tr r="Q426" s="2"/>
      </tp>
      <tp t="s">
        <v>#N/A N/A</v>
        <stp/>
        <stp>BDP|12052564507834368373</stp>
        <tr r="O860" s="2"/>
      </tp>
      <tp t="s">
        <v>#N/A N/A</v>
        <stp/>
        <stp>BDP|16229103311940332657</stp>
        <tr r="Q2084" s="2"/>
      </tp>
      <tp t="s">
        <v>#N/A N/A</v>
        <stp/>
        <stp>BDP|17829504359133495402</stp>
        <tr r="K738" s="2"/>
      </tp>
      <tp t="s">
        <v>#N/A N/A</v>
        <stp/>
        <stp>BDP|13511334823954002600</stp>
        <tr r="G1356" s="2"/>
      </tp>
      <tp t="s">
        <v>#N/A N/A</v>
        <stp/>
        <stp>BDP|17094131363117107745</stp>
        <tr r="J2224" s="2"/>
      </tp>
      <tp t="s">
        <v>#N/A N/A</v>
        <stp/>
        <stp>BDP|15273751736383504216</stp>
        <tr r="E643" s="2"/>
      </tp>
      <tp t="s">
        <v>#N/A N/A</v>
        <stp/>
        <stp>BDP|11334154869802357499</stp>
        <tr r="J643" s="2"/>
      </tp>
      <tp t="s">
        <v>#N/A N/A</v>
        <stp/>
        <stp>BDS|14339341553343439161</stp>
        <tr r="I1291" s="2"/>
      </tp>
      <tp t="s">
        <v>#N/A N/A</v>
        <stp/>
        <stp>BDP|12413654503110077470</stp>
        <tr r="T1254" s="2"/>
      </tp>
      <tp t="s">
        <v>#N/A N/A</v>
        <stp/>
        <stp>BDP|14154666600986299400</stp>
        <tr r="O634" s="2"/>
      </tp>
      <tp t="s">
        <v>#N/A N/A</v>
        <stp/>
        <stp>BDP|17954340786189678580</stp>
        <tr r="A1577" s="2"/>
      </tp>
      <tp t="s">
        <v>#N/A N/A</v>
        <stp/>
        <stp>BDP|18045980158201707525</stp>
        <tr r="C1646" s="2"/>
      </tp>
      <tp t="s">
        <v>#N/A N/A</v>
        <stp/>
        <stp>BDP|16108323155183543365</stp>
        <tr r="T1587" s="2"/>
      </tp>
      <tp t="s">
        <v>#N/A N/A</v>
        <stp/>
        <stp>BDP|16254075371119549847</stp>
        <tr r="D2220" s="2"/>
      </tp>
      <tp t="s">
        <v>#N/A N/A</v>
        <stp/>
        <stp>BDP|17927393417705236007</stp>
        <tr r="C1832" s="2"/>
      </tp>
      <tp t="s">
        <v>#N/A N/A</v>
        <stp/>
        <stp>BDP|15450950829097551982</stp>
        <tr r="G420" s="2"/>
      </tp>
      <tp t="s">
        <v>#N/A N/A</v>
        <stp/>
        <stp>BDP|16511020963983990383</stp>
        <tr r="E1638" s="2"/>
      </tp>
      <tp t="s">
        <v>#N/A N/A</v>
        <stp/>
        <stp>BDP|15562529974907744013</stp>
        <tr r="S1736" s="2"/>
      </tp>
      <tp t="s">
        <v>#N/A N/A</v>
        <stp/>
        <stp>BDP|16886831965889229192</stp>
        <tr r="N673" s="2"/>
      </tp>
      <tp t="s">
        <v>#N/A N/A</v>
        <stp/>
        <stp>BDP|15920356658687317422</stp>
        <tr r="S2228" s="2"/>
      </tp>
      <tp t="s">
        <v>#N/A N/A</v>
        <stp/>
        <stp>BDP|18238287988386611417</stp>
        <tr r="A2141" s="2"/>
      </tp>
      <tp t="s">
        <v>#N/A N/A</v>
        <stp/>
        <stp>BDP|15188725702247660528</stp>
        <tr r="F1635" s="2"/>
      </tp>
      <tp t="s">
        <v>#N/A N/A</v>
        <stp/>
        <stp>BDP|17253252933390157600</stp>
        <tr r="G1265" s="2"/>
      </tp>
      <tp t="s">
        <v>#N/A N/A</v>
        <stp/>
        <stp>BDP|17653303012620005511</stp>
        <tr r="R1650" s="2"/>
      </tp>
      <tp t="s">
        <v>#N/A N/A</v>
        <stp/>
        <stp>BDP|16856542173360277482</stp>
        <tr r="D395" s="2"/>
      </tp>
      <tp t="s">
        <v>#N/A N/A</v>
        <stp/>
        <stp>BDP|12536490249135364735</stp>
        <tr r="Q232" s="2"/>
      </tp>
      <tp t="s">
        <v>#N/A N/A</v>
        <stp/>
        <stp>BDP|13316822706102048926</stp>
        <tr r="Q2151" s="2"/>
      </tp>
      <tp t="s">
        <v>#N/A N/A</v>
        <stp/>
        <stp>BDP|14903435260521719781</stp>
        <tr r="P191" s="2"/>
      </tp>
      <tp t="s">
        <v>#N/A N/A</v>
        <stp/>
        <stp>BDP|17590418654242117442</stp>
        <tr r="Q17" s="2"/>
      </tp>
      <tp t="s">
        <v>#N/A N/A</v>
        <stp/>
        <stp>BDP|13619270700518238967</stp>
        <tr r="R317" s="2"/>
      </tp>
      <tp t="s">
        <v>#N/A N/A</v>
        <stp/>
        <stp>BDP|13843242626584975763</stp>
        <tr r="H979" s="2"/>
      </tp>
      <tp t="s">
        <v>#N/A N/A</v>
        <stp/>
        <stp>BDP|16850428627868861804</stp>
        <tr r="A743" s="2"/>
      </tp>
      <tp t="s">
        <v>#N/A N/A</v>
        <stp/>
        <stp>BDP|16007527246100265737</stp>
        <tr r="K2069" s="2"/>
      </tp>
      <tp t="s">
        <v>#N/A N/A</v>
        <stp/>
        <stp>BDP|15852511369142619432</stp>
        <tr r="J1441" s="2"/>
      </tp>
      <tp t="s">
        <v>#N/A N/A</v>
        <stp/>
        <stp>BDP|10658397828563189239</stp>
        <tr r="J1630" s="2"/>
      </tp>
      <tp t="s">
        <v>#N/A N/A</v>
        <stp/>
        <stp>BDS|16008607014190757155</stp>
        <tr r="I940" s="2"/>
      </tp>
      <tp t="s">
        <v>#N/A N/A</v>
        <stp/>
        <stp>BDP|10093939948815998877</stp>
        <tr r="N202" s="2"/>
      </tp>
      <tp t="s">
        <v>#N/A N/A</v>
        <stp/>
        <stp>BDP|15057944705964449809</stp>
        <tr r="Q1349" s="2"/>
      </tp>
      <tp t="s">
        <v>#N/A N/A</v>
        <stp/>
        <stp>BDP|15108173144724764407</stp>
        <tr r="T1338" s="2"/>
      </tp>
      <tp t="s">
        <v>#N/A N/A</v>
        <stp/>
        <stp>BDP|18327365179219818511</stp>
        <tr r="G1986" s="2"/>
      </tp>
      <tp t="s">
        <v>#N/A N/A</v>
        <stp/>
        <stp>BDP|15196704125016798661</stp>
        <tr r="M22" s="2"/>
      </tp>
      <tp t="s">
        <v>#N/A N/A</v>
        <stp/>
        <stp>BDP|14637657985118477277</stp>
        <tr r="T2231" s="2"/>
      </tp>
      <tp t="s">
        <v>#N/A N/A</v>
        <stp/>
        <stp>BDP|11721295397729540391</stp>
        <tr r="G1839" s="2"/>
      </tp>
      <tp t="s">
        <v>#N/A N/A</v>
        <stp/>
        <stp>BDP|13334888144128297786</stp>
        <tr r="G957" s="2"/>
      </tp>
      <tp t="s">
        <v>#N/A N/A</v>
        <stp/>
        <stp>BDP|11471235753283023516</stp>
        <tr r="C1630" s="2"/>
      </tp>
      <tp t="s">
        <v>#N/A N/A</v>
        <stp/>
        <stp>BDP|10917872988522614253</stp>
        <tr r="F1379" s="2"/>
      </tp>
      <tp t="s">
        <v>#N/A N/A</v>
        <stp/>
        <stp>BDP|13944163603790003294</stp>
        <tr r="E1989" s="2"/>
      </tp>
      <tp t="s">
        <v>#N/A N/A</v>
        <stp/>
        <stp>BDP|10576714911074142213</stp>
        <tr r="G1339" s="2"/>
      </tp>
      <tp t="s">
        <v>#N/A N/A</v>
        <stp/>
        <stp>BDP|13007101666224429075</stp>
        <tr r="P1567" s="2"/>
      </tp>
      <tp t="s">
        <v>#N/A N/A</v>
        <stp/>
        <stp>BDP|12338074335482727335</stp>
        <tr r="J1795" s="2"/>
      </tp>
      <tp t="s">
        <v>#N/A N/A</v>
        <stp/>
        <stp>BDP|13748663383499053472</stp>
        <tr r="J1858" s="2"/>
      </tp>
      <tp t="s">
        <v>#N/A N/A</v>
        <stp/>
        <stp>BDP|14786707560533609651</stp>
        <tr r="N1784" s="2"/>
      </tp>
      <tp t="s">
        <v>#N/A N/A</v>
        <stp/>
        <stp>BDP|17186637192519724133</stp>
        <tr r="S1708" s="2"/>
      </tp>
      <tp t="s">
        <v>#N/A N/A</v>
        <stp/>
        <stp>BDP|12308442444641598327</stp>
        <tr r="Q850" s="2"/>
      </tp>
      <tp t="s">
        <v>#N/A N/A</v>
        <stp/>
        <stp>BDP|16897705253434936061</stp>
        <tr r="J65" s="2"/>
      </tp>
      <tp t="s">
        <v>#N/A N/A</v>
        <stp/>
        <stp>BDP|13919046367107848268</stp>
        <tr r="A1081" s="2"/>
      </tp>
      <tp t="s">
        <v>#N/A N/A</v>
        <stp/>
        <stp>BDP|16426505726239680807</stp>
        <tr r="J1931" s="2"/>
      </tp>
      <tp t="s">
        <v>#N/A N/A</v>
        <stp/>
        <stp>BDP|11057447149582893317</stp>
        <tr r="N1435" s="2"/>
      </tp>
      <tp t="s">
        <v>#N/A N/A</v>
        <stp/>
        <stp>BDP|10676153064005558268</stp>
        <tr r="A1166" s="2"/>
      </tp>
      <tp t="s">
        <v>#N/A N/A</v>
        <stp/>
        <stp>BDP|10842417367121988333</stp>
        <tr r="P741" s="2"/>
      </tp>
      <tp t="s">
        <v>#N/A N/A</v>
        <stp/>
        <stp>BDS|13210544503872063422</stp>
        <tr r="I198" s="2"/>
      </tp>
      <tp t="s">
        <v>#N/A N/A</v>
        <stp/>
        <stp>BDP|14299306472693468307</stp>
        <tr r="E2195" s="2"/>
      </tp>
      <tp t="s">
        <v>#N/A N/A</v>
        <stp/>
        <stp>BDP|13734438037784534027</stp>
        <tr r="P1315" s="2"/>
      </tp>
      <tp t="s">
        <v>#N/A N/A</v>
        <stp/>
        <stp>BDP|12633249264346518077</stp>
        <tr r="C1149" s="2"/>
      </tp>
      <tp t="s">
        <v>#N/A N/A</v>
        <stp/>
        <stp>BDP|14504128712992783666</stp>
        <tr r="T145" s="2"/>
      </tp>
      <tp t="s">
        <v>#N/A N/A</v>
        <stp/>
        <stp>BDP|10084260495989773209</stp>
        <tr r="R100" s="2"/>
      </tp>
      <tp t="s">
        <v>#N/A N/A</v>
        <stp/>
        <stp>BDP|18321248007683773934</stp>
        <tr r="S567" s="2"/>
      </tp>
      <tp t="s">
        <v>#N/A N/A</v>
        <stp/>
        <stp>BDP|17832276304904804173</stp>
        <tr r="C2217" s="2"/>
      </tp>
      <tp t="s">
        <v>#N/A N/A</v>
        <stp/>
        <stp>BDP|16739859022974458809</stp>
        <tr r="K462" s="2"/>
      </tp>
      <tp t="s">
        <v>#N/A N/A</v>
        <stp/>
        <stp>BDP|16461359365144157714</stp>
        <tr r="G246" s="2"/>
      </tp>
      <tp t="s">
        <v>#N/A N/A</v>
        <stp/>
        <stp>BDP|15315501873486587113</stp>
        <tr r="A118" s="2"/>
      </tp>
      <tp t="s">
        <v>#N/A N/A</v>
        <stp/>
        <stp>BDP|14452464970874601307</stp>
        <tr r="A1992" s="2"/>
      </tp>
      <tp t="s">
        <v>#N/A N/A</v>
        <stp/>
        <stp>BDP|17400645713984043476</stp>
        <tr r="H542" s="2"/>
      </tp>
      <tp t="s">
        <v>#N/A N/A</v>
        <stp/>
        <stp>BDP|16460501429896092798</stp>
        <tr r="C1263" s="2"/>
      </tp>
      <tp t="s">
        <v>#N/A N/A</v>
        <stp/>
        <stp>BDP|12690626936530403724</stp>
        <tr r="N22" s="2"/>
      </tp>
      <tp t="s">
        <v>#N/A N/A</v>
        <stp/>
        <stp>BDP|11586574979217634493</stp>
        <tr r="E165" s="2"/>
      </tp>
      <tp t="s">
        <v>#N/A N/A</v>
        <stp/>
        <stp>BDP|12500725046477787627</stp>
        <tr r="F1819" s="2"/>
      </tp>
      <tp t="s">
        <v>#N/A N/A</v>
        <stp/>
        <stp>BDP|11599319174351462408</stp>
        <tr r="F342" s="2"/>
      </tp>
      <tp t="s">
        <v>#N/A N/A</v>
        <stp/>
        <stp>BDP|10592241874136421356</stp>
        <tr r="S1636" s="2"/>
      </tp>
      <tp t="s">
        <v>#N/A N/A</v>
        <stp/>
        <stp>BDP|10980604479243118252</stp>
        <tr r="S444" s="2"/>
      </tp>
      <tp t="s">
        <v>#N/A N/A</v>
        <stp/>
        <stp>BDP|17005158463183401364</stp>
        <tr r="M179" s="2"/>
      </tp>
      <tp t="s">
        <v>#N/A N/A</v>
        <stp/>
        <stp>BDP|15465568718575715497</stp>
        <tr r="Q835" s="2"/>
      </tp>
      <tp t="s">
        <v>#N/A N/A</v>
        <stp/>
        <stp>BDS|15827418057502853616</stp>
        <tr r="I1290" s="2"/>
      </tp>
      <tp t="s">
        <v>#N/A N/A</v>
        <stp/>
        <stp>BDP|10840424335013995425</stp>
        <tr r="K10" s="2"/>
      </tp>
      <tp t="s">
        <v>#N/A N/A</v>
        <stp/>
        <stp>BDP|14112333024917235204</stp>
        <tr r="J201" s="2"/>
      </tp>
      <tp t="s">
        <v>#N/A N/A</v>
        <stp/>
        <stp>BDP|14021338315544475264</stp>
        <tr r="R1484" s="2"/>
      </tp>
      <tp t="s">
        <v>#N/A N/A</v>
        <stp/>
        <stp>BDP|16255116734653548762</stp>
        <tr r="F2050" s="2"/>
      </tp>
      <tp t="s">
        <v>#N/A N/A</v>
        <stp/>
        <stp>BDP|14879892050019673031</stp>
        <tr r="O1084" s="2"/>
      </tp>
      <tp t="s">
        <v>#N/A N/A</v>
        <stp/>
        <stp>BDP|18019838001448798817</stp>
        <tr r="T164" s="2"/>
      </tp>
      <tp t="s">
        <v>#N/A N/A</v>
        <stp/>
        <stp>BDP|10644741123100449512</stp>
        <tr r="N2180" s="2"/>
      </tp>
      <tp t="s">
        <v>#N/A N/A</v>
        <stp/>
        <stp>BDP|11570109853077353219</stp>
        <tr r="O1154" s="2"/>
      </tp>
      <tp t="s">
        <v>#N/A N/A</v>
        <stp/>
        <stp>BDP|15222687451184631295</stp>
        <tr r="F798" s="2"/>
      </tp>
      <tp t="s">
        <v>#N/A N/A</v>
        <stp/>
        <stp>BDP|12761746605700159530</stp>
        <tr r="S2111" s="2"/>
      </tp>
      <tp t="s">
        <v>#N/A N/A</v>
        <stp/>
        <stp>BDS|16702006730326509357</stp>
        <tr r="I410" s="2"/>
      </tp>
      <tp t="s">
        <v>#N/A N/A</v>
        <stp/>
        <stp>BDP|17065347141257868797</stp>
        <tr r="Q844" s="2"/>
      </tp>
      <tp t="s">
        <v>#N/A N/A</v>
        <stp/>
        <stp>BDP|16572910085443773426</stp>
        <tr r="N496" s="2"/>
      </tp>
      <tp t="s">
        <v>#N/A N/A</v>
        <stp/>
        <stp>BDP|12319767143272068320</stp>
        <tr r="K468" s="2"/>
      </tp>
      <tp t="s">
        <v>#N/A N/A</v>
        <stp/>
        <stp>BDP|15546177324274744257</stp>
        <tr r="H948" s="2"/>
      </tp>
      <tp t="s">
        <v>#N/A N/A</v>
        <stp/>
        <stp>BDP|17670304808180906430</stp>
        <tr r="N1855" s="2"/>
      </tp>
      <tp t="s">
        <v>#N/A N/A</v>
        <stp/>
        <stp>BDS|14551181915180631494</stp>
        <tr r="I1754" s="2"/>
      </tp>
      <tp t="s">
        <v>#N/A N/A</v>
        <stp/>
        <stp>BDP|14050240941107352520</stp>
        <tr r="D2056" s="2"/>
      </tp>
      <tp t="s">
        <v>#N/A N/A</v>
        <stp/>
        <stp>BDP|16070398832167898176</stp>
        <tr r="T1826" s="2"/>
      </tp>
      <tp t="s">
        <v>#N/A N/A</v>
        <stp/>
        <stp>BDP|14925740229406947793</stp>
        <tr r="N426" s="2"/>
      </tp>
      <tp t="s">
        <v>#N/A N/A</v>
        <stp/>
        <stp>BDP|15129437136794714673</stp>
        <tr r="M1123" s="2"/>
      </tp>
      <tp t="s">
        <v>#N/A N/A</v>
        <stp/>
        <stp>BDP|18001763286220767737</stp>
        <tr r="D368" s="2"/>
      </tp>
      <tp t="s">
        <v>#N/A N/A</v>
        <stp/>
        <stp>BDP|12804106914642164091</stp>
        <tr r="T192" s="2"/>
      </tp>
      <tp t="s">
        <v>#N/A N/A</v>
        <stp/>
        <stp>BDP|15474104937306651112</stp>
        <tr r="R1178" s="2"/>
      </tp>
      <tp t="s">
        <v>#N/A N/A</v>
        <stp/>
        <stp>BDP|13468156253322263542</stp>
        <tr r="Q854" s="2"/>
      </tp>
      <tp t="s">
        <v>#N/A N/A</v>
        <stp/>
        <stp>BDP|10213166541966805399</stp>
        <tr r="P20" s="2"/>
      </tp>
      <tp t="s">
        <v>#N/A N/A</v>
        <stp/>
        <stp>BDP|10620691179147242601</stp>
        <tr r="J1198" s="2"/>
      </tp>
      <tp t="s">
        <v>#N/A N/A</v>
        <stp/>
        <stp>BDP|14237623722265670502</stp>
        <tr r="O1019" s="2"/>
      </tp>
      <tp t="s">
        <v>#N/A N/A</v>
        <stp/>
        <stp>BDP|14865042889339788568</stp>
        <tr r="P1068" s="2"/>
      </tp>
      <tp t="s">
        <v>#N/A N/A</v>
        <stp/>
        <stp>BDP|15457034108652375787</stp>
        <tr r="M2100" s="2"/>
      </tp>
      <tp t="s">
        <v>#N/A N/A</v>
        <stp/>
        <stp>BDP|15710829629877020885</stp>
        <tr r="M736" s="2"/>
      </tp>
      <tp t="s">
        <v>#N/A N/A</v>
        <stp/>
        <stp>BDP|14478763614943021129</stp>
        <tr r="G1815" s="2"/>
      </tp>
      <tp t="s">
        <v>#N/A N/A</v>
        <stp/>
        <stp>BDP|16691083752927963413</stp>
        <tr r="C1649" s="2"/>
      </tp>
      <tp t="s">
        <v>#N/A N/A</v>
        <stp/>
        <stp>BDP|13486738268713208192</stp>
        <tr r="O1554" s="2"/>
      </tp>
      <tp t="s">
        <v>#N/A N/A</v>
        <stp/>
        <stp>BDP|14481688970162053781</stp>
        <tr r="J1837" s="2"/>
      </tp>
      <tp t="s">
        <v>#N/A N/A</v>
        <stp/>
        <stp>BDP|16400183971171823115</stp>
        <tr r="D1701" s="2"/>
      </tp>
      <tp t="s">
        <v>#N/A N/A</v>
        <stp/>
        <stp>BDP|16679501296052423801</stp>
        <tr r="J1854" s="2"/>
      </tp>
      <tp t="s">
        <v>#N/A N/A</v>
        <stp/>
        <stp>BDP|17457354312177528227</stp>
        <tr r="S216" s="2"/>
      </tp>
      <tp t="s">
        <v>#N/A N/A</v>
        <stp/>
        <stp>BDP|11440923118150802923</stp>
        <tr r="K410" s="2"/>
      </tp>
      <tp t="s">
        <v>#N/A N/A</v>
        <stp/>
        <stp>BDP|14911818471622497993</stp>
        <tr r="F155" s="2"/>
      </tp>
      <tp t="s">
        <v>#N/A N/A</v>
        <stp/>
        <stp>BDP|17144910514749277621</stp>
        <tr r="P794" s="2"/>
      </tp>
      <tp t="s">
        <v>#N/A N/A</v>
        <stp/>
        <stp>BDP|14304256631772639756</stp>
        <tr r="P2125" s="2"/>
      </tp>
      <tp t="s">
        <v>#N/A N/A</v>
        <stp/>
        <stp>BDP|13159403971172648227</stp>
        <tr r="S1746" s="2"/>
      </tp>
      <tp t="s">
        <v>#N/A N/A</v>
        <stp/>
        <stp>BDS|13252457956502663005</stp>
        <tr r="I1070" s="2"/>
      </tp>
      <tp t="s">
        <v>#N/A N/A</v>
        <stp/>
        <stp>BDP|13343135176510069526</stp>
        <tr r="P1072" s="2"/>
      </tp>
      <tp t="s">
        <v>#N/A N/A</v>
        <stp/>
        <stp>BDP|14168645127425797525</stp>
        <tr r="M1714" s="2"/>
      </tp>
      <tp t="s">
        <v>#N/A N/A</v>
        <stp/>
        <stp>BDP|16796174661057279641</stp>
        <tr r="J1492" s="2"/>
      </tp>
      <tp t="s">
        <v>#N/A N/A</v>
        <stp/>
        <stp>BDP|14316136852019050959</stp>
        <tr r="A663" s="2"/>
      </tp>
      <tp t="s">
        <v>#N/A N/A</v>
        <stp/>
        <stp>BDP|13057956150719589677</stp>
        <tr r="J1496" s="2"/>
      </tp>
      <tp t="s">
        <v>#N/A N/A</v>
        <stp/>
        <stp>BDP|10700726002731599653</stp>
        <tr r="S1391" s="2"/>
      </tp>
      <tp t="s">
        <v>#N/A N/A</v>
        <stp/>
        <stp>BDS|17552750007100476078</stp>
        <tr r="I1321" s="2"/>
      </tp>
      <tp t="s">
        <v>#N/A N/A</v>
        <stp/>
        <stp>BDP|14902581254716688244</stp>
        <tr r="D1530" s="2"/>
      </tp>
      <tp t="s">
        <v>#N/A N/A</v>
        <stp/>
        <stp>BDP|15547548843017424314</stp>
        <tr r="R1945" s="2"/>
      </tp>
      <tp t="s">
        <v>#N/A N/A</v>
        <stp/>
        <stp>BDP|15846001712693402799</stp>
        <tr r="N660" s="2"/>
      </tp>
      <tp t="s">
        <v>#N/A N/A</v>
        <stp/>
        <stp>BDP|17740561267403634778</stp>
        <tr r="E641" s="2"/>
      </tp>
      <tp t="s">
        <v>#N/A N/A</v>
        <stp/>
        <stp>BDP|16934198315077640145</stp>
        <tr r="S402" s="2"/>
      </tp>
      <tp t="s">
        <v>#N/A N/A</v>
        <stp/>
        <stp>BDP|10587063376385571276</stp>
        <tr r="N1931" s="2"/>
      </tp>
      <tp t="s">
        <v>#N/A N/A</v>
        <stp/>
        <stp>BDP|17587275261915799634</stp>
        <tr r="K1705" s="2"/>
      </tp>
      <tp t="s">
        <v>#N/A N/A</v>
        <stp/>
        <stp>BDS|10719266616843756043</stp>
        <tr r="I1593" s="2"/>
      </tp>
      <tp t="s">
        <v>#N/A N/A</v>
        <stp/>
        <stp>BDP|11997526434381133696</stp>
        <tr r="M148" s="2"/>
      </tp>
      <tp t="s">
        <v>#N/A N/A</v>
        <stp/>
        <stp>BDS|17729599294238783398</stp>
        <tr r="I2020" s="2"/>
      </tp>
      <tp t="s">
        <v>#N/A N/A</v>
        <stp/>
        <stp>BDP|13226316982531313958</stp>
        <tr r="N2192" s="2"/>
      </tp>
      <tp t="s">
        <v>#N/A N/A</v>
        <stp/>
        <stp>BDP|11210141844617316368</stp>
        <tr r="J986" s="2"/>
      </tp>
      <tp t="s">
        <v>#N/A N/A</v>
        <stp/>
        <stp>BDP|10629539130761166735</stp>
        <tr r="E287" s="2"/>
      </tp>
      <tp t="s">
        <v>#N/A N/A</v>
        <stp/>
        <stp>BDP|18033819153310141542</stp>
        <tr r="N1176" s="2"/>
      </tp>
      <tp t="s">
        <v>#N/A N/A</v>
        <stp/>
        <stp>BDS|10582239022803400346</stp>
        <tr r="I1847" s="2"/>
      </tp>
      <tp t="s">
        <v>#N/A N/A</v>
        <stp/>
        <stp>BDP|17593112034771111463</stp>
        <tr r="K1354" s="2"/>
      </tp>
      <tp t="s">
        <v>#N/A N/A</v>
        <stp/>
        <stp>BDP|14526118073602471045</stp>
        <tr r="J1662" s="2"/>
      </tp>
      <tp t="s">
        <v>#N/A N/A</v>
        <stp/>
        <stp>BDP|16682244191775773832</stp>
        <tr r="S1903" s="2"/>
      </tp>
      <tp t="s">
        <v>#N/A N/A</v>
        <stp/>
        <stp>BDP|12010582008505680210</stp>
        <tr r="E2232" s="2"/>
      </tp>
      <tp t="s">
        <v>#N/A N/A</v>
        <stp/>
        <stp>BDP|15059668510653469153</stp>
        <tr r="E1667" s="2"/>
      </tp>
      <tp t="s">
        <v>#N/A N/A</v>
        <stp/>
        <stp>BDP|10287415975797339424</stp>
        <tr r="T1608" s="2"/>
      </tp>
      <tp t="s">
        <v>#N/A N/A</v>
        <stp/>
        <stp>BDP|16442458973642106747</stp>
        <tr r="D95" s="2"/>
      </tp>
      <tp t="s">
        <v>#N/A N/A</v>
        <stp/>
        <stp>BDP|17164272814085210178</stp>
        <tr r="D216" s="2"/>
      </tp>
      <tp t="s">
        <v>#N/A N/A</v>
        <stp/>
        <stp>BDP|17606670310206591636</stp>
        <tr r="J1948" s="2"/>
      </tp>
      <tp t="s">
        <v>#N/A N/A</v>
        <stp/>
        <stp>BDP|17774411763565085026</stp>
        <tr r="R1711" s="2"/>
      </tp>
      <tp t="s">
        <v>#N/A N/A</v>
        <stp/>
        <stp>BDP|13283425720565741001</stp>
        <tr r="R1999" s="2"/>
      </tp>
      <tp t="s">
        <v>#N/A N/A</v>
        <stp/>
        <stp>BDP|15199578705045750538</stp>
        <tr r="A231" s="2"/>
      </tp>
      <tp t="s">
        <v>#N/A N/A</v>
        <stp/>
        <stp>BDP|11350711566220221018</stp>
        <tr r="M2149" s="2"/>
      </tp>
      <tp t="s">
        <v>#N/A N/A</v>
        <stp/>
        <stp>BDS|12986012178147431204</stp>
        <tr r="I1238" s="2"/>
      </tp>
      <tp t="s">
        <v>#N/A N/A</v>
        <stp/>
        <stp>BDP|10875325239828180851</stp>
        <tr r="J2251" s="2"/>
      </tp>
      <tp t="s">
        <v>#N/A N/A</v>
        <stp/>
        <stp>BDP|16052726615500520057</stp>
        <tr r="S1502" s="2"/>
      </tp>
      <tp t="s">
        <v>#N/A N/A</v>
        <stp/>
        <stp>BDP|10057974487352637312</stp>
        <tr r="J448" s="2"/>
      </tp>
      <tp t="s">
        <v>#N/A N/A</v>
        <stp/>
        <stp>BDP|12877814080371951376</stp>
        <tr r="O972" s="2"/>
      </tp>
      <tp t="s">
        <v>#N/A N/A</v>
        <stp/>
        <stp>BDP|10337330346347420051</stp>
        <tr r="F1909" s="2"/>
      </tp>
      <tp t="s">
        <v>#N/A N/A</v>
        <stp/>
        <stp>BDP|13185082890382725898</stp>
        <tr r="S1396" s="2"/>
      </tp>
      <tp t="s">
        <v>#N/A N/A</v>
        <stp/>
        <stp>BDP|15225355833787458277</stp>
        <tr r="D1088" s="2"/>
      </tp>
      <tp t="s">
        <v>#N/A N/A</v>
        <stp/>
        <stp>BDP|16510476875967783274</stp>
        <tr r="F750" s="2"/>
      </tp>
      <tp t="s">
        <v>#N/A N/A</v>
        <stp/>
        <stp>BDP|14523121145699760821</stp>
        <tr r="J901" s="2"/>
      </tp>
      <tp t="s">
        <v>#N/A N/A</v>
        <stp/>
        <stp>BDP|13439157667791632572</stp>
        <tr r="T880" s="2"/>
      </tp>
      <tp t="s">
        <v>#N/A N/A</v>
        <stp/>
        <stp>BDP|12304434057716792578</stp>
        <tr r="D797" s="2"/>
      </tp>
      <tp t="s">
        <v>#N/A N/A</v>
        <stp/>
        <stp>BDP|14490099325257991169</stp>
        <tr r="D1767" s="2"/>
      </tp>
      <tp t="s">
        <v>#N/A N/A</v>
        <stp/>
        <stp>BDP|14792754777261195534</stp>
        <tr r="T663" s="2"/>
      </tp>
      <tp t="s">
        <v>#N/A N/A</v>
        <stp/>
        <stp>BDP|13133451456474101644</stp>
        <tr r="F1161" s="2"/>
      </tp>
      <tp t="s">
        <v>#N/A N/A</v>
        <stp/>
        <stp>BDP|16961080587286967883</stp>
        <tr r="Q380" s="2"/>
      </tp>
      <tp t="s">
        <v>#N/A N/A</v>
        <stp/>
        <stp>BDS|10761131000683403240</stp>
        <tr r="I659" s="2"/>
      </tp>
      <tp t="s">
        <v>#N/A N/A</v>
        <stp/>
        <stp>BDP|15174644518035806722</stp>
        <tr r="C148" s="2"/>
      </tp>
      <tp t="s">
        <v>#N/A N/A</v>
        <stp/>
        <stp>BDP|10666527587315655826</stp>
        <tr r="R764" s="2"/>
      </tp>
      <tp t="s">
        <v>#N/A N/A</v>
        <stp/>
        <stp>BDP|10605357771537113342</stp>
        <tr r="P1948" s="2"/>
      </tp>
      <tp t="s">
        <v>#N/A N/A</v>
        <stp/>
        <stp>BDP|10640386350372079496</stp>
        <tr r="G1330" s="2"/>
      </tp>
      <tp t="s">
        <v>#N/A N/A</v>
        <stp/>
        <stp>BDP|13221810682987730418</stp>
        <tr r="A764" s="2"/>
      </tp>
      <tp t="s">
        <v>#N/A N/A</v>
        <stp/>
        <stp>BDP|11661435342212326333</stp>
        <tr r="D2127" s="2"/>
      </tp>
      <tp t="s">
        <v>#N/A N/A</v>
        <stp/>
        <stp>BDP|11103118460485399345</stp>
        <tr r="M1164" s="2"/>
      </tp>
      <tp t="s">
        <v>#N/A N/A</v>
        <stp/>
        <stp>BDP|13696845284877975483</stp>
        <tr r="O861" s="2"/>
      </tp>
      <tp t="s">
        <v>#N/A N/A</v>
        <stp/>
        <stp>BDP|16916027354523941017</stp>
        <tr r="P1163" s="2"/>
      </tp>
      <tp t="s">
        <v>#N/A N/A</v>
        <stp/>
        <stp>BDP|14452197343285108480</stp>
        <tr r="A716" s="2"/>
      </tp>
      <tp t="s">
        <v>#N/A N/A</v>
        <stp/>
        <stp>BDP|13233423276203051317</stp>
        <tr r="E89" s="2"/>
      </tp>
      <tp t="s">
        <v>#N/A N/A</v>
        <stp/>
        <stp>BDP|12098349762695445252</stp>
        <tr r="S945" s="2"/>
      </tp>
      <tp t="s">
        <v>#N/A N/A</v>
        <stp/>
        <stp>BDP|16408081590669204690</stp>
        <tr r="E2179" s="2"/>
      </tp>
      <tp t="s">
        <v>#N/A N/A</v>
        <stp/>
        <stp>BDP|12401773347074230517</stp>
        <tr r="M555" s="2"/>
      </tp>
      <tp t="s">
        <v>#N/A N/A</v>
        <stp/>
        <stp>BDP|16457600741961123539</stp>
        <tr r="N2231" s="2"/>
      </tp>
      <tp t="s">
        <v>#N/A N/A</v>
        <stp/>
        <stp>BDP|13881040679444684043</stp>
        <tr r="E784" s="2"/>
      </tp>
      <tp t="s">
        <v>#N/A N/A</v>
        <stp/>
        <stp>BDP|13140082529375711403</stp>
        <tr r="A1533" s="2"/>
      </tp>
      <tp t="s">
        <v>#N/A N/A</v>
        <stp/>
        <stp>BDP|10390652358874829717</stp>
        <tr r="Q2251" s="2"/>
      </tp>
      <tp t="s">
        <v>#N/A N/A</v>
        <stp/>
        <stp>BDP|18164036898058936945</stp>
        <tr r="G819" s="2"/>
      </tp>
      <tp t="s">
        <v>#N/A N/A</v>
        <stp/>
        <stp>BDP|12548736841796457746</stp>
        <tr r="T1047" s="2"/>
      </tp>
      <tp t="s">
        <v>#N/A N/A</v>
        <stp/>
        <stp>BDP|10634381708370122305</stp>
        <tr r="R1973" s="2"/>
      </tp>
      <tp t="s">
        <v>#N/A N/A</v>
        <stp/>
        <stp>BDP|11506564232664434327</stp>
        <tr r="R233" s="2"/>
      </tp>
      <tp t="s">
        <v>#N/A N/A</v>
        <stp/>
        <stp>BDP|16437136825434300164</stp>
        <tr r="F2150" s="2"/>
      </tp>
      <tp t="s">
        <v>#N/A N/A</v>
        <stp/>
        <stp>BDP|13397675041792081326</stp>
        <tr r="C1211" s="2"/>
      </tp>
      <tp t="s">
        <v>#N/A N/A</v>
        <stp/>
        <stp>BDP|14474366071589583919</stp>
        <tr r="Q1555" s="2"/>
      </tp>
      <tp t="s">
        <v>#N/A N/A</v>
        <stp/>
        <stp>BDP|16451472514024823780</stp>
        <tr r="J1425" s="2"/>
      </tp>
      <tp t="s">
        <v>#N/A N/A</v>
        <stp/>
        <stp>BDP|11938551707773919751</stp>
        <tr r="K2091" s="2"/>
      </tp>
      <tp t="s">
        <v>#N/A N/A</v>
        <stp/>
        <stp>BDP|13433970092214073763</stp>
        <tr r="C998" s="2"/>
      </tp>
      <tp t="s">
        <v>#N/A N/A</v>
        <stp/>
        <stp>BDP|16176400737395548445</stp>
        <tr r="G1310" s="2"/>
      </tp>
      <tp t="s">
        <v>#N/A N/A</v>
        <stp/>
        <stp>BDP|16997719624552317181</stp>
        <tr r="A189" s="2"/>
      </tp>
      <tp t="s">
        <v>#N/A N/A</v>
        <stp/>
        <stp>BDP|11347132308457623795</stp>
        <tr r="C1087" s="2"/>
      </tp>
      <tp t="s">
        <v>#N/A N/A</v>
        <stp/>
        <stp>BDP|11033146871021484669</stp>
        <tr r="Q399" s="2"/>
      </tp>
      <tp t="s">
        <v>#N/A N/A</v>
        <stp/>
        <stp>BDP|10219079124564687601</stp>
        <tr r="J2183" s="2"/>
      </tp>
      <tp t="s">
        <v>#N/A N/A</v>
        <stp/>
        <stp>BDS|11094815183652078369</stp>
        <tr r="I705" s="2"/>
      </tp>
      <tp t="s">
        <v>#N/A N/A</v>
        <stp/>
        <stp>BDP|17050473737967482733</stp>
        <tr r="R2044" s="2"/>
      </tp>
      <tp t="s">
        <v>#N/A N/A</v>
        <stp/>
        <stp>BDP|10873391200876548521</stp>
        <tr r="N73" s="2"/>
      </tp>
      <tp t="s">
        <v>#N/A N/A</v>
        <stp/>
        <stp>BDP|12110719514455017126</stp>
        <tr r="G1383" s="2"/>
      </tp>
      <tp t="s">
        <v>#N/A N/A</v>
        <stp/>
        <stp>BDP|16674843808239458788</stp>
        <tr r="F1846" s="2"/>
      </tp>
      <tp t="s">
        <v>#N/A N/A</v>
        <stp/>
        <stp>BDP|15645549913298124966</stp>
        <tr r="Q1734" s="2"/>
      </tp>
      <tp t="s">
        <v>#N/A N/A</v>
        <stp/>
        <stp>BDP|12488774715652264626</stp>
        <tr r="D623" s="2"/>
      </tp>
      <tp t="s">
        <v>#N/A N/A</v>
        <stp/>
        <stp>BDP|12007129773206008271</stp>
        <tr r="R1994" s="2"/>
      </tp>
      <tp t="s">
        <v>#N/A N/A</v>
        <stp/>
        <stp>BDS|17013290718535092147</stp>
        <tr r="I5" s="2"/>
      </tp>
      <tp t="s">
        <v>#N/A N/A</v>
        <stp/>
        <stp>BDP|16602518930678048810</stp>
        <tr r="G222" s="2"/>
      </tp>
      <tp t="s">
        <v>#N/A N/A</v>
        <stp/>
        <stp>BDP|14096222760380579015</stp>
        <tr r="E492" s="2"/>
      </tp>
      <tp t="s">
        <v>#N/A N/A</v>
        <stp/>
        <stp>BDP|13761264993638593014</stp>
        <tr r="O244" s="2"/>
      </tp>
      <tp t="s">
        <v>#N/A N/A</v>
        <stp/>
        <stp>BDP|11974483750827505725</stp>
        <tr r="Q683" s="2"/>
      </tp>
      <tp t="s">
        <v>#N/A N/A</v>
        <stp/>
        <stp>BDP|17118247114331558529</stp>
        <tr r="G608" s="2"/>
      </tp>
      <tp t="s">
        <v>#N/A N/A</v>
        <stp/>
        <stp>BDP|12086415014491672656</stp>
        <tr r="P107" s="2"/>
      </tp>
      <tp t="s">
        <v>#N/A N/A</v>
        <stp/>
        <stp>BDS|16953792431407792532</stp>
        <tr r="I18" s="2"/>
      </tp>
      <tp t="s">
        <v>#N/A N/A</v>
        <stp/>
        <stp>BDP|12072898697966965518</stp>
        <tr r="H900" s="2"/>
      </tp>
      <tp t="s">
        <v>#N/A N/A</v>
        <stp/>
        <stp>BDS|12405231143951626572</stp>
        <tr r="I2247" s="2"/>
      </tp>
      <tp t="s">
        <v>#N/A N/A</v>
        <stp/>
        <stp>BDP|11033965286934051462</stp>
        <tr r="F566" s="2"/>
      </tp>
      <tp t="s">
        <v>#N/A N/A</v>
        <stp/>
        <stp>BDP|12184719534712373419</stp>
        <tr r="O2176" s="2"/>
      </tp>
      <tp t="s">
        <v>#N/A N/A</v>
        <stp/>
        <stp>BDP|10897775454881589384</stp>
        <tr r="N177" s="2"/>
      </tp>
      <tp t="s">
        <v>#N/A N/A</v>
        <stp/>
        <stp>BDP|15482319161817134735</stp>
        <tr r="D2076" s="2"/>
      </tp>
      <tp t="s">
        <v>#N/A N/A</v>
        <stp/>
        <stp>BDP|11606274222966661734</stp>
        <tr r="K603" s="2"/>
      </tp>
      <tp t="s">
        <v>#N/A N/A</v>
        <stp/>
        <stp>BDP|11922162669872150412</stp>
        <tr r="S1728" s="2"/>
      </tp>
      <tp t="s">
        <v>#N/A N/A</v>
        <stp/>
        <stp>BDP|15787879603849408417</stp>
        <tr r="P1724" s="2"/>
      </tp>
      <tp t="s">
        <v>#N/A N/A</v>
        <stp/>
        <stp>BDP|17309344018017086292</stp>
        <tr r="T1375" s="2"/>
      </tp>
      <tp t="s">
        <v>#N/A N/A</v>
        <stp/>
        <stp>BDP|14484436639412808104</stp>
        <tr r="T1390" s="2"/>
      </tp>
      <tp t="s">
        <v>#N/A N/A</v>
        <stp/>
        <stp>BDP|12794828897862140153</stp>
        <tr r="P328" s="2"/>
      </tp>
      <tp t="s">
        <v>#N/A N/A</v>
        <stp/>
        <stp>BDP|15815560646964750093</stp>
        <tr r="M1204" s="2"/>
      </tp>
      <tp t="s">
        <v>#N/A N/A</v>
        <stp/>
        <stp>BDP|10522155572811272766</stp>
        <tr r="D701" s="2"/>
      </tp>
      <tp t="s">
        <v>#N/A N/A</v>
        <stp/>
        <stp>BDP|13544472671106285671</stp>
        <tr r="N1878" s="2"/>
      </tp>
      <tp t="s">
        <v>#N/A N/A</v>
        <stp/>
        <stp>BDP|11397400821310776730</stp>
        <tr r="J1057" s="2"/>
      </tp>
      <tp t="s">
        <v>#N/A N/A</v>
        <stp/>
        <stp>BDP|17551517876944626124</stp>
        <tr r="G495" s="2"/>
      </tp>
      <tp t="s">
        <v>#N/A N/A</v>
        <stp/>
        <stp>BDP|15280571231555453664</stp>
        <tr r="F1818" s="2"/>
      </tp>
      <tp t="s">
        <v>#N/A N/A</v>
        <stp/>
        <stp>BDP|13099552750213549060</stp>
        <tr r="J512" s="2"/>
      </tp>
      <tp t="s">
        <v>#N/A N/A</v>
        <stp/>
        <stp>BDP|15790161756790453156</stp>
        <tr r="P162" s="2"/>
      </tp>
      <tp t="s">
        <v>#N/A N/A</v>
        <stp/>
        <stp>BDP|11581653126836768379</stp>
        <tr r="F97" s="2"/>
      </tp>
      <tp t="s">
        <v>#N/A N/A</v>
        <stp/>
        <stp>BDP|14855629015363028091</stp>
        <tr r="S6" s="2"/>
      </tp>
      <tp t="s">
        <v>#N/A N/A</v>
        <stp/>
        <stp>BDP|13169110742410375679</stp>
        <tr r="F960" s="2"/>
      </tp>
      <tp t="s">
        <v>#N/A N/A</v>
        <stp/>
        <stp>BDP|10595544032315526300</stp>
        <tr r="Q1410" s="2"/>
      </tp>
      <tp t="s">
        <v>#N/A N/A</v>
        <stp/>
        <stp>BDP|15168150663293895191</stp>
        <tr r="H2088" s="2"/>
      </tp>
      <tp t="s">
        <v>#N/A N/A</v>
        <stp/>
        <stp>BDP|11665305875402232777</stp>
        <tr r="O568" s="2"/>
      </tp>
      <tp t="s">
        <v>#N/A N/A</v>
        <stp/>
        <stp>BDP|13722743313890496523</stp>
        <tr r="N1901" s="2"/>
      </tp>
      <tp t="s">
        <v>#N/A N/A</v>
        <stp/>
        <stp>BDP|14225263458082240186</stp>
        <tr r="D1321" s="2"/>
      </tp>
      <tp t="s">
        <v>#N/A N/A</v>
        <stp/>
        <stp>BDP|16534912800067771855</stp>
        <tr r="Q202" s="2"/>
      </tp>
      <tp t="s">
        <v>#N/A N/A</v>
        <stp/>
        <stp>BDS|17049915363169516122</stp>
        <tr r="I2165" s="2"/>
      </tp>
      <tp t="s">
        <v>#N/A N/A</v>
        <stp/>
        <stp>BDP|12049768126827052063</stp>
        <tr r="P1613" s="2"/>
      </tp>
      <tp t="s">
        <v>#N/A N/A</v>
        <stp/>
        <stp>BDP|16481044922040187456</stp>
        <tr r="O58" s="2"/>
      </tp>
      <tp t="s">
        <v>#N/A N/A</v>
        <stp/>
        <stp>BDP|13640022126178462903</stp>
        <tr r="P2112" s="2"/>
      </tp>
      <tp t="s">
        <v>#N/A N/A</v>
        <stp/>
        <stp>BDP|14104254193427941886</stp>
        <tr r="P2224" s="2"/>
      </tp>
      <tp t="s">
        <v>#N/A N/A</v>
        <stp/>
        <stp>BDP|13098082943074596380</stp>
        <tr r="T1823" s="2"/>
      </tp>
      <tp t="s">
        <v>#N/A N/A</v>
        <stp/>
        <stp>BDP|13751060756047744160</stp>
        <tr r="T30" s="2"/>
      </tp>
      <tp t="s">
        <v>#N/A N/A</v>
        <stp/>
        <stp>BDP|14021237314717915082</stp>
        <tr r="O543" s="2"/>
      </tp>
      <tp t="s">
        <v>#N/A N/A</v>
        <stp/>
        <stp>BDP|12518147127261812085</stp>
        <tr r="D1077" s="2"/>
      </tp>
      <tp t="s">
        <v>#N/A N/A</v>
        <stp/>
        <stp>BDP|17985256669951758242</stp>
        <tr r="K638" s="2"/>
      </tp>
      <tp t="s">
        <v>#N/A N/A</v>
        <stp/>
        <stp>BDP|10050082728897079568</stp>
        <tr r="P582" s="2"/>
      </tp>
      <tp t="s">
        <v>#N/A N/A</v>
        <stp/>
        <stp>BDS|15319745041331539764</stp>
        <tr r="I1879" s="2"/>
      </tp>
      <tp t="s">
        <v>#N/A N/A</v>
        <stp/>
        <stp>BDS|13454010618473059183</stp>
        <tr r="I963" s="2"/>
      </tp>
      <tp t="s">
        <v>#N/A N/A</v>
        <stp/>
        <stp>BDP|11188377221065219539</stp>
        <tr r="A393" s="2"/>
      </tp>
      <tp t="s">
        <v>#N/A N/A</v>
        <stp/>
        <stp>BDP|14930197847201749065</stp>
        <tr r="G929" s="2"/>
      </tp>
      <tp t="s">
        <v>#N/A N/A</v>
        <stp/>
        <stp>BDP|15851221697358352685</stp>
        <tr r="E2145" s="2"/>
      </tp>
      <tp t="s">
        <v>#N/A N/A</v>
        <stp/>
        <stp>BDP|10585601875849355852</stp>
        <tr r="O927" s="2"/>
      </tp>
      <tp t="s">
        <v>#N/A N/A</v>
        <stp/>
        <stp>BDP|13391632984965665842</stp>
        <tr r="F912" s="2"/>
      </tp>
      <tp t="s">
        <v>#N/A N/A</v>
        <stp/>
        <stp>BDP|11772883288641543040</stp>
        <tr r="G2026" s="2"/>
      </tp>
      <tp t="s">
        <v>#N/A N/A</v>
        <stp/>
        <stp>BDP|10109259224203248349</stp>
        <tr r="J1146" s="2"/>
      </tp>
      <tp t="s">
        <v>#N/A N/A</v>
        <stp/>
        <stp>BDP|11341584193404723990</stp>
        <tr r="P232" s="2"/>
      </tp>
      <tp t="s">
        <v>#N/A N/A</v>
        <stp/>
        <stp>BDP|15167041705155719012</stp>
        <tr r="N1331" s="2"/>
      </tp>
      <tp t="s">
        <v>#N/A N/A</v>
        <stp/>
        <stp>BDS|12365058684558373249</stp>
        <tr r="I929" s="2"/>
      </tp>
      <tp t="s">
        <v>#N/A N/A</v>
        <stp/>
        <stp>BDP|15389067472985943787</stp>
        <tr r="A511" s="2"/>
      </tp>
      <tp t="s">
        <v>#N/A N/A</v>
        <stp/>
        <stp>BDP|16582213022335057308</stp>
        <tr r="H1973" s="2"/>
      </tp>
      <tp t="s">
        <v>#N/A N/A</v>
        <stp/>
        <stp>BDP|11404515229436958030</stp>
        <tr r="J1539" s="2"/>
      </tp>
      <tp t="s">
        <v>#N/A N/A</v>
        <stp/>
        <stp>BDP|14610160104255308017</stp>
        <tr r="K513" s="2"/>
      </tp>
      <tp t="s">
        <v>#N/A N/A</v>
        <stp/>
        <stp>BDP|11888555448872133222</stp>
        <tr r="S2078" s="2"/>
      </tp>
      <tp t="s">
        <v>#N/A N/A</v>
        <stp/>
        <stp>BDP|11273135980680036873</stp>
        <tr r="T283" s="2"/>
      </tp>
      <tp t="s">
        <v>#N/A N/A</v>
        <stp/>
        <stp>BDS|13020047524450613134</stp>
        <tr r="I1755" s="2"/>
      </tp>
      <tp t="s">
        <v>#N/A N/A</v>
        <stp/>
        <stp>BDP|10986480378653822078</stp>
        <tr r="M246" s="2"/>
      </tp>
      <tp t="s">
        <v>#N/A N/A</v>
        <stp/>
        <stp>BDP|18251770906147965939</stp>
        <tr r="K25" s="2"/>
      </tp>
      <tp t="s">
        <v>#N/A N/A</v>
        <stp/>
        <stp>BDP|14273380630564108129</stp>
        <tr r="C1995" s="2"/>
      </tp>
      <tp t="s">
        <v>#N/A N/A</v>
        <stp/>
        <stp>BDP|10585761557237509480</stp>
        <tr r="R1160" s="2"/>
      </tp>
      <tp t="s">
        <v>#N/A N/A</v>
        <stp/>
        <stp>BDP|11655994793827535701</stp>
        <tr r="O764" s="2"/>
      </tp>
      <tp t="s">
        <v>#N/A N/A</v>
        <stp/>
        <stp>BDP|12461015483968926363</stp>
        <tr r="Q1126" s="2"/>
      </tp>
      <tp t="s">
        <v>#N/A N/A</v>
        <stp/>
        <stp>BDP|18388615979448040026</stp>
        <tr r="P2002" s="2"/>
      </tp>
      <tp t="s">
        <v>#N/A N/A</v>
        <stp/>
        <stp>BDP|14564789461136244271</stp>
        <tr r="N1866" s="2"/>
      </tp>
      <tp t="s">
        <v>#N/A N/A</v>
        <stp/>
        <stp>BDP|17301713115852665286</stp>
        <tr r="S52" s="2"/>
      </tp>
      <tp t="s">
        <v>#N/A N/A</v>
        <stp/>
        <stp>BDP|12726388605062645255</stp>
        <tr r="R724" s="2"/>
      </tp>
      <tp t="s">
        <v>#N/A N/A</v>
        <stp/>
        <stp>BDS|12356786550002290331</stp>
        <tr r="I153" s="2"/>
      </tp>
      <tp t="s">
        <v>#N/A N/A</v>
        <stp/>
        <stp>BDP|10858840385294480544</stp>
        <tr r="D214" s="2"/>
      </tp>
      <tp t="s">
        <v>#N/A N/A</v>
        <stp/>
        <stp>BDP|11445278769493709743</stp>
        <tr r="C653" s="2"/>
      </tp>
      <tp t="s">
        <v>#N/A N/A</v>
        <stp/>
        <stp>BDP|18047834173101099792</stp>
        <tr r="N1888" s="2"/>
      </tp>
      <tp t="s">
        <v>#N/A N/A</v>
        <stp/>
        <stp>BDP|10639843152464080896</stp>
        <tr r="K1928" s="2"/>
      </tp>
      <tp t="s">
        <v>#N/A N/A</v>
        <stp/>
        <stp>BDP|13527247609200441059</stp>
        <tr r="H710" s="2"/>
      </tp>
      <tp t="s">
        <v>#N/A N/A</v>
        <stp/>
        <stp>BDP|12360308479202278512</stp>
        <tr r="O2179" s="2"/>
      </tp>
      <tp t="s">
        <v>#N/A N/A</v>
        <stp/>
        <stp>BDP|12750499937325230125</stp>
        <tr r="A1106" s="2"/>
      </tp>
      <tp t="s">
        <v>#N/A N/A</v>
        <stp/>
        <stp>BDP|15017994064492795931</stp>
        <tr r="S1968" s="2"/>
      </tp>
      <tp t="s">
        <v>#N/A N/A</v>
        <stp/>
        <stp>BDS|18032484683364745169</stp>
        <tr r="I2079" s="2"/>
      </tp>
      <tp t="s">
        <v>#N/A N/A</v>
        <stp/>
        <stp>BDP|11589601351637406497</stp>
        <tr r="S983" s="2"/>
      </tp>
      <tp t="s">
        <v>#N/A N/A</v>
        <stp/>
        <stp>BDP|11788269778940005500</stp>
        <tr r="F1513" s="2"/>
      </tp>
      <tp t="s">
        <v>#N/A N/A</v>
        <stp/>
        <stp>BDP|13258918227040961944</stp>
        <tr r="G761" s="2"/>
      </tp>
      <tp t="s">
        <v>#N/A N/A</v>
        <stp/>
        <stp>BDP|15996340973805664518</stp>
        <tr r="H360" s="2"/>
      </tp>
      <tp t="s">
        <v>#N/A N/A</v>
        <stp/>
        <stp>BDP|14065411015922542285</stp>
        <tr r="M1209" s="2"/>
      </tp>
      <tp t="s">
        <v>#N/A N/A</v>
        <stp/>
        <stp>BDP|18285980856226614335</stp>
        <tr r="A494" s="2"/>
      </tp>
      <tp t="s">
        <v>#N/A N/A</v>
        <stp/>
        <stp>BDP|10356293576862516601</stp>
        <tr r="P456" s="2"/>
      </tp>
      <tp t="s">
        <v>#N/A N/A</v>
        <stp/>
        <stp>BDP|14642317628973421726</stp>
        <tr r="N163" s="2"/>
      </tp>
      <tp t="s">
        <v>#N/A N/A</v>
        <stp/>
        <stp>BDP|15519507237765384784</stp>
        <tr r="F1223" s="2"/>
      </tp>
      <tp t="s">
        <v>#N/A N/A</v>
        <stp/>
        <stp>BDP|12649169459033106410</stp>
        <tr r="O1606" s="2"/>
      </tp>
      <tp t="s">
        <v>#N/A N/A</v>
        <stp/>
        <stp>BDP|15839745307266318518</stp>
        <tr r="Q819" s="2"/>
      </tp>
      <tp t="s">
        <v>#N/A N/A</v>
        <stp/>
        <stp>BDP|10095593802984292007</stp>
        <tr r="H999" s="2"/>
      </tp>
      <tp t="s">
        <v>#N/A N/A</v>
        <stp/>
        <stp>BDP|13970196179591895581</stp>
        <tr r="D16" s="2"/>
      </tp>
      <tp t="s">
        <v>#N/A N/A</v>
        <stp/>
        <stp>BDP|14052258572025878566</stp>
        <tr r="G1627" s="2"/>
      </tp>
      <tp t="s">
        <v>#N/A N/A</v>
        <stp/>
        <stp>BDS|12755266674385640398</stp>
        <tr r="I45" s="2"/>
      </tp>
      <tp t="s">
        <v>#N/A N/A</v>
        <stp/>
        <stp>BDP|14006390402715387313</stp>
        <tr r="P1733" s="2"/>
      </tp>
      <tp t="s">
        <v>#N/A N/A</v>
        <stp/>
        <stp>BDS|10231598749752077287</stp>
        <tr r="I1928" s="2"/>
      </tp>
      <tp t="s">
        <v>#N/A N/A</v>
        <stp/>
        <stp>BDP|10352493627257217069</stp>
        <tr r="K2163" s="2"/>
      </tp>
      <tp t="s">
        <v>#N/A N/A</v>
        <stp/>
        <stp>BDP|11406898305508945085</stp>
        <tr r="Q605" s="2"/>
      </tp>
      <tp t="s">
        <v>#N/A N/A</v>
        <stp/>
        <stp>BDP|10540054367221965677</stp>
        <tr r="R1988" s="2"/>
      </tp>
      <tp t="s">
        <v>#N/A N/A</v>
        <stp/>
        <stp>BDP|13211934410232167892</stp>
        <tr r="R1939" s="2"/>
      </tp>
      <tp t="s">
        <v>#N/A N/A</v>
        <stp/>
        <stp>BDP|14021286743051053222</stp>
        <tr r="T845" s="2"/>
      </tp>
      <tp t="s">
        <v>#N/A N/A</v>
        <stp/>
        <stp>BDP|14907113791138523553</stp>
        <tr r="H1838" s="2"/>
      </tp>
      <tp t="s">
        <v>#N/A N/A</v>
        <stp/>
        <stp>BDP|13366884410523352811</stp>
        <tr r="G1663" s="2"/>
      </tp>
      <tp t="s">
        <v>#N/A N/A</v>
        <stp/>
        <stp>BDP|11280508941685838427</stp>
        <tr r="M443" s="2"/>
      </tp>
      <tp t="s">
        <v>#N/A N/A</v>
        <stp/>
        <stp>BDP|12436351638005010601</stp>
        <tr r="C223" s="2"/>
      </tp>
      <tp t="s">
        <v>#N/A N/A</v>
        <stp/>
        <stp>BDP|14820951454490841982</stp>
        <tr r="C113" s="2"/>
      </tp>
      <tp t="s">
        <v>#N/A N/A</v>
        <stp/>
        <stp>BDP|17541617818572254372</stp>
        <tr r="C181" s="2"/>
      </tp>
      <tp t="s">
        <v>#N/A N/A</v>
        <stp/>
        <stp>BDP|14960213323610133531</stp>
        <tr r="S1299" s="2"/>
      </tp>
      <tp t="s">
        <v>#N/A N/A</v>
        <stp/>
        <stp>BDP|10234480231181027720</stp>
        <tr r="F1258" s="2"/>
      </tp>
      <tp t="s">
        <v>#N/A N/A</v>
        <stp/>
        <stp>BDP|10458959007071644998</stp>
        <tr r="R210" s="2"/>
      </tp>
      <tp t="s">
        <v>#N/A N/A</v>
        <stp/>
        <stp>BDP|14539043429754963381</stp>
        <tr r="S1202" s="2"/>
      </tp>
      <tp t="s">
        <v>#N/A N/A</v>
        <stp/>
        <stp>BDP|12453503707227901134</stp>
        <tr r="J849" s="2"/>
      </tp>
      <tp t="s">
        <v>#N/A N/A</v>
        <stp/>
        <stp>BDP|10858982789701560151</stp>
        <tr r="A2038" s="2"/>
      </tp>
      <tp t="s">
        <v>#N/A N/A</v>
        <stp/>
        <stp>BDP|16109792247557590339</stp>
        <tr r="S118" s="2"/>
      </tp>
      <tp t="s">
        <v>#N/A N/A</v>
        <stp/>
        <stp>BDP|14112604442203373497</stp>
        <tr r="G1451" s="2"/>
      </tp>
      <tp t="s">
        <v>#N/A N/A</v>
        <stp/>
        <stp>BDP|10164402657544610497</stp>
        <tr r="D2007" s="2"/>
      </tp>
      <tp t="s">
        <v>#N/A N/A</v>
        <stp/>
        <stp>BDP|14277435297001938967</stp>
        <tr r="Q1825" s="2"/>
      </tp>
      <tp t="s">
        <v>#N/A N/A</v>
        <stp/>
        <stp>BDP|17454629810571886077</stp>
        <tr r="H1427" s="2"/>
      </tp>
      <tp t="s">
        <v>#N/A N/A</v>
        <stp/>
        <stp>BDP|13898797517842725682</stp>
        <tr r="C970" s="2"/>
      </tp>
      <tp t="s">
        <v>#N/A N/A</v>
        <stp/>
        <stp>BDP|13656069802330314288</stp>
        <tr r="C911" s="2"/>
      </tp>
      <tp t="s">
        <v>#N/A N/A</v>
        <stp/>
        <stp>BDP|18338898932025688775</stp>
        <tr r="R616" s="2"/>
      </tp>
      <tp t="s">
        <v>#N/A N/A</v>
        <stp/>
        <stp>BDP|12714112290083748881</stp>
        <tr r="D103" s="2"/>
      </tp>
      <tp t="s">
        <v>#N/A N/A</v>
        <stp/>
        <stp>BDP|14351122178714571751</stp>
        <tr r="E259" s="2"/>
      </tp>
      <tp t="s">
        <v>#N/A N/A</v>
        <stp/>
        <stp>BDP|10223776852235967675</stp>
        <tr r="H2224" s="2"/>
      </tp>
      <tp t="s">
        <v>#N/A N/A</v>
        <stp/>
        <stp>BDP|14151833480623219694</stp>
        <tr r="Q23" s="2"/>
      </tp>
      <tp t="s">
        <v>#N/A N/A</v>
        <stp/>
        <stp>BDS|15901502363796295129</stp>
        <tr r="I999" s="2"/>
      </tp>
      <tp t="s">
        <v>#N/A N/A</v>
        <stp/>
        <stp>BDP|13995342470861156753</stp>
        <tr r="J2066" s="2"/>
      </tp>
      <tp t="s">
        <v>#N/A N/A</v>
        <stp/>
        <stp>BDP|13966172431322273245</stp>
        <tr r="T1750" s="2"/>
      </tp>
      <tp t="s">
        <v>#N/A N/A</v>
        <stp/>
        <stp>BDP|12387519067158813845</stp>
        <tr r="O784" s="2"/>
      </tp>
      <tp t="s">
        <v>#N/A N/A</v>
        <stp/>
        <stp>BDP|13915263262443753537</stp>
        <tr r="F274" s="2"/>
      </tp>
      <tp t="s">
        <v>#N/A N/A</v>
        <stp/>
        <stp>BDP|12289751941280880068</stp>
        <tr r="S1333" s="2"/>
      </tp>
      <tp t="s">
        <v>#N/A N/A</v>
        <stp/>
        <stp>BDP|11013979443358976557</stp>
        <tr r="K861" s="2"/>
      </tp>
      <tp t="s">
        <v>#N/A N/A</v>
        <stp/>
        <stp>BDP|14421028350116790699</stp>
        <tr r="F874" s="2"/>
      </tp>
      <tp t="s">
        <v>#N/A N/A</v>
        <stp/>
        <stp>BDP|15469467371900817733</stp>
        <tr r="S22" s="2"/>
      </tp>
      <tp t="s">
        <v>#N/A N/A</v>
        <stp/>
        <stp>BDP|16780514829847364748</stp>
        <tr r="G1442" s="2"/>
      </tp>
      <tp t="s">
        <v>#N/A N/A</v>
        <stp/>
        <stp>BDP|16851272967201878288</stp>
        <tr r="G1826" s="2"/>
      </tp>
      <tp t="s">
        <v>#N/A N/A</v>
        <stp/>
        <stp>BDP|11048591364522686131</stp>
        <tr r="G19" s="2"/>
      </tp>
      <tp t="s">
        <v>#N/A N/A</v>
        <stp/>
        <stp>BDS|16859156793009780622</stp>
        <tr r="I1938" s="2"/>
      </tp>
      <tp t="s">
        <v>#N/A N/A</v>
        <stp/>
        <stp>BDP|11658362137438983862</stp>
        <tr r="M1384" s="2"/>
      </tp>
      <tp t="s">
        <v>#N/A N/A</v>
        <stp/>
        <stp>BDS|13702375836393999146</stp>
        <tr r="I1931" s="2"/>
      </tp>
      <tp t="s">
        <v>#N/A N/A</v>
        <stp/>
        <stp>BDP|11380684211332347512</stp>
        <tr r="G2121" s="2"/>
      </tp>
      <tp t="s">
        <v>#N/A N/A</v>
        <stp/>
        <stp>BDP|11300998193535664573</stp>
        <tr r="P2173" s="2"/>
      </tp>
      <tp t="s">
        <v>#N/A N/A</v>
        <stp/>
        <stp>BDP|13680094681383608907</stp>
        <tr r="T1954" s="2"/>
      </tp>
      <tp t="s">
        <v>#N/A N/A</v>
        <stp/>
        <stp>BDP|10389097475830711609</stp>
        <tr r="N2169" s="2"/>
      </tp>
      <tp t="s">
        <v>#N/A N/A</v>
        <stp/>
        <stp>BDP|14698494933273386178</stp>
        <tr r="S959" s="2"/>
      </tp>
      <tp t="s">
        <v>#N/A N/A</v>
        <stp/>
        <stp>BDP|14257929079012244937</stp>
        <tr r="J1010" s="2"/>
      </tp>
      <tp t="s">
        <v>#N/A N/A</v>
        <stp/>
        <stp>BDP|15984735863486449353</stp>
        <tr r="S916" s="2"/>
      </tp>
      <tp t="s">
        <v>#N/A N/A</v>
        <stp/>
        <stp>BDP|10870703561915378524</stp>
        <tr r="M982" s="2"/>
      </tp>
      <tp t="s">
        <v>#N/A N/A</v>
        <stp/>
        <stp>BDP|11009363666865812004</stp>
        <tr r="T1832" s="2"/>
      </tp>
      <tp t="s">
        <v>#N/A N/A</v>
        <stp/>
        <stp>BDP|13548737207323172689</stp>
        <tr r="H432" s="2"/>
      </tp>
      <tp t="s">
        <v>#N/A N/A</v>
        <stp/>
        <stp>BDP|14462007803835863071</stp>
        <tr r="A234" s="2"/>
      </tp>
      <tp t="s">
        <v>#N/A N/A</v>
        <stp/>
        <stp>BDP|14872377111795600209</stp>
        <tr r="G176" s="2"/>
      </tp>
      <tp t="s">
        <v>#N/A N/A</v>
        <stp/>
        <stp>BDP|10525738768845246548</stp>
        <tr r="N2031" s="2"/>
      </tp>
      <tp t="s">
        <v>#N/A N/A</v>
        <stp/>
        <stp>BDP|16823815201999665665</stp>
        <tr r="P42" s="2"/>
      </tp>
      <tp t="s">
        <v>#N/A N/A</v>
        <stp/>
        <stp>BDP|16823462913621437318</stp>
        <tr r="F1086" s="2"/>
      </tp>
      <tp t="s">
        <v>#N/A N/A</v>
        <stp/>
        <stp>BDP|16749467539981162111</stp>
        <tr r="P1178" s="2"/>
      </tp>
      <tp t="s">
        <v>#N/A N/A</v>
        <stp/>
        <stp>BDP|11774733767028881931</stp>
        <tr r="A259" s="2"/>
      </tp>
      <tp t="s">
        <v>#N/A N/A</v>
        <stp/>
        <stp>BDP|17245254851037655689</stp>
        <tr r="H1085" s="2"/>
      </tp>
      <tp t="s">
        <v>#N/A N/A</v>
        <stp/>
        <stp>BDP|11952843021832017843</stp>
        <tr r="C994" s="2"/>
      </tp>
      <tp t="s">
        <v>#N/A N/A</v>
        <stp/>
        <stp>BDP|14275967598265090047</stp>
        <tr r="K90" s="2"/>
      </tp>
      <tp t="s">
        <v>#N/A N/A</v>
        <stp/>
        <stp>BDP|14348624253166365094</stp>
        <tr r="M1987" s="2"/>
      </tp>
      <tp t="s">
        <v>#N/A N/A</v>
        <stp/>
        <stp>BDP|14307809053499185196</stp>
        <tr r="F179" s="2"/>
      </tp>
      <tp t="s">
        <v>#N/A N/A</v>
        <stp/>
        <stp>BDP|14905385826471601592</stp>
        <tr r="K2005" s="2"/>
      </tp>
      <tp t="s">
        <v>#N/A N/A</v>
        <stp/>
        <stp>BDP|13972746140669600834</stp>
        <tr r="K1149" s="2"/>
      </tp>
      <tp t="s">
        <v>#N/A N/A</v>
        <stp/>
        <stp>BDP|10966611130017716375</stp>
        <tr r="N838" s="2"/>
      </tp>
      <tp t="s">
        <v>#N/A N/A</v>
        <stp/>
        <stp>BDP|13550651957607989669</stp>
        <tr r="P866" s="2"/>
      </tp>
      <tp t="s">
        <v>#N/A N/A</v>
        <stp/>
        <stp>BDP|11015400774626964553</stp>
        <tr r="C983" s="2"/>
      </tp>
      <tp t="s">
        <v>#N/A N/A</v>
        <stp/>
        <stp>BDS|14293969090631674493</stp>
        <tr r="I1044" s="2"/>
      </tp>
      <tp t="s">
        <v>#N/A N/A</v>
        <stp/>
        <stp>BDP|13885108036678164872</stp>
        <tr r="Q585" s="2"/>
      </tp>
      <tp t="s">
        <v>#N/A N/A</v>
        <stp/>
        <stp>BDP|16750395548307993778</stp>
        <tr r="R1452" s="2"/>
      </tp>
      <tp t="s">
        <v>#N/A N/A</v>
        <stp/>
        <stp>BDP|14416157041151142191</stp>
        <tr r="G1114" s="2"/>
      </tp>
      <tp t="s">
        <v>#N/A N/A</v>
        <stp/>
        <stp>BDP|14431235332037411395</stp>
        <tr r="C599" s="2"/>
      </tp>
      <tp t="s">
        <v>#N/A N/A</v>
        <stp/>
        <stp>BDP|11015831381793314397</stp>
        <tr r="E447" s="2"/>
      </tp>
      <tp t="s">
        <v>#N/A N/A</v>
        <stp/>
        <stp>BDP|17606150828662728745</stp>
        <tr r="T1970" s="2"/>
      </tp>
      <tp t="s">
        <v>#N/A N/A</v>
        <stp/>
        <stp>BDP|12146831936338904056</stp>
        <tr r="K1840" s="2"/>
      </tp>
      <tp t="s">
        <v>#N/A N/A</v>
        <stp/>
        <stp>BDP|15611226035691993408</stp>
        <tr r="G470" s="2"/>
      </tp>
      <tp t="s">
        <v>#N/A N/A</v>
        <stp/>
        <stp>BDP|16167281032555431371</stp>
        <tr r="O1148" s="2"/>
      </tp>
      <tp t="s">
        <v>#N/A N/A</v>
        <stp/>
        <stp>BDP|17504245322561992729</stp>
        <tr r="P2054" s="2"/>
      </tp>
      <tp t="s">
        <v>#N/A N/A</v>
        <stp/>
        <stp>BDP|14114891835149646732</stp>
        <tr r="S1714" s="2"/>
      </tp>
      <tp t="s">
        <v>#N/A N/A</v>
        <stp/>
        <stp>BDP|13177673803832435698</stp>
        <tr r="A1693" s="2"/>
      </tp>
      <tp t="s">
        <v>#N/A N/A</v>
        <stp/>
        <stp>BDP|11884482580924906814</stp>
        <tr r="S1858" s="2"/>
      </tp>
      <tp t="s">
        <v>#N/A N/A</v>
        <stp/>
        <stp>BDP|12890320132630803388</stp>
        <tr r="A562" s="2"/>
      </tp>
      <tp t="s">
        <v>#N/A N/A</v>
        <stp/>
        <stp>BDP|14745197902785367175</stp>
        <tr r="N241" s="2"/>
      </tp>
      <tp t="s">
        <v>#N/A N/A</v>
        <stp/>
        <stp>BDP|14888449868770558795</stp>
        <tr r="N127" s="2"/>
      </tp>
      <tp t="s">
        <v>#N/A N/A</v>
        <stp/>
        <stp>BDP|15264611679133746654</stp>
        <tr r="K1251" s="2"/>
      </tp>
      <tp t="s">
        <v>#N/A N/A</v>
        <stp/>
        <stp>BDS|12369447839611637532</stp>
        <tr r="I572" s="2"/>
      </tp>
      <tp t="s">
        <v>#N/A N/A</v>
        <stp/>
        <stp>BDP|10516946144615965941</stp>
        <tr r="E472" s="2"/>
      </tp>
      <tp t="s">
        <v>#N/A N/A</v>
        <stp/>
        <stp>BDP|16263350813711934457</stp>
        <tr r="K2048" s="2"/>
      </tp>
      <tp t="s">
        <v>#N/A N/A</v>
        <stp/>
        <stp>BDP|17783206184879970524</stp>
        <tr r="D192" s="2"/>
      </tp>
      <tp t="s">
        <v>#N/A N/A</v>
        <stp/>
        <stp>BDP|17770165135753512791</stp>
        <tr r="S2251" s="2"/>
      </tp>
      <tp t="s">
        <v>#N/A N/A</v>
        <stp/>
        <stp>BDP|15976971481757124266</stp>
        <tr r="F658" s="2"/>
      </tp>
      <tp t="s">
        <v>#N/A N/A</v>
        <stp/>
        <stp>BDP|13298373660430883752</stp>
        <tr r="P2090" s="2"/>
      </tp>
      <tp t="s">
        <v>#N/A N/A</v>
        <stp/>
        <stp>BDS|14914564564001715770</stp>
        <tr r="I1589" s="2"/>
      </tp>
      <tp t="s">
        <v>#N/A N/A</v>
        <stp/>
        <stp>BDP|10531161656664991149</stp>
        <tr r="O721" s="2"/>
      </tp>
      <tp t="s">
        <v>#N/A N/A</v>
        <stp/>
        <stp>BDP|10545134629081268352</stp>
        <tr r="T107" s="2"/>
      </tp>
      <tp t="s">
        <v>#N/A N/A</v>
        <stp/>
        <stp>BDS|12633001328367715624</stp>
        <tr r="I1395" s="2"/>
      </tp>
      <tp t="s">
        <v>#N/A N/A</v>
        <stp/>
        <stp>BDP|11418530708711055448</stp>
        <tr r="C2027" s="2"/>
      </tp>
      <tp t="s">
        <v>#N/A N/A</v>
        <stp/>
        <stp>BDP|11849789874713854374</stp>
        <tr r="M90" s="2"/>
      </tp>
      <tp t="s">
        <v>#N/A N/A</v>
        <stp/>
        <stp>BDP|13715288321495308766</stp>
        <tr r="Q1955" s="2"/>
      </tp>
      <tp t="s">
        <v>#N/A N/A</v>
        <stp/>
        <stp>BDP|13066727008900137500</stp>
        <tr r="A909" s="2"/>
      </tp>
      <tp t="s">
        <v>#N/A N/A</v>
        <stp/>
        <stp>BDP|13770401284386068888</stp>
        <tr r="E815" s="2"/>
      </tp>
      <tp t="s">
        <v>#N/A N/A</v>
        <stp/>
        <stp>BDP|17069995113979753765</stp>
        <tr r="P119" s="2"/>
      </tp>
      <tp t="s">
        <v>#N/A N/A</v>
        <stp/>
        <stp>BDS|15811416073917559071</stp>
        <tr r="I904" s="2"/>
      </tp>
      <tp t="s">
        <v>#N/A N/A</v>
        <stp/>
        <stp>BDP|10545237475144093081</stp>
        <tr r="S2156" s="2"/>
      </tp>
      <tp t="s">
        <v>#N/A N/A</v>
        <stp/>
        <stp>BDP|14867438745672606732</stp>
        <tr r="S287" s="2"/>
      </tp>
      <tp t="s">
        <v>#N/A N/A</v>
        <stp/>
        <stp>BDP|11228795939445888112</stp>
        <tr r="O682" s="2"/>
      </tp>
      <tp t="s">
        <v>#N/A N/A</v>
        <stp/>
        <stp>BDP|12590351037293417082</stp>
        <tr r="J2165" s="2"/>
      </tp>
      <tp t="s">
        <v>#N/A N/A</v>
        <stp/>
        <stp>BDP|15111205206854568293</stp>
        <tr r="G1457" s="2"/>
      </tp>
      <tp t="s">
        <v>#N/A N/A</v>
        <stp/>
        <stp>BDP|12221919922378287089</stp>
        <tr r="T2055" s="2"/>
      </tp>
      <tp t="s">
        <v>#N/A N/A</v>
        <stp/>
        <stp>BDP|17109772370110591683</stp>
        <tr r="E868" s="2"/>
      </tp>
      <tp t="s">
        <v>#N/A N/A</v>
        <stp/>
        <stp>BDP|14290235475807899775</stp>
        <tr r="H1057" s="2"/>
      </tp>
      <tp t="s">
        <v>#N/A N/A</v>
        <stp/>
        <stp>BDP|15299393256773063163</stp>
        <tr r="Q876" s="2"/>
      </tp>
      <tp t="s">
        <v>#N/A N/A</v>
        <stp/>
        <stp>BDP|15420173114247436388</stp>
        <tr r="Q383" s="2"/>
      </tp>
      <tp t="s">
        <v>#N/A N/A</v>
        <stp/>
        <stp>BDP|11531094076495680274</stp>
        <tr r="T1929" s="2"/>
      </tp>
      <tp t="s">
        <v>#N/A N/A</v>
        <stp/>
        <stp>BDP|10078898295687557723</stp>
        <tr r="F557" s="2"/>
      </tp>
      <tp t="s">
        <v>#N/A N/A</v>
        <stp/>
        <stp>BDP|10181474298679566503</stp>
        <tr r="G1219" s="2"/>
      </tp>
      <tp t="s">
        <v>#N/A N/A</v>
        <stp/>
        <stp>BDP|12877141237894231523</stp>
        <tr r="O446" s="2"/>
      </tp>
      <tp t="s">
        <v>#N/A N/A</v>
        <stp/>
        <stp>BDP|13253263938860063376</stp>
        <tr r="S2225" s="2"/>
      </tp>
      <tp t="s">
        <v>#N/A N/A</v>
        <stp/>
        <stp>BDP|14916322827641293552</stp>
        <tr r="R1652" s="2"/>
      </tp>
      <tp t="s">
        <v>#N/A N/A</v>
        <stp/>
        <stp>BDP|17083594070425105136</stp>
        <tr r="O12" s="2"/>
      </tp>
      <tp t="s">
        <v>#N/A N/A</v>
        <stp/>
        <stp>BDP|12151453470113603399</stp>
        <tr r="T1272" s="2"/>
      </tp>
      <tp t="s">
        <v>#N/A N/A</v>
        <stp/>
        <stp>BDP|14066796774247747218</stp>
        <tr r="H278" s="2"/>
      </tp>
      <tp t="s">
        <v>#N/A N/A</v>
        <stp/>
        <stp>BDP|10259680267939344855</stp>
        <tr r="Q1164" s="2"/>
      </tp>
      <tp t="s">
        <v>#N/A N/A</v>
        <stp/>
        <stp>BDP|12988477975415064500</stp>
        <tr r="S1747" s="2"/>
      </tp>
      <tp t="s">
        <v>#N/A N/A</v>
        <stp/>
        <stp>BDP|16790206086948996532</stp>
        <tr r="M2160" s="2"/>
      </tp>
      <tp t="s">
        <v>#N/A N/A</v>
        <stp/>
        <stp>BDP|12997765702193537732</stp>
        <tr r="E1441" s="2"/>
      </tp>
      <tp t="s">
        <v>#N/A N/A</v>
        <stp/>
        <stp>BDP|13651088227325452567</stp>
        <tr r="H1255" s="2"/>
      </tp>
      <tp t="s">
        <v>#N/A N/A</v>
        <stp/>
        <stp>BDP|16619273557603551382</stp>
        <tr r="Q737" s="2"/>
      </tp>
      <tp t="s">
        <v>#N/A N/A</v>
        <stp/>
        <stp>BDP|17392180410777256128</stp>
        <tr r="R819" s="2"/>
      </tp>
      <tp t="s">
        <v>#N/A N/A</v>
        <stp/>
        <stp>BDP|12127159129506657608</stp>
        <tr r="T319" s="2"/>
      </tp>
      <tp t="s">
        <v>#N/A N/A</v>
        <stp/>
        <stp>BDS|14595324033504895142</stp>
        <tr r="I394" s="2"/>
      </tp>
      <tp t="s">
        <v>#N/A N/A</v>
        <stp/>
        <stp>BDP|14186188859902280393</stp>
        <tr r="R1687" s="2"/>
      </tp>
      <tp t="s">
        <v>#N/A N/A</v>
        <stp/>
        <stp>BDP|14738057758918794866</stp>
        <tr r="Q783" s="2"/>
      </tp>
      <tp t="s">
        <v>#N/A N/A</v>
        <stp/>
        <stp>BDP|10918527249465198589</stp>
        <tr r="J855" s="2"/>
      </tp>
      <tp t="s">
        <v>#N/A N/A</v>
        <stp/>
        <stp>BDP|14650696624163287228</stp>
        <tr r="P1475" s="2"/>
      </tp>
      <tp t="s">
        <v>#N/A N/A</v>
        <stp/>
        <stp>BDP|17024189376822128240</stp>
        <tr r="A1377" s="2"/>
      </tp>
      <tp t="s">
        <v>#N/A N/A</v>
        <stp/>
        <stp>BDP|12128161754066045186</stp>
        <tr r="A2051" s="2"/>
      </tp>
      <tp t="s">
        <v>#N/A N/A</v>
        <stp/>
        <stp>BDP|13214566482266843950</stp>
        <tr r="H1164" s="2"/>
      </tp>
      <tp t="s">
        <v>#N/A N/A</v>
        <stp/>
        <stp>BDP|14396493502431077038</stp>
        <tr r="T1538" s="2"/>
      </tp>
      <tp t="s">
        <v>#N/A N/A</v>
        <stp/>
        <stp>BDP|11276185610517771761</stp>
        <tr r="E1114" s="2"/>
      </tp>
      <tp t="s">
        <v>#N/A N/A</v>
        <stp/>
        <stp>BDP|16378189395539188642</stp>
        <tr r="N1819" s="2"/>
      </tp>
      <tp t="s">
        <v>#N/A N/A</v>
        <stp/>
        <stp>BDP|10313990283954317418</stp>
        <tr r="H992" s="2"/>
      </tp>
      <tp t="s">
        <v>#N/A N/A</v>
        <stp/>
        <stp>BDS|17657486820125040566</stp>
        <tr r="I467" s="2"/>
      </tp>
      <tp t="s">
        <v>#N/A N/A</v>
        <stp/>
        <stp>BDP|15609517163473913462</stp>
        <tr r="P1736" s="2"/>
      </tp>
      <tp t="s">
        <v>#N/A N/A</v>
        <stp/>
        <stp>BDP|11876253351035319245</stp>
        <tr r="P295" s="2"/>
      </tp>
      <tp t="s">
        <v>#N/A N/A</v>
        <stp/>
        <stp>BDP|12754487781377590808</stp>
        <tr r="R1715" s="2"/>
      </tp>
      <tp t="s">
        <v>#N/A N/A</v>
        <stp/>
        <stp>BDP|18315901723644356683</stp>
        <tr r="S9" s="2"/>
      </tp>
      <tp t="s">
        <v>#N/A N/A</v>
        <stp/>
        <stp>BDP|15841698163627890313</stp>
        <tr r="G936" s="2"/>
      </tp>
      <tp t="s">
        <v>#N/A N/A</v>
        <stp/>
        <stp>BDP|17005792440700374515</stp>
        <tr r="R530" s="2"/>
      </tp>
      <tp t="s">
        <v>#N/A N/A</v>
        <stp/>
        <stp>BDP|10983445044767286605</stp>
        <tr r="F1056" s="2"/>
      </tp>
      <tp t="s">
        <v>#N/A N/A</v>
        <stp/>
        <stp>BDP|11941553318265808173</stp>
        <tr r="T128" s="2"/>
      </tp>
      <tp t="s">
        <v>#N/A N/A</v>
        <stp/>
        <stp>BDP|15404682257786760175</stp>
        <tr r="T286" s="2"/>
      </tp>
      <tp t="s">
        <v>#N/A N/A</v>
        <stp/>
        <stp>BDP|14736257479175421541</stp>
        <tr r="S252" s="2"/>
      </tp>
      <tp t="s">
        <v>#N/A N/A</v>
        <stp/>
        <stp>BDP|16809356519191621493</stp>
        <tr r="F2245" s="2"/>
      </tp>
      <tp t="s">
        <v>#N/A N/A</v>
        <stp/>
        <stp>BDP|17209561447494912312</stp>
        <tr r="Q2117" s="2"/>
      </tp>
      <tp t="s">
        <v>#N/A N/A</v>
        <stp/>
        <stp>BDP|16327260178107464523</stp>
        <tr r="T910" s="2"/>
      </tp>
      <tp t="s">
        <v>#N/A N/A</v>
        <stp/>
        <stp>BDP|17619230656225115497</stp>
        <tr r="Q2126" s="2"/>
      </tp>
      <tp t="s">
        <v>#N/A N/A</v>
        <stp/>
        <stp>BDP|12622614854056035680</stp>
        <tr r="O141" s="2"/>
      </tp>
      <tp t="s">
        <v>#N/A N/A</v>
        <stp/>
        <stp>BDP|12117377309411213166</stp>
        <tr r="D1107" s="2"/>
      </tp>
      <tp t="s">
        <v>#N/A N/A</v>
        <stp/>
        <stp>BDP|14505113376354825717</stp>
        <tr r="E1010" s="2"/>
      </tp>
      <tp t="s">
        <v>#N/A N/A</v>
        <stp/>
        <stp>BDP|11132751571447612782</stp>
        <tr r="O1410" s="2"/>
      </tp>
      <tp t="s">
        <v>#N/A N/A</v>
        <stp/>
        <stp>BDP|13191304145416992365</stp>
        <tr r="A1832" s="2"/>
      </tp>
      <tp t="s">
        <v>#N/A N/A</v>
        <stp/>
        <stp>BDP|13903154626880012119</stp>
        <tr r="S46" s="2"/>
      </tp>
      <tp t="s">
        <v>#N/A N/A</v>
        <stp/>
        <stp>BDP|10899257077615383124</stp>
        <tr r="P524" s="2"/>
      </tp>
      <tp t="s">
        <v>#N/A N/A</v>
        <stp/>
        <stp>BDP|17167349526334106398</stp>
        <tr r="K1199" s="2"/>
      </tp>
      <tp t="s">
        <v>#N/A N/A</v>
        <stp/>
        <stp>BDP|14243956559168756122</stp>
        <tr r="K1063" s="2"/>
      </tp>
      <tp t="s">
        <v>#N/A N/A</v>
        <stp/>
        <stp>BDP|14838154816163560654</stp>
        <tr r="Q1097" s="2"/>
      </tp>
      <tp t="s">
        <v>#N/A N/A</v>
        <stp/>
        <stp>BDP|16070050331016974264</stp>
        <tr r="D360" s="2"/>
      </tp>
      <tp t="s">
        <v>#N/A N/A</v>
        <stp/>
        <stp>BDP|16184287457768740828</stp>
        <tr r="M181" s="2"/>
      </tp>
      <tp t="s">
        <v>#N/A N/A</v>
        <stp/>
        <stp>BDP|16931413254060003674</stp>
        <tr r="S10" s="2"/>
      </tp>
      <tp t="s">
        <v>#N/A N/A</v>
        <stp/>
        <stp>BDP|14681714653440693795</stp>
        <tr r="C25" s="2"/>
      </tp>
      <tp t="s">
        <v>#N/A N/A</v>
        <stp/>
        <stp>BDP|12852959043708761629</stp>
        <tr r="N1106" s="2"/>
      </tp>
      <tp t="s">
        <v>#N/A N/A</v>
        <stp/>
        <stp>BDP|17067523785919455292</stp>
        <tr r="S297" s="2"/>
      </tp>
      <tp t="s">
        <v>#N/A N/A</v>
        <stp/>
        <stp>BDP|10759023969163194475</stp>
        <tr r="R2022" s="2"/>
      </tp>
      <tp t="s">
        <v>#N/A N/A</v>
        <stp/>
        <stp>BDP|17383339609444091136</stp>
        <tr r="N1092" s="2"/>
      </tp>
      <tp t="s">
        <v>#N/A N/A</v>
        <stp/>
        <stp>BDP|15483589646583155618</stp>
        <tr r="P1449" s="2"/>
      </tp>
      <tp t="s">
        <v>#N/A N/A</v>
        <stp/>
        <stp>BDP|12257375364627266199</stp>
        <tr r="J922" s="2"/>
      </tp>
      <tp t="s">
        <v>#N/A N/A</v>
        <stp/>
        <stp>BDP|16099112349157655547</stp>
        <tr r="A2020" s="2"/>
      </tp>
      <tp t="s">
        <v>#N/A N/A</v>
        <stp/>
        <stp>BDP|11176728028042763761</stp>
        <tr r="M914" s="2"/>
      </tp>
      <tp t="s">
        <v>#N/A N/A</v>
        <stp/>
        <stp>BDP|18168690829485254898</stp>
        <tr r="G276" s="2"/>
      </tp>
      <tp t="s">
        <v>#N/A N/A</v>
        <stp/>
        <stp>BDP|14499297871770478021</stp>
        <tr r="C2021" s="2"/>
      </tp>
      <tp t="s">
        <v>#N/A N/A</v>
        <stp/>
        <stp>BDP|12453623008761060448</stp>
        <tr r="J2092" s="2"/>
      </tp>
      <tp t="s">
        <v>#N/A N/A</v>
        <stp/>
        <stp>BDP|15503333361004584584</stp>
        <tr r="T829" s="2"/>
      </tp>
      <tp t="s">
        <v>#N/A N/A</v>
        <stp/>
        <stp>BDP|13574843749658156638</stp>
        <tr r="K1022" s="2"/>
      </tp>
      <tp t="s">
        <v>#N/A N/A</v>
        <stp/>
        <stp>BDP|12400048693148141282</stp>
        <tr r="D1362" s="2"/>
      </tp>
      <tp t="s">
        <v>#N/A N/A</v>
        <stp/>
        <stp>BDP|11685590104413261634</stp>
        <tr r="S1147" s="2"/>
      </tp>
      <tp t="s">
        <v>#N/A N/A</v>
        <stp/>
        <stp>BDP|16098626376247843164</stp>
        <tr r="A470" s="2"/>
      </tp>
      <tp t="s">
        <v>#N/A N/A</v>
        <stp/>
        <stp>BDP|15971322165691782036</stp>
        <tr r="P1508" s="2"/>
      </tp>
      <tp t="s">
        <v>#N/A N/A</v>
        <stp/>
        <stp>BDP|16342144948685483713</stp>
        <tr r="D323" s="2"/>
      </tp>
      <tp t="s">
        <v>#N/A N/A</v>
        <stp/>
        <stp>BDP|13660198313905621708</stp>
        <tr r="D1428" s="2"/>
      </tp>
      <tp t="s">
        <v>#N/A N/A</v>
        <stp/>
        <stp>BDS|17390501545492611591</stp>
        <tr r="I1842" s="2"/>
      </tp>
      <tp t="s">
        <v>#N/A N/A</v>
        <stp/>
        <stp>BDP|17286489560402497640</stp>
        <tr r="R614" s="2"/>
      </tp>
      <tp t="s">
        <v>#N/A N/A</v>
        <stp/>
        <stp>BDS|15010630419867616454</stp>
        <tr r="I654" s="2"/>
      </tp>
      <tp t="s">
        <v>#N/A N/A</v>
        <stp/>
        <stp>BDP|10618999893154732516</stp>
        <tr r="O1675" s="2"/>
      </tp>
      <tp t="s">
        <v>#N/A N/A</v>
        <stp/>
        <stp>BDP|13156123338015785562</stp>
        <tr r="D2242" s="2"/>
      </tp>
      <tp t="s">
        <v>#N/A N/A</v>
        <stp/>
        <stp>BDP|15613875603875922912</stp>
        <tr r="E1766" s="2"/>
      </tp>
      <tp t="s">
        <v>#N/A N/A</v>
        <stp/>
        <stp>BDP|15834717070121095530</stp>
        <tr r="O705" s="2"/>
      </tp>
      <tp t="s">
        <v>#N/A N/A</v>
        <stp/>
        <stp>BDP|15799366319394541274</stp>
        <tr r="P1423" s="2"/>
      </tp>
      <tp t="s">
        <v>#N/A N/A</v>
        <stp/>
        <stp>BDS|11499272177010594581</stp>
        <tr r="I357" s="2"/>
      </tp>
      <tp t="s">
        <v>#N/A N/A</v>
        <stp/>
        <stp>BDP|10972470940044660522</stp>
        <tr r="R1640" s="2"/>
      </tp>
      <tp t="s">
        <v>#N/A N/A</v>
        <stp/>
        <stp>BDP|10855481617293423797</stp>
        <tr r="Q1002" s="2"/>
      </tp>
      <tp t="s">
        <v>#N/A N/A</v>
        <stp/>
        <stp>BDP|11432568103912868737</stp>
        <tr r="M2119" s="2"/>
      </tp>
      <tp t="s">
        <v>#N/A N/A</v>
        <stp/>
        <stp>BDP|16814435463236104335</stp>
        <tr r="M1199" s="2"/>
      </tp>
      <tp t="s">
        <v>#N/A N/A</v>
        <stp/>
        <stp>BDP|17713350284785879842</stp>
        <tr r="R1409" s="2"/>
      </tp>
      <tp t="s">
        <v>#N/A N/A</v>
        <stp/>
        <stp>BDP|13661607674456171591</stp>
        <tr r="Q126" s="2"/>
      </tp>
      <tp t="s">
        <v>#N/A N/A</v>
        <stp/>
        <stp>BDP|13091243259520193565</stp>
        <tr r="D1562" s="2"/>
      </tp>
      <tp t="s">
        <v>#N/A N/A</v>
        <stp/>
        <stp>BDP|15988927799876114294</stp>
        <tr r="A861" s="2"/>
      </tp>
      <tp t="s">
        <v>#N/A N/A</v>
        <stp/>
        <stp>BDP|11568695919380966764</stp>
        <tr r="P2061" s="2"/>
      </tp>
      <tp t="s">
        <v>#N/A N/A</v>
        <stp/>
        <stp>BDP|16123080140881494271</stp>
        <tr r="T129" s="2"/>
      </tp>
      <tp t="s">
        <v>#N/A N/A</v>
        <stp/>
        <stp>BDP|15911707945511590638</stp>
        <tr r="M2060" s="2"/>
      </tp>
      <tp t="s">
        <v>#N/A N/A</v>
        <stp/>
        <stp>BDP|11781217264951807504</stp>
        <tr r="M481" s="2"/>
      </tp>
      <tp t="s">
        <v>#N/A N/A</v>
        <stp/>
        <stp>BDP|12989039923232062337</stp>
        <tr r="C785" s="2"/>
      </tp>
      <tp t="s">
        <v>#N/A N/A</v>
        <stp/>
        <stp>BDP|10304526549304732454</stp>
        <tr r="F372" s="2"/>
      </tp>
      <tp t="s">
        <v>#N/A N/A</v>
        <stp/>
        <stp>BDP|13650372239184607647</stp>
        <tr r="H1559" s="2"/>
      </tp>
      <tp t="s">
        <v>#N/A N/A</v>
        <stp/>
        <stp>BDP|12336785084895663939</stp>
        <tr r="A90" s="2"/>
      </tp>
      <tp t="s">
        <v>#N/A N/A</v>
        <stp/>
        <stp>BDP|12031305234781784298</stp>
        <tr r="A1986" s="2"/>
      </tp>
      <tp t="s">
        <v>#N/A N/A</v>
        <stp/>
        <stp>BDP|15661394463759419825</stp>
        <tr r="E2087" s="2"/>
      </tp>
      <tp t="s">
        <v>#N/A N/A</v>
        <stp/>
        <stp>BDP|13014185402315209626</stp>
        <tr r="G1990" s="2"/>
      </tp>
      <tp t="s">
        <v>#N/A N/A</v>
        <stp/>
        <stp>BDP|12040267959181404513</stp>
        <tr r="D1924" s="2"/>
      </tp>
      <tp t="s">
        <v>#N/A N/A</v>
        <stp/>
        <stp>BDP|12790782341505396576</stp>
        <tr r="E1802" s="2"/>
      </tp>
      <tp t="s">
        <v>#N/A N/A</v>
        <stp/>
        <stp>BDP|11324378349732580524</stp>
        <tr r="K177" s="2"/>
      </tp>
      <tp t="s">
        <v>#N/A N/A</v>
        <stp/>
        <stp>BDP|11573044935930994373</stp>
        <tr r="F17" s="2"/>
      </tp>
      <tp t="s">
        <v>#N/A N/A</v>
        <stp/>
        <stp>BDP|15272293590489323622</stp>
        <tr r="A1267" s="2"/>
      </tp>
      <tp t="s">
        <v>#N/A N/A</v>
        <stp/>
        <stp>BDP|15250624873613876610</stp>
        <tr r="A1603" s="2"/>
      </tp>
      <tp t="s">
        <v>#N/A N/A</v>
        <stp/>
        <stp>BDP|13972150386208027307</stp>
        <tr r="H2003" s="2"/>
      </tp>
      <tp t="s">
        <v>#N/A N/A</v>
        <stp/>
        <stp>BDP|15756343964975479498</stp>
        <tr r="S1896" s="2"/>
      </tp>
      <tp t="s">
        <v>#N/A N/A</v>
        <stp/>
        <stp>BDP|13171049211913960071</stp>
        <tr r="J2232" s="2"/>
      </tp>
      <tp t="s">
        <v>#N/A N/A</v>
        <stp/>
        <stp>BDS|11958487039496063110</stp>
        <tr r="I325" s="2"/>
      </tp>
      <tp t="s">
        <v>#N/A N/A</v>
        <stp/>
        <stp>BDP|15040517063725859206</stp>
        <tr r="T750" s="2"/>
      </tp>
      <tp t="s">
        <v>#N/A N/A</v>
        <stp/>
        <stp>BDP|11551108530486789486</stp>
        <tr r="F4" s="2"/>
      </tp>
      <tp t="s">
        <v>#N/A N/A</v>
        <stp/>
        <stp>BDP|14697953030468181781</stp>
        <tr r="P2238" s="2"/>
      </tp>
      <tp t="s">
        <v>#N/A N/A</v>
        <stp/>
        <stp>BDP|12384709046983880376</stp>
        <tr r="N63" s="2"/>
      </tp>
      <tp t="s">
        <v>#N/A N/A</v>
        <stp/>
        <stp>BDP|16739256626033927471</stp>
        <tr r="M1791" s="2"/>
      </tp>
      <tp t="s">
        <v>#N/A N/A</v>
        <stp/>
        <stp>BDP|17290095443911746357</stp>
        <tr r="S1944" s="2"/>
      </tp>
      <tp t="s">
        <v>#N/A N/A</v>
        <stp/>
        <stp>BDP|11096780001356281114</stp>
        <tr r="R755" s="2"/>
      </tp>
      <tp t="s">
        <v>#N/A N/A</v>
        <stp/>
        <stp>BDP|18049425021248040792</stp>
        <tr r="O1189" s="2"/>
      </tp>
      <tp t="s">
        <v>#N/A N/A</v>
        <stp/>
        <stp>BDP|13453811591202658187</stp>
        <tr r="O108" s="2"/>
      </tp>
      <tp t="s">
        <v>#N/A N/A</v>
        <stp/>
        <stp>BDP|10385211874341872549</stp>
        <tr r="D2024" s="2"/>
      </tp>
      <tp t="s">
        <v>#N/A N/A</v>
        <stp/>
        <stp>BDP|13234343029733352066</stp>
        <tr r="G1109" s="2"/>
      </tp>
      <tp t="s">
        <v>#N/A N/A</v>
        <stp/>
        <stp>BDP|18330887061020286728</stp>
        <tr r="P1719" s="2"/>
      </tp>
      <tp t="s">
        <v>#N/A N/A</v>
        <stp/>
        <stp>BDS|16897266246964937581</stp>
        <tr r="I128" s="2"/>
      </tp>
      <tp t="s">
        <v>#N/A N/A</v>
        <stp/>
        <stp>BDP|12942766510653544604</stp>
        <tr r="S2136" s="2"/>
      </tp>
      <tp t="s">
        <v>#N/A N/A</v>
        <stp/>
        <stp>BDP|13085096045560091666</stp>
        <tr r="M740" s="2"/>
      </tp>
      <tp t="s">
        <v>#N/A N/A</v>
        <stp/>
        <stp>BDP|13372938421909954027</stp>
        <tr r="E2191" s="2"/>
      </tp>
      <tp t="s">
        <v>#N/A N/A</v>
        <stp/>
        <stp>BDP|10407093361680482756</stp>
        <tr r="K1589" s="2"/>
      </tp>
      <tp t="s">
        <v>#N/A N/A</v>
        <stp/>
        <stp>BDP|13477290424427585510</stp>
        <tr r="G252" s="2"/>
      </tp>
      <tp t="s">
        <v>#N/A N/A</v>
        <stp/>
        <stp>BDP|12696981421239567177</stp>
        <tr r="J1149" s="2"/>
      </tp>
      <tp t="s">
        <v>#N/A N/A</v>
        <stp/>
        <stp>BDP|14507599266554206257</stp>
        <tr r="R962" s="2"/>
      </tp>
      <tp t="s">
        <v>#N/A N/A</v>
        <stp/>
        <stp>BDP|13724430729852007601</stp>
        <tr r="Q960" s="2"/>
      </tp>
      <tp t="s">
        <v>#N/A N/A</v>
        <stp/>
        <stp>BDP|10291246784379832274</stp>
        <tr r="R2175" s="2"/>
      </tp>
      <tp t="s">
        <v>#N/A N/A</v>
        <stp/>
        <stp>BDP|11352537374685870719</stp>
        <tr r="F145" s="2"/>
      </tp>
      <tp t="s">
        <v>#N/A N/A</v>
        <stp/>
        <stp>BDP|18135800109984345564</stp>
        <tr r="H1612" s="2"/>
      </tp>
      <tp t="s">
        <v>#N/A N/A</v>
        <stp/>
        <stp>BDP|17979763273697389120</stp>
        <tr r="H1443" s="2"/>
      </tp>
      <tp t="s">
        <v>#N/A N/A</v>
        <stp/>
        <stp>BDP|10974408877792765044</stp>
        <tr r="K1273" s="2"/>
      </tp>
      <tp t="s">
        <v>#N/A N/A</v>
        <stp/>
        <stp>BDP|15592590010451665171</stp>
        <tr r="S1051" s="2"/>
      </tp>
      <tp t="s">
        <v>#N/A N/A</v>
        <stp/>
        <stp>BDP|13675137657656689097</stp>
        <tr r="F1967" s="2"/>
      </tp>
      <tp t="s">
        <v>#N/A N/A</v>
        <stp/>
        <stp>BDP|12633353514269238889</stp>
        <tr r="F92" s="2"/>
      </tp>
      <tp t="s">
        <v>#N/A N/A</v>
        <stp/>
        <stp>BDP|14548839336917952949</stp>
        <tr r="G1582" s="2"/>
      </tp>
      <tp t="s">
        <v>#N/A N/A</v>
        <stp/>
        <stp>BDP|13887447617205316254</stp>
        <tr r="K1067" s="2"/>
      </tp>
      <tp t="s">
        <v>#N/A N/A</v>
        <stp/>
        <stp>BDP|12197697157582212205</stp>
        <tr r="R2008" s="2"/>
      </tp>
      <tp t="s">
        <v>#N/A N/A</v>
        <stp/>
        <stp>BDP|11994718512890537625</stp>
        <tr r="N1234" s="2"/>
      </tp>
      <tp t="s">
        <v>#N/A N/A</v>
        <stp/>
        <stp>BDP|14255888786741509445</stp>
        <tr r="C56" s="2"/>
      </tp>
      <tp t="s">
        <v>#N/A N/A</v>
        <stp/>
        <stp>BDP|13590944183134965765</stp>
        <tr r="C1055" s="2"/>
      </tp>
      <tp t="s">
        <v>#N/A N/A</v>
        <stp/>
        <stp>BDP|14389604671027921360</stp>
        <tr r="N398" s="2"/>
      </tp>
      <tp t="s">
        <v>#N/A N/A</v>
        <stp/>
        <stp>BDS|14646535901629312998</stp>
        <tr r="I731" s="2"/>
      </tp>
      <tp t="s">
        <v>#N/A N/A</v>
        <stp/>
        <stp>BDP|10686911306359533197</stp>
        <tr r="T1969" s="2"/>
      </tp>
      <tp t="s">
        <v>#N/A N/A</v>
        <stp/>
        <stp>BDP|11268224608267584505</stp>
        <tr r="S1717" s="2"/>
      </tp>
      <tp t="s">
        <v>#N/A N/A</v>
        <stp/>
        <stp>BDP|16444652602714855569</stp>
        <tr r="R938" s="2"/>
      </tp>
      <tp t="s">
        <v>#N/A N/A</v>
        <stp/>
        <stp>BDP|13109453088716390821</stp>
        <tr r="T1611" s="2"/>
      </tp>
      <tp t="s">
        <v>#N/A N/A</v>
        <stp/>
        <stp>BDP|15982753570440378424</stp>
        <tr r="P53" s="2"/>
      </tp>
      <tp t="s">
        <v>#N/A N/A</v>
        <stp/>
        <stp>BDP|15381100613977845359</stp>
        <tr r="K61" s="2"/>
      </tp>
      <tp t="s">
        <v>#N/A N/A</v>
        <stp/>
        <stp>BDP|18152941322856952435</stp>
        <tr r="M1926" s="2"/>
      </tp>
      <tp t="s">
        <v>#N/A N/A</v>
        <stp/>
        <stp>BDP|12126526762605883546</stp>
        <tr r="D1961" s="2"/>
      </tp>
      <tp t="s">
        <v>#N/A N/A</v>
        <stp/>
        <stp>BDP|15449321441587208483</stp>
        <tr r="A2153" s="2"/>
      </tp>
      <tp t="s">
        <v>#N/A N/A</v>
        <stp/>
        <stp>BDP|13465686526241778706</stp>
        <tr r="R1978" s="2"/>
      </tp>
      <tp t="s">
        <v>#N/A N/A</v>
        <stp/>
        <stp>BDP|12624107204101870370</stp>
        <tr r="D2238" s="2"/>
      </tp>
      <tp t="s">
        <v>#N/A N/A</v>
        <stp/>
        <stp>BDP|17224032018251271666</stp>
        <tr r="Q873" s="2"/>
      </tp>
      <tp t="s">
        <v>#N/A N/A</v>
        <stp/>
        <stp>BDP|13680106206312561188</stp>
        <tr r="N1122" s="2"/>
      </tp>
      <tp t="s">
        <v>#N/A N/A</v>
        <stp/>
        <stp>BDP|17946547447124622313</stp>
        <tr r="O1913" s="2"/>
      </tp>
      <tp t="s">
        <v>#N/A N/A</v>
        <stp/>
        <stp>BDP|10338633151435847742</stp>
        <tr r="D661" s="2"/>
      </tp>
      <tp t="s">
        <v>#N/A N/A</v>
        <stp/>
        <stp>BDP|10279422056875292596</stp>
        <tr r="O321" s="2"/>
      </tp>
      <tp t="s">
        <v>#N/A N/A</v>
        <stp/>
        <stp>BDP|14819851715315151944</stp>
        <tr r="N1743" s="2"/>
      </tp>
      <tp t="s">
        <v>#N/A N/A</v>
        <stp/>
        <stp>BDP|16761112299128544773</stp>
        <tr r="O1847" s="2"/>
      </tp>
      <tp t="s">
        <v>#N/A N/A</v>
        <stp/>
        <stp>BDP|14239879219139609579</stp>
        <tr r="Q752" s="2"/>
      </tp>
      <tp t="s">
        <v>#N/A N/A</v>
        <stp/>
        <stp>BDP|13809443417984107378</stp>
        <tr r="T937" s="2"/>
      </tp>
      <tp t="s">
        <v>#N/A N/A</v>
        <stp/>
        <stp>BDP|14443647174251955506</stp>
        <tr r="Q364" s="2"/>
      </tp>
      <tp t="s">
        <v>#N/A N/A</v>
        <stp/>
        <stp>BDP|14395015801791728498</stp>
        <tr r="T43" s="2"/>
      </tp>
      <tp t="s">
        <v>#N/A N/A</v>
        <stp/>
        <stp>BDP|15843224845253072124</stp>
        <tr r="F1124" s="2"/>
      </tp>
      <tp t="s">
        <v>#N/A N/A</v>
        <stp/>
        <stp>BDP|17223456358592125532</stp>
        <tr r="J2068" s="2"/>
      </tp>
      <tp t="s">
        <v>#N/A N/A</v>
        <stp/>
        <stp>BDP|10526603116014739293</stp>
        <tr r="E625" s="2"/>
      </tp>
      <tp t="s">
        <v>#N/A N/A</v>
        <stp/>
        <stp>BDP|16302218704892292798</stp>
        <tr r="E1980" s="2"/>
      </tp>
      <tp t="s">
        <v>#N/A N/A</v>
        <stp/>
        <stp>BDP|14763362867495338582</stp>
        <tr r="T2079" s="2"/>
      </tp>
      <tp t="s">
        <v>#N/A N/A</v>
        <stp/>
        <stp>BDP|13910567085507147866</stp>
        <tr r="J915" s="2"/>
      </tp>
      <tp t="s">
        <v>#N/A N/A</v>
        <stp/>
        <stp>BDP|15312558148216433379</stp>
        <tr r="S1490" s="2"/>
      </tp>
      <tp t="s">
        <v>#N/A N/A</v>
        <stp/>
        <stp>BDP|12176706268915596710</stp>
        <tr r="N2004" s="2"/>
      </tp>
      <tp t="s">
        <v>#N/A N/A</v>
        <stp/>
        <stp>BDP|15299518052240565495</stp>
        <tr r="Q983" s="2"/>
      </tp>
      <tp t="s">
        <v>#N/A N/A</v>
        <stp/>
        <stp>BDP|12240824500182837952</stp>
        <tr r="P1788" s="2"/>
      </tp>
      <tp t="s">
        <v>#N/A N/A</v>
        <stp/>
        <stp>BDP|15935247463116760643</stp>
        <tr r="E1234" s="2"/>
      </tp>
      <tp t="s">
        <v>#N/A N/A</v>
        <stp/>
        <stp>BDP|15177059202814279096</stp>
        <tr r="C2019" s="2"/>
      </tp>
      <tp t="s">
        <v>#N/A N/A</v>
        <stp/>
        <stp>BDP|16014726590878718189</stp>
        <tr r="A226" s="2"/>
      </tp>
      <tp t="s">
        <v>#N/A N/A</v>
        <stp/>
        <stp>BDP|12307426935207957306</stp>
        <tr r="J602" s="2"/>
      </tp>
      <tp t="s">
        <v>#N/A N/A</v>
        <stp/>
        <stp>BDP|15789373059426292461</stp>
        <tr r="A415" s="2"/>
      </tp>
      <tp t="s">
        <v>#N/A N/A</v>
        <stp/>
        <stp>BDP|11419336454235836361</stp>
        <tr r="R411" s="2"/>
      </tp>
      <tp t="s">
        <v>#N/A N/A</v>
        <stp/>
        <stp>BDP|13384020346895804327</stp>
        <tr r="J553" s="2"/>
      </tp>
      <tp t="s">
        <v>#N/A N/A</v>
        <stp/>
        <stp>BDP|15435267121514603086</stp>
        <tr r="H1019" s="2"/>
      </tp>
      <tp t="s">
        <v>#N/A N/A</v>
        <stp/>
        <stp>BDP|11516655402612970462</stp>
        <tr r="Q2015" s="2"/>
      </tp>
      <tp t="s">
        <v>#N/A N/A</v>
        <stp/>
        <stp>BDP|15301681626959479949</stp>
        <tr r="A713" s="2"/>
      </tp>
      <tp t="s">
        <v>#N/A N/A</v>
        <stp/>
        <stp>BDP|15931954791455548151</stp>
        <tr r="N710" s="2"/>
      </tp>
      <tp t="s">
        <v>#N/A N/A</v>
        <stp/>
        <stp>BDP|15334794725100757155</stp>
        <tr r="S1335" s="2"/>
      </tp>
      <tp t="s">
        <v>#N/A N/A</v>
        <stp/>
        <stp>BDP|12952561175820797103</stp>
        <tr r="G218" s="2"/>
      </tp>
      <tp t="s">
        <v>#N/A N/A</v>
        <stp/>
        <stp>BDP|15125511741671926451</stp>
        <tr r="S426" s="2"/>
      </tp>
      <tp t="s">
        <v>#N/A N/A</v>
        <stp/>
        <stp>BDP|16350278303130833529</stp>
        <tr r="A814" s="2"/>
      </tp>
      <tp t="s">
        <v>#N/A N/A</v>
        <stp/>
        <stp>BDP|12706799630372585564</stp>
        <tr r="G1080" s="2"/>
      </tp>
      <tp t="s">
        <v>#N/A N/A</v>
        <stp/>
        <stp>BDP|11952940887333376244</stp>
        <tr r="Q407" s="2"/>
      </tp>
      <tp t="s">
        <v>#N/A N/A</v>
        <stp/>
        <stp>BDP|15607188066692081153</stp>
        <tr r="A986" s="2"/>
      </tp>
      <tp t="s">
        <v>#N/A N/A</v>
        <stp/>
        <stp>BDP|17739634516704724587</stp>
        <tr r="J2054" s="2"/>
      </tp>
      <tp t="s">
        <v>#N/A N/A</v>
        <stp/>
        <stp>BDP|15742331649047975497</stp>
        <tr r="K639" s="2"/>
      </tp>
      <tp t="s">
        <v>#N/A N/A</v>
        <stp/>
        <stp>BDP|14460975255618992129</stp>
        <tr r="O1083" s="2"/>
      </tp>
      <tp t="s">
        <v>#N/A N/A</v>
        <stp/>
        <stp>BDP|13531754755336056684</stp>
        <tr r="A1604" s="2"/>
      </tp>
      <tp t="s">
        <v>#N/A N/A</v>
        <stp/>
        <stp>BDP|16438856219849202779</stp>
        <tr r="N1200" s="2"/>
      </tp>
      <tp t="s">
        <v>#N/A N/A</v>
        <stp/>
        <stp>BDP|17446572929275134463</stp>
        <tr r="P990" s="2"/>
      </tp>
      <tp t="s">
        <v>#N/A N/A</v>
        <stp/>
        <stp>BDP|13504691152460549165</stp>
        <tr r="G563" s="2"/>
      </tp>
      <tp t="s">
        <v>#N/A N/A</v>
        <stp/>
        <stp>BDP|17120705729376380568</stp>
        <tr r="H155" s="2"/>
      </tp>
      <tp t="s">
        <v>#N/A N/A</v>
        <stp/>
        <stp>BDP|14951657933220039027</stp>
        <tr r="E1061" s="2"/>
      </tp>
      <tp t="s">
        <v>#N/A N/A</v>
        <stp/>
        <stp>BDP|16063461414373842174</stp>
        <tr r="Q512" s="2"/>
      </tp>
      <tp t="s">
        <v>#N/A N/A</v>
        <stp/>
        <stp>BDP|16549430457275558397</stp>
        <tr r="K852" s="2"/>
      </tp>
      <tp t="s">
        <v>#N/A N/A</v>
        <stp/>
        <stp>BDP|13735682003024080002</stp>
        <tr r="A773" s="2"/>
      </tp>
      <tp t="s">
        <v>#N/A N/A</v>
        <stp/>
        <stp>BDP|15983561263020864784</stp>
        <tr r="H1296" s="2"/>
      </tp>
      <tp t="s">
        <v>#N/A N/A</v>
        <stp/>
        <stp>BDP|10766827067967926871</stp>
        <tr r="N1935" s="2"/>
      </tp>
      <tp t="s">
        <v>#N/A N/A</v>
        <stp/>
        <stp>BDP|14516304179641492041</stp>
        <tr r="O1352" s="2"/>
      </tp>
      <tp t="s">
        <v>#N/A N/A</v>
        <stp/>
        <stp>BDP|13287401679587269651</stp>
        <tr r="K49" s="2"/>
      </tp>
      <tp t="s">
        <v>#N/A N/A</v>
        <stp/>
        <stp>BDP|11438278810765925664</stp>
        <tr r="J1145" s="2"/>
      </tp>
      <tp t="s">
        <v>#N/A N/A</v>
        <stp/>
        <stp>BDP|17575625588901748946</stp>
        <tr r="O472" s="2"/>
      </tp>
      <tp t="s">
        <v>#N/A N/A</v>
        <stp/>
        <stp>BDP|14006284950823517114</stp>
        <tr r="P1130" s="2"/>
      </tp>
      <tp t="s">
        <v>#N/A N/A</v>
        <stp/>
        <stp>BDS|14507697950843650553</stp>
        <tr r="I1074" s="2"/>
      </tp>
      <tp t="s">
        <v>#N/A N/A</v>
        <stp/>
        <stp>BDP|13953317705251686071</stp>
        <tr r="C1644" s="2"/>
      </tp>
      <tp t="s">
        <v>#N/A N/A</v>
        <stp/>
        <stp>BDP|16052769234313847062</stp>
        <tr r="H1980" s="2"/>
      </tp>
      <tp t="s">
        <v>#N/A N/A</v>
        <stp/>
        <stp>BDP|17655493697728407308</stp>
        <tr r="K1166" s="2"/>
      </tp>
      <tp t="s">
        <v>#N/A N/A</v>
        <stp/>
        <stp>BDP|16892054090767335920</stp>
        <tr r="E499" s="2"/>
      </tp>
      <tp t="s">
        <v>#N/A N/A</v>
        <stp/>
        <stp>BDP|10389720958945007658</stp>
        <tr r="K1567" s="2"/>
      </tp>
      <tp t="s">
        <v>#N/A N/A</v>
        <stp/>
        <stp>BDS|12997210813325563514</stp>
        <tr r="I205" s="2"/>
      </tp>
      <tp t="s">
        <v>#N/A N/A</v>
        <stp/>
        <stp>BDP|16546207258698898894</stp>
        <tr r="P1761" s="2"/>
      </tp>
      <tp t="s">
        <v>#N/A N/A</v>
        <stp/>
        <stp>BDP|10271865756269898566</stp>
        <tr r="S806" s="2"/>
      </tp>
      <tp t="s">
        <v>#N/A N/A</v>
        <stp/>
        <stp>BDP|12583135118507465461</stp>
        <tr r="J276" s="2"/>
      </tp>
      <tp t="s">
        <v>#N/A N/A</v>
        <stp/>
        <stp>BDP|12182092828284821545</stp>
        <tr r="S1254" s="2"/>
      </tp>
      <tp t="s">
        <v>#N/A N/A</v>
        <stp/>
        <stp>BDP|13874430774826626753</stp>
        <tr r="J166" s="2"/>
      </tp>
      <tp t="s">
        <v>#N/A N/A</v>
        <stp/>
        <stp>BDP|15838319832716621211</stp>
        <tr r="K214" s="2"/>
      </tp>
      <tp t="s">
        <v>#N/A N/A</v>
        <stp/>
        <stp>BDP|17686574239934702438</stp>
        <tr r="F2023" s="2"/>
      </tp>
      <tp t="s">
        <v>#N/A N/A</v>
        <stp/>
        <stp>BDP|12343395430951625207</stp>
        <tr r="F895" s="2"/>
      </tp>
      <tp t="s">
        <v>#N/A N/A</v>
        <stp/>
        <stp>BDP|13503899356528601701</stp>
        <tr r="Q1346" s="2"/>
      </tp>
      <tp t="s">
        <v>#N/A N/A</v>
        <stp/>
        <stp>BDP|18139273290102948038</stp>
        <tr r="M352" s="2"/>
      </tp>
      <tp t="s">
        <v>#N/A N/A</v>
        <stp/>
        <stp>BDP|16757616254153969778</stp>
        <tr r="G1866" s="2"/>
      </tp>
      <tp t="s">
        <v>#N/A N/A</v>
        <stp/>
        <stp>BDP|13691706877176950448</stp>
        <tr r="M1536" s="2"/>
      </tp>
      <tp t="s">
        <v>#N/A N/A</v>
        <stp/>
        <stp>BDP|12945791543010743082</stp>
        <tr r="H1874" s="2"/>
      </tp>
      <tp t="s">
        <v>#N/A N/A</v>
        <stp/>
        <stp>BDP|11874941888595978416</stp>
        <tr r="D271" s="2"/>
      </tp>
      <tp t="s">
        <v>#N/A N/A</v>
        <stp/>
        <stp>BDS|11519831089976180613</stp>
        <tr r="I285" s="2"/>
      </tp>
      <tp t="s">
        <v>#N/A N/A</v>
        <stp/>
        <stp>BDP|14599001429414494347</stp>
        <tr r="G1881" s="2"/>
      </tp>
      <tp t="s">
        <v>#N/A N/A</v>
        <stp/>
        <stp>BDP|17430734452013971702</stp>
        <tr r="O2077" s="2"/>
      </tp>
      <tp t="s">
        <v>#N/A N/A</v>
        <stp/>
        <stp>BDP|13777569463244797597</stp>
        <tr r="Q697" s="2"/>
      </tp>
      <tp t="s">
        <v>#N/A N/A</v>
        <stp/>
        <stp>BDP|12238896988613944066</stp>
        <tr r="D2236" s="2"/>
      </tp>
      <tp t="s">
        <v>#N/A N/A</v>
        <stp/>
        <stp>BDP|12833002754763366531</stp>
        <tr r="S1986" s="2"/>
      </tp>
      <tp t="s">
        <v>#N/A N/A</v>
        <stp/>
        <stp>BDP|15994110284945706871</stp>
        <tr r="H1471" s="2"/>
      </tp>
      <tp t="s">
        <v>#N/A N/A</v>
        <stp/>
        <stp>BDP|16392349162344145687</stp>
        <tr r="R1631" s="2"/>
      </tp>
      <tp t="s">
        <v>#N/A N/A</v>
        <stp/>
        <stp>BDP|14282798570376559321</stp>
        <tr r="G949" s="2"/>
      </tp>
      <tp t="s">
        <v>#N/A N/A</v>
        <stp/>
        <stp>BDP|12799968383846765498</stp>
        <tr r="T393" s="2"/>
      </tp>
      <tp t="s">
        <v>#N/A N/A</v>
        <stp/>
        <stp>BDP|10514172924234834625</stp>
        <tr r="R899" s="2"/>
      </tp>
      <tp t="s">
        <v>#N/A N/A</v>
        <stp/>
        <stp>BDP|16742695034322205045</stp>
        <tr r="M1932" s="2"/>
      </tp>
      <tp t="s">
        <v>#N/A N/A</v>
        <stp/>
        <stp>BDP|12959276104929659808</stp>
        <tr r="O2" s="2"/>
      </tp>
      <tp t="s">
        <v>#N/A N/A</v>
        <stp/>
        <stp>BDP|12260860870529815504</stp>
        <tr r="S2020" s="2"/>
      </tp>
      <tp t="s">
        <v>#N/A N/A</v>
        <stp/>
        <stp>BDP|14326165298559179403</stp>
        <tr r="E1469" s="2"/>
      </tp>
      <tp t="s">
        <v>#N/A N/A</v>
        <stp/>
        <stp>BDP|13620087159520223794</stp>
        <tr r="D523" s="2"/>
      </tp>
      <tp t="s">
        <v>#N/A N/A</v>
        <stp/>
        <stp>BDP|13767282069920336698</stp>
        <tr r="S380" s="2"/>
      </tp>
      <tp t="s">
        <v>#N/A N/A</v>
        <stp/>
        <stp>BDP|11966334354015308317</stp>
        <tr r="T1909" s="2"/>
      </tp>
      <tp t="s">
        <v>#N/A N/A</v>
        <stp/>
        <stp>BDP|18319914416263030281</stp>
        <tr r="G551" s="2"/>
      </tp>
      <tp t="s">
        <v>#N/A N/A</v>
        <stp/>
        <stp>BDP|10458585297589625412</stp>
        <tr r="R1051" s="2"/>
      </tp>
      <tp t="s">
        <v>#N/A N/A</v>
        <stp/>
        <stp>BDP|12701454532767545392</stp>
        <tr r="E1705" s="2"/>
      </tp>
      <tp t="s">
        <v>#N/A N/A</v>
        <stp/>
        <stp>BDP|16378358984824934871</stp>
        <tr r="K799" s="2"/>
      </tp>
      <tp t="s">
        <v>#N/A N/A</v>
        <stp/>
        <stp>BDP|13549017561421938501</stp>
        <tr r="O1414" s="2"/>
      </tp>
      <tp t="s">
        <v>#N/A N/A</v>
        <stp/>
        <stp>BDP|11604298906050795225</stp>
        <tr r="T560" s="2"/>
      </tp>
      <tp t="s">
        <v>#N/A N/A</v>
        <stp/>
        <stp>BDP|15825891522989995767</stp>
        <tr r="S1182" s="2"/>
      </tp>
      <tp t="s">
        <v>#N/A N/A</v>
        <stp/>
        <stp>BDP|12845245816070166073</stp>
        <tr r="S1441" s="2"/>
      </tp>
      <tp t="s">
        <v>#N/A N/A</v>
        <stp/>
        <stp>BDP|13829500001524757326</stp>
        <tr r="G1404" s="2"/>
      </tp>
      <tp t="s">
        <v>#N/A N/A</v>
        <stp/>
        <stp>BDP|16249960381532956400</stp>
        <tr r="T2099" s="2"/>
      </tp>
      <tp t="s">
        <v>#N/A N/A</v>
        <stp/>
        <stp>BDP|15296468005192511285</stp>
        <tr r="T1687" s="2"/>
      </tp>
      <tp t="s">
        <v>#N/A N/A</v>
        <stp/>
        <stp>BDP|13388196706005199613</stp>
        <tr r="A343" s="2"/>
      </tp>
      <tp t="s">
        <v>#N/A N/A</v>
        <stp/>
        <stp>BDP|15991740655343085546</stp>
        <tr r="G1037" s="2"/>
      </tp>
      <tp t="s">
        <v>#N/A N/A</v>
        <stp/>
        <stp>BDP|17931611411984341554</stp>
        <tr r="C2013" s="2"/>
      </tp>
      <tp t="s">
        <v>#N/A N/A</v>
        <stp/>
        <stp>BDP|13536962854397898900</stp>
        <tr r="K1002" s="2"/>
      </tp>
      <tp t="s">
        <v>#N/A N/A</v>
        <stp/>
        <stp>BDP|16509402799069710348</stp>
        <tr r="P1866" s="2"/>
      </tp>
      <tp t="s">
        <v>#N/A N/A</v>
        <stp/>
        <stp>BDP|10200426730177998164</stp>
        <tr r="O289" s="2"/>
      </tp>
      <tp t="s">
        <v>#N/A N/A</v>
        <stp/>
        <stp>BDP|17194652410982200398</stp>
        <tr r="T395" s="2"/>
      </tp>
      <tp t="s">
        <v>#N/A N/A</v>
        <stp/>
        <stp>BDS|13875005935951568047</stp>
        <tr r="I2015" s="2"/>
      </tp>
      <tp t="s">
        <v>#N/A N/A</v>
        <stp/>
        <stp>BDP|16515895016967051952</stp>
        <tr r="R381" s="2"/>
      </tp>
      <tp t="s">
        <v>#N/A N/A</v>
        <stp/>
        <stp>BDP|17466998897493495519</stp>
        <tr r="M1627" s="2"/>
      </tp>
      <tp t="s">
        <v>#N/A N/A</v>
        <stp/>
        <stp>BDP|11515020978447386034</stp>
        <tr r="R95" s="2"/>
      </tp>
      <tp t="s">
        <v>#N/A N/A</v>
        <stp/>
        <stp>BDP|10443384632988466956</stp>
        <tr r="C331" s="2"/>
      </tp>
      <tp t="s">
        <v>#N/A N/A</v>
        <stp/>
        <stp>BDS|10706340686933978907</stp>
        <tr r="I2045" s="2"/>
      </tp>
      <tp t="s">
        <v>#N/A N/A</v>
        <stp/>
        <stp>BDP|11422377758875766332</stp>
        <tr r="G1816" s="2"/>
      </tp>
      <tp t="s">
        <v>#N/A N/A</v>
        <stp/>
        <stp>BDP|12895613116413166711</stp>
        <tr r="G2225" s="2"/>
      </tp>
      <tp t="s">
        <v>#N/A N/A</v>
        <stp/>
        <stp>BDP|17970741548977831225</stp>
        <tr r="N1611" s="2"/>
      </tp>
      <tp t="s">
        <v>#N/A N/A</v>
        <stp/>
        <stp>BDP|17451139766448760997</stp>
        <tr r="R832" s="2"/>
      </tp>
      <tp t="s">
        <v>#N/A N/A</v>
        <stp/>
        <stp>BDP|12379388056897279208</stp>
        <tr r="Q343" s="2"/>
      </tp>
      <tp t="s">
        <v>#N/A N/A</v>
        <stp/>
        <stp>BDP|13038711016956836200</stp>
        <tr r="H1005" s="2"/>
      </tp>
      <tp t="s">
        <v>#N/A N/A</v>
        <stp/>
        <stp>BDP|13641708167055743690</stp>
        <tr r="D1933" s="2"/>
      </tp>
      <tp t="s">
        <v>#N/A N/A</v>
        <stp/>
        <stp>BDP|13477620029430136618</stp>
        <tr r="R1214" s="2"/>
      </tp>
      <tp t="s">
        <v>#N/A N/A</v>
        <stp/>
        <stp>BDP|15905535162792252558</stp>
        <tr r="F495" s="2"/>
      </tp>
      <tp t="s">
        <v>#N/A N/A</v>
        <stp/>
        <stp>BDP|12618907629268981093</stp>
        <tr r="H27" s="2"/>
      </tp>
      <tp t="s">
        <v>#N/A N/A</v>
        <stp/>
        <stp>BDP|15431575363880762787</stp>
        <tr r="E146" s="2"/>
      </tp>
      <tp t="s">
        <v>#N/A N/A</v>
        <stp/>
        <stp>BDP|12863915171805559821</stp>
        <tr r="D420" s="2"/>
      </tp>
      <tp t="s">
        <v>#N/A N/A</v>
        <stp/>
        <stp>BDP|12852142157926485109</stp>
        <tr r="S332" s="2"/>
      </tp>
      <tp t="s">
        <v>#N/A N/A</v>
        <stp/>
        <stp>BDP|11508010506014590487</stp>
        <tr r="G254" s="2"/>
      </tp>
      <tp t="s">
        <v>#N/A N/A</v>
        <stp/>
        <stp>BDP|12845408239214802060</stp>
        <tr r="G910" s="2"/>
      </tp>
      <tp t="s">
        <v>#N/A N/A</v>
        <stp/>
        <stp>BDP|17331510030828577882</stp>
        <tr r="P448" s="2"/>
      </tp>
      <tp t="s">
        <v>#N/A N/A</v>
        <stp/>
        <stp>BDP|15323191293199089564</stp>
        <tr r="M1289" s="2"/>
      </tp>
      <tp t="s">
        <v>#N/A N/A</v>
        <stp/>
        <stp>BDP|11101924146029981432</stp>
        <tr r="P1887" s="2"/>
      </tp>
      <tp t="s">
        <v>#N/A N/A</v>
        <stp/>
        <stp>BDP|12672763632163421499</stp>
        <tr r="O330" s="2"/>
      </tp>
      <tp t="s">
        <v>#N/A N/A</v>
        <stp/>
        <stp>BDP|11862537082429295441</stp>
        <tr r="M886" s="2"/>
      </tp>
      <tp t="s">
        <v>#N/A N/A</v>
        <stp/>
        <stp>BDP|18251964407874864442</stp>
        <tr r="C2000" s="2"/>
      </tp>
      <tp t="s">
        <v>#N/A N/A</v>
        <stp/>
        <stp>BDP|14126760207857663591</stp>
        <tr r="T1091" s="2"/>
      </tp>
      <tp t="s">
        <v>#N/A N/A</v>
        <stp/>
        <stp>BDP|18043417286040879508</stp>
        <tr r="S1288" s="2"/>
      </tp>
      <tp t="s">
        <v>#N/A N/A</v>
        <stp/>
        <stp>BDP|16598370245756130691</stp>
        <tr r="K45" s="2"/>
      </tp>
      <tp t="s">
        <v>#N/A N/A</v>
        <stp/>
        <stp>BDP|11032958822592978915</stp>
        <tr r="G687" s="2"/>
      </tp>
      <tp t="s">
        <v>#N/A N/A</v>
        <stp/>
        <stp>BDP|11201342384819842252</stp>
        <tr r="G1908" s="2"/>
      </tp>
      <tp t="s">
        <v>#N/A N/A</v>
        <stp/>
        <stp>BDP|10301630557811877303</stp>
        <tr r="T456" s="2"/>
      </tp>
      <tp t="s">
        <v>#N/A N/A</v>
        <stp/>
        <stp>BDP|12866291936143137196</stp>
        <tr r="D2067" s="2"/>
      </tp>
      <tp t="s">
        <v>#N/A N/A</v>
        <stp/>
        <stp>BDP|10753340880328430286</stp>
        <tr r="E1759" s="2"/>
      </tp>
      <tp t="s">
        <v>#N/A N/A</v>
        <stp/>
        <stp>BDS|12070275370200308683</stp>
        <tr r="I1285" s="2"/>
      </tp>
      <tp t="s">
        <v>#N/A N/A</v>
        <stp/>
        <stp>BDP|12934148635604072579</stp>
        <tr r="D1628" s="2"/>
      </tp>
      <tp t="s">
        <v>#N/A N/A</v>
        <stp/>
        <stp>BDP|18000172099044496558</stp>
        <tr r="C1308" s="2"/>
      </tp>
      <tp t="s">
        <v>#N/A N/A</v>
        <stp/>
        <stp>BDP|16679324091155823822</stp>
        <tr r="D1668" s="2"/>
      </tp>
      <tp t="s">
        <v>#N/A N/A</v>
        <stp/>
        <stp>BDP|12716105592798953334</stp>
        <tr r="S998" s="2"/>
      </tp>
      <tp t="s">
        <v>#N/A N/A</v>
        <stp/>
        <stp>BDP|13102131073205869167</stp>
        <tr r="K433" s="2"/>
      </tp>
      <tp t="s">
        <v>#N/A N/A</v>
        <stp/>
        <stp>BDP|16477130738586273327</stp>
        <tr r="A1107" s="2"/>
      </tp>
      <tp t="s">
        <v>#N/A N/A</v>
        <stp/>
        <stp>BDP|12613536277086946742</stp>
        <tr r="C1342" s="2"/>
      </tp>
      <tp t="s">
        <v>#N/A N/A</v>
        <stp/>
        <stp>BDP|15223246602574933223</stp>
        <tr r="D1233" s="2"/>
      </tp>
      <tp t="s">
        <v>#N/A N/A</v>
        <stp/>
        <stp>BDP|16948201955266144622</stp>
        <tr r="O1586" s="2"/>
      </tp>
      <tp t="s">
        <v>#N/A N/A</v>
        <stp/>
        <stp>BDP|12808580033316945357</stp>
        <tr r="T2193" s="2"/>
      </tp>
      <tp t="s">
        <v>#N/A N/A</v>
        <stp/>
        <stp>BDP|11315742388297024803</stp>
        <tr r="D1553" s="2"/>
      </tp>
      <tp t="s">
        <v>#N/A N/A</v>
        <stp/>
        <stp>BDP|17158322819225108145</stp>
        <tr r="R2054" s="2"/>
      </tp>
      <tp t="s">
        <v>#N/A N/A</v>
        <stp/>
        <stp>BDP|16875069278260184084</stp>
        <tr r="K1281" s="2"/>
      </tp>
      <tp t="s">
        <v>#N/A N/A</v>
        <stp/>
        <stp>BDS|15660244649750105265</stp>
        <tr r="I112" s="2"/>
      </tp>
      <tp t="s">
        <v>#N/A N/A</v>
        <stp/>
        <stp>BDP|14895441099931977936</stp>
        <tr r="K2174" s="2"/>
      </tp>
      <tp t="s">
        <v>#N/A N/A</v>
        <stp/>
        <stp>BDP|17575267244833005388</stp>
        <tr r="O493" s="2"/>
      </tp>
      <tp t="s">
        <v>#N/A N/A</v>
        <stp/>
        <stp>BDP|13976364674446654022</stp>
        <tr r="K1673" s="2"/>
      </tp>
      <tp t="s">
        <v>#N/A N/A</v>
        <stp/>
        <stp>BDP|14494377313346653198</stp>
        <tr r="R1990" s="2"/>
      </tp>
      <tp t="s">
        <v>#N/A N/A</v>
        <stp/>
        <stp>BDP|10211481000827680230</stp>
        <tr r="G1342" s="2"/>
      </tp>
      <tp t="s">
        <v>#N/A N/A</v>
        <stp/>
        <stp>BDP|14855526043676228240</stp>
        <tr r="R2236" s="2"/>
      </tp>
      <tp t="s">
        <v>#N/A N/A</v>
        <stp/>
        <stp>BDP|12570266589451134841</stp>
        <tr r="F305" s="2"/>
      </tp>
      <tp t="s">
        <v>#N/A N/A</v>
        <stp/>
        <stp>BDP|16772687656645578137</stp>
        <tr r="A11" s="2"/>
      </tp>
      <tp t="s">
        <v>#N/A N/A</v>
        <stp/>
        <stp>BDP|17641755654171008586</stp>
        <tr r="P142" s="2"/>
      </tp>
      <tp t="s">
        <v>#N/A N/A</v>
        <stp/>
        <stp>BDP|14763454839635474706</stp>
        <tr r="J1223" s="2"/>
      </tp>
      <tp t="s">
        <v>#N/A N/A</v>
        <stp/>
        <stp>BDS|16904767356840526508</stp>
        <tr r="I1099" s="2"/>
      </tp>
      <tp t="s">
        <v>#N/A N/A</v>
        <stp/>
        <stp>BDP|17626065032214843154</stp>
        <tr r="T1341" s="2"/>
      </tp>
      <tp t="s">
        <v>#N/A N/A</v>
        <stp/>
        <stp>BDP|14925215806624628376</stp>
        <tr r="J1833" s="2"/>
      </tp>
      <tp t="s">
        <v>#N/A N/A</v>
        <stp/>
        <stp>BDP|14182232652550927268</stp>
        <tr r="D841" s="2"/>
      </tp>
      <tp t="s">
        <v>#N/A N/A</v>
        <stp/>
        <stp>BDP|10526239414754596680</stp>
        <tr r="E2062" s="2"/>
      </tp>
      <tp t="s">
        <v>#N/A N/A</v>
        <stp/>
        <stp>BDP|10821557060787111537</stp>
        <tr r="T1402" s="2"/>
      </tp>
      <tp t="s">
        <v>#N/A N/A</v>
        <stp/>
        <stp>BDP|14118104877245974604</stp>
        <tr r="T1583" s="2"/>
      </tp>
      <tp t="s">
        <v>#N/A N/A</v>
        <stp/>
        <stp>BDP|12893378278641976614</stp>
        <tr r="Q741" s="2"/>
      </tp>
      <tp t="s">
        <v>#N/A N/A</v>
        <stp/>
        <stp>BDP|17879311981958087573</stp>
        <tr r="G1338" s="2"/>
      </tp>
      <tp t="s">
        <v>#N/A N/A</v>
        <stp/>
        <stp>BDP|13571783363187184416</stp>
        <tr r="C1415" s="2"/>
      </tp>
      <tp t="s">
        <v>#N/A N/A</v>
        <stp/>
        <stp>BDS|12548389671254125306</stp>
        <tr r="I1646" s="2"/>
      </tp>
      <tp t="s">
        <v>#N/A N/A</v>
        <stp/>
        <stp>BDP|15518305131102293687</stp>
        <tr r="J334" s="2"/>
      </tp>
      <tp t="s">
        <v>#N/A N/A</v>
        <stp/>
        <stp>BDP|13984541664721449030</stp>
        <tr r="P932" s="2"/>
      </tp>
      <tp t="s">
        <v>#N/A N/A</v>
        <stp/>
        <stp>BDP|13520198791279438371</stp>
        <tr r="E1891" s="2"/>
      </tp>
      <tp t="s">
        <v>#N/A N/A</v>
        <stp/>
        <stp>BDP|10218247857366993066</stp>
        <tr r="K979" s="2"/>
      </tp>
      <tp t="s">
        <v>#N/A N/A</v>
        <stp/>
        <stp>BDP|12595270828417009447</stp>
        <tr r="G1141" s="2"/>
      </tp>
      <tp t="s">
        <v>#N/A N/A</v>
        <stp/>
        <stp>BDP|13314640608472380627</stp>
        <tr r="M1730" s="2"/>
      </tp>
      <tp t="s">
        <v>#N/A N/A</v>
        <stp/>
        <stp>BDP|16474641512028844848</stp>
        <tr r="F376" s="2"/>
      </tp>
      <tp t="s">
        <v>#N/A N/A</v>
        <stp/>
        <stp>BDP|16142995132455760839</stp>
        <tr r="G2132" s="2"/>
      </tp>
      <tp t="s">
        <v>#N/A N/A</v>
        <stp/>
        <stp>BDP|14008149484755713996</stp>
        <tr r="A379" s="2"/>
      </tp>
      <tp t="s">
        <v>#N/A N/A</v>
        <stp/>
        <stp>BDP|17274470302184865619</stp>
        <tr r="E1870" s="2"/>
      </tp>
      <tp t="s">
        <v>#N/A N/A</v>
        <stp/>
        <stp>BDP|11292102928762008145</stp>
        <tr r="H1425" s="2"/>
      </tp>
      <tp t="s">
        <v>#N/A N/A</v>
        <stp/>
        <stp>BDS|13964871243279890784</stp>
        <tr r="I646" s="2"/>
      </tp>
      <tp t="s">
        <v>#N/A N/A</v>
        <stp/>
        <stp>BDP|11692690499246141997</stp>
        <tr r="F60" s="2"/>
      </tp>
      <tp t="s">
        <v>#N/A N/A</v>
        <stp/>
        <stp>BDP|14028266868260412148</stp>
        <tr r="M1482" s="2"/>
      </tp>
      <tp t="s">
        <v>#N/A N/A</v>
        <stp/>
        <stp>BDS|14676020016876966266</stp>
        <tr r="I2023" s="2"/>
      </tp>
      <tp t="s">
        <v>#N/A N/A</v>
        <stp/>
        <stp>BDP|10900994036193916819</stp>
        <tr r="R944" s="2"/>
      </tp>
      <tp t="s">
        <v>#N/A N/A</v>
        <stp/>
        <stp>BDP|13202044912467999434</stp>
        <tr r="G1448" s="2"/>
      </tp>
      <tp t="s">
        <v>#N/A N/A</v>
        <stp/>
        <stp>BDP|12746837719209598364</stp>
        <tr r="K684" s="2"/>
      </tp>
      <tp t="s">
        <v>#N/A N/A</v>
        <stp/>
        <stp>BDS|12359488710111416721</stp>
        <tr r="I843" s="2"/>
      </tp>
      <tp t="s">
        <v>#N/A N/A</v>
        <stp/>
        <stp>BDP|16098490300066238556</stp>
        <tr r="T1185" s="2"/>
      </tp>
      <tp t="s">
        <v>#N/A N/A</v>
        <stp/>
        <stp>BDP|15423518655757707391</stp>
        <tr r="K1915" s="2"/>
      </tp>
      <tp t="s">
        <v>#N/A N/A</v>
        <stp/>
        <stp>BDP|18262925171964674391</stp>
        <tr r="G796" s="2"/>
      </tp>
      <tp t="s">
        <v>#N/A N/A</v>
        <stp/>
        <stp>BDP|13910532655457983583</stp>
        <tr r="T1769" s="2"/>
      </tp>
      <tp t="s">
        <v>#N/A N/A</v>
        <stp/>
        <stp>BDP|16646619969453608465</stp>
        <tr r="F2040" s="2"/>
      </tp>
      <tp t="s">
        <v>#N/A N/A</v>
        <stp/>
        <stp>BDP|13647617370387129481</stp>
        <tr r="M247" s="2"/>
      </tp>
      <tp t="s">
        <v>#N/A N/A</v>
        <stp/>
        <stp>BDP|10962538324801625767</stp>
        <tr r="H704" s="2"/>
      </tp>
      <tp t="s">
        <v>#N/A N/A</v>
        <stp/>
        <stp>BDP|17060970212258270690</stp>
        <tr r="E239" s="2"/>
      </tp>
      <tp t="s">
        <v>#N/A N/A</v>
        <stp/>
        <stp>BDP|16603284621837680077</stp>
        <tr r="F2097" s="2"/>
      </tp>
      <tp t="s">
        <v>#N/A N/A</v>
        <stp/>
        <stp>BDP|15573550482449823042</stp>
        <tr r="A1046" s="2"/>
      </tp>
      <tp t="s">
        <v>#N/A N/A</v>
        <stp/>
        <stp>BDP|16841501476741983499</stp>
        <tr r="N1024" s="2"/>
      </tp>
      <tp t="s">
        <v>#N/A N/A</v>
        <stp/>
        <stp>BDS|13468187465743377673</stp>
        <tr r="I2026" s="2"/>
      </tp>
      <tp t="s">
        <v>#N/A N/A</v>
        <stp/>
        <stp>BDP|10507602835740611486</stp>
        <tr r="K1716" s="2"/>
      </tp>
      <tp t="s">
        <v>#N/A N/A</v>
        <stp/>
        <stp>BDP|14018157243258005886</stp>
        <tr r="K2252" s="2"/>
      </tp>
      <tp t="s">
        <v>#N/A N/A</v>
        <stp/>
        <stp>BDP|15630545540677517293</stp>
        <tr r="K1675" s="2"/>
      </tp>
      <tp t="s">
        <v>#N/A N/A</v>
        <stp/>
        <stp>BDP|17903359836785056349</stp>
        <tr r="M980" s="2"/>
      </tp>
      <tp t="s">
        <v>#N/A N/A</v>
        <stp/>
        <stp>BDP|13720195707236504527</stp>
        <tr r="R1494" s="2"/>
      </tp>
      <tp t="s">
        <v>#N/A N/A</v>
        <stp/>
        <stp>BDP|17874896796427131084</stp>
        <tr r="N1628" s="2"/>
      </tp>
      <tp t="s">
        <v>#N/A N/A</v>
        <stp/>
        <stp>BDP|12970748730944651351</stp>
        <tr r="Q86" s="2"/>
      </tp>
      <tp t="s">
        <v>#N/A N/A</v>
        <stp/>
        <stp>BDS|15983113959833946356</stp>
        <tr r="I1101" s="2"/>
      </tp>
      <tp t="s">
        <v>#N/A N/A</v>
        <stp/>
        <stp>BDP|17057416349885292343</stp>
        <tr r="O1310" s="2"/>
      </tp>
      <tp t="s">
        <v>#N/A N/A</v>
        <stp/>
        <stp>BDP|16328910788242392478</stp>
        <tr r="Q433" s="2"/>
      </tp>
      <tp t="s">
        <v>#N/A N/A</v>
        <stp/>
        <stp>BDP|16382678574954719299</stp>
        <tr r="H129" s="2"/>
      </tp>
      <tp t="s">
        <v>#N/A N/A</v>
        <stp/>
        <stp>BDP|10985488319877486321</stp>
        <tr r="E1358" s="2"/>
      </tp>
      <tp t="s">
        <v>#N/A N/A</v>
        <stp/>
        <stp>BDP|15822432137031491268</stp>
        <tr r="G1019" s="2"/>
      </tp>
      <tp t="s">
        <v>#N/A N/A</v>
        <stp/>
        <stp>BDP|10438718056924466794</stp>
        <tr r="D2090" s="2"/>
      </tp>
      <tp t="s">
        <v>#N/A N/A</v>
        <stp/>
        <stp>BDP|12465779584315099995</stp>
        <tr r="G2153" s="2"/>
      </tp>
      <tp t="s">
        <v>#N/A N/A</v>
        <stp/>
        <stp>BDP|16023142670663348292</stp>
        <tr r="D1667" s="2"/>
      </tp>
      <tp t="s">
        <v>#N/A N/A</v>
        <stp/>
        <stp>BDP|14163216328776623305</stp>
        <tr r="E2125" s="2"/>
      </tp>
      <tp t="s">
        <v>#N/A N/A</v>
        <stp/>
        <stp>BDP|18270833169896289144</stp>
        <tr r="A1990" s="2"/>
      </tp>
      <tp t="s">
        <v>#N/A N/A</v>
        <stp/>
        <stp>BDP|18095114608758795003</stp>
        <tr r="H814" s="2"/>
      </tp>
      <tp t="s">
        <v>#N/A N/A</v>
        <stp/>
        <stp>BDP|11259507567537340484</stp>
        <tr r="F1304" s="2"/>
      </tp>
      <tp t="s">
        <v>#N/A N/A</v>
        <stp/>
        <stp>BDP|15333596857312500661</stp>
        <tr r="K1640" s="2"/>
      </tp>
      <tp t="s">
        <v>#N/A N/A</v>
        <stp/>
        <stp>BDP|15742452128353215163</stp>
        <tr r="O1225" s="2"/>
      </tp>
      <tp t="s">
        <v>#N/A N/A</v>
        <stp/>
        <stp>BDP|17339588278775830159</stp>
        <tr r="Q206" s="2"/>
      </tp>
      <tp t="s">
        <v>#N/A N/A</v>
        <stp/>
        <stp>BDP|10122138551102452798</stp>
        <tr r="S1412" s="2"/>
      </tp>
      <tp t="s">
        <v>#N/A N/A</v>
        <stp/>
        <stp>BDP|16849004015175066332</stp>
        <tr r="P1945" s="2"/>
      </tp>
      <tp t="s">
        <v>#N/A N/A</v>
        <stp/>
        <stp>BDP|17226680326144776651</stp>
        <tr r="R576" s="2"/>
      </tp>
      <tp t="s">
        <v>#N/A N/A</v>
        <stp/>
        <stp>BDP|10290287600027594412</stp>
        <tr r="S1740" s="2"/>
      </tp>
      <tp t="s">
        <v>#N/A N/A</v>
        <stp/>
        <stp>BDP|13313419037524201198</stp>
        <tr r="P47" s="2"/>
      </tp>
      <tp t="s">
        <v>#N/A N/A</v>
        <stp/>
        <stp>BDS|16806200807254056123</stp>
        <tr r="I425" s="2"/>
      </tp>
      <tp t="s">
        <v>#N/A N/A</v>
        <stp/>
        <stp>BDP|12807022946892078529</stp>
        <tr r="M1001" s="2"/>
      </tp>
      <tp t="s">
        <v>#N/A N/A</v>
        <stp/>
        <stp>BDS|16141286702450529530</stp>
        <tr r="I1970" s="2"/>
      </tp>
      <tp t="s">
        <v>#N/A N/A</v>
        <stp/>
        <stp>BDP|14705372507282008494</stp>
        <tr r="Q178" s="2"/>
      </tp>
      <tp t="s">
        <v>#N/A N/A</v>
        <stp/>
        <stp>BDP|18249786532365348851</stp>
        <tr r="M893" s="2"/>
      </tp>
      <tp t="s">
        <v>#N/A N/A</v>
        <stp/>
        <stp>BDP|12027701931314432348</stp>
        <tr r="Q1506" s="2"/>
      </tp>
      <tp t="s">
        <v>#N/A N/A</v>
        <stp/>
        <stp>BDP|11340425686784494824</stp>
        <tr r="E781" s="2"/>
      </tp>
      <tp t="s">
        <v>#N/A N/A</v>
        <stp/>
        <stp>BDP|13518855794643581001</stp>
        <tr r="E444" s="2"/>
      </tp>
      <tp t="s">
        <v>#N/A N/A</v>
        <stp/>
        <stp>BDS|11307782122965974027</stp>
        <tr r="I785" s="2"/>
      </tp>
      <tp t="s">
        <v>#N/A N/A</v>
        <stp/>
        <stp>BDP|11136765252352786036</stp>
        <tr r="E88" s="2"/>
      </tp>
      <tp t="s">
        <v>#N/A N/A</v>
        <stp/>
        <stp>BDP|14342633703721380213</stp>
        <tr r="M1757" s="2"/>
      </tp>
      <tp t="s">
        <v>#N/A N/A</v>
        <stp/>
        <stp>BDP|11559022912965115454</stp>
        <tr r="Q2187" s="2"/>
      </tp>
      <tp t="s">
        <v>#N/A N/A</v>
        <stp/>
        <stp>BDP|12370627536074520239</stp>
        <tr r="Q411" s="2"/>
      </tp>
      <tp t="s">
        <v>#N/A N/A</v>
        <stp/>
        <stp>BDP|11088723201902393511</stp>
        <tr r="T1624" s="2"/>
      </tp>
      <tp t="s">
        <v>#N/A N/A</v>
        <stp/>
        <stp>BDP|15468537255960614453</stp>
        <tr r="P1250" s="2"/>
      </tp>
      <tp t="s">
        <v>#N/A N/A</v>
        <stp/>
        <stp>BDP|11735313110650180264</stp>
        <tr r="P1849" s="2"/>
      </tp>
      <tp t="s">
        <v>#N/A N/A</v>
        <stp/>
        <stp>BDS|16924210246530884145</stp>
        <tr r="I1810" s="2"/>
      </tp>
      <tp t="s">
        <v>#N/A N/A</v>
        <stp/>
        <stp>BDP|17915333467306991552</stp>
        <tr r="Q2098" s="2"/>
      </tp>
      <tp t="s">
        <v>#N/A N/A</v>
        <stp/>
        <stp>BDS|15659684793009990261</stp>
        <tr r="I463" s="2"/>
      </tp>
      <tp t="s">
        <v>#N/A N/A</v>
        <stp/>
        <stp>BDP|12693038361935426013</stp>
        <tr r="P4" s="2"/>
      </tp>
      <tp t="s">
        <v>#N/A N/A</v>
        <stp/>
        <stp>BDP|13063345175803306532</stp>
        <tr r="D908" s="2"/>
      </tp>
      <tp t="s">
        <v>#N/A N/A</v>
        <stp/>
        <stp>BDP|14201254833882345661</stp>
        <tr r="N1373" s="2"/>
      </tp>
      <tp t="s">
        <v>#N/A N/A</v>
        <stp/>
        <stp>BDP|12015683648315583440</stp>
        <tr r="H19" s="2"/>
      </tp>
      <tp t="s">
        <v>#N/A N/A</v>
        <stp/>
        <stp>BDP|17544009716836380114</stp>
        <tr r="N2018" s="2"/>
      </tp>
      <tp t="s">
        <v>#N/A N/A</v>
        <stp/>
        <stp>BDP|11540526533586460019</stp>
        <tr r="S1270" s="2"/>
      </tp>
      <tp t="s">
        <v>#N/A N/A</v>
        <stp/>
        <stp>BDP|13269202199901864823</stp>
        <tr r="K1750" s="2"/>
      </tp>
      <tp t="s">
        <v>#N/A N/A</v>
        <stp/>
        <stp>BDP|12188430625784503137</stp>
        <tr r="F1657" s="2"/>
      </tp>
      <tp t="s">
        <v>#N/A N/A</v>
        <stp/>
        <stp>BDP|12592392742814823079</stp>
        <tr r="Q2180" s="2"/>
      </tp>
      <tp t="s">
        <v>#N/A N/A</v>
        <stp/>
        <stp>BDP|11991873170057953867</stp>
        <tr r="P1213" s="2"/>
      </tp>
      <tp t="s">
        <v>#N/A N/A</v>
        <stp/>
        <stp>BDP|14295748057943592459</stp>
        <tr r="E862" s="2"/>
      </tp>
      <tp t="s">
        <v>#N/A N/A</v>
        <stp/>
        <stp>BDP|16004155941947165545</stp>
        <tr r="F1564" s="2"/>
      </tp>
      <tp t="s">
        <v>#N/A N/A</v>
        <stp/>
        <stp>BDP|10648699973438457893</stp>
        <tr r="A524" s="2"/>
      </tp>
      <tp t="s">
        <v>#N/A N/A</v>
        <stp/>
        <stp>BDP|15060652050506565118</stp>
        <tr r="C47" s="2"/>
      </tp>
      <tp t="s">
        <v>#N/A N/A</v>
        <stp/>
        <stp>BDP|10593234941086756117</stp>
        <tr r="E127" s="2"/>
      </tp>
      <tp t="s">
        <v>#N/A N/A</v>
        <stp/>
        <stp>BDS|18224679622478111541</stp>
        <tr r="I2094" s="2"/>
      </tp>
      <tp t="s">
        <v>#N/A N/A</v>
        <stp/>
        <stp>BDP|11020728095988349658</stp>
        <tr r="T2234" s="2"/>
      </tp>
      <tp t="s">
        <v>#N/A N/A</v>
        <stp/>
        <stp>BDP|17412889198432229570</stp>
        <tr r="D1801" s="2"/>
      </tp>
      <tp t="s">
        <v>#N/A N/A</v>
        <stp/>
        <stp>BDP|17780097101633746593</stp>
        <tr r="D238" s="2"/>
      </tp>
      <tp t="s">
        <v>#N/A N/A</v>
        <stp/>
        <stp>BDP|18077118436008414320</stp>
        <tr r="O619" s="2"/>
      </tp>
      <tp t="s">
        <v>#N/A N/A</v>
        <stp/>
        <stp>BDP|11069408975661765230</stp>
        <tr r="O1315" s="2"/>
      </tp>
      <tp t="s">
        <v>#N/A N/A</v>
        <stp/>
        <stp>BDP|17162261255152538368</stp>
        <tr r="D376" s="2"/>
      </tp>
      <tp t="s">
        <v>#N/A N/A</v>
        <stp/>
        <stp>BDP|18282515986160596418</stp>
        <tr r="O776" s="2"/>
      </tp>
      <tp t="s">
        <v>#N/A N/A</v>
        <stp/>
        <stp>BDP|15459933183182084752</stp>
        <tr r="R1863" s="2"/>
      </tp>
      <tp t="s">
        <v>#N/A N/A</v>
        <stp/>
        <stp>BDP|11160299035540954152</stp>
        <tr r="J2031" s="2"/>
      </tp>
      <tp t="s">
        <v>#N/A N/A</v>
        <stp/>
        <stp>BDP|13571440464101735138</stp>
        <tr r="F1820" s="2"/>
      </tp>
      <tp t="s">
        <v>#N/A N/A</v>
        <stp/>
        <stp>BDP|11441797325326992304</stp>
        <tr r="P1510" s="2"/>
      </tp>
      <tp t="s">
        <v>#N/A N/A</v>
        <stp/>
        <stp>BDP|15661169332805380302</stp>
        <tr r="F1913" s="2"/>
      </tp>
      <tp t="s">
        <v>#N/A N/A</v>
        <stp/>
        <stp>BDP|13464482748984192648</stp>
        <tr r="R1330" s="2"/>
      </tp>
      <tp t="s">
        <v>#N/A N/A</v>
        <stp/>
        <stp>BDP|13572126927453796260</stp>
        <tr r="T2009" s="2"/>
      </tp>
      <tp t="s">
        <v>#N/A N/A</v>
        <stp/>
        <stp>BDP|10127759441095501717</stp>
        <tr r="J344" s="2"/>
      </tp>
      <tp t="s">
        <v>#N/A N/A</v>
        <stp/>
        <stp>BDP|10427508257819680846</stp>
        <tr r="N23" s="2"/>
      </tp>
      <tp t="s">
        <v>#N/A N/A</v>
        <stp/>
        <stp>BDP|13442717437495488373</stp>
        <tr r="A554" s="2"/>
      </tp>
      <tp t="s">
        <v>#N/A N/A</v>
        <stp/>
        <stp>BDP|15574570442825674074</stp>
        <tr r="Q1150" s="2"/>
      </tp>
      <tp t="s">
        <v>#N/A N/A</v>
        <stp/>
        <stp>BDP|10813213673684951022</stp>
        <tr r="T2011" s="2"/>
      </tp>
      <tp t="s">
        <v>#N/A N/A</v>
        <stp/>
        <stp>BDP|11167772403795076247</stp>
        <tr r="H1593" s="2"/>
      </tp>
      <tp t="s">
        <v>#N/A N/A</v>
        <stp/>
        <stp>BDP|12887188442584563260</stp>
        <tr r="O385" s="2"/>
      </tp>
      <tp t="s">
        <v>#N/A N/A</v>
        <stp/>
        <stp>BDP|11661730862521521032</stp>
        <tr r="J209" s="2"/>
      </tp>
      <tp t="s">
        <v>#N/A N/A</v>
        <stp/>
        <stp>BDP|18257309177595388872</stp>
        <tr r="D1596" s="2"/>
      </tp>
      <tp t="s">
        <v>#N/A N/A</v>
        <stp/>
        <stp>BDP|11883304146580886773</stp>
        <tr r="D1737" s="2"/>
      </tp>
      <tp t="s">
        <v>#N/A N/A</v>
        <stp/>
        <stp>BDP|18189853313372682202</stp>
        <tr r="S2102" s="2"/>
      </tp>
      <tp t="s">
        <v>#N/A N/A</v>
        <stp/>
        <stp>BDP|13138245677766401173</stp>
        <tr r="A1769" s="2"/>
      </tp>
      <tp t="s">
        <v>#N/A N/A</v>
        <stp/>
        <stp>BDP|12011601351633548353</stp>
        <tr r="K1229" s="2"/>
      </tp>
      <tp t="s">
        <v>#N/A N/A</v>
        <stp/>
        <stp>BDP|10687379542281551777</stp>
        <tr r="D1881" s="2"/>
      </tp>
      <tp t="s">
        <v>#N/A N/A</v>
        <stp/>
        <stp>BDP|12973014531784004485</stp>
        <tr r="C1243" s="2"/>
      </tp>
      <tp t="s">
        <v>#N/A N/A</v>
        <stp/>
        <stp>BDS|11973120968665259235</stp>
        <tr r="I749" s="2"/>
      </tp>
      <tp t="s">
        <v>#N/A N/A</v>
        <stp/>
        <stp>BDP|10107385199182858990</stp>
        <tr r="Q113" s="2"/>
      </tp>
      <tp t="s">
        <v>#N/A N/A</v>
        <stp/>
        <stp>BDP|12418155196578458325</stp>
        <tr r="K1560" s="2"/>
      </tp>
      <tp t="s">
        <v>#N/A N/A</v>
        <stp/>
        <stp>BDP|10125156043742120670</stp>
        <tr r="H513" s="2"/>
      </tp>
      <tp t="s">
        <v>#N/A N/A</v>
        <stp/>
        <stp>BDP|15200761023403770213</stp>
        <tr r="J1816" s="2"/>
      </tp>
      <tp t="s">
        <v>#N/A N/A</v>
        <stp/>
        <stp>BDP|14867941558191478810</stp>
        <tr r="T578" s="2"/>
      </tp>
      <tp t="s">
        <v>#N/A N/A</v>
        <stp/>
        <stp>BDP|15970483734460293368</stp>
        <tr r="O1048" s="2"/>
      </tp>
      <tp t="s">
        <v>#N/A N/A</v>
        <stp/>
        <stp>BDP|17675919183931755623</stp>
        <tr r="S1570" s="2"/>
      </tp>
      <tp t="s">
        <v>#N/A N/A</v>
        <stp/>
        <stp>BDP|11699986865317354899</stp>
        <tr r="M459" s="2"/>
      </tp>
      <tp t="s">
        <v>#N/A N/A</v>
        <stp/>
        <stp>BDP|13047952105203756861</stp>
        <tr r="O1466" s="2"/>
      </tp>
      <tp t="s">
        <v>#N/A N/A</v>
        <stp/>
        <stp>BDP|17044268878480894371</stp>
        <tr r="A1304" s="2"/>
      </tp>
      <tp t="s">
        <v>#N/A N/A</v>
        <stp/>
        <stp>BDP|11028290317932880174</stp>
        <tr r="H70" s="2"/>
      </tp>
      <tp t="s">
        <v>#N/A N/A</v>
        <stp/>
        <stp>BDP|11616917890786333655</stp>
        <tr r="N571" s="2"/>
      </tp>
      <tp t="s">
        <v>#N/A N/A</v>
        <stp/>
        <stp>BDP|13558511959924897643</stp>
        <tr r="K2219" s="2"/>
      </tp>
      <tp t="s">
        <v>#N/A N/A</v>
        <stp/>
        <stp>BDP|17027305076801686310</stp>
        <tr r="D561" s="2"/>
      </tp>
      <tp t="s">
        <v>#N/A N/A</v>
        <stp/>
        <stp>BDP|12940080139271185189</stp>
        <tr r="F501" s="2"/>
      </tp>
      <tp t="s">
        <v>#N/A N/A</v>
        <stp/>
        <stp>BDP|12296962972424700909</stp>
        <tr r="N1111" s="2"/>
      </tp>
      <tp t="s">
        <v>#N/A N/A</v>
        <stp/>
        <stp>BDP|14419102055473013200</stp>
        <tr r="T1943" s="2"/>
      </tp>
      <tp t="s">
        <v>#N/A N/A</v>
        <stp/>
        <stp>BDP|15078446140265343161</stp>
        <tr r="K11" s="2"/>
      </tp>
      <tp t="s">
        <v>#N/A N/A</v>
        <stp/>
        <stp>BDP|17694472492599191231</stp>
        <tr r="N730" s="2"/>
      </tp>
      <tp t="s">
        <v>#N/A N/A</v>
        <stp/>
        <stp>BDP|15771448952932741774</stp>
        <tr r="J681" s="2"/>
      </tp>
      <tp t="s">
        <v>#N/A N/A</v>
        <stp/>
        <stp>BDP|10195101388429980112</stp>
        <tr r="C1466" s="2"/>
      </tp>
      <tp t="s">
        <v>#N/A N/A</v>
        <stp/>
        <stp>BDP|17594519125254946590</stp>
        <tr r="R538" s="2"/>
      </tp>
      <tp t="s">
        <v>#N/A N/A</v>
        <stp/>
        <stp>BDP|12324802186566554515</stp>
        <tr r="H125" s="2"/>
      </tp>
      <tp t="s">
        <v>#N/A N/A</v>
        <stp/>
        <stp>BDP|11610325068647422295</stp>
        <tr r="E1647" s="2"/>
      </tp>
      <tp t="s">
        <v>#N/A N/A</v>
        <stp/>
        <stp>BDP|18339684077360499898</stp>
        <tr r="J865" s="2"/>
      </tp>
      <tp t="s">
        <v>#N/A N/A</v>
        <stp/>
        <stp>BDP|16453319065953496159</stp>
        <tr r="F1302" s="2"/>
      </tp>
      <tp t="s">
        <v>#N/A N/A</v>
        <stp/>
        <stp>BDS|15255264610237303056</stp>
        <tr r="I634" s="2"/>
      </tp>
      <tp t="s">
        <v>#N/A N/A</v>
        <stp/>
        <stp>BDP|13890136433484990406</stp>
        <tr r="N260" s="2"/>
      </tp>
      <tp t="s">
        <v>#N/A N/A</v>
        <stp/>
        <stp>BDP|14808891363529200210</stp>
        <tr r="G1305" s="2"/>
      </tp>
      <tp t="s">
        <v>#N/A N/A</v>
        <stp/>
        <stp>BDP|11756338815634665669</stp>
        <tr r="P2082" s="2"/>
      </tp>
      <tp t="s">
        <v>#N/A N/A</v>
        <stp/>
        <stp>BDP|12048450789416466992</stp>
        <tr r="J942" s="2"/>
      </tp>
      <tp t="s">
        <v>#N/A N/A</v>
        <stp/>
        <stp>BDP|11214537390349498548</stp>
        <tr r="J1354" s="2"/>
      </tp>
      <tp t="s">
        <v>#N/A N/A</v>
        <stp/>
        <stp>BDP|10704266290439430345</stp>
        <tr r="C308" s="2"/>
      </tp>
      <tp t="s">
        <v>#N/A N/A</v>
        <stp/>
        <stp>BDS|13007424795546641931</stp>
        <tr r="I902" s="2"/>
      </tp>
      <tp t="s">
        <v>#N/A N/A</v>
        <stp/>
        <stp>BDP|15042515326417352454</stp>
        <tr r="M1231" s="2"/>
      </tp>
      <tp t="s">
        <v>#N/A N/A</v>
        <stp/>
        <stp>BDP|17601056555103399055</stp>
        <tr r="H2062" s="2"/>
      </tp>
      <tp t="s">
        <v>#N/A N/A</v>
        <stp/>
        <stp>BDP|11953976886875845404</stp>
        <tr r="R2139" s="2"/>
      </tp>
      <tp t="s">
        <v>#N/A N/A</v>
        <stp/>
        <stp>BDP|10531225677814343031</stp>
        <tr r="J356" s="2"/>
      </tp>
      <tp t="s">
        <v>#N/A N/A</v>
        <stp/>
        <stp>BDP|12713069134701335167</stp>
        <tr r="T607" s="2"/>
      </tp>
      <tp t="s">
        <v>#N/A N/A</v>
        <stp/>
        <stp>BDP|17784963286555554220</stp>
        <tr r="H1940" s="2"/>
      </tp>
      <tp t="s">
        <v>#N/A N/A</v>
        <stp/>
        <stp>BDP|13554057654985778237</stp>
        <tr r="K827" s="2"/>
      </tp>
      <tp t="s">
        <v>#N/A N/A</v>
        <stp/>
        <stp>BDP|17398046275663642247</stp>
        <tr r="M492" s="2"/>
      </tp>
      <tp t="s">
        <v>#N/A N/A</v>
        <stp/>
        <stp>BDP|17021878563211114953</stp>
        <tr r="T328" s="2"/>
      </tp>
      <tp t="s">
        <v>#N/A N/A</v>
        <stp/>
        <stp>BDP|12898120137739978843</stp>
        <tr r="S2199" s="2"/>
      </tp>
      <tp t="s">
        <v>#N/A N/A</v>
        <stp/>
        <stp>BDP|14389037604033155653</stp>
        <tr r="O590" s="2"/>
      </tp>
      <tp t="s">
        <v>#N/A N/A</v>
        <stp/>
        <stp>BDP|11862139018206765642</stp>
        <tr r="S720" s="2"/>
      </tp>
      <tp t="s">
        <v>#N/A N/A</v>
        <stp/>
        <stp>BDP|11387801902738854093</stp>
        <tr r="N975" s="2"/>
      </tp>
      <tp t="s">
        <v>#N/A N/A</v>
        <stp/>
        <stp>BDP|15146040044342586247</stp>
        <tr r="R1156" s="2"/>
      </tp>
      <tp t="s">
        <v>#N/A N/A</v>
        <stp/>
        <stp>BDP|18300364683556407429</stp>
        <tr r="R1437" s="2"/>
      </tp>
      <tp t="s">
        <v>#N/A N/A</v>
        <stp/>
        <stp>BDP|10639232415081103319</stp>
        <tr r="O2052" s="2"/>
      </tp>
      <tp t="s">
        <v>#N/A N/A</v>
        <stp/>
        <stp>BDP|16872126269555784544</stp>
        <tr r="F698" s="2"/>
      </tp>
      <tp t="s">
        <v>#N/A N/A</v>
        <stp/>
        <stp>BDP|10367118400167166731</stp>
        <tr r="A767" s="2"/>
      </tp>
      <tp t="s">
        <v>#N/A N/A</v>
        <stp/>
        <stp>BDP|17324007854695688614</stp>
        <tr r="G709" s="2"/>
      </tp>
      <tp t="s">
        <v>#N/A N/A</v>
        <stp/>
        <stp>BDP|17502770842824803187</stp>
        <tr r="Q188" s="2"/>
      </tp>
      <tp t="s">
        <v>#N/A N/A</v>
        <stp/>
        <stp>BDP|14445576108378989826</stp>
        <tr r="M1276" s="2"/>
      </tp>
      <tp t="s">
        <v>#N/A N/A</v>
        <stp/>
        <stp>BDP|10831745098357724838</stp>
        <tr r="T1187" s="2"/>
      </tp>
      <tp t="s">
        <v>#N/A N/A</v>
        <stp/>
        <stp>BDP|14472707375374185104</stp>
        <tr r="P1983" s="2"/>
      </tp>
      <tp t="s">
        <v>#N/A N/A</v>
        <stp/>
        <stp>BDP|18154420468773254898</stp>
        <tr r="T457" s="2"/>
      </tp>
      <tp t="s">
        <v>#N/A N/A</v>
        <stp/>
        <stp>BDP|11283234054572548503</stp>
        <tr r="K1749" s="2"/>
      </tp>
      <tp t="s">
        <v>#N/A N/A</v>
        <stp/>
        <stp>BDP|15781527863257115072</stp>
        <tr r="A868" s="2"/>
      </tp>
      <tp t="s">
        <v>#N/A N/A</v>
        <stp/>
        <stp>BDP|13292831794041039255</stp>
        <tr r="J2147" s="2"/>
      </tp>
      <tp t="s">
        <v>#N/A N/A</v>
        <stp/>
        <stp>BDP|18121433488385996035</stp>
        <tr r="O371" s="2"/>
      </tp>
      <tp t="s">
        <v>#N/A N/A</v>
        <stp/>
        <stp>BDP|15405223745052380005</stp>
        <tr r="P2239" s="2"/>
      </tp>
      <tp t="s">
        <v>#N/A N/A</v>
        <stp/>
        <stp>BDP|13305474310660156759</stp>
        <tr r="Q1413" s="2"/>
      </tp>
      <tp t="s">
        <v>#N/A N/A</v>
        <stp/>
        <stp>BDP|15911616904930858245</stp>
        <tr r="T1681" s="2"/>
      </tp>
      <tp t="s">
        <v>#N/A N/A</v>
        <stp/>
        <stp>BDP|15645306186738435748</stp>
        <tr r="O1455" s="2"/>
      </tp>
      <tp t="s">
        <v>#N/A N/A</v>
        <stp/>
        <stp>BDP|12501029046644528340</stp>
        <tr r="E1197" s="2"/>
      </tp>
      <tp t="s">
        <v>#N/A N/A</v>
        <stp/>
        <stp>BDP|10163502079485987615</stp>
        <tr r="G2188" s="2"/>
      </tp>
      <tp t="s">
        <v>#N/A N/A</v>
        <stp/>
        <stp>BDS|13139509045746761506</stp>
        <tr r="I303" s="2"/>
      </tp>
      <tp t="s">
        <v>#N/A N/A</v>
        <stp/>
        <stp>BDP|14296266719187801153</stp>
        <tr r="H365" s="2"/>
      </tp>
      <tp t="s">
        <v>#N/A N/A</v>
        <stp/>
        <stp>BDP|18374292480737386497</stp>
        <tr r="C500" s="2"/>
      </tp>
      <tp t="s">
        <v>#N/A N/A</v>
        <stp/>
        <stp>BDP|14795310547474133603</stp>
        <tr r="P227" s="2"/>
      </tp>
      <tp t="s">
        <v>#N/A N/A</v>
        <stp/>
        <stp>BDP|12167719548603874303</stp>
        <tr r="H2178" s="2"/>
      </tp>
      <tp t="s">
        <v>#N/A N/A</v>
        <stp/>
        <stp>BDP|17400630362433191540</stp>
        <tr r="J673" s="2"/>
      </tp>
      <tp t="s">
        <v>#N/A N/A</v>
        <stp/>
        <stp>BDP|15199785190188813211</stp>
        <tr r="F1841" s="2"/>
      </tp>
      <tp t="s">
        <v>#N/A N/A</v>
        <stp/>
        <stp>BDP|10453589536740837724</stp>
        <tr r="H1900" s="2"/>
      </tp>
      <tp t="s">
        <v>#N/A N/A</v>
        <stp/>
        <stp>BDP|14667474904923148243</stp>
        <tr r="S2167" s="2"/>
      </tp>
      <tp t="s">
        <v>#N/A N/A</v>
        <stp/>
        <stp>BDP|14674766039522897311</stp>
        <tr r="H1840" s="2"/>
      </tp>
      <tp t="s">
        <v>#N/A N/A</v>
        <stp/>
        <stp>BDP|13364219133313194009</stp>
        <tr r="S2103" s="2"/>
      </tp>
      <tp t="s">
        <v>#N/A N/A</v>
        <stp/>
        <stp>BDP|11672444891995731845</stp>
        <tr r="C407" s="2"/>
      </tp>
      <tp t="s">
        <v>#N/A N/A</v>
        <stp/>
        <stp>BDP|13703847248858959629</stp>
        <tr r="N728" s="2"/>
      </tp>
      <tp t="s">
        <v>#N/A N/A</v>
        <stp/>
        <stp>BDP|10177226737392587219</stp>
        <tr r="P342" s="2"/>
      </tp>
      <tp t="s">
        <v>#N/A N/A</v>
        <stp/>
        <stp>BDP|12718572069677107786</stp>
        <tr r="R923" s="2"/>
      </tp>
      <tp t="s">
        <v>#N/A N/A</v>
        <stp/>
        <stp>BDP|14647564623725477772</stp>
        <tr r="M388" s="2"/>
      </tp>
      <tp t="s">
        <v>#N/A N/A</v>
        <stp/>
        <stp>BDP|11899426801427215398</stp>
        <tr r="C387" s="2"/>
      </tp>
      <tp t="s">
        <v>#N/A N/A</v>
        <stp/>
        <stp>BDP|12042332366536682039</stp>
        <tr r="H2225" s="2"/>
      </tp>
      <tp t="s">
        <v>#N/A N/A</v>
        <stp/>
        <stp>BDP|14476757404280519201</stp>
        <tr r="J28" s="2"/>
      </tp>
      <tp t="s">
        <v>#N/A N/A</v>
        <stp/>
        <stp>BDP|16253293003234003186</stp>
        <tr r="F1265" s="2"/>
      </tp>
      <tp t="s">
        <v>#N/A N/A</v>
        <stp/>
        <stp>BDP|13625552018393370585</stp>
        <tr r="O579" s="2"/>
      </tp>
      <tp t="s">
        <v>#N/A N/A</v>
        <stp/>
        <stp>BDP|12295259376583077513</stp>
        <tr r="N275" s="2"/>
      </tp>
      <tp t="s">
        <v>#N/A N/A</v>
        <stp/>
        <stp>BDP|17734300254445001536</stp>
        <tr r="K1357" s="2"/>
      </tp>
      <tp t="s">
        <v>#N/A N/A</v>
        <stp/>
        <stp>BDP|13418604742271424125</stp>
        <tr r="G505" s="2"/>
      </tp>
      <tp t="s">
        <v>#N/A N/A</v>
        <stp/>
        <stp>BDP|16181701217887521633</stp>
        <tr r="A1478" s="2"/>
      </tp>
      <tp t="s">
        <v>#N/A N/A</v>
        <stp/>
        <stp>BDP|17774404360645505125</stp>
        <tr r="M1896" s="2"/>
      </tp>
      <tp t="s">
        <v>#N/A N/A</v>
        <stp/>
        <stp>BDS|12119139214980022353</stp>
        <tr r="I1506" s="2"/>
      </tp>
      <tp t="s">
        <v>#N/A N/A</v>
        <stp/>
        <stp>BDP|14632565666104374250</stp>
        <tr r="Q1295" s="2"/>
      </tp>
      <tp t="s">
        <v>#N/A N/A</v>
        <stp/>
        <stp>BDP|18058711170311248833</stp>
        <tr r="T900" s="2"/>
      </tp>
      <tp t="s">
        <v>#N/A N/A</v>
        <stp/>
        <stp>BDP|11487207005503094113</stp>
        <tr r="R1660" s="2"/>
      </tp>
      <tp t="s">
        <v>#N/A N/A</v>
        <stp/>
        <stp>BDP|11728777200623707474</stp>
        <tr r="A2058" s="2"/>
      </tp>
      <tp t="s">
        <v>#N/A N/A</v>
        <stp/>
        <stp>BDP|14961736959783469476</stp>
        <tr r="R1267" s="2"/>
      </tp>
      <tp t="s">
        <v>#N/A N/A</v>
        <stp/>
        <stp>BDP|10952707544786878455</stp>
        <tr r="H838" s="2"/>
      </tp>
      <tp t="s">
        <v>#N/A N/A</v>
        <stp/>
        <stp>BDP|10546564344605766507</stp>
        <tr r="D570" s="2"/>
      </tp>
      <tp t="s">
        <v>#N/A N/A</v>
        <stp/>
        <stp>BDP|10719255801143267014</stp>
        <tr r="J691" s="2"/>
      </tp>
      <tp t="s">
        <v>#N/A N/A</v>
        <stp/>
        <stp>BDP|13336830115489646235</stp>
        <tr r="E2188" s="2"/>
      </tp>
      <tp t="s">
        <v>#N/A N/A</v>
        <stp/>
        <stp>BDP|14713214176092912292</stp>
        <tr r="M94" s="2"/>
      </tp>
      <tp t="s">
        <v>#N/A N/A</v>
        <stp/>
        <stp>BDP|15949015638200526757</stp>
        <tr r="J2126" s="2"/>
      </tp>
      <tp t="s">
        <v>#N/A N/A</v>
        <stp/>
        <stp>BDP|10610036314903109308</stp>
        <tr r="J2199" s="2"/>
      </tp>
      <tp t="s">
        <v>#N/A N/A</v>
        <stp/>
        <stp>BDP|12078906354656764937</stp>
        <tr r="F2035" s="2"/>
      </tp>
      <tp t="s">
        <v>#N/A N/A</v>
        <stp/>
        <stp>BDP|10448014474420521643</stp>
        <tr r="A1183" s="2"/>
      </tp>
      <tp t="s">
        <v>#N/A N/A</v>
        <stp/>
        <stp>BDP|13443820926129777177</stp>
        <tr r="J633" s="2"/>
      </tp>
      <tp t="s">
        <v>#N/A N/A</v>
        <stp/>
        <stp>BDP|14965698901655246639</stp>
        <tr r="M716" s="2"/>
      </tp>
      <tp t="s">
        <v>#N/A N/A</v>
        <stp/>
        <stp>BDP|11689250772811306425</stp>
        <tr r="T133" s="2"/>
      </tp>
      <tp t="s">
        <v>#N/A N/A</v>
        <stp/>
        <stp>BDP|16100021047096003544</stp>
        <tr r="S399" s="2"/>
      </tp>
      <tp t="s">
        <v>#N/A N/A</v>
        <stp/>
        <stp>BDP|11511655585098029653</stp>
        <tr r="C1769" s="2"/>
      </tp>
      <tp t="s">
        <v>#N/A N/A</v>
        <stp/>
        <stp>BDP|12104802594420214272</stp>
        <tr r="E1240" s="2"/>
      </tp>
      <tp t="s">
        <v>#N/A N/A</v>
        <stp/>
        <stp>BDP|12146044545060914794</stp>
        <tr r="A1238" s="2"/>
      </tp>
      <tp t="s">
        <v>#N/A N/A</v>
        <stp/>
        <stp>BDP|18101108783871443161</stp>
        <tr r="H1115" s="2"/>
      </tp>
      <tp t="s">
        <v>#N/A N/A</v>
        <stp/>
        <stp>BDP|11458676852141859293</stp>
        <tr r="S1656" s="2"/>
      </tp>
      <tp t="s">
        <v>#N/A N/A</v>
        <stp/>
        <stp>BDP|17577030967378775867</stp>
        <tr r="H1181" s="2"/>
      </tp>
      <tp t="s">
        <v>#N/A N/A</v>
        <stp/>
        <stp>BDP|16561077000651704653</stp>
        <tr r="Q1328" s="2"/>
      </tp>
      <tp t="s">
        <v>#N/A N/A</v>
        <stp/>
        <stp>BDS|13319548054916908494</stp>
        <tr r="I1537" s="2"/>
      </tp>
      <tp t="s">
        <v>#N/A N/A</v>
        <stp/>
        <stp>BDP|15123066675531725257</stp>
        <tr r="M319" s="2"/>
      </tp>
      <tp t="s">
        <v>#N/A N/A</v>
        <stp/>
        <stp>BDP|17723936258258407282</stp>
        <tr r="J958" s="2"/>
      </tp>
      <tp t="s">
        <v>#N/A N/A</v>
        <stp/>
        <stp>BDP|16028037673594755471</stp>
        <tr r="K1456" s="2"/>
      </tp>
      <tp t="s">
        <v>#N/A N/A</v>
        <stp/>
        <stp>BDP|16152780934017448495</stp>
        <tr r="G631" s="2"/>
      </tp>
      <tp t="s">
        <v>#N/A N/A</v>
        <stp/>
        <stp>BDP|17911059465518830825</stp>
        <tr r="G805" s="2"/>
      </tp>
      <tp t="s">
        <v>#N/A N/A</v>
        <stp/>
        <stp>BDP|17854537928783882286</stp>
        <tr r="N416" s="2"/>
      </tp>
      <tp t="s">
        <v>#N/A N/A</v>
        <stp/>
        <stp>BDP|17663103058944906647</stp>
        <tr r="Q1540" s="2"/>
      </tp>
      <tp t="s">
        <v>#N/A N/A</v>
        <stp/>
        <stp>BDP|12081267440657550207</stp>
        <tr r="K1397" s="2"/>
      </tp>
      <tp t="s">
        <v>#N/A N/A</v>
        <stp/>
        <stp>BDP|13141551992436029858</stp>
        <tr r="D795" s="2"/>
      </tp>
      <tp t="s">
        <v>#N/A N/A</v>
        <stp/>
        <stp>BDP|12074901596843208074</stp>
        <tr r="T215" s="2"/>
      </tp>
      <tp t="s">
        <v>#N/A N/A</v>
        <stp/>
        <stp>BDP|17378389340058842900</stp>
        <tr r="K1174" s="2"/>
      </tp>
      <tp t="s">
        <v>#N/A N/A</v>
        <stp/>
        <stp>BDP|15549055653618784975</stp>
        <tr r="D1561" s="2"/>
      </tp>
      <tp t="s">
        <v>#N/A N/A</v>
        <stp/>
        <stp>BDP|18013679181435405216</stp>
        <tr r="P2100" s="2"/>
      </tp>
      <tp t="s">
        <v>#N/A N/A</v>
        <stp/>
        <stp>BDP|12779862559697884931</stp>
        <tr r="O2040" s="2"/>
      </tp>
      <tp t="s">
        <v>#N/A N/A</v>
        <stp/>
        <stp>BDP|17304046026461282500</stp>
        <tr r="P2189" s="2"/>
      </tp>
      <tp t="s">
        <v>#N/A N/A</v>
        <stp/>
        <stp>BDP|16824460715925149796</stp>
        <tr r="T1486" s="2"/>
      </tp>
      <tp t="s">
        <v>#N/A N/A</v>
        <stp/>
        <stp>BDP|17636551300931303232</stp>
        <tr r="H1178" s="2"/>
      </tp>
      <tp t="s">
        <v>#N/A N/A</v>
        <stp/>
        <stp>BDP|17289876709438819672</stp>
        <tr r="S2186" s="2"/>
      </tp>
      <tp t="s">
        <v>#N/A N/A</v>
        <stp/>
        <stp>BDP|16154548566406567256</stp>
        <tr r="D2168" s="2"/>
      </tp>
      <tp t="s">
        <v>#N/A N/A</v>
        <stp/>
        <stp>BDP|11946967499535160549</stp>
        <tr r="J460" s="2"/>
      </tp>
      <tp t="s">
        <v>#N/A N/A</v>
        <stp/>
        <stp>BDP|15382265340685068764</stp>
        <tr r="P1841" s="2"/>
      </tp>
      <tp t="s">
        <v>#N/A N/A</v>
        <stp/>
        <stp>BDP|12840938290404152794</stp>
        <tr r="A88" s="2"/>
      </tp>
      <tp t="s">
        <v>#N/A N/A</v>
        <stp/>
        <stp>BDP|15549076835961714633</stp>
        <tr r="R1366" s="2"/>
      </tp>
      <tp t="s">
        <v>#N/A N/A</v>
        <stp/>
        <stp>BDP|16655408892192222856</stp>
        <tr r="D1533" s="2"/>
      </tp>
      <tp t="s">
        <v>#N/A N/A</v>
        <stp/>
        <stp>BDP|12486853971065644950</stp>
        <tr r="H227" s="2"/>
      </tp>
      <tp t="s">
        <v>#N/A N/A</v>
        <stp/>
        <stp>BDS|10872394824467002758</stp>
        <tr r="I1521" s="2"/>
      </tp>
      <tp t="s">
        <v>#N/A N/A</v>
        <stp/>
        <stp>BDP|14019676129876406790</stp>
        <tr r="H1447" s="2"/>
      </tp>
      <tp t="s">
        <v>#N/A N/A</v>
        <stp/>
        <stp>BDP|13943688769286994428</stp>
        <tr r="A1124" s="2"/>
      </tp>
      <tp t="s">
        <v>#N/A N/A</v>
        <stp/>
        <stp>BDP|13336272817819754873</stp>
        <tr r="T53" s="2"/>
      </tp>
      <tp t="s">
        <v>#N/A N/A</v>
        <stp/>
        <stp>BDP|16929288942532676367</stp>
        <tr r="K1832" s="2"/>
      </tp>
      <tp t="s">
        <v>#N/A N/A</v>
        <stp/>
        <stp>BDP|14209843006498597560</stp>
        <tr r="D1093" s="2"/>
      </tp>
      <tp t="s">
        <v>#N/A N/A</v>
        <stp/>
        <stp>BDP|10793731797639956695</stp>
        <tr r="S2180" s="2"/>
      </tp>
      <tp t="s">
        <v>#N/A N/A</v>
        <stp/>
        <stp>BDP|15224967633346204868</stp>
        <tr r="E187" s="2"/>
      </tp>
      <tp t="s">
        <v>#N/A N/A</v>
        <stp/>
        <stp>BDP|12816844482865968646</stp>
        <tr r="N1711" s="2"/>
      </tp>
      <tp t="s">
        <v>#N/A N/A</v>
        <stp/>
        <stp>BDS|10996982903859695147</stp>
        <tr r="I2179" s="2"/>
      </tp>
      <tp t="s">
        <v>#N/A N/A</v>
        <stp/>
        <stp>BDP|12511661140694093502</stp>
        <tr r="F277" s="2"/>
      </tp>
      <tp t="s">
        <v>#N/A N/A</v>
        <stp/>
        <stp>BDP|14413897831888656696</stp>
        <tr r="H121" s="2"/>
      </tp>
      <tp t="s">
        <v>#N/A N/A</v>
        <stp/>
        <stp>BDP|17447307447902404347</stp>
        <tr r="M2042" s="2"/>
      </tp>
      <tp t="s">
        <v>#N/A N/A</v>
        <stp/>
        <stp>BDP|15224483246943960763</stp>
        <tr r="J923" s="2"/>
      </tp>
      <tp t="s">
        <v>#N/A N/A</v>
        <stp/>
        <stp>BDP|11722435664704288614</stp>
        <tr r="F1321" s="2"/>
      </tp>
      <tp t="s">
        <v>#N/A N/A</v>
        <stp/>
        <stp>BDP|11729168701642674357</stp>
        <tr r="G1721" s="2"/>
      </tp>
      <tp t="s">
        <v>#N/A N/A</v>
        <stp/>
        <stp>BDP|13134231145493434709</stp>
        <tr r="Q223" s="2"/>
      </tp>
      <tp t="s">
        <v>#N/A N/A</v>
        <stp/>
        <stp>BDP|15975449643203857755</stp>
        <tr r="E1752" s="2"/>
      </tp>
      <tp t="s">
        <v>#N/A N/A</v>
        <stp/>
        <stp>BDP|12423624706435470079</stp>
        <tr r="G705" s="2"/>
      </tp>
      <tp t="s">
        <v>#N/A N/A</v>
        <stp/>
        <stp>BDP|13108319312517758765</stp>
        <tr r="P941" s="2"/>
      </tp>
      <tp t="s">
        <v>#N/A N/A</v>
        <stp/>
        <stp>BDP|13050688969872163030</stp>
        <tr r="R831" s="2"/>
      </tp>
      <tp t="s">
        <v>#N/A N/A</v>
        <stp/>
        <stp>BDP|13721242922063413162</stp>
        <tr r="K1198" s="2"/>
      </tp>
      <tp t="s">
        <v>#N/A N/A</v>
        <stp/>
        <stp>BDP|12835789312384092113</stp>
        <tr r="A1174" s="2"/>
      </tp>
      <tp t="s">
        <v>#N/A N/A</v>
        <stp/>
        <stp>BDS|14199730871845611053</stp>
        <tr r="I152" s="2"/>
      </tp>
      <tp t="s">
        <v>#N/A N/A</v>
        <stp/>
        <stp>BDP|18265677407359143605</stp>
        <tr r="A222" s="2"/>
      </tp>
      <tp t="s">
        <v>#N/A N/A</v>
        <stp/>
        <stp>BDP|14076651887298676370</stp>
        <tr r="Q425" s="2"/>
      </tp>
      <tp t="s">
        <v>#N/A N/A</v>
        <stp/>
        <stp>BDP|18153241395201533366</stp>
        <tr r="T1340" s="2"/>
      </tp>
      <tp t="s">
        <v>#N/A N/A</v>
        <stp/>
        <stp>BDP|14869272456373907135</stp>
        <tr r="M1601" s="2"/>
      </tp>
      <tp t="s">
        <v>#N/A N/A</v>
        <stp/>
        <stp>BDP|17081228532562546563</stp>
        <tr r="Q545" s="2"/>
      </tp>
      <tp t="s">
        <v>#N/A N/A</v>
        <stp/>
        <stp>BDP|10313051826981530268</stp>
        <tr r="P844" s="2"/>
      </tp>
      <tp t="s">
        <v>#N/A N/A</v>
        <stp/>
        <stp>BDP|17469445430682436374</stp>
        <tr r="N99" s="2"/>
      </tp>
      <tp t="s">
        <v>#N/A N/A</v>
        <stp/>
        <stp>BDP|13172031634139348862</stp>
        <tr r="F1660" s="2"/>
      </tp>
      <tp t="s">
        <v>#N/A N/A</v>
        <stp/>
        <stp>BDP|17055916269161379884</stp>
        <tr r="E339" s="2"/>
      </tp>
      <tp t="s">
        <v>#N/A N/A</v>
        <stp/>
        <stp>BDP|12218830823438926186</stp>
        <tr r="R2150" s="2"/>
      </tp>
      <tp t="s">
        <v>#N/A N/A</v>
        <stp/>
        <stp>BDP|15387171510976043275</stp>
        <tr r="D1858" s="2"/>
      </tp>
      <tp t="s">
        <v>#N/A N/A</v>
        <stp/>
        <stp>BDP|17348136826161244476</stp>
        <tr r="M1930" s="2"/>
      </tp>
      <tp t="s">
        <v>#N/A N/A</v>
        <stp/>
        <stp>BDP|11173173320063209074</stp>
        <tr r="T1335" s="2"/>
      </tp>
      <tp t="s">
        <v>#N/A N/A</v>
        <stp/>
        <stp>BDP|13335653006494343000</stp>
        <tr r="O1150" s="2"/>
      </tp>
      <tp t="s">
        <v>#N/A N/A</v>
        <stp/>
        <stp>BDP|10215421689539875422</stp>
        <tr r="C1846" s="2"/>
      </tp>
      <tp t="s">
        <v>#N/A N/A</v>
        <stp/>
        <stp>BDP|10355609889086040998</stp>
        <tr r="T895" s="2"/>
      </tp>
      <tp t="s">
        <v>#N/A N/A</v>
        <stp/>
        <stp>BDP|11147302301826373509</stp>
        <tr r="D154" s="2"/>
      </tp>
      <tp t="s">
        <v>#N/A N/A</v>
        <stp/>
        <stp>BDP|17586747478045293386</stp>
        <tr r="A1197" s="2"/>
      </tp>
      <tp t="s">
        <v>#N/A N/A</v>
        <stp/>
        <stp>BDP|10495486159577684702</stp>
        <tr r="K976" s="2"/>
      </tp>
      <tp t="s">
        <v>#N/A N/A</v>
        <stp/>
        <stp>BDP|16734949073811438876</stp>
        <tr r="O407" s="2"/>
      </tp>
      <tp t="s">
        <v>#N/A N/A</v>
        <stp/>
        <stp>BDP|12237855780695542613</stp>
        <tr r="O876" s="2"/>
      </tp>
      <tp t="s">
        <v>#N/A N/A</v>
        <stp/>
        <stp>BDP|13723253017206248740</stp>
        <tr r="K642" s="2"/>
      </tp>
      <tp t="s">
        <v>#N/A N/A</v>
        <stp/>
        <stp>BDP|11884788762653130202</stp>
        <tr r="O1753" s="2"/>
      </tp>
      <tp t="s">
        <v>#N/A N/A</v>
        <stp/>
        <stp>BDP|10611639337935500146</stp>
        <tr r="E1385" s="2"/>
      </tp>
      <tp t="s">
        <v>#N/A N/A</v>
        <stp/>
        <stp>BDP|11334535723867915098</stp>
        <tr r="J181" s="2"/>
      </tp>
      <tp t="s">
        <v>#N/A N/A</v>
        <stp/>
        <stp>BDP|15706105225766702165</stp>
        <tr r="O1449" s="2"/>
      </tp>
      <tp t="s">
        <v>#N/A N/A</v>
        <stp/>
        <stp>BDP|11762312811324763637</stp>
        <tr r="Q912" s="2"/>
      </tp>
      <tp t="s">
        <v>#N/A N/A</v>
        <stp/>
        <stp>BDP|16232224871263119132</stp>
        <tr r="E545" s="2"/>
      </tp>
      <tp t="s">
        <v>#N/A N/A</v>
        <stp/>
        <stp>BDP|10911766445311120380</stp>
        <tr r="J538" s="2"/>
      </tp>
      <tp t="s">
        <v>#N/A N/A</v>
        <stp/>
        <stp>BDP|10772726427623753764</stp>
        <tr r="T1817" s="2"/>
      </tp>
      <tp t="s">
        <v>#N/A N/A</v>
        <stp/>
        <stp>BDP|17074928389970857705</stp>
        <tr r="R498" s="2"/>
      </tp>
      <tp t="s">
        <v>#N/A N/A</v>
        <stp/>
        <stp>BDP|10222343776287631255</stp>
        <tr r="A689" s="2"/>
      </tp>
      <tp t="s">
        <v>#N/A N/A</v>
        <stp/>
        <stp>BDP|16255421854547427136</stp>
        <tr r="Q100" s="2"/>
      </tp>
      <tp t="s">
        <v>#N/A N/A</v>
        <stp/>
        <stp>BDP|14052153525617671152</stp>
        <tr r="M1590" s="2"/>
      </tp>
      <tp t="s">
        <v>#N/A N/A</v>
        <stp/>
        <stp>BDP|11828554724764959331</stp>
        <tr r="M2013" s="2"/>
      </tp>
      <tp t="s">
        <v>#N/A N/A</v>
        <stp/>
        <stp>BDP|14352595578480621772</stp>
        <tr r="H1760" s="2"/>
      </tp>
      <tp t="s">
        <v>#N/A N/A</v>
        <stp/>
        <stp>BDP|17262443805412151010</stp>
        <tr r="O1316" s="2"/>
      </tp>
      <tp t="s">
        <v>#N/A N/A</v>
        <stp/>
        <stp>BDP|14222154421957020159</stp>
        <tr r="M87" s="2"/>
      </tp>
      <tp t="s">
        <v>#N/A N/A</v>
        <stp/>
        <stp>BDP|12474576283016465873</stp>
        <tr r="P542" s="2"/>
      </tp>
      <tp t="s">
        <v>#N/A N/A</v>
        <stp/>
        <stp>BDP|13195088820785988525</stp>
        <tr r="H1688" s="2"/>
      </tp>
      <tp t="s">
        <v>#N/A N/A</v>
        <stp/>
        <stp>BDS|12677302958177667299</stp>
        <tr r="I2246" s="2"/>
      </tp>
      <tp t="s">
        <v>#N/A N/A</v>
        <stp/>
        <stp>BDP|12527652383795387824</stp>
        <tr r="K1360" s="2"/>
      </tp>
      <tp t="s">
        <v>#N/A N/A</v>
        <stp/>
        <stp>BDP|15874782670942542673</stp>
        <tr r="C1118" s="2"/>
      </tp>
      <tp t="s">
        <v>#N/A N/A</v>
        <stp/>
        <stp>BDP|13954913183834015794</stp>
        <tr r="M1519" s="2"/>
      </tp>
      <tp t="s">
        <v>#N/A N/A</v>
        <stp/>
        <stp>BDP|16003248254192655246</stp>
        <tr r="P264" s="2"/>
      </tp>
      <tp t="s">
        <v>#N/A N/A</v>
        <stp/>
        <stp>BDP|10373602655597397573</stp>
        <tr r="S1734" s="2"/>
      </tp>
      <tp t="s">
        <v>#N/A N/A</v>
        <stp/>
        <stp>BDP|13388949881833373074</stp>
        <tr r="P353" s="2"/>
      </tp>
      <tp t="s">
        <v>#N/A N/A</v>
        <stp/>
        <stp>BDP|18378680856732821878</stp>
        <tr r="E1453" s="2"/>
      </tp>
      <tp t="s">
        <v>#N/A N/A</v>
        <stp/>
        <stp>BDS|10420247774416499211</stp>
        <tr r="I41" s="2"/>
      </tp>
      <tp t="s">
        <v>#N/A N/A</v>
        <stp/>
        <stp>BDP|13568161435042593217</stp>
        <tr r="N756" s="2"/>
      </tp>
      <tp t="s">
        <v>#N/A N/A</v>
        <stp/>
        <stp>BDP|13436117443905346270</stp>
        <tr r="M2251" s="2"/>
      </tp>
      <tp t="s">
        <v>#N/A N/A</v>
        <stp/>
        <stp>BDS|11519415950265787427</stp>
        <tr r="I783" s="2"/>
      </tp>
      <tp t="s">
        <v>#N/A N/A</v>
        <stp/>
        <stp>BDP|10253611795796523819</stp>
        <tr r="A687" s="2"/>
      </tp>
      <tp t="s">
        <v>#N/A N/A</v>
        <stp/>
        <stp>BDP|14481297062534409592</stp>
        <tr r="D1270" s="2"/>
      </tp>
      <tp t="s">
        <v>#N/A N/A</v>
        <stp/>
        <stp>BDS|10874957669988170646</stp>
        <tr r="I341" s="2"/>
      </tp>
      <tp t="s">
        <v>#N/A N/A</v>
        <stp/>
        <stp>BDP|11362509294965180946</stp>
        <tr r="F2202" s="2"/>
      </tp>
      <tp t="s">
        <v>#N/A N/A</v>
        <stp/>
        <stp>BDP|12269788132774240382</stp>
        <tr r="R144" s="2"/>
      </tp>
      <tp t="s">
        <v>#N/A N/A</v>
        <stp/>
        <stp>BDP|16607324397065984883</stp>
        <tr r="F1638" s="2"/>
      </tp>
      <tp t="s">
        <v>#N/A N/A</v>
        <stp/>
        <stp>BDP|18424761627988259450</stp>
        <tr r="J361" s="2"/>
      </tp>
      <tp t="s">
        <v>#N/A N/A</v>
        <stp/>
        <stp>BDP|12486806146167213821</stp>
        <tr r="F920" s="2"/>
      </tp>
      <tp t="s">
        <v>#N/A N/A</v>
        <stp/>
        <stp>BDP|16708030513530523609</stp>
        <tr r="C2132" s="2"/>
      </tp>
      <tp t="s">
        <v>#N/A N/A</v>
        <stp/>
        <stp>BDP|10069441440052596330</stp>
        <tr r="J1801" s="2"/>
      </tp>
      <tp t="s">
        <v>#N/A N/A</v>
        <stp/>
        <stp>BDP|17458666410355277429</stp>
        <tr r="N1266" s="2"/>
      </tp>
      <tp t="s">
        <v>#N/A N/A</v>
        <stp/>
        <stp>BDP|17652989889981736628</stp>
        <tr r="J232" s="2"/>
      </tp>
      <tp t="s">
        <v>#N/A N/A</v>
        <stp/>
        <stp>BDP|13864328211306127681</stp>
        <tr r="K1082" s="2"/>
      </tp>
      <tp t="s">
        <v>#N/A N/A</v>
        <stp/>
        <stp>BDP|10256999543249367596</stp>
        <tr r="C1877" s="2"/>
      </tp>
      <tp t="s">
        <v>#N/A N/A</v>
        <stp/>
        <stp>BDS|11602566376836622412</stp>
        <tr r="I2172" s="2"/>
      </tp>
      <tp t="s">
        <v>#N/A N/A</v>
        <stp/>
        <stp>BDP|16652515614840463350</stp>
        <tr r="T571" s="2"/>
      </tp>
      <tp t="s">
        <v>#N/A N/A</v>
        <stp/>
        <stp>BDS|11274191877283826558</stp>
        <tr r="I564" s="2"/>
      </tp>
      <tp t="s">
        <v>#N/A N/A</v>
        <stp/>
        <stp>BDP|15975983743080797970</stp>
        <tr r="R2023" s="2"/>
      </tp>
      <tp t="s">
        <v>#N/A N/A</v>
        <stp/>
        <stp>BDP|11736919391793190349</stp>
        <tr r="H343" s="2"/>
      </tp>
      <tp t="s">
        <v>#N/A N/A</v>
        <stp/>
        <stp>BDP|13013886532678859109</stp>
        <tr r="F515" s="2"/>
      </tp>
      <tp t="s">
        <v>#N/A N/A</v>
        <stp/>
        <stp>BDP|12633636106357424259</stp>
        <tr r="S1245" s="2"/>
      </tp>
      <tp t="s">
        <v>#N/A N/A</v>
        <stp/>
        <stp>BDP|12151499603795863211</stp>
        <tr r="Q1202" s="2"/>
      </tp>
      <tp t="s">
        <v>#N/A N/A</v>
        <stp/>
        <stp>BDP|13739873079525392880</stp>
        <tr r="F2141" s="2"/>
      </tp>
      <tp t="s">
        <v>#N/A N/A</v>
        <stp/>
        <stp>BDP|11361039526274728633</stp>
        <tr r="A183" s="2"/>
      </tp>
      <tp t="s">
        <v>#N/A N/A</v>
        <stp/>
        <stp>BDP|10796520466727598544</stp>
        <tr r="P1762" s="2"/>
      </tp>
      <tp t="s">
        <v>#N/A N/A</v>
        <stp/>
        <stp>BDP|13520353179731239796</stp>
        <tr r="C411" s="2"/>
      </tp>
      <tp t="s">
        <v>#N/A N/A</v>
        <stp/>
        <stp>BDP|16766710503263214356</stp>
        <tr r="A170" s="2"/>
      </tp>
      <tp t="s">
        <v>#N/A N/A</v>
        <stp/>
        <stp>BDP|12493005661212457738</stp>
        <tr r="N256" s="2"/>
      </tp>
      <tp t="s">
        <v>#N/A N/A</v>
        <stp/>
        <stp>BDP|17611745200733362236</stp>
        <tr r="R1802" s="2"/>
      </tp>
      <tp t="s">
        <v>#N/A N/A</v>
        <stp/>
        <stp>BDP|18122018949418854539</stp>
        <tr r="N933" s="2"/>
      </tp>
      <tp t="s">
        <v>#N/A N/A</v>
        <stp/>
        <stp>BDP|16464169126122142678</stp>
        <tr r="O555" s="2"/>
      </tp>
      <tp t="s">
        <v>#N/A N/A</v>
        <stp/>
        <stp>BDP|12793527740437611519</stp>
        <tr r="Q1691" s="2"/>
      </tp>
      <tp t="s">
        <v>#N/A N/A</v>
        <stp/>
        <stp>BDP|11324264307171550350</stp>
        <tr r="R127" s="2"/>
      </tp>
      <tp t="s">
        <v>#N/A N/A</v>
        <stp/>
        <stp>BDP|12975780530761466674</stp>
        <tr r="G817" s="2"/>
      </tp>
      <tp t="s">
        <v>#N/A N/A</v>
        <stp/>
        <stp>BDP|11692684428753390771</stp>
        <tr r="Q155" s="2"/>
      </tp>
      <tp t="s">
        <v>#N/A N/A</v>
        <stp/>
        <stp>BDS|13598871273219998491</stp>
        <tr r="I2069" s="2"/>
      </tp>
      <tp t="s">
        <v>#N/A N/A</v>
        <stp/>
        <stp>BDP|10867264213297871576</stp>
        <tr r="T575" s="2"/>
      </tp>
      <tp t="s">
        <v>#N/A N/A</v>
        <stp/>
        <stp>BDP|15178143356677411752</stp>
        <tr r="H1140" s="2"/>
      </tp>
      <tp t="s">
        <v>#N/A N/A</v>
        <stp/>
        <stp>BDP|15200712349393115491</stp>
        <tr r="M510" s="2"/>
      </tp>
      <tp t="s">
        <v>#N/A N/A</v>
        <stp/>
        <stp>BDP|12987373823460660298</stp>
        <tr r="D1864" s="2"/>
      </tp>
      <tp t="s">
        <v>#N/A N/A</v>
        <stp/>
        <stp>BDP|12196049252437230176</stp>
        <tr r="Q904" s="2"/>
      </tp>
      <tp t="s">
        <v>#N/A N/A</v>
        <stp/>
        <stp>BDP|10166351368627701390</stp>
        <tr r="C1812" s="2"/>
      </tp>
      <tp t="s">
        <v>#N/A N/A</v>
        <stp/>
        <stp>BDP|10932664238156373260</stp>
        <tr r="A1607" s="2"/>
      </tp>
      <tp t="s">
        <v>#N/A N/A</v>
        <stp/>
        <stp>BDP|17420640275352284558</stp>
        <tr r="D2065" s="2"/>
      </tp>
      <tp t="s">
        <v>#N/A N/A</v>
        <stp/>
        <stp>BDP|13954007945410810667</stp>
        <tr r="N1835" s="2"/>
      </tp>
      <tp t="s">
        <v>#N/A N/A</v>
        <stp/>
        <stp>BDP|13062673754789933881</stp>
        <tr r="C829" s="2"/>
      </tp>
      <tp t="s">
        <v>#N/A N/A</v>
        <stp/>
        <stp>BDP|10218817842029728444</stp>
        <tr r="N1591" s="2"/>
      </tp>
      <tp t="s">
        <v>#N/A N/A</v>
        <stp/>
        <stp>BDP|13626641250263117210</stp>
        <tr r="S1693" s="2"/>
      </tp>
      <tp t="s">
        <v>#N/A N/A</v>
        <stp/>
        <stp>BDP|13368000784962078858</stp>
        <tr r="S1359" s="2"/>
      </tp>
      <tp t="s">
        <v>#N/A N/A</v>
        <stp/>
        <stp>BDP|15020102180069264406</stp>
        <tr r="F749" s="2"/>
      </tp>
      <tp t="s">
        <v>#N/A N/A</v>
        <stp/>
        <stp>BDP|11924692005700526625</stp>
        <tr r="D852" s="2"/>
      </tp>
      <tp t="s">
        <v>#N/A N/A</v>
        <stp/>
        <stp>BDP|15243215571509034807</stp>
        <tr r="F1558" s="2"/>
      </tp>
      <tp t="s">
        <v>#N/A N/A</v>
        <stp/>
        <stp>BDP|16945722649203451741</stp>
        <tr r="D596" s="2"/>
      </tp>
      <tp t="s">
        <v>#N/A N/A</v>
        <stp/>
        <stp>BDP|12347269822872075155</stp>
        <tr r="M1525" s="2"/>
      </tp>
      <tp t="s">
        <v>#N/A N/A</v>
        <stp/>
        <stp>BDP|11860806106280850840</stp>
        <tr r="P2029" s="2"/>
      </tp>
      <tp t="s">
        <v>#N/A N/A</v>
        <stp/>
        <stp>BDP|13853751715381807520</stp>
        <tr r="M2023" s="2"/>
      </tp>
      <tp t="s">
        <v>#N/A N/A</v>
        <stp/>
        <stp>BDP|15258038628892902422</stp>
        <tr r="H214" s="2"/>
      </tp>
      <tp t="s">
        <v>#N/A N/A</v>
        <stp/>
        <stp>BDP|16624366776354572717</stp>
        <tr r="S1069" s="2"/>
      </tp>
      <tp t="s">
        <v>#N/A N/A</v>
        <stp/>
        <stp>BDP|17790582362437914269</stp>
        <tr r="A1336" s="2"/>
      </tp>
      <tp t="s">
        <v>#N/A N/A</v>
        <stp/>
        <stp>BDP|11783672882796335839</stp>
        <tr r="K1937" s="2"/>
      </tp>
      <tp t="s">
        <v>#N/A N/A</v>
        <stp/>
        <stp>BDP|12845434845655479686</stp>
        <tr r="T2001" s="2"/>
      </tp>
      <tp t="s">
        <v>#N/A N/A</v>
        <stp/>
        <stp>BDP|16569623476394494278</stp>
        <tr r="H681" s="2"/>
      </tp>
      <tp t="s">
        <v>#N/A N/A</v>
        <stp/>
        <stp>BDP|10434151797458344175</stp>
        <tr r="Q619" s="2"/>
      </tp>
      <tp t="s">
        <v>#N/A N/A</v>
        <stp/>
        <stp>BDP|11898198366115217277</stp>
        <tr r="N910" s="2"/>
      </tp>
      <tp t="s">
        <v>#N/A N/A</v>
        <stp/>
        <stp>BDP|10811676500494452390</stp>
        <tr r="O2110" s="2"/>
      </tp>
      <tp t="s">
        <v>#N/A N/A</v>
        <stp/>
        <stp>BDP|11124718645657132469</stp>
        <tr r="T1772" s="2"/>
      </tp>
      <tp t="s">
        <v>#N/A N/A</v>
        <stp/>
        <stp>BDP|12622684004511124497</stp>
        <tr r="P1605" s="2"/>
      </tp>
      <tp t="s">
        <v>#N/A N/A</v>
        <stp/>
        <stp>BDP|11273039998940218990</stp>
        <tr r="N2145" s="2"/>
      </tp>
      <tp t="s">
        <v>#N/A N/A</v>
        <stp/>
        <stp>BDP|13514566122503535667</stp>
        <tr r="K1425" s="2"/>
      </tp>
      <tp t="s">
        <v>#N/A N/A</v>
        <stp/>
        <stp>BDP|12640877362308700566</stp>
        <tr r="D1099" s="2"/>
      </tp>
      <tp t="s">
        <v>#N/A N/A</v>
        <stp/>
        <stp>BDP|13687351549276089386</stp>
        <tr r="F1877" s="2"/>
      </tp>
      <tp t="s">
        <v>#N/A N/A</v>
        <stp/>
        <stp>BDP|10117521172990385304</stp>
        <tr r="R1659" s="2"/>
      </tp>
      <tp t="s">
        <v>#N/A N/A</v>
        <stp/>
        <stp>BDP|11044061605145293538</stp>
        <tr r="E991" s="2"/>
      </tp>
      <tp t="s">
        <v>#N/A N/A</v>
        <stp/>
        <stp>BDP|11594622717356346119</stp>
        <tr r="A1714" s="2"/>
      </tp>
      <tp t="s">
        <v>#N/A N/A</v>
        <stp/>
        <stp>BDP|15902313474351973172</stp>
        <tr r="P1437" s="2"/>
      </tp>
      <tp t="s">
        <v>#N/A N/A</v>
        <stp/>
        <stp>BDP|13141262474221165607</stp>
        <tr r="M26" s="2"/>
      </tp>
      <tp t="s">
        <v>#N/A N/A</v>
        <stp/>
        <stp>BDP|18043553677509639265</stp>
        <tr r="M2" s="2"/>
      </tp>
      <tp t="s">
        <v>#N/A N/A</v>
        <stp/>
        <stp>BDP|12127465421894584113</stp>
        <tr r="C178" s="2"/>
      </tp>
      <tp t="s">
        <v>#N/A N/A</v>
        <stp/>
        <stp>BDP|16344123912292350524</stp>
        <tr r="D1931" s="2"/>
      </tp>
      <tp t="s">
        <v>#N/A N/A</v>
        <stp/>
        <stp>BDP|15841896132309260633</stp>
        <tr r="J1197" s="2"/>
      </tp>
      <tp t="s">
        <v>#N/A N/A</v>
        <stp/>
        <stp>BDP|10424149606402446270</stp>
        <tr r="T1170" s="2"/>
      </tp>
      <tp t="s">
        <v>#N/A N/A</v>
        <stp/>
        <stp>BDP|15659839102619209501</stp>
        <tr r="C1240" s="2"/>
      </tp>
      <tp t="s">
        <v>#N/A N/A</v>
        <stp/>
        <stp>BDP|13132123071080399442</stp>
        <tr r="J430" s="2"/>
      </tp>
      <tp t="s">
        <v>#N/A N/A</v>
        <stp/>
        <stp>BDP|11235348346187732023</stp>
        <tr r="N698" s="2"/>
      </tp>
      <tp t="s">
        <v>#N/A N/A</v>
        <stp/>
        <stp>BDP|16548334323472282426</stp>
        <tr r="K57" s="2"/>
      </tp>
      <tp t="s">
        <v>#N/A N/A</v>
        <stp/>
        <stp>BDP|14668573375767885090</stp>
        <tr r="K884" s="2"/>
      </tp>
      <tp t="s">
        <v>#N/A N/A</v>
        <stp/>
        <stp>BDP|14564990261139094384</stp>
        <tr r="O2078" s="2"/>
      </tp>
      <tp t="s">
        <v>#N/A N/A</v>
        <stp/>
        <stp>BDP|14493355124773266727</stp>
        <tr r="P1657" s="2"/>
      </tp>
      <tp t="s">
        <v>#N/A N/A</v>
        <stp/>
        <stp>BDP|18411130280556164638</stp>
        <tr r="T1545" s="2"/>
      </tp>
      <tp t="s">
        <v>#N/A N/A</v>
        <stp/>
        <stp>BDP|14919153372932324180</stp>
        <tr r="J290" s="2"/>
      </tp>
      <tp t="s">
        <v>#N/A N/A</v>
        <stp/>
        <stp>BDP|15684116580858489567</stp>
        <tr r="A681" s="2"/>
      </tp>
      <tp t="s">
        <v>#N/A N/A</v>
        <stp/>
        <stp>BDS|17509175197806224816</stp>
        <tr r="I317" s="2"/>
      </tp>
      <tp t="s">
        <v>#N/A N/A</v>
        <stp/>
        <stp>BDP|12971769629562568464</stp>
        <tr r="J1231" s="2"/>
      </tp>
      <tp t="s">
        <v>#N/A N/A</v>
        <stp/>
        <stp>BDS|15212388833104861077</stp>
        <tr r="I168" s="2"/>
      </tp>
      <tp t="s">
        <v>#N/A N/A</v>
        <stp/>
        <stp>BDP|12853368313856186794</stp>
        <tr r="J396" s="2"/>
      </tp>
      <tp t="s">
        <v>#N/A N/A</v>
        <stp/>
        <stp>BDP|12417392800584985417</stp>
        <tr r="O410" s="2"/>
      </tp>
      <tp t="s">
        <v>#N/A N/A</v>
        <stp/>
        <stp>BDP|17025442287308428229</stp>
        <tr r="S171" s="2"/>
      </tp>
      <tp t="s">
        <v>#N/A N/A</v>
        <stp/>
        <stp>BDP|11784572647721765053</stp>
        <tr r="R1759" s="2"/>
      </tp>
      <tp t="s">
        <v>#N/A N/A</v>
        <stp/>
        <stp>BDP|17156059328291159583</stp>
        <tr r="E710" s="2"/>
      </tp>
      <tp t="s">
        <v>#N/A N/A</v>
        <stp/>
        <stp>BDP|13653689538425320202</stp>
        <tr r="O1245" s="2"/>
      </tp>
      <tp t="s">
        <v>#N/A N/A</v>
        <stp/>
        <stp>BDP|14474227761659392817</stp>
        <tr r="D655" s="2"/>
      </tp>
      <tp t="s">
        <v>#N/A N/A</v>
        <stp/>
        <stp>BDP|12940194516761365209</stp>
        <tr r="D1832" s="2"/>
      </tp>
      <tp t="s">
        <v>#N/A N/A</v>
        <stp/>
        <stp>BDP|12395831480725572600</stp>
        <tr r="R504" s="2"/>
      </tp>
      <tp t="s">
        <v>#N/A N/A</v>
        <stp/>
        <stp>BDP|14340456766857233071</stp>
        <tr r="J391" s="2"/>
      </tp>
      <tp t="s">
        <v>#N/A N/A</v>
        <stp/>
        <stp>BDP|13129689959740724126</stp>
        <tr r="G94" s="2"/>
      </tp>
      <tp t="s">
        <v>#N/A N/A</v>
        <stp/>
        <stp>BDP|13924968398955220709</stp>
        <tr r="H1480" s="2"/>
      </tp>
      <tp t="s">
        <v>#N/A N/A</v>
        <stp/>
        <stp>BDP|13074107453782384450</stp>
        <tr r="G1726" s="2"/>
      </tp>
      <tp t="s">
        <v>#N/A N/A</v>
        <stp/>
        <stp>BDP|14457703831525753479</stp>
        <tr r="C2184" s="2"/>
      </tp>
      <tp t="s">
        <v>#N/A N/A</v>
        <stp/>
        <stp>BDP|15737174674197391520</stp>
        <tr r="F686" s="2"/>
      </tp>
      <tp t="s">
        <v>#N/A N/A</v>
        <stp/>
        <stp>BDP|10293645852547555543</stp>
        <tr r="J734" s="2"/>
      </tp>
      <tp t="s">
        <v>#N/A N/A</v>
        <stp/>
        <stp>BDP|16025279236301413706</stp>
        <tr r="E1418" s="2"/>
      </tp>
      <tp t="s">
        <v>#N/A N/A</v>
        <stp/>
        <stp>BDP|14245134456921750053</stp>
        <tr r="R548" s="2"/>
      </tp>
      <tp t="s">
        <v>#N/A N/A</v>
        <stp/>
        <stp>BDS|14866964512688882522</stp>
        <tr r="I196" s="2"/>
      </tp>
      <tp t="s">
        <v>#N/A N/A</v>
        <stp/>
        <stp>BDP|12390473752400453275</stp>
        <tr r="G1576" s="2"/>
      </tp>
      <tp t="s">
        <v>#N/A N/A</v>
        <stp/>
        <stp>BDP|11185763360564517571</stp>
        <tr r="Q152" s="2"/>
      </tp>
      <tp t="s">
        <v>#N/A N/A</v>
        <stp/>
        <stp>BDP|15630168754928897895</stp>
        <tr r="K287" s="2"/>
      </tp>
      <tp t="s">
        <v>#N/A N/A</v>
        <stp/>
        <stp>BDP|11435979525589277214</stp>
        <tr r="Q447" s="2"/>
      </tp>
      <tp t="s">
        <v>#N/A N/A</v>
        <stp/>
        <stp>BDP|10181223562786175357</stp>
        <tr r="N1186" s="2"/>
      </tp>
      <tp t="s">
        <v>#N/A N/A</v>
        <stp/>
        <stp>BDP|13284602987014664860</stp>
        <tr r="S1259" s="2"/>
      </tp>
      <tp t="s">
        <v>#N/A N/A</v>
        <stp/>
        <stp>BDP|16484523803264772672</stp>
        <tr r="H1589" s="2"/>
      </tp>
      <tp t="s">
        <v>#N/A N/A</v>
        <stp/>
        <stp>BDP|17071160042690983385</stp>
        <tr r="G446" s="2"/>
      </tp>
      <tp t="s">
        <v>#N/A N/A</v>
        <stp/>
        <stp>BDP|13687670971025666632</stp>
        <tr r="T1348" s="2"/>
      </tp>
      <tp t="s">
        <v>#N/A N/A</v>
        <stp/>
        <stp>BDP|17806053600737189190</stp>
        <tr r="H1432" s="2"/>
      </tp>
      <tp t="s">
        <v>#N/A N/A</v>
        <stp/>
        <stp>BDP|16229266616382520629</stp>
        <tr r="T1339" s="2"/>
      </tp>
      <tp t="s">
        <v>#N/A N/A</v>
        <stp/>
        <stp>BDS|17685080840181847301</stp>
        <tr r="I1886" s="2"/>
      </tp>
      <tp t="s">
        <v>#N/A N/A</v>
        <stp/>
        <stp>BDP|14298694171776915268</stp>
        <tr r="K2190" s="2"/>
      </tp>
      <tp t="s">
        <v>#N/A N/A</v>
        <stp/>
        <stp>BDP|16590260203273680630</stp>
        <tr r="D1988" s="2"/>
      </tp>
      <tp t="s">
        <v>#N/A N/A</v>
        <stp/>
        <stp>BDP|17780377663225261648</stp>
        <tr r="M1327" s="2"/>
      </tp>
      <tp t="s">
        <v>#N/A N/A</v>
        <stp/>
        <stp>BDP|16255605739476705497</stp>
        <tr r="M1315" s="2"/>
      </tp>
      <tp t="s">
        <v>#N/A N/A</v>
        <stp/>
        <stp>BDP|14262164276100563326</stp>
        <tr r="J318" s="2"/>
      </tp>
      <tp t="s">
        <v>#N/A N/A</v>
        <stp/>
        <stp>BDS|16279637030566572420</stp>
        <tr r="I113" s="2"/>
      </tp>
      <tp t="s">
        <v>#N/A N/A</v>
        <stp/>
        <stp>BDP|15665739131996471653</stp>
        <tr r="S886" s="2"/>
      </tp>
      <tp t="s">
        <v>#N/A N/A</v>
        <stp/>
        <stp>BDP|15301932838278951647</stp>
        <tr r="O1808" s="2"/>
      </tp>
      <tp t="s">
        <v>#N/A N/A</v>
        <stp/>
        <stp>BDP|14112017879102834046</stp>
        <tr r="A534" s="2"/>
      </tp>
      <tp t="s">
        <v>#N/A N/A</v>
        <stp/>
        <stp>BDS|14064540896828787134</stp>
        <tr r="I905" s="2"/>
      </tp>
      <tp t="s">
        <v>#N/A N/A</v>
        <stp/>
        <stp>BDP|11151470933257777072</stp>
        <tr r="F251" s="2"/>
      </tp>
      <tp t="s">
        <v>#N/A N/A</v>
        <stp/>
        <stp>BDP|13780705607263244679</stp>
        <tr r="S1022" s="2"/>
      </tp>
      <tp t="s">
        <v>#N/A N/A</v>
        <stp/>
        <stp>BDP|17073010401242067451</stp>
        <tr r="D1771" s="2"/>
      </tp>
      <tp t="s">
        <v>#N/A N/A</v>
        <stp/>
        <stp>BDP|14234264796779649715</stp>
        <tr r="H1476" s="2"/>
      </tp>
      <tp t="s">
        <v>#N/A N/A</v>
        <stp/>
        <stp>BDS|12985398976623353432</stp>
        <tr r="I1008" s="2"/>
      </tp>
      <tp t="s">
        <v>#N/A N/A</v>
        <stp/>
        <stp>BDP|13532300561322412550</stp>
        <tr r="K1952" s="2"/>
      </tp>
      <tp t="s">
        <v>#N/A N/A</v>
        <stp/>
        <stp>BDP|10207872911440208837</stp>
        <tr r="E1894" s="2"/>
      </tp>
      <tp t="s">
        <v>#N/A N/A</v>
        <stp/>
        <stp>BDP|17001908585031509658</stp>
        <tr r="A1420" s="2"/>
      </tp>
      <tp t="s">
        <v>#N/A N/A</v>
        <stp/>
        <stp>BDP|17941294525543128517</stp>
        <tr r="A15" s="2"/>
      </tp>
      <tp t="s">
        <v>#N/A N/A</v>
        <stp/>
        <stp>BDP|16639201556374280479</stp>
        <tr r="O381" s="2"/>
      </tp>
      <tp t="s">
        <v>#N/A N/A</v>
        <stp/>
        <stp>BDP|17122645903082628255</stp>
        <tr r="O1018" s="2"/>
      </tp>
      <tp t="s">
        <v>#N/A N/A</v>
        <stp/>
        <stp>BDP|11384055667934274263</stp>
        <tr r="J866" s="2"/>
      </tp>
      <tp t="s">
        <v>#N/A N/A</v>
        <stp/>
        <stp>BDP|17083571463824153104</stp>
        <tr r="F997" s="2"/>
      </tp>
      <tp t="s">
        <v>#N/A N/A</v>
        <stp/>
        <stp>BDP|14846722149610264646</stp>
        <tr r="D6" s="2"/>
      </tp>
      <tp t="s">
        <v>#N/A N/A</v>
        <stp/>
        <stp>BDP|15897369053210804202</stp>
        <tr r="E117" s="2"/>
      </tp>
      <tp t="s">
        <v>#N/A N/A</v>
        <stp/>
        <stp>BDP|18108424992477449303</stp>
        <tr r="H413" s="2"/>
      </tp>
      <tp t="s">
        <v>#N/A N/A</v>
        <stp/>
        <stp>BDP|10367125721803259179</stp>
        <tr r="K734" s="2"/>
      </tp>
      <tp t="s">
        <v>#N/A N/A</v>
        <stp/>
        <stp>BDP|15499296499947102801</stp>
        <tr r="N156" s="2"/>
      </tp>
      <tp t="s">
        <v>#N/A N/A</v>
        <stp/>
        <stp>BDP|16869152709450131604</stp>
        <tr r="A1637" s="2"/>
      </tp>
      <tp t="s">
        <v>#N/A N/A</v>
        <stp/>
        <stp>BDP|13974597655217815584</stp>
        <tr r="Q2086" s="2"/>
      </tp>
      <tp t="s">
        <v>#N/A N/A</v>
        <stp/>
        <stp>BDP|14767394673095179492</stp>
        <tr r="H1916" s="2"/>
      </tp>
      <tp t="s">
        <v>#N/A N/A</v>
        <stp/>
        <stp>BDP|14399248744340656301</stp>
        <tr r="S1563" s="2"/>
      </tp>
      <tp t="s">
        <v>#N/A N/A</v>
        <stp/>
        <stp>BDP|13246074666597437320</stp>
        <tr r="C1284" s="2"/>
      </tp>
      <tp t="s">
        <v>#N/A N/A</v>
        <stp/>
        <stp>BDP|17633290770720348396</stp>
        <tr r="Q1533" s="2"/>
      </tp>
      <tp t="s">
        <v>#N/A N/A</v>
        <stp/>
        <stp>BDP|12240415173016745623</stp>
        <tr r="G638" s="2"/>
      </tp>
      <tp t="s">
        <v>#N/A N/A</v>
        <stp/>
        <stp>BDP|11821740208054322326</stp>
        <tr r="H1818" s="2"/>
      </tp>
      <tp t="s">
        <v>#N/A N/A</v>
        <stp/>
        <stp>BDP|12615326094238721121</stp>
        <tr r="S292" s="2"/>
      </tp>
      <tp t="s">
        <v>#N/A N/A</v>
        <stp/>
        <stp>BDP|13991758539716402040</stp>
        <tr r="F2230" s="2"/>
      </tp>
      <tp t="s">
        <v>#N/A N/A</v>
        <stp/>
        <stp>BDP|14089359648604038682</stp>
        <tr r="M623" s="2"/>
      </tp>
      <tp t="s">
        <v>#N/A N/A</v>
        <stp/>
        <stp>BDP|11865223805245228783</stp>
        <tr r="A1996" s="2"/>
      </tp>
      <tp t="s">
        <v>#N/A N/A</v>
        <stp/>
        <stp>BDS|15311341377734351454</stp>
        <tr r="I1401" s="2"/>
      </tp>
      <tp t="s">
        <v>#N/A N/A</v>
        <stp/>
        <stp>BDP|18321551188711232591</stp>
        <tr r="F1659" s="2"/>
      </tp>
      <tp t="s">
        <v>#N/A N/A</v>
        <stp/>
        <stp>BDP|12123435969702848362</stp>
        <tr r="P531" s="2"/>
      </tp>
      <tp t="s">
        <v>#N/A N/A</v>
        <stp/>
        <stp>BDP|14628273895748386628</stp>
        <tr r="M699" s="2"/>
      </tp>
      <tp t="s">
        <v>#N/A N/A</v>
        <stp/>
        <stp>BDP|16348235499505470986</stp>
        <tr r="H2182" s="2"/>
      </tp>
      <tp t="s">
        <v>#N/A N/A</v>
        <stp/>
        <stp>BDP|13176506932973153778</stp>
        <tr r="F425" s="2"/>
      </tp>
      <tp t="s">
        <v>#N/A N/A</v>
        <stp/>
        <stp>BDP|13243972332728379013</stp>
        <tr r="S89" s="2"/>
      </tp>
      <tp t="s">
        <v>#N/A N/A</v>
        <stp/>
        <stp>BDP|14653173625293656574</stp>
        <tr r="O239" s="2"/>
      </tp>
      <tp t="s">
        <v>#N/A N/A</v>
        <stp/>
        <stp>BDP|15545058150810521103</stp>
        <tr r="P1436" s="2"/>
      </tp>
      <tp t="s">
        <v>#N/A N/A</v>
        <stp/>
        <stp>BDP|15111962424936560939</stp>
        <tr r="F622" s="2"/>
      </tp>
      <tp t="s">
        <v>#N/A N/A</v>
        <stp/>
        <stp>BDP|15774145932682464407</stp>
        <tr r="G2065" s="2"/>
      </tp>
      <tp t="s">
        <v>#N/A N/A</v>
        <stp/>
        <stp>BDP|17918040808613740576</stp>
        <tr r="J631" s="2"/>
      </tp>
      <tp t="s">
        <v>#N/A N/A</v>
        <stp/>
        <stp>BDP|15020442224810151248</stp>
        <tr r="J2227" s="2"/>
      </tp>
      <tp t="s">
        <v>#N/A N/A</v>
        <stp/>
        <stp>BDP|11974349360583966619</stp>
        <tr r="K1481" s="2"/>
      </tp>
      <tp t="s">
        <v>#N/A N/A</v>
        <stp/>
        <stp>BDP|14289965380006603279</stp>
        <tr r="K443" s="2"/>
      </tp>
      <tp t="s">
        <v>#N/A N/A</v>
        <stp/>
        <stp>BDP|10245117731416238550</stp>
        <tr r="S1628" s="2"/>
      </tp>
      <tp t="s">
        <v>#N/A N/A</v>
        <stp/>
        <stp>BDP|11886738520802658789</stp>
        <tr r="F1406" s="2"/>
      </tp>
      <tp t="s">
        <v>#N/A N/A</v>
        <stp/>
        <stp>BDP|17931396358306960644</stp>
        <tr r="O643" s="2"/>
      </tp>
      <tp t="s">
        <v>#N/A N/A</v>
        <stp/>
        <stp>BDP|13333324736700789243</stp>
        <tr r="J16" s="2"/>
      </tp>
      <tp t="s">
        <v>#N/A N/A</v>
        <stp/>
        <stp>BDP|13723739216297774315</stp>
        <tr r="S766" s="2"/>
      </tp>
      <tp t="s">
        <v>#N/A N/A</v>
        <stp/>
        <stp>BDP|17719581041813868425</stp>
        <tr r="C1687" s="2"/>
      </tp>
      <tp t="s">
        <v>#N/A N/A</v>
        <stp/>
        <stp>BDP|11451058616622576367</stp>
        <tr r="E1570" s="2"/>
      </tp>
      <tp t="s">
        <v>#N/A N/A</v>
        <stp/>
        <stp>BDP|11412682619100817799</stp>
        <tr r="R2049" s="2"/>
      </tp>
      <tp t="s">
        <v>#N/A N/A</v>
        <stp/>
        <stp>BDP|12228767352923724257</stp>
        <tr r="O55" s="2"/>
      </tp>
      <tp t="s">
        <v>#N/A N/A</v>
        <stp/>
        <stp>BDP|18320976073081344609</stp>
        <tr r="T306" s="2"/>
      </tp>
      <tp t="s">
        <v>#N/A N/A</v>
        <stp/>
        <stp>BDP|15730254063817124744</stp>
        <tr r="N2247" s="2"/>
      </tp>
      <tp t="s">
        <v>#N/A N/A</v>
        <stp/>
        <stp>BDP|10513749493527701814</stp>
        <tr r="H551" s="2"/>
      </tp>
      <tp t="s">
        <v>#N/A N/A</v>
        <stp/>
        <stp>BDP|17449769104064578573</stp>
        <tr r="K394" s="2"/>
      </tp>
      <tp t="s">
        <v>#N/A N/A</v>
        <stp/>
        <stp>BDP|15386747351864471269</stp>
        <tr r="E1202" s="2"/>
      </tp>
      <tp t="s">
        <v>#N/A N/A</v>
        <stp/>
        <stp>BDS|17784283579010649377</stp>
        <tr r="I1194" s="2"/>
      </tp>
      <tp t="s">
        <v>#N/A N/A</v>
        <stp/>
        <stp>BDP|13540794293934984829</stp>
        <tr r="O1520" s="2"/>
      </tp>
      <tp t="s">
        <v>#N/A N/A</v>
        <stp/>
        <stp>BDP|13500708926717279050</stp>
        <tr r="R1237" s="2"/>
      </tp>
      <tp t="s">
        <v>#N/A N/A</v>
        <stp/>
        <stp>BDP|17608172072425695510</stp>
        <tr r="E1951" s="2"/>
      </tp>
      <tp t="s">
        <v>#N/A N/A</v>
        <stp/>
        <stp>BDP|13757306141750298502</stp>
        <tr r="J1284" s="2"/>
      </tp>
      <tp t="s">
        <v>#N/A N/A</v>
        <stp/>
        <stp>BDP|13522373703997505606</stp>
        <tr r="M567" s="2"/>
      </tp>
      <tp t="s">
        <v>#N/A N/A</v>
        <stp/>
        <stp>BDP|16972178705793737585</stp>
        <tr r="M2123" s="2"/>
      </tp>
      <tp t="s">
        <v>#N/A N/A</v>
        <stp/>
        <stp>BDP|14244706717856412555</stp>
        <tr r="H800" s="2"/>
      </tp>
      <tp t="s">
        <v>#N/A N/A</v>
        <stp/>
        <stp>BDP|13231550835986572233</stp>
        <tr r="E1931" s="2"/>
      </tp>
      <tp t="s">
        <v>#N/A N/A</v>
        <stp/>
        <stp>BDP|13960401135825980019</stp>
        <tr r="G1196" s="2"/>
      </tp>
      <tp t="s">
        <v>#N/A N/A</v>
        <stp/>
        <stp>BDP|10243654979455986531</stp>
        <tr r="F334" s="2"/>
      </tp>
      <tp t="s">
        <v>#N/A N/A</v>
        <stp/>
        <stp>BDP|17037552925472600328</stp>
        <tr r="F1485" s="2"/>
      </tp>
      <tp t="s">
        <v>#N/A N/A</v>
        <stp/>
        <stp>BDP|14001570730064290714</stp>
        <tr r="K316" s="2"/>
      </tp>
      <tp t="s">
        <v>#N/A N/A</v>
        <stp/>
        <stp>BDP|12597859977518683451</stp>
        <tr r="S1365" s="2"/>
      </tp>
      <tp t="s">
        <v>#N/A N/A</v>
        <stp/>
        <stp>BDP|15210331912143652518</stp>
        <tr r="O1731" s="2"/>
      </tp>
      <tp t="s">
        <v>#N/A N/A</v>
        <stp/>
        <stp>BDP|10356753236075787032</stp>
        <tr r="C1274" s="2"/>
      </tp>
      <tp t="s">
        <v>#N/A N/A</v>
        <stp/>
        <stp>BDP|15537954378359495381</stp>
        <tr r="Q1301" s="2"/>
      </tp>
      <tp t="s">
        <v>#N/A N/A</v>
        <stp/>
        <stp>BDP|16584189145501978350</stp>
        <tr r="O610" s="2"/>
      </tp>
      <tp t="s">
        <v>#N/A N/A</v>
        <stp/>
        <stp>BDP|15462043314487832281</stp>
        <tr r="E816" s="2"/>
      </tp>
      <tp t="s">
        <v>#N/A N/A</v>
        <stp/>
        <stp>BDP|17070517061293043645</stp>
        <tr r="A1375" s="2"/>
      </tp>
      <tp t="s">
        <v>#N/A N/A</v>
        <stp/>
        <stp>BDP|12843651019354623067</stp>
        <tr r="C1814" s="2"/>
      </tp>
      <tp t="s">
        <v>#N/A N/A</v>
        <stp/>
        <stp>BDP|10540486435120462686</stp>
        <tr r="M2079" s="2"/>
      </tp>
      <tp t="s">
        <v>#N/A N/A</v>
        <stp/>
        <stp>BDP|16586644647701287400</stp>
        <tr r="R736" s="2"/>
      </tp>
      <tp t="s">
        <v>#N/A N/A</v>
        <stp/>
        <stp>BDP|15618513136001235373</stp>
        <tr r="A987" s="2"/>
      </tp>
      <tp t="s">
        <v>#N/A N/A</v>
        <stp/>
        <stp>BDP|17647502900600220300</stp>
        <tr r="J1743" s="2"/>
      </tp>
      <tp t="s">
        <v>#N/A N/A</v>
        <stp/>
        <stp>BDP|14141595904082009283</stp>
        <tr r="O1001" s="2"/>
      </tp>
      <tp t="s">
        <v>#N/A N/A</v>
        <stp/>
        <stp>BDP|14464541850543350675</stp>
        <tr r="R952" s="2"/>
      </tp>
      <tp t="s">
        <v>#N/A N/A</v>
        <stp/>
        <stp>BDP|15199546952336176229</stp>
        <tr r="P1327" s="2"/>
      </tp>
      <tp t="s">
        <v>#N/A N/A</v>
        <stp/>
        <stp>BDP|12374746560120655257</stp>
        <tr r="F153" s="2"/>
      </tp>
      <tp t="s">
        <v>#N/A N/A</v>
        <stp/>
        <stp>BDP|11806357319015225727</stp>
        <tr r="R1492" s="2"/>
      </tp>
      <tp t="s">
        <v>#N/A N/A</v>
        <stp/>
        <stp>BDP|12661154516012527142</stp>
        <tr r="E676" s="2"/>
      </tp>
      <tp t="s">
        <v>#N/A N/A</v>
        <stp/>
        <stp>BDP|14533405001083626265</stp>
        <tr r="C712" s="2"/>
      </tp>
      <tp t="s">
        <v>#N/A N/A</v>
        <stp/>
        <stp>BDP|14359044003253030601</stp>
        <tr r="G1797" s="2"/>
      </tp>
      <tp t="s">
        <v>#N/A N/A</v>
        <stp/>
        <stp>BDP|11087676027672799630</stp>
        <tr r="S2159" s="2"/>
      </tp>
      <tp t="s">
        <v>#N/A N/A</v>
        <stp/>
        <stp>BDP|13344015314140798358</stp>
        <tr r="Q2178" s="2"/>
      </tp>
      <tp t="s">
        <v>#N/A N/A</v>
        <stp/>
        <stp>BDP|15883993921797456808</stp>
        <tr r="M1518" s="2"/>
      </tp>
      <tp t="s">
        <v>#N/A N/A</v>
        <stp/>
        <stp>BDS|12925625368296158551</stp>
        <tr r="I897" s="2"/>
      </tp>
      <tp t="s">
        <v>#N/A N/A</v>
        <stp/>
        <stp>BDP|13648254011278530931</stp>
        <tr r="O582" s="2"/>
      </tp>
      <tp t="s">
        <v>#N/A N/A</v>
        <stp/>
        <stp>BDP|17313687863151810746</stp>
        <tr r="H534" s="2"/>
      </tp>
      <tp t="s">
        <v>#N/A N/A</v>
        <stp/>
        <stp>BDP|11318376545756043154</stp>
        <tr r="O136" s="2"/>
      </tp>
      <tp t="s">
        <v>#N/A N/A</v>
        <stp/>
        <stp>BDP|12268022481202236975</stp>
        <tr r="T1298" s="2"/>
      </tp>
      <tp t="s">
        <v>#N/A N/A</v>
        <stp/>
        <stp>BDP|15753737066521214446</stp>
        <tr r="O147" s="2"/>
      </tp>
      <tp t="s">
        <v>#N/A N/A</v>
        <stp/>
        <stp>BDP|10475347490279652227</stp>
        <tr r="M1052" s="2"/>
      </tp>
      <tp t="s">
        <v>#N/A N/A</v>
        <stp/>
        <stp>BDP|16923481453612342451</stp>
        <tr r="O1300" s="2"/>
      </tp>
      <tp t="s">
        <v>#N/A N/A</v>
        <stp/>
        <stp>BDP|10593032833093425159</stp>
        <tr r="K1393" s="2"/>
      </tp>
      <tp t="s">
        <v>#N/A N/A</v>
        <stp/>
        <stp>BDP|17636968878959534196</stp>
        <tr r="F1209" s="2"/>
      </tp>
      <tp t="s">
        <v>#N/A N/A</v>
        <stp/>
        <stp>BDP|18416874622267289478</stp>
        <tr r="J136" s="2"/>
      </tp>
      <tp t="s">
        <v>#N/A N/A</v>
        <stp/>
        <stp>BDP|11947792366783125234</stp>
        <tr r="S647" s="2"/>
      </tp>
      <tp t="s">
        <v>#N/A N/A</v>
        <stp/>
        <stp>BDP|16045743066094384258</stp>
        <tr r="T1932" s="2"/>
      </tp>
      <tp t="s">
        <v>#N/A N/A</v>
        <stp/>
        <stp>BDP|11586891669418531649</stp>
        <tr r="A1674" s="2"/>
      </tp>
      <tp t="s">
        <v>#N/A N/A</v>
        <stp/>
        <stp>BDP|12345876015113714925</stp>
        <tr r="S610" s="2"/>
      </tp>
      <tp t="s">
        <v>#N/A N/A</v>
        <stp/>
        <stp>BDP|14205574660057806193</stp>
        <tr r="D414" s="2"/>
      </tp>
      <tp t="s">
        <v>#N/A N/A</v>
        <stp/>
        <stp>BDP|10018320270225350050</stp>
        <tr r="D249" s="2"/>
      </tp>
      <tp t="s">
        <v>#N/A N/A</v>
        <stp/>
        <stp>BDP|15009983706589251485</stp>
        <tr r="O1881" s="2"/>
      </tp>
      <tp t="s">
        <v>#N/A N/A</v>
        <stp/>
        <stp>BDP|17664470461447022346</stp>
        <tr r="M683" s="2"/>
      </tp>
      <tp t="s">
        <v>#N/A N/A</v>
        <stp/>
        <stp>BDP|16212400931797753705</stp>
        <tr r="S1927" s="2"/>
      </tp>
      <tp t="s">
        <v>#N/A N/A</v>
        <stp/>
        <stp>BDP|17897485236115785453</stp>
        <tr r="H2111" s="2"/>
      </tp>
      <tp t="s">
        <v>#N/A N/A</v>
        <stp/>
        <stp>BDP|11477692738842737768</stp>
        <tr r="F315" s="2"/>
      </tp>
      <tp t="s">
        <v>#N/A N/A</v>
        <stp/>
        <stp>BDP|15368404372881651639</stp>
        <tr r="D1364" s="2"/>
      </tp>
      <tp t="s">
        <v>#N/A N/A</v>
        <stp/>
        <stp>BDP|13994588243382653102</stp>
        <tr r="A736" s="2"/>
      </tp>
      <tp t="s">
        <v>#N/A N/A</v>
        <stp/>
        <stp>BDP|17342201266186324423</stp>
        <tr r="K2215" s="2"/>
      </tp>
      <tp t="s">
        <v>#N/A N/A</v>
        <stp/>
        <stp>BDP|14853781880269653326</stp>
        <tr r="D1206" s="2"/>
      </tp>
      <tp t="s">
        <v>#N/A N/A</v>
        <stp/>
        <stp>BDP|16869573048573125527</stp>
        <tr r="T268" s="2"/>
      </tp>
      <tp t="s">
        <v>#N/A N/A</v>
        <stp/>
        <stp>BDP|16113127447371585358</stp>
        <tr r="Q959" s="2"/>
      </tp>
      <tp t="s">
        <v>#N/A N/A</v>
        <stp/>
        <stp>BDP|18022847833235674754</stp>
        <tr r="S2203" s="2"/>
      </tp>
      <tp t="s">
        <v>#N/A N/A</v>
        <stp/>
        <stp>BDP|13151057515720069357</stp>
        <tr r="K1065" s="2"/>
      </tp>
      <tp t="s">
        <v>#N/A N/A</v>
        <stp/>
        <stp>BDP|10728183418540206110</stp>
        <tr r="A840" s="2"/>
      </tp>
      <tp t="s">
        <v>#N/A N/A</v>
        <stp/>
        <stp>BDP|10542764501095226346</stp>
        <tr r="T948" s="2"/>
      </tp>
      <tp t="s">
        <v>#N/A N/A</v>
        <stp/>
        <stp>BDP|15758953166333812880</stp>
        <tr r="M2222" s="2"/>
      </tp>
      <tp t="s">
        <v>#N/A N/A</v>
        <stp/>
        <stp>BDP|16641350690118343545</stp>
        <tr r="R329" s="2"/>
      </tp>
      <tp t="s">
        <v>#N/A N/A</v>
        <stp/>
        <stp>BDP|12195411075222086216</stp>
        <tr r="D1796" s="2"/>
      </tp>
      <tp t="s">
        <v>#N/A N/A</v>
        <stp/>
        <stp>BDP|15352143930021329700</stp>
        <tr r="P13" s="2"/>
      </tp>
      <tp t="s">
        <v>#N/A N/A</v>
        <stp/>
        <stp>BDP|14024263121477490278</stp>
        <tr r="N2161" s="2"/>
      </tp>
      <tp t="s">
        <v>#N/A N/A</v>
        <stp/>
        <stp>BDP|15637249066582536267</stp>
        <tr r="G255" s="2"/>
      </tp>
      <tp t="s">
        <v>#N/A N/A</v>
        <stp/>
        <stp>BDP|10653230252893002506</stp>
        <tr r="K418" s="2"/>
      </tp>
      <tp t="s">
        <v>#N/A N/A</v>
        <stp/>
        <stp>BDP|17016051670322516379</stp>
        <tr r="C1195" s="2"/>
      </tp>
      <tp t="s">
        <v>#N/A N/A</v>
        <stp/>
        <stp>BDP|17123633109396817649</stp>
        <tr r="H506" s="2"/>
      </tp>
      <tp t="s">
        <v>#N/A N/A</v>
        <stp/>
        <stp>BDP|11181263051331256637</stp>
        <tr r="K494" s="2"/>
      </tp>
      <tp t="s">
        <v>#N/A N/A</v>
        <stp/>
        <stp>BDP|14405753417523885094</stp>
        <tr r="J656" s="2"/>
      </tp>
      <tp t="s">
        <v>#N/A N/A</v>
        <stp/>
        <stp>BDP|10647178360755760317</stp>
        <tr r="D1736" s="2"/>
      </tp>
      <tp t="s">
        <v>#N/A N/A</v>
        <stp/>
        <stp>BDP|18276113629463826958</stp>
        <tr r="O740" s="2"/>
      </tp>
      <tp t="s">
        <v>#N/A N/A</v>
        <stp/>
        <stp>BDP|10715110031065519659</stp>
        <tr r="J959" s="2"/>
      </tp>
      <tp t="s">
        <v>#N/A N/A</v>
        <stp/>
        <stp>BDP|12083839775158794460</stp>
        <tr r="P1755" s="2"/>
      </tp>
      <tp t="s">
        <v>#N/A N/A</v>
        <stp/>
        <stp>BDP|16396042174224450405</stp>
        <tr r="A1381" s="2"/>
      </tp>
      <tp t="s">
        <v>#N/A N/A</v>
        <stp/>
        <stp>BDP|12157062732952231204</stp>
        <tr r="H185" s="2"/>
      </tp>
      <tp t="s">
        <v>#N/A N/A</v>
        <stp/>
        <stp>BDP|13875180621726195770</stp>
        <tr r="P788" s="2"/>
      </tp>
      <tp t="s">
        <v>#N/A N/A</v>
        <stp/>
        <stp>BDP|10984876792464273494</stp>
        <tr r="J710" s="2"/>
      </tp>
      <tp t="s">
        <v>#N/A N/A</v>
        <stp/>
        <stp>BDP|15953945716654572898</stp>
        <tr r="M770" s="2"/>
      </tp>
      <tp t="s">
        <v>#N/A N/A</v>
        <stp/>
        <stp>BDP|12713082226745648488</stp>
        <tr r="G9" s="2"/>
      </tp>
      <tp t="s">
        <v>#N/A N/A</v>
        <stp/>
        <stp>BDP|13260180903767880461</stp>
        <tr r="O1577" s="2"/>
      </tp>
      <tp t="s">
        <v>#N/A N/A</v>
        <stp/>
        <stp>BDP|14499180301762913637</stp>
        <tr r="H2128" s="2"/>
      </tp>
      <tp t="s">
        <v>#N/A N/A</v>
        <stp/>
        <stp>BDP|16299271014052722612</stp>
        <tr r="E489" s="2"/>
      </tp>
      <tp t="s">
        <v>#N/A N/A</v>
        <stp/>
        <stp>BDP|13155814680233225159</stp>
        <tr r="K2116" s="2"/>
      </tp>
      <tp t="s">
        <v>#N/A N/A</v>
        <stp/>
        <stp>BDP|11334807791412682330</stp>
        <tr r="K89" s="2"/>
      </tp>
      <tp t="s">
        <v>#N/A N/A</v>
        <stp/>
        <stp>BDP|14958596955821610442</stp>
        <tr r="M951" s="2"/>
      </tp>
      <tp t="s">
        <v>#N/A N/A</v>
        <stp/>
        <stp>BDP|10758550953734620508</stp>
        <tr r="O914" s="2"/>
      </tp>
      <tp t="s">
        <v>#N/A N/A</v>
        <stp/>
        <stp>BDP|13790181048390760772</stp>
        <tr r="C348" s="2"/>
      </tp>
      <tp t="s">
        <v>#N/A N/A</v>
        <stp/>
        <stp>BDP|16516146404042781450</stp>
        <tr r="S328" s="2"/>
      </tp>
      <tp t="s">
        <v>#N/A N/A</v>
        <stp/>
        <stp>BDP|10919976699575858488</stp>
        <tr r="P838" s="2"/>
      </tp>
      <tp t="s">
        <v>#N/A N/A</v>
        <stp/>
        <stp>BDP|16352488911593970140</stp>
        <tr r="G1770" s="2"/>
      </tp>
      <tp t="s">
        <v>#N/A N/A</v>
        <stp/>
        <stp>BDP|14597706417031059254</stp>
        <tr r="C624" s="2"/>
      </tp>
      <tp t="s">
        <v>#N/A N/A</v>
        <stp/>
        <stp>BDP|15781417163170711651</stp>
        <tr r="S1685" s="2"/>
      </tp>
      <tp t="s">
        <v>#N/A N/A</v>
        <stp/>
        <stp>BDP|16243264656323256378</stp>
        <tr r="E1932" s="2"/>
      </tp>
      <tp t="s">
        <v>#N/A N/A</v>
        <stp/>
        <stp>BDP|14803893478109855369</stp>
        <tr r="G1855" s="2"/>
      </tp>
      <tp t="s">
        <v>#N/A N/A</v>
        <stp/>
        <stp>BDP|17385224044333049326</stp>
        <tr r="O161" s="2"/>
      </tp>
      <tp t="s">
        <v>#N/A N/A</v>
        <stp/>
        <stp>BDP|13256353833931176325</stp>
        <tr r="F2176" s="2"/>
      </tp>
      <tp t="s">
        <v>#N/A N/A</v>
        <stp/>
        <stp>BDP|10471325266342093675</stp>
        <tr r="R1087" s="2"/>
      </tp>
      <tp t="s">
        <v>#N/A N/A</v>
        <stp/>
        <stp>BDP|18268567517285762838</stp>
        <tr r="H1851" s="2"/>
      </tp>
      <tp t="s">
        <v>#N/A N/A</v>
        <stp/>
        <stp>BDP|15255672440067085122</stp>
        <tr r="R1923" s="2"/>
      </tp>
      <tp t="s">
        <v>#N/A N/A</v>
        <stp/>
        <stp>BDP|11977692407493086505</stp>
        <tr r="R1811" s="2"/>
      </tp>
      <tp t="s">
        <v>#N/A N/A</v>
        <stp/>
        <stp>BDP|14062263937060682401</stp>
        <tr r="A1914" s="2"/>
      </tp>
      <tp t="s">
        <v>#N/A N/A</v>
        <stp/>
        <stp>BDP|14878313366622996217</stp>
        <tr r="C2075" s="2"/>
      </tp>
      <tp t="s">
        <v>#N/A N/A</v>
        <stp/>
        <stp>BDP|13629109961182431745</stp>
        <tr r="F1872" s="2"/>
      </tp>
      <tp t="s">
        <v>#N/A N/A</v>
        <stp/>
        <stp>BDP|14705529435794568724</stp>
        <tr r="C1049" s="2"/>
      </tp>
      <tp t="s">
        <v>#N/A N/A</v>
        <stp/>
        <stp>BDP|15514277184239416759</stp>
        <tr r="G2180" s="2"/>
      </tp>
      <tp t="s">
        <v>#N/A N/A</v>
        <stp/>
        <stp>BDP|13919198700725491634</stp>
        <tr r="T621" s="2"/>
      </tp>
      <tp t="s">
        <v>#N/A N/A</v>
        <stp/>
        <stp>BDP|16041706416169095819</stp>
        <tr r="Q2196" s="2"/>
      </tp>
      <tp t="s">
        <v>#N/A N/A</v>
        <stp/>
        <stp>BDS|12923562501377872127</stp>
        <tr r="I438" s="2"/>
      </tp>
      <tp t="s">
        <v>#N/A N/A</v>
        <stp/>
        <stp>BDP|12736503803645171323</stp>
        <tr r="F230" s="2"/>
      </tp>
      <tp t="s">
        <v>#N/A N/A</v>
        <stp/>
        <stp>BDP|13792405467902552222</stp>
        <tr r="A526" s="2"/>
      </tp>
      <tp t="s">
        <v>#N/A N/A</v>
        <stp/>
        <stp>BDP|10079638314915007307</stp>
        <tr r="T1738" s="2"/>
      </tp>
      <tp t="s">
        <v>#N/A N/A</v>
        <stp/>
        <stp>BDP|16683745230605228678</stp>
        <tr r="G1463" s="2"/>
      </tp>
      <tp t="s">
        <v>#N/A N/A</v>
        <stp/>
        <stp>BDS|15853484043580660413</stp>
        <tr r="I105" s="2"/>
      </tp>
      <tp t="s">
        <v>#N/A N/A</v>
        <stp/>
        <stp>BDP|12450505997059609621</stp>
        <tr r="N1562" s="2"/>
      </tp>
      <tp t="s">
        <v>#N/A N/A</v>
        <stp/>
        <stp>BDP|13111223613247034672</stp>
        <tr r="C1937" s="2"/>
      </tp>
      <tp t="s">
        <v>#N/A N/A</v>
        <stp/>
        <stp>BDP|17441878621438692430</stp>
        <tr r="E680" s="2"/>
      </tp>
      <tp t="s">
        <v>#N/A N/A</v>
        <stp/>
        <stp>BDP|11833716808347541032</stp>
        <tr r="E137" s="2"/>
      </tp>
      <tp t="s">
        <v>#N/A N/A</v>
        <stp/>
        <stp>BDP|17637509869434884106</stp>
        <tr r="H1566" s="2"/>
      </tp>
      <tp t="s">
        <v>#N/A N/A</v>
        <stp/>
        <stp>BDP|10859179159846469352</stp>
        <tr r="N1253" s="2"/>
      </tp>
      <tp t="s">
        <v>#N/A N/A</v>
        <stp/>
        <stp>BDP|11551154763321033641</stp>
        <tr r="P640" s="2"/>
      </tp>
      <tp t="s">
        <v>#N/A N/A</v>
        <stp/>
        <stp>BDP|13719943708112969955</stp>
        <tr r="Q2224" s="2"/>
      </tp>
      <tp t="s">
        <v>#N/A N/A</v>
        <stp/>
        <stp>BDP|11367172660763516462</stp>
        <tr r="C1224" s="2"/>
      </tp>
      <tp t="s">
        <v>#N/A N/A</v>
        <stp/>
        <stp>BDP|16474847786486648170</stp>
        <tr r="F385" s="2"/>
      </tp>
      <tp t="s">
        <v>#N/A N/A</v>
        <stp/>
        <stp>BDP|15107232155030877385</stp>
        <tr r="K1100" s="2"/>
      </tp>
      <tp t="s">
        <v>#N/A N/A</v>
        <stp/>
        <stp>BDP|14043940313184766974</stp>
        <tr r="Q326" s="2"/>
      </tp>
      <tp t="s">
        <v>#N/A N/A</v>
        <stp/>
        <stp>BDP|15797308881458002712</stp>
        <tr r="E782" s="2"/>
      </tp>
      <tp t="s">
        <v>#N/A N/A</v>
        <stp/>
        <stp>BDP|17083183249995100675</stp>
        <tr r="M2164" s="2"/>
      </tp>
      <tp t="s">
        <v>#N/A N/A</v>
        <stp/>
        <stp>BDP|15758794588188333324</stp>
        <tr r="A1133" s="2"/>
      </tp>
      <tp t="s">
        <v>#N/A N/A</v>
        <stp/>
        <stp>BDP|17021466759016051186</stp>
        <tr r="Q1237" s="2"/>
      </tp>
      <tp t="s">
        <v>#N/A N/A</v>
        <stp/>
        <stp>BDP|15873352044857836469</stp>
        <tr r="Q1115" s="2"/>
      </tp>
      <tp t="s">
        <v>#N/A N/A</v>
        <stp/>
        <stp>BDP|15373066011587139220</stp>
        <tr r="O358" s="2"/>
      </tp>
      <tp t="s">
        <v>#N/A N/A</v>
        <stp/>
        <stp>BDP|13486118826547377674</stp>
        <tr r="C88" s="2"/>
      </tp>
      <tp t="s">
        <v>#N/A N/A</v>
        <stp/>
        <stp>BDP|17527329313577518369</stp>
        <tr r="T1463" s="2"/>
      </tp>
      <tp t="s">
        <v>#N/A N/A</v>
        <stp/>
        <stp>BDP|17393534575543697747</stp>
        <tr r="M673" s="2"/>
      </tp>
      <tp t="s">
        <v>#N/A N/A</v>
        <stp/>
        <stp>BDP|10474741213345745237</stp>
        <tr r="N1795" s="2"/>
      </tp>
      <tp t="s">
        <v>#N/A N/A</v>
        <stp/>
        <stp>BDP|18122283583514541786</stp>
        <tr r="A326" s="2"/>
      </tp>
      <tp t="s">
        <v>#N/A N/A</v>
        <stp/>
        <stp>BDP|13138022878407846247</stp>
        <tr r="D134" s="2"/>
      </tp>
      <tp t="s">
        <v>#N/A N/A</v>
        <stp/>
        <stp>BDP|17826596221492421337</stp>
        <tr r="K1422" s="2"/>
      </tp>
      <tp t="s">
        <v>#N/A N/A</v>
        <stp/>
        <stp>BDP|15016647171407358212</stp>
        <tr r="H1864" s="2"/>
      </tp>
      <tp t="s">
        <v>#N/A N/A</v>
        <stp/>
        <stp>BDS|14678664898598916252</stp>
        <tr r="I1528" s="2"/>
      </tp>
      <tp t="s">
        <v>#N/A N/A</v>
        <stp/>
        <stp>BDP|17746538182928712361</stp>
        <tr r="M1105" s="2"/>
      </tp>
      <tp t="s">
        <v>#N/A N/A</v>
        <stp/>
        <stp>BDP|12902226003738970963</stp>
        <tr r="F770" s="2"/>
      </tp>
      <tp t="s">
        <v>#N/A N/A</v>
        <stp/>
        <stp>BDP|13792498675200926154</stp>
        <tr r="M1705" s="2"/>
      </tp>
      <tp t="s">
        <v>#N/A N/A</v>
        <stp/>
        <stp>BDP|11680672026896411247</stp>
        <tr r="S176" s="2"/>
      </tp>
      <tp t="s">
        <v>#N/A N/A</v>
        <stp/>
        <stp>BDP|16138863961209249032</stp>
        <tr r="K328" s="2"/>
      </tp>
      <tp t="s">
        <v>#N/A N/A</v>
        <stp/>
        <stp>BDP|14477087501776340397</stp>
        <tr r="O180" s="2"/>
      </tp>
      <tp t="s">
        <v>#N/A N/A</v>
        <stp/>
        <stp>BDP|18141764387966139071</stp>
        <tr r="H754" s="2"/>
      </tp>
      <tp t="s">
        <v>#N/A N/A</v>
        <stp/>
        <stp>BDP|14782841833376191878</stp>
        <tr r="J817" s="2"/>
      </tp>
      <tp t="s">
        <v>#N/A N/A</v>
        <stp/>
        <stp>BDP|16337248847212541336</stp>
        <tr r="Q953" s="2"/>
      </tp>
      <tp t="s">
        <v>#N/A N/A</v>
        <stp/>
        <stp>BDP|13472958393430678227</stp>
        <tr r="D904" s="2"/>
      </tp>
      <tp t="s">
        <v>#N/A N/A</v>
        <stp/>
        <stp>BDP|14548977964832618861</stp>
        <tr r="F1452" s="2"/>
      </tp>
      <tp t="s">
        <v>#N/A N/A</v>
        <stp/>
        <stp>BDP|11261896349808157456</stp>
        <tr r="C1359" s="2"/>
      </tp>
      <tp t="s">
        <v>#N/A N/A</v>
        <stp/>
        <stp>BDP|14004778572347300200</stp>
        <tr r="P567" s="2"/>
      </tp>
      <tp t="s">
        <v>#N/A N/A</v>
        <stp/>
        <stp>BDP|14005960893693283615</stp>
        <tr r="M1997" s="2"/>
      </tp>
      <tp t="s">
        <v>#N/A N/A</v>
        <stp/>
        <stp>BDP|10305026553494284060</stp>
        <tr r="Q2105" s="2"/>
      </tp>
      <tp t="s">
        <v>#N/A N/A</v>
        <stp/>
        <stp>BDP|10116647504921434636</stp>
        <tr r="R206" s="2"/>
      </tp>
      <tp t="s">
        <v>#N/A N/A</v>
        <stp/>
        <stp>BDP|14753735453727594044</stp>
        <tr r="A1424" s="2"/>
      </tp>
      <tp t="s">
        <v>#N/A N/A</v>
        <stp/>
        <stp>BDP|17399941429654174990</stp>
        <tr r="M1351" s="2"/>
      </tp>
      <tp t="s">
        <v>#N/A N/A</v>
        <stp/>
        <stp>BDS|16424969264169649157</stp>
        <tr r="I1505" s="2"/>
      </tp>
      <tp t="s">
        <v>#N/A N/A</v>
        <stp/>
        <stp>BDP|11972169427253966073</stp>
        <tr r="O1442" s="2"/>
      </tp>
      <tp t="s">
        <v>#N/A N/A</v>
        <stp/>
        <stp>BDP|15756546516772281215</stp>
        <tr r="G480" s="2"/>
      </tp>
      <tp t="s">
        <v>#N/A N/A</v>
        <stp/>
        <stp>BDP|13884702139316216051</stp>
        <tr r="J828" s="2"/>
      </tp>
      <tp t="s">
        <v>#N/A N/A</v>
        <stp/>
        <stp>BDP|16552006479689985935</stp>
        <tr r="R239" s="2"/>
      </tp>
      <tp t="s">
        <v>#N/A N/A</v>
        <stp/>
        <stp>BDP|13078653814816754301</stp>
        <tr r="P710" s="2"/>
      </tp>
      <tp t="s">
        <v>#N/A N/A</v>
        <stp/>
        <stp>BDP|13227376332355586747</stp>
        <tr r="D383" s="2"/>
      </tp>
      <tp t="s">
        <v>#N/A N/A</v>
        <stp/>
        <stp>BDP|13055135630922493218</stp>
        <tr r="E1985" s="2"/>
      </tp>
      <tp t="s">
        <v>#N/A N/A</v>
        <stp/>
        <stp>BDP|18323106161777237968</stp>
        <tr r="S1922" s="2"/>
      </tp>
      <tp t="s">
        <v>#N/A N/A</v>
        <stp/>
        <stp>BDP|11369016757637186221</stp>
        <tr r="H2130" s="2"/>
      </tp>
      <tp t="s">
        <v>#N/A N/A</v>
        <stp/>
        <stp>BDP|13314731608411628489</stp>
        <tr r="M1754" s="2"/>
      </tp>
      <tp t="s">
        <v>#N/A N/A</v>
        <stp/>
        <stp>BDP|13795043177861199434</stp>
        <tr r="C900" s="2"/>
      </tp>
      <tp t="s">
        <v>#N/A N/A</v>
        <stp/>
        <stp>BDP|18173071298134909418</stp>
        <tr r="H40" s="2"/>
      </tp>
      <tp t="s">
        <v>#N/A N/A</v>
        <stp/>
        <stp>BDP|10697264417073825190</stp>
        <tr r="A809" s="2"/>
      </tp>
      <tp t="s">
        <v>#N/A N/A</v>
        <stp/>
        <stp>BDP|18308132593137051658</stp>
        <tr r="A14" s="2"/>
      </tp>
      <tp t="s">
        <v>#N/A N/A</v>
        <stp/>
        <stp>BDP|16014905183573185547</stp>
        <tr r="N632" s="2"/>
      </tp>
      <tp t="s">
        <v>#N/A N/A</v>
        <stp/>
        <stp>BDP|11781648076822733345</stp>
        <tr r="O1331" s="2"/>
      </tp>
      <tp t="s">
        <v>#N/A N/A</v>
        <stp/>
        <stp>BDP|11737682459897528455</stp>
        <tr r="H1143" s="2"/>
      </tp>
      <tp t="s">
        <v>#N/A N/A</v>
        <stp/>
        <stp>BDP|13290111861765402002</stp>
        <tr r="J1515" s="2"/>
      </tp>
      <tp t="s">
        <v>#N/A N/A</v>
        <stp/>
        <stp>BDP|15480097837733905455</stp>
        <tr r="Q1987" s="2"/>
      </tp>
      <tp t="s">
        <v>#N/A N/A</v>
        <stp/>
        <stp>BDP|10729244002837751406</stp>
        <tr r="G2102" s="2"/>
      </tp>
      <tp t="s">
        <v>#N/A N/A</v>
        <stp/>
        <stp>BDP|13914343858695080131</stp>
        <tr r="P724" s="2"/>
      </tp>
      <tp t="s">
        <v>#N/A N/A</v>
        <stp/>
        <stp>BDP|14242617536616717649</stp>
        <tr r="C257" s="2"/>
      </tp>
      <tp t="s">
        <v>#N/A N/A</v>
        <stp/>
        <stp>BDP|17570308175045774715</stp>
        <tr r="H423" s="2"/>
      </tp>
      <tp t="s">
        <v>#N/A N/A</v>
        <stp/>
        <stp>BDP|12192229209296863748</stp>
        <tr r="P1082" s="2"/>
      </tp>
      <tp t="s">
        <v>#N/A N/A</v>
        <stp/>
        <stp>BDP|16759294028343067408</stp>
        <tr r="S827" s="2"/>
      </tp>
      <tp t="s">
        <v>#N/A N/A</v>
        <stp/>
        <stp>BDP|12103709716701561444</stp>
        <tr r="O60" s="2"/>
      </tp>
      <tp t="s">
        <v>#N/A N/A</v>
        <stp/>
        <stp>BDP|13932207035412986134</stp>
        <tr r="O623" s="2"/>
      </tp>
      <tp t="s">
        <v>#N/A N/A</v>
        <stp/>
        <stp>BDP|16733412756977466122</stp>
        <tr r="A883" s="2"/>
      </tp>
      <tp t="s">
        <v>#N/A N/A</v>
        <stp/>
        <stp>BDP|13891291528245854773</stp>
        <tr r="T1640" s="2"/>
      </tp>
      <tp t="s">
        <v>#N/A N/A</v>
        <stp/>
        <stp>BDP|14080148160230373219</stp>
        <tr r="O37" s="2"/>
      </tp>
      <tp t="s">
        <v>#N/A N/A</v>
        <stp/>
        <stp>BDP|13451036042881619756</stp>
        <tr r="P1329" s="2"/>
      </tp>
      <tp t="s">
        <v>#N/A N/A</v>
        <stp/>
        <stp>BDP|18327981948995454113</stp>
        <tr r="H1650" s="2"/>
      </tp>
      <tp t="s">
        <v>#N/A N/A</v>
        <stp/>
        <stp>BDP|12524110538097254684</stp>
        <tr r="E740" s="2"/>
      </tp>
      <tp t="s">
        <v>#N/A N/A</v>
        <stp/>
        <stp>BDP|10096666546802778113</stp>
        <tr r="F1650" s="2"/>
      </tp>
      <tp t="s">
        <v>#N/A N/A</v>
        <stp/>
        <stp>BDP|11225884291938553989</stp>
        <tr r="H734" s="2"/>
      </tp>
      <tp t="s">
        <v>#N/A N/A</v>
        <stp/>
        <stp>BDP|16948391552569630821</stp>
        <tr r="N301" s="2"/>
      </tp>
      <tp t="s">
        <v>#N/A N/A</v>
        <stp/>
        <stp>BDP|16483695159554482062</stp>
        <tr r="A116" s="2"/>
      </tp>
      <tp t="s">
        <v>#N/A N/A</v>
        <stp/>
        <stp>BDP|14735224736771726520</stp>
        <tr r="N593" s="2"/>
      </tp>
      <tp t="s">
        <v>#N/A N/A</v>
        <stp/>
        <stp>BDP|17170424094712232935</stp>
        <tr r="A1931" s="2"/>
      </tp>
      <tp t="s">
        <v>#N/A N/A</v>
        <stp/>
        <stp>BDP|14008558738350288391</stp>
        <tr r="D2218" s="2"/>
      </tp>
      <tp t="s">
        <v>#N/A N/A</v>
        <stp/>
        <stp>BDP|14647094350432915207</stp>
        <tr r="G399" s="2"/>
      </tp>
      <tp t="s">
        <v>#N/A N/A</v>
        <stp/>
        <stp>BDP|10367667842144637772</stp>
        <tr r="D1656" s="2"/>
      </tp>
      <tp t="s">
        <v>#N/A N/A</v>
        <stp/>
        <stp>BDP|17413540747771466651</stp>
        <tr r="R1770" s="2"/>
      </tp>
      <tp t="s">
        <v>#N/A N/A</v>
        <stp/>
        <stp>BDP|13687049814073188018</stp>
        <tr r="E2017" s="2"/>
      </tp>
      <tp t="s">
        <v>#N/A N/A</v>
        <stp/>
        <stp>BDP|10737345291539275265</stp>
        <tr r="S249" s="2"/>
      </tp>
      <tp t="s">
        <v>#N/A N/A</v>
        <stp/>
        <stp>BDP|13565281652732813710</stp>
        <tr r="G1899" s="2"/>
      </tp>
      <tp t="s">
        <v>#N/A N/A</v>
        <stp/>
        <stp>BDP|12858931579549375476</stp>
        <tr r="S1480" s="2"/>
      </tp>
      <tp t="s">
        <v>#N/A N/A</v>
        <stp/>
        <stp>BDP|11338011140275760136</stp>
        <tr r="R309" s="2"/>
      </tp>
      <tp t="s">
        <v>#N/A N/A</v>
        <stp/>
        <stp>BDP|13037065629976098696</stp>
        <tr r="M652" s="2"/>
      </tp>
      <tp t="s">
        <v>#N/A N/A</v>
        <stp/>
        <stp>BDP|17107644013549468847</stp>
        <tr r="A2198" s="2"/>
      </tp>
      <tp t="s">
        <v>#N/A N/A</v>
        <stp/>
        <stp>BDP|15445156625063661444</stp>
        <tr r="K1784" s="2"/>
      </tp>
      <tp t="s">
        <v>#N/A N/A</v>
        <stp/>
        <stp>BDP|16506111585238601613</stp>
        <tr r="E1952" s="2"/>
      </tp>
      <tp t="s">
        <v>#N/A N/A</v>
        <stp/>
        <stp>BDP|12225234863121370677</stp>
        <tr r="G871" s="2"/>
      </tp>
      <tp t="s">
        <v>#N/A N/A</v>
        <stp/>
        <stp>BDP|16632863881123146462</stp>
        <tr r="S439" s="2"/>
      </tp>
      <tp t="s">
        <v>#N/A N/A</v>
        <stp/>
        <stp>BDP|12611434653553322135</stp>
        <tr r="Q595" s="2"/>
      </tp>
      <tp t="s">
        <v>#N/A N/A</v>
        <stp/>
        <stp>BDS|13971358129097015408</stp>
        <tr r="I2195" s="2"/>
      </tp>
      <tp t="s">
        <v>#N/A N/A</v>
        <stp/>
        <stp>BDP|12456833160098547544</stp>
        <tr r="M1378" s="2"/>
      </tp>
      <tp t="s">
        <v>#N/A N/A</v>
        <stp/>
        <stp>BDP|13938396406614975592</stp>
        <tr r="J960" s="2"/>
      </tp>
      <tp t="s">
        <v>#N/A N/A</v>
        <stp/>
        <stp>BDP|16759491536717618784</stp>
        <tr r="S179" s="2"/>
      </tp>
      <tp t="s">
        <v>#N/A N/A</v>
        <stp/>
        <stp>BDP|12421297009233394218</stp>
        <tr r="H625" s="2"/>
      </tp>
      <tp t="s">
        <v>#N/A N/A</v>
        <stp/>
        <stp>BDP|13348642422744348203</stp>
        <tr r="E720" s="2"/>
      </tp>
      <tp t="s">
        <v>#N/A N/A</v>
        <stp/>
        <stp>BDP|13885700580899879461</stp>
        <tr r="A1719" s="2"/>
      </tp>
      <tp t="s">
        <v>#N/A N/A</v>
        <stp/>
        <stp>BDP|16341048023265715059</stp>
        <tr r="F1311" s="2"/>
      </tp>
      <tp t="s">
        <v>#N/A N/A</v>
        <stp/>
        <stp>BDP|13452012779266218381</stp>
        <tr r="D2022" s="2"/>
      </tp>
      <tp t="s">
        <v>#N/A N/A</v>
        <stp/>
        <stp>BDP|17773068218612654599</stp>
        <tr r="O1776" s="2"/>
      </tp>
      <tp t="s">
        <v>#N/A N/A</v>
        <stp/>
        <stp>BDP|11166386609362541132</stp>
        <tr r="F236" s="2"/>
      </tp>
      <tp t="s">
        <v>#N/A N/A</v>
        <stp/>
        <stp>BDS|16990065272482896205</stp>
        <tr r="I1340" s="2"/>
      </tp>
      <tp t="s">
        <v>#N/A N/A</v>
        <stp/>
        <stp>BDP|10931328853904650383</stp>
        <tr r="E24" s="2"/>
      </tp>
      <tp t="s">
        <v>#N/A N/A</v>
        <stp/>
        <stp>BDP|15267278050586697556</stp>
        <tr r="G500" s="2"/>
      </tp>
      <tp t="s">
        <v>#N/A N/A</v>
        <stp/>
        <stp>BDP|14447303706435303377</stp>
        <tr r="Q1553" s="2"/>
      </tp>
      <tp t="s">
        <v>#N/A N/A</v>
        <stp/>
        <stp>BDP|15171125050132521205</stp>
        <tr r="F2190" s="2"/>
      </tp>
      <tp t="s">
        <v>#N/A N/A</v>
        <stp/>
        <stp>BDP|16362723928002882786</stp>
        <tr r="K1956" s="2"/>
      </tp>
      <tp t="s">
        <v>#N/A N/A</v>
        <stp/>
        <stp>BDP|17349674233013922778</stp>
        <tr r="N2034" s="2"/>
      </tp>
      <tp t="s">
        <v>#N/A N/A</v>
        <stp/>
        <stp>BDP|13193592021050913290</stp>
        <tr r="N1132" s="2"/>
      </tp>
      <tp t="s">
        <v>#N/A N/A</v>
        <stp/>
        <stp>BDP|13044945279978202362</stp>
        <tr r="A424" s="2"/>
      </tp>
      <tp t="s">
        <v>#N/A N/A</v>
        <stp/>
        <stp>BDP|10169206790394990913</stp>
        <tr r="H602" s="2"/>
      </tp>
      <tp t="s">
        <v>#N/A N/A</v>
        <stp/>
        <stp>BDP|11515431155427941139</stp>
        <tr r="S1185" s="2"/>
      </tp>
      <tp t="s">
        <v>#N/A N/A</v>
        <stp/>
        <stp>BDP|11096998661059804198</stp>
        <tr r="S397" s="2"/>
      </tp>
      <tp t="s">
        <v>#N/A N/A</v>
        <stp/>
        <stp>BDP|12563352229633790672</stp>
        <tr r="Q1473" s="2"/>
      </tp>
      <tp t="s">
        <v>#N/A N/A</v>
        <stp/>
        <stp>BDP|17928774779860942172</stp>
        <tr r="S1067" s="2"/>
      </tp>
      <tp t="s">
        <v>#N/A N/A</v>
        <stp/>
        <stp>BDP|17357837028033190803</stp>
        <tr r="R1734" s="2"/>
      </tp>
      <tp t="s">
        <v>#N/A N/A</v>
        <stp/>
        <stp>BDP|11099463570216813276</stp>
        <tr r="S1679" s="2"/>
      </tp>
      <tp t="s">
        <v>#N/A N/A</v>
        <stp/>
        <stp>BDP|13471687404745984680</stp>
        <tr r="O992" s="2"/>
      </tp>
      <tp t="s">
        <v>#N/A N/A</v>
        <stp/>
        <stp>BDP|17287634333504861030</stp>
        <tr r="O388" s="2"/>
      </tp>
      <tp t="s">
        <v>#N/A N/A</v>
        <stp/>
        <stp>BDP|15987311470313621477</stp>
        <tr r="C326" s="2"/>
      </tp>
      <tp t="s">
        <v>#N/A N/A</v>
        <stp/>
        <stp>BDP|12812846221429548719</stp>
        <tr r="H1513" s="2"/>
      </tp>
      <tp t="s">
        <v>#N/A N/A</v>
        <stp/>
        <stp>BDP|10334212168853055132</stp>
        <tr r="A1020" s="2"/>
      </tp>
      <tp t="s">
        <v>#N/A N/A</v>
        <stp/>
        <stp>BDP|12435797417205516769</stp>
        <tr r="C1542" s="2"/>
      </tp>
      <tp t="s">
        <v>#N/A N/A</v>
        <stp/>
        <stp>BDP|10126642313537737688</stp>
        <tr r="G527" s="2"/>
      </tp>
      <tp t="s">
        <v>#N/A N/A</v>
        <stp/>
        <stp>BDP|10968465989989759381</stp>
        <tr r="T1331" s="2"/>
      </tp>
      <tp t="s">
        <v>#N/A N/A</v>
        <stp/>
        <stp>BDP|13980448039962845053</stp>
        <tr r="C1082" s="2"/>
      </tp>
      <tp t="s">
        <v>#N/A N/A</v>
        <stp/>
        <stp>BDP|13188291873660159037</stp>
        <tr r="P989" s="2"/>
      </tp>
      <tp t="s">
        <v>#N/A N/A</v>
        <stp/>
        <stp>BDP|11963999092896294193</stp>
        <tr r="H1998" s="2"/>
      </tp>
      <tp t="s">
        <v>#N/A N/A</v>
        <stp/>
        <stp>BDP|12440441652167283291</stp>
        <tr r="F1605" s="2"/>
      </tp>
      <tp t="s">
        <v>#N/A N/A</v>
        <stp/>
        <stp>BDP|15555687041225145449</stp>
        <tr r="E6" s="2"/>
      </tp>
      <tp t="s">
        <v>#N/A N/A</v>
        <stp/>
        <stp>BDP|12568746086008687384</stp>
        <tr r="J1344" s="2"/>
      </tp>
      <tp t="s">
        <v>#N/A N/A</v>
        <stp/>
        <stp>BDP|16986137920127202412</stp>
        <tr r="C1229" s="2"/>
      </tp>
      <tp t="s">
        <v>#N/A N/A</v>
        <stp/>
        <stp>BDP|14130183945237570009</stp>
        <tr r="D2017" s="2"/>
      </tp>
      <tp t="s">
        <v>#N/A N/A</v>
        <stp/>
        <stp>BDP|15561454065556922759</stp>
        <tr r="G223" s="2"/>
      </tp>
      <tp t="s">
        <v>#N/A N/A</v>
        <stp/>
        <stp>BDP|11976832131865162937</stp>
        <tr r="F1245" s="2"/>
      </tp>
      <tp t="s">
        <v>#N/A N/A</v>
        <stp/>
        <stp>BDP|12968383308766003101</stp>
        <tr r="C1943" s="2"/>
      </tp>
      <tp t="s">
        <v>#N/A N/A</v>
        <stp/>
        <stp>BDP|11804833794554113274</stp>
        <tr r="S835" s="2"/>
      </tp>
      <tp t="s">
        <v>#N/A N/A</v>
        <stp/>
        <stp>BDP|13633292015277631153</stp>
        <tr r="G579" s="2"/>
      </tp>
      <tp t="s">
        <v>#N/A N/A</v>
        <stp/>
        <stp>BDP|15749315444394871036</stp>
        <tr r="A2229" s="2"/>
      </tp>
      <tp t="s">
        <v>#N/A N/A</v>
        <stp/>
        <stp>BDP|13066377378902184373</stp>
        <tr r="H577" s="2"/>
      </tp>
      <tp t="s">
        <v>#N/A N/A</v>
        <stp/>
        <stp>BDP|13521024289765709803</stp>
        <tr r="S1542" s="2"/>
      </tp>
      <tp t="s">
        <v>#N/A N/A</v>
        <stp/>
        <stp>BDP|17530363148262568476</stp>
        <tr r="Q583" s="2"/>
      </tp>
      <tp t="s">
        <v>#N/A N/A</v>
        <stp/>
        <stp>BDP|11777470412142259091</stp>
        <tr r="Q346" s="2"/>
      </tp>
      <tp t="s">
        <v>#N/A N/A</v>
        <stp/>
        <stp>BDP|17642118635894836735</stp>
        <tr r="G135" s="2"/>
      </tp>
      <tp t="s">
        <v>#N/A N/A</v>
        <stp/>
        <stp>BDP|14026896514668601320</stp>
        <tr r="F1423" s="2"/>
      </tp>
      <tp t="s">
        <v>#N/A N/A</v>
        <stp/>
        <stp>BDP|12046933265723688899</stp>
        <tr r="T1656" s="2"/>
      </tp>
      <tp t="s">
        <v>#N/A N/A</v>
        <stp/>
        <stp>BDP|11913073175819339918</stp>
        <tr r="N1594" s="2"/>
      </tp>
      <tp t="s">
        <v>#N/A N/A</v>
        <stp/>
        <stp>BDP|14594773536993402592</stp>
        <tr r="H692" s="2"/>
      </tp>
      <tp t="s">
        <v>#N/A N/A</v>
        <stp/>
        <stp>BDP|12989342978503875349</stp>
        <tr r="T1610" s="2"/>
      </tp>
      <tp t="s">
        <v>#N/A N/A</v>
        <stp/>
        <stp>BDP|16757151124052936166</stp>
        <tr r="C456" s="2"/>
      </tp>
      <tp t="s">
        <v>#N/A N/A</v>
        <stp/>
        <stp>BDP|13459107241294836442</stp>
        <tr r="H357" s="2"/>
      </tp>
      <tp t="s">
        <v>#N/A N/A</v>
        <stp/>
        <stp>BDS|13712183640551137145</stp>
        <tr r="I1719" s="2"/>
      </tp>
      <tp t="s">
        <v>#N/A N/A</v>
        <stp/>
        <stp>BDP|14713360658160532452</stp>
        <tr r="D239" s="2"/>
      </tp>
      <tp t="s">
        <v>#N/A N/A</v>
        <stp/>
        <stp>BDP|12174366973583929346</stp>
        <tr r="S788" s="2"/>
      </tp>
      <tp t="s">
        <v>#N/A N/A</v>
        <stp/>
        <stp>BDP|17902173032497725425</stp>
        <tr r="G131" s="2"/>
      </tp>
      <tp t="s">
        <v>#N/A N/A</v>
        <stp/>
        <stp>BDP|13319511301253206382</stp>
        <tr r="Q1662" s="2"/>
      </tp>
      <tp t="s">
        <v>#N/A N/A</v>
        <stp/>
        <stp>BDP|15133130473440124595</stp>
        <tr r="F405" s="2"/>
      </tp>
      <tp t="s">
        <v>#N/A N/A</v>
        <stp/>
        <stp>BDP|15208794815857047278</stp>
        <tr r="K1850" s="2"/>
      </tp>
      <tp t="s">
        <v>#N/A N/A</v>
        <stp/>
        <stp>BDP|17158692140204317723</stp>
        <tr r="F268" s="2"/>
      </tp>
      <tp t="s">
        <v>#N/A N/A</v>
        <stp/>
        <stp>BDP|18414551690797902510</stp>
        <tr r="K647" s="2"/>
      </tp>
      <tp t="s">
        <v>#N/A N/A</v>
        <stp/>
        <stp>BDP|18176786693597611752</stp>
        <tr r="P1010" s="2"/>
      </tp>
      <tp t="s">
        <v>#N/A N/A</v>
        <stp/>
        <stp>BDP|13210358128810634405</stp>
        <tr r="C1112" s="2"/>
      </tp>
      <tp t="s">
        <v>#N/A N/A</v>
        <stp/>
        <stp>BDP|10508198258944428694</stp>
        <tr r="R2233" s="2"/>
      </tp>
      <tp t="s">
        <v>#N/A N/A</v>
        <stp/>
        <stp>BDP|16021135940487341290</stp>
        <tr r="G236" s="2"/>
      </tp>
      <tp t="s">
        <v>#N/A N/A</v>
        <stp/>
        <stp>BDP|11196379424133321584</stp>
        <tr r="N469" s="2"/>
      </tp>
      <tp t="s">
        <v>#N/A N/A</v>
        <stp/>
        <stp>BDP|13688937433218790782</stp>
        <tr r="G2195" s="2"/>
      </tp>
      <tp t="s">
        <v>#N/A N/A</v>
        <stp/>
        <stp>BDP|10845740256174335000</stp>
        <tr r="P151" s="2"/>
      </tp>
      <tp t="s">
        <v>#N/A N/A</v>
        <stp/>
        <stp>BDP|14023531167013971242</stp>
        <tr r="S506" s="2"/>
      </tp>
      <tp t="s">
        <v>#N/A N/A</v>
        <stp/>
        <stp>BDP|17704554728497537166</stp>
        <tr r="A754" s="2"/>
      </tp>
      <tp t="s">
        <v>#N/A N/A</v>
        <stp/>
        <stp>BDP|13480968339097720857</stp>
        <tr r="G1768" s="2"/>
      </tp>
      <tp t="s">
        <v>#N/A N/A</v>
        <stp/>
        <stp>BDP|13904699379996709275</stp>
        <tr r="M1669" s="2"/>
      </tp>
      <tp t="s">
        <v>#N/A N/A</v>
        <stp/>
        <stp>BDP|10993001776516698700</stp>
        <tr r="G700" s="2"/>
      </tp>
      <tp t="s">
        <v>#N/A N/A</v>
        <stp/>
        <stp>BDP|10809327105192118773</stp>
        <tr r="Q72" s="2"/>
      </tp>
      <tp t="s">
        <v>#N/A N/A</v>
        <stp/>
        <stp>BDP|11338437856394602293</stp>
        <tr r="E54" s="2"/>
      </tp>
      <tp t="s">
        <v>#N/A N/A</v>
        <stp/>
        <stp>BDP|13270198533697646079</stp>
        <tr r="F1683" s="2"/>
      </tp>
      <tp t="s">
        <v>#N/A N/A</v>
        <stp/>
        <stp>BDS|13419382979327900664</stp>
        <tr r="I111" s="2"/>
      </tp>
      <tp t="s">
        <v>#N/A N/A</v>
        <stp/>
        <stp>BDP|12119071966983805102</stp>
        <tr r="N495" s="2"/>
      </tp>
      <tp t="s">
        <v>#N/A N/A</v>
        <stp/>
        <stp>BDP|10908505769855906016</stp>
        <tr r="K1224" s="2"/>
      </tp>
      <tp t="s">
        <v>#N/A N/A</v>
        <stp/>
        <stp>BDP|16152370433706410698</stp>
        <tr r="E2231" s="2"/>
      </tp>
      <tp t="s">
        <v>#N/A N/A</v>
        <stp/>
        <stp>BDP|18045204298545365038</stp>
        <tr r="C1296" s="2"/>
      </tp>
      <tp t="s">
        <v>#N/A N/A</v>
        <stp/>
        <stp>BDP|12856518422560005333</stp>
        <tr r="C968" s="2"/>
      </tp>
      <tp t="s">
        <v>#N/A N/A</v>
        <stp/>
        <stp>BDP|10837808970591215824</stp>
        <tr r="F1441" s="2"/>
      </tp>
      <tp t="s">
        <v>#N/A N/A</v>
        <stp/>
        <stp>BDS|10852013742764798672</stp>
        <tr r="I397" s="2"/>
      </tp>
      <tp t="s">
        <v>#N/A N/A</v>
        <stp/>
        <stp>BDP|14407155336825732584</stp>
        <tr r="T1181" s="2"/>
      </tp>
      <tp t="s">
        <v>#N/A N/A</v>
        <stp/>
        <stp>BDP|12273079210852583784</stp>
        <tr r="K985" s="2"/>
      </tp>
      <tp t="s">
        <v>#N/A N/A</v>
        <stp/>
        <stp>BDP|13300531740270017488</stp>
        <tr r="D1101" s="2"/>
      </tp>
      <tp t="s">
        <v>#N/A N/A</v>
        <stp/>
        <stp>BDP|10761488411004519736</stp>
        <tr r="A771" s="2"/>
      </tp>
      <tp t="s">
        <v>#N/A N/A</v>
        <stp/>
        <stp>BDP|17173275715384382680</stp>
        <tr r="A976" s="2"/>
      </tp>
      <tp t="s">
        <v>#N/A N/A</v>
        <stp/>
        <stp>BDP|14436586438343973758</stp>
        <tr r="N1597" s="2"/>
      </tp>
      <tp t="s">
        <v>#N/A N/A</v>
        <stp/>
        <stp>BDP|18326093090147188030</stp>
        <tr r="K1609" s="2"/>
      </tp>
      <tp t="s">
        <v>#N/A N/A</v>
        <stp/>
        <stp>BDP|16613357117633406188</stp>
        <tr r="A458" s="2"/>
      </tp>
      <tp t="s">
        <v>#N/A N/A</v>
        <stp/>
        <stp>BDP|11190623076505431394</stp>
        <tr r="K541" s="2"/>
      </tp>
      <tp t="s">
        <v>#N/A N/A</v>
        <stp/>
        <stp>BDP|10540169943406109591</stp>
        <tr r="N916" s="2"/>
      </tp>
      <tp t="s">
        <v>#N/A N/A</v>
        <stp/>
        <stp>BDP|14174339249745260017</stp>
        <tr r="F1795" s="2"/>
      </tp>
      <tp t="s">
        <v>#N/A N/A</v>
        <stp/>
        <stp>BDP|18113250658210486903</stp>
        <tr r="Q1905" s="2"/>
      </tp>
      <tp t="s">
        <v>#N/A N/A</v>
        <stp/>
        <stp>BDP|12039722434379957978</stp>
        <tr r="C2090" s="2"/>
      </tp>
      <tp t="s">
        <v>#N/A N/A</v>
        <stp/>
        <stp>BDP|17553822235369398392</stp>
        <tr r="A66" s="2"/>
      </tp>
      <tp t="s">
        <v>#N/A N/A</v>
        <stp/>
        <stp>BDP|11467618708738158943</stp>
        <tr r="P892" s="2"/>
      </tp>
      <tp t="s">
        <v>#N/A N/A</v>
        <stp/>
        <stp>BDP|12518702097892372893</stp>
        <tr r="N1445" s="2"/>
      </tp>
      <tp t="s">
        <v>#N/A N/A</v>
        <stp/>
        <stp>BDP|13491193684389043513</stp>
        <tr r="C1594" s="2"/>
      </tp>
      <tp t="s">
        <v>#N/A N/A</v>
        <stp/>
        <stp>BDP|15815245350162029649</stp>
        <tr r="K1934" s="2"/>
      </tp>
      <tp t="s">
        <v>#N/A N/A</v>
        <stp/>
        <stp>BDP|17552585281385550918</stp>
        <tr r="K954" s="2"/>
      </tp>
      <tp t="s">
        <v>#N/A N/A</v>
        <stp/>
        <stp>BDP|16795633745623915103</stp>
        <tr r="G486" s="2"/>
      </tp>
      <tp t="s">
        <v>#N/A N/A</v>
        <stp/>
        <stp>BDP|17402447621593096496</stp>
        <tr r="H1430" s="2"/>
      </tp>
      <tp t="s">
        <v>#N/A N/A</v>
        <stp/>
        <stp>BDP|16592828633122584995</stp>
        <tr r="H2142" s="2"/>
      </tp>
      <tp t="s">
        <v>#N/A N/A</v>
        <stp/>
        <stp>BDP|14771896811853232856</stp>
        <tr r="K1070" s="2"/>
      </tp>
      <tp t="s">
        <v>#N/A N/A</v>
        <stp/>
        <stp>BDP|10808762157491082512</stp>
        <tr r="A1324" s="2"/>
      </tp>
      <tp t="s">
        <v>#N/A N/A</v>
        <stp/>
        <stp>BDP|13990651456086793052</stp>
        <tr r="H589" s="2"/>
      </tp>
      <tp t="s">
        <v>#N/A N/A</v>
        <stp/>
        <stp>BDP|14234452074385943425</stp>
        <tr r="P1883" s="2"/>
      </tp>
      <tp t="s">
        <v>#N/A N/A</v>
        <stp/>
        <stp>BDP|15989351425921930380</stp>
        <tr r="G250" s="2"/>
      </tp>
      <tp t="s">
        <v>#N/A N/A</v>
        <stp/>
        <stp>BDP|11968990593535858235</stp>
        <tr r="Q68" s="2"/>
      </tp>
      <tp t="s">
        <v>#N/A N/A</v>
        <stp/>
        <stp>BDP|11512284302540334540</stp>
        <tr r="A459" s="2"/>
      </tp>
      <tp t="s">
        <v>#N/A N/A</v>
        <stp/>
        <stp>BDP|11036620762255924210</stp>
        <tr r="M143" s="2"/>
      </tp>
      <tp t="s">
        <v>#N/A N/A</v>
        <stp/>
        <stp>BDP|12061652609355651721</stp>
        <tr r="P449" s="2"/>
      </tp>
      <tp t="s">
        <v>#N/A N/A</v>
        <stp/>
        <stp>BDP|17458725312170510792</stp>
        <tr r="T697" s="2"/>
      </tp>
      <tp t="s">
        <v>#N/A N/A</v>
        <stp/>
        <stp>BDP|17519317013101836276</stp>
        <tr r="D853" s="2"/>
      </tp>
      <tp t="s">
        <v>#N/A N/A</v>
        <stp/>
        <stp>BDP|11785593764934308013</stp>
        <tr r="G1916" s="2"/>
      </tp>
      <tp t="s">
        <v>#N/A N/A</v>
        <stp/>
        <stp>BDP|16030151838255645735</stp>
        <tr r="Q308" s="2"/>
      </tp>
      <tp t="s">
        <v>#N/A N/A</v>
        <stp/>
        <stp>BDP|11846609175002282474</stp>
        <tr r="M1866" s="2"/>
      </tp>
      <tp t="s">
        <v>#N/A N/A</v>
        <stp/>
        <stp>BDP|12759016919127415232</stp>
        <tr r="K1575" s="2"/>
      </tp>
      <tp t="s">
        <v>#N/A N/A</v>
        <stp/>
        <stp>BDP|15266841667618081598</stp>
        <tr r="M382" s="2"/>
      </tp>
      <tp t="s">
        <v>#N/A N/A</v>
        <stp/>
        <stp>BDP|12969454973176765104</stp>
        <tr r="T2209" s="2"/>
      </tp>
      <tp t="s">
        <v>#N/A N/A</v>
        <stp/>
        <stp>BDP|14845062077504757167</stp>
        <tr r="K294" s="2"/>
      </tp>
      <tp t="s">
        <v>#N/A N/A</v>
        <stp/>
        <stp>BDP|10149244103637667380</stp>
        <tr r="G648" s="2"/>
      </tp>
      <tp t="s">
        <v>#N/A N/A</v>
        <stp/>
        <stp>BDP|16148993986784370557</stp>
        <tr r="C717" s="2"/>
      </tp>
      <tp t="s">
        <v>#N/A N/A</v>
        <stp/>
        <stp>BDP|10129789300813411252</stp>
        <tr r="A1840" s="2"/>
      </tp>
      <tp t="s">
        <v>#N/A N/A</v>
        <stp/>
        <stp>BDP|16723029209998135856</stp>
        <tr r="O2161" s="2"/>
      </tp>
      <tp t="s">
        <v>#N/A N/A</v>
        <stp/>
        <stp>BDS|10095893202798433649</stp>
        <tr r="I390" s="2"/>
      </tp>
      <tp t="s">
        <v>#N/A N/A</v>
        <stp/>
        <stp>BDP|10395580912402433059</stp>
        <tr r="M1329" s="2"/>
      </tp>
      <tp t="s">
        <v>#N/A N/A</v>
        <stp/>
        <stp>BDP|13268850529227404823</stp>
        <tr r="A1584" s="2"/>
      </tp>
      <tp t="s">
        <v>#N/A N/A</v>
        <stp/>
        <stp>BDP|17612681842282336176</stp>
        <tr r="C1478" s="2"/>
      </tp>
      <tp t="s">
        <v>#N/A N/A</v>
        <stp/>
        <stp>BDP|16012225408350503270</stp>
        <tr r="C1539" s="2"/>
      </tp>
      <tp t="s">
        <v>#N/A N/A</v>
        <stp/>
        <stp>BDP|17370008150696864239</stp>
        <tr r="A1773" s="2"/>
      </tp>
      <tp t="s">
        <v>#N/A N/A</v>
        <stp/>
        <stp>BDP|10853213738652028594</stp>
        <tr r="O1774" s="2"/>
      </tp>
      <tp t="s">
        <v>#N/A N/A</v>
        <stp/>
        <stp>BDS|15724825899767161560</stp>
        <tr r="I1248" s="2"/>
      </tp>
      <tp t="s">
        <v>#N/A N/A</v>
        <stp/>
        <stp>BDP|12638140986324454983</stp>
        <tr r="D1856" s="2"/>
      </tp>
      <tp t="s">
        <v>#N/A N/A</v>
        <stp/>
        <stp>BDP|16043072089409154171</stp>
        <tr r="S874" s="2"/>
      </tp>
      <tp t="s">
        <v>#N/A N/A</v>
        <stp/>
        <stp>BDP|12242042021962715488</stp>
        <tr r="P442" s="2"/>
      </tp>
      <tp t="s">
        <v>#N/A N/A</v>
        <stp/>
        <stp>BDP|16121237988722277800</stp>
        <tr r="Q1838" s="2"/>
      </tp>
      <tp t="s">
        <v>#N/A N/A</v>
        <stp/>
        <stp>BDP|13471939607094022889</stp>
        <tr r="K939" s="2"/>
      </tp>
      <tp t="s">
        <v>#N/A N/A</v>
        <stp/>
        <stp>BDP|15518693128004465381</stp>
        <tr r="H1254" s="2"/>
      </tp>
      <tp t="s">
        <v>#N/A N/A</v>
        <stp/>
        <stp>BDP|10275070260305549585</stp>
        <tr r="N1465" s="2"/>
      </tp>
      <tp t="s">
        <v>#N/A N/A</v>
        <stp/>
        <stp>BDP|14818263372591428600</stp>
        <tr r="F826" s="2"/>
      </tp>
      <tp t="s">
        <v>#N/A N/A</v>
        <stp/>
        <stp>BDP|12895074652879483818</stp>
        <tr r="Q365" s="2"/>
      </tp>
      <tp t="s">
        <v>#N/A N/A</v>
        <stp/>
        <stp>BDP|16678181683019248077</stp>
        <tr r="M700" s="2"/>
      </tp>
      <tp t="s">
        <v>#N/A N/A</v>
        <stp/>
        <stp>BDP|11345087673503500353</stp>
        <tr r="Q1906" s="2"/>
      </tp>
      <tp t="s">
        <v>#N/A N/A</v>
        <stp/>
        <stp>BDP|17078434168067240413</stp>
        <tr r="Q485" s="2"/>
      </tp>
      <tp t="s">
        <v>#N/A N/A</v>
        <stp/>
        <stp>BDP|12715418028926562432</stp>
        <tr r="S1732" s="2"/>
      </tp>
      <tp t="s">
        <v>#N/A N/A</v>
        <stp/>
        <stp>BDP|17792688777435180519</stp>
        <tr r="O1326" s="2"/>
      </tp>
      <tp t="s">
        <v>#N/A N/A</v>
        <stp/>
        <stp>BDP|10800534213791558352</stp>
        <tr r="P1310" s="2"/>
      </tp>
      <tp t="s">
        <v>#N/A N/A</v>
        <stp/>
        <stp>BDP|17138793495149136679</stp>
        <tr r="K1670" s="2"/>
      </tp>
      <tp t="s">
        <v>#N/A N/A</v>
        <stp/>
        <stp>BDP|15828312571754151329</stp>
        <tr r="G1710" s="2"/>
      </tp>
      <tp t="s">
        <v>#N/A N/A</v>
        <stp/>
        <stp>BDP|16348385234546575618</stp>
        <tr r="C691" s="2"/>
      </tp>
      <tp t="s">
        <v>#N/A N/A</v>
        <stp/>
        <stp>BDP|17928956192403732228</stp>
        <tr r="H439" s="2"/>
      </tp>
      <tp t="s">
        <v>#N/A N/A</v>
        <stp/>
        <stp>BDP|13943764454634591354</stp>
        <tr r="R25" s="2"/>
      </tp>
      <tp t="s">
        <v>#N/A N/A</v>
        <stp/>
        <stp>BDS|14235333314924439490</stp>
        <tr r="I333" s="2"/>
      </tp>
      <tp t="s">
        <v>#N/A N/A</v>
        <stp/>
        <stp>BDP|11870677507221389000</stp>
        <tr r="M877" s="2"/>
      </tp>
      <tp t="s">
        <v>#N/A N/A</v>
        <stp/>
        <stp>BDP|12855679110346129557</stp>
        <tr r="G672" s="2"/>
      </tp>
      <tp t="s">
        <v>#N/A N/A</v>
        <stp/>
        <stp>BDP|13979561981921466913</stp>
        <tr r="N2094" s="2"/>
      </tp>
      <tp t="s">
        <v>#N/A N/A</v>
        <stp/>
        <stp>BDP|12011224319427687063</stp>
        <tr r="C1189" s="2"/>
      </tp>
      <tp t="s">
        <v>#N/A N/A</v>
        <stp/>
        <stp>BDP|16363582391978170400</stp>
        <tr r="P1473" s="2"/>
      </tp>
      <tp t="s">
        <v>#N/A N/A</v>
        <stp/>
        <stp>BDP|11267454966796265389</stp>
        <tr r="R2153" s="2"/>
      </tp>
      <tp t="s">
        <v>#N/A N/A</v>
        <stp/>
        <stp>BDP|10353417245795895345</stp>
        <tr r="C1772" s="2"/>
      </tp>
      <tp t="s">
        <v>#N/A N/A</v>
        <stp/>
        <stp>BDP|14130815418113799847</stp>
        <tr r="J403" s="2"/>
      </tp>
      <tp t="s">
        <v>#N/A N/A</v>
        <stp/>
        <stp>BDP|11513287916082089607</stp>
        <tr r="E72" s="2"/>
      </tp>
      <tp t="s">
        <v>#N/A N/A</v>
        <stp/>
        <stp>BDP|15826690643640055198</stp>
        <tr r="C409" s="2"/>
      </tp>
      <tp t="s">
        <v>#N/A N/A</v>
        <stp/>
        <stp>BDP|10089776607096255792</stp>
        <tr r="R1089" s="2"/>
      </tp>
      <tp t="s">
        <v>#N/A N/A</v>
        <stp/>
        <stp>BDP|10319607858772514759</stp>
        <tr r="E417" s="2"/>
      </tp>
      <tp t="s">
        <v>#N/A N/A</v>
        <stp/>
        <stp>BDP|12504614887579897300</stp>
        <tr r="J173" s="2"/>
      </tp>
      <tp t="s">
        <v>#N/A N/A</v>
        <stp/>
        <stp>BDP|15432770569316018419</stp>
        <tr r="D78" s="2"/>
      </tp>
      <tp t="s">
        <v>#N/A N/A</v>
        <stp/>
        <stp>BDP|13056098982464512950</stp>
        <tr r="R1803" s="2"/>
      </tp>
      <tp t="s">
        <v>#N/A N/A</v>
        <stp/>
        <stp>BDP|14688395511728775825</stp>
        <tr r="R1637" s="2"/>
      </tp>
      <tp t="s">
        <v>#N/A N/A</v>
        <stp/>
        <stp>BDP|17636187361827602124</stp>
        <tr r="H617" s="2"/>
      </tp>
      <tp t="s">
        <v>#N/A N/A</v>
        <stp/>
        <stp>BDP|15651902248368446618</stp>
        <tr r="H1524" s="2"/>
      </tp>
      <tp t="s">
        <v>#N/A N/A</v>
        <stp/>
        <stp>BDP|11920038140696575544</stp>
        <tr r="E1066" s="2"/>
      </tp>
      <tp t="s">
        <v>#N/A N/A</v>
        <stp/>
        <stp>BDP|15558620861206509588</stp>
        <tr r="N758" s="2"/>
      </tp>
      <tp t="s">
        <v>#N/A N/A</v>
        <stp/>
        <stp>BDP|16972541998449646589</stp>
        <tr r="Q1743" s="2"/>
      </tp>
      <tp t="s">
        <v>#N/A N/A</v>
        <stp/>
        <stp>BDP|11818018280169438664</stp>
        <tr r="E1925" s="2"/>
      </tp>
      <tp t="s">
        <v>#N/A N/A</v>
        <stp/>
        <stp>BDP|16477666539743681661</stp>
        <tr r="F1131" s="2"/>
      </tp>
      <tp t="s">
        <v>#N/A N/A</v>
        <stp/>
        <stp>BDP|11964204105604623119</stp>
        <tr r="S429" s="2"/>
      </tp>
      <tp t="s">
        <v>#N/A N/A</v>
        <stp/>
        <stp>BDP|16446731576971917132</stp>
        <tr r="R1425" s="2"/>
      </tp>
      <tp t="s">
        <v>#N/A N/A</v>
        <stp/>
        <stp>BDP|14569007343221954748</stp>
        <tr r="M1159" s="2"/>
      </tp>
      <tp t="s">
        <v>#N/A N/A</v>
        <stp/>
        <stp>BDP|11956523934063281260</stp>
        <tr r="C1851" s="2"/>
      </tp>
      <tp t="s">
        <v>#N/A N/A</v>
        <stp/>
        <stp>BDS|12864470902943611330</stp>
        <tr r="I2174" s="2"/>
      </tp>
      <tp t="s">
        <v>#N/A N/A</v>
        <stp/>
        <stp>BDP|14681474944527821565</stp>
        <tr r="H1944" s="2"/>
      </tp>
      <tp t="s">
        <v>#N/A N/A</v>
        <stp/>
        <stp>BDP|14455485381959761711</stp>
        <tr r="H48" s="2"/>
      </tp>
      <tp t="s">
        <v>#N/A N/A</v>
        <stp/>
        <stp>BDP|14039087421331627148</stp>
        <tr r="G1951" s="2"/>
      </tp>
      <tp t="s">
        <v>#N/A N/A</v>
        <stp/>
        <stp>BDP|13371479499300323852</stp>
        <tr r="P974" s="2"/>
      </tp>
      <tp t="s">
        <v>#N/A N/A</v>
        <stp/>
        <stp>BDP|15199544477064884519</stp>
        <tr r="O994" s="2"/>
      </tp>
      <tp t="s">
        <v>#N/A N/A</v>
        <stp/>
        <stp>BDP|12845661410654383767</stp>
        <tr r="K119" s="2"/>
      </tp>
      <tp t="s">
        <v>#N/A N/A</v>
        <stp/>
        <stp>BDP|13856559745321734540</stp>
        <tr r="K1532" s="2"/>
      </tp>
      <tp t="s">
        <v>#N/A N/A</v>
        <stp/>
        <stp>BDP|15961675650448322869</stp>
        <tr r="J1732" s="2"/>
      </tp>
      <tp t="s">
        <v>#N/A N/A</v>
        <stp/>
        <stp>BDP|10216425655163969470</stp>
        <tr r="Q944" s="2"/>
      </tp>
      <tp t="s">
        <v>#N/A N/A</v>
        <stp/>
        <stp>BDS|14090105989643405859</stp>
        <tr r="I1586" s="2"/>
      </tp>
      <tp t="s">
        <v>#N/A N/A</v>
        <stp/>
        <stp>BDS|10499489633792053371</stp>
        <tr r="I1756" s="2"/>
      </tp>
      <tp t="s">
        <v>#N/A N/A</v>
        <stp/>
        <stp>BDP|10550250611434361194</stp>
        <tr r="R1875" s="2"/>
      </tp>
      <tp t="s">
        <v>#N/A N/A</v>
        <stp/>
        <stp>BDP|15901308643123393723</stp>
        <tr r="Q710" s="2"/>
      </tp>
      <tp t="s">
        <v>#N/A N/A</v>
        <stp/>
        <stp>BDP|11043114551022359187</stp>
        <tr r="R861" s="2"/>
      </tp>
      <tp t="s">
        <v>#N/A N/A</v>
        <stp/>
        <stp>BDP|17273454848006700731</stp>
        <tr r="N551" s="2"/>
      </tp>
      <tp t="s">
        <v>#N/A N/A</v>
        <stp/>
        <stp>BDP|14117224703602861237</stp>
        <tr r="J1575" s="2"/>
      </tp>
      <tp t="s">
        <v>#N/A N/A</v>
        <stp/>
        <stp>BDP|14778324157296073294</stp>
        <tr r="G402" s="2"/>
      </tp>
      <tp t="s">
        <v>#N/A N/A</v>
        <stp/>
        <stp>BDS|16247234347093602581</stp>
        <tr r="I233" s="2"/>
      </tp>
      <tp t="s">
        <v>#N/A N/A</v>
        <stp/>
        <stp>BDP|16488901059458543438</stp>
        <tr r="R1951" s="2"/>
      </tp>
      <tp t="s">
        <v>#N/A N/A</v>
        <stp/>
        <stp>BDP|14753775718337676355</stp>
        <tr r="D1311" s="2"/>
      </tp>
      <tp t="s">
        <v>#N/A N/A</v>
        <stp/>
        <stp>BDS|10566292522056663002</stp>
        <tr r="I2151" s="2"/>
      </tp>
      <tp t="s">
        <v>#N/A N/A</v>
        <stp/>
        <stp>BDP|14662624408560146463</stp>
        <tr r="R395" s="2"/>
      </tp>
      <tp t="s">
        <v>#N/A N/A</v>
        <stp/>
        <stp>BDP|18007664792417840674</stp>
        <tr r="G528" s="2"/>
      </tp>
      <tp t="s">
        <v>#N/A N/A</v>
        <stp/>
        <stp>BDP|11115596542077334124</stp>
        <tr r="T2057" s="2"/>
      </tp>
      <tp t="s">
        <v>#N/A N/A</v>
        <stp/>
        <stp>BDP|13627145339347662062</stp>
        <tr r="S321" s="2"/>
      </tp>
      <tp t="s">
        <v>#N/A N/A</v>
        <stp/>
        <stp>BDP|16131800969638076635</stp>
        <tr r="S1434" s="2"/>
      </tp>
      <tp t="s">
        <v>#N/A N/A</v>
        <stp/>
        <stp>BDP|17965670761180547114</stp>
        <tr r="M393" s="2"/>
      </tp>
      <tp t="s">
        <v>#N/A N/A</v>
        <stp/>
        <stp>BDP|10179905168539484068</stp>
        <tr r="R801" s="2"/>
      </tp>
      <tp t="s">
        <v>#N/A N/A</v>
        <stp/>
        <stp>BDP|13421199801444585020</stp>
        <tr r="C1811" s="2"/>
      </tp>
      <tp t="s">
        <v>#N/A N/A</v>
        <stp/>
        <stp>BDP|17954376520793703323</stp>
        <tr r="A1481" s="2"/>
      </tp>
      <tp t="s">
        <v>#N/A N/A</v>
        <stp/>
        <stp>BDS|18097096300977188909</stp>
        <tr r="I758" s="2"/>
      </tp>
      <tp t="s">
        <v>#N/A N/A</v>
        <stp/>
        <stp>BDP|10802177446043684048</stp>
        <tr r="C441" s="2"/>
      </tp>
      <tp t="s">
        <v>#N/A N/A</v>
        <stp/>
        <stp>BDP|14986468837262209715</stp>
        <tr r="H289" s="2"/>
      </tp>
      <tp t="s">
        <v>#N/A N/A</v>
        <stp/>
        <stp>BDP|17835587558255084439</stp>
        <tr r="P1570" s="2"/>
      </tp>
      <tp t="s">
        <v>#N/A N/A</v>
        <stp/>
        <stp>BDP|14141362257337310383</stp>
        <tr r="O337" s="2"/>
      </tp>
      <tp t="s">
        <v>#N/A N/A</v>
        <stp/>
        <stp>BDP|12391795550211197700</stp>
        <tr r="G1291" s="2"/>
      </tp>
      <tp t="s">
        <v>#N/A N/A</v>
        <stp/>
        <stp>BDP|18368769894266828629</stp>
        <tr r="G1422" s="2"/>
      </tp>
      <tp t="s">
        <v>#N/A N/A</v>
        <stp/>
        <stp>BDP|13625697910050150256</stp>
        <tr r="S1868" s="2"/>
      </tp>
      <tp t="s">
        <v>#N/A N/A</v>
        <stp/>
        <stp>BDP|14140687435561068676</stp>
        <tr r="M2118" s="2"/>
      </tp>
      <tp t="s">
        <v>#N/A N/A</v>
        <stp/>
        <stp>BDP|15560016556155116386</stp>
        <tr r="J2245" s="2"/>
      </tp>
      <tp t="s">
        <v>#N/A N/A</v>
        <stp/>
        <stp>BDP|15643969338851176824</stp>
        <tr r="O2079" s="2"/>
      </tp>
      <tp t="s">
        <v>#N/A N/A</v>
        <stp/>
        <stp>BDP|11468576019514564746</stp>
        <tr r="R1465" s="2"/>
      </tp>
      <tp t="s">
        <v>#N/A N/A</v>
        <stp/>
        <stp>BDP|12971770012684614615</stp>
        <tr r="P631" s="2"/>
      </tp>
      <tp t="s">
        <v>#N/A N/A</v>
        <stp/>
        <stp>BDS|16321514747632578382</stp>
        <tr r="I1869" s="2"/>
      </tp>
      <tp t="s">
        <v>#N/A N/A</v>
        <stp/>
        <stp>BDP|13515153922696139082</stp>
        <tr r="Q2149" s="2"/>
      </tp>
      <tp t="s">
        <v>#N/A N/A</v>
        <stp/>
        <stp>BDS|15678191074542610757</stp>
        <tr r="I2242" s="2"/>
      </tp>
      <tp t="s">
        <v>#N/A N/A</v>
        <stp/>
        <stp>BDP|11802715054295334051</stp>
        <tr r="D1166" s="2"/>
      </tp>
      <tp t="s">
        <v>#N/A N/A</v>
        <stp/>
        <stp>BDP|15866656976680148217</stp>
        <tr r="M281" s="2"/>
      </tp>
      <tp t="s">
        <v>#N/A N/A</v>
        <stp/>
        <stp>BDP|16855129784599744028</stp>
        <tr r="H1160" s="2"/>
      </tp>
      <tp t="s">
        <v>#N/A N/A</v>
        <stp/>
        <stp>BDP|17629353899162470952</stp>
        <tr r="R618" s="2"/>
      </tp>
      <tp t="s">
        <v>#N/A N/A</v>
        <stp/>
        <stp>BDP|14756375823495131692</stp>
        <tr r="H1561" s="2"/>
      </tp>
      <tp t="s">
        <v>#N/A N/A</v>
        <stp/>
        <stp>BDP|13641644174405863157</stp>
        <tr r="S59" s="2"/>
      </tp>
      <tp t="s">
        <v>#N/A N/A</v>
        <stp/>
        <stp>BDP|16406851488792004222</stp>
        <tr r="C1405" s="2"/>
      </tp>
      <tp t="s">
        <v>#N/A N/A</v>
        <stp/>
        <stp>BDP|16365969296804173494</stp>
        <tr r="F1765" s="2"/>
      </tp>
      <tp t="s">
        <v>#N/A N/A</v>
        <stp/>
        <stp>BDP|14411088313097046456</stp>
        <tr r="J152" s="2"/>
      </tp>
      <tp t="s">
        <v>#N/A N/A</v>
        <stp/>
        <stp>BDS|11186692260696322125</stp>
        <tr r="I2097" s="2"/>
      </tp>
      <tp t="s">
        <v>#N/A N/A</v>
        <stp/>
        <stp>BDP|16773150202544284581</stp>
        <tr r="R1019" s="2"/>
      </tp>
      <tp t="s">
        <v>#N/A N/A</v>
        <stp/>
        <stp>BDP|12972703166315681034</stp>
        <tr r="C1939" s="2"/>
      </tp>
      <tp t="s">
        <v>#N/A N/A</v>
        <stp/>
        <stp>BDP|13063471208633181242</stp>
        <tr r="N26" s="2"/>
      </tp>
      <tp t="s">
        <v>#N/A N/A</v>
        <stp/>
        <stp>BDP|10005009752985121698</stp>
        <tr r="F1954" s="2"/>
      </tp>
      <tp t="s">
        <v>#N/A N/A</v>
        <stp/>
        <stp>BDP|13163956952171998852</stp>
        <tr r="G1174" s="2"/>
      </tp>
      <tp t="s">
        <v>#N/A N/A</v>
        <stp/>
        <stp>BDP|13430698533824082441</stp>
        <tr r="Q1664" s="2"/>
      </tp>
      <tp t="s">
        <v>#N/A N/A</v>
        <stp/>
        <stp>BDP|16570587922150588703</stp>
        <tr r="H1078" s="2"/>
      </tp>
      <tp t="s">
        <v>#N/A N/A</v>
        <stp/>
        <stp>BDP|14185640316327107281</stp>
        <tr r="D1373" s="2"/>
      </tp>
      <tp t="s">
        <v>#N/A N/A</v>
        <stp/>
        <stp>BDP|12866858897435874084</stp>
        <tr r="A219" s="2"/>
      </tp>
      <tp t="s">
        <v>#N/A N/A</v>
        <stp/>
        <stp>BDP|17563146145831862567</stp>
        <tr r="D728" s="2"/>
      </tp>
      <tp t="s">
        <v>#N/A N/A</v>
        <stp/>
        <stp>BDP|11125759108042074264</stp>
        <tr r="Q1917" s="2"/>
      </tp>
      <tp t="s">
        <v>#N/A N/A</v>
        <stp/>
        <stp>BDP|10611865669209761148</stp>
        <tr r="P1290" s="2"/>
      </tp>
      <tp t="s">
        <v>#N/A N/A</v>
        <stp/>
        <stp>BDP|15890052223651567013</stp>
        <tr r="K833" s="2"/>
      </tp>
      <tp t="s">
        <v>#N/A N/A</v>
        <stp/>
        <stp>BDP|13898932687042361652</stp>
        <tr r="F1617" s="2"/>
      </tp>
      <tp t="s">
        <v>#N/A N/A</v>
        <stp/>
        <stp>BDP|10463459578777064231</stp>
        <tr r="K171" s="2"/>
      </tp>
      <tp t="s">
        <v>#N/A N/A</v>
        <stp/>
        <stp>BDP|10779502558997211172</stp>
        <tr r="R2205" s="2"/>
      </tp>
      <tp t="s">
        <v>#N/A N/A</v>
        <stp/>
        <stp>BDP|13751578071620202794</stp>
        <tr r="D867" s="2"/>
      </tp>
      <tp t="s">
        <v>#N/A N/A</v>
        <stp/>
        <stp>BDP|11768918255152031992</stp>
        <tr r="P1443" s="2"/>
      </tp>
      <tp t="s">
        <v>#N/A N/A</v>
        <stp/>
        <stp>BDP|15159049491519836364</stp>
        <tr r="S1659" s="2"/>
      </tp>
      <tp t="s">
        <v>#N/A N/A</v>
        <stp/>
        <stp>BDP|16893313530267432775</stp>
        <tr r="O1216" s="2"/>
      </tp>
      <tp t="s">
        <v>#N/A N/A</v>
        <stp/>
        <stp>BDP|17934277553825758304</stp>
        <tr r="G1544" s="2"/>
      </tp>
      <tp t="s">
        <v>#N/A N/A</v>
        <stp/>
        <stp>BDP|13391883837318419625</stp>
        <tr r="S2217" s="2"/>
      </tp>
      <tp t="s">
        <v>#N/A N/A</v>
        <stp/>
        <stp>BDP|13586604248100567726</stp>
        <tr r="H2237" s="2"/>
      </tp>
      <tp t="s">
        <v>#N/A N/A</v>
        <stp/>
        <stp>BDP|15644823145908839731</stp>
        <tr r="N1524" s="2"/>
      </tp>
      <tp t="s">
        <v>#N/A N/A</v>
        <stp/>
        <stp>BDP|11789867739639216504</stp>
        <tr r="S545" s="2"/>
      </tp>
      <tp t="s">
        <v>#N/A N/A</v>
        <stp/>
        <stp>BDP|15660389974076564155</stp>
        <tr r="R2179" s="2"/>
      </tp>
      <tp t="s">
        <v>#N/A N/A</v>
        <stp/>
        <stp>BDP|11603520991038859379</stp>
        <tr r="Q587" s="2"/>
      </tp>
      <tp t="s">
        <v>#N/A N/A</v>
        <stp/>
        <stp>BDP|17295945973006767989</stp>
        <tr r="G418" s="2"/>
      </tp>
      <tp t="s">
        <v>#N/A N/A</v>
        <stp/>
        <stp>BDP|17435246770751807521</stp>
        <tr r="Q555" s="2"/>
      </tp>
      <tp t="s">
        <v>#N/A N/A</v>
        <stp/>
        <stp>BDP|17556395597649767263</stp>
        <tr r="Q1654" s="2"/>
      </tp>
      <tp t="s">
        <v>#N/A N/A</v>
        <stp/>
        <stp>BDP|16970507950311494178</stp>
        <tr r="K1907" s="2"/>
      </tp>
      <tp t="s">
        <v>#N/A N/A</v>
        <stp/>
        <stp>BDP|11344251305272108785</stp>
        <tr r="R388" s="2"/>
      </tp>
      <tp t="s">
        <v>#N/A N/A</v>
        <stp/>
        <stp>BDP|13671310928445447115</stp>
        <tr r="H1576" s="2"/>
      </tp>
      <tp t="s">
        <v>#N/A N/A</v>
        <stp/>
        <stp>BDS|15656427852503624197</stp>
        <tr r="I1601" s="2"/>
      </tp>
      <tp t="s">
        <v>#N/A N/A</v>
        <stp/>
        <stp>BDP|16012831990471815014</stp>
        <tr r="F1175" s="2"/>
      </tp>
      <tp t="s">
        <v>#N/A N/A</v>
        <stp/>
        <stp>BDP|11571637078436469003</stp>
        <tr r="G1619" s="2"/>
      </tp>
      <tp t="s">
        <v>#N/A N/A</v>
        <stp/>
        <stp>BDP|14101621569960785271</stp>
        <tr r="H670" s="2"/>
      </tp>
      <tp t="s">
        <v>#N/A N/A</v>
        <stp/>
        <stp>BDP|13720202412016853074</stp>
        <tr r="D1837" s="2"/>
      </tp>
      <tp t="s">
        <v>#N/A N/A</v>
        <stp/>
        <stp>BDP|11192160418873103440</stp>
        <tr r="M2249" s="2"/>
      </tp>
      <tp t="s">
        <v>#N/A N/A</v>
        <stp/>
        <stp>BDP|13701311379584377563</stp>
        <tr r="J404" s="2"/>
      </tp>
      <tp t="s">
        <v>#N/A N/A</v>
        <stp/>
        <stp>BDP|15689798337771404667</stp>
        <tr r="T1007" s="2"/>
      </tp>
      <tp t="s">
        <v>#N/A N/A</v>
        <stp/>
        <stp>BDP|12726551116480877060</stp>
        <tr r="O1367" s="2"/>
      </tp>
      <tp t="s">
        <v>#N/A N/A</v>
        <stp/>
        <stp>BDP|15446116665266910231</stp>
        <tr r="A1524" s="2"/>
      </tp>
      <tp t="s">
        <v>#N/A N/A</v>
        <stp/>
        <stp>BDP|11355174518242148570</stp>
        <tr r="A2237" s="2"/>
      </tp>
      <tp t="s">
        <v>#N/A N/A</v>
        <stp/>
        <stp>BDP|14763561338591135526</stp>
        <tr r="O319" s="2"/>
      </tp>
      <tp t="s">
        <v>#N/A N/A</v>
        <stp/>
        <stp>BDP|11913207971255046727</stp>
        <tr r="P1042" s="2"/>
      </tp>
      <tp t="s">
        <v>#N/A N/A</v>
        <stp/>
        <stp>BDP|17922146860037323141</stp>
        <tr r="J1901" s="2"/>
      </tp>
      <tp t="s">
        <v>#N/A N/A</v>
        <stp/>
        <stp>BDP|11136297549159371885</stp>
        <tr r="Q995" s="2"/>
      </tp>
      <tp t="s">
        <v>#N/A N/A</v>
        <stp/>
        <stp>BDP|13260763533256401790</stp>
        <tr r="A705" s="2"/>
      </tp>
      <tp t="s">
        <v>#N/A N/A</v>
        <stp/>
        <stp>BDP|17254548739781295675</stp>
        <tr r="G213" s="2"/>
      </tp>
      <tp t="s">
        <v>#N/A N/A</v>
        <stp/>
        <stp>BDP|10779555318645935791</stp>
        <tr r="R1792" s="2"/>
      </tp>
      <tp t="s">
        <v>#N/A N/A</v>
        <stp/>
        <stp>BDP|16885352153045054349</stp>
        <tr r="T741" s="2"/>
      </tp>
      <tp t="s">
        <v>#N/A N/A</v>
        <stp/>
        <stp>BDP|14836976402333376847</stp>
        <tr r="O204" s="2"/>
      </tp>
      <tp t="s">
        <v>#N/A N/A</v>
        <stp/>
        <stp>BDP|10432684676421264623</stp>
        <tr r="H1375" s="2"/>
      </tp>
      <tp t="s">
        <v>#N/A N/A</v>
        <stp/>
        <stp>BDP|16311505845200942157</stp>
        <tr r="P828" s="2"/>
      </tp>
      <tp t="s">
        <v>#N/A N/A</v>
        <stp/>
        <stp>BDP|10823003303192113404</stp>
        <tr r="Q2031" s="2"/>
      </tp>
      <tp t="s">
        <v>#N/A N/A</v>
        <stp/>
        <stp>BDP|12452557676195909346</stp>
        <tr r="G277" s="2"/>
      </tp>
      <tp t="s">
        <v>#N/A N/A</v>
        <stp/>
        <stp>BDP|13087073525511132698</stp>
        <tr r="J1964" s="2"/>
      </tp>
      <tp t="s">
        <v>#N/A N/A</v>
        <stp/>
        <stp>BDP|14975535160442211322</stp>
        <tr r="O1420" s="2"/>
      </tp>
      <tp t="s">
        <v>#N/A N/A</v>
        <stp/>
        <stp>BDP|15844001552755735374</stp>
        <tr r="K930" s="2"/>
      </tp>
      <tp t="s">
        <v>#N/A N/A</v>
        <stp/>
        <stp>BDP|12568792563424222176</stp>
        <tr r="S1025" s="2"/>
      </tp>
      <tp t="s">
        <v>#N/A N/A</v>
        <stp/>
        <stp>BDP|14644481818576432187</stp>
        <tr r="K2197" s="2"/>
      </tp>
      <tp t="s">
        <v>#N/A N/A</v>
        <stp/>
        <stp>BDP|17573191724417230505</stp>
        <tr r="R294" s="2"/>
      </tp>
      <tp t="s">
        <v>#N/A N/A</v>
        <stp/>
        <stp>BDP|16104594562234126710</stp>
        <tr r="M424" s="2"/>
      </tp>
      <tp t="s">
        <v>#N/A N/A</v>
        <stp/>
        <stp>BDP|11387011059727522548</stp>
        <tr r="D1598" s="2"/>
      </tp>
      <tp t="s">
        <v>#N/A N/A</v>
        <stp/>
        <stp>BDP|12834351031754687009</stp>
        <tr r="C1019" s="2"/>
      </tp>
      <tp t="s">
        <v>#N/A N/A</v>
        <stp/>
        <stp>BDP|14324046528363615332</stp>
        <tr r="P1235" s="2"/>
      </tp>
      <tp t="s">
        <v>#N/A N/A</v>
        <stp/>
        <stp>BDP|10341662086388765098</stp>
        <tr r="D1363" s="2"/>
      </tp>
      <tp t="s">
        <v>#N/A N/A</v>
        <stp/>
        <stp>BDP|14425386507922409326</stp>
        <tr r="A1231" s="2"/>
      </tp>
      <tp t="s">
        <v>#N/A N/A</v>
        <stp/>
        <stp>BDP|18182620475418241793</stp>
        <tr r="Q1599" s="2"/>
      </tp>
      <tp t="s">
        <v>#N/A N/A</v>
        <stp/>
        <stp>BDP|11900740124125083742</stp>
        <tr r="N1873" s="2"/>
      </tp>
      <tp t="s">
        <v>#N/A N/A</v>
        <stp/>
        <stp>BDP|17363078271635040387</stp>
        <tr r="O872" s="2"/>
      </tp>
      <tp t="s">
        <v>#N/A N/A</v>
        <stp/>
        <stp>BDP|14494473076690100196</stp>
        <tr r="A1677" s="2"/>
      </tp>
      <tp t="s">
        <v>#N/A N/A</v>
        <stp/>
        <stp>BDP|14430833968554077828</stp>
        <tr r="G1498" s="2"/>
      </tp>
      <tp t="s">
        <v>#N/A N/A</v>
        <stp/>
        <stp>BDP|12747166473020784280</stp>
        <tr r="O233" s="2"/>
      </tp>
      <tp t="s">
        <v>#N/A N/A</v>
        <stp/>
        <stp>BDP|17043443185628524599</stp>
        <tr r="E2067" s="2"/>
      </tp>
      <tp t="s">
        <v>#N/A N/A</v>
        <stp/>
        <stp>BDP|17614734499249757668</stp>
        <tr r="C749" s="2"/>
      </tp>
      <tp t="s">
        <v>#N/A N/A</v>
        <stp/>
        <stp>BDP|17898907821459408303</stp>
        <tr r="K1845" s="2"/>
      </tp>
      <tp t="s">
        <v>#N/A N/A</v>
        <stp/>
        <stp>BDP|13799647564806885327</stp>
        <tr r="M1978" s="2"/>
      </tp>
      <tp t="s">
        <v>#N/A N/A</v>
        <stp/>
        <stp>BDS|14258360772514815208</stp>
        <tr r="I1706" s="2"/>
      </tp>
      <tp t="s">
        <v>#N/A N/A</v>
        <stp/>
        <stp>BDP|10914257667421629308</stp>
        <tr r="Q979" s="2"/>
      </tp>
      <tp t="s">
        <v>#N/A N/A</v>
        <stp/>
        <stp>BDP|16959335447944660367</stp>
        <tr r="S128" s="2"/>
      </tp>
      <tp t="s">
        <v>#N/A N/A</v>
        <stp/>
        <stp>BDP|15296262263965387292</stp>
        <tr r="N740" s="2"/>
      </tp>
      <tp t="s">
        <v>#N/A N/A</v>
        <stp/>
        <stp>BDP|14276636258331597013</stp>
        <tr r="F2121" s="2"/>
      </tp>
      <tp t="s">
        <v>#N/A N/A</v>
        <stp/>
        <stp>BDP|14889469709775207389</stp>
        <tr r="J1260" s="2"/>
      </tp>
      <tp t="s">
        <v>#N/A N/A</v>
        <stp/>
        <stp>BDP|15847098137371900120</stp>
        <tr r="R733" s="2"/>
      </tp>
      <tp t="s">
        <v>#N/A N/A</v>
        <stp/>
        <stp>BDS|10803728903725208450</stp>
        <tr r="I1564" s="2"/>
      </tp>
      <tp t="s">
        <v>#N/A N/A</v>
        <stp/>
        <stp>BDP|13077149428661876790</stp>
        <tr r="C1882" s="2"/>
      </tp>
      <tp t="s">
        <v>#N/A N/A</v>
        <stp/>
        <stp>BDP|15553080648641048689</stp>
        <tr r="Q1628" s="2"/>
      </tp>
      <tp t="s">
        <v>#N/A N/A</v>
        <stp/>
        <stp>BDP|15974438762386452717</stp>
        <tr r="D1251" s="2"/>
      </tp>
      <tp t="s">
        <v>#N/A N/A</v>
        <stp/>
        <stp>BDP|14374757945161660089</stp>
        <tr r="H749" s="2"/>
      </tp>
      <tp t="s">
        <v>#N/A N/A</v>
        <stp/>
        <stp>BDP|17215131162777716198</stp>
        <tr r="P834" s="2"/>
      </tp>
      <tp t="s">
        <v>#N/A N/A</v>
        <stp/>
        <stp>BDP|14229528019311662722</stp>
        <tr r="R264" s="2"/>
      </tp>
      <tp t="s">
        <v>#N/A N/A</v>
        <stp/>
        <stp>BDP|10003596295942851897</stp>
        <tr r="S1443" s="2"/>
      </tp>
      <tp t="s">
        <v>#N/A N/A</v>
        <stp/>
        <stp>BDP|13194114347039278986</stp>
        <tr r="R737" s="2"/>
      </tp>
      <tp t="s">
        <v>#N/A N/A</v>
        <stp/>
        <stp>BDP|17237052149804038136</stp>
        <tr r="E527" s="2"/>
      </tp>
      <tp t="s">
        <v>#N/A N/A</v>
        <stp/>
        <stp>BDP|13705235289336580952</stp>
        <tr r="S1813" s="2"/>
      </tp>
      <tp t="s">
        <v>#N/A N/A</v>
        <stp/>
        <stp>BDP|10841062025107337358</stp>
        <tr r="S1064" s="2"/>
      </tp>
      <tp t="s">
        <v>#N/A N/A</v>
        <stp/>
        <stp>BDP|12805447452935751047</stp>
        <tr r="D1738" s="2"/>
      </tp>
      <tp t="s">
        <v>#N/A N/A</v>
        <stp/>
        <stp>BDP|10699149019402316456</stp>
        <tr r="E1982" s="2"/>
      </tp>
      <tp t="s">
        <v>#N/A N/A</v>
        <stp/>
        <stp>BDP|13159061513456063295</stp>
        <tr r="M1981" s="2"/>
      </tp>
      <tp t="s">
        <v>#N/A N/A</v>
        <stp/>
        <stp>BDP|14224960398923611179</stp>
        <tr r="A395" s="2"/>
      </tp>
      <tp t="s">
        <v>#N/A N/A</v>
        <stp/>
        <stp>BDP|15757903895594672797</stp>
        <tr r="K2150" s="2"/>
      </tp>
      <tp t="s">
        <v>#N/A N/A</v>
        <stp/>
        <stp>BDP|14299375914892949253</stp>
        <tr r="J1111" s="2"/>
      </tp>
      <tp t="s">
        <v>#N/A N/A</v>
        <stp/>
        <stp>BDP|14752333829500228322</stp>
        <tr r="R2125" s="2"/>
      </tp>
      <tp t="s">
        <v>#N/A N/A</v>
        <stp/>
        <stp>BDP|10230786121190525334</stp>
        <tr r="E367" s="2"/>
      </tp>
      <tp t="s">
        <v>#N/A N/A</v>
        <stp/>
        <stp>BDP|14899219911393114240</stp>
        <tr r="H1769" s="2"/>
      </tp>
      <tp t="s">
        <v>#N/A N/A</v>
        <stp/>
        <stp>BDP|11330412625161818023</stp>
        <tr r="A1762" s="2"/>
      </tp>
      <tp t="s">
        <v>#N/A N/A</v>
        <stp/>
        <stp>BDP|17437247376343378782</stp>
        <tr r="A455" s="2"/>
      </tp>
      <tp t="s">
        <v>#N/A N/A</v>
        <stp/>
        <stp>BDP|12842016984765568951</stp>
        <tr r="T1318" s="2"/>
      </tp>
      <tp t="s">
        <v>#N/A N/A</v>
        <stp/>
        <stp>BDP|17355565508413961790</stp>
        <tr r="T995" s="2"/>
      </tp>
      <tp t="s">
        <v>#N/A N/A</v>
        <stp/>
        <stp>BDP|16116795477082373212</stp>
        <tr r="O1983" s="2"/>
      </tp>
      <tp t="s">
        <v>#N/A N/A</v>
        <stp/>
        <stp>BDP|13476090241776359724</stp>
        <tr r="E1476" s="2"/>
      </tp>
      <tp t="s">
        <v>#N/A N/A</v>
        <stp/>
        <stp>BDP|16587750636937236393</stp>
        <tr r="A113" s="2"/>
      </tp>
      <tp t="s">
        <v>#N/A N/A</v>
        <stp/>
        <stp>BDP|13873073674812246049</stp>
        <tr r="R2025" s="2"/>
      </tp>
      <tp t="s">
        <v>#N/A N/A</v>
        <stp/>
        <stp>BDP|17888279097722335865</stp>
        <tr r="F844" s="2"/>
      </tp>
      <tp t="s">
        <v>#N/A N/A</v>
        <stp/>
        <stp>BDP|18204475540698877604</stp>
        <tr r="D1470" s="2"/>
      </tp>
      <tp t="s">
        <v>#N/A N/A</v>
        <stp/>
        <stp>BDP|17914172426295712720</stp>
        <tr r="R957" s="2"/>
      </tp>
      <tp t="s">
        <v>#N/A N/A</v>
        <stp/>
        <stp>BDS|15031191996613373823</stp>
        <tr r="I1208" s="2"/>
      </tp>
      <tp t="s">
        <v>#N/A N/A</v>
        <stp/>
        <stp>BDP|12170550359725431143</stp>
        <tr r="S1716" s="2"/>
      </tp>
      <tp t="s">
        <v>#N/A N/A</v>
        <stp/>
        <stp>BDP|14994124666773885682</stp>
        <tr r="R993" s="2"/>
      </tp>
      <tp t="s">
        <v>#N/A N/A</v>
        <stp/>
        <stp>BDP|16625462584204120880</stp>
        <tr r="F1786" s="2"/>
      </tp>
      <tp t="s">
        <v>#N/A N/A</v>
        <stp/>
        <stp>BDP|14144746460611040287</stp>
        <tr r="O550" s="2"/>
      </tp>
      <tp t="s">
        <v>#N/A N/A</v>
        <stp/>
        <stp>BDP|14394390926430731368</stp>
        <tr r="A643" s="2"/>
      </tp>
      <tp t="s">
        <v>#N/A N/A</v>
        <stp/>
        <stp>BDP|18429830749145405775</stp>
        <tr r="D1007" s="2"/>
      </tp>
      <tp t="s">
        <v>#N/A N/A</v>
        <stp/>
        <stp>BDS|13770022711794960032</stp>
        <tr r="I1794" s="2"/>
      </tp>
      <tp t="s">
        <v>#N/A N/A</v>
        <stp/>
        <stp>BDP|10108087328617977353</stp>
        <tr r="H745" s="2"/>
      </tp>
      <tp t="s">
        <v>#N/A N/A</v>
        <stp/>
        <stp>BDP|11915346167630558221</stp>
        <tr r="C2107" s="2"/>
      </tp>
      <tp t="s">
        <v>#N/A N/A</v>
        <stp/>
        <stp>BDS|15948484142604537780</stp>
        <tr r="I1709" s="2"/>
      </tp>
      <tp t="s">
        <v>#N/A N/A</v>
        <stp/>
        <stp>BDP|16957037351082344753</stp>
        <tr r="Q2146" s="2"/>
      </tp>
      <tp t="s">
        <v>#N/A N/A</v>
        <stp/>
        <stp>BDP|11535310085508421481</stp>
        <tr r="F1405" s="2"/>
      </tp>
      <tp t="s">
        <v>#N/A N/A</v>
        <stp/>
        <stp>BDP|14251503499299331753</stp>
        <tr r="R2172" s="2"/>
      </tp>
      <tp t="s">
        <v>#N/A N/A</v>
        <stp/>
        <stp>BDP|17577406918143026706</stp>
        <tr r="J148" s="2"/>
      </tp>
      <tp t="s">
        <v>#N/A N/A</v>
        <stp/>
        <stp>BDP|14160247219785923480</stp>
        <tr r="T1684" s="2"/>
      </tp>
      <tp t="s">
        <v>#N/A N/A</v>
        <stp/>
        <stp>BDP|13088252103243896435</stp>
        <tr r="M717" s="2"/>
      </tp>
      <tp t="s">
        <v>#N/A N/A</v>
        <stp/>
        <stp>BDP|16550091081529419144</stp>
        <tr r="H2079" s="2"/>
      </tp>
      <tp t="s">
        <v>#N/A N/A</v>
        <stp/>
        <stp>BDP|14161380119003925340</stp>
        <tr r="D2081" s="2"/>
      </tp>
      <tp t="s">
        <v>#N/A N/A</v>
        <stp/>
        <stp>BDP|10274443180828296291</stp>
        <tr r="N725" s="2"/>
      </tp>
      <tp t="s">
        <v>#N/A N/A</v>
        <stp/>
        <stp>BDP|12535400156912694787</stp>
        <tr r="G68" s="2"/>
      </tp>
      <tp t="s">
        <v>#N/A N/A</v>
        <stp/>
        <stp>BDP|11013144630532032788</stp>
        <tr r="T1495" s="2"/>
      </tp>
      <tp t="s">
        <v>#N/A N/A</v>
        <stp/>
        <stp>BDP|16951026445182682640</stp>
        <tr r="O723" s="2"/>
      </tp>
      <tp t="s">
        <v>#N/A N/A</v>
        <stp/>
        <stp>BDP|11069767611864867535</stp>
        <tr r="R1699" s="2"/>
      </tp>
      <tp t="s">
        <v>#N/A N/A</v>
        <stp/>
        <stp>BDP|13202744727191967149</stp>
        <tr r="F1251" s="2"/>
      </tp>
      <tp t="s">
        <v>#N/A N/A</v>
        <stp/>
        <stp>BDP|12506507244680586583</stp>
        <tr r="D1165" s="2"/>
      </tp>
      <tp t="s">
        <v>#N/A N/A</v>
        <stp/>
        <stp>BDP|18119418427180323880</stp>
        <tr r="E2140" s="2"/>
      </tp>
      <tp t="s">
        <v>#N/A N/A</v>
        <stp/>
        <stp>BDP|11085727733470506381</stp>
        <tr r="K1723" s="2"/>
      </tp>
      <tp t="s">
        <v>#N/A N/A</v>
        <stp/>
        <stp>BDP|13089036940955987465</stp>
        <tr r="S1615" s="2"/>
      </tp>
      <tp t="s">
        <v>#N/A N/A</v>
        <stp/>
        <stp>BDP|11452369234464849325</stp>
        <tr r="G1473" s="2"/>
      </tp>
      <tp t="s">
        <v>#N/A N/A</v>
        <stp/>
        <stp>BDP|17092170020355209793</stp>
        <tr r="R1967" s="2"/>
      </tp>
      <tp t="s">
        <v>#N/A N/A</v>
        <stp/>
        <stp>BDP|11480289425254624338</stp>
        <tr r="M2206" s="2"/>
      </tp>
      <tp t="s">
        <v>#N/A N/A</v>
        <stp/>
        <stp>BDP|12328714435714999421</stp>
        <tr r="C1962" s="2"/>
      </tp>
      <tp t="s">
        <v>#N/A N/A</v>
        <stp/>
        <stp>BDP|17898748180886756875</stp>
        <tr r="D351" s="2"/>
      </tp>
      <tp t="s">
        <v>#N/A N/A</v>
        <stp/>
        <stp>BDP|16943238207365466750</stp>
        <tr r="M1870" s="2"/>
      </tp>
      <tp t="s">
        <v>#N/A N/A</v>
        <stp/>
        <stp>BDP|11383158551850240395</stp>
        <tr r="T1129" s="2"/>
      </tp>
      <tp t="s">
        <v>#N/A N/A</v>
        <stp/>
        <stp>BDP|10732662970805889258</stp>
        <tr r="M491" s="2"/>
      </tp>
      <tp t="s">
        <v>#N/A N/A</v>
        <stp/>
        <stp>BDP|13375579471756046194</stp>
        <tr r="F1837" s="2"/>
      </tp>
      <tp t="s">
        <v>#N/A N/A</v>
        <stp/>
        <stp>BDS|14559110335852914274</stp>
        <tr r="I876" s="2"/>
      </tp>
      <tp t="s">
        <v>#N/A N/A</v>
        <stp/>
        <stp>BDP|10949717053876434230</stp>
        <tr r="O725" s="2"/>
      </tp>
      <tp t="s">
        <v>#N/A N/A</v>
        <stp/>
        <stp>BDP|13596381552431524266</stp>
        <tr r="F106" s="2"/>
      </tp>
      <tp t="s">
        <v>#N/A N/A</v>
        <stp/>
        <stp>BDP|17392092719406632694</stp>
        <tr r="C916" s="2"/>
      </tp>
      <tp t="s">
        <v>#N/A N/A</v>
        <stp/>
        <stp>BDP|17101799832597616205</stp>
        <tr r="E927" s="2"/>
      </tp>
      <tp t="s">
        <v>#N/A N/A</v>
        <stp/>
        <stp>BDP|14810099377164304191</stp>
        <tr r="Q698" s="2"/>
      </tp>
      <tp t="s">
        <v>#N/A N/A</v>
        <stp/>
        <stp>BDP|13851128631630329746</stp>
        <tr r="T1793" s="2"/>
      </tp>
      <tp t="s">
        <v>#N/A N/A</v>
        <stp/>
        <stp>BDP|14343569808736627177</stp>
        <tr r="D1250" s="2"/>
      </tp>
      <tp t="s">
        <v>#N/A N/A</v>
        <stp/>
        <stp>BDP|10709712532913803104</stp>
        <tr r="D462" s="2"/>
      </tp>
      <tp t="s">
        <v>#N/A N/A</v>
        <stp/>
        <stp>BDP|15708788319170222584</stp>
        <tr r="M1892" s="2"/>
      </tp>
      <tp t="s">
        <v>#N/A N/A</v>
        <stp/>
        <stp>BDP|10101405918500080357</stp>
        <tr r="F953" s="2"/>
      </tp>
      <tp t="s">
        <v>#N/A N/A</v>
        <stp/>
        <stp>BDP|16358782136495158109</stp>
        <tr r="K1249" s="2"/>
      </tp>
      <tp t="s">
        <v>#N/A N/A</v>
        <stp/>
        <stp>BDP|11846162765525299555</stp>
        <tr r="J222" s="2"/>
      </tp>
      <tp t="s">
        <v>#N/A N/A</v>
        <stp/>
        <stp>BDP|14319764878770740269</stp>
        <tr r="A184" s="2"/>
      </tp>
      <tp t="s">
        <v>#N/A N/A</v>
        <stp/>
        <stp>BDP|16579402742685850539</stp>
        <tr r="S1975" s="2"/>
      </tp>
      <tp t="s">
        <v>#N/A N/A</v>
        <stp/>
        <stp>BDP|14715078987159328385</stp>
        <tr r="M478" s="2"/>
      </tp>
      <tp t="s">
        <v>#N/A N/A</v>
        <stp/>
        <stp>BDP|17796054030072650087</stp>
        <tr r="K1213" s="2"/>
      </tp>
      <tp t="s">
        <v>#N/A N/A</v>
        <stp/>
        <stp>BDP|17911693979563006359</stp>
        <tr r="C1640" s="2"/>
      </tp>
      <tp t="s">
        <v>#N/A N/A</v>
        <stp/>
        <stp>BDP|12541755231739417999</stp>
        <tr r="P257" s="2"/>
      </tp>
      <tp t="s">
        <v>#N/A N/A</v>
        <stp/>
        <stp>BDP|10232006415513291497</stp>
        <tr r="O38" s="2"/>
      </tp>
      <tp t="s">
        <v>#N/A N/A</v>
        <stp/>
        <stp>BDP|17791274839853791321</stp>
        <tr r="M2001" s="2"/>
      </tp>
      <tp t="s">
        <v>#N/A N/A</v>
        <stp/>
        <stp>BDP|10459748154313831700</stp>
        <tr r="P1602" s="2"/>
      </tp>
      <tp t="s">
        <v>#N/A N/A</v>
        <stp/>
        <stp>BDP|12123098256738648944</stp>
        <tr r="A146" s="2"/>
      </tp>
      <tp t="s">
        <v>#N/A N/A</v>
        <stp/>
        <stp>BDP|12110311157731934328</stp>
        <tr r="G1017" s="2"/>
      </tp>
      <tp t="s">
        <v>#N/A N/A</v>
        <stp/>
        <stp>BDP|18437917601426893105</stp>
        <tr r="Q1244" s="2"/>
      </tp>
      <tp t="s">
        <v>#N/A N/A</v>
        <stp/>
        <stp>BDP|12358939431969504786</stp>
        <tr r="O13" s="2"/>
      </tp>
      <tp t="s">
        <v>#N/A N/A</v>
        <stp/>
        <stp>BDP|15248554059387309410</stp>
        <tr r="T946" s="2"/>
      </tp>
      <tp t="s">
        <v>#N/A N/A</v>
        <stp/>
        <stp>BDP|17115528679410184376</stp>
        <tr r="A1141" s="2"/>
      </tp>
      <tp t="s">
        <v>#N/A N/A</v>
        <stp/>
        <stp>BDP|10220466693823895836</stp>
        <tr r="M682" s="2"/>
      </tp>
      <tp t="s">
        <v>#N/A N/A</v>
        <stp/>
        <stp>BDP|12737757502955576699</stp>
        <tr r="R905" s="2"/>
      </tp>
      <tp t="s">
        <v>#N/A N/A</v>
        <stp/>
        <stp>BDP|14658665923287934163</stp>
        <tr r="N595" s="2"/>
      </tp>
      <tp t="s">
        <v>#N/A N/A</v>
        <stp/>
        <stp>BDP|17859297670326521281</stp>
        <tr r="Q461" s="2"/>
      </tp>
      <tp t="s">
        <v>#N/A N/A</v>
        <stp/>
        <stp>BDS|14721677310661758484</stp>
        <tr r="I2200" s="2"/>
      </tp>
      <tp t="s">
        <v>#N/A N/A</v>
        <stp/>
        <stp>BDP|15519844771574446886</stp>
        <tr r="K2254" s="2"/>
      </tp>
      <tp t="s">
        <v>#N/A N/A</v>
        <stp/>
        <stp>BDS|17759670349773733013</stp>
        <tr r="I522" s="2"/>
      </tp>
      <tp t="s">
        <v>#N/A N/A</v>
        <stp/>
        <stp>BDP|15072256578133733561</stp>
        <tr r="C644" s="2"/>
      </tp>
      <tp t="s">
        <v>#N/A N/A</v>
        <stp/>
        <stp>BDP|14115791664905390632</stp>
        <tr r="E533" s="2"/>
      </tp>
      <tp t="s">
        <v>#N/A N/A</v>
        <stp/>
        <stp>BDP|17459151649210070440</stp>
        <tr r="A1940" s="2"/>
      </tp>
      <tp t="s">
        <v>#N/A N/A</v>
        <stp/>
        <stp>BDP|13305237019471315763</stp>
        <tr r="A784" s="2"/>
      </tp>
      <tp t="s">
        <v>#N/A N/A</v>
        <stp/>
        <stp>BDP|11327538445951971704</stp>
        <tr r="N2020" s="2"/>
      </tp>
      <tp t="s">
        <v>#N/A N/A</v>
        <stp/>
        <stp>BDP|14146810153019955661</stp>
        <tr r="F1114" s="2"/>
      </tp>
      <tp t="s">
        <v>#N/A N/A</v>
        <stp/>
        <stp>BDP|15710798042897765770</stp>
        <tr r="E1465" s="2"/>
      </tp>
      <tp t="s">
        <v>#N/A N/A</v>
        <stp/>
        <stp>BDP|13848066110606246207</stp>
        <tr r="H2092" s="2"/>
      </tp>
      <tp t="s">
        <v>#N/A N/A</v>
        <stp/>
        <stp>BDP|13983301461865234565</stp>
        <tr r="R1648" s="2"/>
      </tp>
      <tp t="s">
        <v>#N/A N/A</v>
        <stp/>
        <stp>BDP|18173116399645556305</stp>
        <tr r="N2062" s="2"/>
      </tp>
      <tp t="s">
        <v>#N/A N/A</v>
        <stp/>
        <stp>BDP|14219161466813760698</stp>
        <tr r="E793" s="2"/>
      </tp>
      <tp t="s">
        <v>#N/A N/A</v>
        <stp/>
        <stp>BDP|11244966959749846297</stp>
        <tr r="G719" s="2"/>
      </tp>
      <tp t="s">
        <v>#N/A N/A</v>
        <stp/>
        <stp>BDP|18149790492404362450</stp>
        <tr r="G1955" s="2"/>
      </tp>
      <tp t="s">
        <v>#N/A N/A</v>
        <stp/>
        <stp>BDP|12683680785099393347</stp>
        <tr r="K898" s="2"/>
      </tp>
      <tp t="s">
        <v>#N/A N/A</v>
        <stp/>
        <stp>BDP|13997359514147123055</stp>
        <tr r="O523" s="2"/>
      </tp>
      <tp t="s">
        <v>#N/A N/A</v>
        <stp/>
        <stp>BDP|16291171509773607269</stp>
        <tr r="R742" s="2"/>
      </tp>
      <tp t="s">
        <v>#N/A N/A</v>
        <stp/>
        <stp>BDP|11733085050372503063</stp>
        <tr r="D2142" s="2"/>
      </tp>
      <tp t="s">
        <v>#N/A N/A</v>
        <stp/>
        <stp>BDP|17456237884152749981</stp>
        <tr r="T105" s="2"/>
      </tp>
      <tp t="s">
        <v>#N/A N/A</v>
        <stp/>
        <stp>BDP|14067514543733695089</stp>
        <tr r="J1363" s="2"/>
      </tp>
      <tp t="s">
        <v>#N/A N/A</v>
        <stp/>
        <stp>BDP|13876511757776560372</stp>
        <tr r="K263" s="2"/>
      </tp>
      <tp t="s">
        <v>#N/A N/A</v>
        <stp/>
        <stp>BDP|15017206669212622532</stp>
        <tr r="Q1431" s="2"/>
      </tp>
      <tp t="s">
        <v>#N/A N/A</v>
        <stp/>
        <stp>BDP|17398243840066264199</stp>
        <tr r="K717" s="2"/>
      </tp>
      <tp t="s">
        <v>#N/A N/A</v>
        <stp/>
        <stp>BDP|14580280401289499947</stp>
        <tr r="N2005" s="2"/>
      </tp>
      <tp t="s">
        <v>#N/A N/A</v>
        <stp/>
        <stp>BDP|14837048017851152262</stp>
        <tr r="K1462" s="2"/>
      </tp>
      <tp t="s">
        <v>#N/A N/A</v>
        <stp/>
        <stp>BDP|10340255778572698176</stp>
        <tr r="D1043" s="2"/>
      </tp>
      <tp t="s">
        <v>#N/A N/A</v>
        <stp/>
        <stp>BDP|12940910178918858273</stp>
        <tr r="O2222" s="2"/>
      </tp>
      <tp t="s">
        <v>#N/A N/A</v>
        <stp/>
        <stp>BDP|16734493352738343908</stp>
        <tr r="G1809" s="2"/>
      </tp>
      <tp t="s">
        <v>#N/A N/A</v>
        <stp/>
        <stp>BDP|14076221513834666583</stp>
        <tr r="O552" s="2"/>
      </tp>
      <tp t="s">
        <v>#N/A N/A</v>
        <stp/>
        <stp>BDP|16292398806487763458</stp>
        <tr r="Q1468" s="2"/>
      </tp>
      <tp t="s">
        <v>#N/A N/A</v>
        <stp/>
        <stp>BDP|10594182771407211715</stp>
        <tr r="T1399" s="2"/>
      </tp>
      <tp t="s">
        <v>#N/A N/A</v>
        <stp/>
        <stp>BDP|17880409751646258648</stp>
        <tr r="S710" s="2"/>
      </tp>
      <tp t="s">
        <v>#N/A N/A</v>
        <stp/>
        <stp>BDP|10921619970207202053</stp>
        <tr r="E1777" s="2"/>
      </tp>
      <tp t="s">
        <v>#N/A N/A</v>
        <stp/>
        <stp>BDP|16247484769661592395</stp>
        <tr r="D620" s="2"/>
      </tp>
      <tp t="s">
        <v>#N/A N/A</v>
        <stp/>
        <stp>BDP|16430272876290315598</stp>
        <tr r="F938" s="2"/>
      </tp>
      <tp t="s">
        <v>#N/A N/A</v>
        <stp/>
        <stp>BDP|16710292311177490441</stp>
        <tr r="D1909" s="2"/>
      </tp>
      <tp t="s">
        <v>#N/A N/A</v>
        <stp/>
        <stp>BDP|15264962791023871029</stp>
        <tr r="F1309" s="2"/>
      </tp>
      <tp t="s">
        <v>#N/A N/A</v>
        <stp/>
        <stp>BDP|12710185101993577643</stp>
        <tr r="F1238" s="2"/>
      </tp>
      <tp t="s">
        <v>#N/A N/A</v>
        <stp/>
        <stp>BDP|14182365801362812316</stp>
        <tr r="G1766" s="2"/>
      </tp>
      <tp t="s">
        <v>#N/A N/A</v>
        <stp/>
        <stp>BDP|14694795927204265351</stp>
        <tr r="O1275" s="2"/>
      </tp>
      <tp t="s">
        <v>#N/A N/A</v>
        <stp/>
        <stp>BDP|11646260717530114499</stp>
        <tr r="S533" s="2"/>
      </tp>
      <tp t="s">
        <v>#N/A N/A</v>
        <stp/>
        <stp>BDP|12854729428454914540</stp>
        <tr r="G1184" s="2"/>
      </tp>
      <tp t="s">
        <v>#N/A N/A</v>
        <stp/>
        <stp>BDP|12391925671983740989</stp>
        <tr r="D538" s="2"/>
      </tp>
      <tp t="s">
        <v>#N/A N/A</v>
        <stp/>
        <stp>BDP|16782152613732718294</stp>
        <tr r="E637" s="2"/>
      </tp>
      <tp t="s">
        <v>#N/A N/A</v>
        <stp/>
        <stp>BDP|12501974588892677733</stp>
        <tr r="Q586" s="2"/>
      </tp>
      <tp t="s">
        <v>#N/A N/A</v>
        <stp/>
        <stp>BDP|14004070372814350195</stp>
        <tr r="F777" s="2"/>
      </tp>
      <tp t="s">
        <v>#N/A N/A</v>
        <stp/>
        <stp>BDP|11882276673926308408</stp>
        <tr r="Q1145" s="2"/>
      </tp>
      <tp t="s">
        <v>#N/A N/A</v>
        <stp/>
        <stp>BDP|15222618080394845942</stp>
        <tr r="A2146" s="2"/>
      </tp>
      <tp t="s">
        <v>#N/A N/A</v>
        <stp/>
        <stp>BDS|11413451710106461498</stp>
        <tr r="I814" s="2"/>
      </tp>
      <tp t="s">
        <v>#N/A N/A</v>
        <stp/>
        <stp>BDP|11941238011003317772</stp>
        <tr r="A517" s="2"/>
      </tp>
      <tp t="s">
        <v>#N/A N/A</v>
        <stp/>
        <stp>BDP|16761813972188922729</stp>
        <tr r="F1896" s="2"/>
      </tp>
      <tp t="s">
        <v>#N/A N/A</v>
        <stp/>
        <stp>BDP|17554889420148049327</stp>
        <tr r="G546" s="2"/>
      </tp>
      <tp t="s">
        <v>#N/A N/A</v>
        <stp/>
        <stp>BDP|15024155084788762298</stp>
        <tr r="C1291" s="2"/>
      </tp>
      <tp t="s">
        <v>#N/A N/A</v>
        <stp/>
        <stp>BDP|12812902743798235169</stp>
        <tr r="S2041" s="2"/>
      </tp>
      <tp t="s">
        <v>#N/A N/A</v>
        <stp/>
        <stp>BDS|13484385397187007872</stp>
        <tr r="I835" s="2"/>
      </tp>
      <tp t="s">
        <v>#N/A N/A</v>
        <stp/>
        <stp>BDP|11903778538026036595</stp>
        <tr r="J1784" s="2"/>
      </tp>
      <tp t="s">
        <v>#N/A N/A</v>
        <stp/>
        <stp>BDP|13868648727160650127</stp>
        <tr r="M694" s="2"/>
      </tp>
      <tp t="s">
        <v>#N/A N/A</v>
        <stp/>
        <stp>BDP|16079797635134549068</stp>
        <tr r="N1461" s="2"/>
      </tp>
      <tp t="s">
        <v>#N/A N/A</v>
        <stp/>
        <stp>BDP|14668928391384934633</stp>
        <tr r="D495" s="2"/>
      </tp>
      <tp t="s">
        <v>#N/A N/A</v>
        <stp/>
        <stp>BDP|11649795776095249249</stp>
        <tr r="A1461" s="2"/>
      </tp>
      <tp t="s">
        <v>#N/A N/A</v>
        <stp/>
        <stp>BDP|16510995021909784259</stp>
        <tr r="G1357" s="2"/>
      </tp>
      <tp t="s">
        <v>#N/A N/A</v>
        <stp/>
        <stp>BDP|15544365069843726527</stp>
        <tr r="C1536" s="2"/>
      </tp>
      <tp t="s">
        <v>#N/A N/A</v>
        <stp/>
        <stp>BDP|17235663320590872531</stp>
        <tr r="S2071" s="2"/>
      </tp>
      <tp t="s">
        <v>#N/A N/A</v>
        <stp/>
        <stp>BDP|10833726761785714230</stp>
        <tr r="R2076" s="2"/>
      </tp>
      <tp t="s">
        <v>#N/A N/A</v>
        <stp/>
        <stp>BDP|11362045297608765680</stp>
        <tr r="N2070" s="2"/>
      </tp>
      <tp t="s">
        <v>#N/A N/A</v>
        <stp/>
        <stp>BDP|15025487527537933290</stp>
        <tr r="F520" s="2"/>
      </tp>
      <tp t="s">
        <v>#N/A N/A</v>
        <stp/>
        <stp>BDP|13560790922631957187</stp>
        <tr r="P805" s="2"/>
      </tp>
      <tp t="s">
        <v>#N/A N/A</v>
        <stp/>
        <stp>BDP|16199174772813330584</stp>
        <tr r="C1028" s="2"/>
      </tp>
      <tp t="s">
        <v>#N/A N/A</v>
        <stp/>
        <stp>BDP|10372242415565409092</stp>
        <tr r="F163" s="2"/>
      </tp>
      <tp t="s">
        <v>#N/A N/A</v>
        <stp/>
        <stp>BDP|12544833787552693689</stp>
        <tr r="F1929" s="2"/>
      </tp>
      <tp t="s">
        <v>#N/A N/A</v>
        <stp/>
        <stp>BDP|15035129001814521692</stp>
        <tr r="F220" s="2"/>
      </tp>
      <tp t="s">
        <v>#N/A N/A</v>
        <stp/>
        <stp>BDP|11929258803826177317</stp>
        <tr r="N1963" s="2"/>
      </tp>
      <tp t="s">
        <v>#N/A N/A</v>
        <stp/>
        <stp>BDP|10311451495039530291</stp>
        <tr r="A1095" s="2"/>
      </tp>
      <tp t="s">
        <v>#N/A N/A</v>
        <stp/>
        <stp>BDP|16759193063991180635</stp>
        <tr r="S1132" s="2"/>
      </tp>
      <tp t="s">
        <v>#N/A N/A</v>
        <stp/>
        <stp>BDP|18021813001703903564</stp>
        <tr r="N1688" s="2"/>
      </tp>
      <tp t="s">
        <v>#N/A N/A</v>
        <stp/>
        <stp>BDP|12988225612313690406</stp>
        <tr r="F1282" s="2"/>
      </tp>
      <tp t="s">
        <v>#N/A N/A</v>
        <stp/>
        <stp>BDP|18180840981979971727</stp>
        <tr r="M2093" s="2"/>
      </tp>
      <tp t="s">
        <v>#N/A N/A</v>
        <stp/>
        <stp>BDP|16924014036780934383</stp>
        <tr r="P1874" s="2"/>
      </tp>
      <tp t="s">
        <v>#N/A N/A</v>
        <stp/>
        <stp>BDP|11275155028836833288</stp>
        <tr r="H574" s="2"/>
      </tp>
      <tp t="s">
        <v>#N/A N/A</v>
        <stp/>
        <stp>BDP|12058784627184070506</stp>
        <tr r="E1631" s="2"/>
      </tp>
      <tp t="s">
        <v>#N/A N/A</v>
        <stp/>
        <stp>BDP|14937205087378532047</stp>
        <tr r="O1634" s="2"/>
      </tp>
      <tp t="s">
        <v>#N/A N/A</v>
        <stp/>
        <stp>BDP|14753303884209565092</stp>
        <tr r="J1028" s="2"/>
      </tp>
      <tp t="s">
        <v>#N/A N/A</v>
        <stp/>
        <stp>BDP|13582435761781185692</stp>
        <tr r="O1122" s="2"/>
      </tp>
      <tp t="s">
        <v>#N/A N/A</v>
        <stp/>
        <stp>BDP|14717422947717435597</stp>
        <tr r="J2163" s="2"/>
      </tp>
      <tp t="s">
        <v>#N/A N/A</v>
        <stp/>
        <stp>BDS|17321106649431683508</stp>
        <tr r="I1028" s="2"/>
      </tp>
      <tp t="s">
        <v>#N/A N/A</v>
        <stp/>
        <stp>BDP|10291179247503450090</stp>
        <tr r="A105" s="2"/>
      </tp>
      <tp t="s">
        <v>#N/A N/A</v>
        <stp/>
        <stp>BDP|17970763917855520229</stp>
        <tr r="E399" s="2"/>
      </tp>
      <tp t="s">
        <v>#N/A N/A</v>
        <stp/>
        <stp>BDP|14740680866744306654</stp>
        <tr r="J2184" s="2"/>
      </tp>
      <tp t="s">
        <v>#N/A N/A</v>
        <stp/>
        <stp>BDP|17868377351620253735</stp>
        <tr r="P2026" s="2"/>
      </tp>
      <tp t="s">
        <v>#N/A N/A</v>
        <stp/>
        <stp>BDP|11696471455374252299</stp>
        <tr r="S1822" s="2"/>
      </tp>
      <tp t="s">
        <v>#N/A N/A</v>
        <stp/>
        <stp>BDP|12281517660943842445</stp>
        <tr r="C868" s="2"/>
      </tp>
      <tp t="s">
        <v>#N/A N/A</v>
        <stp/>
        <stp>BDP|12547331219760553650</stp>
        <tr r="N2084" s="2"/>
      </tp>
      <tp t="s">
        <v>#N/A N/A</v>
        <stp/>
        <stp>BDP|16372127222773931052</stp>
        <tr r="A22" s="2"/>
      </tp>
      <tp t="s">
        <v>#N/A N/A</v>
        <stp/>
        <stp>BDP|15804712641716023671</stp>
        <tr r="E791" s="2"/>
      </tp>
      <tp t="s">
        <v>#N/A N/A</v>
        <stp/>
        <stp>BDP|11661066567568120991</stp>
        <tr r="T1087" s="2"/>
      </tp>
      <tp t="s">
        <v>#N/A N/A</v>
        <stp/>
        <stp>BDP|12035764916414772681</stp>
        <tr r="M2077" s="2"/>
      </tp>
      <tp t="s">
        <v>#N/A N/A</v>
        <stp/>
        <stp>BDP|17961205375266421276</stp>
        <tr r="A1754" s="2"/>
      </tp>
      <tp t="s">
        <v>#N/A N/A</v>
        <stp/>
        <stp>BDP|12887204205977192139</stp>
        <tr r="E2115" s="2"/>
      </tp>
      <tp t="s">
        <v>#N/A N/A</v>
        <stp/>
        <stp>BDP|12950277223034402067</stp>
        <tr r="J64" s="2"/>
      </tp>
      <tp t="s">
        <v>#N/A N/A</v>
        <stp/>
        <stp>BDP|15689401535381589596</stp>
        <tr r="G1642" s="2"/>
      </tp>
      <tp t="s">
        <v>#N/A N/A</v>
        <stp/>
        <stp>BDS|17090792142817149563</stp>
        <tr r="I981" s="2"/>
      </tp>
      <tp t="s">
        <v>#N/A N/A</v>
        <stp/>
        <stp>BDP|11439586640522277413</stp>
        <tr r="E2088" s="2"/>
      </tp>
      <tp t="s">
        <v>#N/A N/A</v>
        <stp/>
        <stp>BDP|11425206317957487381</stp>
        <tr r="C484" s="2"/>
      </tp>
      <tp t="s">
        <v>#N/A N/A</v>
        <stp/>
        <stp>BDP|16883496171454890777</stp>
        <tr r="G2243" s="2"/>
      </tp>
      <tp t="s">
        <v>#N/A N/A</v>
        <stp/>
        <stp>BDP|16597291729802822226</stp>
        <tr r="M102" s="2"/>
      </tp>
      <tp t="s">
        <v>#N/A N/A</v>
        <stp/>
        <stp>BDP|15877257360514768348</stp>
        <tr r="H1748" s="2"/>
      </tp>
      <tp t="s">
        <v>#N/A N/A</v>
        <stp/>
        <stp>BDP|17953027473330581632</stp>
        <tr r="M1797" s="2"/>
      </tp>
      <tp t="s">
        <v>#N/A N/A</v>
        <stp/>
        <stp>BDP|14400075601352591094</stp>
        <tr r="R1445" s="2"/>
      </tp>
      <tp t="s">
        <v>#N/A N/A</v>
        <stp/>
        <stp>BDP|15245383806760127038</stp>
        <tr r="N1047" s="2"/>
      </tp>
      <tp t="s">
        <v>#N/A N/A</v>
        <stp/>
        <stp>BDP|17009338781313481989</stp>
        <tr r="Q1390" s="2"/>
      </tp>
      <tp t="s">
        <v>#N/A N/A</v>
        <stp/>
        <stp>BDP|15948649057734381478</stp>
        <tr r="Q2102" s="2"/>
      </tp>
      <tp t="s">
        <v>#N/A N/A</v>
        <stp/>
        <stp>BDP|16595180821280671346</stp>
        <tr r="Q1120" s="2"/>
      </tp>
      <tp t="s">
        <v>#N/A N/A</v>
        <stp/>
        <stp>BDP|17751748009761546714</stp>
        <tr r="F1927" s="2"/>
      </tp>
      <tp t="s">
        <v>#N/A N/A</v>
        <stp/>
        <stp>BDP|11294515736009343882</stp>
        <tr r="P333" s="2"/>
      </tp>
      <tp t="s">
        <v>#N/A N/A</v>
        <stp/>
        <stp>BDP|16415529058490523057</stp>
        <tr r="C1915" s="2"/>
      </tp>
      <tp t="s">
        <v>#N/A N/A</v>
        <stp/>
        <stp>BDP|11457726916320892160</stp>
        <tr r="F902" s="2"/>
      </tp>
      <tp t="s">
        <v>#N/A N/A</v>
        <stp/>
        <stp>BDP|11275925534985201882</stp>
        <tr r="J178" s="2"/>
      </tp>
      <tp t="s">
        <v>#N/A N/A</v>
        <stp/>
        <stp>BDS|14703193628328803939</stp>
        <tr r="I1649" s="2"/>
      </tp>
      <tp t="s">
        <v>#N/A N/A</v>
        <stp/>
        <stp>BDP|11980003192048529601</stp>
        <tr r="H652" s="2"/>
      </tp>
      <tp t="s">
        <v>#N/A N/A</v>
        <stp/>
        <stp>BDP|12846239315160447740</stp>
        <tr r="J1910" s="2"/>
      </tp>
      <tp t="s">
        <v>#N/A N/A</v>
        <stp/>
        <stp>BDP|12392594325353339022</stp>
        <tr r="C1582" s="2"/>
      </tp>
      <tp t="s">
        <v>#N/A N/A</v>
        <stp/>
        <stp>BDP|15664387363461388702</stp>
        <tr r="D2004" s="2"/>
      </tp>
      <tp t="s">
        <v>#N/A N/A</v>
        <stp/>
        <stp>BDP|11023090841932742110</stp>
        <tr r="F1328" s="2"/>
      </tp>
      <tp t="s">
        <v>#N/A N/A</v>
        <stp/>
        <stp>BDP|17266197994678718169</stp>
        <tr r="E1582" s="2"/>
      </tp>
      <tp t="s">
        <v>#N/A N/A</v>
        <stp/>
        <stp>BDP|13297533528852755008</stp>
        <tr r="H757" s="2"/>
      </tp>
      <tp t="s">
        <v>#N/A N/A</v>
        <stp/>
        <stp>BDP|10065851062659088197</stp>
        <tr r="H51" s="2"/>
      </tp>
      <tp t="s">
        <v>#N/A N/A</v>
        <stp/>
        <stp>BDP|11559530251951026690</stp>
        <tr r="D2014" s="2"/>
      </tp>
      <tp t="s">
        <v>#N/A N/A</v>
        <stp/>
        <stp>BDP|10884002426371174510</stp>
        <tr r="C1416" s="2"/>
      </tp>
      <tp t="s">
        <v>#N/A N/A</v>
        <stp/>
        <stp>BDS|13169868172948892203</stp>
        <tr r="I1729" s="2"/>
      </tp>
      <tp t="s">
        <v>#N/A N/A</v>
        <stp/>
        <stp>BDP|11104631969212668538</stp>
        <tr r="O2173" s="2"/>
      </tp>
      <tp t="s">
        <v>#N/A N/A</v>
        <stp/>
        <stp>BDP|11361145159365080605</stp>
        <tr r="D1372" s="2"/>
      </tp>
      <tp t="s">
        <v>#N/A N/A</v>
        <stp/>
        <stp>BDS|10024626016284892513</stp>
        <tr r="I1296" s="2"/>
      </tp>
      <tp t="s">
        <v>#N/A N/A</v>
        <stp/>
        <stp>BDP|16618370447070990714</stp>
        <tr r="J66" s="2"/>
      </tp>
      <tp t="s">
        <v>#N/A N/A</v>
        <stp/>
        <stp>BDP|14982337311525459513</stp>
        <tr r="A1770" s="2"/>
      </tp>
      <tp t="s">
        <v>#N/A N/A</v>
        <stp/>
        <stp>BDP|11928670960785388231</stp>
        <tr r="H1767" s="2"/>
      </tp>
      <tp t="s">
        <v>#N/A N/A</v>
        <stp/>
        <stp>BDP|16833032156670735548</stp>
        <tr r="O1266" s="2"/>
      </tp>
      <tp t="s">
        <v>#N/A N/A</v>
        <stp/>
        <stp>BDP|13734286778439092994</stp>
        <tr r="Q1863" s="2"/>
      </tp>
      <tp t="s">
        <v>#N/A N/A</v>
        <stp/>
        <stp>BDS|13076462853644174097</stp>
        <tr r="I1311" s="2"/>
      </tp>
      <tp t="s">
        <v>#N/A N/A</v>
        <stp/>
        <stp>BDP|14794758103306861377</stp>
        <tr r="J238" s="2"/>
      </tp>
      <tp t="s">
        <v>#N/A N/A</v>
        <stp/>
        <stp>BDP|12949783502461549284</stp>
        <tr r="K880" s="2"/>
      </tp>
      <tp t="s">
        <v>#N/A N/A</v>
        <stp/>
        <stp>BDP|14176921742409702681</stp>
        <tr r="T1392" s="2"/>
      </tp>
      <tp t="s">
        <v>#N/A N/A</v>
        <stp/>
        <stp>BDP|15793276655894931026</stp>
        <tr r="T2085" s="2"/>
      </tp>
      <tp t="s">
        <v>#N/A N/A</v>
        <stp/>
        <stp>BDP|17403016239262239005</stp>
        <tr r="J1212" s="2"/>
      </tp>
      <tp t="s">
        <v>#N/A N/A</v>
        <stp/>
        <stp>BDP|17671953210689933043</stp>
        <tr r="E810" s="2"/>
      </tp>
      <tp t="s">
        <v>#N/A N/A</v>
        <stp/>
        <stp>BDP|12532953444958929139</stp>
        <tr r="T2083" s="2"/>
      </tp>
      <tp t="s">
        <v>#N/A N/A</v>
        <stp/>
        <stp>BDP|17574693875553043377</stp>
        <tr r="S1175" s="2"/>
      </tp>
      <tp t="s">
        <v>#N/A N/A</v>
        <stp/>
        <stp>BDP|15821269597868695018</stp>
        <tr r="S1827" s="2"/>
      </tp>
      <tp t="s">
        <v>#N/A N/A</v>
        <stp/>
        <stp>BDP|12311079544152887263</stp>
        <tr r="N928" s="2"/>
      </tp>
      <tp t="s">
        <v>#N/A N/A</v>
        <stp/>
        <stp>BDP|14535853802442531896</stp>
        <tr r="M873" s="2"/>
      </tp>
      <tp t="s">
        <v>#N/A N/A</v>
        <stp/>
        <stp>BDP|13386780073010115578</stp>
        <tr r="R1432" s="2"/>
      </tp>
      <tp t="s">
        <v>#N/A N/A</v>
        <stp/>
        <stp>BDP|11929903086634617276</stp>
        <tr r="Q497" s="2"/>
      </tp>
      <tp t="s">
        <v>#N/A N/A</v>
        <stp/>
        <stp>BDP|14835671278691156281</stp>
        <tr r="J197" s="2"/>
      </tp>
      <tp t="s">
        <v>#N/A N/A</v>
        <stp/>
        <stp>BDP|13665947881484541081</stp>
        <tr r="N1691" s="2"/>
      </tp>
      <tp t="s">
        <v>#N/A N/A</v>
        <stp/>
        <stp>BDP|12094519028911482231</stp>
        <tr r="M813" s="2"/>
      </tp>
      <tp t="s">
        <v>#N/A N/A</v>
        <stp/>
        <stp>BDP|13886274271535978599</stp>
        <tr r="E1779" s="2"/>
      </tp>
      <tp t="s">
        <v>#N/A N/A</v>
        <stp/>
        <stp>BDP|15639307279325072217</stp>
        <tr r="Q1122" s="2"/>
      </tp>
      <tp t="s">
        <v>#N/A N/A</v>
        <stp/>
        <stp>BDP|13726313484418922650</stp>
        <tr r="J783" s="2"/>
      </tp>
      <tp t="s">
        <v>#N/A N/A</v>
        <stp/>
        <stp>BDP|10004084175671720047</stp>
        <tr r="H1467" s="2"/>
      </tp>
      <tp t="s">
        <v>#N/A N/A</v>
        <stp/>
        <stp>BDP|16754204889648181219</stp>
        <tr r="G588" s="2"/>
      </tp>
      <tp t="s">
        <v>#N/A N/A</v>
        <stp/>
        <stp>BDP|11836942152728548357</stp>
        <tr r="S1297" s="2"/>
      </tp>
      <tp t="s">
        <v>#N/A N/A</v>
        <stp/>
        <stp>BDP|12807048771500608358</stp>
        <tr r="J1500" s="2"/>
      </tp>
      <tp t="s">
        <v>#N/A N/A</v>
        <stp/>
        <stp>BDP|18153832959675049650</stp>
        <tr r="Q367" s="2"/>
      </tp>
      <tp t="s">
        <v>#N/A N/A</v>
        <stp/>
        <stp>BDP|17266721182459962750</stp>
        <tr r="E1818" s="2"/>
      </tp>
      <tp t="s">
        <v>#N/A N/A</v>
        <stp/>
        <stp>BDP|10169862338825403858</stp>
        <tr r="N204" s="2"/>
      </tp>
      <tp t="s">
        <v>#N/A N/A</v>
        <stp/>
        <stp>BDP|15405527925590402496</stp>
        <tr r="A305" s="2"/>
      </tp>
      <tp t="s">
        <v>#N/A N/A</v>
        <stp/>
        <stp>BDS|14847257230554431741</stp>
        <tr r="I732" s="2"/>
      </tp>
      <tp t="s">
        <v>#N/A N/A</v>
        <stp/>
        <stp>BDP|16757661799149464627</stp>
        <tr r="C1628" s="2"/>
      </tp>
      <tp t="s">
        <v>#N/A N/A</v>
        <stp/>
        <stp>BDP|17043921183390659097</stp>
        <tr r="D296" s="2"/>
      </tp>
      <tp t="s">
        <v>#N/A N/A</v>
        <stp/>
        <stp>BDP|14835008053784271380</stp>
        <tr r="Q38" s="2"/>
      </tp>
      <tp t="s">
        <v>#N/A N/A</v>
        <stp/>
        <stp>BDP|16804303934922891258</stp>
        <tr r="A2228" s="2"/>
      </tp>
      <tp t="s">
        <v>#N/A N/A</v>
        <stp/>
        <stp>BDP|10599241170604751770</stp>
        <tr r="H1446" s="2"/>
      </tp>
      <tp t="s">
        <v>#N/A N/A</v>
        <stp/>
        <stp>BDP|18222344892736582202</stp>
        <tr r="J317" s="2"/>
      </tp>
      <tp t="s">
        <v>#N/A N/A</v>
        <stp/>
        <stp>BDP|16621679702056539073</stp>
        <tr r="N2118" s="2"/>
      </tp>
      <tp t="s">
        <v>#N/A N/A</v>
        <stp/>
        <stp>BDP|12192738331985358516</stp>
        <tr r="A610" s="2"/>
      </tp>
      <tp t="s">
        <v>#N/A N/A</v>
        <stp/>
        <stp>BDP|11655692471306761089</stp>
        <tr r="M1167" s="2"/>
      </tp>
      <tp t="s">
        <v>#N/A N/A</v>
        <stp/>
        <stp>BDP|12489707157634372214</stp>
        <tr r="M1963" s="2"/>
      </tp>
      <tp t="s">
        <v>#N/A N/A</v>
        <stp/>
        <stp>BDP|12868198170721862385</stp>
        <tr r="D1936" s="2"/>
      </tp>
      <tp t="s">
        <v>#N/A N/A</v>
        <stp/>
        <stp>BDP|17504839914839037138</stp>
        <tr r="K1262" s="2"/>
      </tp>
      <tp t="s">
        <v>#N/A N/A</v>
        <stp/>
        <stp>BDP|11617163032592045739</stp>
        <tr r="N1668" s="2"/>
      </tp>
      <tp t="s">
        <v>#N/A N/A</v>
        <stp/>
        <stp>BDP|12383320366055114473</stp>
        <tr r="C609" s="2"/>
      </tp>
      <tp t="s">
        <v>#N/A N/A</v>
        <stp/>
        <stp>BDP|11034335023807834197</stp>
        <tr r="K465" s="2"/>
      </tp>
      <tp t="s">
        <v>#N/A N/A</v>
        <stp/>
        <stp>BDP|17884485474013151142</stp>
        <tr r="N1867" s="2"/>
      </tp>
      <tp t="s">
        <v>#N/A N/A</v>
        <stp/>
        <stp>BDP|16583449307844117062</stp>
        <tr r="F1519" s="2"/>
      </tp>
      <tp t="s">
        <v>#N/A N/A</v>
        <stp/>
        <stp>BDP|13305879821496169952</stp>
        <tr r="E1513" s="2"/>
      </tp>
      <tp t="s">
        <v>#N/A N/A</v>
        <stp/>
        <stp>BDP|16172457068596985444</stp>
        <tr r="F1906" s="2"/>
      </tp>
      <tp t="s">
        <v>#N/A N/A</v>
        <stp/>
        <stp>BDP|10850668939135220647</stp>
        <tr r="O636" s="2"/>
      </tp>
      <tp t="s">
        <v>#N/A N/A</v>
        <stp/>
        <stp>BDP|11496303734857920089</stp>
        <tr r="R946" s="2"/>
      </tp>
      <tp t="s">
        <v>#N/A N/A</v>
        <stp/>
        <stp>BDP|14917554605810951711</stp>
        <tr r="M955" s="2"/>
      </tp>
      <tp t="s">
        <v>#N/A N/A</v>
        <stp/>
        <stp>BDS|13757499131092433097</stp>
        <tr r="I446" s="2"/>
      </tp>
      <tp t="s">
        <v>#N/A N/A</v>
        <stp/>
        <stp>BDP|16086273147106379025</stp>
        <tr r="S35" s="2"/>
      </tp>
      <tp t="s">
        <v>#N/A N/A</v>
        <stp/>
        <stp>BDP|10331028990197857887</stp>
        <tr r="F1608" s="2"/>
      </tp>
      <tp t="s">
        <v>#N/A N/A</v>
        <stp/>
        <stp>BDP|15640940061808026426</stp>
        <tr r="H939" s="2"/>
      </tp>
      <tp t="s">
        <v>#N/A N/A</v>
        <stp/>
        <stp>BDP|13551031194978164423</stp>
        <tr r="E2168" s="2"/>
      </tp>
      <tp t="s">
        <v>#N/A N/A</v>
        <stp/>
        <stp>BDP|16251289874360896579</stp>
        <tr r="F2163" s="2"/>
      </tp>
      <tp t="s">
        <v>#N/A N/A</v>
        <stp/>
        <stp>BDP|10170026289708315688</stp>
        <tr r="F1982" s="2"/>
      </tp>
      <tp t="s">
        <v>#N/A N/A</v>
        <stp/>
        <stp>BDS|14834794074943001171</stp>
        <tr r="I1232" s="2"/>
      </tp>
      <tp t="s">
        <v>#N/A N/A</v>
        <stp/>
        <stp>BDP|13097755769656915244</stp>
        <tr r="S1099" s="2"/>
      </tp>
      <tp t="s">
        <v>#N/A N/A</v>
        <stp/>
        <stp>BDP|18437730696716920699</stp>
        <tr r="N1280" s="2"/>
      </tp>
      <tp t="s">
        <v>#N/A N/A</v>
        <stp/>
        <stp>BDS|11936036894859904753</stp>
        <tr r="I584" s="2"/>
      </tp>
      <tp t="s">
        <v>#N/A N/A</v>
        <stp/>
        <stp>BDP|13101578221211028366</stp>
        <tr r="M710" s="2"/>
      </tp>
      <tp t="s">
        <v>#N/A N/A</v>
        <stp/>
        <stp>BDP|10606476369863885718</stp>
        <tr r="T651" s="2"/>
      </tp>
      <tp t="s">
        <v>#N/A N/A</v>
        <stp/>
        <stp>BDP|15676404296537601978</stp>
        <tr r="P193" s="2"/>
      </tp>
      <tp t="s">
        <v>#N/A N/A</v>
        <stp/>
        <stp>BDP|16462501162660775308</stp>
        <tr r="E1926" s="2"/>
      </tp>
      <tp t="s">
        <v>#N/A N/A</v>
        <stp/>
        <stp>BDS|10057650125731695345</stp>
        <tr r="I300" s="2"/>
      </tp>
      <tp t="s">
        <v>#N/A N/A</v>
        <stp/>
        <stp>BDP|11693897932189521593</stp>
        <tr r="M1847" s="2"/>
      </tp>
      <tp t="s">
        <v>#N/A N/A</v>
        <stp/>
        <stp>BDP|13615131447863214317</stp>
        <tr r="G1753" s="2"/>
      </tp>
      <tp t="s">
        <v>#N/A N/A</v>
        <stp/>
        <stp>BDP|18156108187745164261</stp>
        <tr r="E915" s="2"/>
      </tp>
      <tp t="s">
        <v>#N/A N/A</v>
        <stp/>
        <stp>BDP|12612447401903039320</stp>
        <tr r="H1295" s="2"/>
      </tp>
      <tp t="s">
        <v>#N/A N/A</v>
        <stp/>
        <stp>BDP|13151771545254798253</stp>
        <tr r="C1384" s="2"/>
      </tp>
      <tp t="s">
        <v>#N/A N/A</v>
        <stp/>
        <stp>BDP|10661821974949007012</stp>
        <tr r="D2044" s="2"/>
      </tp>
      <tp t="s">
        <v>#N/A N/A</v>
        <stp/>
        <stp>BDS|12452674594778297373</stp>
        <tr r="I1525" s="2"/>
      </tp>
      <tp t="s">
        <v>#N/A N/A</v>
        <stp/>
        <stp>BDP|13782130285224164810</stp>
        <tr r="P1067" s="2"/>
      </tp>
      <tp t="s">
        <v>#N/A N/A</v>
        <stp/>
        <stp>BDP|15764277206955412435</stp>
        <tr r="G2023" s="2"/>
      </tp>
      <tp t="s">
        <v>#N/A N/A</v>
        <stp/>
        <stp>BDP|16636013851181687415</stp>
        <tr r="A82" s="2"/>
      </tp>
      <tp t="s">
        <v>#N/A N/A</v>
        <stp/>
        <stp>BDP|13546239772869607939</stp>
        <tr r="R876" s="2"/>
      </tp>
      <tp t="s">
        <v>#N/A N/A</v>
        <stp/>
        <stp>BDP|15486628428331693696</stp>
        <tr r="M625" s="2"/>
      </tp>
      <tp t="s">
        <v>#N/A N/A</v>
        <stp/>
        <stp>BDP|16392218076822362763</stp>
        <tr r="E429" s="2"/>
      </tp>
      <tp t="s">
        <v>#N/A N/A</v>
        <stp/>
        <stp>BDP|13238792078330266507</stp>
        <tr r="A1007" s="2"/>
      </tp>
      <tp t="s">
        <v>#N/A N/A</v>
        <stp/>
        <stp>BDP|14849811359616150905</stp>
        <tr r="T1016" s="2"/>
      </tp>
      <tp t="s">
        <v>#N/A N/A</v>
        <stp/>
        <stp>BDP|10478470995209415237</stp>
        <tr r="R1893" s="2"/>
      </tp>
      <tp t="s">
        <v>#N/A N/A</v>
        <stp/>
        <stp>BDP|14048307752481423576</stp>
        <tr r="A156" s="2"/>
      </tp>
      <tp t="s">
        <v>#N/A N/A</v>
        <stp/>
        <stp>BDP|12456505936281711340</stp>
        <tr r="S1284" s="2"/>
      </tp>
      <tp t="s">
        <v>#N/A N/A</v>
        <stp/>
        <stp>BDP|10160714747445411024</stp>
        <tr r="K1911" s="2"/>
      </tp>
      <tp t="s">
        <v>#N/A N/A</v>
        <stp/>
        <stp>BDP|15381205177540526609</stp>
        <tr r="S1407" s="2"/>
      </tp>
      <tp t="s">
        <v>#N/A N/A</v>
        <stp/>
        <stp>BDP|14728334601540696128</stp>
        <tr r="R424" s="2"/>
      </tp>
      <tp t="s">
        <v>#N/A N/A</v>
        <stp/>
        <stp>BDP|15588279315569034965</stp>
        <tr r="G2103" s="2"/>
      </tp>
      <tp t="s">
        <v>#N/A N/A</v>
        <stp/>
        <stp>BDP|16888464419402696703</stp>
        <tr r="C424" s="2"/>
      </tp>
      <tp t="s">
        <v>#N/A N/A</v>
        <stp/>
        <stp>BDP|18348237540589245130</stp>
        <tr r="Q2099" s="2"/>
      </tp>
      <tp t="s">
        <v>#N/A N/A</v>
        <stp/>
        <stp>BDP|14442449872204488575</stp>
        <tr r="N46" s="2"/>
      </tp>
      <tp t="s">
        <v>#N/A N/A</v>
        <stp/>
        <stp>BDP|12471527703013329273</stp>
        <tr r="S267" s="2"/>
      </tp>
      <tp t="s">
        <v>#N/A N/A</v>
        <stp/>
        <stp>BDP|11088277861836707506</stp>
        <tr r="E1344" s="2"/>
      </tp>
      <tp t="s">
        <v>#N/A N/A</v>
        <stp/>
        <stp>BDP|14071813732670526971</stp>
        <tr r="M215" s="2"/>
      </tp>
      <tp t="s">
        <v>#N/A N/A</v>
        <stp/>
        <stp>BDP|16205808255998739513</stp>
        <tr r="C1756" s="2"/>
      </tp>
      <tp t="s">
        <v>#N/A N/A</v>
        <stp/>
        <stp>BDP|12760551305595005462</stp>
        <tr r="E212" s="2"/>
      </tp>
      <tp t="s">
        <v>#N/A N/A</v>
        <stp/>
        <stp>BDP|18406514486452619141</stp>
        <tr r="C1046" s="2"/>
      </tp>
      <tp t="s">
        <v>#N/A N/A</v>
        <stp/>
        <stp>BDP|13091928182681730564</stp>
        <tr r="M1068" s="2"/>
      </tp>
      <tp t="s">
        <v>#N/A N/A</v>
        <stp/>
        <stp>BDP|14229450370128610902</stp>
        <tr r="E152" s="2"/>
      </tp>
      <tp t="s">
        <v>#N/A N/A</v>
        <stp/>
        <stp>BDP|12625402251483665602</stp>
        <tr r="K831" s="2"/>
      </tp>
      <tp t="s">
        <v>#N/A N/A</v>
        <stp/>
        <stp>BDP|17211643275504614446</stp>
        <tr r="R525" s="2"/>
      </tp>
      <tp t="s">
        <v>#N/A N/A</v>
        <stp/>
        <stp>BDS|12161345401513233445</stp>
        <tr r="I1402" s="2"/>
      </tp>
      <tp t="s">
        <v>#N/A N/A</v>
        <stp/>
        <stp>BDP|13116996788833674778</stp>
        <tr r="E357" s="2"/>
      </tp>
      <tp t="s">
        <v>#N/A N/A</v>
        <stp/>
        <stp>BDP|13976251115685843303</stp>
        <tr r="E1850" s="2"/>
      </tp>
      <tp t="s">
        <v>#N/A N/A</v>
        <stp/>
        <stp>BDP|15588639374820477279</stp>
        <tr r="S1124" s="2"/>
      </tp>
      <tp t="s">
        <v>#N/A N/A</v>
        <stp/>
        <stp>BDP|16851388944610591705</stp>
        <tr r="H792" s="2"/>
      </tp>
      <tp t="s">
        <v>#N/A N/A</v>
        <stp/>
        <stp>BDP|16212043046397550343</stp>
        <tr r="Q2231" s="2"/>
      </tp>
      <tp t="s">
        <v>#N/A N/A</v>
        <stp/>
        <stp>BDP|12590831441909711117</stp>
        <tr r="M1911" s="2"/>
      </tp>
      <tp t="s">
        <v>#N/A N/A</v>
        <stp/>
        <stp>BDP|10691289608492059676</stp>
        <tr r="K1760" s="2"/>
      </tp>
      <tp t="s">
        <v>#N/A N/A</v>
        <stp/>
        <stp>BDP|12094520775312584435</stp>
        <tr r="T1571" s="2"/>
      </tp>
      <tp t="s">
        <v>#N/A N/A</v>
        <stp/>
        <stp>BDP|13585491459715416108</stp>
        <tr r="G2158" s="2"/>
      </tp>
      <tp t="s">
        <v>#N/A N/A</v>
        <stp/>
        <stp>BDP|16693326152021691711</stp>
        <tr r="D1051" s="2"/>
      </tp>
      <tp t="s">
        <v>#N/A N/A</v>
        <stp/>
        <stp>BDP|15636444553543547151</stp>
        <tr r="O1165" s="2"/>
      </tp>
      <tp t="s">
        <v>#N/A N/A</v>
        <stp/>
        <stp>BDP|11200361000074455013</stp>
        <tr r="C1434" s="2"/>
      </tp>
      <tp t="s">
        <v>#N/A N/A</v>
        <stp/>
        <stp>BDP|13031927774352541924</stp>
        <tr r="N1563" s="2"/>
      </tp>
      <tp t="s">
        <v>#N/A N/A</v>
        <stp/>
        <stp>BDP|15413554581999693773</stp>
        <tr r="R1767" s="2"/>
      </tp>
      <tp t="s">
        <v>#N/A N/A</v>
        <stp/>
        <stp>BDP|16387122924675790633</stp>
        <tr r="O2093" s="2"/>
      </tp>
      <tp t="s">
        <v>#N/A N/A</v>
        <stp/>
        <stp>BDP|13764533215211432042</stp>
        <tr r="P2060" s="2"/>
      </tp>
      <tp t="s">
        <v>#N/A N/A</v>
        <stp/>
        <stp>BDP|12576076740750002030</stp>
        <tr r="C1454" s="2"/>
      </tp>
      <tp t="s">
        <v>#N/A N/A</v>
        <stp/>
        <stp>BDP|11396108158806949538</stp>
        <tr r="E1709" s="2"/>
      </tp>
      <tp t="s">
        <v>#N/A N/A</v>
        <stp/>
        <stp>BDP|17889104443250990432</stp>
        <tr r="H10" s="2"/>
      </tp>
      <tp t="s">
        <v>#N/A N/A</v>
        <stp/>
        <stp>BDP|12918992379292858801</stp>
        <tr r="M565" s="2"/>
      </tp>
      <tp t="s">
        <v>#N/A N/A</v>
        <stp/>
        <stp>BDP|11012730699021813835</stp>
        <tr r="Q778" s="2"/>
      </tp>
      <tp t="s">
        <v>#N/A N/A</v>
        <stp/>
        <stp>BDP|11171633726132631133</stp>
        <tr r="P688" s="2"/>
      </tp>
      <tp t="s">
        <v>#N/A N/A</v>
        <stp/>
        <stp>BDP|13997010739003684564</stp>
        <tr r="H1067" s="2"/>
      </tp>
      <tp t="s">
        <v>#N/A N/A</v>
        <stp/>
        <stp>BDP|12962084566850681207</stp>
        <tr r="D412" s="2"/>
      </tp>
      <tp t="s">
        <v>#N/A N/A</v>
        <stp/>
        <stp>BDP|17988156328914469614</stp>
        <tr r="D631" s="2"/>
      </tp>
      <tp t="s">
        <v>#N/A N/A</v>
        <stp/>
        <stp>BDP|16453612253165408632</stp>
        <tr r="T1598" s="2"/>
      </tp>
      <tp t="s">
        <v>#N/A N/A</v>
        <stp/>
        <stp>BDP|12904796703695771653</stp>
        <tr r="C1178" s="2"/>
      </tp>
      <tp t="s">
        <v>#N/A N/A</v>
        <stp/>
        <stp>BDP|11147327734565553237</stp>
        <tr r="M205" s="2"/>
      </tp>
      <tp t="s">
        <v>#N/A N/A</v>
        <stp/>
        <stp>BDP|10207686557132865745</stp>
        <tr r="E1823" s="2"/>
      </tp>
      <tp t="s">
        <v>#N/A N/A</v>
        <stp/>
        <stp>BDP|13941698210672890097</stp>
        <tr r="E272" s="2"/>
      </tp>
      <tp t="s">
        <v>#N/A N/A</v>
        <stp/>
        <stp>BDP|14114856186365314701</stp>
        <tr r="O1026" s="2"/>
      </tp>
      <tp t="s">
        <v>#N/A N/A</v>
        <stp/>
        <stp>BDP|12203803861223068923</stp>
        <tr r="K1309" s="2"/>
      </tp>
      <tp t="s">
        <v>#N/A N/A</v>
        <stp/>
        <stp>BDP|12389904983821122402</stp>
        <tr r="J1831" s="2"/>
      </tp>
      <tp t="s">
        <v>#N/A N/A</v>
        <stp/>
        <stp>BDP|10248625976173155461</stp>
        <tr r="D1073" s="2"/>
      </tp>
      <tp t="s">
        <v>#N/A N/A</v>
        <stp/>
        <stp>BDP|12238372717147419175</stp>
        <tr r="N713" s="2"/>
      </tp>
      <tp t="s">
        <v>#N/A N/A</v>
        <stp/>
        <stp>BDP|15055846241826798929</stp>
        <tr r="H642" s="2"/>
      </tp>
      <tp t="s">
        <v>#N/A N/A</v>
        <stp/>
        <stp>BDP|16605585514785895120</stp>
        <tr r="D888" s="2"/>
      </tp>
      <tp t="s">
        <v>#N/A N/A</v>
        <stp/>
        <stp>BDP|13212534942931517566</stp>
        <tr r="N881" s="2"/>
      </tp>
      <tp t="s">
        <v>#N/A N/A</v>
        <stp/>
        <stp>BDP|16021355300893502004</stp>
        <tr r="R1021" s="2"/>
      </tp>
      <tp t="s">
        <v>#N/A N/A</v>
        <stp/>
        <stp>BDP|14019919260534032915</stp>
        <tr r="P1850" s="2"/>
      </tp>
      <tp t="s">
        <v>#N/A N/A</v>
        <stp/>
        <stp>BDP|14147449408612546484</stp>
        <tr r="R156" s="2"/>
      </tp>
      <tp t="s">
        <v>#N/A N/A</v>
        <stp/>
        <stp>BDP|15543976584331323358</stp>
        <tr r="O2236" s="2"/>
      </tp>
      <tp t="s">
        <v>#N/A N/A</v>
        <stp/>
        <stp>BDP|15088828253039682772</stp>
        <tr r="E662" s="2"/>
      </tp>
      <tp t="s">
        <v>#N/A N/A</v>
        <stp/>
        <stp>BDP|13702619104002306113</stp>
        <tr r="S568" s="2"/>
      </tp>
      <tp t="s">
        <v>#N/A N/A</v>
        <stp/>
        <stp>BDP|16390769415117508158</stp>
        <tr r="P1960" s="2"/>
      </tp>
      <tp t="s">
        <v>#N/A N/A</v>
        <stp/>
        <stp>BDS|16322235132191762069</stp>
        <tr r="I1184" s="2"/>
      </tp>
      <tp t="s">
        <v>#N/A N/A</v>
        <stp/>
        <stp>BDP|16297263277161218413</stp>
        <tr r="O842" s="2"/>
      </tp>
      <tp t="s">
        <v>#N/A N/A</v>
        <stp/>
        <stp>BDP|17060142443784336049</stp>
        <tr r="C1088" s="2"/>
      </tp>
      <tp t="s">
        <v>#N/A N/A</v>
        <stp/>
        <stp>BDP|11372630601967677670</stp>
        <tr r="C1429" s="2"/>
      </tp>
      <tp t="s">
        <v>#N/A N/A</v>
        <stp/>
        <stp>BDP|10719219136583446440</stp>
        <tr r="F1069" s="2"/>
      </tp>
      <tp t="s">
        <v>#N/A N/A</v>
        <stp/>
        <stp>BDP|16767168599318830007</stp>
        <tr r="O1436" s="2"/>
      </tp>
      <tp t="s">
        <v>#N/A N/A</v>
        <stp/>
        <stp>BDP|10216469953870515729</stp>
        <tr r="N1201" s="2"/>
      </tp>
      <tp t="s">
        <v>#N/A N/A</v>
        <stp/>
        <stp>BDP|15020638409231942434</stp>
        <tr r="O1946" s="2"/>
      </tp>
      <tp t="s">
        <v>#N/A N/A</v>
        <stp/>
        <stp>BDP|16910037419455296413</stp>
        <tr r="J363" s="2"/>
      </tp>
      <tp t="s">
        <v>#N/A N/A</v>
        <stp/>
        <stp>BDS|14330947538469815149</stp>
        <tr r="I1419" s="2"/>
      </tp>
      <tp t="s">
        <v>#N/A N/A</v>
        <stp/>
        <stp>BDP|17183040045443246620</stp>
        <tr r="A1587" s="2"/>
      </tp>
      <tp t="s">
        <v>#N/A N/A</v>
        <stp/>
        <stp>BDP|12552150921861363624</stp>
        <tr r="A1032" s="2"/>
      </tp>
      <tp t="s">
        <v>#N/A N/A</v>
        <stp/>
        <stp>BDP|15021114671185309038</stp>
        <tr r="O29" s="2"/>
      </tp>
      <tp t="s">
        <v>#N/A N/A</v>
        <stp/>
        <stp>BDP|13524146041444281427</stp>
        <tr r="J1052" s="2"/>
      </tp>
      <tp t="s">
        <v>#N/A N/A</v>
        <stp/>
        <stp>BDP|18224917109171392692</stp>
        <tr r="G597" s="2"/>
      </tp>
      <tp t="s">
        <v>#N/A N/A</v>
        <stp/>
        <stp>BDP|11380253071153206155</stp>
        <tr r="E2182" s="2"/>
      </tp>
      <tp t="s">
        <v>#N/A N/A</v>
        <stp/>
        <stp>BDP|13060107209871076591</stp>
        <tr r="F214" s="2"/>
      </tp>
      <tp t="s">
        <v>#N/A N/A</v>
        <stp/>
        <stp>BDP|12081509661997211037</stp>
        <tr r="N419" s="2"/>
      </tp>
      <tp t="s">
        <v>#N/A N/A</v>
        <stp/>
        <stp>BDP|11694378969833975110</stp>
        <tr r="Q1368" s="2"/>
      </tp>
      <tp t="s">
        <v>#N/A N/A</v>
        <stp/>
        <stp>BDP|12156262834723667658</stp>
        <tr r="G875" s="2"/>
      </tp>
      <tp t="s">
        <v>#N/A N/A</v>
        <stp/>
        <stp>BDP|16470939294004457475</stp>
        <tr r="F311" s="2"/>
      </tp>
      <tp t="s">
        <v>#N/A N/A</v>
        <stp/>
        <stp>BDP|16622653430855506067</stp>
        <tr r="T221" s="2"/>
      </tp>
      <tp t="s">
        <v>#N/A N/A</v>
        <stp/>
        <stp>BDP|11065739396068426113</stp>
        <tr r="T586" s="2"/>
      </tp>
      <tp t="s">
        <v>#N/A N/A</v>
        <stp/>
        <stp>BDP|15893447304065006280</stp>
        <tr r="N377" s="2"/>
      </tp>
      <tp t="s">
        <v>#N/A N/A</v>
        <stp/>
        <stp>BDP|15970903759126095901</stp>
        <tr r="H1783" s="2"/>
      </tp>
      <tp t="s">
        <v>#N/A N/A</v>
        <stp/>
        <stp>BDS|18217329693704913093</stp>
        <tr r="I1946" s="2"/>
      </tp>
      <tp t="s">
        <v>#N/A N/A</v>
        <stp/>
        <stp>BDP|10692235144291236131</stp>
        <tr r="C2106" s="2"/>
      </tp>
      <tp t="s">
        <v>#N/A N/A</v>
        <stp/>
        <stp>BDS|15407131040631028749</stp>
        <tr r="I1642" s="2"/>
      </tp>
      <tp t="s">
        <v>#N/A N/A</v>
        <stp/>
        <stp>BDP|10223249851162145362</stp>
        <tr r="T139" s="2"/>
      </tp>
      <tp t="s">
        <v>#N/A N/A</v>
        <stp/>
        <stp>BDP|10151661511072215349</stp>
        <tr r="G2027" s="2"/>
      </tp>
      <tp t="s">
        <v>#N/A N/A</v>
        <stp/>
        <stp>BDP|18032145072739047169</stp>
        <tr r="H1870" s="2"/>
      </tp>
      <tp t="s">
        <v>#N/A N/A</v>
        <stp/>
        <stp>BDP|13693236173738722816</stp>
        <tr r="N1062" s="2"/>
      </tp>
      <tp t="s">
        <v>#N/A N/A</v>
        <stp/>
        <stp>BDP|14568163205706484529</stp>
        <tr r="O998" s="2"/>
      </tp>
      <tp t="s">
        <v>#N/A N/A</v>
        <stp/>
        <stp>BDP|13513119158689591894</stp>
        <tr r="R324" s="2"/>
      </tp>
      <tp t="s">
        <v>#N/A N/A</v>
        <stp/>
        <stp>BDP|13063797533337802621</stp>
        <tr r="A715" s="2"/>
      </tp>
      <tp t="s">
        <v>#N/A N/A</v>
        <stp/>
        <stp>BDP|17505707357256264500</stp>
        <tr r="J77" s="2"/>
      </tp>
      <tp t="s">
        <v>#N/A N/A</v>
        <stp/>
        <stp>BDP|16901192741867586241</stp>
        <tr r="J94" s="2"/>
      </tp>
      <tp t="s">
        <v>#N/A N/A</v>
        <stp/>
        <stp>BDP|17786328809204852645</stp>
        <tr r="T1201" s="2"/>
      </tp>
      <tp t="s">
        <v>#N/A N/A</v>
        <stp/>
        <stp>BDP|10781613526886782479</stp>
        <tr r="D380" s="2"/>
      </tp>
      <tp t="s">
        <v>#N/A N/A</v>
        <stp/>
        <stp>BDP|10373055813153686439</stp>
        <tr r="T1114" s="2"/>
      </tp>
      <tp t="s">
        <v>#N/A N/A</v>
        <stp/>
        <stp>BDP|15137336416428449907</stp>
        <tr r="A2165" s="2"/>
      </tp>
      <tp t="s">
        <v>#N/A N/A</v>
        <stp/>
        <stp>BDP|14139409658467882414</stp>
        <tr r="K2172" s="2"/>
      </tp>
      <tp t="s">
        <v>#N/A N/A</v>
        <stp/>
        <stp>BDP|15378545916020919781</stp>
        <tr r="M342" s="2"/>
      </tp>
      <tp t="s">
        <v>#N/A N/A</v>
        <stp/>
        <stp>BDP|11018063973622066250</stp>
        <tr r="D1200" s="2"/>
      </tp>
      <tp t="s">
        <v>#N/A N/A</v>
        <stp/>
        <stp>BDP|16974742908697370066</stp>
        <tr r="O1945" s="2"/>
      </tp>
      <tp t="s">
        <v>#N/A N/A</v>
        <stp/>
        <stp>BDP|12116343929012888748</stp>
        <tr r="M949" s="2"/>
      </tp>
      <tp t="s">
        <v>#N/A N/A</v>
        <stp/>
        <stp>BDP|12585670336950535110</stp>
        <tr r="M1516" s="2"/>
      </tp>
      <tp t="s">
        <v>#N/A N/A</v>
        <stp/>
        <stp>BDP|10058159143993143073</stp>
        <tr r="M1512" s="2"/>
      </tp>
      <tp t="s">
        <v>#N/A N/A</v>
        <stp/>
        <stp>BDP|11143222254182274251</stp>
        <tr r="Q1623" s="2"/>
      </tp>
      <tp t="s">
        <v>#N/A N/A</v>
        <stp/>
        <stp>BDP|17000947514310758970</stp>
        <tr r="H9" s="2"/>
      </tp>
      <tp t="s">
        <v>#N/A N/A</v>
        <stp/>
        <stp>BDP|18227324633179778741</stp>
        <tr r="N1749" s="2"/>
      </tp>
      <tp t="s">
        <v>#N/A N/A</v>
        <stp/>
        <stp>BDP|16009922861726429976</stp>
        <tr r="K999" s="2"/>
      </tp>
      <tp t="s">
        <v>#N/A N/A</v>
        <stp/>
        <stp>BDP|10314320478865003798</stp>
        <tr r="C2213" s="2"/>
      </tp>
      <tp t="s">
        <v>#N/A N/A</v>
        <stp/>
        <stp>BDP|10747062288266927807</stp>
        <tr r="D359" s="2"/>
      </tp>
      <tp t="s">
        <v>#N/A N/A</v>
        <stp/>
        <stp>BDP|17487367240574384213</stp>
        <tr r="K38" s="2"/>
      </tp>
      <tp t="s">
        <v>#N/A N/A</v>
        <stp/>
        <stp>BDP|12405316413620423623</stp>
        <tr r="P771" s="2"/>
      </tp>
      <tp t="s">
        <v>#N/A N/A</v>
        <stp/>
        <stp>BDP|18203622316451377850</stp>
        <tr r="H35" s="2"/>
      </tp>
      <tp t="s">
        <v>#N/A N/A</v>
        <stp/>
        <stp>BDP|11548660611751416162</stp>
        <tr r="R973" s="2"/>
      </tp>
      <tp t="s">
        <v>#N/A N/A</v>
        <stp/>
        <stp>BDP|16188703201132085502</stp>
        <tr r="Q2210" s="2"/>
      </tp>
      <tp t="s">
        <v>#N/A N/A</v>
        <stp/>
        <stp>BDP|12671413927934352638</stp>
        <tr r="S673" s="2"/>
      </tp>
      <tp t="s">
        <v>#N/A N/A</v>
        <stp/>
        <stp>BDP|16161273380672021861</stp>
        <tr r="N1895" s="2"/>
      </tp>
      <tp t="s">
        <v>#N/A N/A</v>
        <stp/>
        <stp>BDS|10677135373531103147</stp>
        <tr r="I833" s="2"/>
      </tp>
      <tp t="s">
        <v>#N/A N/A</v>
        <stp/>
        <stp>BDP|14696019577637226224</stp>
        <tr r="N1128" s="2"/>
      </tp>
      <tp t="s">
        <v>#N/A N/A</v>
        <stp/>
        <stp>BDP|15659436962539605816</stp>
        <tr r="S1806" s="2"/>
      </tp>
      <tp t="s">
        <v>#N/A N/A</v>
        <stp/>
        <stp>BDP|15776021884372149901</stp>
        <tr r="E1103" s="2"/>
      </tp>
      <tp t="s">
        <v>#N/A N/A</v>
        <stp/>
        <stp>BDP|15832632558003757344</stp>
        <tr r="S358" s="2"/>
      </tp>
      <tp t="s">
        <v>#N/A N/A</v>
        <stp/>
        <stp>BDP|16512494250529450885</stp>
        <tr r="P248" s="2"/>
      </tp>
      <tp t="s">
        <v>#N/A N/A</v>
        <stp/>
        <stp>BDP|13212405227564233775</stp>
        <tr r="D608" s="2"/>
      </tp>
      <tp t="s">
        <v>#N/A N/A</v>
        <stp/>
        <stp>BDP|14030970048519926663</stp>
        <tr r="D765" s="2"/>
      </tp>
      <tp t="s">
        <v>#N/A N/A</v>
        <stp/>
        <stp>BDP|10153759776834466265</stp>
        <tr r="C358" s="2"/>
      </tp>
      <tp t="s">
        <v>#N/A N/A</v>
        <stp/>
        <stp>BDP|14486483733282788786</stp>
        <tr r="G1085" s="2"/>
      </tp>
      <tp t="s">
        <v>#N/A N/A</v>
        <stp/>
        <stp>BDP|16467585104347872200</stp>
        <tr r="G2154" s="2"/>
      </tp>
      <tp t="s">
        <v>#N/A N/A</v>
        <stp/>
        <stp>BDP|13778104062523780128</stp>
        <tr r="Q1661" s="2"/>
      </tp>
      <tp t="s">
        <v>#N/A N/A</v>
        <stp/>
        <stp>BDP|16859316265966897345</stp>
        <tr r="N1903" s="2"/>
      </tp>
      <tp t="s">
        <v>#N/A N/A</v>
        <stp/>
        <stp>BDP|17114509152138484977</stp>
        <tr r="J417" s="2"/>
      </tp>
      <tp t="s">
        <v>#N/A N/A</v>
        <stp/>
        <stp>BDP|17946159161302585480</stp>
        <tr r="T1834" s="2"/>
      </tp>
      <tp t="s">
        <v>#N/A N/A</v>
        <stp/>
        <stp>BDP|17799060222342591166</stp>
        <tr r="Q985" s="2"/>
      </tp>
      <tp t="s">
        <v>#N/A N/A</v>
        <stp/>
        <stp>BDP|16776774870616356635</stp>
        <tr r="P1165" s="2"/>
      </tp>
      <tp t="s">
        <v>#N/A N/A</v>
        <stp/>
        <stp>BDP|12900056825971027798</stp>
        <tr r="J1432" s="2"/>
      </tp>
      <tp t="s">
        <v>#N/A N/A</v>
        <stp/>
        <stp>BDP|12009715240076281139</stp>
        <tr r="H826" s="2"/>
      </tp>
      <tp t="s">
        <v>#N/A N/A</v>
        <stp/>
        <stp>BDP|12332353120963699604</stp>
        <tr r="N537" s="2"/>
      </tp>
      <tp t="s">
        <v>#N/A N/A</v>
        <stp/>
        <stp>BDP|16473865784322568233</stp>
        <tr r="J392" s="2"/>
      </tp>
      <tp t="s">
        <v>#N/A N/A</v>
        <stp/>
        <stp>BDP|12542366528596327381</stp>
        <tr r="N1190" s="2"/>
      </tp>
      <tp t="s">
        <v>#N/A N/A</v>
        <stp/>
        <stp>BDP|14113836188293983139</stp>
        <tr r="C252" s="2"/>
      </tp>
      <tp t="s">
        <v>#N/A N/A</v>
        <stp/>
        <stp>BDP|14408043157167417037</stp>
        <tr r="S1669" s="2"/>
      </tp>
      <tp t="s">
        <v>#N/A N/A</v>
        <stp/>
        <stp>BDS|16725536377104807681</stp>
        <tr r="I1143" s="2"/>
      </tp>
      <tp t="s">
        <v>#N/A N/A</v>
        <stp/>
        <stp>BDP|17640484550466943674</stp>
        <tr r="P1036" s="2"/>
      </tp>
      <tp t="s">
        <v>#N/A N/A</v>
        <stp/>
        <stp>BDP|18314813600376576072</stp>
        <tr r="D235" s="2"/>
      </tp>
      <tp t="s">
        <v>#N/A N/A</v>
        <stp/>
        <stp>BDP|13035639905940197341</stp>
        <tr r="S621" s="2"/>
      </tp>
      <tp t="s">
        <v>#N/A N/A</v>
        <stp/>
        <stp>BDP|13062365672995129463</stp>
        <tr r="S1485" s="2"/>
      </tp>
      <tp t="s">
        <v>#N/A N/A</v>
        <stp/>
        <stp>BDP|10785175393289709774</stp>
        <tr r="P304" s="2"/>
      </tp>
      <tp t="s">
        <v>#N/A N/A</v>
        <stp/>
        <stp>BDP|15711093768770671539</stp>
        <tr r="A1930" s="2"/>
      </tp>
      <tp t="s">
        <v>#N/A N/A</v>
        <stp/>
        <stp>BDP|18340209285293118745</stp>
        <tr r="P433" s="2"/>
      </tp>
      <tp t="s">
        <v>#N/A N/A</v>
        <stp/>
        <stp>BDP|13306813663218221309</stp>
        <tr r="J2141" s="2"/>
      </tp>
      <tp t="s">
        <v>#N/A N/A</v>
        <stp/>
        <stp>BDP|17572545563980422250</stp>
        <tr r="R933" s="2"/>
      </tp>
      <tp t="s">
        <v>#N/A N/A</v>
        <stp/>
        <stp>BDP|18349887848985043707</stp>
        <tr r="S2213" s="2"/>
      </tp>
      <tp t="s">
        <v>#N/A N/A</v>
        <stp/>
        <stp>BDS|13279743245116698055</stp>
        <tr r="I2125" s="2"/>
      </tp>
      <tp t="s">
        <v>#N/A N/A</v>
        <stp/>
        <stp>BDP|13286117990394068902</stp>
        <tr r="R1325" s="2"/>
      </tp>
      <tp t="s">
        <v>#N/A N/A</v>
        <stp/>
        <stp>BDP|11731987131938859550</stp>
        <tr r="J1207" s="2"/>
      </tp>
      <tp t="s">
        <v>#N/A N/A</v>
        <stp/>
        <stp>BDP|15279437347875467616</stp>
        <tr r="G530" s="2"/>
      </tp>
      <tp t="s">
        <v>#N/A N/A</v>
        <stp/>
        <stp>BDP|15483152730381626043</stp>
        <tr r="S973" s="2"/>
      </tp>
      <tp t="s">
        <v>#N/A N/A</v>
        <stp/>
        <stp>BDP|18142459750566164966</stp>
        <tr r="H1048" s="2"/>
      </tp>
      <tp t="s">
        <v>#N/A N/A</v>
        <stp/>
        <stp>BDP|15967268463282816572</stp>
        <tr r="M1848" s="2"/>
      </tp>
      <tp t="s">
        <v>#N/A N/A</v>
        <stp/>
        <stp>BDP|15119474412575162369</stp>
        <tr r="K1867" s="2"/>
      </tp>
      <tp t="s">
        <v>#N/A N/A</v>
        <stp/>
        <stp>BDP|10278116452121174338</stp>
        <tr r="R332" s="2"/>
      </tp>
      <tp t="s">
        <v>#N/A N/A</v>
        <stp/>
        <stp>BDP|17696709629624993050</stp>
        <tr r="H45" s="2"/>
      </tp>
      <tp t="s">
        <v>#N/A N/A</v>
        <stp/>
        <stp>BDP|10636706151951079545</stp>
        <tr r="G397" s="2"/>
      </tp>
      <tp t="s">
        <v>#N/A N/A</v>
        <stp/>
        <stp>BDP|12297980376248905265</stp>
        <tr r="R693" s="2"/>
      </tp>
      <tp t="s">
        <v>#N/A N/A</v>
        <stp/>
        <stp>BDP|12711766928949318891</stp>
        <tr r="J1616" s="2"/>
      </tp>
      <tp t="s">
        <v>#N/A N/A</v>
        <stp/>
        <stp>BDP|10987622035361466291</stp>
        <tr r="C1606" s="2"/>
      </tp>
      <tp t="s">
        <v>#N/A N/A</v>
        <stp/>
        <stp>BDP|12862869209755553913</stp>
        <tr r="P2172" s="2"/>
      </tp>
      <tp t="s">
        <v>#N/A N/A</v>
        <stp/>
        <stp>BDP|11157710405758679808</stp>
        <tr r="O2089" s="2"/>
      </tp>
      <tp t="s">
        <v>#N/A N/A</v>
        <stp/>
        <stp>BDP|11564865675789204179</stp>
        <tr r="M1853" s="2"/>
      </tp>
      <tp t="s">
        <v>#N/A N/A</v>
        <stp/>
        <stp>BDP|12859149279773622104</stp>
        <tr r="E277" s="2"/>
      </tp>
      <tp t="s">
        <v>#N/A N/A</v>
        <stp/>
        <stp>BDP|13393691829529531853</stp>
        <tr r="S2116" s="2"/>
      </tp>
      <tp t="s">
        <v>#N/A N/A</v>
        <stp/>
        <stp>BDP|10234657799298990142</stp>
        <tr r="D1293" s="2"/>
      </tp>
      <tp t="s">
        <v>#N/A N/A</v>
        <stp/>
        <stp>BDP|11087646300309432833</stp>
        <tr r="Q8" s="2"/>
      </tp>
      <tp t="s">
        <v>#N/A N/A</v>
        <stp/>
        <stp>BDP|14594824587023573167</stp>
        <tr r="J170" s="2"/>
      </tp>
      <tp t="s">
        <v>#N/A N/A</v>
        <stp/>
        <stp>BDP|10189009262997041701</stp>
        <tr r="K2058" s="2"/>
      </tp>
      <tp t="s">
        <v>#N/A N/A</v>
        <stp/>
        <stp>BDP|12475244483948429644</stp>
        <tr r="E2083" s="2"/>
      </tp>
      <tp t="s">
        <v>#N/A N/A</v>
        <stp/>
        <stp>BDS|13262221962756757759</stp>
        <tr r="I2117" s="2"/>
      </tp>
      <tp t="s">
        <v>#N/A N/A</v>
        <stp/>
        <stp>BDS|10628649161721161726</stp>
        <tr r="I87" s="2"/>
      </tp>
      <tp t="s">
        <v>#N/A N/A</v>
        <stp/>
        <stp>BDP|14624363592468981081</stp>
        <tr r="C1140" s="2"/>
      </tp>
      <tp t="s">
        <v>#N/A N/A</v>
        <stp/>
        <stp>BDP|16452007690181463836</stp>
        <tr r="S1836" s="2"/>
      </tp>
      <tp t="s">
        <v>#N/A N/A</v>
        <stp/>
        <stp>BDP|18114560181183676034</stp>
        <tr r="K1148" s="2"/>
      </tp>
      <tp t="s">
        <v>#N/A N/A</v>
        <stp/>
        <stp>BDP|11133533924259168947</stp>
        <tr r="Q762" s="2"/>
      </tp>
      <tp t="s">
        <v>#N/A N/A</v>
        <stp/>
        <stp>BDP|13012064106114072130</stp>
        <tr r="E694" s="2"/>
      </tp>
      <tp t="s">
        <v>#N/A N/A</v>
        <stp/>
        <stp>BDP|15851993378964896925</stp>
        <tr r="R24" s="2"/>
      </tp>
      <tp t="s">
        <v>#N/A N/A</v>
        <stp/>
        <stp>BDP|16688096619982643331</stp>
        <tr r="D2164" s="2"/>
      </tp>
      <tp t="s">
        <v>#N/A N/A</v>
        <stp/>
        <stp>BDP|18445724133772757810</stp>
        <tr r="K1458" s="2"/>
      </tp>
      <tp t="s">
        <v>#N/A N/A</v>
        <stp/>
        <stp>BDP|13732231504313051436</stp>
        <tr r="D4" s="2"/>
      </tp>
      <tp t="s">
        <v>#N/A N/A</v>
        <stp/>
        <stp>BDP|18251909106736395140</stp>
        <tr r="N2114" s="2"/>
      </tp>
      <tp t="s">
        <v>#N/A N/A</v>
        <stp/>
        <stp>BDP|10384630557815153057</stp>
        <tr r="G2156" s="2"/>
      </tp>
      <tp t="s">
        <v>#N/A N/A</v>
        <stp/>
        <stp>BDP|11569036385186141917</stp>
        <tr r="R2073" s="2"/>
      </tp>
      <tp t="s">
        <v>#N/A N/A</v>
        <stp/>
        <stp>BDP|12203159205663978689</stp>
        <tr r="H1485" s="2"/>
      </tp>
      <tp t="s">
        <v>#N/A N/A</v>
        <stp/>
        <stp>BDP|15597248937363527101</stp>
        <tr r="A933" s="2"/>
      </tp>
      <tp t="s">
        <v>#N/A N/A</v>
        <stp/>
        <stp>BDP|15286971232491583814</stp>
        <tr r="Q2075" s="2"/>
      </tp>
      <tp t="s">
        <v>#N/A N/A</v>
        <stp/>
        <stp>BDP|15513425459745549786</stp>
        <tr r="S2129" s="2"/>
      </tp>
      <tp t="s">
        <v>#N/A N/A</v>
        <stp/>
        <stp>BDS|11115069815047303119</stp>
        <tr r="I2044" s="2"/>
      </tp>
      <tp t="s">
        <v>#N/A N/A</v>
        <stp/>
        <stp>BDP|15368669355931025134</stp>
        <tr r="M1155" s="2"/>
      </tp>
      <tp t="s">
        <v>#N/A N/A</v>
        <stp/>
        <stp>BDP|15857275565446118185</stp>
        <tr r="C10" s="2"/>
      </tp>
      <tp t="s">
        <v>#N/A N/A</v>
        <stp/>
        <stp>BDP|10024292254995717498</stp>
        <tr r="T1882" s="2"/>
      </tp>
      <tp t="s">
        <v>#N/A N/A</v>
        <stp/>
        <stp>BDP|14765515347315092629</stp>
        <tr r="G880" s="2"/>
      </tp>
      <tp t="s">
        <v>#N/A N/A</v>
        <stp/>
        <stp>BDP|17311567341055662510</stp>
        <tr r="G378" s="2"/>
      </tp>
      <tp t="s">
        <v>#N/A N/A</v>
        <stp/>
        <stp>BDP|13059898264849902272</stp>
        <tr r="M992" s="2"/>
      </tp>
      <tp t="s">
        <v>#N/A N/A</v>
        <stp/>
        <stp>BDP|14218131353027925185</stp>
        <tr r="H2136" s="2"/>
      </tp>
      <tp t="s">
        <v>#N/A N/A</v>
        <stp/>
        <stp>BDP|17509803393269120944</stp>
        <tr r="E1154" s="2"/>
      </tp>
      <tp t="s">
        <v>#N/A N/A</v>
        <stp/>
        <stp>BDP|13339543595041940883</stp>
        <tr r="G1230" s="2"/>
      </tp>
      <tp t="s">
        <v>#N/A N/A</v>
        <stp/>
        <stp>BDP|14487141372445637179</stp>
        <tr r="P2194" s="2"/>
      </tp>
      <tp t="s">
        <v>#N/A N/A</v>
        <stp/>
        <stp>BDP|13083345434545361009</stp>
        <tr r="H1088" s="2"/>
      </tp>
      <tp t="s">
        <v>#N/A N/A</v>
        <stp/>
        <stp>BDP|13155284377246969643</stp>
        <tr r="J1380" s="2"/>
      </tp>
      <tp t="s">
        <v>#N/A N/A</v>
        <stp/>
        <stp>BDP|15885397535655574628</stp>
        <tr r="C1726" s="2"/>
      </tp>
      <tp t="s">
        <v>#N/A N/A</v>
        <stp/>
        <stp>BDP|10953831117469816667</stp>
        <tr r="P1540" s="2"/>
      </tp>
      <tp t="s">
        <v>#N/A N/A</v>
        <stp/>
        <stp>BDP|13175154673805691624</stp>
        <tr r="M344" s="2"/>
      </tp>
      <tp t="s">
        <v>#N/A N/A</v>
        <stp/>
        <stp>BDP|13618002709025910057</stp>
        <tr r="Q1658" s="2"/>
      </tp>
      <tp t="s">
        <v>#N/A N/A</v>
        <stp/>
        <stp>BDP|14586712437996357033</stp>
        <tr r="H570" s="2"/>
      </tp>
      <tp t="s">
        <v>#N/A N/A</v>
        <stp/>
        <stp>BDP|14948503799796218814</stp>
        <tr r="G1902" s="2"/>
      </tp>
      <tp t="s">
        <v>#N/A N/A</v>
        <stp/>
        <stp>BDP|13679400760215485218</stp>
        <tr r="D1048" s="2"/>
      </tp>
      <tp t="s">
        <v>#N/A N/A</v>
        <stp/>
        <stp>BDP|15258393039943236039</stp>
        <tr r="N1410" s="2"/>
      </tp>
      <tp t="s">
        <v>#N/A N/A</v>
        <stp/>
        <stp>BDP|11427314243544022454</stp>
        <tr r="E431" s="2"/>
      </tp>
      <tp t="s">
        <v>#N/A N/A</v>
        <stp/>
        <stp>BDP|13719495382471930867</stp>
        <tr r="J255" s="2"/>
      </tp>
      <tp t="s">
        <v>#N/A N/A</v>
        <stp/>
        <stp>BDP|17146331829149854905</stp>
        <tr r="Q1434" s="2"/>
      </tp>
      <tp t="s">
        <v>#N/A N/A</v>
        <stp/>
        <stp>BDP|10208771424045620647</stp>
        <tr r="G535" s="2"/>
      </tp>
      <tp t="s">
        <v>#N/A N/A</v>
        <stp/>
        <stp>BDP|10214126365756735717</stp>
        <tr r="T1795" s="2"/>
      </tp>
      <tp t="s">
        <v>#N/A N/A</v>
        <stp/>
        <stp>BDP|12624113308220522595</stp>
        <tr r="O846" s="2"/>
      </tp>
      <tp t="s">
        <v>#N/A N/A</v>
        <stp/>
        <stp>BDP|16843361062841791480</stp>
        <tr r="J2240" s="2"/>
      </tp>
      <tp t="s">
        <v>#N/A N/A</v>
        <stp/>
        <stp>BDP|16882581325272580537</stp>
        <tr r="C1022" s="2"/>
      </tp>
      <tp t="s">
        <v>#N/A N/A</v>
        <stp/>
        <stp>BDP|14904739716087689395</stp>
        <tr r="R2117" s="2"/>
      </tp>
      <tp t="s">
        <v>#N/A N/A</v>
        <stp/>
        <stp>BDP|11150756215994637552</stp>
        <tr r="R212" s="2"/>
      </tp>
      <tp t="s">
        <v>#N/A N/A</v>
        <stp/>
        <stp>BDP|15925899689084977727</stp>
        <tr r="H1474" s="2"/>
      </tp>
      <tp t="s">
        <v>#N/A N/A</v>
        <stp/>
        <stp>BDP|11352109190889471658</stp>
        <tr r="M1149" s="2"/>
      </tp>
      <tp t="s">
        <v>#N/A N/A</v>
        <stp/>
        <stp>BDP|12977499412705452447</stp>
        <tr r="P1110" s="2"/>
      </tp>
      <tp t="s">
        <v>#N/A N/A</v>
        <stp/>
        <stp>BDP|17756738702732413400</stp>
        <tr r="R250" s="2"/>
      </tp>
      <tp t="s">
        <v>#N/A N/A</v>
        <stp/>
        <stp>BDP|10899437159467840084</stp>
        <tr r="S1730" s="2"/>
      </tp>
      <tp t="s">
        <v>#N/A N/A</v>
        <stp/>
        <stp>BDP|12828574989019286064</stp>
        <tr r="O384" s="2"/>
      </tp>
      <tp t="s">
        <v>#N/A N/A</v>
        <stp/>
        <stp>BDS|11934431619506341419</stp>
        <tr r="I993" s="2"/>
      </tp>
      <tp t="s">
        <v>#N/A N/A</v>
        <stp/>
        <stp>BDP|14462054705346623409</stp>
        <tr r="A126" s="2"/>
      </tp>
      <tp t="s">
        <v>#N/A N/A</v>
        <stp/>
        <stp>BDP|14684453044237105543</stp>
        <tr r="N221" s="2"/>
      </tp>
      <tp t="s">
        <v>#N/A N/A</v>
        <stp/>
        <stp>BDP|11725442203166186530</stp>
        <tr r="G487" s="2"/>
      </tp>
      <tp t="s">
        <v>#N/A N/A</v>
        <stp/>
        <stp>BDP|10566273612530183531</stp>
        <tr r="P174" s="2"/>
      </tp>
      <tp t="s">
        <v>#N/A N/A</v>
        <stp/>
        <stp>BDS|15093788576531985265</stp>
        <tr r="I504" s="2"/>
      </tp>
      <tp t="s">
        <v>#N/A N/A</v>
        <stp/>
        <stp>BDP|14451839716929089235</stp>
        <tr r="K998" s="2"/>
      </tp>
      <tp t="s">
        <v>#N/A N/A</v>
        <stp/>
        <stp>BDP|14238958962235579826</stp>
        <tr r="P1700" s="2"/>
      </tp>
      <tp t="s">
        <v>#N/A N/A</v>
        <stp/>
        <stp>BDP|17244425741807188629</stp>
        <tr r="J1449" s="2"/>
      </tp>
      <tp t="s">
        <v>#N/A N/A</v>
        <stp/>
        <stp>BDP|11653170051590689340</stp>
        <tr r="H1784" s="2"/>
      </tp>
      <tp t="s">
        <v>#N/A N/A</v>
        <stp/>
        <stp>BDP|18379944774989215933</stp>
        <tr r="A2245" s="2"/>
      </tp>
      <tp t="s">
        <v>#N/A N/A</v>
        <stp/>
        <stp>BDP|17285422855204660411</stp>
        <tr r="R598" s="2"/>
      </tp>
      <tp t="s">
        <v>#N/A N/A</v>
        <stp/>
        <stp>BDP|17151021273452668449</stp>
        <tr r="S1701" s="2"/>
      </tp>
      <tp t="s">
        <v>#N/A N/A</v>
        <stp/>
        <stp>BDP|16164408305292465625</stp>
        <tr r="C1158" s="2"/>
      </tp>
      <tp t="s">
        <v>#N/A N/A</v>
        <stp/>
        <stp>BDP|11388305358068007992</stp>
        <tr r="F2251" s="2"/>
      </tp>
      <tp t="s">
        <v>#N/A N/A</v>
        <stp/>
        <stp>BDP|13956690667794559108</stp>
        <tr r="A128" s="2"/>
      </tp>
      <tp t="s">
        <v>#N/A N/A</v>
        <stp/>
        <stp>BDP|15224720760972054021</stp>
        <tr r="C511" s="2"/>
      </tp>
      <tp t="s">
        <v>#N/A N/A</v>
        <stp/>
        <stp>BDP|18048801952844357737</stp>
        <tr r="Q495" s="2"/>
      </tp>
      <tp t="s">
        <v>#N/A N/A</v>
        <stp/>
        <stp>BDP|12565149816770372461</stp>
        <tr r="P948" s="2"/>
      </tp>
      <tp t="s">
        <v>#N/A N/A</v>
        <stp/>
        <stp>BDP|13382885587545665080</stp>
        <tr r="Q1751" s="2"/>
      </tp>
      <tp t="s">
        <v>#N/A N/A</v>
        <stp/>
        <stp>BDP|17245359759043455486</stp>
        <tr r="O1087" s="2"/>
      </tp>
      <tp t="s">
        <v>#N/A N/A</v>
        <stp/>
        <stp>BDP|13803162440957948752</stp>
        <tr r="G229" s="2"/>
      </tp>
      <tp t="s">
        <v>#N/A N/A</v>
        <stp/>
        <stp>BDP|11544670061040815798</stp>
        <tr r="P846" s="2"/>
      </tp>
      <tp t="s">
        <v>#N/A N/A</v>
        <stp/>
        <stp>BDP|17782354782002702851</stp>
        <tr r="M1826" s="2"/>
      </tp>
      <tp t="s">
        <v>#N/A N/A</v>
        <stp/>
        <stp>BDP|17645719477248714953</stp>
        <tr r="F1947" s="2"/>
      </tp>
      <tp t="s">
        <v>#N/A N/A</v>
        <stp/>
        <stp>BDP|12793306576333705341</stp>
        <tr r="K1603" s="2"/>
      </tp>
      <tp t="s">
        <v>#N/A N/A</v>
        <stp/>
        <stp>BDS|17731606965082490371</stp>
        <tr r="I1036" s="2"/>
      </tp>
      <tp t="s">
        <v>#N/A N/A</v>
        <stp/>
        <stp>BDP|13714409720166378562</stp>
        <tr r="J1435" s="2"/>
      </tp>
      <tp t="s">
        <v>#N/A N/A</v>
        <stp/>
        <stp>BDP|17898230306210917366</stp>
        <tr r="S2148" s="2"/>
      </tp>
      <tp t="s">
        <v>#N/A N/A</v>
        <stp/>
        <stp>BDP|17185398509850169222</stp>
        <tr r="S2017" s="2"/>
      </tp>
      <tp t="s">
        <v>#N/A N/A</v>
        <stp/>
        <stp>BDP|17794797913641843670</stp>
        <tr r="D583" s="2"/>
      </tp>
      <tp t="s">
        <v>#N/A N/A</v>
        <stp/>
        <stp>BDP|15762482269873414201</stp>
        <tr r="N1130" s="2"/>
      </tp>
      <tp t="s">
        <v>#N/A N/A</v>
        <stp/>
        <stp>BDP|16076136188030119983</stp>
        <tr r="P655" s="2"/>
      </tp>
      <tp t="s">
        <v>#N/A N/A</v>
        <stp/>
        <stp>BDP|11899385620144187236</stp>
        <tr r="S732" s="2"/>
      </tp>
      <tp t="s">
        <v>#N/A N/A</v>
        <stp/>
        <stp>BDP|12713812317995200819</stp>
        <tr r="C526" s="2"/>
      </tp>
      <tp t="s">
        <v>#N/A N/A</v>
        <stp/>
        <stp>BDP|16020530801743265620</stp>
        <tr r="J962" s="2"/>
      </tp>
      <tp t="s">
        <v>#N/A N/A</v>
        <stp/>
        <stp>BDP|13050071258100434095</stp>
        <tr r="P1803" s="2"/>
      </tp>
      <tp t="s">
        <v>#N/A N/A</v>
        <stp/>
        <stp>BDP|16434655171067575672</stp>
        <tr r="G1220" s="2"/>
      </tp>
      <tp t="s">
        <v>#N/A N/A</v>
        <stp/>
        <stp>BDP|16272277147006833080</stp>
        <tr r="D151" s="2"/>
      </tp>
      <tp t="s">
        <v>#N/A N/A</v>
        <stp/>
        <stp>BDP|11988790579382388581</stp>
        <tr r="F1520" s="2"/>
      </tp>
      <tp t="s">
        <v>#N/A N/A</v>
        <stp/>
        <stp>BDP|13527614967776004313</stp>
        <tr r="O2220" s="2"/>
      </tp>
      <tp t="s">
        <v>#N/A N/A</v>
        <stp/>
        <stp>BDP|16012705336187165351</stp>
        <tr r="K1412" s="2"/>
      </tp>
      <tp t="s">
        <v>#N/A N/A</v>
        <stp/>
        <stp>BDP|16350010383058769041</stp>
        <tr r="K47" s="2"/>
      </tp>
      <tp t="s">
        <v>#N/A N/A</v>
        <stp/>
        <stp>BDP|16250032789310974831</stp>
        <tr r="O431" s="2"/>
      </tp>
      <tp t="s">
        <v>#N/A N/A</v>
        <stp/>
        <stp>BDP|14804392044586723304</stp>
        <tr r="J67" s="2"/>
      </tp>
      <tp t="s">
        <v>#N/A N/A</v>
        <stp/>
        <stp>BDP|17668096623725704696</stp>
        <tr r="R1913" s="2"/>
      </tp>
      <tp t="s">
        <v>#N/A N/A</v>
        <stp/>
        <stp>BDP|15584476470104395437</stp>
        <tr r="A931" s="2"/>
      </tp>
      <tp t="s">
        <v>#N/A N/A</v>
        <stp/>
        <stp>BDP|14619933972218335462</stp>
        <tr r="C1701" s="2"/>
      </tp>
      <tp t="s">
        <v>#N/A N/A</v>
        <stp/>
        <stp>BDP|10652753715620047045</stp>
        <tr r="N1978" s="2"/>
      </tp>
      <tp t="s">
        <v>#N/A N/A</v>
        <stp/>
        <stp>BDP|12990927136316782884</stp>
        <tr r="C9" s="2"/>
      </tp>
      <tp t="s">
        <v>#N/A N/A</v>
        <stp/>
        <stp>BDP|18294088250379823201</stp>
        <tr r="D1510" s="2"/>
      </tp>
      <tp t="s">
        <v>#N/A N/A</v>
        <stp/>
        <stp>BDP|14893418387187414981</stp>
        <tr r="H859" s="2"/>
      </tp>
      <tp t="s">
        <v>#N/A N/A</v>
        <stp/>
        <stp>BDP|17144717383208058614</stp>
        <tr r="F1924" s="2"/>
      </tp>
      <tp t="s">
        <v>#N/A N/A</v>
        <stp/>
        <stp>BDP|10732134034923298707</stp>
        <tr r="M2203" s="2"/>
      </tp>
      <tp t="s">
        <v>#N/A N/A</v>
        <stp/>
        <stp>BDP|10272133257112415004</stp>
        <tr r="M1531" s="2"/>
      </tp>
      <tp t="s">
        <v>#N/A N/A</v>
        <stp/>
        <stp>BDP|12165700356393428517</stp>
        <tr r="S1869" s="2"/>
      </tp>
      <tp t="s">
        <v>#N/A N/A</v>
        <stp/>
        <stp>BDP|12812282321343782748</stp>
        <tr r="A629" s="2"/>
      </tp>
      <tp t="s">
        <v>#N/A N/A</v>
        <stp/>
        <stp>BDP|11854294193365302932</stp>
        <tr r="F1700" s="2"/>
      </tp>
      <tp t="s">
        <v>#N/A N/A</v>
        <stp/>
        <stp>BDP|16836595900020563567</stp>
        <tr r="P1560" s="2"/>
      </tp>
      <tp t="s">
        <v>#N/A N/A</v>
        <stp/>
        <stp>BDP|14797644637667643008</stp>
        <tr r="S1329" s="2"/>
      </tp>
      <tp t="s">
        <v>#N/A N/A</v>
        <stp/>
        <stp>BDP|16211970081151305057</stp>
        <tr r="C793" s="2"/>
      </tp>
      <tp t="s">
        <v>#N/A N/A</v>
        <stp/>
        <stp>BDP|15879983946599219767</stp>
        <tr r="S56" s="2"/>
      </tp>
      <tp t="s">
        <v>#N/A N/A</v>
        <stp/>
        <stp>BDP|12245131316974132048</stp>
        <tr r="Q635" s="2"/>
      </tp>
      <tp t="s">
        <v>#N/A N/A</v>
        <stp/>
        <stp>BDP|18163663034048754367</stp>
        <tr r="N415" s="2"/>
      </tp>
      <tp t="s">
        <v>#N/A N/A</v>
        <stp/>
        <stp>BDP|13303027301616033325</stp>
        <tr r="K1687" s="2"/>
      </tp>
      <tp t="s">
        <v>#N/A N/A</v>
        <stp/>
        <stp>BDP|15084866891270029259</stp>
        <tr r="N1764" s="2"/>
      </tp>
      <tp t="s">
        <v>#N/A N/A</v>
        <stp/>
        <stp>BDP|12169459414986368716</stp>
        <tr r="S228" s="2"/>
      </tp>
      <tp t="s">
        <v>#N/A N/A</v>
        <stp/>
        <stp>BDP|17281237953174914299</stp>
        <tr r="P924" s="2"/>
      </tp>
      <tp t="s">
        <v>#N/A N/A</v>
        <stp/>
        <stp>BDP|12566211950567343450</stp>
        <tr r="K163" s="2"/>
      </tp>
      <tp t="s">
        <v>#N/A N/A</v>
        <stp/>
        <stp>BDP|12367326474478620810</stp>
        <tr r="R299" s="2"/>
      </tp>
      <tp t="s">
        <v>#N/A N/A</v>
        <stp/>
        <stp>BDP|12429112747405349436</stp>
        <tr r="K454" s="2"/>
      </tp>
      <tp t="s">
        <v>#N/A N/A</v>
        <stp/>
        <stp>BDP|13482134665210812289</stp>
        <tr r="R1460" s="2"/>
      </tp>
      <tp t="s">
        <v>#N/A N/A</v>
        <stp/>
        <stp>BDP|17287785115586889156</stp>
        <tr r="Q456" s="2"/>
      </tp>
      <tp t="s">
        <v>#N/A N/A</v>
        <stp/>
        <stp>BDP|12145145954292633256</stp>
        <tr r="N1766" s="2"/>
      </tp>
      <tp t="s">
        <v>#N/A N/A</v>
        <stp/>
        <stp>BDP|12762330126477324236</stp>
        <tr r="O527" s="2"/>
      </tp>
      <tp t="s">
        <v>#N/A N/A</v>
        <stp/>
        <stp>BDP|11178785331300238384</stp>
        <tr r="K1699" s="2"/>
      </tp>
      <tp t="s">
        <v>#N/A N/A</v>
        <stp/>
        <stp>BDP|13839588074794733319</stp>
        <tr r="E2058" s="2"/>
      </tp>
      <tp t="s">
        <v>#N/A N/A</v>
        <stp/>
        <stp>BDP|18089981970853337394</stp>
        <tr r="T1067" s="2"/>
      </tp>
      <tp t="s">
        <v>#N/A N/A</v>
        <stp/>
        <stp>BDP|11869122023471243591</stp>
        <tr r="R571" s="2"/>
      </tp>
      <tp t="s">
        <v>#N/A N/A</v>
        <stp/>
        <stp>BDP|12640763752480073601</stp>
        <tr r="D65" s="2"/>
      </tp>
      <tp t="s">
        <v>#N/A N/A</v>
        <stp/>
        <stp>BDS|18074872065517739746</stp>
        <tr r="I891" s="2"/>
      </tp>
      <tp t="s">
        <v>#N/A N/A</v>
        <stp/>
        <stp>BDP|13517852650390662843</stp>
        <tr r="F54" s="2"/>
      </tp>
      <tp t="s">
        <v>#N/A N/A</v>
        <stp/>
        <stp>BDP|14092868411879087254</stp>
        <tr r="A1161" s="2"/>
      </tp>
      <tp t="s">
        <v>#N/A N/A</v>
        <stp/>
        <stp>BDP|17134330653552466575</stp>
        <tr r="J1267" s="2"/>
      </tp>
      <tp t="s">
        <v>#N/A N/A</v>
        <stp/>
        <stp>BDP|14401023418475552697</stp>
        <tr r="O2243" s="2"/>
      </tp>
      <tp t="s">
        <v>#N/A N/A</v>
        <stp/>
        <stp>BDP|17086256356304606278</stp>
        <tr r="J1904" s="2"/>
      </tp>
      <tp t="s">
        <v>#N/A N/A</v>
        <stp/>
        <stp>BDP|10252787406673664286</stp>
        <tr r="Q1598" s="2"/>
      </tp>
      <tp t="s">
        <v>#N/A N/A</v>
        <stp/>
        <stp>BDP|17815135069295128310</stp>
        <tr r="A877" s="2"/>
      </tp>
      <tp t="s">
        <v>#N/A N/A</v>
        <stp/>
        <stp>BDP|11120242597545187919</stp>
        <tr r="R1585" s="2"/>
      </tp>
      <tp t="s">
        <v>#N/A N/A</v>
        <stp/>
        <stp>BDP|17519055988918307199</stp>
        <tr r="R1564" s="2"/>
      </tp>
      <tp t="s">
        <v>#N/A N/A</v>
        <stp/>
        <stp>BDP|18427412302413794929</stp>
        <tr r="E1640" s="2"/>
      </tp>
      <tp t="s">
        <v>#N/A N/A</v>
        <stp/>
        <stp>BDP|14365259415006322729</stp>
        <tr r="D1661" s="2"/>
      </tp>
      <tp t="s">
        <v>#N/A N/A</v>
        <stp/>
        <stp>BDP|11517339820340727642</stp>
        <tr r="S1849" s="2"/>
      </tp>
      <tp t="s">
        <v>#N/A N/A</v>
        <stp/>
        <stp>BDP|13203968824748023656</stp>
        <tr r="P1870" s="2"/>
      </tp>
      <tp t="s">
        <v>#N/A N/A</v>
        <stp/>
        <stp>BDP|13242706627804900491</stp>
        <tr r="E1686" s="2"/>
      </tp>
      <tp t="s">
        <v>#N/A N/A</v>
        <stp/>
        <stp>BDP|14058525200895344247</stp>
        <tr r="O1667" s="2"/>
      </tp>
      <tp t="s">
        <v>#N/A N/A</v>
        <stp/>
        <stp>BDP|12077134105005280010</stp>
        <tr r="J1442" s="2"/>
      </tp>
      <tp t="s">
        <v>#N/A N/A</v>
        <stp/>
        <stp>BDP|16629218548480334696</stp>
        <tr r="Q1657" s="2"/>
      </tp>
      <tp t="s">
        <v>#N/A N/A</v>
        <stp/>
        <stp>BDP|17414609718244194288</stp>
        <tr r="Q1020" s="2"/>
      </tp>
      <tp t="s">
        <v>#N/A N/A</v>
        <stp/>
        <stp>BDP|14720650902927302361</stp>
        <tr r="K1021" s="2"/>
      </tp>
      <tp t="s">
        <v>#N/A N/A</v>
        <stp/>
        <stp>BDP|14251621544529223939</stp>
        <tr r="T870" s="2"/>
      </tp>
      <tp t="s">
        <v>#N/A N/A</v>
        <stp/>
        <stp>BDP|15039110376197696241</stp>
        <tr r="C1684" s="2"/>
      </tp>
      <tp t="s">
        <v>#N/A N/A</v>
        <stp/>
        <stp>BDP|10524889205947585980</stp>
        <tr r="G178" s="2"/>
      </tp>
      <tp t="s">
        <v>#N/A N/A</v>
        <stp/>
        <stp>BDP|14591725524856567138</stp>
        <tr r="M2191" s="2"/>
      </tp>
      <tp t="s">
        <v>#N/A N/A</v>
        <stp/>
        <stp>BDP|16767591135046954078</stp>
        <tr r="O347" s="2"/>
      </tp>
      <tp t="s">
        <v>#N/A N/A</v>
        <stp/>
        <stp>BDP|17292690520121845466</stp>
        <tr r="N307" s="2"/>
      </tp>
      <tp t="s">
        <v>#N/A N/A</v>
        <stp/>
        <stp>BDS|14402550021902301753</stp>
        <tr r="I648" s="2"/>
      </tp>
      <tp t="s">
        <v>#N/A N/A</v>
        <stp/>
        <stp>BDP|15577735017587195257</stp>
        <tr r="R1527" s="2"/>
      </tp>
      <tp t="s">
        <v>#N/A N/A</v>
        <stp/>
        <stp>BDP|17603448730282366445</stp>
        <tr r="E298" s="2"/>
      </tp>
      <tp t="s">
        <v>#N/A N/A</v>
        <stp/>
        <stp>BDP|12245716876794541058</stp>
        <tr r="N1283" s="2"/>
      </tp>
      <tp t="s">
        <v>#N/A N/A</v>
        <stp/>
        <stp>BDP|13730209321205606051</stp>
        <tr r="H304" s="2"/>
      </tp>
      <tp t="s">
        <v>#N/A N/A</v>
        <stp/>
        <stp>BDP|12744071671876422506</stp>
        <tr r="D229" s="2"/>
      </tp>
      <tp t="s">
        <v>#N/A N/A</v>
        <stp/>
        <stp>BDP|14350972675485139959</stp>
        <tr r="S570" s="2"/>
      </tp>
      <tp t="s">
        <v>#N/A N/A</v>
        <stp/>
        <stp>BDP|11684326982638628453</stp>
        <tr r="S1963" s="2"/>
      </tp>
      <tp t="s">
        <v>#N/A N/A</v>
        <stp/>
        <stp>BDP|17401237130250254009</stp>
        <tr r="Q73" s="2"/>
      </tp>
      <tp t="s">
        <v>#N/A N/A</v>
        <stp/>
        <stp>BDP|11324742859001911429</stp>
        <tr r="O1097" s="2"/>
      </tp>
      <tp t="s">
        <v>#N/A N/A</v>
        <stp/>
        <stp>BDP|12333810782890572404</stp>
        <tr r="Q1769" s="2"/>
      </tp>
      <tp t="s">
        <v>#N/A N/A</v>
        <stp/>
        <stp>BDP|14514089037588656990</stp>
        <tr r="P321" s="2"/>
      </tp>
      <tp t="s">
        <v>#N/A N/A</v>
        <stp/>
        <stp>BDP|16106471053556980794</stp>
        <tr r="E2218" s="2"/>
      </tp>
      <tp t="s">
        <v>#N/A N/A</v>
        <stp/>
        <stp>BDP|14165787659889599908</stp>
        <tr r="C976" s="2"/>
      </tp>
      <tp t="s">
        <v>#N/A N/A</v>
        <stp/>
        <stp>BDP|16779815656644031958</stp>
        <tr r="E672" s="2"/>
      </tp>
      <tp t="s">
        <v>#N/A N/A</v>
        <stp/>
        <stp>BDP|10290872555373170840</stp>
        <tr r="G1958" s="2"/>
      </tp>
      <tp t="s">
        <v>#N/A N/A</v>
        <stp/>
        <stp>BDP|18398413174068646550</stp>
        <tr r="F381" s="2"/>
      </tp>
      <tp t="s">
        <v>#N/A N/A</v>
        <stp/>
        <stp>BDP|15333027907097398403</stp>
        <tr r="J470" s="2"/>
      </tp>
      <tp t="s">
        <v>#N/A N/A</v>
        <stp/>
        <stp>BDP|11419971854839127234</stp>
        <tr r="C886" s="2"/>
      </tp>
      <tp t="s">
        <v>#N/A N/A</v>
        <stp/>
        <stp>BDP|12526604242556393014</stp>
        <tr r="D1584" s="2"/>
      </tp>
      <tp t="s">
        <v>#N/A N/A</v>
        <stp/>
        <stp>BDP|13591201304152025545</stp>
        <tr r="A1082" s="2"/>
      </tp>
      <tp t="s">
        <v>#N/A N/A</v>
        <stp/>
        <stp>BDP|17089232320504557537</stp>
        <tr r="T737" s="2"/>
      </tp>
      <tp t="s">
        <v>#N/A N/A</v>
        <stp/>
        <stp>BDP|10465422819831204281</stp>
        <tr r="Q1820" s="2"/>
      </tp>
      <tp t="s">
        <v>#N/A N/A</v>
        <stp/>
        <stp>BDP|16278628225283676767</stp>
        <tr r="P835" s="2"/>
      </tp>
      <tp t="s">
        <v>#N/A N/A</v>
        <stp/>
        <stp>BDP|15925138194238950320</stp>
        <tr r="N1994" s="2"/>
      </tp>
      <tp t="s">
        <v>#N/A N/A</v>
        <stp/>
        <stp>BDP|14184453405025272361</stp>
        <tr r="K1240" s="2"/>
      </tp>
      <tp t="s">
        <v>#N/A N/A</v>
        <stp/>
        <stp>BDP|16111296030451577089</stp>
        <tr r="D934" s="2"/>
      </tp>
      <tp t="s">
        <v>#N/A N/A</v>
        <stp/>
        <stp>BDP|18025866663732163218</stp>
        <tr r="Q1960" s="2"/>
      </tp>
      <tp t="s">
        <v>#N/A N/A</v>
        <stp/>
        <stp>BDP|10173668335515459633</stp>
        <tr r="K2080" s="2"/>
      </tp>
      <tp t="s">
        <v>#N/A N/A</v>
        <stp/>
        <stp>BDP|15478532990358581772</stp>
        <tr r="A1947" s="2"/>
      </tp>
      <tp t="s">
        <v>#N/A N/A</v>
        <stp/>
        <stp>BDP|14994845355979913648</stp>
        <tr r="R1825" s="2"/>
      </tp>
      <tp t="s">
        <v>#N/A N/A</v>
        <stp/>
        <stp>BDP|13388531019528558995</stp>
        <tr r="G2244" s="2"/>
      </tp>
      <tp t="s">
        <v>#N/A N/A</v>
        <stp/>
        <stp>BDP|15577671946033140201</stp>
        <tr r="M1477" s="2"/>
      </tp>
      <tp t="s">
        <v>#N/A N/A</v>
        <stp/>
        <stp>BDP|13011313115845508249</stp>
        <tr r="K817" s="2"/>
      </tp>
      <tp t="s">
        <v>#N/A N/A</v>
        <stp/>
        <stp>BDP|14401237849400371487</stp>
        <tr r="F1815" s="2"/>
      </tp>
      <tp t="s">
        <v>#N/A N/A</v>
        <stp/>
        <stp>BDP|15300722455384469554</stp>
        <tr r="K2230" s="2"/>
      </tp>
      <tp t="s">
        <v>#N/A N/A</v>
        <stp/>
        <stp>BDP|11877184372500145161</stp>
        <tr r="Q1155" s="2"/>
      </tp>
      <tp t="s">
        <v>#N/A N/A</v>
        <stp/>
        <stp>BDP|12921487123085169760</stp>
        <tr r="G2118" s="2"/>
      </tp>
      <tp t="s">
        <v>#N/A N/A</v>
        <stp/>
        <stp>BDP|12347842709039210594</stp>
        <tr r="D348" s="2"/>
      </tp>
      <tp t="s">
        <v>#N/A N/A</v>
        <stp/>
        <stp>BDP|17398338026695176522</stp>
        <tr r="H240" s="2"/>
      </tp>
      <tp t="s">
        <v>#N/A N/A</v>
        <stp/>
        <stp>BDP|17791715043001866388</stp>
        <tr r="J1812" s="2"/>
      </tp>
      <tp t="s">
        <v>#N/A N/A</v>
        <stp/>
        <stp>BDP|18384899773243830242</stp>
        <tr r="R818" s="2"/>
      </tp>
      <tp t="s">
        <v>#N/A N/A</v>
        <stp/>
        <stp>BDP|11726715930395577661</stp>
        <tr r="J1982" s="2"/>
      </tp>
      <tp t="s">
        <v>#N/A N/A</v>
        <stp/>
        <stp>BDP|16058062122386240432</stp>
        <tr r="D1676" s="2"/>
      </tp>
      <tp t="s">
        <v>#N/A N/A</v>
        <stp/>
        <stp>BDP|13494991247309786181</stp>
        <tr r="Q1985" s="2"/>
      </tp>
      <tp t="s">
        <v>#N/A N/A</v>
        <stp/>
        <stp>BDP|17315978207188510038</stp>
        <tr r="R375" s="2"/>
      </tp>
      <tp t="s">
        <v>#N/A N/A</v>
        <stp/>
        <stp>BDP|17396931403008609009</stp>
        <tr r="F1325" s="2"/>
      </tp>
      <tp t="s">
        <v>#N/A N/A</v>
        <stp/>
        <stp>BDP|14731547948135821666</stp>
        <tr r="G447" s="2"/>
      </tp>
      <tp t="s">
        <v>#N/A N/A</v>
        <stp/>
        <stp>BDP|18307388889783384646</stp>
        <tr r="A438" s="2"/>
      </tp>
      <tp t="s">
        <v>#N/A N/A</v>
        <stp/>
        <stp>BDS|12139601885323580978</stp>
        <tr r="I2007" s="2"/>
      </tp>
      <tp t="s">
        <v>#N/A N/A</v>
        <stp/>
        <stp>BDP|17654171066660700653</stp>
        <tr r="G926" s="2"/>
      </tp>
      <tp t="s">
        <v>#N/A N/A</v>
        <stp/>
        <stp>BDS|12834120551957899753</stp>
        <tr r="I1176" s="2"/>
      </tp>
      <tp t="s">
        <v>#N/A N/A</v>
        <stp/>
        <stp>BDP|13946359410066048199</stp>
        <tr r="Q1986" s="2"/>
      </tp>
      <tp t="s">
        <v>#N/A N/A</v>
        <stp/>
        <stp>BDP|15136506830465337072</stp>
        <tr r="P510" s="2"/>
      </tp>
      <tp t="s">
        <v>#N/A N/A</v>
        <stp/>
        <stp>BDP|16159257363446005226</stp>
        <tr r="R1901" s="2"/>
      </tp>
      <tp t="s">
        <v>#N/A N/A</v>
        <stp/>
        <stp>BDP|10326416111742167175</stp>
        <tr r="T90" s="2"/>
      </tp>
      <tp t="s">
        <v>#N/A N/A</v>
        <stp/>
        <stp>BDP|11546300948299147992</stp>
        <tr r="O1268" s="2"/>
      </tp>
      <tp t="s">
        <v>#N/A N/A</v>
        <stp/>
        <stp>BDP|14842652537561751686</stp>
        <tr r="K1636" s="2"/>
      </tp>
      <tp t="s">
        <v>#N/A N/A</v>
        <stp/>
        <stp>BDP|16477651474989017809</stp>
        <tr r="E737" s="2"/>
      </tp>
      <tp t="s">
        <v>#N/A N/A</v>
        <stp/>
        <stp>BDP|15752496127457598299</stp>
        <tr r="F2005" s="2"/>
      </tp>
      <tp t="s">
        <v>#N/A N/A</v>
        <stp/>
        <stp>BDP|11947411167373988639</stp>
        <tr r="T810" s="2"/>
      </tp>
      <tp t="s">
        <v>#N/A N/A</v>
        <stp/>
        <stp>BDS|12889054673707994415</stp>
        <tr r="I516" s="2"/>
      </tp>
      <tp t="s">
        <v>#N/A N/A</v>
        <stp/>
        <stp>BDP|15038102839365942451</stp>
        <tr r="K657" s="2"/>
      </tp>
      <tp t="s">
        <v>#N/A N/A</v>
        <stp/>
        <stp>BDP|14236353278151257783</stp>
        <tr r="N2187" s="2"/>
      </tp>
      <tp t="s">
        <v>#N/A N/A</v>
        <stp/>
        <stp>BDP|15435038540685299203</stp>
        <tr r="P316" s="2"/>
      </tp>
      <tp t="s">
        <v>#N/A N/A</v>
        <stp/>
        <stp>BDP|14677282194469672091</stp>
        <tr r="H398" s="2"/>
      </tp>
      <tp t="s">
        <v>#N/A N/A</v>
        <stp/>
        <stp>BDP|17472150355726661371</stp>
        <tr r="Q880" s="2"/>
      </tp>
      <tp t="s">
        <v>#N/A N/A</v>
        <stp/>
        <stp>BDP|15579946709132860850</stp>
        <tr r="R1069" s="2"/>
      </tp>
      <tp t="s">
        <v>#N/A N/A</v>
        <stp/>
        <stp>BDP|11167110962640565020</stp>
        <tr r="Q1259" s="2"/>
      </tp>
      <tp t="s">
        <v>#N/A N/A</v>
        <stp/>
        <stp>BDP|12098243431423411649</stp>
        <tr r="O212" s="2"/>
      </tp>
      <tp t="s">
        <v>#N/A N/A</v>
        <stp/>
        <stp>BDP|13668450554246316213</stp>
        <tr r="T1744" s="2"/>
      </tp>
      <tp t="s">
        <v>#N/A N/A</v>
        <stp/>
        <stp>BDP|14426191975473967747</stp>
        <tr r="E1847" s="2"/>
      </tp>
      <tp t="s">
        <v>#N/A N/A</v>
        <stp/>
        <stp>BDP|17045214631089460913</stp>
        <tr r="Q990" s="2"/>
      </tp>
      <tp t="s">
        <v>#N/A N/A</v>
        <stp/>
        <stp>BDP|11849423759127519132</stp>
        <tr r="F493" s="2"/>
      </tp>
      <tp t="s">
        <v>#N/A N/A</v>
        <stp/>
        <stp>BDP|17408475999814796881</stp>
        <tr r="A261" s="2"/>
      </tp>
      <tp t="s">
        <v>#N/A N/A</v>
        <stp/>
        <stp>BDP|13936819189605304079</stp>
        <tr r="K553" s="2"/>
      </tp>
      <tp t="s">
        <v>#N/A N/A</v>
        <stp/>
        <stp>BDP|11574044636796605240</stp>
        <tr r="O1461" s="2"/>
      </tp>
      <tp t="s">
        <v>#N/A N/A</v>
        <stp/>
        <stp>BDP|13266460850383501741</stp>
        <tr r="A404" s="2"/>
      </tp>
      <tp t="s">
        <v>#N/A N/A</v>
        <stp/>
        <stp>BDP|13994374455933722092</stp>
        <tr r="Q1943" s="2"/>
      </tp>
      <tp t="s">
        <v>#N/A N/A</v>
        <stp/>
        <stp>BDP|17264950307020774825</stp>
        <tr r="T499" s="2"/>
      </tp>
      <tp t="s">
        <v>#N/A N/A</v>
        <stp/>
        <stp>BDP|10407233760121600346</stp>
        <tr r="S1012" s="2"/>
      </tp>
      <tp t="s">
        <v>#N/A N/A</v>
        <stp/>
        <stp>BDP|14279789328404441325</stp>
        <tr r="A557" s="2"/>
      </tp>
      <tp t="s">
        <v>#N/A N/A</v>
        <stp/>
        <stp>BDP|14736647285544485862</stp>
        <tr r="E2051" s="2"/>
      </tp>
      <tp t="s">
        <v>#N/A N/A</v>
        <stp/>
        <stp>BDP|12860219266555233592</stp>
        <tr r="C2224" s="2"/>
      </tp>
      <tp t="s">
        <v>#N/A N/A</v>
        <stp/>
        <stp>BDP|15565103263385189135</stp>
        <tr r="O1939" s="2"/>
      </tp>
      <tp t="s">
        <v>#N/A N/A</v>
        <stp/>
        <stp>BDP|13878585045832886698</stp>
        <tr r="A2059" s="2"/>
      </tp>
      <tp t="s">
        <v>#N/A N/A</v>
        <stp/>
        <stp>BDP|14275311004282191327</stp>
        <tr r="N1958" s="2"/>
      </tp>
      <tp t="s">
        <v>#N/A N/A</v>
        <stp/>
        <stp>BDP|18129950057450293255</stp>
        <tr r="C1232" s="2"/>
      </tp>
      <tp t="s">
        <v>#N/A N/A</v>
        <stp/>
        <stp>BDP|11289601245540201516</stp>
        <tr r="O1341" s="2"/>
      </tp>
      <tp t="s">
        <v>#N/A N/A</v>
        <stp/>
        <stp>BDP|16925098950525076042</stp>
        <tr r="C1761" s="2"/>
      </tp>
      <tp t="s">
        <v>#N/A N/A</v>
        <stp/>
        <stp>BDP|16526533306802376774</stp>
        <tr r="P2171" s="2"/>
      </tp>
      <tp t="s">
        <v>#N/A N/A</v>
        <stp/>
        <stp>BDP|18214939405303642465</stp>
        <tr r="T1208" s="2"/>
      </tp>
      <tp t="s">
        <v>#N/A N/A</v>
        <stp/>
        <stp>BDP|10089099496249297693</stp>
        <tr r="T1444" s="2"/>
      </tp>
      <tp t="s">
        <v>#N/A N/A</v>
        <stp/>
        <stp>BDS|17391767315501548626</stp>
        <tr r="I2212" s="2"/>
      </tp>
      <tp t="s">
        <v>#N/A N/A</v>
        <stp/>
        <stp>BDP|13633713496429483215</stp>
        <tr r="O1171" s="2"/>
      </tp>
      <tp t="s">
        <v>#N/A N/A</v>
        <stp/>
        <stp>BDP|14288638795248238528</stp>
        <tr r="O911" s="2"/>
      </tp>
      <tp t="s">
        <v>#N/A N/A</v>
        <stp/>
        <stp>BDP|15563406263357186632</stp>
        <tr r="R1586" s="2"/>
      </tp>
      <tp t="s">
        <v>#N/A N/A</v>
        <stp/>
        <stp>BDP|13482504182599044125</stp>
        <tr r="K1761" s="2"/>
      </tp>
      <tp t="s">
        <v>#N/A N/A</v>
        <stp/>
        <stp>BDP|16407770773825083548</stp>
        <tr r="A1204" s="2"/>
      </tp>
      <tp t="s">
        <v>#N/A N/A</v>
        <stp/>
        <stp>BDP|10160480528679001958</stp>
        <tr r="S433" s="2"/>
      </tp>
      <tp t="s">
        <v>#N/A N/A</v>
        <stp/>
        <stp>BDP|13259839836688646651</stp>
        <tr r="J1445" s="2"/>
      </tp>
      <tp t="s">
        <v>#N/A N/A</v>
        <stp/>
        <stp>BDP|10416350735804044202</stp>
        <tr r="M346" s="2"/>
      </tp>
      <tp t="s">
        <v>#N/A N/A</v>
        <stp/>
        <stp>BDP|11499735662532638475</stp>
        <tr r="G794" s="2"/>
      </tp>
      <tp t="s">
        <v>#N/A N/A</v>
        <stp/>
        <stp>BDP|14534938133551206931</stp>
        <tr r="F1541" s="2"/>
      </tp>
      <tp t="s">
        <v>#N/A N/A</v>
        <stp/>
        <stp>BDP|15378358919803201298</stp>
        <tr r="S1047" s="2"/>
      </tp>
      <tp t="s">
        <v>#N/A N/A</v>
        <stp/>
        <stp>BDP|18387846790376434971</stp>
        <tr r="H1448" s="2"/>
      </tp>
      <tp t="s">
        <v>#N/A N/A</v>
        <stp/>
        <stp>BDP|16640178597861481963</stp>
        <tr r="P1055" s="2"/>
      </tp>
      <tp t="s">
        <v>#N/A N/A</v>
        <stp/>
        <stp>BDP|13922355124886866247</stp>
        <tr r="G808" s="2"/>
      </tp>
      <tp t="s">
        <v>#N/A N/A</v>
        <stp/>
        <stp>BDP|10068279444526255651</stp>
        <tr r="K1484" s="2"/>
      </tp>
      <tp t="s">
        <v>#N/A N/A</v>
        <stp/>
        <stp>BDP|13071275556977169543</stp>
        <tr r="F1759" s="2"/>
      </tp>
      <tp t="s">
        <v>#N/A N/A</v>
        <stp/>
        <stp>BDP|18299864468203919310</stp>
        <tr r="R1482" s="2"/>
      </tp>
      <tp t="s">
        <v>#N/A N/A</v>
        <stp/>
        <stp>BDP|15945980490457362468</stp>
        <tr r="N508" s="2"/>
      </tp>
      <tp t="s">
        <v>#N/A N/A</v>
        <stp/>
        <stp>BDP|18077772116779657139</stp>
        <tr r="G854" s="2"/>
      </tp>
      <tp t="s">
        <v>#N/A N/A</v>
        <stp/>
        <stp>BDP|14131273043422492653</stp>
        <tr r="T315" s="2"/>
      </tp>
      <tp t="s">
        <v>#N/A N/A</v>
        <stp/>
        <stp>BDP|16178470276695290666</stp>
        <tr r="F182" s="2"/>
      </tp>
      <tp t="s">
        <v>#N/A N/A</v>
        <stp/>
        <stp>BDP|16477734005785393250</stp>
        <tr r="H1994" s="2"/>
      </tp>
      <tp t="s">
        <v>#N/A N/A</v>
        <stp/>
        <stp>BDP|11055616417993207307</stp>
        <tr r="C1333" s="2"/>
      </tp>
      <tp t="s">
        <v>#N/A N/A</v>
        <stp/>
        <stp>BDP|13055775975611622409</stp>
        <tr r="P38" s="2"/>
      </tp>
      <tp t="s">
        <v>#N/A N/A</v>
        <stp/>
        <stp>BDP|10650877192045790206</stp>
        <tr r="O373" s="2"/>
      </tp>
      <tp t="s">
        <v>#N/A N/A</v>
        <stp/>
        <stp>BDP|12535804777823204843</stp>
        <tr r="P220" s="2"/>
      </tp>
      <tp t="s">
        <v>#N/A N/A</v>
        <stp/>
        <stp>BDP|16728550511786002279</stp>
        <tr r="C1004" s="2"/>
      </tp>
      <tp t="s">
        <v>#N/A N/A</v>
        <stp/>
        <stp>BDP|17243128606720530074</stp>
        <tr r="H1713" s="2"/>
      </tp>
      <tp t="s">
        <v>#N/A N/A</v>
        <stp/>
        <stp>BDP|15635757960892647014</stp>
        <tr r="F617" s="2"/>
      </tp>
      <tp t="s">
        <v>#N/A N/A</v>
        <stp/>
        <stp>BDP|17895012906257981622</stp>
        <tr r="R997" s="2"/>
      </tp>
      <tp t="s">
        <v>#N/A N/A</v>
        <stp/>
        <stp>BDP|14387099566062051687</stp>
        <tr r="A1747" s="2"/>
      </tp>
      <tp t="s">
        <v>#N/A N/A</v>
        <stp/>
        <stp>BDP|11030288609674485116</stp>
        <tr r="P541" s="2"/>
      </tp>
      <tp t="s">
        <v>#N/A N/A</v>
        <stp/>
        <stp>BDP|14199088396382824933</stp>
        <tr r="J2172" s="2"/>
      </tp>
      <tp t="s">
        <v>#N/A N/A</v>
        <stp/>
        <stp>BDP|15489474361099385857</stp>
        <tr r="K750" s="2"/>
      </tp>
      <tp t="s">
        <v>#N/A N/A</v>
        <stp/>
        <stp>BDP|15924128408985391748</stp>
        <tr r="G2055" s="2"/>
      </tp>
      <tp t="s">
        <v>#N/A N/A</v>
        <stp/>
        <stp>BDP|12040571090439112122</stp>
        <tr r="Q721" s="2"/>
      </tp>
      <tp t="s">
        <v>#N/A N/A</v>
        <stp/>
        <stp>BDP|16493409305640746420</stp>
        <tr r="H1573" s="2"/>
      </tp>
      <tp t="s">
        <v>#N/A N/A</v>
        <stp/>
        <stp>BDP|12651617121750129036</stp>
        <tr r="R5" s="2"/>
      </tp>
      <tp t="s">
        <v>#N/A N/A</v>
        <stp/>
        <stp>BDP|12457803845859473118</stp>
        <tr r="Q296" s="2"/>
      </tp>
      <tp t="s">
        <v>#N/A N/A</v>
        <stp/>
        <stp>BDP|13886589209106883659</stp>
        <tr r="T1401" s="2"/>
      </tp>
      <tp t="s">
        <v>#N/A N/A</v>
        <stp/>
        <stp>BDP|15946335512939517898</stp>
        <tr r="C2247" s="2"/>
      </tp>
      <tp t="s">
        <v>#N/A N/A</v>
        <stp/>
        <stp>BDS|10533261763087210553</stp>
        <tr r="I1499" s="2"/>
      </tp>
      <tp t="s">
        <v>#N/A N/A</v>
        <stp/>
        <stp>BDP|15360706854314066535</stp>
        <tr r="H563" s="2"/>
      </tp>
      <tp t="s">
        <v>#N/A N/A</v>
        <stp/>
        <stp>BDP|10278225805312877696</stp>
        <tr r="E682" s="2"/>
      </tp>
      <tp t="s">
        <v>#N/A N/A</v>
        <stp/>
        <stp>BDP|13363558769434287292</stp>
        <tr r="H1227" s="2"/>
      </tp>
      <tp t="s">
        <v>#N/A N/A</v>
        <stp/>
        <stp>BDP|11230630816227114727</stp>
        <tr r="M681" s="2"/>
      </tp>
      <tp t="s">
        <v>#N/A N/A</v>
        <stp/>
        <stp>BDP|16571910866626252943</stp>
        <tr r="H2106" s="2"/>
      </tp>
      <tp t="s">
        <v>#N/A N/A</v>
        <stp/>
        <stp>BDP|10002751445586544317</stp>
        <tr r="K619" s="2"/>
      </tp>
      <tp t="s">
        <v>#N/A N/A</v>
        <stp/>
        <stp>BDP|17254821650604228867</stp>
        <tr r="D2188" s="2"/>
      </tp>
      <tp t="s">
        <v>#N/A N/A</v>
        <stp/>
        <stp>BDP|11540370455402570360</stp>
        <tr r="E1503" s="2"/>
      </tp>
      <tp t="s">
        <v>#N/A N/A</v>
        <stp/>
        <stp>BDP|13489268306647308031</stp>
        <tr r="O1663" s="2"/>
      </tp>
      <tp t="s">
        <v>#N/A N/A</v>
        <stp/>
        <stp>BDS|10543914515036443823</stp>
        <tr r="I2238" s="2"/>
      </tp>
      <tp t="s">
        <v>#N/A N/A</v>
        <stp/>
        <stp>BDP|17509264487632762972</stp>
        <tr r="N1516" s="2"/>
      </tp>
      <tp t="s">
        <v>#N/A N/A</v>
        <stp/>
        <stp>BDP|16588801984485680533</stp>
        <tr r="K1625" s="2"/>
      </tp>
      <tp t="s">
        <v>#N/A N/A</v>
        <stp/>
        <stp>BDS|13264352060496254623</stp>
        <tr r="I96" s="2"/>
      </tp>
      <tp t="s">
        <v>#N/A N/A</v>
        <stp/>
        <stp>BDP|13690774930306382760</stp>
        <tr r="K1072" s="2"/>
      </tp>
      <tp t="s">
        <v>#N/A N/A</v>
        <stp/>
        <stp>BDP|12881956355909828143</stp>
        <tr r="P608" s="2"/>
      </tp>
      <tp t="s">
        <v>#N/A N/A</v>
        <stp/>
        <stp>BDP|13270616017330259221</stp>
        <tr r="O1516" s="2"/>
      </tp>
      <tp t="s">
        <v>#N/A N/A</v>
        <stp/>
        <stp>BDP|15783264946096496373</stp>
        <tr r="K1104" s="2"/>
      </tp>
      <tp t="s">
        <v>#N/A N/A</v>
        <stp/>
        <stp>BDP|16014796201087428083</stp>
        <tr r="C1901" s="2"/>
      </tp>
      <tp t="s">
        <v>#N/A N/A</v>
        <stp/>
        <stp>BDP|10902545205294838742</stp>
        <tr r="C289" s="2"/>
      </tp>
      <tp t="s">
        <v>#N/A N/A</v>
        <stp/>
        <stp>BDP|16585460873803260063</stp>
        <tr r="F695" s="2"/>
      </tp>
      <tp t="s">
        <v>#N/A N/A</v>
        <stp/>
        <stp>BDS|17973394404712198028</stp>
        <tr r="I321" s="2"/>
      </tp>
      <tp t="s">
        <v>#N/A N/A</v>
        <stp/>
        <stp>BDP|13445066545060607157</stp>
        <tr r="D1390" s="2"/>
      </tp>
      <tp t="s">
        <v>#N/A N/A</v>
        <stp/>
        <stp>BDP|12266329894716450849</stp>
        <tr r="K1058" s="2"/>
      </tp>
      <tp t="s">
        <v>#N/A N/A</v>
        <stp/>
        <stp>BDP|18199814551172011159</stp>
        <tr r="K843" s="2"/>
      </tp>
      <tp t="s">
        <v>#N/A N/A</v>
        <stp/>
        <stp>BDP|10436241512053363650</stp>
        <tr r="N817" s="2"/>
      </tp>
      <tp t="s">
        <v>#N/A N/A</v>
        <stp/>
        <stp>BDP|14595227236906302563</stp>
        <tr r="P1989" s="2"/>
      </tp>
      <tp t="s">
        <v>#N/A N/A</v>
        <stp/>
        <stp>BDP|13860763319130094339</stp>
        <tr r="N190" s="2"/>
      </tp>
      <tp t="s">
        <v>#N/A N/A</v>
        <stp/>
        <stp>BDP|12433791452154353282</stp>
        <tr r="A1114" s="2"/>
      </tp>
      <tp t="s">
        <v>#N/A N/A</v>
        <stp/>
        <stp>BDS|14347186675381078592</stp>
        <tr r="I115" s="2"/>
      </tp>
      <tp t="s">
        <v>#N/A N/A</v>
        <stp/>
        <stp>BDP|13915941581605040186</stp>
        <tr r="J1461" s="2"/>
      </tp>
      <tp t="s">
        <v>#N/A N/A</v>
        <stp/>
        <stp>BDP|15766231412242754254</stp>
        <tr r="C351" s="2"/>
      </tp>
      <tp t="s">
        <v>#N/A N/A</v>
        <stp/>
        <stp>BDS|15480613045871535024</stp>
        <tr r="I1813" s="2"/>
      </tp>
      <tp t="s">
        <v>#N/A N/A</v>
        <stp/>
        <stp>BDP|14258551592907362910</stp>
        <tr r="G517" s="2"/>
      </tp>
      <tp t="s">
        <v>#N/A N/A</v>
        <stp/>
        <stp>BDP|11575158071234404526</stp>
        <tr r="T2172" s="2"/>
      </tp>
      <tp t="s">
        <v>#N/A N/A</v>
        <stp/>
        <stp>BDP|17278192553080988567</stp>
        <tr r="M343" s="2"/>
      </tp>
      <tp t="s">
        <v>#N/A N/A</v>
        <stp/>
        <stp>BDP|11259190226674380091</stp>
        <tr r="Q1289" s="2"/>
      </tp>
      <tp t="s">
        <v>#N/A N/A</v>
        <stp/>
        <stp>BDP|10874845917967894848</stp>
        <tr r="H1087" s="2"/>
      </tp>
      <tp t="s">
        <v>#N/A N/A</v>
        <stp/>
        <stp>BDP|17697463870377003573</stp>
        <tr r="P1409" s="2"/>
      </tp>
      <tp t="s">
        <v>#N/A N/A</v>
        <stp/>
        <stp>BDP|12845688465676051225</stp>
        <tr r="S1343" s="2"/>
      </tp>
      <tp t="s">
        <v>#N/A N/A</v>
        <stp/>
        <stp>BDP|16614557763725487633</stp>
        <tr r="J1675" s="2"/>
      </tp>
      <tp t="s">
        <v>#N/A N/A</v>
        <stp/>
        <stp>BDP|17431012934875132773</stp>
        <tr r="H555" s="2"/>
      </tp>
      <tp t="s">
        <v>#N/A N/A</v>
        <stp/>
        <stp>BDP|10712697569593092503</stp>
        <tr r="E902" s="2"/>
      </tp>
      <tp t="s">
        <v>#N/A N/A</v>
        <stp/>
        <stp>BDP|10840788839515872767</stp>
        <tr r="G323" s="2"/>
      </tp>
      <tp t="s">
        <v>#N/A N/A</v>
        <stp/>
        <stp>BDP|17121708002430407607</stp>
        <tr r="N278" s="2"/>
      </tp>
      <tp t="s">
        <v>#N/A N/A</v>
        <stp/>
        <stp>BDP|12997005041003773382</stp>
        <tr r="S939" s="2"/>
      </tp>
      <tp t="s">
        <v>#N/A N/A</v>
        <stp/>
        <stp>BDP|17094919895387630659</stp>
        <tr r="E1423" s="2"/>
      </tp>
      <tp t="s">
        <v>#N/A N/A</v>
        <stp/>
        <stp>BDP|12053770532980618044</stp>
        <tr r="Q287" s="2"/>
      </tp>
      <tp t="s">
        <v>#N/A N/A</v>
        <stp/>
        <stp>BDP|17621070455203303709</stp>
        <tr r="O804" s="2"/>
      </tp>
      <tp t="s">
        <v>#N/A N/A</v>
        <stp/>
        <stp>BDP|14282210013252419333</stp>
        <tr r="Q1170" s="2"/>
      </tp>
      <tp t="s">
        <v>#N/A N/A</v>
        <stp/>
        <stp>BDP|17295176991950377909</stp>
        <tr r="E522" s="2"/>
      </tp>
      <tp t="s">
        <v>#N/A N/A</v>
        <stp/>
        <stp>BDP|12812264222220993426</stp>
        <tr r="A706" s="2"/>
      </tp>
      <tp t="s">
        <v>#N/A N/A</v>
        <stp/>
        <stp>BDP|15535272924593897095</stp>
        <tr r="S750" s="2"/>
      </tp>
      <tp t="s">
        <v>#N/A N/A</v>
        <stp/>
        <stp>BDP|16371760052892885088</stp>
        <tr r="N466" s="2"/>
      </tp>
      <tp t="s">
        <v>#N/A N/A</v>
        <stp/>
        <stp>BDP|18032445984027792500</stp>
        <tr r="O504" s="2"/>
      </tp>
      <tp t="s">
        <v>#N/A N/A</v>
        <stp/>
        <stp>BDP|15940793143686273669</stp>
        <tr r="D698" s="2"/>
      </tp>
      <tp t="s">
        <v>#N/A N/A</v>
        <stp/>
        <stp>BDP|13599346938461760492</stp>
        <tr r="O777" s="2"/>
      </tp>
      <tp t="s">
        <v>#N/A N/A</v>
        <stp/>
        <stp>BDP|12232200935791093402</stp>
        <tr r="D2258" s="2"/>
      </tp>
      <tp t="s">
        <v>#N/A N/A</v>
        <stp/>
        <stp>BDP|14642181137393916379</stp>
        <tr r="O924" s="2"/>
      </tp>
      <tp t="s">
        <v>#N/A N/A</v>
        <stp/>
        <stp>BDP|10675581823117288681</stp>
        <tr r="H2081" s="2"/>
      </tp>
      <tp t="s">
        <v>#N/A N/A</v>
        <stp/>
        <stp>BDP|13027557309544894437</stp>
        <tr r="J999" s="2"/>
      </tp>
      <tp t="s">
        <v>#N/A N/A</v>
        <stp/>
        <stp>BDP|16221867595764154579</stp>
        <tr r="P769" s="2"/>
      </tp>
      <tp t="s">
        <v>#N/A N/A</v>
        <stp/>
        <stp>BDP|16714315635450566018</stp>
        <tr r="H2097" s="2"/>
      </tp>
      <tp t="s">
        <v>#N/A N/A</v>
        <stp/>
        <stp>BDP|10029248646765374567</stp>
        <tr r="K2235" s="2"/>
      </tp>
      <tp t="s">
        <v>#N/A N/A</v>
        <stp/>
        <stp>BDP|11750853434934940886</stp>
        <tr r="O664" s="2"/>
      </tp>
      <tp t="s">
        <v>#N/A N/A</v>
        <stp/>
        <stp>BDP|11696615370081982798</stp>
        <tr r="R1029" s="2"/>
      </tp>
      <tp t="s">
        <v>#N/A N/A</v>
        <stp/>
        <stp>BDP|13395686055282928403</stp>
        <tr r="C893" s="2"/>
      </tp>
      <tp t="s">
        <v>#N/A N/A</v>
        <stp/>
        <stp>BDP|14326090164615013199</stp>
        <tr r="S879" s="2"/>
      </tp>
      <tp t="s">
        <v>#N/A N/A</v>
        <stp/>
        <stp>BDP|17201088148056421316</stp>
        <tr r="G2198" s="2"/>
      </tp>
      <tp t="s">
        <v>#N/A N/A</v>
        <stp/>
        <stp>BDP|17586272055381849781</stp>
        <tr r="P2197" s="2"/>
      </tp>
      <tp t="s">
        <v>#N/A N/A</v>
        <stp/>
        <stp>BDP|16606629294168014775</stp>
        <tr r="C1702" s="2"/>
      </tp>
      <tp t="s">
        <v>#N/A N/A</v>
        <stp/>
        <stp>BDP|18105687497833074294</stp>
        <tr r="H2180" s="2"/>
      </tp>
      <tp t="s">
        <v>#N/A N/A</v>
        <stp/>
        <stp>BDP|11661422632875393529</stp>
        <tr r="C33" s="2"/>
      </tp>
      <tp t="s">
        <v>#N/A N/A</v>
        <stp/>
        <stp>BDP|12734695336726768784</stp>
        <tr r="F1602" s="2"/>
      </tp>
      <tp t="s">
        <v>#N/A N/A</v>
        <stp/>
        <stp>BDP|11819401570761963562</stp>
        <tr r="K1391" s="2"/>
      </tp>
      <tp t="s">
        <v>#N/A N/A</v>
        <stp/>
        <stp>BDP|12788283108375494342</stp>
        <tr r="F845" s="2"/>
      </tp>
      <tp t="s">
        <v>#N/A N/A</v>
        <stp/>
        <stp>BDP|16841468530337191085</stp>
        <tr r="R630" s="2"/>
      </tp>
      <tp t="s">
        <v>#N/A N/A</v>
        <stp/>
        <stp>BDP|18351310881275058041</stp>
        <tr r="O1654" s="2"/>
      </tp>
      <tp t="s">
        <v>#N/A N/A</v>
        <stp/>
        <stp>BDP|14984287254971570472</stp>
        <tr r="E1183" s="2"/>
      </tp>
      <tp t="s">
        <v>#N/A N/A</v>
        <stp/>
        <stp>BDP|11714987229605956987</stp>
        <tr r="A1119" s="2"/>
      </tp>
      <tp t="s">
        <v>#N/A N/A</v>
        <stp/>
        <stp>BDP|15599026454914031244</stp>
        <tr r="J2080" s="2"/>
      </tp>
      <tp t="s">
        <v>#N/A N/A</v>
        <stp/>
        <stp>BDP|12904425960501802741</stp>
        <tr r="O615" s="2"/>
      </tp>
      <tp t="s">
        <v>#N/A N/A</v>
        <stp/>
        <stp>BDP|13559823019524948806</stp>
        <tr r="N1001" s="2"/>
      </tp>
      <tp t="s">
        <v>#N/A N/A</v>
        <stp/>
        <stp>BDP|18126262251510969983</stp>
        <tr r="S724" s="2"/>
      </tp>
      <tp t="s">
        <v>#N/A N/A</v>
        <stp/>
        <stp>BDP|16997267181898920204</stp>
        <tr r="R2234" s="2"/>
      </tp>
      <tp t="s">
        <v>#N/A N/A</v>
        <stp/>
        <stp>BDP|18331816934762840796</stp>
        <tr r="R1377" s="2"/>
      </tp>
      <tp t="s">
        <v>#N/A N/A</v>
        <stp/>
        <stp>BDP|15060896606358864305</stp>
        <tr r="C467" s="2"/>
      </tp>
      <tp t="s">
        <v>#N/A N/A</v>
        <stp/>
        <stp>BDP|16874432423485859374</stp>
        <tr r="S1390" s="2"/>
      </tp>
      <tp t="s">
        <v>#N/A N/A</v>
        <stp/>
        <stp>BDP|11671573434562013320</stp>
        <tr r="E638" s="2"/>
      </tp>
      <tp t="s">
        <v>#N/A N/A</v>
        <stp/>
        <stp>BDP|14457746453896247668</stp>
        <tr r="S546" s="2"/>
      </tp>
      <tp t="s">
        <v>#N/A N/A</v>
        <stp/>
        <stp>BDP|12276873592160619563</stp>
        <tr r="N2230" s="2"/>
      </tp>
      <tp t="s">
        <v>#N/A N/A</v>
        <stp/>
        <stp>BDP|10762060921506032277</stp>
        <tr r="A2160" s="2"/>
      </tp>
      <tp t="s">
        <v>#N/A N/A</v>
        <stp/>
        <stp>BDP|12344007871237366460</stp>
        <tr r="N1388" s="2"/>
      </tp>
      <tp t="s">
        <v>#N/A N/A</v>
        <stp/>
        <stp>BDP|12615630012477638461</stp>
        <tr r="J2143" s="2"/>
      </tp>
      <tp t="s">
        <v>#N/A N/A</v>
        <stp/>
        <stp>BDP|14364266260255579372</stp>
        <tr r="P63" s="2"/>
      </tp>
      <tp t="s">
        <v>#N/A N/A</v>
        <stp/>
        <stp>BDP|12418714493992735868</stp>
        <tr r="K695" s="2"/>
      </tp>
      <tp t="s">
        <v>#N/A N/A</v>
        <stp/>
        <stp>BDP|13450771432833488222</stp>
        <tr r="Q1111" s="2"/>
      </tp>
      <tp t="s">
        <v>#N/A N/A</v>
        <stp/>
        <stp>BDP|10517216765462238046</stp>
        <tr r="C1413" s="2"/>
      </tp>
      <tp t="s">
        <v>#N/A N/A</v>
        <stp/>
        <stp>BDP|10128101357310842292</stp>
        <tr r="C541" s="2"/>
      </tp>
      <tp t="s">
        <v>#N/A N/A</v>
        <stp/>
        <stp>BDP|14639683309636672267</stp>
        <tr r="A167" s="2"/>
      </tp>
      <tp t="s">
        <v>#N/A N/A</v>
        <stp/>
        <stp>BDP|14599585428255092021</stp>
        <tr r="O203" s="2"/>
      </tp>
      <tp t="s">
        <v>#N/A N/A</v>
        <stp/>
        <stp>BDP|10190314551906341656</stp>
        <tr r="Q639" s="2"/>
      </tp>
      <tp t="s">
        <v>#N/A N/A</v>
        <stp/>
        <stp>BDP|16793838732249264233</stp>
        <tr r="D1790" s="2"/>
      </tp>
      <tp t="s">
        <v>#N/A N/A</v>
        <stp/>
        <stp>BDP|10833554401414250790</stp>
        <tr r="Q1369" s="2"/>
      </tp>
      <tp t="s">
        <v>#N/A N/A</v>
        <stp/>
        <stp>BDP|15241352632975380611</stp>
        <tr r="P746" s="2"/>
      </tp>
      <tp t="s">
        <v>#N/A N/A</v>
        <stp/>
        <stp>BDP|18213083389484268266</stp>
        <tr r="P1565" s="2"/>
      </tp>
      <tp t="s">
        <v>#N/A N/A</v>
        <stp/>
        <stp>BDP|15931099353771118759</stp>
        <tr r="J1033" s="2"/>
      </tp>
      <tp t="s">
        <v>#N/A N/A</v>
        <stp/>
        <stp>BDP|18355794953128602485</stp>
        <tr r="K260" s="2"/>
      </tp>
      <tp t="s">
        <v>#N/A N/A</v>
        <stp/>
        <stp>BDP|18259256614559160455</stp>
        <tr r="K1960" s="2"/>
      </tp>
      <tp t="s">
        <v>#N/A N/A</v>
        <stp/>
        <stp>BDP|13328661113581471354</stp>
        <tr r="K1503" s="2"/>
      </tp>
      <tp t="s">
        <v>#N/A N/A</v>
        <stp/>
        <stp>BDP|16743154171540354675</stp>
        <tr r="K629" s="2"/>
      </tp>
      <tp t="s">
        <v>#N/A N/A</v>
        <stp/>
        <stp>BDP|13777754772987291257</stp>
        <tr r="G1862" s="2"/>
      </tp>
      <tp t="s">
        <v>#N/A N/A</v>
        <stp/>
        <stp>BDP|18417404784393351147</stp>
        <tr r="F353" s="2"/>
      </tp>
      <tp t="s">
        <v>#N/A N/A</v>
        <stp/>
        <stp>BDP|17382115236587493475</stp>
        <tr r="E993" s="2"/>
      </tp>
      <tp t="s">
        <v>#N/A N/A</v>
        <stp/>
        <stp>BDP|12506121754114577413</stp>
        <tr r="K1594" s="2"/>
      </tp>
      <tp t="s">
        <v>#N/A N/A</v>
        <stp/>
        <stp>BDP|16191013766383357537</stp>
        <tr r="T736" s="2"/>
      </tp>
      <tp t="s">
        <v>#N/A N/A</v>
        <stp/>
        <stp>BDS|11552511972577037239</stp>
        <tr r="I391" s="2"/>
      </tp>
      <tp t="s">
        <v>#N/A N/A</v>
        <stp/>
        <stp>BDP|14792763957945898581</stp>
        <tr r="E1717" s="2"/>
      </tp>
      <tp t="s">
        <v>#N/A N/A</v>
        <stp/>
        <stp>BDP|17493960066338037622</stp>
        <tr r="C1521" s="2"/>
      </tp>
      <tp t="s">
        <v>#N/A N/A</v>
        <stp/>
        <stp>BDP|17003213154596458078</stp>
        <tr r="R2126" s="2"/>
      </tp>
      <tp t="s">
        <v>#N/A N/A</v>
        <stp/>
        <stp>BDP|14253581441425988642</stp>
        <tr r="P1697" s="2"/>
      </tp>
      <tp t="s">
        <v>#N/A N/A</v>
        <stp/>
        <stp>BDS|18292666868618955606</stp>
        <tr r="I484" s="2"/>
      </tp>
      <tp t="s">
        <v>#N/A N/A</v>
        <stp/>
        <stp>BDP|14612824580890167231</stp>
        <tr r="A1849" s="2"/>
      </tp>
      <tp t="s">
        <v>#N/A N/A</v>
        <stp/>
        <stp>BDP|10061629376715138231</stp>
        <tr r="M844" s="2"/>
      </tp>
      <tp t="s">
        <v>#N/A N/A</v>
        <stp/>
        <stp>BDP|12197566046501762406</stp>
        <tr r="M103" s="2"/>
      </tp>
      <tp t="s">
        <v>#N/A N/A</v>
        <stp/>
        <stp>BDP|14821640348940383019</stp>
        <tr r="P1124" s="2"/>
      </tp>
      <tp t="s">
        <v>#N/A N/A</v>
        <stp/>
        <stp>BDP|15395185032575827471</stp>
        <tr r="T664" s="2"/>
      </tp>
      <tp t="s">
        <v>#N/A N/A</v>
        <stp/>
        <stp>BDP|13515869734368339621</stp>
        <tr r="S278" s="2"/>
      </tp>
      <tp t="s">
        <v>#N/A N/A</v>
        <stp/>
        <stp>BDP|12203580802660875168</stp>
        <tr r="C1893" s="2"/>
      </tp>
      <tp t="s">
        <v>#N/A N/A</v>
        <stp/>
        <stp>BDP|17424069611032639231</stp>
        <tr r="O1194" s="2"/>
      </tp>
      <tp t="s">
        <v>#N/A N/A</v>
        <stp/>
        <stp>BDP|15286406733620217450</stp>
        <tr r="H520" s="2"/>
      </tp>
      <tp t="s">
        <v>#N/A N/A</v>
        <stp/>
        <stp>BDP|14153308017481224123</stp>
        <tr r="N2012" s="2"/>
      </tp>
      <tp t="s">
        <v>#N/A N/A</v>
        <stp/>
        <stp>BDP|14452240920906145470</stp>
        <tr r="J949" s="2"/>
      </tp>
      <tp t="s">
        <v>#N/A N/A</v>
        <stp/>
        <stp>BDP|15660900862838653443</stp>
        <tr r="R489" s="2"/>
      </tp>
      <tp t="s">
        <v>#N/A N/A</v>
        <stp/>
        <stp>BDP|11451630254491311568</stp>
        <tr r="N554" s="2"/>
      </tp>
      <tp t="s">
        <v>#N/A N/A</v>
        <stp/>
        <stp>BDP|13257615122873045274</stp>
        <tr r="H211" s="2"/>
      </tp>
      <tp t="s">
        <v>#N/A N/A</v>
        <stp/>
        <stp>BDP|10183222251507451602</stp>
        <tr r="M2076" s="2"/>
      </tp>
      <tp t="s">
        <v>#N/A N/A</v>
        <stp/>
        <stp>BDP|16975282585912739850</stp>
        <tr r="C11" s="2"/>
      </tp>
      <tp t="s">
        <v>#N/A N/A</v>
        <stp/>
        <stp>BDP|14840938275584900816</stp>
        <tr r="C1275" s="2"/>
      </tp>
      <tp t="s">
        <v>#N/A N/A</v>
        <stp/>
        <stp>BDP|11033829447249366201</stp>
        <tr r="J875" s="2"/>
      </tp>
      <tp t="s">
        <v>#N/A N/A</v>
        <stp/>
        <stp>BDP|11114575696848213342</stp>
        <tr r="M746" s="2"/>
      </tp>
      <tp t="s">
        <v>#N/A N/A</v>
        <stp/>
        <stp>BDP|13322920894585317009</stp>
        <tr r="F1453" s="2"/>
      </tp>
      <tp t="s">
        <v>#N/A N/A</v>
        <stp/>
        <stp>BDP|16482237655546007145</stp>
        <tr r="Q642" s="2"/>
      </tp>
      <tp t="s">
        <v>#N/A N/A</v>
        <stp/>
        <stp>BDP|15791737801481261513</stp>
        <tr r="R725" s="2"/>
      </tp>
      <tp t="s">
        <v>#N/A N/A</v>
        <stp/>
        <stp>BDP|16169381472177599380</stp>
        <tr r="C462" s="2"/>
      </tp>
      <tp t="s">
        <v>#N/A N/A</v>
        <stp/>
        <stp>BDP|16040899823262583899</stp>
        <tr r="P1182" s="2"/>
      </tp>
      <tp t="s">
        <v>#N/A N/A</v>
        <stp/>
        <stp>BDP|12268982702858806562</stp>
        <tr r="O1174" s="2"/>
      </tp>
      <tp t="s">
        <v>#N/A N/A</v>
        <stp/>
        <stp>BDP|11191237665637414457</stp>
        <tr r="F789" s="2"/>
      </tp>
      <tp t="s">
        <v>#N/A N/A</v>
        <stp/>
        <stp>BDP|10630799353362977630</stp>
        <tr r="R1551" s="2"/>
      </tp>
      <tp t="s">
        <v>#N/A N/A</v>
        <stp/>
        <stp>BDP|16939002738547591420</stp>
        <tr r="D146" s="2"/>
      </tp>
      <tp t="s">
        <v>#N/A N/A</v>
        <stp/>
        <stp>BDP|11929587281382399852</stp>
        <tr r="G1097" s="2"/>
      </tp>
      <tp t="s">
        <v>#N/A N/A</v>
        <stp/>
        <stp>BDP|13420441450876116277</stp>
        <tr r="G313" s="2"/>
      </tp>
      <tp t="s">
        <v>#N/A N/A</v>
        <stp/>
        <stp>BDS|17716515941387392713</stp>
        <tr r="I1689" s="2"/>
      </tp>
      <tp t="s">
        <v>#N/A N/A</v>
        <stp/>
        <stp>BDP|10693075748753665190</stp>
        <tr r="C1376" s="2"/>
      </tp>
      <tp t="s">
        <v>#N/A N/A</v>
        <stp/>
        <stp>BDP|15302904615729066208</stp>
        <tr r="T706" s="2"/>
      </tp>
      <tp t="s">
        <v>#N/A N/A</v>
        <stp/>
        <stp>BDP|17827494421193438429</stp>
        <tr r="T1532" s="2"/>
      </tp>
      <tp t="s">
        <v>#N/A N/A</v>
        <stp/>
        <stp>BDP|16234719441786145555</stp>
        <tr r="Q1618" s="2"/>
      </tp>
      <tp t="s">
        <v>#N/A N/A</v>
        <stp/>
        <stp>BDP|10681529269536998321</stp>
        <tr r="D719" s="2"/>
      </tp>
      <tp t="s">
        <v>#N/A N/A</v>
        <stp/>
        <stp>BDP|14653458206191013731</stp>
        <tr r="H1826" s="2"/>
      </tp>
      <tp t="s">
        <v>#N/A N/A</v>
        <stp/>
        <stp>BDP|14877034319864134754</stp>
        <tr r="T1077" s="2"/>
      </tp>
      <tp t="s">
        <v>#N/A N/A</v>
        <stp/>
        <stp>BDP|16030648227321260572</stp>
        <tr r="E619" s="2"/>
      </tp>
      <tp t="s">
        <v>#N/A N/A</v>
        <stp/>
        <stp>BDP|17708096458273844783</stp>
        <tr r="G1551" s="2"/>
      </tp>
      <tp t="s">
        <v>#N/A N/A</v>
        <stp/>
        <stp>BDP|14605452555780860380</stp>
        <tr r="H1867" s="2"/>
      </tp>
      <tp t="s">
        <v>#N/A N/A</v>
        <stp/>
        <stp>BDP|13717140035606412145</stp>
        <tr r="E305" s="2"/>
      </tp>
      <tp t="s">
        <v>#N/A N/A</v>
        <stp/>
        <stp>BDP|14909440954067833470</stp>
        <tr r="R880" s="2"/>
      </tp>
      <tp t="s">
        <v>#N/A N/A</v>
        <stp/>
        <stp>BDP|17852112348571132562</stp>
        <tr r="K19" s="2"/>
      </tp>
      <tp t="s">
        <v>#N/A N/A</v>
        <stp/>
        <stp>BDP|12060450241597311310</stp>
        <tr r="M1245" s="2"/>
      </tp>
      <tp t="s">
        <v>#N/A N/A</v>
        <stp/>
        <stp>BDP|14542911625131473831</stp>
        <tr r="A1227" s="2"/>
      </tp>
      <tp t="s">
        <v>#N/A N/A</v>
        <stp/>
        <stp>BDP|10315241489368100491</stp>
        <tr r="O1411" s="2"/>
      </tp>
      <tp t="s">
        <v>#N/A N/A</v>
        <stp/>
        <stp>BDP|18256984461219994848</stp>
        <tr r="K1169" s="2"/>
      </tp>
      <tp t="s">
        <v>#N/A N/A</v>
        <stp/>
        <stp>BDS|12945075006527946342</stp>
        <tr r="I1153" s="2"/>
      </tp>
      <tp t="s">
        <v>#N/A N/A</v>
        <stp/>
        <stp>BDP|11414378473910161374</stp>
        <tr r="D1197" s="2"/>
      </tp>
      <tp t="s">
        <v>#N/A N/A</v>
        <stp/>
        <stp>BDP|13366260118550840635</stp>
        <tr r="H1882" s="2"/>
      </tp>
      <tp t="s">
        <v>#N/A N/A</v>
        <stp/>
        <stp>BDP|11615557855801690666</stp>
        <tr r="T56" s="2"/>
      </tp>
      <tp t="s">
        <v>#N/A N/A</v>
        <stp/>
        <stp>BDP|10152095846040986219</stp>
        <tr r="S2249" s="2"/>
      </tp>
      <tp t="s">
        <v>#N/A N/A</v>
        <stp/>
        <stp>BDP|17995436124380094784</stp>
        <tr r="N1982" s="2"/>
      </tp>
      <tp t="s">
        <v>#N/A N/A</v>
        <stp/>
        <stp>BDP|11903985999917780095</stp>
        <tr r="D1531" s="2"/>
      </tp>
      <tp t="s">
        <v>#N/A N/A</v>
        <stp/>
        <stp>BDP|17568670064865778479</stp>
        <tr r="E767" s="2"/>
      </tp>
      <tp t="s">
        <v>#N/A N/A</v>
        <stp/>
        <stp>BDP|11628775555882674748</stp>
        <tr r="C738" s="2"/>
      </tp>
      <tp t="s">
        <v>#N/A N/A</v>
        <stp/>
        <stp>BDP|11392616144453385633</stp>
        <tr r="M2026" s="2"/>
      </tp>
      <tp t="s">
        <v>#N/A N/A</v>
        <stp/>
        <stp>BDP|13462276080129382669</stp>
        <tr r="Q1727" s="2"/>
      </tp>
      <tp t="s">
        <v>#N/A N/A</v>
        <stp/>
        <stp>BDP|13262373838434317187</stp>
        <tr r="T2014" s="2"/>
      </tp>
      <tp t="s">
        <v>#N/A N/A</v>
        <stp/>
        <stp>BDP|16551615373280901185</stp>
        <tr r="H1537" s="2"/>
      </tp>
      <tp t="s">
        <v>#N/A N/A</v>
        <stp/>
        <stp>BDP|10761816596166236145</stp>
        <tr r="G628" s="2"/>
      </tp>
      <tp t="s">
        <v>#N/A N/A</v>
        <stp/>
        <stp>BDS|13821667365642867762</stp>
        <tr r="I720" s="2"/>
      </tp>
      <tp t="s">
        <v>#N/A N/A</v>
        <stp/>
        <stp>BDP|11435014881528042720</stp>
        <tr r="P1714" s="2"/>
      </tp>
      <tp t="s">
        <v>#N/A N/A</v>
        <stp/>
        <stp>BDP|12689759733308721816</stp>
        <tr r="Q57" s="2"/>
      </tp>
      <tp t="s">
        <v>#N/A N/A</v>
        <stp/>
        <stp>BDP|15634246563394546324</stp>
        <tr r="M543" s="2"/>
      </tp>
      <tp t="s">
        <v>#N/A N/A</v>
        <stp/>
        <stp>BDP|13009307547042890098</stp>
        <tr r="S691" s="2"/>
      </tp>
      <tp t="s">
        <v>#N/A N/A</v>
        <stp/>
        <stp>BDP|11022305879404910764</stp>
        <tr r="R1186" s="2"/>
      </tp>
      <tp t="s">
        <v>#N/A N/A</v>
        <stp/>
        <stp>BDP|11725674805896392701</stp>
        <tr r="O1626" s="2"/>
      </tp>
      <tp t="s">
        <v>#N/A N/A</v>
        <stp/>
        <stp>BDP|14082175628862804313</stp>
        <tr r="P1307" s="2"/>
      </tp>
      <tp t="s">
        <v>#N/A N/A</v>
        <stp/>
        <stp>BDS|10964625543030874452</stp>
        <tr r="I102" s="2"/>
      </tp>
      <tp t="s">
        <v>#N/A N/A</v>
        <stp/>
        <stp>BDP|15197022113206367459</stp>
        <tr r="E396" s="2"/>
      </tp>
      <tp t="s">
        <v>#N/A N/A</v>
        <stp/>
        <stp>BDP|10295645648915060185</stp>
        <tr r="K743" s="2"/>
      </tp>
      <tp t="s">
        <v>#N/A N/A</v>
        <stp/>
        <stp>BDP|13334573875653745407</stp>
        <tr r="F119" s="2"/>
      </tp>
      <tp t="s">
        <v>#N/A N/A</v>
        <stp/>
        <stp>BDP|16565660108971839759</stp>
        <tr r="N1995" s="2"/>
      </tp>
      <tp t="s">
        <v>#N/A N/A</v>
        <stp/>
        <stp>BDP|15478804562299013405</stp>
        <tr r="O873" s="2"/>
      </tp>
      <tp t="s">
        <v>#N/A N/A</v>
        <stp/>
        <stp>BDP|16239654857304536732</stp>
        <tr r="F1714" s="2"/>
      </tp>
      <tp t="s">
        <v>#N/A N/A</v>
        <stp/>
        <stp>BDP|10784431630574407569</stp>
        <tr r="F218" s="2"/>
      </tp>
      <tp t="s">
        <v>#N/A N/A</v>
        <stp/>
        <stp>BDP|12439656316297041416</stp>
        <tr r="C1577" s="2"/>
      </tp>
      <tp t="s">
        <v>#N/A N/A</v>
        <stp/>
        <stp>BDP|10270100608195842246</stp>
        <tr r="N1829" s="2"/>
      </tp>
      <tp t="s">
        <v>#N/A N/A</v>
        <stp/>
        <stp>BDP|13919883617479745576</stp>
        <tr r="A201" s="2"/>
      </tp>
      <tp t="s">
        <v>#N/A N/A</v>
        <stp/>
        <stp>BDP|13092767859844150387</stp>
        <tr r="N1342" s="2"/>
      </tp>
      <tp t="s">
        <v>#N/A N/A</v>
        <stp/>
        <stp>BDP|10170374095734382868</stp>
        <tr r="C963" s="2"/>
      </tp>
      <tp t="s">
        <v>#N/A N/A</v>
        <stp/>
        <stp>BDP|12081065704823989626</stp>
        <tr r="K848" s="2"/>
      </tp>
      <tp t="s">
        <v>#N/A N/A</v>
        <stp/>
        <stp>BDP|13516717938264686437</stp>
        <tr r="O909" s="2"/>
      </tp>
      <tp t="s">
        <v>#N/A N/A</v>
        <stp/>
        <stp>BDP|15492096176930299504</stp>
        <tr r="K1933" s="2"/>
      </tp>
      <tp t="s">
        <v>#N/A N/A</v>
        <stp/>
        <stp>BDP|16826016355890205477</stp>
        <tr r="P1513" s="2"/>
      </tp>
      <tp t="s">
        <v>#N/A N/A</v>
        <stp/>
        <stp>BDP|14675117922371583190</stp>
        <tr r="A1589" s="2"/>
      </tp>
      <tp t="s">
        <v>#N/A N/A</v>
        <stp/>
        <stp>BDP|16280656919774164264</stp>
        <tr r="R2222" s="2"/>
      </tp>
      <tp t="s">
        <v>#N/A N/A</v>
        <stp/>
        <stp>BDS|13713050066923840167</stp>
        <tr r="I1380" s="2"/>
      </tp>
      <tp t="s">
        <v>#N/A N/A</v>
        <stp/>
        <stp>BDS|13531177000633082681</stp>
        <tr r="I11" s="2"/>
      </tp>
      <tp t="s">
        <v>#N/A N/A</v>
        <stp/>
        <stp>BDP|13268506454325802179</stp>
        <tr r="E149" s="2"/>
      </tp>
      <tp t="s">
        <v>#N/A N/A</v>
        <stp/>
        <stp>BDP|15724047238045669449</stp>
        <tr r="Q1763" s="2"/>
      </tp>
      <tp t="s">
        <v>#N/A N/A</v>
        <stp/>
        <stp>BDP|13676116038233581531</stp>
        <tr r="D520" s="2"/>
      </tp>
      <tp t="s">
        <v>#N/A N/A</v>
        <stp/>
        <stp>BDP|12002240610742856458</stp>
        <tr r="D1191" s="2"/>
      </tp>
      <tp t="s">
        <v>#N/A N/A</v>
        <stp/>
        <stp>BDP|16863286959055101319</stp>
        <tr r="D189" s="2"/>
      </tp>
      <tp t="s">
        <v>#N/A N/A</v>
        <stp/>
        <stp>BDP|12939316908261073799</stp>
        <tr r="O529" s="2"/>
      </tp>
      <tp t="s">
        <v>#N/A N/A</v>
        <stp/>
        <stp>BDP|13012725174041747589</stp>
        <tr r="S1971" s="2"/>
      </tp>
      <tp t="s">
        <v>#N/A N/A</v>
        <stp/>
        <stp>BDP|14309339491298814103</stp>
        <tr r="E260" s="2"/>
      </tp>
      <tp t="s">
        <v>#N/A N/A</v>
        <stp/>
        <stp>BDP|15671039265281850511</stp>
        <tr r="F598" s="2"/>
      </tp>
      <tp t="s">
        <v>#N/A N/A</v>
        <stp/>
        <stp>BDP|11748105912825956354</stp>
        <tr r="D1412" s="2"/>
      </tp>
      <tp t="s">
        <v>#N/A N/A</v>
        <stp/>
        <stp>BDP|18216398689735277191</stp>
        <tr r="E560" s="2"/>
      </tp>
      <tp t="s">
        <v>#N/A N/A</v>
        <stp/>
        <stp>BDP|10800304045980178052</stp>
        <tr r="H566" s="2"/>
      </tp>
      <tp t="s">
        <v>#N/A N/A</v>
        <stp/>
        <stp>BDP|16830815651779311528</stp>
        <tr r="F331" s="2"/>
      </tp>
      <tp t="s">
        <v>#N/A N/A</v>
        <stp/>
        <stp>BDP|12971131473557085404</stp>
        <tr r="N754" s="2"/>
      </tp>
      <tp t="s">
        <v>#N/A N/A</v>
        <stp/>
        <stp>BDP|15601712654024280485</stp>
        <tr r="E465" s="2"/>
      </tp>
      <tp t="s">
        <v>#N/A N/A</v>
        <stp/>
        <stp>BDP|12250585198929222094</stp>
        <tr r="G84" s="2"/>
      </tp>
      <tp t="s">
        <v>#N/A N/A</v>
        <stp/>
        <stp>BDP|17041387330154244439</stp>
        <tr r="G840" s="2"/>
      </tp>
      <tp t="s">
        <v>#N/A N/A</v>
        <stp/>
        <stp>BDS|18077288652371575954</stp>
        <tr r="I766" s="2"/>
      </tp>
      <tp t="s">
        <v>#N/A N/A</v>
        <stp/>
        <stp>BDP|16473094875906906084</stp>
        <tr r="T210" s="2"/>
      </tp>
      <tp t="s">
        <v>#N/A N/A</v>
        <stp/>
        <stp>BDP|13516524045994868134</stp>
        <tr r="D513" s="2"/>
      </tp>
      <tp t="s">
        <v>#N/A N/A</v>
        <stp/>
        <stp>BDP|15378152869825635000</stp>
        <tr r="T1267" s="2"/>
      </tp>
      <tp t="s">
        <v>#N/A N/A</v>
        <stp/>
        <stp>BDP|13018286244893605131</stp>
        <tr r="O1072" s="2"/>
      </tp>
      <tp t="s">
        <v>#N/A N/A</v>
        <stp/>
        <stp>BDP|13986947150191088948</stp>
        <tr r="F271" s="2"/>
      </tp>
      <tp t="s">
        <v>#N/A N/A</v>
        <stp/>
        <stp>BDP|11008775958412380657</stp>
        <tr r="S910" s="2"/>
      </tp>
      <tp t="s">
        <v>#N/A N/A</v>
        <stp/>
        <stp>BDP|17859776217602098412</stp>
        <tr r="S1406" s="2"/>
      </tp>
      <tp t="s">
        <v>#N/A N/A</v>
        <stp/>
        <stp>BDP|16908803747954314946</stp>
        <tr r="J2249" s="2"/>
      </tp>
      <tp t="s">
        <v>#N/A N/A</v>
        <stp/>
        <stp>BDP|10477265662725089690</stp>
        <tr r="K2144" s="2"/>
      </tp>
      <tp t="s">
        <v>#N/A N/A</v>
        <stp/>
        <stp>BDP|13925651105891267320</stp>
        <tr r="R266" s="2"/>
      </tp>
      <tp t="s">
        <v>#N/A N/A</v>
        <stp/>
        <stp>BDP|13149066053937415696</stp>
        <tr r="R364" s="2"/>
      </tp>
      <tp t="s">
        <v>#N/A N/A</v>
        <stp/>
        <stp>BDP|12888111510625235020</stp>
        <tr r="A1630" s="2"/>
      </tp>
      <tp t="s">
        <v>#N/A N/A</v>
        <stp/>
        <stp>BDP|13941618682753628955</stp>
        <tr r="G536" s="2"/>
      </tp>
      <tp t="s">
        <v>#N/A N/A</v>
        <stp/>
        <stp>BDP|17495241458635070215</stp>
        <tr r="N2181" s="2"/>
      </tp>
      <tp t="s">
        <v>#N/A N/A</v>
        <stp/>
        <stp>BDP|14156083352093540571</stp>
        <tr r="J743" s="2"/>
      </tp>
      <tp t="s">
        <v>#N/A N/A</v>
        <stp/>
        <stp>BDP|14509782564714811687</stp>
        <tr r="A74" s="2"/>
      </tp>
      <tp t="s">
        <v>#N/A N/A</v>
        <stp/>
        <stp>BDP|11535009494969808600</stp>
        <tr r="D1160" s="2"/>
      </tp>
      <tp t="s">
        <v>#N/A N/A</v>
        <stp/>
        <stp>BDP|17611393955022765447</stp>
        <tr r="D1511" s="2"/>
      </tp>
      <tp t="s">
        <v>#N/A N/A</v>
        <stp/>
        <stp>BDP|11855042968050937047</stp>
        <tr r="C1176" s="2"/>
      </tp>
      <tp t="s">
        <v>#N/A N/A</v>
        <stp/>
        <stp>BDP|15253500538644058035</stp>
        <tr r="K224" s="2"/>
      </tp>
      <tp t="s">
        <v>#N/A N/A</v>
        <stp/>
        <stp>BDP|14233497753672456054</stp>
        <tr r="J1671" s="2"/>
      </tp>
      <tp t="s">
        <v>#N/A N/A</v>
        <stp/>
        <stp>BDP|15531562471314366487</stp>
        <tr r="F1327" s="2"/>
      </tp>
      <tp t="s">
        <v>#N/A N/A</v>
        <stp/>
        <stp>BDP|14881285245263498684</stp>
        <tr r="K1114" s="2"/>
      </tp>
      <tp t="s">
        <v>#N/A N/A</v>
        <stp/>
        <stp>BDP|14037888087170799311</stp>
        <tr r="C1067" s="2"/>
      </tp>
      <tp t="s">
        <v>#N/A N/A</v>
        <stp/>
        <stp>BDP|14935437804001504626</stp>
        <tr r="J628" s="2"/>
      </tp>
      <tp t="s">
        <v>#N/A N/A</v>
        <stp/>
        <stp>BDP|12059014773935935729</stp>
        <tr r="G1049" s="2"/>
      </tp>
      <tp t="s">
        <v>#N/A N/A</v>
        <stp/>
        <stp>BDP|13642416196489000084</stp>
        <tr r="A1839" s="2"/>
      </tp>
      <tp t="s">
        <v>#N/A N/A</v>
        <stp/>
        <stp>BDP|18174077777251977917</stp>
        <tr r="C927" s="2"/>
      </tp>
      <tp t="s">
        <v>#N/A N/A</v>
        <stp/>
        <stp>BDP|17772723854065141791</stp>
        <tr r="F492" s="2"/>
      </tp>
      <tp t="s">
        <v>#N/A N/A</v>
        <stp/>
        <stp>BDP|13586301316491953739</stp>
        <tr r="R543" s="2"/>
      </tp>
      <tp t="s">
        <v>#N/A N/A</v>
        <stp/>
        <stp>BDP|10208070467368224990</stp>
        <tr r="R1230" s="2"/>
      </tp>
      <tp t="s">
        <v>#N/A N/A</v>
        <stp/>
        <stp>BDP|10201310858235601443</stp>
        <tr r="G959" s="2"/>
      </tp>
      <tp t="s">
        <v>#N/A N/A</v>
        <stp/>
        <stp>BDP|13595126246540022189</stp>
        <tr r="J883" s="2"/>
      </tp>
      <tp t="s">
        <v>#N/A N/A</v>
        <stp/>
        <stp>BDP|11527130201007727091</stp>
        <tr r="R437" s="2"/>
      </tp>
      <tp t="s">
        <v>#N/A N/A</v>
        <stp/>
        <stp>BDS|15899167712265095765</stp>
        <tr r="I37" s="2"/>
      </tp>
      <tp t="s">
        <v>#N/A N/A</v>
        <stp/>
        <stp>BDP|16162427675563867172</stp>
        <tr r="D15" s="2"/>
      </tp>
      <tp t="s">
        <v>#N/A N/A</v>
        <stp/>
        <stp>BDP|10907700414431524016</stp>
        <tr r="J297" s="2"/>
      </tp>
      <tp t="s">
        <v>#N/A N/A</v>
        <stp/>
        <stp>BDP|13472740005977483486</stp>
        <tr r="D334" s="2"/>
      </tp>
      <tp t="s">
        <v>#N/A N/A</v>
        <stp/>
        <stp>BDS|17058920159018756467</stp>
        <tr r="I174" s="2"/>
      </tp>
      <tp t="s">
        <v>#N/A N/A</v>
        <stp/>
        <stp>BDP|10967336250391755041</stp>
        <tr r="D1385" s="2"/>
      </tp>
      <tp t="s">
        <v>#N/A N/A</v>
        <stp/>
        <stp>BDP|16142691624553121645</stp>
        <tr r="K344" s="2"/>
      </tp>
      <tp t="s">
        <v>#N/A N/A</v>
        <stp/>
        <stp>BDS|15715915488461315276</stp>
        <tr r="I618" s="2"/>
      </tp>
      <tp t="s">
        <v>#N/A N/A</v>
        <stp/>
        <stp>BDP|16382422929965526247</stp>
        <tr r="A616" s="2"/>
      </tp>
      <tp t="s">
        <v>#N/A N/A</v>
        <stp/>
        <stp>BDP|11262942153858837249</stp>
        <tr r="D83" s="2"/>
      </tp>
      <tp t="s">
        <v>#N/A N/A</v>
        <stp/>
        <stp>BDP|17850124114747487738</stp>
        <tr r="H516" s="2"/>
      </tp>
      <tp t="s">
        <v>#N/A N/A</v>
        <stp/>
        <stp>BDP|12307447019134475434</stp>
        <tr r="D1990" s="2"/>
      </tp>
      <tp t="s">
        <v>#N/A N/A</v>
        <stp/>
        <stp>BDP|17939066805255007533</stp>
        <tr r="Q134" s="2"/>
      </tp>
      <tp t="s">
        <v>#N/A N/A</v>
        <stp/>
        <stp>BDP|16533321381258699282</stp>
        <tr r="N1803" s="2"/>
      </tp>
      <tp t="s">
        <v>#N/A N/A</v>
        <stp/>
        <stp>BDP|15711190676970548457</stp>
        <tr r="N1340" s="2"/>
      </tp>
      <tp t="s">
        <v>#N/A N/A</v>
        <stp/>
        <stp>BDP|12701050374590670289</stp>
        <tr r="A500" s="2"/>
      </tp>
      <tp t="s">
        <v>#N/A N/A</v>
        <stp/>
        <stp>BDP|16801994344418529489</stp>
        <tr r="G2168" s="2"/>
      </tp>
      <tp t="s">
        <v>#N/A N/A</v>
        <stp/>
        <stp>BDP|16287082139356955427</stp>
        <tr r="H968" s="2"/>
      </tp>
      <tp t="s">
        <v>#N/A N/A</v>
        <stp/>
        <stp>BDP|10070385974096291560</stp>
        <tr r="N403" s="2"/>
      </tp>
      <tp t="s">
        <v>#N/A N/A</v>
        <stp/>
        <stp>BDS|13838910220186502979</stp>
        <tr r="I370" s="2"/>
      </tp>
      <tp t="s">
        <v>#N/A N/A</v>
        <stp/>
        <stp>BDP|15934052243531578729</stp>
        <tr r="A386" s="2"/>
      </tp>
      <tp t="s">
        <v>#N/A N/A</v>
        <stp/>
        <stp>BDP|13066469257283128685</stp>
        <tr r="C1664" s="2"/>
      </tp>
      <tp t="s">
        <v>#N/A N/A</v>
        <stp/>
        <stp>BDP|10053133108940157620</stp>
        <tr r="P1818" s="2"/>
      </tp>
      <tp t="s">
        <v>#N/A N/A</v>
        <stp/>
        <stp>BDP|14502585138570509589</stp>
        <tr r="T1720" s="2"/>
      </tp>
      <tp t="s">
        <v>#N/A N/A</v>
        <stp/>
        <stp>BDS|11888148316011686771</stp>
        <tr r="I754" s="2"/>
      </tp>
      <tp t="s">
        <v>#N/A N/A</v>
        <stp/>
        <stp>BDP|12459818192875640198</stp>
        <tr r="Q937" s="2"/>
      </tp>
      <tp t="s">
        <v>#N/A N/A</v>
        <stp/>
        <stp>BDP|15648350635654994672</stp>
        <tr r="M1756" s="2"/>
      </tp>
      <tp t="s">
        <v>#N/A N/A</v>
        <stp/>
        <stp>BDP|14681160455731547682</stp>
        <tr r="K753" s="2"/>
      </tp>
      <tp t="s">
        <v>#N/A N/A</v>
        <stp/>
        <stp>BDP|10566944466719640198</stp>
        <tr r="R2178" s="2"/>
      </tp>
      <tp t="s">
        <v>#N/A N/A</v>
        <stp/>
        <stp>BDP|17915488579163494048</stp>
        <tr r="K529" s="2"/>
      </tp>
      <tp t="s">
        <v>#N/A N/A</v>
        <stp/>
        <stp>BDS|17705069711594224596</stp>
        <tr r="I2234" s="2"/>
      </tp>
      <tp t="s">
        <v>#N/A N/A</v>
        <stp/>
        <stp>BDP|11069610333690218389</stp>
        <tr r="T542" s="2"/>
      </tp>
      <tp t="s">
        <v>#N/A N/A</v>
        <stp/>
        <stp>BDP|17437795018850839655</stp>
        <tr r="T1127" s="2"/>
      </tp>
      <tp t="s">
        <v>#N/A N/A</v>
        <stp/>
        <stp>BDP|11961078787746503841</stp>
        <tr r="T65" s="2"/>
      </tp>
      <tp t="s">
        <v>#N/A N/A</v>
        <stp/>
        <stp>BDP|13352980455988750016</stp>
        <tr r="G708" s="2"/>
      </tp>
      <tp t="s">
        <v>#N/A N/A</v>
        <stp/>
        <stp>BDP|17472188294688836085</stp>
        <tr r="N1620" s="2"/>
      </tp>
      <tp t="s">
        <v>#N/A N/A</v>
        <stp/>
        <stp>BDP|14738988048119730786</stp>
        <tr r="G2165" s="2"/>
      </tp>
      <tp t="s">
        <v>#N/A N/A</v>
        <stp/>
        <stp>BDP|17007527802795197096</stp>
        <tr r="R485" s="2"/>
      </tp>
      <tp t="s">
        <v>#N/A N/A</v>
        <stp/>
        <stp>BDP|16775772039874112103</stp>
        <tr r="R1136" s="2"/>
      </tp>
      <tp t="s">
        <v>#N/A N/A</v>
        <stp/>
        <stp>BDP|17507970938943617946</stp>
        <tr r="K464" s="2"/>
      </tp>
      <tp t="s">
        <v>#N/A N/A</v>
        <stp/>
        <stp>BDP|13469793713192598033</stp>
        <tr r="J1696" s="2"/>
      </tp>
      <tp t="s">
        <v>#N/A N/A</v>
        <stp/>
        <stp>BDP|17872628828072263687</stp>
        <tr r="M957" s="2"/>
      </tp>
      <tp t="s">
        <v>#N/A N/A</v>
        <stp/>
        <stp>BDP|12405869999633614750</stp>
        <tr r="R1742" s="2"/>
      </tp>
      <tp t="s">
        <v>#N/A N/A</v>
        <stp/>
        <stp>BDP|15720928086301905227</stp>
        <tr r="M879" s="2"/>
      </tp>
      <tp t="s">
        <v>#N/A N/A</v>
        <stp/>
        <stp>BDP|16693382034814796554</stp>
        <tr r="A627" s="2"/>
      </tp>
      <tp t="s">
        <v>#N/A N/A</v>
        <stp/>
        <stp>BDP|15906330116552334278</stp>
        <tr r="T1999" s="2"/>
      </tp>
      <tp t="s">
        <v>#N/A N/A</v>
        <stp/>
        <stp>BDP|16055408468435372630</stp>
        <tr r="G2070" s="2"/>
      </tp>
      <tp t="s">
        <v>#N/A N/A</v>
        <stp/>
        <stp>BDP|13273440610281701098</stp>
        <tr r="T1014" s="2"/>
      </tp>
      <tp t="s">
        <v>#N/A N/A</v>
        <stp/>
        <stp>BDP|16801485093094804838</stp>
        <tr r="H1671" s="2"/>
      </tp>
      <tp t="s">
        <v>#N/A N/A</v>
        <stp/>
        <stp>BDP|17309726550602855018</stp>
        <tr r="F1595" s="2"/>
      </tp>
      <tp t="s">
        <v>#N/A N/A</v>
        <stp/>
        <stp>BDP|14102585650995146605</stp>
        <tr r="G1606" s="2"/>
      </tp>
      <tp t="s">
        <v>#N/A N/A</v>
        <stp/>
        <stp>BDP|12377190322942635460</stp>
        <tr r="P299" s="2"/>
      </tp>
      <tp t="s">
        <v>#N/A N/A</v>
        <stp/>
        <stp>BDP|18397537611702115985</stp>
        <tr r="E1972" s="2"/>
      </tp>
      <tp t="s">
        <v>#N/A N/A</v>
        <stp/>
        <stp>BDP|16716417376063032188</stp>
        <tr r="F2177" s="2"/>
      </tp>
      <tp t="s">
        <v>#N/A N/A</v>
        <stp/>
        <stp>BDP|17328588643681116010</stp>
        <tr r="F1280" s="2"/>
      </tp>
      <tp t="s">
        <v>#N/A N/A</v>
        <stp/>
        <stp>BDP|10076498947575406226</stp>
        <tr r="H879" s="2"/>
      </tp>
      <tp t="s">
        <v>#N/A N/A</v>
        <stp/>
        <stp>BDP|16285772599586060945</stp>
        <tr r="R895" s="2"/>
      </tp>
      <tp t="s">
        <v>#N/A N/A</v>
        <stp/>
        <stp>BDP|18132494740947275825</stp>
        <tr r="E1517" s="2"/>
      </tp>
      <tp t="s">
        <v>#N/A N/A</v>
        <stp/>
        <stp>BDP|14897276973606108055</stp>
        <tr r="Q1219" s="2"/>
      </tp>
      <tp t="s">
        <v>#N/A N/A</v>
        <stp/>
        <stp>BDS|17987751473195169552</stp>
        <tr r="I189" s="2"/>
      </tp>
      <tp t="s">
        <v>#N/A N/A</v>
        <stp/>
        <stp>BDP|13607396766206502748</stp>
        <tr r="F772" s="2"/>
      </tp>
      <tp t="s">
        <v>#N/A N/A</v>
        <stp/>
        <stp>BDP|14784092606997507450</stp>
        <tr r="Q1028" s="2"/>
      </tp>
      <tp t="s">
        <v>#N/A N/A</v>
        <stp/>
        <stp>BDP|12194321001550969638</stp>
        <tr r="G1149" s="2"/>
      </tp>
      <tp t="s">
        <v>#N/A N/A</v>
        <stp/>
        <stp>BDP|13156038099194168929</stp>
        <tr r="R231" s="2"/>
      </tp>
      <tp t="s">
        <v>#N/A N/A</v>
        <stp/>
        <stp>BDP|17300734073525933521</stp>
        <tr r="T255" s="2"/>
      </tp>
      <tp t="s">
        <v>#N/A N/A</v>
        <stp/>
        <stp>BDP|13934994688650017502</stp>
        <tr r="S1578" s="2"/>
      </tp>
      <tp t="s">
        <v>#N/A N/A</v>
        <stp/>
        <stp>BDP|17179645998319472614</stp>
        <tr r="T2184" s="2"/>
      </tp>
      <tp t="s">
        <v>#N/A N/A</v>
        <stp/>
        <stp>BDP|10439871672451005997</stp>
        <tr r="J1547" s="2"/>
      </tp>
      <tp t="s">
        <v>#N/A N/A</v>
        <stp/>
        <stp>BDP|13622916490251928565</stp>
        <tr r="T1539" s="2"/>
      </tp>
      <tp t="s">
        <v>#N/A N/A</v>
        <stp/>
        <stp>BDP|16466925287244975407</stp>
        <tr r="M1362" s="2"/>
      </tp>
      <tp t="s">
        <v>#N/A N/A</v>
        <stp/>
        <stp>BDP|17062980360278417744</stp>
        <tr r="N1655" s="2"/>
      </tp>
      <tp t="s">
        <v>#N/A N/A</v>
        <stp/>
        <stp>BDP|16258342200007875560</stp>
        <tr r="C496" s="2"/>
      </tp>
      <tp t="s">
        <v>#N/A N/A</v>
        <stp/>
        <stp>BDS|14448376110305060487</stp>
        <tr r="I662" s="2"/>
      </tp>
      <tp t="s">
        <v>#N/A N/A</v>
        <stp/>
        <stp>BDP|13451382245566551547</stp>
        <tr r="G1904" s="2"/>
      </tp>
      <tp t="s">
        <v>#N/A N/A</v>
        <stp/>
        <stp>BDP|16310495163935794664</stp>
        <tr r="F613" s="2"/>
      </tp>
      <tp t="s">
        <v>#N/A N/A</v>
        <stp/>
        <stp>BDP|14030267103541425093</stp>
        <tr r="J741" s="2"/>
      </tp>
      <tp t="s">
        <v>#N/A N/A</v>
        <stp/>
        <stp>BDP|13399018359622475377</stp>
        <tr r="G635" s="2"/>
      </tp>
      <tp t="s">
        <v>#N/A N/A</v>
        <stp/>
        <stp>BDP|12872714391199116214</stp>
        <tr r="S305" s="2"/>
      </tp>
      <tp t="s">
        <v>#N/A N/A</v>
        <stp/>
        <stp>BDS|17698981371877645923</stp>
        <tr r="I2250" s="2"/>
      </tp>
      <tp t="s">
        <v>#N/A N/A</v>
        <stp/>
        <stp>BDP|16692290470975034174</stp>
        <tr r="R75" s="2"/>
      </tp>
      <tp t="s">
        <v>#N/A N/A</v>
        <stp/>
        <stp>BDP|15910368026626202538</stp>
        <tr r="T675" s="2"/>
      </tp>
      <tp t="s">
        <v>#N/A N/A</v>
        <stp/>
        <stp>BDP|14616118632251896055</stp>
        <tr r="N1917" s="2"/>
      </tp>
      <tp t="s">
        <v>#N/A N/A</v>
        <stp/>
        <stp>BDP|16907892906230605986</stp>
        <tr r="M1886" s="2"/>
      </tp>
      <tp t="s">
        <v>#N/A N/A</v>
        <stp/>
        <stp>BDP|10977569254983336402</stp>
        <tr r="J1683" s="2"/>
      </tp>
      <tp t="s">
        <v>#N/A N/A</v>
        <stp/>
        <stp>BDP|18150095385600129742</stp>
        <tr r="C333" s="2"/>
      </tp>
      <tp t="s">
        <v>#N/A N/A</v>
        <stp/>
        <stp>BDS|12677107654091972001</stp>
        <tr r="I118" s="2"/>
      </tp>
      <tp t="s">
        <v>#N/A N/A</v>
        <stp/>
        <stp>BDP|16119629963866077781</stp>
        <tr r="H2146" s="2"/>
      </tp>
      <tp t="s">
        <v>#N/A N/A</v>
        <stp/>
        <stp>BDP|11768586290473632912</stp>
        <tr r="K1855" s="2"/>
      </tp>
      <tp t="s">
        <v>#N/A N/A</v>
        <stp/>
        <stp>BDP|12923157820074674227</stp>
        <tr r="O1600" s="2"/>
      </tp>
      <tp t="s">
        <v>#N/A N/A</v>
        <stp/>
        <stp>BDP|14276059481253681881</stp>
        <tr r="H1039" s="2"/>
      </tp>
      <tp t="s">
        <v>#N/A N/A</v>
        <stp/>
        <stp>BDS|14251127014633604091</stp>
        <tr r="I513" s="2"/>
      </tp>
      <tp t="s">
        <v>#N/A N/A</v>
        <stp/>
        <stp>BDP|13266348602902520590</stp>
        <tr r="G128" s="2"/>
      </tp>
      <tp t="s">
        <v>#N/A N/A</v>
        <stp/>
        <stp>BDP|15286695165982222042</stp>
        <tr r="E1807" s="2"/>
      </tp>
      <tp t="s">
        <v>#N/A N/A</v>
        <stp/>
        <stp>BDP|16048066109116504727</stp>
        <tr r="F1555" s="2"/>
      </tp>
      <tp t="s">
        <v>#N/A N/A</v>
        <stp/>
        <stp>BDP|15962693153155932423</stp>
        <tr r="K1335" s="2"/>
      </tp>
      <tp t="s">
        <v>#N/A N/A</v>
        <stp/>
        <stp>BDP|15803450552794028771</stp>
        <tr r="T1117" s="2"/>
      </tp>
      <tp t="s">
        <v>#N/A N/A</v>
        <stp/>
        <stp>BDS|11516340698014460863</stp>
        <tr r="I1034" s="2"/>
      </tp>
      <tp t="s">
        <v>#N/A N/A</v>
        <stp/>
        <stp>BDP|13568405419190418138</stp>
        <tr r="C1329" s="2"/>
      </tp>
      <tp t="s">
        <v>#N/A N/A</v>
        <stp/>
        <stp>BDP|10258890600909461641</stp>
        <tr r="E1683" s="2"/>
      </tp>
      <tp t="s">
        <v>#N/A N/A</v>
        <stp/>
        <stp>BDP|11683077967656930641</stp>
        <tr r="K1037" s="2"/>
      </tp>
      <tp t="s">
        <v>#N/A N/A</v>
        <stp/>
        <stp>BDP|10780385454830379139</stp>
        <tr r="O1609" s="2"/>
      </tp>
      <tp t="s">
        <v>#N/A N/A</v>
        <stp/>
        <stp>BDP|10885662728032544185</stp>
        <tr r="A2174" s="2"/>
      </tp>
      <tp t="s">
        <v>#N/A N/A</v>
        <stp/>
        <stp>BDP|10343468156311971713</stp>
        <tr r="G1887" s="2"/>
      </tp>
      <tp t="s">
        <v>#N/A N/A</v>
        <stp/>
        <stp>BDP|17563075868322784462</stp>
        <tr r="N507" s="2"/>
      </tp>
      <tp t="s">
        <v>#N/A N/A</v>
        <stp/>
        <stp>BDP|10542356948066693651</stp>
        <tr r="D210" s="2"/>
      </tp>
      <tp t="s">
        <v>#N/A N/A</v>
        <stp/>
        <stp>BDP|13361007429282493450</stp>
        <tr r="H2122" s="2"/>
      </tp>
      <tp t="s">
        <v>#N/A N/A</v>
        <stp/>
        <stp>BDP|13943275501802778434</stp>
        <tr r="D121" s="2"/>
      </tp>
      <tp t="s">
        <v>#N/A N/A</v>
        <stp/>
        <stp>BDP|10154590667921355573</stp>
        <tr r="R1790" s="2"/>
      </tp>
      <tp t="s">
        <v>#N/A N/A</v>
        <stp/>
        <stp>BDP|10443655147414465199</stp>
        <tr r="K1028" s="2"/>
      </tp>
      <tp t="s">
        <v>#N/A N/A</v>
        <stp/>
        <stp>BDS|11965399870344179691</stp>
        <tr r="I85" s="2"/>
      </tp>
      <tp t="s">
        <v>#N/A N/A</v>
        <stp/>
        <stp>BDP|12928416323183190016</stp>
        <tr r="A865" s="2"/>
      </tp>
      <tp t="s">
        <v>#N/A N/A</v>
        <stp/>
        <stp>BDP|14585471741566919514</stp>
        <tr r="E405" s="2"/>
      </tp>
      <tp t="s">
        <v>#N/A N/A</v>
        <stp/>
        <stp>BDP|13428025316452990723</stp>
        <tr r="C1904" s="2"/>
      </tp>
      <tp t="s">
        <v>#N/A N/A</v>
        <stp/>
        <stp>BDP|16098742758455743602</stp>
        <tr r="A267" s="2"/>
      </tp>
      <tp t="s">
        <v>#N/A N/A</v>
        <stp/>
        <stp>BDP|11529060769733745368</stp>
        <tr r="D965" s="2"/>
      </tp>
      <tp t="s">
        <v>#N/A N/A</v>
        <stp/>
        <stp>BDP|17692024628607444536</stp>
        <tr r="E623" s="2"/>
      </tp>
      <tp t="s">
        <v>#N/A N/A</v>
        <stp/>
        <stp>BDP|12960522630893652061</stp>
        <tr r="G241" s="2"/>
      </tp>
      <tp t="s">
        <v>#N/A N/A</v>
        <stp/>
        <stp>BDP|16126519894358653595</stp>
        <tr r="G1112" s="2"/>
      </tp>
      <tp t="s">
        <v>#N/A N/A</v>
        <stp/>
        <stp>BDP|16225407059018950898</stp>
        <tr r="M200" s="2"/>
      </tp>
      <tp t="s">
        <v>#N/A N/A</v>
        <stp/>
        <stp>BDP|11696596069611880459</stp>
        <tr r="C641" s="2"/>
      </tp>
      <tp t="s">
        <v>#N/A N/A</v>
        <stp/>
        <stp>BDP|11350220192224872908</stp>
        <tr r="H1871" s="2"/>
      </tp>
      <tp t="s">
        <v>#N/A N/A</v>
        <stp/>
        <stp>BDP|16671891216229241108</stp>
        <tr r="A2138" s="2"/>
      </tp>
      <tp t="s">
        <v>#N/A N/A</v>
        <stp/>
        <stp>BDP|16679772598886468964</stp>
        <tr r="K879" s="2"/>
      </tp>
      <tp t="s">
        <v>#N/A N/A</v>
        <stp/>
        <stp>BDP|17713989701378046150</stp>
        <tr r="O1709" s="2"/>
      </tp>
      <tp t="s">
        <v>#N/A N/A</v>
        <stp/>
        <stp>BDP|15677479190676906937</stp>
        <tr r="R1080" s="2"/>
      </tp>
      <tp t="s">
        <v>#N/A N/A</v>
        <stp/>
        <stp>BDS|15399944832320433893</stp>
        <tr r="I228" s="2"/>
      </tp>
      <tp t="s">
        <v>#N/A N/A</v>
        <stp/>
        <stp>BDP|12247415198008884087</stp>
        <tr r="T1960" s="2"/>
      </tp>
      <tp t="s">
        <v>#N/A N/A</v>
        <stp/>
        <stp>BDP|13940465123354496635</stp>
        <tr r="M747" s="2"/>
      </tp>
      <tp t="s">
        <v>#N/A N/A</v>
        <stp/>
        <stp>BDP|11253281467471781315</stp>
        <tr r="S1068" s="2"/>
      </tp>
      <tp t="s">
        <v>#N/A N/A</v>
        <stp/>
        <stp>BDP|15239694963745189724</stp>
        <tr r="G917" s="2"/>
      </tp>
      <tp t="s">
        <v>#N/A N/A</v>
        <stp/>
        <stp>BDP|11722462942500914618</stp>
        <tr r="C2181" s="2"/>
      </tp>
      <tp t="s">
        <v>#N/A N/A</v>
        <stp/>
        <stp>BDP|11503728618386413606</stp>
        <tr r="C1120" s="2"/>
      </tp>
      <tp t="s">
        <v>#N/A N/A</v>
        <stp/>
        <stp>BDP|14764452816965911360</stp>
        <tr r="C2178" s="2"/>
      </tp>
      <tp t="s">
        <v>#N/A N/A</v>
        <stp/>
        <stp>BDP|14944283221382289190</stp>
        <tr r="A1871" s="2"/>
      </tp>
      <tp t="s">
        <v>#N/A N/A</v>
        <stp/>
        <stp>BDP|13161486502601992193</stp>
        <tr r="A1942" s="2"/>
      </tp>
      <tp t="s">
        <v>#N/A N/A</v>
        <stp/>
        <stp>BDP|10928445446053198412</stp>
        <tr r="O734" s="2"/>
      </tp>
      <tp t="s">
        <v>#N/A N/A</v>
        <stp/>
        <stp>BDP|13110726521994190584</stp>
        <tr r="H787" s="2"/>
      </tp>
      <tp t="s">
        <v>#N/A N/A</v>
        <stp/>
        <stp>BDP|13850746818877691591</stp>
        <tr r="M309" s="2"/>
      </tp>
      <tp t="s">
        <v>#N/A N/A</v>
        <stp/>
        <stp>BDP|10396528945400715687</stp>
        <tr r="A2159" s="2"/>
      </tp>
      <tp t="s">
        <v>#N/A N/A</v>
        <stp/>
        <stp>BDP|14686903497834255785</stp>
        <tr r="T180" s="2"/>
      </tp>
      <tp t="s">
        <v>#N/A N/A</v>
        <stp/>
        <stp>BDP|16140445705476940322</stp>
        <tr r="N680" s="2"/>
      </tp>
      <tp t="s">
        <v>#N/A N/A</v>
        <stp/>
        <stp>BDS|14023144036169225886</stp>
        <tr r="I499" s="2"/>
      </tp>
      <tp t="s">
        <v>#N/A N/A</v>
        <stp/>
        <stp>BDP|11670144861044828503</stp>
        <tr r="H2129" s="2"/>
      </tp>
      <tp t="s">
        <v>#N/A N/A</v>
        <stp/>
        <stp>BDP|12005610916322538092</stp>
        <tr r="M60" s="2"/>
      </tp>
      <tp t="s">
        <v>#N/A N/A</v>
        <stp/>
        <stp>BDP|12971916880814796041</stp>
        <tr r="D2137" s="2"/>
      </tp>
      <tp t="s">
        <v>#N/A N/A</v>
        <stp/>
        <stp>BDP|17810509182259630478</stp>
        <tr r="K181" s="2"/>
      </tp>
      <tp t="s">
        <v>#N/A N/A</v>
        <stp/>
        <stp>BDS|14275265204989887803</stp>
        <tr r="I2089" s="2"/>
      </tp>
      <tp t="s">
        <v>#N/A N/A</v>
        <stp/>
        <stp>BDP|10336552489142452805</stp>
        <tr r="K1535" s="2"/>
      </tp>
      <tp t="s">
        <v>#N/A N/A</v>
        <stp/>
        <stp>BDP|10989905213969879693</stp>
        <tr r="J2129" s="2"/>
      </tp>
      <tp t="s">
        <v>#N/A N/A</v>
        <stp/>
        <stp>BDP|16949770976146212714</stp>
        <tr r="F1623" s="2"/>
      </tp>
      <tp t="s">
        <v>#N/A N/A</v>
        <stp/>
        <stp>BDP|16377140782988987071</stp>
        <tr r="H77" s="2"/>
      </tp>
      <tp t="s">
        <v>#N/A N/A</v>
        <stp/>
        <stp>BDP|15430490742510143255</stp>
        <tr r="J1907" s="2"/>
      </tp>
      <tp t="s">
        <v>#N/A N/A</v>
        <stp/>
        <stp>BDP|11135978247078881324</stp>
        <tr r="D812" s="2"/>
      </tp>
      <tp t="s">
        <v>#N/A N/A</v>
        <stp/>
        <stp>BDP|12594191607946857283</stp>
        <tr r="G2251" s="2"/>
      </tp>
      <tp t="s">
        <v>#N/A N/A</v>
        <stp/>
        <stp>BDP|13404628235553023288</stp>
        <tr r="Q2030" s="2"/>
      </tp>
      <tp t="s">
        <v>#N/A N/A</v>
        <stp/>
        <stp>BDS|11965525573864386034</stp>
        <tr r="I750" s="2"/>
      </tp>
      <tp t="s">
        <v>#N/A N/A</v>
        <stp/>
        <stp>BDP|13722156874697920546</stp>
        <tr r="H1984" s="2"/>
      </tp>
      <tp t="s">
        <v>#N/A N/A</v>
        <stp/>
        <stp>BDP|17570784883659150645</stp>
        <tr r="P490" s="2"/>
      </tp>
      <tp t="s">
        <v>#N/A N/A</v>
        <stp/>
        <stp>BDP|16199711759140152339</stp>
        <tr r="A1103" s="2"/>
      </tp>
      <tp t="s">
        <v>#N/A N/A</v>
        <stp/>
        <stp>BDP|14835153886698011202</stp>
        <tr r="N247" s="2"/>
      </tp>
      <tp t="s">
        <v>#N/A N/A</v>
        <stp/>
        <stp>BDP|17321466764902896021</stp>
        <tr r="P2108" s="2"/>
      </tp>
      <tp t="s">
        <v>#N/A N/A</v>
        <stp/>
        <stp>BDP|10784768251291876431</stp>
        <tr r="A1358" s="2"/>
      </tp>
      <tp t="s">
        <v>#N/A N/A</v>
        <stp/>
        <stp>BDP|14418234903414928567</stp>
        <tr r="Q2141" s="2"/>
      </tp>
      <tp t="s">
        <v>#N/A N/A</v>
        <stp/>
        <stp>BDP|13934403803842182204</stp>
        <tr r="H1234" s="2"/>
      </tp>
      <tp t="s">
        <v>#N/A N/A</v>
        <stp/>
        <stp>BDP|10615134219237212052</stp>
        <tr r="O152" s="2"/>
      </tp>
      <tp t="s">
        <v>#N/A N/A</v>
        <stp/>
        <stp>BDP|16247532624272696489</stp>
        <tr r="M1688" s="2"/>
      </tp>
      <tp t="s">
        <v>#N/A N/A</v>
        <stp/>
        <stp>BDP|11357018610823010490</stp>
        <tr r="H2024" s="2"/>
      </tp>
      <tp t="s">
        <v>#N/A N/A</v>
        <stp/>
        <stp>BDP|15258479880297620997</stp>
        <tr r="K694" s="2"/>
      </tp>
      <tp t="s">
        <v>#N/A N/A</v>
        <stp/>
        <stp>BDP|15896395039585014723</stp>
        <tr r="F1747" s="2"/>
      </tp>
      <tp t="s">
        <v>#N/A N/A</v>
        <stp/>
        <stp>BDP|16544827961977989859</stp>
        <tr r="E2206" s="2"/>
      </tp>
      <tp t="s">
        <v>#N/A N/A</v>
        <stp/>
        <stp>BDP|14920743464742082035</stp>
        <tr r="P1403" s="2"/>
      </tp>
      <tp t="s">
        <v>#N/A N/A</v>
        <stp/>
        <stp>BDP|13255308764251420087</stp>
        <tr r="D1761" s="2"/>
      </tp>
      <tp t="s">
        <v>#N/A N/A</v>
        <stp/>
        <stp>BDP|14092818770035890932</stp>
        <tr r="R1430" s="2"/>
      </tp>
      <tp t="s">
        <v>#N/A N/A</v>
        <stp/>
        <stp>BDP|10141277937880280699</stp>
        <tr r="E317" s="2"/>
      </tp>
      <tp t="s">
        <v>#N/A N/A</v>
        <stp/>
        <stp>BDP|12920573142060134478</stp>
        <tr r="T1597" s="2"/>
      </tp>
      <tp t="s">
        <v>#N/A N/A</v>
        <stp/>
        <stp>BDP|18132420568865712860</stp>
        <tr r="M1935" s="2"/>
      </tp>
      <tp t="s">
        <v>#N/A N/A</v>
        <stp/>
        <stp>BDP|14983186742467006193</stp>
        <tr r="J728" s="2"/>
      </tp>
      <tp t="s">
        <v>#N/A N/A</v>
        <stp/>
        <stp>BDP|11659651200041899114</stp>
        <tr r="C1936" s="2"/>
      </tp>
      <tp t="s">
        <v>#N/A N/A</v>
        <stp/>
        <stp>BDP|17617226466234150099</stp>
        <tr r="T102" s="2"/>
      </tp>
      <tp t="s">
        <v>#N/A N/A</v>
        <stp/>
        <stp>BDP|15107308458866587261</stp>
        <tr r="T1645" s="2"/>
      </tp>
      <tp t="s">
        <v>#N/A N/A</v>
        <stp/>
        <stp>BDP|11101221655995992459</stp>
        <tr r="C117" s="2"/>
      </tp>
      <tp t="s">
        <v>#N/A N/A</v>
        <stp/>
        <stp>BDS|11420867281144357299</stp>
        <tr r="I1796" s="2"/>
      </tp>
      <tp t="s">
        <v>#N/A N/A</v>
        <stp/>
        <stp>BDP|14765150668604703078</stp>
        <tr r="S1512" s="2"/>
      </tp>
      <tp t="s">
        <v>#N/A N/A</v>
        <stp/>
        <stp>BDP|13828451337710259329</stp>
        <tr r="F988" s="2"/>
      </tp>
      <tp t="s">
        <v>#N/A N/A</v>
        <stp/>
        <stp>BDP|17975091317761482091</stp>
        <tr r="C1220" s="2"/>
      </tp>
      <tp t="s">
        <v>#N/A N/A</v>
        <stp/>
        <stp>BDP|16195696183378409753</stp>
        <tr r="E1665" s="2"/>
      </tp>
      <tp t="s">
        <v>#N/A N/A</v>
        <stp/>
        <stp>BDP|17122942286407825619</stp>
        <tr r="F36" s="2"/>
      </tp>
      <tp t="s">
        <v>#N/A N/A</v>
        <stp/>
        <stp>BDP|15272191351517084104</stp>
        <tr r="G985" s="2"/>
      </tp>
      <tp t="s">
        <v>#N/A N/A</v>
        <stp/>
        <stp>BDP|12095133112450228592</stp>
        <tr r="A2001" s="2"/>
      </tp>
      <tp t="s">
        <v>#N/A N/A</v>
        <stp/>
        <stp>BDP|17240827124909607384</stp>
        <tr r="P2071" s="2"/>
      </tp>
      <tp t="s">
        <v>#N/A N/A</v>
        <stp/>
        <stp>BDP|15755330161606889176</stp>
        <tr r="D1221" s="2"/>
      </tp>
      <tp t="s">
        <v>#N/A N/A</v>
        <stp/>
        <stp>BDP|15938333211124094415</stp>
        <tr r="D985" s="2"/>
      </tp>
      <tp t="s">
        <v>#N/A N/A</v>
        <stp/>
        <stp>BDP|16913164002189717908</stp>
        <tr r="J877" s="2"/>
      </tp>
      <tp t="s">
        <v>#N/A N/A</v>
        <stp/>
        <stp>BDP|13296381833537744344</stp>
        <tr r="D2101" s="2"/>
      </tp>
      <tp t="s">
        <v>#N/A N/A</v>
        <stp/>
        <stp>BDP|12488478981851870802</stp>
        <tr r="F1263" s="2"/>
      </tp>
      <tp t="s">
        <v>#N/A N/A</v>
        <stp/>
        <stp>BDP|11581080643027352570</stp>
        <tr r="P1672" s="2"/>
      </tp>
      <tp t="s">
        <v>#N/A N/A</v>
        <stp/>
        <stp>BDP|16209639948900356308</stp>
        <tr r="O2249" s="2"/>
      </tp>
      <tp t="s">
        <v>#N/A N/A</v>
        <stp/>
        <stp>BDP|12488027169793571002</stp>
        <tr r="O1809" s="2"/>
      </tp>
      <tp t="s">
        <v>#N/A N/A</v>
        <stp/>
        <stp>BDP|14296275952493544781</stp>
        <tr r="O701" s="2"/>
      </tp>
      <tp t="s">
        <v>#N/A N/A</v>
        <stp/>
        <stp>BDP|14402320101702438298</stp>
        <tr r="C2183" s="2"/>
      </tp>
      <tp t="s">
        <v>#N/A N/A</v>
        <stp/>
        <stp>BDP|14420067474911461586</stp>
        <tr r="P1056" s="2"/>
      </tp>
      <tp t="s">
        <v>#N/A N/A</v>
        <stp/>
        <stp>BDP|13900474312533697204</stp>
        <tr r="P143" s="2"/>
      </tp>
      <tp t="s">
        <v>#N/A N/A</v>
        <stp/>
        <stp>BDP|16831181950532324796</stp>
        <tr r="S1595" s="2"/>
      </tp>
      <tp t="s">
        <v>#N/A N/A</v>
        <stp/>
        <stp>BDP|16890548582155405903</stp>
        <tr r="Q1587" s="2"/>
      </tp>
      <tp t="s">
        <v>#N/A N/A</v>
        <stp/>
        <stp>BDP|11854778422660407338</stp>
        <tr r="O2132" s="2"/>
      </tp>
      <tp t="s">
        <v>#N/A N/A</v>
        <stp/>
        <stp>BDP|16479909063887562983</stp>
        <tr r="C1708" s="2"/>
      </tp>
      <tp t="s">
        <v>#N/A N/A</v>
        <stp/>
        <stp>BDP|15313873088501311355</stp>
        <tr r="A67" s="2"/>
      </tp>
      <tp t="s">
        <v>#N/A N/A</v>
        <stp/>
        <stp>BDP|16208207248310829785</stp>
        <tr r="K2021" s="2"/>
      </tp>
      <tp t="s">
        <v>#N/A N/A</v>
        <stp/>
        <stp>BDP|17371246034494031594</stp>
        <tr r="C888" s="2"/>
      </tp>
      <tp t="s">
        <v>#N/A N/A</v>
        <stp/>
        <stp>BDP|15410439313003637489</stp>
        <tr r="N794" s="2"/>
      </tp>
      <tp t="s">
        <v>#N/A N/A</v>
        <stp/>
        <stp>BDP|14870924620960382830</stp>
        <tr r="P1467" s="2"/>
      </tp>
      <tp t="s">
        <v>#N/A N/A</v>
        <stp/>
        <stp>BDP|10531354215383635696</stp>
        <tr r="Q1361" s="2"/>
      </tp>
      <tp t="s">
        <v>#N/A N/A</v>
        <stp/>
        <stp>BDP|16623257915327562591</stp>
        <tr r="R1920" s="2"/>
      </tp>
      <tp t="s">
        <v>#N/A N/A</v>
        <stp/>
        <stp>BDP|10737077178638210802</stp>
        <tr r="H46" s="2"/>
      </tp>
      <tp t="s">
        <v>#N/A N/A</v>
        <stp/>
        <stp>BDP|10407513179342055764</stp>
        <tr r="J520" s="2"/>
      </tp>
      <tp t="s">
        <v>#N/A N/A</v>
        <stp/>
        <stp>BDP|13527444387939980156</stp>
        <tr r="D327" s="2"/>
      </tp>
      <tp t="s">
        <v>#N/A N/A</v>
        <stp/>
        <stp>BDP|11916346335277334117</stp>
        <tr r="N2089" s="2"/>
      </tp>
      <tp t="s">
        <v>#N/A N/A</v>
        <stp/>
        <stp>BDP|13721292731150370567</stp>
        <tr r="C1177" s="2"/>
      </tp>
      <tp t="s">
        <v>#N/A N/A</v>
        <stp/>
        <stp>BDP|18422836687179251681</stp>
        <tr r="H2016" s="2"/>
      </tp>
      <tp t="s">
        <v>#N/A N/A</v>
        <stp/>
        <stp>BDP|12817584511484876536</stp>
        <tr r="F1111" s="2"/>
      </tp>
      <tp t="s">
        <v>#N/A N/A</v>
        <stp/>
        <stp>BDP|11023711577791556791</stp>
        <tr r="T720" s="2"/>
      </tp>
      <tp t="s">
        <v>#N/A N/A</v>
        <stp/>
        <stp>BDP|17434743572206119693</stp>
        <tr r="D2027" s="2"/>
      </tp>
      <tp t="s">
        <v>#N/A N/A</v>
        <stp/>
        <stp>BDP|16815826030399969392</stp>
        <tr r="N1837" s="2"/>
      </tp>
      <tp t="s">
        <v>#N/A N/A</v>
        <stp/>
        <stp>BDS|12002925394162863772</stp>
        <tr r="I2187" s="2"/>
      </tp>
      <tp t="s">
        <v>#N/A N/A</v>
        <stp/>
        <stp>BDP|14255092273664587079</stp>
        <tr r="O1745" s="2"/>
      </tp>
      <tp t="s">
        <v>#N/A N/A</v>
        <stp/>
        <stp>BDP|12868018768546893535</stp>
        <tr r="T549" s="2"/>
      </tp>
      <tp t="s">
        <v>#N/A N/A</v>
        <stp/>
        <stp>BDP|17172395990689718352</stp>
        <tr r="F2108" s="2"/>
      </tp>
      <tp t="s">
        <v>#N/A N/A</v>
        <stp/>
        <stp>BDP|11325331212527933312</stp>
        <tr r="F1849" s="2"/>
      </tp>
      <tp t="s">
        <v>#N/A N/A</v>
        <stp/>
        <stp>BDP|12367438079105587360</stp>
        <tr r="D467" s="2"/>
      </tp>
      <tp t="s">
        <v>#N/A N/A</v>
        <stp/>
        <stp>BDP|10302295032643065522</stp>
        <tr r="H503" s="2"/>
      </tp>
      <tp t="s">
        <v>#N/A N/A</v>
        <stp/>
        <stp>BDP|10932248293438500418</stp>
        <tr r="J217" s="2"/>
      </tp>
      <tp t="s">
        <v>#N/A N/A</v>
        <stp/>
        <stp>BDP|15887924608448968318</stp>
        <tr r="F2053" s="2"/>
      </tp>
      <tp t="s">
        <v>#N/A N/A</v>
        <stp/>
        <stp>BDP|18433827455267969506</stp>
        <tr r="T630" s="2"/>
      </tp>
      <tp t="s">
        <v>#N/A N/A</v>
        <stp/>
        <stp>BDP|17754111628135364675</stp>
        <tr r="O369" s="2"/>
      </tp>
      <tp t="s">
        <v>#N/A N/A</v>
        <stp/>
        <stp>BDP|12096247320754677188</stp>
        <tr r="D860" s="2"/>
      </tp>
      <tp t="s">
        <v>#N/A N/A</v>
        <stp/>
        <stp>BDP|14317226532132156085</stp>
        <tr r="A1848" s="2"/>
      </tp>
      <tp t="s">
        <v>#N/A N/A</v>
        <stp/>
        <stp>BDP|12952310330130374515</stp>
        <tr r="D2163" s="2"/>
      </tp>
      <tp t="s">
        <v>#N/A N/A</v>
        <stp/>
        <stp>BDS|18271892505214093378</stp>
        <tr r="I1049" s="2"/>
      </tp>
      <tp t="s">
        <v>#N/A N/A</v>
        <stp/>
        <stp>BDP|14295065163921916442</stp>
        <tr r="K565" s="2"/>
      </tp>
      <tp t="s">
        <v>#N/A N/A</v>
        <stp/>
        <stp>BDP|13745212636054345194</stp>
        <tr r="S436" s="2"/>
      </tp>
      <tp t="s">
        <v>#N/A N/A</v>
        <stp/>
        <stp>BDP|14448420357472326087</stp>
        <tr r="J164" s="2"/>
      </tp>
      <tp t="s">
        <v>#N/A N/A</v>
        <stp/>
        <stp>BDP|13323567507497078683</stp>
        <tr r="P1992" s="2"/>
      </tp>
      <tp t="s">
        <v>#N/A N/A</v>
        <stp/>
        <stp>BDP|14430167368321225521</stp>
        <tr r="P1269" s="2"/>
      </tp>
      <tp t="s">
        <v>#N/A N/A</v>
        <stp/>
        <stp>BDP|15101422538640097519</stp>
        <tr r="H501" s="2"/>
      </tp>
      <tp t="s">
        <v>#N/A N/A</v>
        <stp/>
        <stp>BDP|15520695621613250550</stp>
        <tr r="F356" s="2"/>
      </tp>
      <tp t="s">
        <v>#N/A N/A</v>
        <stp/>
        <stp>BDP|12409533387939899127</stp>
        <tr r="S1777" s="2"/>
      </tp>
      <tp t="s">
        <v>#N/A N/A</v>
        <stp/>
        <stp>BDP|16068353899462645901</stp>
        <tr r="N503" s="2"/>
      </tp>
      <tp t="s">
        <v>#N/A N/A</v>
        <stp/>
        <stp>BDP|11798483636071036042</stp>
        <tr r="R546" s="2"/>
      </tp>
      <tp t="s">
        <v>#N/A N/A</v>
        <stp/>
        <stp>BDP|10997295410366813255</stp>
        <tr r="G2255" s="2"/>
      </tp>
      <tp t="s">
        <v>#N/A N/A</v>
        <stp/>
        <stp>BDP|12991934736146002917</stp>
        <tr r="S401" s="2"/>
      </tp>
      <tp t="s">
        <v>#N/A N/A</v>
        <stp/>
        <stp>BDP|13674340558223591127</stp>
        <tr r="G1515" s="2"/>
      </tp>
      <tp t="s">
        <v>#N/A N/A</v>
        <stp/>
        <stp>BDP|10520996308189866719</stp>
        <tr r="T1973" s="2"/>
      </tp>
      <tp t="s">
        <v>#N/A N/A</v>
        <stp/>
        <stp>BDP|17942510037982176433</stp>
        <tr r="E1075" s="2"/>
      </tp>
      <tp t="s">
        <v>#N/A N/A</v>
        <stp/>
        <stp>BDP|13437182169663167098</stp>
        <tr r="T1098" s="2"/>
      </tp>
      <tp t="s">
        <v>#N/A N/A</v>
        <stp/>
        <stp>BDP|15661385613805951597</stp>
        <tr r="P678" s="2"/>
      </tp>
      <tp t="s">
        <v>#N/A N/A</v>
        <stp/>
        <stp>BDP|12179591789290599895</stp>
        <tr r="E924" s="2"/>
      </tp>
      <tp t="s">
        <v>#N/A N/A</v>
        <stp/>
        <stp>BDP|14354509006961997714</stp>
        <tr r="E1353" s="2"/>
      </tp>
      <tp t="s">
        <v>#N/A N/A</v>
        <stp/>
        <stp>BDP|18389994362145079552</stp>
        <tr r="N1676" s="2"/>
      </tp>
      <tp t="s">
        <v>#N/A N/A</v>
        <stp/>
        <stp>BDP|15685609719960704550</stp>
        <tr r="F1938" s="2"/>
      </tp>
      <tp t="s">
        <v>#N/A N/A</v>
        <stp/>
        <stp>BDS|15880560312410610645</stp>
        <tr r="I533" s="2"/>
      </tp>
      <tp t="s">
        <v>#N/A N/A</v>
        <stp/>
        <stp>BDP|11102189731720313460</stp>
        <tr r="M1003" s="2"/>
      </tp>
      <tp t="s">
        <v>#N/A N/A</v>
        <stp/>
        <stp>BDP|11256402813206939559</stp>
        <tr r="P985" s="2"/>
      </tp>
      <tp t="s">
        <v>#N/A N/A</v>
        <stp/>
        <stp>BDP|14787431542381261292</stp>
        <tr r="O332" s="2"/>
      </tp>
      <tp t="s">
        <v>#N/A N/A</v>
        <stp/>
        <stp>BDS|12427013431976973031</stp>
        <tr r="I15" s="2"/>
      </tp>
      <tp t="s">
        <v>#N/A N/A</v>
        <stp/>
        <stp>BDP|14928269433474704662</stp>
        <tr r="F446" s="2"/>
      </tp>
      <tp t="s">
        <v>#N/A N/A</v>
        <stp/>
        <stp>BDP|12378393106092291430</stp>
        <tr r="R1615" s="2"/>
      </tp>
      <tp t="s">
        <v>#N/A N/A</v>
        <stp/>
        <stp>BDP|11386325775175959705</stp>
        <tr r="P1535" s="2"/>
      </tp>
      <tp t="s">
        <v>#N/A N/A</v>
        <stp/>
        <stp>BDP|14276587641662639009</stp>
        <tr r="F1916" s="2"/>
      </tp>
      <tp t="s">
        <v>#N/A N/A</v>
        <stp/>
        <stp>BDP|14384710864156317484</stp>
        <tr r="F429" s="2"/>
      </tp>
      <tp t="s">
        <v>#N/A N/A</v>
        <stp/>
        <stp>BDP|15906055045950389678</stp>
        <tr r="M1851" s="2"/>
      </tp>
      <tp t="s">
        <v>#N/A N/A</v>
        <stp/>
        <stp>BDP|15579828896792929156</stp>
        <tr r="F853" s="2"/>
      </tp>
      <tp t="s">
        <v>#N/A N/A</v>
        <stp/>
        <stp>BDP|11809376785898667514</stp>
        <tr r="D1986" s="2"/>
      </tp>
      <tp t="s">
        <v>#N/A N/A</v>
        <stp/>
        <stp>BDP|15350465277980859170</stp>
        <tr r="K1569" s="2"/>
      </tp>
      <tp t="s">
        <v>#N/A N/A</v>
        <stp/>
        <stp>BDP|10824509922991691118</stp>
        <tr r="A348" s="2"/>
      </tp>
      <tp t="s">
        <v>#N/A N/A</v>
        <stp/>
        <stp>BDP|13226329053966935472</stp>
        <tr r="E276" s="2"/>
      </tp>
      <tp t="s">
        <v>#N/A N/A</v>
        <stp/>
        <stp>BDP|14600255759706483239</stp>
        <tr r="D1506" s="2"/>
      </tp>
      <tp t="s">
        <v>#N/A N/A</v>
        <stp/>
        <stp>BDP|18140614164567900806</stp>
        <tr r="D1860" s="2"/>
      </tp>
      <tp t="s">
        <v>#N/A N/A</v>
        <stp/>
        <stp>BDP|12493280434751552508</stp>
        <tr r="E2244" s="2"/>
      </tp>
      <tp t="s">
        <v>#N/A N/A</v>
        <stp/>
        <stp>BDP|17367971695148969852</stp>
        <tr r="A647" s="2"/>
      </tp>
      <tp t="s">
        <v>#N/A N/A</v>
        <stp/>
        <stp>BDP|14104032163197402281</stp>
        <tr r="E1960" s="2"/>
      </tp>
      <tp t="s">
        <v>#N/A N/A</v>
        <stp/>
        <stp>BDP|13329666440525817302</stp>
        <tr r="Q843" s="2"/>
      </tp>
      <tp t="s">
        <v>#N/A N/A</v>
        <stp/>
        <stp>BDP|11710781722991484243</stp>
        <tr r="C1970" s="2"/>
      </tp>
      <tp t="s">
        <v>#N/A N/A</v>
        <stp/>
        <stp>BDP|14416057378563782739</stp>
        <tr r="R514" s="2"/>
      </tp>
      <tp t="s">
        <v>#N/A N/A</v>
        <stp/>
        <stp>BDP|10576310108923285734</stp>
        <tr r="G879" s="2"/>
      </tp>
      <tp t="s">
        <v>#N/A N/A</v>
        <stp/>
        <stp>BDP|10818645801625022402</stp>
        <tr r="N13" s="2"/>
      </tp>
      <tp t="s">
        <v>#N/A N/A</v>
        <stp/>
        <stp>BDP|15223347364425910262</stp>
        <tr r="G890" s="2"/>
      </tp>
      <tp t="s">
        <v>#N/A N/A</v>
        <stp/>
        <stp>BDP|16986956218148899117</stp>
        <tr r="C988" s="2"/>
      </tp>
      <tp t="s">
        <v>#N/A N/A</v>
        <stp/>
        <stp>BDP|14789501570171301099</stp>
        <tr r="A600" s="2"/>
      </tp>
      <tp t="s">
        <v>#N/A N/A</v>
        <stp/>
        <stp>BDP|15634336408059120816</stp>
        <tr r="N594" s="2"/>
      </tp>
      <tp t="s">
        <v>#N/A N/A</v>
        <stp/>
        <stp>BDP|16576193415027536616</stp>
        <tr r="T1085" s="2"/>
      </tp>
      <tp t="s">
        <v>#N/A N/A</v>
        <stp/>
        <stp>BDP|16168932011160633986</stp>
        <tr r="P584" s="2"/>
      </tp>
      <tp t="s">
        <v>#N/A N/A</v>
        <stp/>
        <stp>BDP|11039419449870514603</stp>
        <tr r="G1249" s="2"/>
      </tp>
      <tp t="s">
        <v>#N/A N/A</v>
        <stp/>
        <stp>BDP|14645195566792623624</stp>
        <tr r="E1152" s="2"/>
      </tp>
      <tp t="s">
        <v>#N/A N/A</v>
        <stp/>
        <stp>BDP|13976014152639310844</stp>
        <tr r="H297" s="2"/>
      </tp>
      <tp t="s">
        <v>#N/A N/A</v>
        <stp/>
        <stp>BDP|10049163841432912032</stp>
        <tr r="M477" s="2"/>
      </tp>
      <tp t="s">
        <v>#N/A N/A</v>
        <stp/>
        <stp>BDP|12703186591148341503</stp>
        <tr r="H536" s="2"/>
      </tp>
      <tp t="s">
        <v>#N/A N/A</v>
        <stp/>
        <stp>BDP|17939666903187215132</stp>
        <tr r="E1979" s="2"/>
      </tp>
      <tp t="s">
        <v>#N/A N/A</v>
        <stp/>
        <stp>BDP|17908892600611911942</stp>
        <tr r="G610" s="2"/>
      </tp>
      <tp t="s">
        <v>#N/A N/A</v>
        <stp/>
        <stp>BDP|17694113793038057098</stp>
        <tr r="N2043" s="2"/>
      </tp>
      <tp t="s">
        <v>#N/A N/A</v>
        <stp/>
        <stp>BDP|10852320802592275670</stp>
        <tr r="P127" s="2"/>
      </tp>
      <tp t="s">
        <v>#N/A N/A</v>
        <stp/>
        <stp>BDP|12903718514213746069</stp>
        <tr r="H1759" s="2"/>
      </tp>
      <tp t="s">
        <v>#N/A N/A</v>
        <stp/>
        <stp>BDP|13025242172622985329</stp>
        <tr r="A300" s="2"/>
      </tp>
      <tp t="s">
        <v>#N/A N/A</v>
        <stp/>
        <stp>BDP|14725076015035834700</stp>
        <tr r="T47" s="2"/>
      </tp>
      <tp t="s">
        <v>#N/A N/A</v>
        <stp/>
        <stp>BDP|15733787600534248103</stp>
        <tr r="S1673" s="2"/>
      </tp>
      <tp t="s">
        <v>#N/A N/A</v>
        <stp/>
        <stp>BDP|15353411312832894553</stp>
        <tr r="D1407" s="2"/>
      </tp>
      <tp t="s">
        <v>#N/A N/A</v>
        <stp/>
        <stp>BDP|15606970734149835104</stp>
        <tr r="K862" s="2"/>
      </tp>
      <tp t="s">
        <v>#N/A N/A</v>
        <stp/>
        <stp>BDP|16905711036074240113</stp>
        <tr r="F1685" s="2"/>
      </tp>
      <tp t="s">
        <v>#N/A N/A</v>
        <stp/>
        <stp>BDP|10559425722037843601</stp>
        <tr r="F48" s="2"/>
      </tp>
      <tp t="s">
        <v>#N/A N/A</v>
        <stp/>
        <stp>BDP|14476527109494197238</stp>
        <tr r="S355" s="2"/>
      </tp>
      <tp t="s">
        <v>#N/A N/A</v>
        <stp/>
        <stp>BDP|14763804359127776941</stp>
        <tr r="A1069" s="2"/>
      </tp>
      <tp t="s">
        <v>#N/A N/A</v>
        <stp/>
        <stp>BDS|11332592613281101367</stp>
        <tr r="I1786" s="2"/>
      </tp>
      <tp t="s">
        <v>#N/A N/A</v>
        <stp/>
        <stp>BDP|15919139247443706478</stp>
        <tr r="P1691" s="2"/>
      </tp>
      <tp t="s">
        <v>#N/A N/A</v>
        <stp/>
        <stp>BDP|12641393615396655115</stp>
        <tr r="O1031" s="2"/>
      </tp>
      <tp t="s">
        <v>#N/A N/A</v>
        <stp/>
        <stp>BDP|13120181780339525416</stp>
        <tr r="T1851" s="2"/>
      </tp>
      <tp t="s">
        <v>#N/A N/A</v>
        <stp/>
        <stp>BDP|13887898047441862936</stp>
        <tr r="A180" s="2"/>
      </tp>
      <tp t="s">
        <v>#N/A N/A</v>
        <stp/>
        <stp>BDP|16539442956799254998</stp>
        <tr r="P1918" s="2"/>
      </tp>
      <tp t="s">
        <v>#N/A N/A</v>
        <stp/>
        <stp>BDP|10854416578003487790</stp>
        <tr r="P203" s="2"/>
      </tp>
      <tp t="s">
        <v>#N/A N/A</v>
        <stp/>
        <stp>BDP|14100888543479562631</stp>
        <tr r="S523" s="2"/>
      </tp>
      <tp t="s">
        <v>#N/A N/A</v>
        <stp/>
        <stp>BDP|14708582925262124679</stp>
        <tr r="Q262" s="2"/>
      </tp>
      <tp t="s">
        <v>#N/A N/A</v>
        <stp/>
        <stp>BDP|17091778686967448896</stp>
        <tr r="S172" s="2"/>
      </tp>
      <tp t="s">
        <v>#N/A N/A</v>
        <stp/>
        <stp>BDP|10994002723324234141</stp>
        <tr r="C1473" s="2"/>
      </tp>
      <tp t="s">
        <v>#N/A N/A</v>
        <stp/>
        <stp>BDP|10024603970882928452</stp>
        <tr r="C1316" s="2"/>
      </tp>
      <tp t="s">
        <v>#N/A N/A</v>
        <stp/>
        <stp>BDP|13128411540103892742</stp>
        <tr r="A123" s="2"/>
      </tp>
      <tp t="s">
        <v>#N/A N/A</v>
        <stp/>
        <stp>BDP|15510213928855243727</stp>
        <tr r="J1054" s="2"/>
      </tp>
      <tp t="s">
        <v>#N/A N/A</v>
        <stp/>
        <stp>BDP|14649595243771882387</stp>
        <tr r="F1692" s="2"/>
      </tp>
      <tp t="s">
        <v>#N/A N/A</v>
        <stp/>
        <stp>BDP|10687686822774231723</stp>
        <tr r="K1385" s="2"/>
      </tp>
      <tp t="s">
        <v>#N/A N/A</v>
        <stp/>
        <stp>BDP|12091704942807883164</stp>
        <tr r="J714" s="2"/>
      </tp>
      <tp t="s">
        <v>#N/A N/A</v>
        <stp/>
        <stp>BDP|15028631212464976149</stp>
        <tr r="T556" s="2"/>
      </tp>
      <tp t="s">
        <v>#N/A N/A</v>
        <stp/>
        <stp>BDP|16286480051339041976</stp>
        <tr r="F1095" s="2"/>
      </tp>
      <tp t="s">
        <v>#N/A N/A</v>
        <stp/>
        <stp>BDP|11645755041412843768</stp>
        <tr r="G1500" s="2"/>
      </tp>
      <tp t="s">
        <v>#N/A N/A</v>
        <stp/>
        <stp>BDP|12913707965861253523</stp>
        <tr r="S785" s="2"/>
      </tp>
      <tp t="s">
        <v>#N/A N/A</v>
        <stp/>
        <stp>BDP|13131500555152029688</stp>
        <tr r="K1218" s="2"/>
      </tp>
      <tp t="s">
        <v>#N/A N/A</v>
        <stp/>
        <stp>BDP|13717021879221341239</stp>
        <tr r="N2141" s="2"/>
      </tp>
      <tp t="s">
        <v>#N/A N/A</v>
        <stp/>
        <stp>BDP|14481604518667138316</stp>
        <tr r="N1078" s="2"/>
      </tp>
      <tp t="s">
        <v>#N/A N/A</v>
        <stp/>
        <stp>BDP|16132093811801260171</stp>
        <tr r="O2221" s="2"/>
      </tp>
      <tp t="s">
        <v>#N/A N/A</v>
        <stp/>
        <stp>BDP|12189592003748528820</stp>
        <tr r="J1424" s="2"/>
      </tp>
      <tp t="s">
        <v>#N/A N/A</v>
        <stp/>
        <stp>BDP|11935658047854642018</stp>
        <tr r="P900" s="2"/>
      </tp>
      <tp t="s">
        <v>#N/A N/A</v>
        <stp/>
        <stp>BDP|14366839839460275872</stp>
        <tr r="E689" s="2"/>
      </tp>
      <tp t="s">
        <v>#N/A N/A</v>
        <stp/>
        <stp>BDP|12623694605391525239</stp>
        <tr r="J1276" s="2"/>
      </tp>
      <tp t="s">
        <v>#N/A N/A</v>
        <stp/>
        <stp>BDS|12358694627224554578</stp>
        <tr r="I2232" s="2"/>
      </tp>
      <tp t="s">
        <v>#N/A N/A</v>
        <stp/>
        <stp>BDP|17863750466137790600</stp>
        <tr r="J794" s="2"/>
      </tp>
      <tp t="s">
        <v>#N/A N/A</v>
        <stp/>
        <stp>BDP|16948438910674501034</stp>
        <tr r="N121" s="2"/>
      </tp>
      <tp t="s">
        <v>#N/A N/A</v>
        <stp/>
        <stp>BDP|17462273588529392347</stp>
        <tr r="N1257" s="2"/>
      </tp>
      <tp t="s">
        <v>#N/A N/A</v>
        <stp/>
        <stp>BDP|13634091684709593522</stp>
        <tr r="O42" s="2"/>
      </tp>
      <tp t="s">
        <v>#N/A N/A</v>
        <stp/>
        <stp>BDP|17925097682450648888</stp>
        <tr r="J963" s="2"/>
      </tp>
      <tp t="s">
        <v>#N/A N/A</v>
        <stp/>
        <stp>BDP|11668186075813361343</stp>
        <tr r="Q464" s="2"/>
      </tp>
      <tp t="s">
        <v>#N/A N/A</v>
        <stp/>
        <stp>BDP|16552313869344486050</stp>
        <tr r="M857" s="2"/>
      </tp>
      <tp t="s">
        <v>#N/A N/A</v>
        <stp/>
        <stp>BDP|17958287758540093753</stp>
        <tr r="G1254" s="2"/>
      </tp>
      <tp t="s">
        <v>#N/A N/A</v>
        <stp/>
        <stp>BDP|17056950193542289285</stp>
        <tr r="A566" s="2"/>
      </tp>
      <tp t="s">
        <v>#N/A N/A</v>
        <stp/>
        <stp>BDP|16597553866714328692</stp>
        <tr r="N1802" s="2"/>
      </tp>
      <tp t="s">
        <v>#N/A N/A</v>
        <stp/>
        <stp>BDP|16660091337614754639</stp>
        <tr r="K601" s="2"/>
      </tp>
      <tp t="s">
        <v>#N/A N/A</v>
        <stp/>
        <stp>BDP|16807087111414571489</stp>
        <tr r="D2071" s="2"/>
      </tp>
      <tp t="s">
        <v>#N/A N/A</v>
        <stp/>
        <stp>BDP|15210675058921500040</stp>
        <tr r="N220" s="2"/>
      </tp>
      <tp t="s">
        <v>#N/A N/A</v>
        <stp/>
        <stp>BDP|17180300204437148484</stp>
        <tr r="A1241" s="2"/>
      </tp>
      <tp t="s">
        <v>#N/A N/A</v>
        <stp/>
        <stp>BDP|14211587170188722919</stp>
        <tr r="T1595" s="2"/>
      </tp>
      <tp t="s">
        <v>#N/A N/A</v>
        <stp/>
        <stp>BDP|15393188840437612018</stp>
        <tr r="C584" s="2"/>
      </tp>
      <tp t="s">
        <v>#N/A N/A</v>
        <stp/>
        <stp>BDP|15745430618100517758</stp>
        <tr r="O1579" s="2"/>
      </tp>
      <tp t="s">
        <v>#N/A N/A</v>
        <stp/>
        <stp>BDP|14910409265595297427</stp>
        <tr r="G204" s="2"/>
      </tp>
      <tp t="s">
        <v>#N/A N/A</v>
        <stp/>
        <stp>BDP|14136015903556775587</stp>
        <tr r="S1517" s="2"/>
      </tp>
      <tp t="s">
        <v>#N/A N/A</v>
        <stp/>
        <stp>BDP|15384020293893915872</stp>
        <tr r="S2101" s="2"/>
      </tp>
      <tp t="s">
        <v>#N/A N/A</v>
        <stp/>
        <stp>BDP|15398500546970000393</stp>
        <tr r="R717" s="2"/>
      </tp>
      <tp t="s">
        <v>#N/A N/A</v>
        <stp/>
        <stp>BDP|17455984646114678904</stp>
        <tr r="E350" s="2"/>
      </tp>
      <tp t="s">
        <v>#N/A N/A</v>
        <stp/>
        <stp>BDP|16311402243561856040</stp>
        <tr r="N322" s="2"/>
      </tp>
      <tp t="s">
        <v>#N/A N/A</v>
        <stp/>
        <stp>BDP|11319995286271432647</stp>
        <tr r="J836" s="2"/>
      </tp>
      <tp t="s">
        <v>#N/A N/A</v>
        <stp/>
        <stp>BDS|17358440468231924397</stp>
        <tr r="I1301" s="2"/>
      </tp>
      <tp t="s">
        <v>#N/A N/A</v>
        <stp/>
        <stp>BDP|12013778012687091494</stp>
        <tr r="J246" s="2"/>
      </tp>
      <tp t="s">
        <v>#N/A N/A</v>
        <stp/>
        <stp>BDP|16419085461605354226</stp>
        <tr r="M353" s="2"/>
      </tp>
      <tp t="s">
        <v>#N/A N/A</v>
        <stp/>
        <stp>BDP|11773323457567859765</stp>
        <tr r="R303" s="2"/>
      </tp>
      <tp t="s">
        <v>#N/A N/A</v>
        <stp/>
        <stp>BDP|12713512137927898452</stp>
        <tr r="P781" s="2"/>
      </tp>
      <tp t="s">
        <v>#N/A N/A</v>
        <stp/>
        <stp>BDP|15698513631614897024</stp>
        <tr r="D1339" s="2"/>
      </tp>
      <tp t="s">
        <v>#N/A N/A</v>
        <stp/>
        <stp>BDP|14333140067642553691</stp>
        <tr r="T1503" s="2"/>
      </tp>
      <tp t="s">
        <v>#N/A N/A</v>
        <stp/>
        <stp>BDP|15807134395658300213</stp>
        <tr r="A1408" s="2"/>
      </tp>
      <tp t="s">
        <v>#N/A N/A</v>
        <stp/>
        <stp>BDP|10390599559797740083</stp>
        <tr r="M417" s="2"/>
      </tp>
      <tp t="s">
        <v>#N/A N/A</v>
        <stp/>
        <stp>BDS|12496293861241405078</stp>
        <tr r="I1202" s="2"/>
      </tp>
      <tp t="s">
        <v>#N/A N/A</v>
        <stp/>
        <stp>BDP|12438963505015989928</stp>
        <tr r="J140" s="2"/>
      </tp>
      <tp t="s">
        <v>#N/A N/A</v>
        <stp/>
        <stp>BDP|13596000902482292694</stp>
        <tr r="P1607" s="2"/>
      </tp>
      <tp t="s">
        <v>#N/A N/A</v>
        <stp/>
        <stp>BDP|15513000039360614163</stp>
        <tr r="S1607" s="2"/>
      </tp>
      <tp t="s">
        <v>#N/A N/A</v>
        <stp/>
        <stp>BDP|17070560288269517474</stp>
        <tr r="G214" s="2"/>
      </tp>
      <tp t="s">
        <v>#N/A N/A</v>
        <stp/>
        <stp>BDP|12531640895168951210</stp>
        <tr r="N1328" s="2"/>
      </tp>
      <tp t="s">
        <v>#N/A N/A</v>
        <stp/>
        <stp>BDP|15081405243974621691</stp>
        <tr r="N778" s="2"/>
      </tp>
      <tp t="s">
        <v>#N/A N/A</v>
        <stp/>
        <stp>BDP|11220188212447317178</stp>
        <tr r="D1948" s="2"/>
      </tp>
      <tp t="s">
        <v>#N/A N/A</v>
        <stp/>
        <stp>BDP|14487005060293911618</stp>
        <tr r="M2252" s="2"/>
      </tp>
      <tp t="s">
        <v>#N/A N/A</v>
        <stp/>
        <stp>BDP|16857256472180324406</stp>
        <tr r="R2111" s="2"/>
      </tp>
      <tp t="s">
        <v>#N/A N/A</v>
        <stp/>
        <stp>BDP|16225298305585395610</stp>
        <tr r="H795" s="2"/>
      </tp>
      <tp t="s">
        <v>#N/A N/A</v>
        <stp/>
        <stp>BDP|16469842556135854926</stp>
        <tr r="D1294" s="2"/>
      </tp>
      <tp t="s">
        <v>#N/A N/A</v>
        <stp/>
        <stp>BDP|11341703543042595798</stp>
        <tr r="P1929" s="2"/>
      </tp>
      <tp t="s">
        <v>#N/A N/A</v>
        <stp/>
        <stp>BDP|16814016502169772807</stp>
        <tr r="N1191" s="2"/>
      </tp>
      <tp t="s">
        <v>#N/A N/A</v>
        <stp/>
        <stp>BDP|12354373338174814180</stp>
        <tr r="O2063" s="2"/>
      </tp>
      <tp t="s">
        <v>#N/A N/A</v>
        <stp/>
        <stp>BDP|10267060733417964321</stp>
        <tr r="P637" s="2"/>
      </tp>
      <tp t="s">
        <v>#N/A N/A</v>
        <stp/>
        <stp>BDP|10149784906008616854</stp>
        <tr r="T2002" s="2"/>
      </tp>
      <tp t="s">
        <v>#N/A N/A</v>
        <stp/>
        <stp>BDP|10479205474997477589</stp>
        <tr r="C1727" s="2"/>
      </tp>
      <tp t="s">
        <v>#N/A N/A</v>
        <stp/>
        <stp>BDP|10973935787523040517</stp>
        <tr r="J1794" s="2"/>
      </tp>
      <tp t="s">
        <v>#N/A N/A</v>
        <stp/>
        <stp>BDP|11497128279006705645</stp>
        <tr r="N1363" s="2"/>
      </tp>
      <tp t="s">
        <v>#N/A N/A</v>
        <stp/>
        <stp>BDP|12965818843761449839</stp>
        <tr r="H1267" s="2"/>
      </tp>
      <tp t="s">
        <v>#N/A N/A</v>
        <stp/>
        <stp>BDP|14369848177075742981</stp>
        <tr r="M2069" s="2"/>
      </tp>
      <tp t="s">
        <v>#N/A N/A</v>
        <stp/>
        <stp>BDP|16858774401335611378</stp>
        <tr r="G1087" s="2"/>
      </tp>
      <tp t="s">
        <v>#N/A N/A</v>
        <stp/>
        <stp>BDP|17019271068266501259</stp>
        <tr r="N1858" s="2"/>
      </tp>
      <tp t="s">
        <v>#N/A N/A</v>
        <stp/>
        <stp>BDP|18246485614832659877</stp>
        <tr r="E833" s="2"/>
      </tp>
      <tp t="s">
        <v>#N/A N/A</v>
        <stp/>
        <stp>BDP|10192369728824522251</stp>
        <tr r="K632" s="2"/>
      </tp>
      <tp t="s">
        <v>#N/A N/A</v>
        <stp/>
        <stp>BDP|17482077421635560784</stp>
        <tr r="G2034" s="2"/>
      </tp>
      <tp t="s">
        <v>#N/A N/A</v>
        <stp/>
        <stp>BDP|13050550372840876601</stp>
        <tr r="J1353" s="2"/>
      </tp>
      <tp t="s">
        <v>#N/A N/A</v>
        <stp/>
        <stp>BDP|13282988994406469259</stp>
        <tr r="A1923" s="2"/>
      </tp>
      <tp t="s">
        <v>#N/A N/A</v>
        <stp/>
        <stp>BDP|13781631168470655453</stp>
        <tr r="K1035" s="2"/>
      </tp>
      <tp t="s">
        <v>#N/A N/A</v>
        <stp/>
        <stp>BDP|16136588304561701555</stp>
        <tr r="M74" s="2"/>
      </tp>
      <tp t="s">
        <v>#N/A N/A</v>
        <stp/>
        <stp>BDP|17901308577923884792</stp>
        <tr r="N964" s="2"/>
      </tp>
      <tp t="s">
        <v>#N/A N/A</v>
        <stp/>
        <stp>BDP|15152780708131979479</stp>
        <tr r="S247" s="2"/>
      </tp>
      <tp t="s">
        <v>#N/A N/A</v>
        <stp/>
        <stp>BDP|12584997904174410835</stp>
        <tr r="Q1478" s="2"/>
      </tp>
      <tp t="s">
        <v>#N/A N/A</v>
        <stp/>
        <stp>BDP|11908069743762568062</stp>
        <tr r="H1519" s="2"/>
      </tp>
      <tp t="s">
        <v>#N/A N/A</v>
        <stp/>
        <stp>BDP|13630734860795320098</stp>
        <tr r="M162" s="2"/>
      </tp>
      <tp t="s">
        <v>#N/A N/A</v>
        <stp/>
        <stp>BDP|10948919010099061671</stp>
        <tr r="T1944" s="2"/>
      </tp>
      <tp t="s">
        <v>#N/A N/A</v>
        <stp/>
        <stp>BDP|17095423353614878562</stp>
        <tr r="F839" s="2"/>
      </tp>
      <tp t="s">
        <v>#N/A N/A</v>
        <stp/>
        <stp>BDP|17321501338991161755</stp>
        <tr r="E1305" s="2"/>
      </tp>
      <tp t="s">
        <v>#N/A N/A</v>
        <stp/>
        <stp>BDP|13420989010728513464</stp>
        <tr r="Q984" s="2"/>
      </tp>
      <tp t="s">
        <v>#N/A N/A</v>
        <stp/>
        <stp>BDP|18040805460854953565</stp>
        <tr r="C523" s="2"/>
      </tp>
      <tp t="s">
        <v>#N/A N/A</v>
        <stp/>
        <stp>BDP|17400978200660534995</stp>
        <tr r="K1725" s="2"/>
      </tp>
      <tp t="s">
        <v>#N/A N/A</v>
        <stp/>
        <stp>BDP|16197090535634003627</stp>
        <tr r="M256" s="2"/>
      </tp>
      <tp t="s">
        <v>#N/A N/A</v>
        <stp/>
        <stp>BDP|12932476597019589132</stp>
        <tr r="D124" s="2"/>
      </tp>
      <tp t="s">
        <v>#N/A N/A</v>
        <stp/>
        <stp>BDP|18250387344729639179</stp>
        <tr r="E783" s="2"/>
      </tp>
      <tp t="s">
        <v>#N/A N/A</v>
        <stp/>
        <stp>BDP|15256618337336814130</stp>
        <tr r="K1102" s="2"/>
      </tp>
      <tp t="s">
        <v>#N/A N/A</v>
        <stp/>
        <stp>BDP|13697750512080947273</stp>
        <tr r="Q237" s="2"/>
      </tp>
      <tp t="s">
        <v>#N/A N/A</v>
        <stp/>
        <stp>BDP|18378137749199177378</stp>
        <tr r="Q842" s="2"/>
      </tp>
      <tp t="s">
        <v>#N/A N/A</v>
        <stp/>
        <stp>BDP|10617580617966147572</stp>
        <tr r="C1145" s="2"/>
      </tp>
      <tp t="s">
        <v>#N/A N/A</v>
        <stp/>
        <stp>BDP|11582264857114267596</stp>
        <tr r="H2026" s="2"/>
      </tp>
      <tp t="s">
        <v>#N/A N/A</v>
        <stp/>
        <stp>BDP|14523670654691112188</stp>
        <tr r="T1765" s="2"/>
      </tp>
      <tp t="s">
        <v>#N/A N/A</v>
        <stp/>
        <stp>BDP|12143583925826320400</stp>
        <tr r="K96" s="2"/>
      </tp>
      <tp t="s">
        <v>#N/A N/A</v>
        <stp/>
        <stp>BDP|17629537437202588482</stp>
        <tr r="K296" s="2"/>
      </tp>
      <tp t="s">
        <v>#N/A N/A</v>
        <stp/>
        <stp>BDP|15402193836285556519</stp>
        <tr r="N1536" s="2"/>
      </tp>
      <tp t="s">
        <v>#N/A N/A</v>
        <stp/>
        <stp>BDP|16257095916843346310</stp>
        <tr r="Q2036" s="2"/>
      </tp>
      <tp t="s">
        <v>#N/A N/A</v>
        <stp/>
        <stp>BDP|10433052336712888602</stp>
        <tr r="G1661" s="2"/>
      </tp>
      <tp t="s">
        <v>#N/A N/A</v>
        <stp/>
        <stp>BDP|15666883025999225162</stp>
        <tr r="P962" s="2"/>
      </tp>
      <tp t="s">
        <v>#N/A N/A</v>
        <stp/>
        <stp>BDP|12932997588871534523</stp>
        <tr r="O237" s="2"/>
      </tp>
      <tp t="s">
        <v>#N/A N/A</v>
        <stp/>
        <stp>BDP|16314650478345374529</stp>
        <tr r="T229" s="2"/>
      </tp>
      <tp t="s">
        <v>#N/A N/A</v>
        <stp/>
        <stp>BDP|14387053520387194682</stp>
        <tr r="E1871" s="2"/>
      </tp>
      <tp t="s">
        <v>#N/A N/A</v>
        <stp/>
        <stp>BDP|12605589874837264074</stp>
        <tr r="P1097" s="2"/>
      </tp>
      <tp t="s">
        <v>#N/A N/A</v>
        <stp/>
        <stp>BDP|10011416348763403423</stp>
        <tr r="C1062" s="2"/>
      </tp>
      <tp t="s">
        <v>#N/A N/A</v>
        <stp/>
        <stp>BDP|14744362251542783788</stp>
        <tr r="D55" s="2"/>
      </tp>
      <tp t="s">
        <v>#N/A N/A</v>
        <stp/>
        <stp>BDP|16518805973799089798</stp>
        <tr r="N2119" s="2"/>
      </tp>
      <tp t="s">
        <v>#N/A N/A</v>
        <stp/>
        <stp>BDP|10008411565307940224</stp>
        <tr r="H447" s="2"/>
      </tp>
      <tp t="s">
        <v>#N/A N/A</v>
        <stp/>
        <stp>BDP|15995520063617681615</stp>
        <tr r="F257" s="2"/>
      </tp>
      <tp t="s">
        <v>#N/A N/A</v>
        <stp/>
        <stp>BDP|17710881093282505363</stp>
        <tr r="D1885" s="2"/>
      </tp>
      <tp t="s">
        <v>#N/A N/A</v>
        <stp/>
        <stp>BDP|15229630349276407631</stp>
        <tr r="R1986" s="2"/>
      </tp>
      <tp t="s">
        <v>#N/A N/A</v>
        <stp/>
        <stp>BDP|14225291222342740115</stp>
        <tr r="C1988" s="2"/>
      </tp>
      <tp t="s">
        <v>#N/A N/A</v>
        <stp/>
        <stp>BDP|13430172008236241366</stp>
        <tr r="E1151" s="2"/>
      </tp>
      <tp t="s">
        <v>#N/A N/A</v>
        <stp/>
        <stp>BDP|13506733808452266131</stp>
        <tr r="R152" s="2"/>
      </tp>
      <tp t="s">
        <v>#N/A N/A</v>
        <stp/>
        <stp>BDP|13130934278683313960</stp>
        <tr r="O1511" s="2"/>
      </tp>
      <tp t="s">
        <v>#N/A N/A</v>
        <stp/>
        <stp>BDP|14547554049667128574</stp>
        <tr r="S1164" s="2"/>
      </tp>
      <tp t="s">
        <v>#N/A N/A</v>
        <stp/>
        <stp>BDP|16521339508354119609</stp>
        <tr r="S442" s="2"/>
      </tp>
      <tp t="s">
        <v>#N/A N/A</v>
        <stp/>
        <stp>BDP|10441350497374967901</stp>
        <tr r="M606" s="2"/>
      </tp>
      <tp t="s">
        <v>#N/A N/A</v>
        <stp/>
        <stp>BDP|10589098834424130067</stp>
        <tr r="K1116" s="2"/>
      </tp>
      <tp t="s">
        <v>#N/A N/A</v>
        <stp/>
        <stp>BDP|12858745832190346122</stp>
        <tr r="Q1951" s="2"/>
      </tp>
      <tp t="s">
        <v>#N/A N/A</v>
        <stp/>
        <stp>BDP|15847370521294775766</stp>
        <tr r="M1843" s="2"/>
      </tp>
      <tp t="s">
        <v>#N/A N/A</v>
        <stp/>
        <stp>BDP|11732734071463801524</stp>
        <tr r="C2104" s="2"/>
      </tp>
      <tp t="s">
        <v>#N/A N/A</v>
        <stp/>
        <stp>BDP|12244104809347206365</stp>
        <tr r="F2007" s="2"/>
      </tp>
      <tp t="s">
        <v>#N/A N/A</v>
        <stp/>
        <stp>BDP|17081017155666397386</stp>
        <tr r="F2006" s="2"/>
      </tp>
      <tp t="s">
        <v>#N/A N/A</v>
        <stp/>
        <stp>BDP|18234484217953482960</stp>
        <tr r="S150" s="2"/>
      </tp>
      <tp t="s">
        <v>#N/A N/A</v>
        <stp/>
        <stp>BDP|14246412875250114080</stp>
        <tr r="M2106" s="2"/>
      </tp>
      <tp t="s">
        <v>#N/A N/A</v>
        <stp/>
        <stp>BDP|10038312710457781298</stp>
        <tr r="T901" s="2"/>
      </tp>
      <tp t="s">
        <v>#N/A N/A</v>
        <stp/>
        <stp>BDP|10852315835355245212</stp>
        <tr r="E1508" s="2"/>
      </tp>
      <tp t="s">
        <v>#N/A N/A</v>
        <stp/>
        <stp>BDP|14256408639736086247</stp>
        <tr r="S1437" s="2"/>
      </tp>
      <tp t="s">
        <v>#N/A N/A</v>
        <stp/>
        <stp>BDS|12326837689731075450</stp>
        <tr r="I767" s="2"/>
      </tp>
      <tp t="s">
        <v>#N/A N/A</v>
        <stp/>
        <stp>BDP|15770723958265535571</stp>
        <tr r="D347" s="2"/>
      </tp>
      <tp t="s">
        <v>#N/A N/A</v>
        <stp/>
        <stp>BDP|16545173735644103795</stp>
        <tr r="Q315" s="2"/>
      </tp>
      <tp t="s">
        <v>#N/A N/A</v>
        <stp/>
        <stp>BDP|10831162732107302204</stp>
        <tr r="J1698" s="2"/>
      </tp>
      <tp t="s">
        <v>#N/A N/A</v>
        <stp/>
        <stp>BDP|17091638549736603432</stp>
        <tr r="D1496" s="2"/>
      </tp>
      <tp t="s">
        <v>#N/A N/A</v>
        <stp/>
        <stp>BDP|11857153118010871625</stp>
        <tr r="P1533" s="2"/>
      </tp>
      <tp t="s">
        <v>#N/A N/A</v>
        <stp/>
        <stp>BDP|11959646356533718633</stp>
        <tr r="D378" s="2"/>
      </tp>
      <tp t="s">
        <v>#N/A N/A</v>
        <stp/>
        <stp>BDP|10813837059559856352</stp>
        <tr r="J909" s="2"/>
      </tp>
      <tp t="s">
        <v>#N/A N/A</v>
        <stp/>
        <stp>BDP|14391356943406975227</stp>
        <tr r="T422" s="2"/>
      </tp>
      <tp t="s">
        <v>#N/A N/A</v>
        <stp/>
        <stp>BDP|12962514167640899696</stp>
        <tr r="O377" s="2"/>
      </tp>
      <tp t="s">
        <v>#N/A N/A</v>
        <stp/>
        <stp>BDP|14866997917529087287</stp>
        <tr r="S2145" s="2"/>
      </tp>
      <tp t="s">
        <v>#N/A N/A</v>
        <stp/>
        <stp>BDP|13869004219767969268</stp>
        <tr r="H487" s="2"/>
      </tp>
      <tp t="s">
        <v>#N/A N/A</v>
        <stp/>
        <stp>BDP|14970439791158556601</stp>
        <tr r="K1033" s="2"/>
      </tp>
      <tp t="s">
        <v>#N/A N/A</v>
        <stp/>
        <stp>BDP|14018335693890760991</stp>
        <tr r="T1334" s="2"/>
      </tp>
      <tp t="s">
        <v>#N/A N/A</v>
        <stp/>
        <stp>BDP|17883350965497704217</stp>
        <tr r="C2146" s="2"/>
      </tp>
      <tp t="s">
        <v>#N/A N/A</v>
        <stp/>
        <stp>BDP|12759089426316151160</stp>
        <tr r="R718" s="2"/>
      </tp>
      <tp t="s">
        <v>#N/A N/A</v>
        <stp/>
        <stp>BDP|12895770847416521035</stp>
        <tr r="H857" s="2"/>
      </tp>
      <tp t="s">
        <v>#N/A N/A</v>
        <stp/>
        <stp>BDP|13625007919734693171</stp>
        <tr r="A978" s="2"/>
      </tp>
      <tp t="s">
        <v>#N/A N/A</v>
        <stp/>
        <stp>BDP|15733147228299283874</stp>
        <tr r="P2063" s="2"/>
      </tp>
      <tp t="s">
        <v>#N/A N/A</v>
        <stp/>
        <stp>BDP|12946469723642340115</stp>
        <tr r="M533" s="2"/>
      </tp>
      <tp t="s">
        <v>#N/A N/A</v>
        <stp/>
        <stp>BDP|14196093764555134036</stp>
        <tr r="S1911" s="2"/>
      </tp>
      <tp t="s">
        <v>#N/A N/A</v>
        <stp/>
        <stp>BDP|14403995334718182160</stp>
        <tr r="P1588" s="2"/>
      </tp>
      <tp t="s">
        <v>#N/A N/A</v>
        <stp/>
        <stp>BDP|16993855091761726143</stp>
        <tr r="Q1322" s="2"/>
      </tp>
      <tp t="s">
        <v>#N/A N/A</v>
        <stp/>
        <stp>BDP|14632089550681847781</stp>
        <tr r="S491" s="2"/>
      </tp>
      <tp t="s">
        <v>#N/A N/A</v>
        <stp/>
        <stp>BDP|12914298267292155387</stp>
        <tr r="N552" s="2"/>
      </tp>
      <tp t="s">
        <v>#N/A N/A</v>
        <stp/>
        <stp>BDP|16484800725098930362</stp>
        <tr r="C1734" s="2"/>
      </tp>
      <tp t="s">
        <v>#N/A N/A</v>
        <stp/>
        <stp>BDP|15146007469846767214</stp>
        <tr r="H829" s="2"/>
      </tp>
      <tp t="s">
        <v>#N/A N/A</v>
        <stp/>
        <stp>BDP|17939720206954114323</stp>
        <tr r="A2114" s="2"/>
      </tp>
      <tp t="s">
        <v>#N/A N/A</v>
        <stp/>
        <stp>BDP|14030787442783029349</stp>
        <tr r="R1508" s="2"/>
      </tp>
      <tp t="s">
        <v>#N/A N/A</v>
        <stp/>
        <stp>BDP|14940806681907703413</stp>
        <tr r="D42" s="2"/>
      </tp>
      <tp t="s">
        <v>#N/A N/A</v>
        <stp/>
        <stp>BDP|16871072953107148338</stp>
        <tr r="T2195" s="2"/>
      </tp>
      <tp t="s">
        <v>#N/A N/A</v>
        <stp/>
        <stp>BDP|13894615235111578075</stp>
        <tr r="C987" s="2"/>
      </tp>
      <tp t="s">
        <v>#N/A N/A</v>
        <stp/>
        <stp>BDP|12218282329043951649</stp>
        <tr r="P1536" s="2"/>
      </tp>
      <tp t="s">
        <v>#N/A N/A</v>
        <stp/>
        <stp>BDP|13325636975640396584</stp>
        <tr r="D933" s="2"/>
      </tp>
      <tp t="s">
        <v>#N/A N/A</v>
        <stp/>
        <stp>BDP|15019229205477964705</stp>
        <tr r="J389" s="2"/>
      </tp>
      <tp t="s">
        <v>#N/A N/A</v>
        <stp/>
        <stp>BDP|17880078563842664441</stp>
        <tr r="S1874" s="2"/>
      </tp>
      <tp t="s">
        <v>#N/A N/A</v>
        <stp/>
        <stp>BDP|14174367808061969189</stp>
        <tr r="T1454" s="2"/>
      </tp>
      <tp t="s">
        <v>#N/A N/A</v>
        <stp/>
        <stp>BDP|10439778859332670720</stp>
        <tr r="E908" s="2"/>
      </tp>
      <tp t="s">
        <v>#N/A N/A</v>
        <stp/>
        <stp>BDP|15377171047805858255</stp>
        <tr r="G646" s="2"/>
      </tp>
      <tp t="s">
        <v>#N/A N/A</v>
        <stp/>
        <stp>BDP|15992073834063113255</stp>
        <tr r="N1677" s="2"/>
      </tp>
      <tp t="s">
        <v>#N/A N/A</v>
        <stp/>
        <stp>BDP|14410160254853179490</stp>
        <tr r="M1604" s="2"/>
      </tp>
      <tp t="s">
        <v>#N/A N/A</v>
        <stp/>
        <stp>BDP|16564282923763950298</stp>
        <tr r="O1746" s="2"/>
      </tp>
      <tp t="s">
        <v>#N/A N/A</v>
        <stp/>
        <stp>BDP|10748012575827968746</stp>
        <tr r="G1411" s="2"/>
      </tp>
      <tp t="s">
        <v>#N/A N/A</v>
        <stp/>
        <stp>BDP|11224272434870731785</stp>
        <tr r="T466" s="2"/>
      </tp>
      <tp t="s">
        <v>#N/A N/A</v>
        <stp/>
        <stp>BDP|11390530765574316183</stp>
        <tr r="P1258" s="2"/>
      </tp>
      <tp t="s">
        <v>#N/A N/A</v>
        <stp/>
        <stp>BDP|12974692223032818359</stp>
        <tr r="R157" s="2"/>
      </tp>
      <tp t="s">
        <v>#N/A N/A</v>
        <stp/>
        <stp>BDP|17978558282548621565</stp>
        <tr r="J1237" s="2"/>
      </tp>
      <tp t="s">
        <v>#N/A N/A</v>
        <stp/>
        <stp>BDP|16052544299999207415</stp>
        <tr r="T9" s="2"/>
      </tp>
      <tp t="s">
        <v>#N/A N/A</v>
        <stp/>
        <stp>BDP|13515098458306309797</stp>
        <tr r="D1934" s="2"/>
      </tp>
      <tp t="s">
        <v>#N/A N/A</v>
        <stp/>
        <stp>BDP|14008026217144936629</stp>
        <tr r="E370" s="2"/>
      </tp>
      <tp t="s">
        <v>#N/A N/A</v>
        <stp/>
        <stp>BDP|14768184620813827395</stp>
        <tr r="G1185" s="2"/>
      </tp>
      <tp t="s">
        <v>#N/A N/A</v>
        <stp/>
        <stp>BDP|14435932684770424299</stp>
        <tr r="M1998" s="2"/>
      </tp>
      <tp t="s">
        <v>#N/A N/A</v>
        <stp/>
        <stp>BDP|12992827628646504984</stp>
        <tr r="T485" s="2"/>
      </tp>
      <tp t="s">
        <v>#N/A N/A</v>
        <stp/>
        <stp>BDP|14363113232012914378</stp>
        <tr r="R2186" s="2"/>
      </tp>
      <tp t="s">
        <v>#N/A N/A</v>
        <stp/>
        <stp>BDP|14788244719814352472</stp>
        <tr r="N1633" s="2"/>
      </tp>
      <tp t="s">
        <v>#N/A N/A</v>
        <stp/>
        <stp>BDP|17562413043715199588</stp>
        <tr r="M1678" s="2"/>
      </tp>
      <tp t="s">
        <v>#N/A N/A</v>
        <stp/>
        <stp>BDP|17238733411552629484</stp>
        <tr r="H1261" s="2"/>
      </tp>
      <tp t="s">
        <v>#N/A N/A</v>
        <stp/>
        <stp>BDP|10533911740228848226</stp>
        <tr r="A1089" s="2"/>
      </tp>
      <tp t="s">
        <v>#N/A N/A</v>
        <stp/>
        <stp>BDP|13186346411827239187</stp>
        <tr r="C339" s="2"/>
      </tp>
      <tp t="s">
        <v>#N/A N/A</v>
        <stp/>
        <stp>BDP|15290165327774485591</stp>
        <tr r="P626" s="2"/>
      </tp>
      <tp t="s">
        <v>#N/A N/A</v>
        <stp/>
        <stp>BDP|16842957993827698660</stp>
        <tr r="S899" s="2"/>
      </tp>
      <tp t="s">
        <v>#N/A N/A</v>
        <stp/>
        <stp>BDP|16961276937793521327</stp>
        <tr r="K2113" s="2"/>
      </tp>
      <tp t="s">
        <v>#N/A N/A</v>
        <stp/>
        <stp>BDS|15448042963101808566</stp>
        <tr r="I492" s="2"/>
      </tp>
      <tp t="s">
        <v>#N/A N/A</v>
        <stp/>
        <stp>BDP|11734475277741886418</stp>
        <tr r="O1850" s="2"/>
      </tp>
      <tp t="s">
        <v>#N/A N/A</v>
        <stp/>
        <stp>BDP|10258593983729423322</stp>
        <tr r="C607" s="2"/>
      </tp>
      <tp t="s">
        <v>#N/A N/A</v>
        <stp/>
        <stp>BDP|10402568579942423712</stp>
        <tr r="T1808" s="2"/>
      </tp>
      <tp t="s">
        <v>#N/A N/A</v>
        <stp/>
        <stp>BDP|13670331469607209600</stp>
        <tr r="D1314" s="2"/>
      </tp>
      <tp t="s">
        <v>#N/A N/A</v>
        <stp/>
        <stp>BDP|17264583953718351847</stp>
        <tr r="G1668" s="2"/>
      </tp>
      <tp t="s">
        <v>#N/A N/A</v>
        <stp/>
        <stp>BDP|11942854540563261903</stp>
        <tr r="N796" s="2"/>
      </tp>
      <tp t="s">
        <v>#N/A N/A</v>
        <stp/>
        <stp>BDP|15212954646218807777</stp>
        <tr r="R2127" s="2"/>
      </tp>
      <tp t="s">
        <v>#N/A N/A</v>
        <stp/>
        <stp>BDP|15486117294403991965</stp>
        <tr r="O663" s="2"/>
      </tp>
      <tp t="s">
        <v>#N/A N/A</v>
        <stp/>
        <stp>BDP|13731262305370313694</stp>
        <tr r="R414" s="2"/>
      </tp>
      <tp t="s">
        <v>#N/A N/A</v>
        <stp/>
        <stp>BDP|17472144505591986028</stp>
        <tr r="S969" s="2"/>
      </tp>
      <tp t="s">
        <v>#N/A N/A</v>
        <stp/>
        <stp>BDP|10090569009075950783</stp>
        <tr r="D152" s="2"/>
      </tp>
      <tp t="s">
        <v>#N/A N/A</v>
        <stp/>
        <stp>BDP|13798486800016180601</stp>
        <tr r="K154" s="2"/>
      </tp>
      <tp t="s">
        <v>#N/A N/A</v>
        <stp/>
        <stp>BDP|13883289488458162675</stp>
        <tr r="D482" s="2"/>
      </tp>
      <tp t="s">
        <v>#N/A N/A</v>
        <stp/>
        <stp>BDP|16706264870540949463</stp>
        <tr r="H672" s="2"/>
      </tp>
      <tp t="s">
        <v>#N/A N/A</v>
        <stp/>
        <stp>BDP|16756524341569201982</stp>
        <tr r="N176" s="2"/>
      </tp>
      <tp t="s">
        <v>#N/A N/A</v>
        <stp/>
        <stp>BDP|15212084928365911552</stp>
        <tr r="D1406" s="2"/>
      </tp>
      <tp t="s">
        <v>#N/A N/A</v>
        <stp/>
        <stp>BDP|17398581494938910485</stp>
        <tr r="C791" s="2"/>
      </tp>
      <tp t="s">
        <v>#N/A N/A</v>
        <stp/>
        <stp>BDP|14200780247209456972</stp>
        <tr r="J1290" s="2"/>
      </tp>
      <tp t="s">
        <v>#N/A N/A</v>
        <stp/>
        <stp>BDP|10993749332734178704</stp>
        <tr r="O809" s="2"/>
      </tp>
      <tp t="s">
        <v>#N/A N/A</v>
        <stp/>
        <stp>BDP|16000085853657069351</stp>
        <tr r="H739" s="2"/>
      </tp>
      <tp t="s">
        <v>#N/A N/A</v>
        <stp/>
        <stp>BDP|11159493844864294203</stp>
        <tr r="O1333" s="2"/>
      </tp>
      <tp t="s">
        <v>#N/A N/A</v>
        <stp/>
        <stp>BDP|12211259509503908466</stp>
        <tr r="P352" s="2"/>
      </tp>
      <tp t="s">
        <v>#N/A N/A</v>
        <stp/>
        <stp>BDP|17549624523157686332</stp>
        <tr r="Q1380" s="2"/>
      </tp>
      <tp t="s">
        <v>#N/A N/A</v>
        <stp/>
        <stp>BDP|12947421714718788891</stp>
        <tr r="E2040" s="2"/>
      </tp>
      <tp t="s">
        <v>#N/A N/A</v>
        <stp/>
        <stp>BDP|15792520100012317573</stp>
        <tr r="R1392" s="2"/>
      </tp>
      <tp t="s">
        <v>#N/A N/A</v>
        <stp/>
        <stp>BDP|14314123334116582710</stp>
        <tr r="O692" s="2"/>
      </tp>
      <tp t="s">
        <v>#N/A N/A</v>
        <stp/>
        <stp>BDP|11690797240120961572</stp>
        <tr r="M1368" s="2"/>
      </tp>
      <tp t="s">
        <v>#N/A N/A</v>
        <stp/>
        <stp>BDP|13212147317890375433</stp>
        <tr r="G809" s="2"/>
      </tp>
      <tp t="s">
        <v>#N/A N/A</v>
        <stp/>
        <stp>BDP|16454450815595538109</stp>
        <tr r="H1000" s="2"/>
      </tp>
      <tp t="s">
        <v>#N/A N/A</v>
        <stp/>
        <stp>BDS|14315229816751474112</stp>
        <tr r="I1177" s="2"/>
      </tp>
      <tp t="s">
        <v>#N/A N/A</v>
        <stp/>
        <stp>BDP|14503551618041139688</stp>
        <tr r="P819" s="2"/>
      </tp>
      <tp t="s">
        <v>#N/A N/A</v>
        <stp/>
        <stp>BDP|15109462263854198449</stp>
        <tr r="J1847" s="2"/>
      </tp>
      <tp t="s">
        <v>#N/A N/A</v>
        <stp/>
        <stp>BDP|10410826563811348872</stp>
        <tr r="C1603" s="2"/>
      </tp>
      <tp t="s">
        <v>#N/A N/A</v>
        <stp/>
        <stp>BDP|13869646609272336078</stp>
        <tr r="C195" s="2"/>
      </tp>
      <tp t="s">
        <v>#N/A N/A</v>
        <stp/>
        <stp>BDP|16087857634913999996</stp>
        <tr r="J146" s="2"/>
      </tp>
      <tp t="s">
        <v>#N/A N/A</v>
        <stp/>
        <stp>BDP|12161115935813402402</stp>
        <tr r="F775" s="2"/>
      </tp>
      <tp t="s">
        <v>#N/A N/A</v>
        <stp/>
        <stp>BDP|15404458940083107111</stp>
        <tr r="A1639" s="2"/>
      </tp>
      <tp t="s">
        <v>#N/A N/A</v>
        <stp/>
        <stp>BDP|14008439483907411859</stp>
        <tr r="O178" s="2"/>
      </tp>
      <tp t="s">
        <v>#N/A N/A</v>
        <stp/>
        <stp>BDP|14015321955524283145</stp>
        <tr r="M1979" s="2"/>
      </tp>
      <tp t="s">
        <v>#N/A N/A</v>
        <stp/>
        <stp>BDP|13700637660910679431</stp>
        <tr r="O9" s="2"/>
      </tp>
      <tp t="s">
        <v>#N/A N/A</v>
        <stp/>
        <stp>BDP|11477593768951026447</stp>
        <tr r="D553" s="2"/>
      </tp>
      <tp t="s">
        <v>#N/A N/A</v>
        <stp/>
        <stp>BDP|12835421506870405192</stp>
        <tr r="R1636" s="2"/>
      </tp>
      <tp t="s">
        <v>#N/A N/A</v>
        <stp/>
        <stp>BDP|11389335069637044480</stp>
        <tr r="E220" s="2"/>
      </tp>
      <tp t="s">
        <v>#N/A N/A</v>
        <stp/>
        <stp>BDP|13734272070077888696</stp>
        <tr r="F1542" s="2"/>
      </tp>
      <tp t="s">
        <v>#N/A N/A</v>
        <stp/>
        <stp>BDP|10238925897980132773</stp>
        <tr r="R964" s="2"/>
      </tp>
      <tp t="s">
        <v>#N/A N/A</v>
        <stp/>
        <stp>BDP|17566245155340362769</stp>
        <tr r="D1840" s="2"/>
      </tp>
      <tp t="s">
        <v>#N/A N/A</v>
        <stp/>
        <stp>BDP|17841194453457630358</stp>
        <tr r="C536" s="2"/>
      </tp>
      <tp t="s">
        <v>#N/A N/A</v>
        <stp/>
        <stp>BDP|12614605631891449127</stp>
        <tr r="H856" s="2"/>
      </tp>
      <tp t="s">
        <v>#N/A N/A</v>
        <stp/>
        <stp>BDP|13546064049876964620</stp>
        <tr r="Q1199" s="2"/>
      </tp>
      <tp t="s">
        <v>#N/A N/A</v>
        <stp/>
        <stp>BDS|17691168638205947739</stp>
        <tr r="I1563" s="2"/>
      </tp>
      <tp t="s">
        <v>#N/A N/A</v>
        <stp/>
        <stp>BDP|15931246869246581002</stp>
        <tr r="F1334" s="2"/>
      </tp>
      <tp t="s">
        <v>#N/A N/A</v>
        <stp/>
        <stp>BDP|10297348128195797384</stp>
        <tr r="P685" s="2"/>
      </tp>
      <tp t="s">
        <v>#N/A N/A</v>
        <stp/>
        <stp>BDP|15446728451064041465</stp>
        <tr r="M920" s="2"/>
      </tp>
      <tp t="s">
        <v>#N/A N/A</v>
        <stp/>
        <stp>BDP|12707309571021220056</stp>
        <tr r="K445" s="2"/>
      </tp>
      <tp t="s">
        <v>#N/A N/A</v>
        <stp/>
        <stp>BDS|17325298562677227383</stp>
        <tr r="I1029" s="2"/>
      </tp>
      <tp t="s">
        <v>#N/A N/A</v>
        <stp/>
        <stp>BDP|15823980137779596131</stp>
        <tr r="N10" s="2"/>
      </tp>
      <tp t="s">
        <v>#N/A N/A</v>
        <stp/>
        <stp>BDP|15383622694619736432</stp>
        <tr r="K1642" s="2"/>
      </tp>
      <tp t="s">
        <v>#N/A N/A</v>
        <stp/>
        <stp>BDP|13181251889249570790</stp>
        <tr r="E2211" s="2"/>
      </tp>
      <tp t="s">
        <v>#N/A N/A</v>
        <stp/>
        <stp>BDP|10491790709179725926</stp>
        <tr r="F2138" s="2"/>
      </tp>
      <tp t="s">
        <v>#N/A N/A</v>
        <stp/>
        <stp>BDP|10691125897768313719</stp>
        <tr r="C1246" s="2"/>
      </tp>
      <tp t="s">
        <v>#N/A N/A</v>
        <stp/>
        <stp>BDP|13929617700054120684</stp>
        <tr r="T743" s="2"/>
      </tp>
      <tp t="s">
        <v>#N/A N/A</v>
        <stp/>
        <stp>BDP|16644943161238726654</stp>
        <tr r="R1139" s="2"/>
      </tp>
      <tp t="s">
        <v>#N/A N/A</v>
        <stp/>
        <stp>BDP|11821216069607122503</stp>
        <tr r="R349" s="2"/>
      </tp>
      <tp t="s">
        <v>#N/A N/A</v>
        <stp/>
        <stp>BDP|15145123641361247613</stp>
        <tr r="E1940" s="2"/>
      </tp>
      <tp t="s">
        <v>#N/A N/A</v>
        <stp/>
        <stp>BDP|11755252125203509537</stp>
        <tr r="M321" s="2"/>
      </tp>
      <tp t="s">
        <v>#N/A N/A</v>
        <stp/>
        <stp>BDP|11039782778154423250</stp>
        <tr r="G666" s="2"/>
      </tp>
      <tp t="s">
        <v>#N/A N/A</v>
        <stp/>
        <stp>BDP|16535642140283034002</stp>
        <tr r="S1021" s="2"/>
      </tp>
      <tp t="s">
        <v>#N/A N/A</v>
        <stp/>
        <stp>BDP|14414733601307225351</stp>
        <tr r="C1501" s="2"/>
      </tp>
      <tp t="s">
        <v>#N/A N/A</v>
        <stp/>
        <stp>BDP|16471159111654682572</stp>
        <tr r="J484" s="2"/>
      </tp>
      <tp t="s">
        <v>#N/A N/A</v>
        <stp/>
        <stp>BDS|11830323425373424493</stp>
        <tr r="I840" s="2"/>
      </tp>
      <tp t="s">
        <v>#N/A N/A</v>
        <stp/>
        <stp>BDP|17865501178505735763</stp>
        <tr r="M1888" s="2"/>
      </tp>
      <tp t="s">
        <v>#N/A N/A</v>
        <stp/>
        <stp>BDP|18240664995683030307</stp>
        <tr r="P323" s="2"/>
      </tp>
      <tp t="s">
        <v>#N/A N/A</v>
        <stp/>
        <stp>BDP|11155741580038603126</stp>
        <tr r="N2224" s="2"/>
      </tp>
      <tp t="s">
        <v>#N/A N/A</v>
        <stp/>
        <stp>BDP|17412529613661442508</stp>
        <tr r="P252" s="2"/>
      </tp>
      <tp t="s">
        <v>#N/A N/A</v>
        <stp/>
        <stp>BDP|13453066707174081048</stp>
        <tr r="F688" s="2"/>
      </tp>
      <tp t="s">
        <v>#N/A N/A</v>
        <stp/>
        <stp>BDP|15722582290549959771</stp>
        <tr r="J1717" s="2"/>
      </tp>
      <tp t="s">
        <v>#N/A N/A</v>
        <stp/>
        <stp>BDP|17488330465834691158</stp>
        <tr r="A999" s="2"/>
      </tp>
      <tp t="s">
        <v>#N/A N/A</v>
        <stp/>
        <stp>BDP|10798294924636329188</stp>
        <tr r="N1269" s="2"/>
      </tp>
      <tp t="s">
        <v>#N/A N/A</v>
        <stp/>
        <stp>BDP|14054375100407030766</stp>
        <tr r="G1718" s="2"/>
      </tp>
      <tp t="s">
        <v>#N/A N/A</v>
        <stp/>
        <stp>BDP|14338591461408249883</stp>
        <tr r="T670" s="2"/>
      </tp>
      <tp t="s">
        <v>#N/A N/A</v>
        <stp/>
        <stp>BDP|13173239446202053058</stp>
        <tr r="O2178" s="2"/>
      </tp>
      <tp t="s">
        <v>#N/A N/A</v>
        <stp/>
        <stp>BDP|11466816856582645940</stp>
        <tr r="O781" s="2"/>
      </tp>
      <tp t="s">
        <v>#N/A N/A</v>
        <stp/>
        <stp>BDP|13303548933716298477</stp>
        <tr r="Q1891" s="2"/>
      </tp>
      <tp t="s">
        <v>#N/A N/A</v>
        <stp/>
        <stp>BDP|16548609039326475299</stp>
        <tr r="A364" s="2"/>
      </tp>
      <tp t="s">
        <v>#N/A N/A</v>
        <stp/>
        <stp>BDP|11890138873110861016</stp>
        <tr r="T61" s="2"/>
      </tp>
      <tp t="s">
        <v>#N/A N/A</v>
        <stp/>
        <stp>BDS|12358069521421266649</stp>
        <tr r="I554" s="2"/>
      </tp>
      <tp t="s">
        <v>#N/A N/A</v>
        <stp/>
        <stp>BDP|14899496753395232718</stp>
        <tr r="A1665" s="2"/>
      </tp>
      <tp t="s">
        <v>#N/A N/A</v>
        <stp/>
        <stp>BDP|14041272656714566050</stp>
        <tr r="F1976" s="2"/>
      </tp>
      <tp t="s">
        <v>#N/A N/A</v>
        <stp/>
        <stp>BDP|16348918519471394897</stp>
        <tr r="M324" s="2"/>
      </tp>
      <tp t="s">
        <v>#N/A N/A</v>
        <stp/>
        <stp>BDP|12329395563695100597</stp>
        <tr r="T881" s="2"/>
      </tp>
      <tp t="s">
        <v>#N/A N/A</v>
        <stp/>
        <stp>BDS|13852811742748144081</stp>
        <tr r="I1468" s="2"/>
      </tp>
      <tp t="s">
        <v>#N/A N/A</v>
        <stp/>
        <stp>BDP|17859905013681855925</stp>
        <tr r="J151" s="2"/>
      </tp>
      <tp t="s">
        <v>#N/A N/A</v>
        <stp/>
        <stp>BDP|14542399758210787521</stp>
        <tr r="C862" s="2"/>
      </tp>
      <tp t="s">
        <v>#N/A N/A</v>
        <stp/>
        <stp>BDP|16407574420867127138</stp>
        <tr r="F1923" s="2"/>
      </tp>
      <tp t="s">
        <v>#N/A N/A</v>
        <stp/>
        <stp>BDP|12480377656724691724</stp>
        <tr r="Q1240" s="2"/>
      </tp>
      <tp t="s">
        <v>#N/A N/A</v>
        <stp/>
        <stp>BDP|10662575236619257845</stp>
        <tr r="H1895" s="2"/>
      </tp>
      <tp t="s">
        <v>#N/A N/A</v>
        <stp/>
        <stp>BDP|12909310102331957722</stp>
        <tr r="J1289" s="2"/>
      </tp>
      <tp t="s">
        <v>#N/A N/A</v>
        <stp/>
        <stp>BDP|14370581878770040121</stp>
        <tr r="T2169" s="2"/>
      </tp>
      <tp t="s">
        <v>#N/A N/A</v>
        <stp/>
        <stp>BDP|11311037032843525668</stp>
        <tr r="C1834" s="2"/>
      </tp>
      <tp t="s">
        <v>#N/A N/A</v>
        <stp/>
        <stp>BDP|16835676481118993769</stp>
        <tr r="M188" s="2"/>
      </tp>
      <tp t="s">
        <v>#N/A N/A</v>
        <stp/>
        <stp>BDP|13314022624361226766</stp>
        <tr r="D774" s="2"/>
      </tp>
      <tp t="s">
        <v>#N/A N/A</v>
        <stp/>
        <stp>BDP|14618222372247331159</stp>
        <tr r="O877" s="2"/>
      </tp>
      <tp t="s">
        <v>#N/A N/A</v>
        <stp/>
        <stp>BDP|15997094851271626676</stp>
        <tr r="E494" s="2"/>
      </tp>
      <tp t="s">
        <v>#N/A N/A</v>
        <stp/>
        <stp>BDP|11956568268671176467</stp>
        <tr r="D740" s="2"/>
      </tp>
      <tp t="s">
        <v>#N/A N/A</v>
        <stp/>
        <stp>BDP|17688152679395861324</stp>
        <tr r="N1799" s="2"/>
      </tp>
      <tp t="s">
        <v>#N/A N/A</v>
        <stp/>
        <stp>BDP|14176615963194609759</stp>
        <tr r="Q2042" s="2"/>
      </tp>
      <tp t="s">
        <v>#N/A N/A</v>
        <stp/>
        <stp>BDP|13857340831935574181</stp>
        <tr r="A937" s="2"/>
      </tp>
      <tp t="s">
        <v>#N/A N/A</v>
        <stp/>
        <stp>BDP|12121238725365075074</stp>
        <tr r="H1110" s="2"/>
      </tp>
      <tp t="s">
        <v>#N/A N/A</v>
        <stp/>
        <stp>BDP|14184662263506173551</stp>
        <tr r="C1377" s="2"/>
      </tp>
      <tp t="s">
        <v>#N/A N/A</v>
        <stp/>
        <stp>BDP|12196698248243091403</stp>
        <tr r="H308" s="2"/>
      </tp>
      <tp t="s">
        <v>#N/A N/A</v>
        <stp/>
        <stp>BDP|10674775277432276548</stp>
        <tr r="D760" s="2"/>
      </tp>
      <tp t="s">
        <v>#N/A N/A</v>
        <stp/>
        <stp>BDP|12275415899891966935</stp>
        <tr r="A942" s="2"/>
      </tp>
      <tp t="s">
        <v>#N/A N/A</v>
        <stp/>
        <stp>BDP|11582791141081495498</stp>
        <tr r="P1854" s="2"/>
      </tp>
      <tp t="s">
        <v>#N/A N/A</v>
        <stp/>
        <stp>BDP|15307324496791032978</stp>
        <tr r="T1445" s="2"/>
      </tp>
      <tp t="s">
        <v>#N/A N/A</v>
        <stp/>
        <stp>BDP|11516672047424561009</stp>
        <tr r="T6" s="2"/>
      </tp>
      <tp t="s">
        <v>#N/A N/A</v>
        <stp/>
        <stp>BDP|15732053254476682104</stp>
        <tr r="S574" s="2"/>
      </tp>
      <tp t="s">
        <v>#N/A N/A</v>
        <stp/>
        <stp>BDP|13559038819575790089</stp>
        <tr r="E554" s="2"/>
      </tp>
      <tp t="s">
        <v>#N/A N/A</v>
        <stp/>
        <stp>BDP|16228571891714487904</stp>
        <tr r="K1805" s="2"/>
      </tp>
      <tp t="s">
        <v>#N/A N/A</v>
        <stp/>
        <stp>BDP|11658122454953248122</stp>
        <tr r="G1805" s="2"/>
      </tp>
      <tp t="s">
        <v>#N/A N/A</v>
        <stp/>
        <stp>BDP|12355455100563040269</stp>
        <tr r="S225" s="2"/>
      </tp>
      <tp t="s">
        <v>#N/A N/A</v>
        <stp/>
        <stp>BDP|14600910296794697771</stp>
        <tr r="P2076" s="2"/>
      </tp>
      <tp t="s">
        <v>#N/A N/A</v>
        <stp/>
        <stp>BDP|17238878588350903047</stp>
        <tr r="N1154" s="2"/>
      </tp>
      <tp t="s">
        <v>#N/A N/A</v>
        <stp/>
        <stp>BDP|13689093135942886525</stp>
        <tr r="G814" s="2"/>
      </tp>
      <tp t="s">
        <v>#N/A N/A</v>
        <stp/>
        <stp>BDP|13105277063858616831</stp>
        <tr r="S190" s="2"/>
      </tp>
      <tp t="s">
        <v>#N/A N/A</v>
        <stp/>
        <stp>BDP|10404718439237422487</stp>
        <tr r="P1015" s="2"/>
      </tp>
      <tp t="s">
        <v>#N/A N/A</v>
        <stp/>
        <stp>BDP|12923095454645092547</stp>
        <tr r="K2210" s="2"/>
      </tp>
      <tp t="s">
        <v>#N/A N/A</v>
        <stp/>
        <stp>BDP|15841616433144842328</stp>
        <tr r="J1409" s="2"/>
      </tp>
      <tp t="s">
        <v>#N/A N/A</v>
        <stp/>
        <stp>BDP|18050634331849654343</stp>
        <tr r="N1158" s="2"/>
      </tp>
      <tp t="s">
        <v>#N/A N/A</v>
        <stp/>
        <stp>BDP|12536634916862667067</stp>
        <tr r="A505" s="2"/>
      </tp>
      <tp t="s">
        <v>#N/A N/A</v>
        <stp/>
        <stp>BDP|10527009616610424671</stp>
        <tr r="M1679" s="2"/>
      </tp>
      <tp t="s">
        <v>#N/A N/A</v>
        <stp/>
        <stp>BDP|12880179229833006567</stp>
        <tr r="S1934" s="2"/>
      </tp>
      <tp t="s">
        <v>#N/A N/A</v>
        <stp/>
        <stp>BDP|11201633206567288753</stp>
        <tr r="T1552" s="2"/>
      </tp>
      <tp t="s">
        <v>#N/A N/A</v>
        <stp/>
        <stp>BDP|10675002846905611660</stp>
        <tr r="N1759" s="2"/>
      </tp>
      <tp t="s">
        <v>#N/A N/A</v>
        <stp/>
        <stp>BDP|10293057872013354366</stp>
        <tr r="G1536" s="2"/>
      </tp>
      <tp t="s">
        <v>#N/A N/A</v>
        <stp/>
        <stp>BDP|13459216856403620058</stp>
        <tr r="F250" s="2"/>
      </tp>
      <tp t="s">
        <v>#N/A N/A</v>
        <stp/>
        <stp>BDP|15733656615651060478</stp>
        <tr r="F169" s="2"/>
      </tp>
      <tp t="s">
        <v>#N/A N/A</v>
        <stp/>
        <stp>BDP|15644043602642145018</stp>
        <tr r="C368" s="2"/>
      </tp>
      <tp t="s">
        <v>#N/A N/A</v>
        <stp/>
        <stp>BDP|12275364426606119238</stp>
        <tr r="R172" s="2"/>
      </tp>
      <tp t="s">
        <v>#N/A N/A</v>
        <stp/>
        <stp>BDP|10559953563219297111</stp>
        <tr r="H1196" s="2"/>
      </tp>
      <tp t="s">
        <v>#N/A N/A</v>
        <stp/>
        <stp>BDS|12389705001190117201</stp>
        <tr r="I1573" s="2"/>
      </tp>
      <tp t="s">
        <v>#N/A N/A</v>
        <stp/>
        <stp>BDP|11246293811011852421</stp>
        <tr r="O1237" s="2"/>
      </tp>
      <tp t="s">
        <v>#N/A N/A</v>
        <stp/>
        <stp>BDP|13751251248592976035</stp>
        <tr r="P1158" s="2"/>
      </tp>
      <tp t="s">
        <v>#N/A N/A</v>
        <stp/>
        <stp>BDP|11418861853589716267</stp>
        <tr r="P809" s="2"/>
      </tp>
      <tp t="s">
        <v>#N/A N/A</v>
        <stp/>
        <stp>BDP|10736215210676037260</stp>
        <tr r="P1592" s="2"/>
      </tp>
      <tp t="s">
        <v>#N/A N/A</v>
        <stp/>
        <stp>BDP|15606551106261625632</stp>
        <tr r="E401" s="2"/>
      </tp>
      <tp t="s">
        <v>#N/A N/A</v>
        <stp/>
        <stp>BDP|14341785127180868645</stp>
        <tr r="Q1271" s="2"/>
      </tp>
      <tp t="s">
        <v>#N/A N/A</v>
        <stp/>
        <stp>BDP|17395676629093880755</stp>
        <tr r="O316" s="2"/>
      </tp>
      <tp t="s">
        <v>#N/A N/A</v>
        <stp/>
        <stp>BDS|14071917689395804731</stp>
        <tr r="I2093" s="2"/>
      </tp>
      <tp t="s">
        <v>#N/A N/A</v>
        <stp/>
        <stp>BDP|11424502368567947253</stp>
        <tr r="G937" s="2"/>
      </tp>
      <tp t="s">
        <v>#N/A N/A</v>
        <stp/>
        <stp>BDP|17853685272151436062</stp>
        <tr r="R260" s="2"/>
      </tp>
      <tp t="s">
        <v>#N/A N/A</v>
        <stp/>
        <stp>BDP|11819960680066937175</stp>
        <tr r="P813" s="2"/>
      </tp>
      <tp t="s">
        <v>#N/A N/A</v>
        <stp/>
        <stp>BDP|11702805222585573900</stp>
        <tr r="T341" s="2"/>
      </tp>
      <tp t="s">
        <v>#N/A N/A</v>
        <stp/>
        <stp>BDP|18106233121787019832</stp>
        <tr r="Q1682" s="2"/>
      </tp>
      <tp t="s">
        <v>#N/A N/A</v>
        <stp/>
        <stp>BDP|11591875283701082714</stp>
        <tr r="M1241" s="2"/>
      </tp>
      <tp t="s">
        <v>#N/A N/A</v>
        <stp/>
        <stp>BDP|12352554094308163133</stp>
        <tr r="N1057" s="2"/>
      </tp>
      <tp t="s">
        <v>#N/A N/A</v>
        <stp/>
        <stp>BDP|17394275458536972159</stp>
        <tr r="E640" s="2"/>
      </tp>
      <tp t="s">
        <v>#N/A N/A</v>
        <stp/>
        <stp>BDP|11744023827483044720</stp>
        <tr r="K152" s="2"/>
      </tp>
      <tp t="s">
        <v>#N/A N/A</v>
        <stp/>
        <stp>BDS|17588141377854122245</stp>
        <tr r="I1075" s="2"/>
      </tp>
      <tp t="s">
        <v>#N/A N/A</v>
        <stp/>
        <stp>BDP|13749653916614174750</stp>
        <tr r="N569" s="2"/>
      </tp>
      <tp t="s">
        <v>#N/A N/A</v>
        <stp/>
        <stp>BDP|10774768835786170559</stp>
        <tr r="A546" s="2"/>
      </tp>
      <tp t="s">
        <v>#N/A N/A</v>
        <stp/>
        <stp>BDP|16265001072017074106</stp>
        <tr r="M1537" s="2"/>
      </tp>
      <tp t="s">
        <v>#N/A N/A</v>
        <stp/>
        <stp>BDP|14862519883718998637</stp>
        <tr r="E2113" s="2"/>
      </tp>
      <tp t="s">
        <v>#N/A N/A</v>
        <stp/>
        <stp>BDP|10107447748652479593</stp>
        <tr r="A855" s="2"/>
      </tp>
      <tp t="s">
        <v>#N/A N/A</v>
        <stp/>
        <stp>BDP|13929895562539763351</stp>
        <tr r="G1981" s="2"/>
      </tp>
      <tp t="s">
        <v>#N/A N/A</v>
        <stp/>
        <stp>BDP|11754807751688382359</stp>
        <tr r="F435" s="2"/>
      </tp>
      <tp t="s">
        <v>#N/A N/A</v>
        <stp/>
        <stp>BDP|18250410344129354644</stp>
        <tr r="F806" s="2"/>
      </tp>
      <tp t="s">
        <v>#N/A N/A</v>
        <stp/>
        <stp>BDP|11120020414247407035</stp>
        <tr r="H1141" s="2"/>
      </tp>
      <tp t="s">
        <v>#N/A N/A</v>
        <stp/>
        <stp>BDP|15031022670484008120</stp>
        <tr r="J1691" s="2"/>
      </tp>
      <tp t="s">
        <v>#N/A N/A</v>
        <stp/>
        <stp>BDS|17606557614510250462</stp>
        <tr r="I1975" s="2"/>
      </tp>
      <tp t="s">
        <v>#N/A N/A</v>
        <stp/>
        <stp>BDP|17677927221622157946</stp>
        <tr r="T1920" s="2"/>
      </tp>
      <tp t="s">
        <v>#N/A N/A</v>
        <stp/>
        <stp>BDP|17720033974321968691</stp>
        <tr r="F120" s="2"/>
      </tp>
      <tp t="s">
        <v>#N/A N/A</v>
        <stp/>
        <stp>BDP|12327721851626272126</stp>
        <tr r="F879" s="2"/>
      </tp>
      <tp t="s">
        <v>#N/A N/A</v>
        <stp/>
        <stp>BDP|12472031842757236676</stp>
        <tr r="G1813" s="2"/>
      </tp>
      <tp t="s">
        <v>#N/A N/A</v>
        <stp/>
        <stp>BDP|12632190421610750694</stp>
        <tr r="T980" s="2"/>
      </tp>
      <tp t="s">
        <v>#N/A N/A</v>
        <stp/>
        <stp>BDP|13512112796428664445</stp>
        <tr r="R2165" s="2"/>
      </tp>
      <tp t="s">
        <v>#N/A N/A</v>
        <stp/>
        <stp>BDP|12716260930363786751</stp>
        <tr r="N591" s="2"/>
      </tp>
      <tp t="s">
        <v>#N/A N/A</v>
        <stp/>
        <stp>BDP|16806339011484827715</stp>
        <tr r="M1815" s="2"/>
      </tp>
      <tp t="s">
        <v>#N/A N/A</v>
        <stp/>
        <stp>BDP|12528908486124326033</stp>
        <tr r="S1114" s="2"/>
      </tp>
      <tp t="s">
        <v>#N/A N/A</v>
        <stp/>
        <stp>BDP|15134733436204218259</stp>
        <tr r="Q1189" s="2"/>
      </tp>
      <tp t="s">
        <v>#N/A N/A</v>
        <stp/>
        <stp>BDP|13296954455218167003</stp>
        <tr r="N470" s="2"/>
      </tp>
      <tp t="s">
        <v>#N/A N/A</v>
        <stp/>
        <stp>BDP|13213186602254280197</stp>
        <tr r="H908" s="2"/>
      </tp>
      <tp t="s">
        <v>#N/A N/A</v>
        <stp/>
        <stp>BDP|16160749929655763186</stp>
        <tr r="M2113" s="2"/>
      </tp>
      <tp t="s">
        <v>#N/A N/A</v>
        <stp/>
        <stp>BDP|16054061504374188506</stp>
        <tr r="F908" s="2"/>
      </tp>
      <tp t="s">
        <v>#N/A N/A</v>
        <stp/>
        <stp>BDP|16138687600913304494</stp>
        <tr r="J552" s="2"/>
      </tp>
      <tp t="s">
        <v>#N/A N/A</v>
        <stp/>
        <stp>BDP|14039519767029238970</stp>
        <tr r="K997" s="2"/>
      </tp>
      <tp t="s">
        <v>#N/A N/A</v>
        <stp/>
        <stp>BDP|14147642466931574251</stp>
        <tr r="P1767" s="2"/>
      </tp>
      <tp t="s">
        <v>#N/A N/A</v>
        <stp/>
        <stp>BDP|12331762745881608750</stp>
        <tr r="O1371" s="2"/>
      </tp>
      <tp t="s">
        <v>#N/A N/A</v>
        <stp/>
        <stp>BDP|13191269620274021049</stp>
        <tr r="M1152" s="2"/>
      </tp>
      <tp t="s">
        <v>#N/A N/A</v>
        <stp/>
        <stp>BDP|10889751017388922901</stp>
        <tr r="E1143" s="2"/>
      </tp>
      <tp t="s">
        <v>#N/A N/A</v>
        <stp/>
        <stp>BDP|18359641615559009118</stp>
        <tr r="K996" s="2"/>
      </tp>
      <tp t="s">
        <v>#N/A N/A</v>
        <stp/>
        <stp>BDP|11500643909877231790</stp>
        <tr r="K2134" s="2"/>
      </tp>
      <tp t="s">
        <v>#N/A N/A</v>
        <stp/>
        <stp>BDP|16463755146143329178</stp>
        <tr r="D272" s="2"/>
      </tp>
      <tp t="s">
        <v>#N/A N/A</v>
        <stp/>
        <stp>BDP|16487955864568680608</stp>
        <tr r="S865" s="2"/>
      </tp>
      <tp t="s">
        <v>#N/A N/A</v>
        <stp/>
        <stp>BDP|11889803924459972567</stp>
        <tr r="O2114" s="2"/>
      </tp>
      <tp t="s">
        <v>#N/A N/A</v>
        <stp/>
        <stp>BDP|12283949043398242048</stp>
        <tr r="R1874" s="2"/>
      </tp>
      <tp t="s">
        <v>#N/A N/A</v>
        <stp/>
        <stp>BDP|17524068726793550136</stp>
        <tr r="Q1266" s="2"/>
      </tp>
      <tp t="s">
        <v>#N/A N/A</v>
        <stp/>
        <stp>BDP|14331095652663285596</stp>
        <tr r="H56" s="2"/>
      </tp>
      <tp t="s">
        <v>#N/A N/A</v>
        <stp/>
        <stp>BDP|17419678130060979590</stp>
        <tr r="Q1096" s="2"/>
      </tp>
      <tp t="s">
        <v>#N/A N/A</v>
        <stp/>
        <stp>BDP|12148478150673608734</stp>
        <tr r="C1626" s="2"/>
      </tp>
      <tp t="s">
        <v>#N/A N/A</v>
        <stp/>
        <stp>BDP|14875749043214828443</stp>
        <tr r="A414" s="2"/>
      </tp>
      <tp t="s">
        <v>#N/A N/A</v>
        <stp/>
        <stp>BDP|16791144540094442044</stp>
        <tr r="A210" s="2"/>
      </tp>
      <tp t="s">
        <v>#N/A N/A</v>
        <stp/>
        <stp>BDP|18400533979738485591</stp>
        <tr r="T1086" s="2"/>
      </tp>
      <tp t="s">
        <v>#N/A N/A</v>
        <stp/>
        <stp>BDP|12485743950744692358</stp>
        <tr r="N1639" s="2"/>
      </tp>
      <tp t="s">
        <v>#N/A N/A</v>
        <stp/>
        <stp>BDP|17751726646245745678</stp>
        <tr r="J2108" s="2"/>
      </tp>
      <tp t="s">
        <v>#N/A N/A</v>
        <stp/>
        <stp>BDP|12760498043260994578</stp>
        <tr r="C2037" s="2"/>
      </tp>
      <tp t="s">
        <v>#N/A N/A</v>
        <stp/>
        <stp>BDP|13389161350918352859</stp>
        <tr r="C1113" s="2"/>
      </tp>
      <tp t="s">
        <v>#N/A N/A</v>
        <stp/>
        <stp>BDP|16939095817818128850</stp>
        <tr r="M969" s="2"/>
      </tp>
      <tp t="s">
        <v>#N/A N/A</v>
        <stp/>
        <stp>BDP|17644046516200393145</stp>
        <tr r="O470" s="2"/>
      </tp>
      <tp t="s">
        <v>#N/A N/A</v>
        <stp/>
        <stp>BDP|16708931185356530672</stp>
        <tr r="M239" s="2"/>
      </tp>
      <tp t="s">
        <v>#N/A N/A</v>
        <stp/>
        <stp>BDP|15162374080151595809</stp>
        <tr r="S632" s="2"/>
      </tp>
      <tp t="s">
        <v>#N/A N/A</v>
        <stp/>
        <stp>BDP|18020840362190466117</stp>
        <tr r="A262" s="2"/>
      </tp>
      <tp t="s">
        <v>#N/A N/A</v>
        <stp/>
        <stp>BDP|14621390910125501491</stp>
        <tr r="H693" s="2"/>
      </tp>
      <tp t="s">
        <v>#N/A N/A</v>
        <stp/>
        <stp>BDP|10556205567356751564</stp>
        <tr r="D695" s="2"/>
      </tp>
      <tp t="s">
        <v>#N/A N/A</v>
        <stp/>
        <stp>BDP|11748114037257740357</stp>
        <tr r="J2208" s="2"/>
      </tp>
      <tp t="s">
        <v>#N/A N/A</v>
        <stp/>
        <stp>BDP|16175142914403581278</stp>
        <tr r="G556" s="2"/>
      </tp>
      <tp t="s">
        <v>#N/A N/A</v>
        <stp/>
        <stp>BDP|12316703154505578211</stp>
        <tr r="K1974" s="2"/>
      </tp>
      <tp t="s">
        <v>#N/A N/A</v>
        <stp/>
        <stp>BDP|11347328721176253119</stp>
        <tr r="C298" s="2"/>
      </tp>
      <tp t="s">
        <v>#N/A N/A</v>
        <stp/>
        <stp>BDP|13570458120813540162</stp>
        <tr r="C1378" s="2"/>
      </tp>
      <tp t="s">
        <v>#N/A N/A</v>
        <stp/>
        <stp>BDP|16947432725903583496</stp>
        <tr r="H1923" s="2"/>
      </tp>
      <tp t="s">
        <v>#N/A N/A</v>
        <stp/>
        <stp>BDP|17206461194719638455</stp>
        <tr r="G1479" s="2"/>
      </tp>
      <tp t="s">
        <v>#N/A N/A</v>
        <stp/>
        <stp>BDP|12036234306065458222</stp>
        <tr r="F1730" s="2"/>
      </tp>
      <tp t="s">
        <v>#N/A N/A</v>
        <stp/>
        <stp>BDP|16830116564103971573</stp>
        <tr r="P1985" s="2"/>
      </tp>
      <tp t="s">
        <v>#N/A N/A</v>
        <stp/>
        <stp>BDP|14477273210447386738</stp>
        <tr r="O64" s="2"/>
      </tp>
      <tp t="s">
        <v>#N/A N/A</v>
        <stp/>
        <stp>BDP|12101315474179712805</stp>
        <tr r="P1216" s="2"/>
      </tp>
      <tp t="s">
        <v>#N/A N/A</v>
        <stp/>
        <stp>BDP|14372070480878684310</stp>
        <tr r="D1348" s="2"/>
      </tp>
      <tp t="s">
        <v>#N/A N/A</v>
        <stp/>
        <stp>BDP|15412126024276630771</stp>
        <tr r="D662" s="2"/>
      </tp>
      <tp t="s">
        <v>#N/A N/A</v>
        <stp/>
        <stp>BDP|14427499446366171598</stp>
        <tr r="O1468" s="2"/>
      </tp>
      <tp t="s">
        <v>#N/A N/A</v>
        <stp/>
        <stp>BDP|15021549111947423127</stp>
        <tr r="N1013" s="2"/>
      </tp>
      <tp t="s">
        <v>#N/A N/A</v>
        <stp/>
        <stp>BDP|13836986612669747560</stp>
        <tr r="E1065" s="2"/>
      </tp>
      <tp t="s">
        <v>#N/A N/A</v>
        <stp/>
        <stp>BDP|12269070604017052225</stp>
        <tr r="D492" s="2"/>
      </tp>
      <tp t="s">
        <v>#N/A N/A</v>
        <stp/>
        <stp>BDP|16125174832163354044</stp>
        <tr r="F1729" s="2"/>
      </tp>
      <tp t="s">
        <v>#N/A N/A</v>
        <stp/>
        <stp>BDP|11795333791398682407</stp>
        <tr r="F417" s="2"/>
      </tp>
      <tp t="s">
        <v>#N/A N/A</v>
        <stp/>
        <stp>BDP|16346307743426426073</stp>
        <tr r="P1581" s="2"/>
      </tp>
      <tp t="s">
        <v>#N/A N/A</v>
        <stp/>
        <stp>BDP|15960230696448775183</stp>
        <tr r="K2201" s="2"/>
      </tp>
      <tp t="s">
        <v>#N/A N/A</v>
        <stp/>
        <stp>BDP|12856420204010513182</stp>
        <tr r="T758" s="2"/>
      </tp>
      <tp t="s">
        <v>#N/A N/A</v>
        <stp/>
        <stp>BDP|10167295206452511780</stp>
        <tr r="M1732" s="2"/>
      </tp>
      <tp t="s">
        <v>#N/A N/A</v>
        <stp/>
        <stp>BDP|10704558675507331278</stp>
        <tr r="K397" s="2"/>
      </tp>
      <tp t="s">
        <v>#N/A N/A</v>
        <stp/>
        <stp>BDP|18245665201738728111</stp>
        <tr r="O1490" s="2"/>
      </tp>
      <tp t="s">
        <v>#N/A N/A</v>
        <stp/>
        <stp>BDP|16381468562191452201</stp>
        <tr r="K1942" s="2"/>
      </tp>
      <tp t="s">
        <v>#N/A N/A</v>
        <stp/>
        <stp>BDP|12682658467400758504</stp>
        <tr r="R632" s="2"/>
      </tp>
      <tp t="s">
        <v>#N/A N/A</v>
        <stp/>
        <stp>BDP|10044269038557484195</stp>
        <tr r="K1634" s="2"/>
      </tp>
      <tp t="s">
        <v>#N/A N/A</v>
        <stp/>
        <stp>BDP|11521856182635216336</stp>
        <tr r="E1744" s="2"/>
      </tp>
      <tp t="s">
        <v>#N/A N/A</v>
        <stp/>
        <stp>BDP|14440382108673203355</stp>
        <tr r="H1609" s="2"/>
      </tp>
      <tp t="s">
        <v>#N/A N/A</v>
        <stp/>
        <stp>BDP|10023265243429267840</stp>
        <tr r="A2067" s="2"/>
      </tp>
      <tp t="s">
        <v>#N/A N/A</v>
        <stp/>
        <stp>BDP|10087199726326516296</stp>
        <tr r="H1084" s="2"/>
      </tp>
      <tp t="s">
        <v>#N/A N/A</v>
        <stp/>
        <stp>BDP|10033905695543026464</stp>
        <tr r="S459" s="2"/>
      </tp>
      <tp t="s">
        <v>#N/A N/A</v>
        <stp/>
        <stp>BDP|15502304846036258324</stp>
        <tr r="J649" s="2"/>
      </tp>
      <tp t="s">
        <v>#N/A N/A</v>
        <stp/>
        <stp>BDP|11131451434892291317</stp>
        <tr r="F717" s="2"/>
      </tp>
      <tp t="s">
        <v>#N/A N/A</v>
        <stp/>
        <stp>BDP|11441386546317129687</stp>
        <tr r="E1756" s="2"/>
      </tp>
      <tp t="s">
        <v>#N/A N/A</v>
        <stp/>
        <stp>BDP|11925673968840581605</stp>
        <tr r="E722" s="2"/>
      </tp>
      <tp t="s">
        <v>#N/A N/A</v>
        <stp/>
        <stp>BDP|14266449784396101908</stp>
        <tr r="C1444" s="2"/>
      </tp>
      <tp t="s">
        <v>#N/A N/A</v>
        <stp/>
        <stp>BDS|17248574762134167763</stp>
        <tr r="I24" s="2"/>
      </tp>
      <tp t="s">
        <v>#N/A N/A</v>
        <stp/>
        <stp>BDP|11607077021132261614</stp>
        <tr r="D1290" s="2"/>
      </tp>
      <tp t="s">
        <v>#N/A N/A</v>
        <stp/>
        <stp>BDP|16864705309667006121</stp>
        <tr r="S368" s="2"/>
      </tp>
      <tp t="s">
        <v>#N/A N/A</v>
        <stp/>
        <stp>BDP|10409459397088244279</stp>
        <tr r="H1011" s="2"/>
      </tp>
      <tp t="s">
        <v>#N/A N/A</v>
        <stp/>
        <stp>BDP|15763043659927107088</stp>
        <tr r="N1779" s="2"/>
      </tp>
      <tp t="s">
        <v>#N/A N/A</v>
        <stp/>
        <stp>BDP|12668688778402417600</stp>
        <tr r="N1638" s="2"/>
      </tp>
      <tp t="s">
        <v>#N/A N/A</v>
        <stp/>
        <stp>BDP|14397290326262729192</stp>
        <tr r="C583" s="2"/>
      </tp>
      <tp t="s">
        <v>#N/A N/A</v>
        <stp/>
        <stp>BDP|12356933052220773978</stp>
        <tr r="Q87" s="2"/>
      </tp>
      <tp t="s">
        <v>#N/A N/A</v>
        <stp/>
        <stp>BDP|11663797006730290194</stp>
        <tr r="J995" s="2"/>
      </tp>
      <tp t="s">
        <v>#N/A N/A</v>
        <stp/>
        <stp>BDP|12556177750957734673</stp>
        <tr r="E65" s="2"/>
      </tp>
      <tp t="s">
        <v>#N/A N/A</v>
        <stp/>
        <stp>BDP|15470448666893094344</stp>
        <tr r="P968" s="2"/>
      </tp>
      <tp t="s">
        <v>#N/A N/A</v>
        <stp/>
        <stp>BDP|14483431001014248367</stp>
        <tr r="N1584" s="2"/>
      </tp>
      <tp t="s">
        <v>#N/A N/A</v>
        <stp/>
        <stp>BDP|15604341423863153026</stp>
        <tr r="E1858" s="2"/>
      </tp>
      <tp t="s">
        <v>#N/A N/A</v>
        <stp/>
        <stp>BDP|16405916810908618114</stp>
        <tr r="P605" s="2"/>
      </tp>
      <tp t="s">
        <v>#N/A N/A</v>
        <stp/>
        <stp>BDP|10282656743735330050</stp>
        <tr r="F1228" s="2"/>
      </tp>
      <tp t="s">
        <v>#N/A N/A</v>
        <stp/>
        <stp>BDP|17565315531390228058</stp>
        <tr r="C871" s="2"/>
      </tp>
      <tp t="s">
        <v>#N/A N/A</v>
        <stp/>
        <stp>BDP|16671709378142946351</stp>
        <tr r="T2151" s="2"/>
      </tp>
      <tp t="s">
        <v>#N/A N/A</v>
        <stp/>
        <stp>BDP|17650538846442301320</stp>
        <tr r="M1169" s="2"/>
      </tp>
      <tp t="s">
        <v>#N/A N/A</v>
        <stp/>
        <stp>BDS|17543248379667019292</stp>
        <tr r="I638" s="2"/>
      </tp>
      <tp t="s">
        <v>#N/A N/A</v>
        <stp/>
        <stp>BDP|15726440861159895983</stp>
        <tr r="P702" s="2"/>
      </tp>
      <tp t="s">
        <v>#N/A N/A</v>
        <stp/>
        <stp>BDP|10633561803172287032</stp>
        <tr r="K315" s="2"/>
      </tp>
      <tp t="s">
        <v>#N/A N/A</v>
        <stp/>
        <stp>BDP|17747408976016054530</stp>
        <tr r="M1331" s="2"/>
      </tp>
      <tp t="s">
        <v>#N/A N/A</v>
        <stp/>
        <stp>BDP|13991631524418840841</stp>
        <tr r="K317" s="2"/>
      </tp>
      <tp t="s">
        <v>#N/A N/A</v>
        <stp/>
        <stp>BDP|16554050502463613269</stp>
        <tr r="G1525" s="2"/>
      </tp>
      <tp t="s">
        <v>#N/A N/A</v>
        <stp/>
        <stp>BDP|16642672740426393502</stp>
        <tr r="K415" s="2"/>
      </tp>
      <tp t="s">
        <v>#N/A N/A</v>
        <stp/>
        <stp>BDS|15410990390926952454</stp>
        <tr r="I1611" s="2"/>
      </tp>
      <tp t="s">
        <v>#N/A N/A</v>
        <stp/>
        <stp>BDP|10344334402352439648</stp>
        <tr r="S2133" s="2"/>
      </tp>
      <tp t="s">
        <v>#N/A N/A</v>
        <stp/>
        <stp>BDP|11797296834071960611</stp>
        <tr r="J1569" s="2"/>
      </tp>
      <tp t="s">
        <v>#N/A N/A</v>
        <stp/>
        <stp>BDP|16282655939764565094</stp>
        <tr r="N240" s="2"/>
      </tp>
      <tp t="s">
        <v>#N/A N/A</v>
        <stp/>
        <stp>BDP|10240373636845929285</stp>
        <tr r="Q1684" s="2"/>
      </tp>
      <tp t="s">
        <v>#N/A N/A</v>
        <stp/>
        <stp>BDP|12121824771968255225</stp>
        <tr r="S1821" s="2"/>
      </tp>
      <tp t="s">
        <v>#N/A N/A</v>
        <stp/>
        <stp>BDP|11822241281658692493</stp>
        <tr r="G1948" s="2"/>
      </tp>
      <tp t="s">
        <v>#N/A N/A</v>
        <stp/>
        <stp>BDP|11391375804015744056</stp>
        <tr r="O719" s="2"/>
      </tp>
      <tp t="s">
        <v>#N/A N/A</v>
        <stp/>
        <stp>BDP|12192135354388322973</stp>
        <tr r="F913" s="2"/>
      </tp>
      <tp t="s">
        <v>#N/A N/A</v>
        <stp/>
        <stp>BDP|13938705493049034388</stp>
        <tr r="R1917" s="2"/>
      </tp>
      <tp t="s">
        <v>#N/A N/A</v>
        <stp/>
        <stp>BDP|18078869270623573312</stp>
        <tr r="G1611" s="2"/>
      </tp>
      <tp t="s">
        <v>#N/A N/A</v>
        <stp/>
        <stp>BDS|11245041367391188113</stp>
        <tr r="I665" s="2"/>
      </tp>
      <tp t="s">
        <v>#N/A N/A</v>
        <stp/>
        <stp>BDP|17005943459914726885</stp>
        <tr r="C2143" s="2"/>
      </tp>
      <tp t="s">
        <v>#N/A N/A</v>
        <stp/>
        <stp>BDP|10860923777859712081</stp>
        <tr r="O1722" s="2"/>
      </tp>
      <tp t="s">
        <v>#N/A N/A</v>
        <stp/>
        <stp>BDP|16159253626122699362</stp>
        <tr r="C120" s="2"/>
      </tp>
      <tp t="s">
        <v>#N/A N/A</v>
        <stp/>
        <stp>BDP|18015940656902335137</stp>
        <tr r="Q1888" s="2"/>
      </tp>
      <tp t="s">
        <v>#N/A N/A</v>
        <stp/>
        <stp>BDP|16378160665593185536</stp>
        <tr r="K926" s="2"/>
      </tp>
      <tp t="s">
        <v>#N/A N/A</v>
        <stp/>
        <stp>BDP|13658873687717152357</stp>
        <tr r="R1265" s="2"/>
      </tp>
      <tp t="s">
        <v>#N/A N/A</v>
        <stp/>
        <stp>BDP|11044044921547725304</stp>
        <tr r="O718" s="2"/>
      </tp>
      <tp t="s">
        <v>#N/A N/A</v>
        <stp/>
        <stp>BDP|16727276562294033106</stp>
        <tr r="G1531" s="2"/>
      </tp>
      <tp t="s">
        <v>#N/A N/A</v>
        <stp/>
        <stp>BDP|17605032572792303566</stp>
        <tr r="C1818" s="2"/>
      </tp>
      <tp t="s">
        <v>#N/A N/A</v>
        <stp/>
        <stp>BDP|13174739190492708879</stp>
        <tr r="E572" s="2"/>
      </tp>
      <tp t="s">
        <v>#N/A N/A</v>
        <stp/>
        <stp>BDP|15637277297459474004</stp>
        <tr r="J1512" s="2"/>
      </tp>
      <tp t="s">
        <v>#N/A N/A</v>
        <stp/>
        <stp>BDP|16036131210268453956</stp>
        <tr r="R1171" s="2"/>
      </tp>
      <tp t="s">
        <v>#N/A N/A</v>
        <stp/>
        <stp>BDP|16445108231824635714</stp>
        <tr r="C625" s="2"/>
      </tp>
      <tp t="s">
        <v>#N/A N/A</v>
        <stp/>
        <stp>BDP|16607143775277215073</stp>
        <tr r="G296" s="2"/>
      </tp>
      <tp t="s">
        <v>#N/A N/A</v>
        <stp/>
        <stp>BDP|17796475063036187407</stp>
        <tr r="P1843" s="2"/>
      </tp>
      <tp t="s">
        <v>#N/A N/A</v>
        <stp/>
        <stp>BDP|17179375215653953183</stp>
        <tr r="H1324" s="2"/>
      </tp>
      <tp t="s">
        <v>#N/A N/A</v>
        <stp/>
        <stp>BDP|18371992260734098489</stp>
        <tr r="E71" s="2"/>
      </tp>
      <tp t="s">
        <v>#N/A N/A</v>
        <stp/>
        <stp>BDP|13175026861217279526</stp>
        <tr r="E1407" s="2"/>
      </tp>
      <tp t="s">
        <v>#N/A N/A</v>
        <stp/>
        <stp>BDP|15093728944696056740</stp>
        <tr r="J1217" s="2"/>
      </tp>
      <tp t="s">
        <v>#N/A N/A</v>
        <stp/>
        <stp>BDP|14824880338891889920</stp>
        <tr r="N89" s="2"/>
      </tp>
      <tp t="s">
        <v>#N/A N/A</v>
        <stp/>
        <stp>BDP|12824660772552630686</stp>
        <tr r="F989" s="2"/>
      </tp>
      <tp t="s">
        <v>#N/A N/A</v>
        <stp/>
        <stp>BDP|12663743521012344223</stp>
        <tr r="J1943" s="2"/>
      </tp>
      <tp t="s">
        <v>#N/A N/A</v>
        <stp/>
        <stp>BDP|17401355576447219371</stp>
        <tr r="R1947" s="2"/>
      </tp>
      <tp t="s">
        <v>#N/A N/A</v>
        <stp/>
        <stp>BDP|14105745963562281069</stp>
        <tr r="M75" s="2"/>
      </tp>
      <tp t="s">
        <v>#N/A N/A</v>
        <stp/>
        <stp>BDP|12242372458176725584</stp>
        <tr r="R1451" s="2"/>
      </tp>
      <tp t="s">
        <v>#N/A N/A</v>
        <stp/>
        <stp>BDP|17024820220219150314</stp>
        <tr r="O1034" s="2"/>
      </tp>
      <tp t="s">
        <v>#N/A N/A</v>
        <stp/>
        <stp>BDP|13539023043198521832</stp>
        <tr r="D221" s="2"/>
      </tp>
      <tp t="s">
        <v>#N/A N/A</v>
        <stp/>
        <stp>BDP|15375688568305291734</stp>
        <tr r="E703" s="2"/>
      </tp>
      <tp t="s">
        <v>#N/A N/A</v>
        <stp/>
        <stp>BDP|16300851295396169605</stp>
        <tr r="Q1041" s="2"/>
      </tp>
      <tp t="s">
        <v>#N/A N/A</v>
        <stp/>
        <stp>BDP|15578732271655606733</stp>
        <tr r="H1101" s="2"/>
      </tp>
      <tp t="s">
        <v>#N/A N/A</v>
        <stp/>
        <stp>BDP|10498468051715472351</stp>
        <tr r="N1211" s="2"/>
      </tp>
      <tp t="s">
        <v>#N/A N/A</v>
        <stp/>
        <stp>BDP|12587298304957994030</stp>
        <tr r="D1057" s="2"/>
      </tp>
      <tp t="s">
        <v>#N/A N/A</v>
        <stp/>
        <stp>BDS|10089032391876549866</stp>
        <tr r="I694" s="2"/>
      </tp>
      <tp t="s">
        <v>#N/A N/A</v>
        <stp/>
        <stp>BDP|16345264307727175410</stp>
        <tr r="H778" s="2"/>
      </tp>
      <tp t="s">
        <v>#N/A N/A</v>
        <stp/>
        <stp>BDP|17617721323104745125</stp>
        <tr r="D854" s="2"/>
      </tp>
      <tp t="s">
        <v>#N/A N/A</v>
        <stp/>
        <stp>BDP|10293521542903334532</stp>
        <tr r="E175" s="2"/>
      </tp>
      <tp t="s">
        <v>#N/A N/A</v>
        <stp/>
        <stp>BDP|11445661778004960313</stp>
        <tr r="M1552" s="2"/>
      </tp>
      <tp t="s">
        <v>#N/A N/A</v>
        <stp/>
        <stp>BDP|10844754553003848643</stp>
        <tr r="A378" s="2"/>
      </tp>
      <tp t="s">
        <v>#N/A N/A</v>
        <stp/>
        <stp>BDP|14883293433283797177</stp>
        <tr r="P7" s="2"/>
      </tp>
      <tp t="s">
        <v>#N/A N/A</v>
        <stp/>
        <stp>BDP|15025243873126344163</stp>
        <tr r="F1377" s="2"/>
      </tp>
      <tp t="s">
        <v>#N/A N/A</v>
        <stp/>
        <stp>BDP|16640207394019516355</stp>
        <tr r="K932" s="2"/>
      </tp>
      <tp t="s">
        <v>#N/A N/A</v>
        <stp/>
        <stp>BDP|13616925852299541115</stp>
        <tr r="O902" s="2"/>
      </tp>
      <tp t="s">
        <v>#N/A N/A</v>
        <stp/>
        <stp>BDP|10706390731257439097</stp>
        <tr r="C135" s="2"/>
      </tp>
      <tp t="s">
        <v>#N/A N/A</v>
        <stp/>
        <stp>BDP|10090716369971818721</stp>
        <tr r="M308" s="2"/>
      </tp>
      <tp t="s">
        <v>#N/A N/A</v>
        <stp/>
        <stp>BDP|10075188923206983203</stp>
        <tr r="G843" s="2"/>
      </tp>
      <tp t="s">
        <v>#N/A N/A</v>
        <stp/>
        <stp>BDP|13107525825296699528</stp>
        <tr r="P1722" s="2"/>
      </tp>
      <tp t="s">
        <v>#N/A N/A</v>
        <stp/>
        <stp>BDP|14120425748485066693</stp>
        <tr r="M771" s="2"/>
      </tp>
      <tp t="s">
        <v>#N/A N/A</v>
        <stp/>
        <stp>BDP|13458168575516497417</stp>
        <tr r="K527" s="2"/>
      </tp>
      <tp t="s">
        <v>#N/A N/A</v>
        <stp/>
        <stp>BDP|12951859016835146996</stp>
        <tr r="O1848" s="2"/>
      </tp>
      <tp t="s">
        <v>#N/A N/A</v>
        <stp/>
        <stp>BDP|13714941552518223011</stp>
        <tr r="C432" s="2"/>
      </tp>
      <tp t="s">
        <v>#N/A N/A</v>
        <stp/>
        <stp>BDP|13144088948053484371</stp>
        <tr r="F1037" s="2"/>
      </tp>
      <tp t="s">
        <v>#N/A N/A</v>
        <stp/>
        <stp>BDP|12032679832916123664</stp>
        <tr r="F1140" s="2"/>
      </tp>
      <tp t="s">
        <v>#N/A N/A</v>
        <stp/>
        <stp>BDP|16315727752491443253</stp>
        <tr r="N548" s="2"/>
      </tp>
      <tp t="s">
        <v>#N/A N/A</v>
        <stp/>
        <stp>BDP|10540210440418410924</stp>
        <tr r="A1579" s="2"/>
      </tp>
      <tp t="s">
        <v>#N/A N/A</v>
        <stp/>
        <stp>BDP|11784063361403225308</stp>
        <tr r="P1039" s="2"/>
      </tp>
      <tp t="s">
        <v>#N/A N/A</v>
        <stp/>
        <stp>BDP|17403797017791056781</stp>
        <tr r="R912" s="2"/>
      </tp>
      <tp t="s">
        <v>#N/A N/A</v>
        <stp/>
        <stp>BDP|18030557674114242915</stp>
        <tr r="O150" s="2"/>
      </tp>
      <tp t="s">
        <v>#N/A N/A</v>
        <stp/>
        <stp>BDP|16418156066391560706</stp>
        <tr r="H332" s="2"/>
      </tp>
      <tp t="s">
        <v>#N/A N/A</v>
        <stp/>
        <stp>BDP|10200706277760499743</stp>
        <tr r="D1096" s="2"/>
      </tp>
      <tp t="s">
        <v>#N/A N/A</v>
        <stp/>
        <stp>BDP|17377779083429649645</stp>
        <tr r="K587" s="2"/>
      </tp>
      <tp t="s">
        <v>#N/A N/A</v>
        <stp/>
        <stp>BDP|17778338835195336576</stp>
        <tr r="K1729" s="2"/>
      </tp>
      <tp t="s">
        <v>#N/A N/A</v>
        <stp/>
        <stp>BDP|16297377568201932514</stp>
        <tr r="D1663" s="2"/>
      </tp>
      <tp t="s">
        <v>#N/A N/A</v>
        <stp/>
        <stp>BDP|11590328676207095541</stp>
        <tr r="P1257" s="2"/>
      </tp>
      <tp t="s">
        <v>#N/A N/A</v>
        <stp/>
        <stp>BDS|12029559962334630270</stp>
        <tr r="I1144" s="2"/>
      </tp>
      <tp t="s">
        <v>#N/A N/A</v>
        <stp/>
        <stp>BDP|11177413485283497945</stp>
        <tr r="D314" s="2"/>
      </tp>
      <tp t="s">
        <v>#N/A N/A</v>
        <stp/>
        <stp>BDP|10898441603840225388</stp>
        <tr r="O1879" s="2"/>
      </tp>
      <tp t="s">
        <v>#N/A N/A</v>
        <stp/>
        <stp>BDP|12499964496960671579</stp>
        <tr r="G740" s="2"/>
      </tp>
      <tp t="s">
        <v>#N/A N/A</v>
        <stp/>
        <stp>BDP|17475161900439715809</stp>
        <tr r="D1105" s="2"/>
      </tp>
      <tp t="s">
        <v>#N/A N/A</v>
        <stp/>
        <stp>BDP|14928587968231897144</stp>
        <tr r="M755" s="2"/>
      </tp>
      <tp t="s">
        <v>#N/A N/A</v>
        <stp/>
        <stp>BDP|11741478012000315347</stp>
        <tr r="J1161" s="2"/>
      </tp>
      <tp t="s">
        <v>#N/A N/A</v>
        <stp/>
        <stp>BDP|18221359320426274802</stp>
        <tr r="G303" s="2"/>
      </tp>
      <tp t="s">
        <v>#N/A N/A</v>
        <stp/>
        <stp>BDP|10631499335729707987</stp>
        <tr r="G2012" s="2"/>
      </tp>
      <tp t="s">
        <v>#N/A N/A</v>
        <stp/>
        <stp>BDP|15770453286368095614</stp>
        <tr r="S1059" s="2"/>
      </tp>
      <tp t="s">
        <v>#N/A N/A</v>
        <stp/>
        <stp>BDP|10855514559662585505</stp>
        <tr r="T2038" s="2"/>
      </tp>
      <tp t="s">
        <v>#N/A N/A</v>
        <stp/>
        <stp>BDP|14081153048907013189</stp>
        <tr r="O1152" s="2"/>
      </tp>
      <tp t="s">
        <v>#N/A N/A</v>
        <stp/>
        <stp>BDS|13015158443352939390</stp>
        <tr r="I882" s="2"/>
      </tp>
      <tp t="s">
        <v>#N/A N/A</v>
        <stp/>
        <stp>BDP|17456977442729049448</stp>
        <tr r="J177" s="2"/>
      </tp>
      <tp t="s">
        <v>#N/A N/A</v>
        <stp/>
        <stp>BDP|12124269179361259194</stp>
        <tr r="H1563" s="2"/>
      </tp>
      <tp t="s">
        <v>#N/A N/A</v>
        <stp/>
        <stp>BDP|15468725300546278318</stp>
        <tr r="M442" s="2"/>
      </tp>
      <tp t="s">
        <v>#N/A N/A</v>
        <stp/>
        <stp>BDP|14687753437177555046</stp>
        <tr r="Q1395" s="2"/>
      </tp>
      <tp t="s">
        <v>#N/A N/A</v>
        <stp/>
        <stp>BDP|14316171914896655534</stp>
        <tr r="P315" s="2"/>
      </tp>
      <tp t="s">
        <v>#N/A N/A</v>
        <stp/>
        <stp>BDP|18153969859310309386</stp>
        <tr r="T1805" s="2"/>
      </tp>
      <tp t="s">
        <v>#N/A N/A</v>
        <stp/>
        <stp>BDP|16145212124070195107</stp>
        <tr r="D1846" s="2"/>
      </tp>
      <tp t="s">
        <v>#N/A N/A</v>
        <stp/>
        <stp>BDP|13292736107154037735</stp>
        <tr r="A1951" s="2"/>
      </tp>
      <tp t="s">
        <v>#N/A N/A</v>
        <stp/>
        <stp>BDP|16772268004706573557</stp>
        <tr r="M653" s="2"/>
      </tp>
      <tp t="s">
        <v>#N/A N/A</v>
        <stp/>
        <stp>BDP|12380367316444714312</stp>
        <tr r="O276" s="2"/>
      </tp>
      <tp t="s">
        <v>#N/A N/A</v>
        <stp/>
        <stp>BDP|11776511761916298309</stp>
        <tr r="A1477" s="2"/>
      </tp>
      <tp t="s">
        <v>#N/A N/A</v>
        <stp/>
        <stp>BDP|17683323750654076215</stp>
        <tr r="S1753" s="2"/>
      </tp>
      <tp t="s">
        <v>#N/A N/A</v>
        <stp/>
        <stp>BDP|14731846294916454466</stp>
        <tr r="M112" s="2"/>
      </tp>
      <tp t="s">
        <v>#N/A N/A</v>
        <stp/>
        <stp>BDP|11108375865337702419</stp>
        <tr r="G83" s="2"/>
      </tp>
      <tp t="s">
        <v>#N/A N/A</v>
        <stp/>
        <stp>BDP|17966597544617213639</stp>
        <tr r="O1089" s="2"/>
      </tp>
      <tp t="s">
        <v>#N/A N/A</v>
        <stp/>
        <stp>BDP|14018208100574127540</stp>
        <tr r="C1934" s="2"/>
      </tp>
      <tp t="s">
        <v>#N/A N/A</v>
        <stp/>
        <stp>BDP|16344398263220916451</stp>
        <tr r="E40" s="2"/>
      </tp>
      <tp t="s">
        <v>#N/A N/A</v>
        <stp/>
        <stp>BDP|13364091201354697080</stp>
        <tr r="Q351" s="2"/>
      </tp>
      <tp t="s">
        <v>#N/A N/A</v>
        <stp/>
        <stp>BDP|10901846652809825321</stp>
        <tr r="A751" s="2"/>
      </tp>
      <tp t="s">
        <v>#N/A N/A</v>
        <stp/>
        <stp>BDS|10458752425821014322</stp>
        <tr r="I1607" s="2"/>
      </tp>
      <tp t="s">
        <v>#N/A N/A</v>
        <stp/>
        <stp>BDP|12312151703901572552</stp>
        <tr r="S1602" s="2"/>
      </tp>
      <tp t="s">
        <v>#N/A N/A</v>
        <stp/>
        <stp>BDP|11658612859835325081</stp>
        <tr r="Q43" s="2"/>
      </tp>
      <tp t="s">
        <v>#N/A N/A</v>
        <stp/>
        <stp>BDP|11994885194063505450</stp>
        <tr r="O413" s="2"/>
      </tp>
      <tp t="s">
        <v>#N/A N/A</v>
        <stp/>
        <stp>BDP|12296502223122210067</stp>
        <tr r="C699" s="2"/>
      </tp>
      <tp t="s">
        <v>#N/A N/A</v>
        <stp/>
        <stp>BDP|15706176654305111308</stp>
        <tr r="T725" s="2"/>
      </tp>
      <tp t="s">
        <v>#N/A N/A</v>
        <stp/>
        <stp>BDP|13826587548396953340</stp>
        <tr r="S587" s="2"/>
      </tp>
      <tp t="s">
        <v>#N/A N/A</v>
        <stp/>
        <stp>BDP|11404227945336026665</stp>
        <tr r="N356" s="2"/>
      </tp>
      <tp t="s">
        <v>#N/A N/A</v>
        <stp/>
        <stp>BDP|12997159417486953372</stp>
        <tr r="S280" s="2"/>
      </tp>
      <tp t="s">
        <v>#N/A N/A</v>
        <stp/>
        <stp>BDP|10322096780066906967</stp>
        <tr r="M2243" s="2"/>
      </tp>
      <tp t="s">
        <v>#N/A N/A</v>
        <stp/>
        <stp>BDS|13568237446345579736</stp>
        <tr r="I1830" s="2"/>
      </tp>
      <tp t="s">
        <v>#N/A N/A</v>
        <stp/>
        <stp>BDP|14705285124141933274</stp>
        <tr r="K785" s="2"/>
      </tp>
      <tp t="s">
        <v>#N/A N/A</v>
        <stp/>
        <stp>BDP|14700328516802378355</stp>
        <tr r="Q333" s="2"/>
      </tp>
      <tp t="s">
        <v>#N/A N/A</v>
        <stp/>
        <stp>BDP|13398499313506832744</stp>
        <tr r="G1205" s="2"/>
      </tp>
      <tp t="s">
        <v>#N/A N/A</v>
        <stp/>
        <stp>BDP|16809989286519290917</stp>
        <tr r="M758" s="2"/>
      </tp>
      <tp t="s">
        <v>#N/A N/A</v>
        <stp/>
        <stp>BDP|10935611647377910232</stp>
        <tr r="G1533" s="2"/>
      </tp>
      <tp t="s">
        <v>#N/A N/A</v>
        <stp/>
        <stp>BDP|11623799087828955144</stp>
        <tr r="P1043" s="2"/>
      </tp>
      <tp t="s">
        <v>#N/A N/A</v>
        <stp/>
        <stp>BDP|13293421088630554889</stp>
        <tr r="D1830" s="2"/>
      </tp>
      <tp t="s">
        <v>#N/A N/A</v>
        <stp/>
        <stp>BDP|15114041601357850594</stp>
        <tr r="S2053" s="2"/>
      </tp>
      <tp t="s">
        <v>#N/A N/A</v>
        <stp/>
        <stp>BDP|13262703151344534237</stp>
        <tr r="G126" s="2"/>
      </tp>
      <tp t="s">
        <v>#N/A N/A</v>
        <stp/>
        <stp>BDP|13009616067690378406</stp>
        <tr r="J772" s="2"/>
      </tp>
      <tp t="s">
        <v>#N/A N/A</v>
        <stp/>
        <stp>BDP|18121899978051397163</stp>
        <tr r="T555" s="2"/>
      </tp>
      <tp t="s">
        <v>#N/A N/A</v>
        <stp/>
        <stp>BDP|15104654255119143850</stp>
        <tr r="T188" s="2"/>
      </tp>
      <tp t="s">
        <v>#N/A N/A</v>
        <stp/>
        <stp>BDP|16979290189162970951</stp>
        <tr r="F2201" s="2"/>
      </tp>
      <tp t="s">
        <v>#N/A N/A</v>
        <stp/>
        <stp>BDP|13543716541041238621</stp>
        <tr r="Q101" s="2"/>
      </tp>
      <tp t="s">
        <v>#N/A N/A</v>
        <stp/>
        <stp>BDP|10530916504436643835</stp>
        <tr r="F1504" s="2"/>
      </tp>
      <tp t="s">
        <v>#N/A N/A</v>
        <stp/>
        <stp>BDP|17441911017180638817</stp>
        <tr r="C175" s="2"/>
      </tp>
      <tp t="s">
        <v>#N/A N/A</v>
        <stp/>
        <stp>BDP|15337727099255932945</stp>
        <tr r="G1760" s="2"/>
      </tp>
      <tp t="s">
        <v>#N/A N/A</v>
        <stp/>
        <stp>BDP|17154814286068120823</stp>
        <tr r="F2058" s="2"/>
      </tp>
      <tp t="s">
        <v>#N/A N/A</v>
        <stp/>
        <stp>BDS|11685219276657242453</stp>
        <tr r="I563" s="2"/>
      </tp>
      <tp t="s">
        <v>#N/A N/A</v>
        <stp/>
        <stp>BDP|10454020290429677756</stp>
        <tr r="E907" s="2"/>
      </tp>
      <tp t="s">
        <v>#N/A N/A</v>
        <stp/>
        <stp>BDP|11112106117711579760</stp>
        <tr r="N1037" s="2"/>
      </tp>
      <tp t="s">
        <v>#N/A N/A</v>
        <stp/>
        <stp>BDP|16021318931426491710</stp>
        <tr r="F736" s="2"/>
      </tp>
      <tp t="s">
        <v>#N/A N/A</v>
        <stp/>
        <stp>BDP|15036158647813075473</stp>
        <tr r="G1729" s="2"/>
      </tp>
      <tp t="s">
        <v>#N/A N/A</v>
        <stp/>
        <stp>BDS|12390686185073807808</stp>
        <tr r="I1898" s="2"/>
      </tp>
      <tp t="s">
        <v>#N/A N/A</v>
        <stp/>
        <stp>BDP|10218397940118662886</stp>
        <tr r="E928" s="2"/>
      </tp>
      <tp t="s">
        <v>#N/A N/A</v>
        <stp/>
        <stp>BDP|12602253677167510744</stp>
        <tr r="F1618" s="2"/>
      </tp>
      <tp t="s">
        <v>#N/A N/A</v>
        <stp/>
        <stp>BDP|13686028640890783066</stp>
        <tr r="D847" s="2"/>
      </tp>
      <tp t="s">
        <v>#N/A N/A</v>
        <stp/>
        <stp>BDP|15213016225173291319</stp>
        <tr r="A934" s="2"/>
      </tp>
      <tp t="s">
        <v>#N/A N/A</v>
        <stp/>
        <stp>BDP|12171811653600455823</stp>
        <tr r="T495" s="2"/>
      </tp>
      <tp t="s">
        <v>#N/A N/A</v>
        <stp/>
        <stp>BDP|17073622134497736247</stp>
        <tr r="C1170" s="2"/>
      </tp>
      <tp t="s">
        <v>#N/A N/A</v>
        <stp/>
        <stp>BDP|12277003915831291500</stp>
        <tr r="Q2040" s="2"/>
      </tp>
      <tp t="s">
        <v>#N/A N/A</v>
        <stp/>
        <stp>BDP|10392112734987764241</stp>
        <tr r="P881" s="2"/>
      </tp>
      <tp t="s">
        <v>#N/A N/A</v>
        <stp/>
        <stp>BDP|12454811303554044930</stp>
        <tr r="F2" s="2"/>
      </tp>
      <tp t="s">
        <v>#N/A N/A</v>
        <stp/>
        <stp>BDP|17654183608720320106</stp>
        <tr r="S971" s="2"/>
      </tp>
      <tp t="s">
        <v>#N/A N/A</v>
        <stp/>
        <stp>BDP|14457373217801936088</stp>
        <tr r="F2024" s="2"/>
      </tp>
      <tp t="s">
        <v>#N/A N/A</v>
        <stp/>
        <stp>BDP|14191318874570602770</stp>
        <tr r="E233" s="2"/>
      </tp>
      <tp t="s">
        <v>#N/A N/A</v>
        <stp/>
        <stp>BDP|12498483668966731164</stp>
        <tr r="E1556" s="2"/>
      </tp>
      <tp t="s">
        <v>#N/A N/A</v>
        <stp/>
        <stp>BDP|16053035516064444440</stp>
        <tr r="N1885" s="2"/>
      </tp>
      <tp t="s">
        <v>#N/A N/A</v>
        <stp/>
        <stp>BDP|16211450146739537811</stp>
        <tr r="P485" s="2"/>
      </tp>
      <tp t="s">
        <v>#N/A N/A</v>
        <stp/>
        <stp>BDP|16314050455032227647</stp>
        <tr r="S156" s="2"/>
      </tp>
      <tp t="s">
        <v>#N/A N/A</v>
        <stp/>
        <stp>BDP|12737100839685941225</stp>
        <tr r="E1731" s="2"/>
      </tp>
      <tp t="s">
        <v>#N/A N/A</v>
        <stp/>
        <stp>BDP|16998196737641626250</stp>
        <tr r="N2017" s="2"/>
      </tp>
      <tp t="s">
        <v>#N/A N/A</v>
        <stp/>
        <stp>BDP|16761228955705227360</stp>
        <tr r="M1377" s="2"/>
      </tp>
      <tp t="s">
        <v>#N/A N/A</v>
        <stp/>
        <stp>BDP|14211577687359670708</stp>
        <tr r="N745" s="2"/>
      </tp>
      <tp t="s">
        <v>#N/A N/A</v>
        <stp/>
        <stp>BDP|14811525909470602619</stp>
        <tr r="G1024" s="2"/>
      </tp>
      <tp t="s">
        <v>#N/A N/A</v>
        <stp/>
        <stp>BDP|14539656062151383255</stp>
        <tr r="C715" s="2"/>
      </tp>
      <tp t="s">
        <v>#N/A N/A</v>
        <stp/>
        <stp>BDP|17945419519513758624</stp>
        <tr r="D1154" s="2"/>
      </tp>
      <tp t="s">
        <v>#N/A N/A</v>
        <stp/>
        <stp>BDP|10358639505292760361</stp>
        <tr r="H697" s="2"/>
      </tp>
      <tp t="s">
        <v>#N/A N/A</v>
        <stp/>
        <stp>BDP|16777379341710085658</stp>
        <tr r="A939" s="2"/>
      </tp>
      <tp t="s">
        <v>#N/A N/A</v>
        <stp/>
        <stp>BDP|12609444646342298727</stp>
        <tr r="A1690" s="2"/>
      </tp>
      <tp t="s">
        <v>#N/A N/A</v>
        <stp/>
        <stp>BDP|13664579704512118303</stp>
        <tr r="K2178" s="2"/>
      </tp>
      <tp t="s">
        <v>#N/A N/A</v>
        <stp/>
        <stp>BDS|14281362779105323291</stp>
        <tr r="I519" s="2"/>
      </tp>
      <tp t="s">
        <v>#N/A N/A</v>
        <stp/>
        <stp>BDP|16192045405406012741</stp>
        <tr r="R2130" s="2"/>
      </tp>
      <tp t="s">
        <v>#N/A N/A</v>
        <stp/>
        <stp>BDP|11980949418746876899</stp>
        <tr r="G366" s="2"/>
      </tp>
      <tp t="s">
        <v>#N/A N/A</v>
        <stp/>
        <stp>BDP|13467046840496557619</stp>
        <tr r="S837" s="2"/>
      </tp>
      <tp t="s">
        <v>#N/A N/A</v>
        <stp/>
        <stp>BDP|16811667827307594283</stp>
        <tr r="R1012" s="2"/>
      </tp>
      <tp t="s">
        <v>#N/A N/A</v>
        <stp/>
        <stp>BDP|13135028124052168422</stp>
        <tr r="E1905" s="2"/>
      </tp>
      <tp t="s">
        <v>#N/A N/A</v>
        <stp/>
        <stp>BDP|15678052868984720081</stp>
        <tr r="R170" s="2"/>
      </tp>
      <tp t="s">
        <v>#N/A N/A</v>
        <stp/>
        <stp>BDP|10088540452764300310</stp>
        <tr r="O1961" s="2"/>
      </tp>
      <tp t="s">
        <v>#N/A N/A</v>
        <stp/>
        <stp>BDP|10196326628532749481</stp>
        <tr r="M991" s="2"/>
      </tp>
      <tp t="s">
        <v>#N/A N/A</v>
        <stp/>
        <stp>BDP|12026359427350373450</stp>
        <tr r="Q1580" s="2"/>
      </tp>
      <tp t="s">
        <v>#N/A N/A</v>
        <stp/>
        <stp>BDP|12086336736330846596</stp>
        <tr r="P739" s="2"/>
      </tp>
      <tp t="s">
        <v>#N/A N/A</v>
        <stp/>
        <stp>BDP|15432405300124314239</stp>
        <tr r="D2134" s="2"/>
      </tp>
      <tp t="s">
        <v>#N/A N/A</v>
        <stp/>
        <stp>BDP|13492139210890009437</stp>
        <tr r="E1703" s="2"/>
      </tp>
      <tp t="s">
        <v>#N/A N/A</v>
        <stp/>
        <stp>BDP|16521523115713081661</stp>
        <tr r="N655" s="2"/>
      </tp>
      <tp t="s">
        <v>#N/A N/A</v>
        <stp/>
        <stp>BDP|12855572695690878969</stp>
        <tr r="F181" s="2"/>
      </tp>
      <tp t="s">
        <v>#N/A N/A</v>
        <stp/>
        <stp>BDP|13453435963960402647</stp>
        <tr r="N1528" s="2"/>
      </tp>
      <tp t="s">
        <v>#N/A N/A</v>
        <stp/>
        <stp>BDP|17116326165126692341</stp>
        <tr r="J1598" s="2"/>
      </tp>
      <tp t="s">
        <v>#N/A N/A</v>
        <stp/>
        <stp>BDP|13974204206242983427</stp>
        <tr r="P512" s="2"/>
      </tp>
      <tp t="s">
        <v>#N/A N/A</v>
        <stp/>
        <stp>BDP|15052033657010395731</stp>
        <tr r="Q862" s="2"/>
      </tp>
      <tp t="s">
        <v>#N/A N/A</v>
        <stp/>
        <stp>BDP|11788032451671878295</stp>
        <tr r="E36" s="2"/>
      </tp>
      <tp t="s">
        <v>#N/A N/A</v>
        <stp/>
        <stp>BDP|13536615304955283769</stp>
        <tr r="N1930" s="2"/>
      </tp>
      <tp t="s">
        <v>#N/A N/A</v>
        <stp/>
        <stp>BDS|10532762063065688314</stp>
        <tr r="I2251" s="2"/>
      </tp>
      <tp t="s">
        <v>#N/A N/A</v>
        <stp/>
        <stp>BDP|12226773822331564169</stp>
        <tr r="S1686" s="2"/>
      </tp>
      <tp t="s">
        <v>#N/A N/A</v>
        <stp/>
        <stp>BDP|11308606305813332310</stp>
        <tr r="R165" s="2"/>
      </tp>
      <tp t="s">
        <v>#N/A N/A</v>
        <stp/>
        <stp>BDP|11448377776112266039</stp>
        <tr r="H162" s="2"/>
      </tp>
      <tp t="s">
        <v>#N/A N/A</v>
        <stp/>
        <stp>BDP|16610369079517594289</stp>
        <tr r="Q1365" s="2"/>
      </tp>
      <tp t="s">
        <v>#N/A N/A</v>
        <stp/>
        <stp>BDP|14215036077994638040</stp>
        <tr r="G1724" s="2"/>
      </tp>
      <tp t="s">
        <v>#N/A N/A</v>
        <stp/>
        <stp>BDS|13718767439018789883</stp>
        <tr r="I862" s="2"/>
      </tp>
      <tp t="s">
        <v>#N/A N/A</v>
        <stp/>
        <stp>BDP|10171399366230947235</stp>
        <tr r="T1237" s="2"/>
      </tp>
      <tp t="s">
        <v>#N/A N/A</v>
        <stp/>
        <stp>BDP|15281236760824122249</stp>
        <tr r="K982" s="2"/>
      </tp>
      <tp t="s">
        <v>#N/A N/A</v>
        <stp/>
        <stp>BDP|17573253175356724368</stp>
        <tr r="O1715" s="2"/>
      </tp>
      <tp t="s">
        <v>#N/A N/A</v>
        <stp/>
        <stp>BDP|12999651026486903771</stp>
        <tr r="P1143" s="2"/>
      </tp>
      <tp t="s">
        <v>#N/A N/A</v>
        <stp/>
        <stp>BDP|15260817933789093042</stp>
        <tr r="N1938" s="2"/>
      </tp>
      <tp t="s">
        <v>#N/A N/A</v>
        <stp/>
        <stp>BDP|12428910094216284374</stp>
        <tr r="R566" s="2"/>
      </tp>
      <tp t="s">
        <v>#N/A N/A</v>
        <stp/>
        <stp>BDP|10565592627057608798</stp>
        <tr r="P1923" s="2"/>
      </tp>
      <tp t="s">
        <v>#N/A N/A</v>
        <stp/>
        <stp>BDP|10836632572415407399</stp>
        <tr r="A1223" s="2"/>
      </tp>
      <tp t="s">
        <v>#N/A N/A</v>
        <stp/>
        <stp>BDP|11485209162643585173</stp>
        <tr r="O387" s="2"/>
      </tp>
      <tp t="s">
        <v>#N/A N/A</v>
        <stp/>
        <stp>BDP|17940444049770992092</stp>
        <tr r="C115" s="2"/>
      </tp>
      <tp t="s">
        <v>#N/A N/A</v>
        <stp/>
        <stp>BDP|17422226812290040301</stp>
        <tr r="P354" s="2"/>
      </tp>
      <tp t="s">
        <v>#N/A N/A</v>
        <stp/>
        <stp>BDP|12079509183009295155</stp>
        <tr r="E142" s="2"/>
      </tp>
      <tp t="s">
        <v>#N/A N/A</v>
        <stp/>
        <stp>BDP|10943677954620977470</stp>
        <tr r="C2141" s="2"/>
      </tp>
      <tp t="s">
        <v>#N/A N/A</v>
        <stp/>
        <stp>BDP|11737793878764620247</stp>
        <tr r="T1589" s="2"/>
      </tp>
      <tp t="s">
        <v>#N/A N/A</v>
        <stp/>
        <stp>BDP|12155321892919295676</stp>
        <tr r="F1952" s="2"/>
      </tp>
      <tp t="s">
        <v>#N/A N/A</v>
        <stp/>
        <stp>BDP|13195248158746058591</stp>
        <tr r="S1584" s="2"/>
      </tp>
      <tp t="s">
        <v>#N/A N/A</v>
        <stp/>
        <stp>BDP|15413198739889207923</stp>
        <tr r="J1304" s="2"/>
      </tp>
      <tp t="s">
        <v>#N/A N/A</v>
        <stp/>
        <stp>BDP|10645632712381150122</stp>
        <tr r="J1893" s="2"/>
      </tp>
      <tp t="s">
        <v>#N/A N/A</v>
        <stp/>
        <stp>BDP|12673547467041767764</stp>
        <tr r="A1128" s="2"/>
      </tp>
      <tp t="s">
        <v>#N/A N/A</v>
        <stp/>
        <stp>BDP|11166452374057757233</stp>
        <tr r="S181" s="2"/>
      </tp>
      <tp t="s">
        <v>#N/A N/A</v>
        <stp/>
        <stp>BDP|16687004037465436719</stp>
        <tr r="M1084" s="2"/>
      </tp>
      <tp t="s">
        <v>#N/A N/A</v>
        <stp/>
        <stp>BDP|13540483292019960023</stp>
        <tr r="P1855" s="2"/>
      </tp>
      <tp t="s">
        <v>#N/A N/A</v>
        <stp/>
        <stp>BDP|10229474812265438776</stp>
        <tr r="E1031" s="2"/>
      </tp>
      <tp t="s">
        <v>#N/A N/A</v>
        <stp/>
        <stp>BDP|12476125401105046136</stp>
        <tr r="T1161" s="2"/>
      </tp>
      <tp t="s">
        <v>#N/A N/A</v>
        <stp/>
        <stp>BDP|12756857264419011226</stp>
        <tr r="G2160" s="2"/>
      </tp>
      <tp t="s">
        <v>#N/A N/A</v>
        <stp/>
        <stp>BDP|11768705806727355660</stp>
        <tr r="Q2132" s="2"/>
      </tp>
      <tp t="s">
        <v>#N/A N/A</v>
        <stp/>
        <stp>BDP|11854501571321504586</stp>
        <tr r="E1520" s="2"/>
      </tp>
      <tp t="s">
        <v>#N/A N/A</v>
        <stp/>
        <stp>BDP|16642952190443737200</stp>
        <tr r="D243" s="2"/>
      </tp>
      <tp t="s">
        <v>#N/A N/A</v>
        <stp/>
        <stp>BDP|14362110196989969298</stp>
        <tr r="R1542" s="2"/>
      </tp>
      <tp t="s">
        <v>#N/A N/A</v>
        <stp/>
        <stp>BDP|15414594400786025190</stp>
        <tr r="N917" s="2"/>
      </tp>
      <tp t="s">
        <v>#N/A N/A</v>
        <stp/>
        <stp>BDP|17057817193528269941</stp>
        <tr r="T450" s="2"/>
      </tp>
      <tp t="s">
        <v>#N/A N/A</v>
        <stp/>
        <stp>BDP|15248131311386108456</stp>
        <tr r="C2219" s="2"/>
      </tp>
      <tp t="s">
        <v>#N/A N/A</v>
        <stp/>
        <stp>BDP|16616360397653545863</stp>
        <tr r="A349" s="2"/>
      </tp>
      <tp t="s">
        <v>#N/A N/A</v>
        <stp/>
        <stp>BDP|16348649963724995593</stp>
        <tr r="C834" s="2"/>
      </tp>
      <tp t="s">
        <v>#N/A N/A</v>
        <stp/>
        <stp>BDP|10595051173219594923</stp>
        <tr r="M905" s="2"/>
      </tp>
      <tp t="s">
        <v>#N/A N/A</v>
        <stp/>
        <stp>BDP|14476252504305822494</stp>
        <tr r="G696" s="2"/>
      </tp>
      <tp t="s">
        <v>#N/A N/A</v>
        <stp/>
        <stp>BDP|16332512901314447031</stp>
        <tr r="O1975" s="2"/>
      </tp>
      <tp t="s">
        <v>#N/A N/A</v>
        <stp/>
        <stp>BDP|15033227210083036260</stp>
        <tr r="E108" s="2"/>
      </tp>
      <tp t="s">
        <v>#N/A N/A</v>
        <stp/>
        <stp>BDP|13289848517379755421</stp>
        <tr r="K2240" s="2"/>
      </tp>
      <tp t="s">
        <v>#N/A N/A</v>
        <stp/>
        <stp>BDP|10090375804972674615</stp>
        <tr r="O1055" s="2"/>
      </tp>
      <tp t="s">
        <v>#N/A N/A</v>
        <stp/>
        <stp>BDP|11715582724157962663</stp>
        <tr r="O1011" s="2"/>
      </tp>
      <tp t="s">
        <v>#N/A N/A</v>
        <stp/>
        <stp>BDP|11868937907428025780</stp>
        <tr r="M784" s="2"/>
      </tp>
      <tp t="s">
        <v>#N/A N/A</v>
        <stp/>
        <stp>BDP|12577825874778559227</stp>
        <tr r="M110" s="2"/>
      </tp>
      <tp t="s">
        <v>#N/A N/A</v>
        <stp/>
        <stp>BDP|17241270339921920018</stp>
        <tr r="J2220" s="2"/>
      </tp>
      <tp t="s">
        <v>#N/A N/A</v>
        <stp/>
        <stp>BDP|18249917480659237750</stp>
        <tr r="H969" s="2"/>
      </tp>
      <tp t="s">
        <v>#N/A N/A</v>
        <stp/>
        <stp>BDP|15361339740156219369</stp>
        <tr r="Q1929" s="2"/>
      </tp>
      <tp t="s">
        <v>#N/A N/A</v>
        <stp/>
        <stp>BDP|17356133204578949991</stp>
        <tr r="P1651" s="2"/>
      </tp>
      <tp t="s">
        <v>#N/A N/A</v>
        <stp/>
        <stp>BDP|10540417734831144159</stp>
        <tr r="A2071" s="2"/>
      </tp>
      <tp t="s">
        <v>#N/A N/A</v>
        <stp/>
        <stp>BDP|16470585728105607365</stp>
        <tr r="G2107" s="2"/>
      </tp>
      <tp t="s">
        <v>#N/A N/A</v>
        <stp/>
        <stp>BDP|12320247472362641274</stp>
        <tr r="J1870" s="2"/>
      </tp>
      <tp t="s">
        <v>#N/A N/A</v>
        <stp/>
        <stp>BDP|15236903901028460333</stp>
        <tr r="E774" s="2"/>
      </tp>
      <tp t="s">
        <v>#N/A N/A</v>
        <stp/>
        <stp>BDP|14472716548186011694</stp>
        <tr r="H2008" s="2"/>
      </tp>
      <tp t="s">
        <v>#N/A N/A</v>
        <stp/>
        <stp>BDP|16550751705783936585</stp>
        <tr r="N1199" s="2"/>
      </tp>
      <tp t="s">
        <v>#N/A N/A</v>
        <stp/>
        <stp>BDP|17095533953813024345</stp>
        <tr r="E2208" s="2"/>
      </tp>
      <tp t="s">
        <v>#N/A N/A</v>
        <stp/>
        <stp>BDP|11192739518985744598</stp>
        <tr r="O85" s="2"/>
      </tp>
      <tp t="s">
        <v>#N/A N/A</v>
        <stp/>
        <stp>BDP|11432134238395353184</stp>
        <tr r="O1632" s="2"/>
      </tp>
      <tp t="s">
        <v>#N/A N/A</v>
        <stp/>
        <stp>BDP|16666189037580474398</stp>
        <tr r="N559" s="2"/>
      </tp>
      <tp t="s">
        <v>#N/A N/A</v>
        <stp/>
        <stp>BDP|13302604834998006938</stp>
        <tr r="D1712" s="2"/>
      </tp>
      <tp t="s">
        <v>#N/A N/A</v>
        <stp/>
        <stp>BDP|12733688554450624698</stp>
        <tr r="A695" s="2"/>
      </tp>
      <tp t="s">
        <v>#N/A N/A</v>
        <stp/>
        <stp>BDP|17212741527377236275</stp>
        <tr r="F1122" s="2"/>
      </tp>
      <tp t="s">
        <v>#N/A N/A</v>
        <stp/>
        <stp>BDP|12396147447253404309</stp>
        <tr r="P960" s="2"/>
      </tp>
      <tp t="s">
        <v>#N/A N/A</v>
        <stp/>
        <stp>BDP|13776725698442136880</stp>
        <tr r="E1360" s="2"/>
      </tp>
      <tp t="s">
        <v>#N/A N/A</v>
        <stp/>
        <stp>BDP|17281384925454284594</stp>
        <tr r="J277" s="2"/>
      </tp>
      <tp t="s">
        <v>#N/A N/A</v>
        <stp/>
        <stp>BDP|13989577968260283701</stp>
        <tr r="C613" s="2"/>
      </tp>
      <tp t="s">
        <v>#N/A N/A</v>
        <stp/>
        <stp>BDP|14005226452131567515</stp>
        <tr r="C1007" s="2"/>
      </tp>
      <tp t="s">
        <v>#N/A N/A</v>
        <stp/>
        <stp>BDP|16539942169689525791</stp>
        <tr r="M2133" s="2"/>
      </tp>
      <tp t="s">
        <v>#N/A N/A</v>
        <stp/>
        <stp>BDP|14822817227359212083</stp>
        <tr r="M2232" s="2"/>
      </tp>
      <tp t="s">
        <v>#N/A N/A</v>
        <stp/>
        <stp>BDP|10404569744950326616</stp>
        <tr r="E763" s="2"/>
      </tp>
      <tp t="s">
        <v>#N/A N/A</v>
        <stp/>
        <stp>BDP|11163409373394489120</stp>
        <tr r="J978" s="2"/>
      </tp>
      <tp t="s">
        <v>#N/A N/A</v>
        <stp/>
        <stp>BDP|14858083352102518432</stp>
        <tr r="P1414" s="2"/>
      </tp>
      <tp t="s">
        <v>#N/A N/A</v>
        <stp/>
        <stp>BDP|12624157832486316164</stp>
        <tr r="O333" s="2"/>
      </tp>
      <tp t="s">
        <v>#N/A N/A</v>
        <stp/>
        <stp>BDP|14929163831201804018</stp>
        <tr r="T1782" s="2"/>
      </tp>
      <tp t="s">
        <v>#N/A N/A</v>
        <stp/>
        <stp>BDP|17369465925971123763</stp>
        <tr r="A2212" s="2"/>
      </tp>
      <tp t="s">
        <v>#N/A N/A</v>
        <stp/>
        <stp>BDP|15354237777633696466</stp>
        <tr r="M614" s="2"/>
      </tp>
      <tp t="s">
        <v>#N/A N/A</v>
        <stp/>
        <stp>BDP|11330519354535139306</stp>
        <tr r="P56" s="2"/>
      </tp>
      <tp t="s">
        <v>#N/A N/A</v>
        <stp/>
        <stp>BDP|14064404208971849675</stp>
        <tr r="A360" s="2"/>
      </tp>
      <tp t="s">
        <v>#N/A N/A</v>
        <stp/>
        <stp>BDP|17670126202069391822</stp>
        <tr r="D1894" s="2"/>
      </tp>
      <tp t="s">
        <v>#N/A N/A</v>
        <stp/>
        <stp>BDP|16795106501247640773</stp>
        <tr r="M36" s="2"/>
      </tp>
      <tp t="s">
        <v>#N/A N/A</v>
        <stp/>
        <stp>BDP|12173467683238506168</stp>
        <tr r="C1021" s="2"/>
      </tp>
      <tp t="s">
        <v>#N/A N/A</v>
        <stp/>
        <stp>BDP|10435363603766096264</stp>
        <tr r="O2141" s="2"/>
      </tp>
      <tp t="s">
        <v>#N/A N/A</v>
        <stp/>
        <stp>BDP|11447437570573769679</stp>
        <tr r="O2005" s="2"/>
      </tp>
      <tp t="s">
        <v>#N/A N/A</v>
        <stp/>
        <stp>BDP|16309333039775991474</stp>
        <tr r="R1309" s="2"/>
      </tp>
      <tp t="s">
        <v>#N/A N/A</v>
        <stp/>
        <stp>BDP|11199709766547183014</stp>
        <tr r="C1153" s="2"/>
      </tp>
      <tp t="s">
        <v>#N/A N/A</v>
        <stp/>
        <stp>BDS|14881337979980369759</stp>
        <tr r="I505" s="2"/>
      </tp>
      <tp t="s">
        <v>#N/A N/A</v>
        <stp/>
        <stp>BDP|12248768981892592874</stp>
        <tr r="N162" s="2"/>
      </tp>
      <tp t="s">
        <v>#N/A N/A</v>
        <stp/>
        <stp>BDP|16115047943514987182</stp>
        <tr r="D1244" s="2"/>
      </tp>
      <tp t="s">
        <v>#N/A N/A</v>
        <stp/>
        <stp>BDP|12120651160900034530</stp>
        <tr r="T857" s="2"/>
      </tp>
      <tp t="s">
        <v>#N/A N/A</v>
        <stp/>
        <stp>BDP|16156613750900746202</stp>
        <tr r="S248" s="2"/>
      </tp>
      <tp t="s">
        <v>#N/A N/A</v>
        <stp/>
        <stp>BDP|17943349259850543668</stp>
        <tr r="M1894" s="2"/>
      </tp>
      <tp t="s">
        <v>#N/A N/A</v>
        <stp/>
        <stp>BDS|18392681161286636981</stp>
        <tr r="I723" s="2"/>
      </tp>
      <tp t="s">
        <v>#N/A N/A</v>
        <stp/>
        <stp>BDP|14756140840804170255</stp>
        <tr r="M1027" s="2"/>
      </tp>
      <tp t="s">
        <v>#N/A N/A</v>
        <stp/>
        <stp>BDP|11876022632285701088</stp>
        <tr r="S1900" s="2"/>
      </tp>
      <tp t="s">
        <v>#N/A N/A</v>
        <stp/>
        <stp>BDP|10763038543820015308</stp>
        <tr r="J93" s="2"/>
      </tp>
      <tp t="s">
        <v>#N/A N/A</v>
        <stp/>
        <stp>BDP|17903936942028999560</stp>
        <tr r="N2083" s="2"/>
      </tp>
      <tp t="s">
        <v>#N/A N/A</v>
        <stp/>
        <stp>BDP|13548599828624151721</stp>
        <tr r="F1538" s="2"/>
      </tp>
      <tp t="s">
        <v>#N/A N/A</v>
        <stp/>
        <stp>BDP|16563383994009939279</stp>
        <tr r="D1637" s="2"/>
      </tp>
      <tp t="s">
        <v>#N/A N/A</v>
        <stp/>
        <stp>BDP|10117059202090450753</stp>
        <tr r="G2163" s="2"/>
      </tp>
      <tp t="s">
        <v>#N/A N/A</v>
        <stp/>
        <stp>BDP|10755369056121448047</stp>
        <tr r="J934" s="2"/>
      </tp>
      <tp t="s">
        <v>#N/A N/A</v>
        <stp/>
        <stp>BDP|11961937350488931248</stp>
        <tr r="S1053" s="2"/>
      </tp>
      <tp t="s">
        <v>#N/A N/A</v>
        <stp/>
        <stp>BDP|10899480862332257771</stp>
        <tr r="S165" s="2"/>
      </tp>
      <tp t="s">
        <v>#N/A N/A</v>
        <stp/>
        <stp>BDP|15482327211534266422</stp>
        <tr r="H762" s="2"/>
      </tp>
      <tp t="s">
        <v>#N/A N/A</v>
        <stp/>
        <stp>BDP|16415908592166752763</stp>
        <tr r="C1789" s="2"/>
      </tp>
      <tp t="s">
        <v>#N/A N/A</v>
        <stp/>
        <stp>BDP|13516856356601783867</stp>
        <tr r="P145" s="2"/>
      </tp>
      <tp t="s">
        <v>#N/A N/A</v>
        <stp/>
        <stp>BDP|10546816451369389314</stp>
        <tr r="N1559" s="2"/>
      </tp>
      <tp t="s">
        <v>#N/A N/A</v>
        <stp/>
        <stp>BDP|10129766216469054868</stp>
        <tr r="E1920" s="2"/>
      </tp>
      <tp t="s">
        <v>#N/A N/A</v>
        <stp/>
        <stp>BDP|11187895183656566090</stp>
        <tr r="G108" s="2"/>
      </tp>
      <tp t="s">
        <v>#N/A N/A</v>
        <stp/>
        <stp>BDP|14857740896515492895</stp>
        <tr r="D954" s="2"/>
      </tp>
      <tp t="s">
        <v>#N/A N/A</v>
        <stp/>
        <stp>BDP|17355999399599706935</stp>
        <tr r="E1937" s="2"/>
      </tp>
      <tp t="s">
        <v>#N/A N/A</v>
        <stp/>
        <stp>BDP|15198145334998584831</stp>
        <tr r="A644" s="2"/>
      </tp>
      <tp t="s">
        <v>#N/A N/A</v>
        <stp/>
        <stp>BDP|14844865609483598850</stp>
        <tr r="Q316" s="2"/>
      </tp>
      <tp t="s">
        <v>#N/A N/A</v>
        <stp/>
        <stp>BDP|17500242364582429669</stp>
        <tr r="Q361" s="2"/>
      </tp>
      <tp t="s">
        <v>#N/A N/A</v>
        <stp/>
        <stp>BDP|11329863887297622132</stp>
        <tr r="O867" s="2"/>
      </tp>
      <tp t="s">
        <v>#N/A N/A</v>
        <stp/>
        <stp>BDP|16604668331971525530</stp>
        <tr r="A7" s="2"/>
      </tp>
      <tp t="s">
        <v>#N/A N/A</v>
        <stp/>
        <stp>BDP|14710234572651474757</stp>
        <tr r="G2176" s="2"/>
      </tp>
      <tp t="s">
        <v>#N/A N/A</v>
        <stp/>
        <stp>BDS|17407555145032042302</stp>
        <tr r="I927" s="2"/>
      </tp>
      <tp t="s">
        <v>#N/A N/A</v>
        <stp/>
        <stp>BDP|13907778137761786194</stp>
        <tr r="T929" s="2"/>
      </tp>
      <tp t="s">
        <v>#N/A N/A</v>
        <stp/>
        <stp>BDP|14349102771402460716</stp>
        <tr r="H261" s="2"/>
      </tp>
      <tp t="s">
        <v>#N/A N/A</v>
        <stp/>
        <stp>BDP|10351334654292779346</stp>
        <tr r="H539" s="2"/>
      </tp>
      <tp t="s">
        <v>#N/A N/A</v>
        <stp/>
        <stp>BDP|17571807115131714802</stp>
        <tr r="C1533" s="2"/>
      </tp>
      <tp t="s">
        <v>#N/A N/A</v>
        <stp/>
        <stp>BDP|16281419473951020378</stp>
        <tr r="A1078" s="2"/>
      </tp>
      <tp t="s">
        <v>#N/A N/A</v>
        <stp/>
        <stp>BDP|15546353343535474007</stp>
        <tr r="N1454" s="2"/>
      </tp>
      <tp t="s">
        <v>#N/A N/A</v>
        <stp/>
        <stp>BDP|13075186949106162777</stp>
        <tr r="P1930" s="2"/>
      </tp>
      <tp t="s">
        <v>#N/A N/A</v>
        <stp/>
        <stp>BDP|14391939302622068851</stp>
        <tr r="M249" s="2"/>
      </tp>
      <tp t="s">
        <v>#N/A N/A</v>
        <stp/>
        <stp>BDS|11727719205314211558</stp>
        <tr r="I718" s="2"/>
      </tp>
      <tp t="s">
        <v>#N/A N/A</v>
        <stp/>
        <stp>BDP|12086110740748771819</stp>
        <tr r="G2038" s="2"/>
      </tp>
      <tp t="s">
        <v>#N/A N/A</v>
        <stp/>
        <stp>BDS|15425665208583629781</stp>
        <tr r="I789" s="2"/>
      </tp>
      <tp t="s">
        <v>#N/A N/A</v>
        <stp/>
        <stp>BDP|17423215456663330473</stp>
        <tr r="G1750" s="2"/>
      </tp>
      <tp t="s">
        <v>#N/A N/A</v>
        <stp/>
        <stp>BDP|12319705951280001756</stp>
        <tr r="M432" s="2"/>
      </tp>
      <tp t="s">
        <v>#N/A N/A</v>
        <stp/>
        <stp>BDP|12121414330426008472</stp>
        <tr r="D1699" s="2"/>
      </tp>
      <tp t="s">
        <v>#N/A N/A</v>
        <stp/>
        <stp>BDP|14421111177356760326</stp>
        <tr r="J1614" s="2"/>
      </tp>
      <tp t="s">
        <v>#N/A N/A</v>
        <stp/>
        <stp>BDP|18161426123738106167</stp>
        <tr r="O1749" s="2"/>
      </tp>
      <tp t="s">
        <v>#N/A N/A</v>
        <stp/>
        <stp>BDP|12652627936005557500</stp>
        <tr r="R715" s="2"/>
      </tp>
      <tp t="s">
        <v>#N/A N/A</v>
        <stp/>
        <stp>BDP|14217405775652479242</stp>
        <tr r="C1544" s="2"/>
      </tp>
      <tp t="s">
        <v>#N/A N/A</v>
        <stp/>
        <stp>BDP|18299259726726603900</stp>
        <tr r="K2061" s="2"/>
      </tp>
      <tp t="s">
        <v>#N/A N/A</v>
        <stp/>
        <stp>BDP|14470079002800549335</stp>
        <tr r="P239" s="2"/>
      </tp>
      <tp t="s">
        <v>#N/A N/A</v>
        <stp/>
        <stp>BDP|13600153929570986749</stp>
        <tr r="E1170" s="2"/>
      </tp>
      <tp t="s">
        <v>#N/A N/A</v>
        <stp/>
        <stp>BDP|16745176807589222922</stp>
        <tr r="D69" s="2"/>
      </tp>
      <tp t="s">
        <v>#N/A N/A</v>
        <stp/>
        <stp>BDP|17766478600060407439</stp>
        <tr r="T1863" s="2"/>
      </tp>
      <tp t="s">
        <v>#N/A N/A</v>
        <stp/>
        <stp>BDP|11294898146949871328</stp>
        <tr r="Q667" s="2"/>
      </tp>
      <tp t="s">
        <v>#N/A N/A</v>
        <stp/>
        <stp>BDP|11032064024014771027</stp>
        <tr r="J658" s="2"/>
      </tp>
      <tp t="s">
        <v>#N/A N/A</v>
        <stp/>
        <stp>BDP|11289878636925292866</stp>
        <tr r="N304" s="2"/>
      </tp>
      <tp t="s">
        <v>#N/A N/A</v>
        <stp/>
        <stp>BDP|11068125372141561122</stp>
        <tr r="H273" s="2"/>
      </tp>
      <tp t="s">
        <v>#N/A N/A</v>
        <stp/>
        <stp>BDP|14831077527169758886</stp>
        <tr r="K1125" s="2"/>
      </tp>
      <tp t="s">
        <v>#N/A N/A</v>
        <stp/>
        <stp>BDP|12421043284334417975</stp>
        <tr r="H315" s="2"/>
      </tp>
      <tp t="s">
        <v>#N/A N/A</v>
        <stp/>
        <stp>BDP|14277295256770223481</stp>
        <tr r="N182" s="2"/>
      </tp>
      <tp t="s">
        <v>#N/A N/A</v>
        <stp/>
        <stp>BDP|13831007765860292283</stp>
        <tr r="C1879" s="2"/>
      </tp>
      <tp t="s">
        <v>#N/A N/A</v>
        <stp/>
        <stp>BDP|16195358573046956392</stp>
        <tr r="J110" s="2"/>
      </tp>
      <tp t="s">
        <v>#N/A N/A</v>
        <stp/>
        <stp>BDP|14679527026672221671</stp>
        <tr r="T2082" s="2"/>
      </tp>
      <tp t="s">
        <v>#N/A N/A</v>
        <stp/>
        <stp>BDP|17092541137050659628</stp>
        <tr r="C1411" s="2"/>
      </tp>
      <tp t="s">
        <v>#N/A N/A</v>
        <stp/>
        <stp>BDP|13659323367393416201</stp>
        <tr r="T2160" s="2"/>
      </tp>
      <tp t="s">
        <v>#N/A N/A</v>
        <stp/>
        <stp>BDP|15661078509300783280</stp>
        <tr r="H804" s="2"/>
      </tp>
      <tp t="s">
        <v>#N/A N/A</v>
        <stp/>
        <stp>BDP|12607244600702661530</stp>
        <tr r="G28" s="2"/>
      </tp>
      <tp t="s">
        <v>#N/A N/A</v>
        <stp/>
        <stp>BDP|16594592738653596461</stp>
        <tr r="T2026" s="2"/>
      </tp>
      <tp t="s">
        <v>#N/A N/A</v>
        <stp/>
        <stp>BDP|12668533420722622044</stp>
        <tr r="D119" s="2"/>
      </tp>
      <tp t="s">
        <v>#N/A N/A</v>
        <stp/>
        <stp>BDP|16038317531135600411</stp>
        <tr r="J511" s="2"/>
      </tp>
      <tp t="s">
        <v>#N/A N/A</v>
        <stp/>
        <stp>BDP|15772978571669148579</stp>
        <tr r="N231" s="2"/>
      </tp>
      <tp t="s">
        <v>#N/A N/A</v>
        <stp/>
        <stp>BDP|10106338087184796854</stp>
        <tr r="Q1348" s="2"/>
      </tp>
      <tp t="s">
        <v>#N/A N/A</v>
        <stp/>
        <stp>BDP|14363198408836671435</stp>
        <tr r="H2185" s="2"/>
      </tp>
      <tp t="s">
        <v>#N/A N/A</v>
        <stp/>
        <stp>BDP|14709919634668728129</stp>
        <tr r="A1805" s="2"/>
      </tp>
      <tp t="s">
        <v>#N/A N/A</v>
        <stp/>
        <stp>BDP|15035556412646335034</stp>
        <tr r="G1372" s="2"/>
      </tp>
      <tp t="s">
        <v>#N/A N/A</v>
        <stp/>
        <stp>BDS|12386423846434372113</stp>
        <tr r="I1096" s="2"/>
      </tp>
      <tp t="s">
        <v>#N/A N/A</v>
        <stp/>
        <stp>BDP|16382783443787756592</stp>
        <tr r="T852" s="2"/>
      </tp>
      <tp t="s">
        <v>#N/A N/A</v>
        <stp/>
        <stp>BDS|16539830119761296986</stp>
        <tr r="I1133" s="2"/>
      </tp>
      <tp t="s">
        <v>#N/A N/A</v>
        <stp/>
        <stp>BDP|16290541192169023420</stp>
        <tr r="H345" s="2"/>
      </tp>
      <tp t="s">
        <v>#N/A N/A</v>
        <stp/>
        <stp>BDP|10386381363667745590</stp>
        <tr r="T1003" s="2"/>
      </tp>
      <tp t="s">
        <v>#N/A N/A</v>
        <stp/>
        <stp>BDP|11925746889929252002</stp>
        <tr r="R1833" s="2"/>
      </tp>
      <tp t="s">
        <v>#N/A N/A</v>
        <stp/>
        <stp>BDP|12494538694879609033</stp>
        <tr r="P1564" s="2"/>
      </tp>
      <tp t="s">
        <v>#N/A N/A</v>
        <stp/>
        <stp>BDP|15538189524418975963</stp>
        <tr r="M1510" s="2"/>
      </tp>
      <tp t="s">
        <v>#N/A N/A</v>
        <stp/>
        <stp>BDP|10889862554589968350</stp>
        <tr r="O1555" s="2"/>
      </tp>
      <tp t="s">
        <v>#N/A N/A</v>
        <stp/>
        <stp>BDP|17713523451099632948</stp>
        <tr r="Q148" s="2"/>
      </tp>
      <tp t="s">
        <v>#N/A N/A</v>
        <stp/>
        <stp>BDP|10471546506041918399</stp>
        <tr r="C867" s="2"/>
      </tp>
      <tp t="s">
        <v>#N/A N/A</v>
        <stp/>
        <stp>BDP|16131308424046704642</stp>
        <tr r="R1467" s="2"/>
      </tp>
      <tp t="s">
        <v>#N/A N/A</v>
        <stp/>
        <stp>BDP|13402169543247017673</stp>
        <tr r="Q1833" s="2"/>
      </tp>
      <tp t="s">
        <v>#N/A N/A</v>
        <stp/>
        <stp>BDP|17655078716546039713</stp>
        <tr r="N896" s="2"/>
      </tp>
      <tp t="s">
        <v>#N/A N/A</v>
        <stp/>
        <stp>BDP|17075543854934435426</stp>
        <tr r="J1247" s="2"/>
      </tp>
      <tp t="s">
        <v>#N/A N/A</v>
        <stp/>
        <stp>BDP|17466550011276254249</stp>
        <tr r="S2138" s="2"/>
      </tp>
      <tp t="s">
        <v>#N/A N/A</v>
        <stp/>
        <stp>BDP|10330557525402581200</stp>
        <tr r="K332" s="2"/>
      </tp>
      <tp t="s">
        <v>#N/A N/A</v>
        <stp/>
        <stp>BDP|12692536703149326934</stp>
        <tr r="H32" s="2"/>
      </tp>
      <tp t="s">
        <v>#N/A N/A</v>
        <stp/>
        <stp>BDP|12020058601387008221</stp>
        <tr r="A344" s="2"/>
      </tp>
      <tp t="s">
        <v>#N/A N/A</v>
        <stp/>
        <stp>BDP|13104251925385398144</stp>
        <tr r="P1481" s="2"/>
      </tp>
      <tp t="s">
        <v>#N/A N/A</v>
        <stp/>
        <stp>BDP|16596203836116500604</stp>
        <tr r="A1297" s="2"/>
      </tp>
      <tp t="s">
        <v>#N/A N/A</v>
        <stp/>
        <stp>BDP|13615380538446891283</stp>
        <tr r="E1696" s="2"/>
      </tp>
      <tp t="s">
        <v>#N/A N/A</v>
        <stp/>
        <stp>BDP|11641833712428480754</stp>
        <tr r="G385" s="2"/>
      </tp>
      <tp t="s">
        <v>#N/A N/A</v>
        <stp/>
        <stp>BDP|17065076025800523215</stp>
        <tr r="R34" s="2"/>
      </tp>
      <tp t="s">
        <v>#N/A N/A</v>
        <stp/>
        <stp>BDP|10171876993821359703</stp>
        <tr r="G2100" s="2"/>
      </tp>
      <tp t="s">
        <v>#N/A N/A</v>
        <stp/>
        <stp>BDP|17232848629322825815</stp>
        <tr r="K1955" s="2"/>
      </tp>
      <tp t="s">
        <v>#N/A N/A</v>
        <stp/>
        <stp>BDP|18405764355855258837</stp>
        <tr r="Q2199" s="2"/>
      </tp>
      <tp t="s">
        <v>#N/A N/A</v>
        <stp/>
        <stp>BDS|14766210837441580314</stp>
        <tr r="I2137" s="2"/>
      </tp>
      <tp t="s">
        <v>#N/A N/A</v>
        <stp/>
        <stp>BDP|18070831556950185229</stp>
        <tr r="J1956" s="2"/>
      </tp>
      <tp t="s">
        <v>#N/A N/A</v>
        <stp/>
        <stp>BDP|15118901510332389845</stp>
        <tr r="E148" s="2"/>
      </tp>
      <tp t="s">
        <v>#N/A N/A</v>
        <stp/>
        <stp>BDP|17718639301782213410</stp>
        <tr r="O1830" s="2"/>
      </tp>
      <tp t="s">
        <v>#N/A N/A</v>
        <stp/>
        <stp>BDS|10625992899531600658</stp>
        <tr r="I485" s="2"/>
      </tp>
      <tp t="s">
        <v>#N/A N/A</v>
        <stp/>
        <stp>BDP|17379285309267745539</stp>
        <tr r="D1248" s="2"/>
      </tp>
      <tp t="s">
        <v>#N/A N/A</v>
        <stp/>
        <stp>BDP|14663809590226651465</stp>
        <tr r="G507" s="2"/>
      </tp>
      <tp t="s">
        <v>#N/A N/A</v>
        <stp/>
        <stp>BDP|11685372672366631437</stp>
        <tr r="N28" s="2"/>
      </tp>
      <tp t="s">
        <v>#N/A N/A</v>
        <stp/>
        <stp>BDP|18046651990396094632</stp>
        <tr r="T193" s="2"/>
      </tp>
      <tp t="s">
        <v>#N/A N/A</v>
        <stp/>
        <stp>BDP|16486630771045069502</stp>
        <tr r="M1313" s="2"/>
      </tp>
      <tp t="s">
        <v>#N/A N/A</v>
        <stp/>
        <stp>BDP|11653598700683933004</stp>
        <tr r="H320" s="2"/>
      </tp>
      <tp t="s">
        <v>#N/A N/A</v>
        <stp/>
        <stp>BDP|15604357362992300542</stp>
        <tr r="J2063" s="2"/>
      </tp>
      <tp t="s">
        <v>#N/A N/A</v>
        <stp/>
        <stp>BDP|10732053587567398800</stp>
        <tr r="E2084" s="2"/>
      </tp>
      <tp t="s">
        <v>#N/A N/A</v>
        <stp/>
        <stp>BDP|11005257614994260154</stp>
        <tr r="G215" s="2"/>
      </tp>
      <tp t="s">
        <v>#N/A N/A</v>
        <stp/>
        <stp>BDP|14482546033900195542</stp>
        <tr r="M2012" s="2"/>
      </tp>
      <tp t="s">
        <v>#N/A N/A</v>
        <stp/>
        <stp>BDP|13092037304735234136</stp>
        <tr r="Q1872" s="2"/>
      </tp>
      <tp t="s">
        <v>#N/A N/A</v>
        <stp/>
        <stp>BDP|15784534230845393111</stp>
        <tr r="G231" s="2"/>
      </tp>
      <tp t="s">
        <v>#N/A N/A</v>
        <stp/>
        <stp>BDP|13833078540606034692</stp>
        <tr r="H266" s="2"/>
      </tp>
      <tp t="s">
        <v>#N/A N/A</v>
        <stp/>
        <stp>BDP|15810348805099673892</stp>
        <tr r="C1875" s="2"/>
      </tp>
      <tp t="s">
        <v>#N/A N/A</v>
        <stp/>
        <stp>BDP|11122508971547690305</stp>
        <tr r="R1204" s="2"/>
      </tp>
      <tp t="s">
        <v>#N/A N/A</v>
        <stp/>
        <stp>BDP|15231835591143755011</stp>
        <tr r="Q942" s="2"/>
      </tp>
      <tp t="s">
        <v>#N/A N/A</v>
        <stp/>
        <stp>BDP|11626702281068564145</stp>
        <tr r="D29" s="2"/>
      </tp>
      <tp t="s">
        <v>#N/A N/A</v>
        <stp/>
        <stp>BDP|11698266953109047859</stp>
        <tr r="F2254" s="2"/>
      </tp>
      <tp t="s">
        <v>#N/A N/A</v>
        <stp/>
        <stp>BDP|13957139887315998825</stp>
        <tr r="A1397" s="2"/>
      </tp>
      <tp t="s">
        <v>#N/A N/A</v>
        <stp/>
        <stp>BDP|14949209168183381447</stp>
        <tr r="K1677" s="2"/>
      </tp>
      <tp t="s">
        <v>#N/A N/A</v>
        <stp/>
        <stp>BDP|13400857400225444932</stp>
        <tr r="M1784" s="2"/>
      </tp>
      <tp t="s">
        <v>#N/A N/A</v>
        <stp/>
        <stp>BDP|14900452068938288901</stp>
        <tr r="F752" s="2"/>
      </tp>
      <tp t="s">
        <v>#N/A N/A</v>
        <stp/>
        <stp>BDP|13371719423409714809</stp>
        <tr r="F1639" s="2"/>
      </tp>
      <tp t="s">
        <v>#N/A N/A</v>
        <stp/>
        <stp>BDP|10260557506955390743</stp>
        <tr r="M645" s="2"/>
      </tp>
      <tp t="s">
        <v>#N/A N/A</v>
        <stp/>
        <stp>BDP|10245563712181625265</stp>
        <tr r="Q1765" s="2"/>
      </tp>
      <tp t="s">
        <v>#N/A N/A</v>
        <stp/>
        <stp>BDP|16521127934750213372</stp>
        <tr r="Q2072" s="2"/>
      </tp>
      <tp t="s">
        <v>#N/A N/A</v>
        <stp/>
        <stp>BDP|13941298968985958571</stp>
        <tr r="O883" s="2"/>
      </tp>
      <tp t="s">
        <v>#N/A N/A</v>
        <stp/>
        <stp>BDP|12226067469852282194</stp>
        <tr r="H598" s="2"/>
      </tp>
      <tp t="s">
        <v>#N/A N/A</v>
        <stp/>
        <stp>BDS|12440648901915309674</stp>
        <tr r="I1082" s="2"/>
      </tp>
      <tp t="s">
        <v>#N/A N/A</v>
        <stp/>
        <stp>BDP|14465563823347009377</stp>
        <tr r="Q1149" s="2"/>
      </tp>
      <tp t="s">
        <v>#N/A N/A</v>
        <stp/>
        <stp>BDP|10802560919691020215</stp>
        <tr r="T1841" s="2"/>
      </tp>
      <tp t="s">
        <v>#N/A N/A</v>
        <stp/>
        <stp>BDP|10473312463395643762</stp>
        <tr r="C1148" s="2"/>
      </tp>
      <tp t="s">
        <v>#N/A N/A</v>
        <stp/>
        <stp>BDP|15263230333187045443</stp>
        <tr r="R617" s="2"/>
      </tp>
      <tp t="s">
        <v>#N/A N/A</v>
        <stp/>
        <stp>BDP|13632711581439008206</stp>
        <tr r="F1346" s="2"/>
      </tp>
      <tp t="s">
        <v>#N/A N/A</v>
        <stp/>
        <stp>BDP|16168730965511409153</stp>
        <tr r="J1308" s="2"/>
      </tp>
      <tp t="s">
        <v>#N/A N/A</v>
        <stp/>
        <stp>BDP|11139847614026266952</stp>
        <tr r="D1447" s="2"/>
      </tp>
      <tp t="s">
        <v>#N/A N/A</v>
        <stp/>
        <stp>BDS|17608087803734958415</stp>
        <tr r="I56" s="2"/>
      </tp>
      <tp t="s">
        <v>#N/A N/A</v>
        <stp/>
        <stp>BDP|12230679603593175018</stp>
        <tr r="J698" s="2"/>
      </tp>
      <tp t="s">
        <v>#N/A N/A</v>
        <stp/>
        <stp>BDP|15818391609399652886</stp>
        <tr r="P1917" s="2"/>
      </tp>
      <tp t="s">
        <v>#N/A N/A</v>
        <stp/>
        <stp>BDP|13048547676133179555</stp>
        <tr r="F1445" s="2"/>
      </tp>
      <tp t="s">
        <v>#N/A N/A</v>
        <stp/>
        <stp>BDP|13164349742143083016</stp>
        <tr r="K1711" s="2"/>
      </tp>
      <tp t="s">
        <v>#N/A N/A</v>
        <stp/>
        <stp>BDP|18317622481444040563</stp>
        <tr r="D1369" s="2"/>
      </tp>
      <tp t="s">
        <v>#N/A N/A</v>
        <stp/>
        <stp>BDP|14098340597998655135</stp>
        <tr r="S262" s="2"/>
      </tp>
      <tp t="s">
        <v>#N/A N/A</v>
        <stp/>
        <stp>BDP|12616431825522717113</stp>
        <tr r="S942" s="2"/>
      </tp>
      <tp t="s">
        <v>#N/A N/A</v>
        <stp/>
        <stp>BDP|14033434496159025733</stp>
        <tr r="O1773" s="2"/>
      </tp>
      <tp t="s">
        <v>#N/A N/A</v>
        <stp/>
        <stp>BDP|13885416538050485331</stp>
        <tr r="Q455" s="2"/>
      </tp>
      <tp t="s">
        <v>#N/A N/A</v>
        <stp/>
        <stp>BDP|12689243529834500185</stp>
        <tr r="M581" s="2"/>
      </tp>
      <tp t="s">
        <v>#N/A N/A</v>
        <stp/>
        <stp>BDP|17038104325013643055</stp>
        <tr r="F582" s="2"/>
      </tp>
      <tp t="s">
        <v>#N/A N/A</v>
        <stp/>
        <stp>BDP|12022309697299099616</stp>
        <tr r="N2101" s="2"/>
      </tp>
      <tp t="s">
        <v>#N/A N/A</v>
        <stp/>
        <stp>BDP|13740247173059222847</stp>
        <tr r="N1502" s="2"/>
      </tp>
      <tp t="s">
        <v>#N/A N/A</v>
        <stp/>
        <stp>BDP|17477041114706730754</stp>
        <tr r="H1555" s="2"/>
      </tp>
      <tp t="s">
        <v>#N/A N/A</v>
        <stp/>
        <stp>BDP|16174984281922947278</stp>
        <tr r="Q1125" s="2"/>
      </tp>
      <tp t="s">
        <v>#N/A N/A</v>
        <stp/>
        <stp>BDP|10748884488754244336</stp>
        <tr r="R1055" s="2"/>
      </tp>
      <tp t="s">
        <v>#N/A N/A</v>
        <stp/>
        <stp>BDP|11162938260741549818</stp>
        <tr r="S281" s="2"/>
      </tp>
      <tp t="s">
        <v>#N/A N/A</v>
        <stp/>
        <stp>BDP|10419506394958321359</stp>
        <tr r="G1447" s="2"/>
      </tp>
      <tp t="s">
        <v>#N/A N/A</v>
        <stp/>
        <stp>BDP|10445339620845009310</stp>
        <tr r="P603" s="2"/>
      </tp>
      <tp t="s">
        <v>#N/A N/A</v>
        <stp/>
        <stp>BDP|11649354116170676453</stp>
        <tr r="A1226" s="2"/>
      </tp>
      <tp t="s">
        <v>#N/A N/A</v>
        <stp/>
        <stp>BDP|14165177423441350105</stp>
        <tr r="O1243" s="2"/>
      </tp>
      <tp t="s">
        <v>#N/A N/A</v>
        <stp/>
        <stp>BDP|13246061777730025355</stp>
        <tr r="S1551" s="2"/>
      </tp>
      <tp t="s">
        <v>#N/A N/A</v>
        <stp/>
        <stp>BDP|11402660294041752870</stp>
        <tr r="G1626" s="2"/>
      </tp>
      <tp t="s">
        <v>#N/A N/A</v>
        <stp/>
        <stp>BDP|11426696339750513377</stp>
        <tr r="O1226" s="2"/>
      </tp>
      <tp t="s">
        <v>#N/A N/A</v>
        <stp/>
        <stp>BDP|12225756576116493339</stp>
        <tr r="Q905" s="2"/>
      </tp>
      <tp t="s">
        <v>#N/A N/A</v>
        <stp/>
        <stp>BDP|16242185758594442104</stp>
        <tr r="T2066" s="2"/>
      </tp>
      <tp t="s">
        <v>#N/A N/A</v>
        <stp/>
        <stp>BDS|13834587872741166761</stp>
        <tr r="I1015" s="2"/>
      </tp>
      <tp t="s">
        <v>#N/A N/A</v>
        <stp/>
        <stp>BDP|15784444378290731256</stp>
        <tr r="E1348" s="2"/>
      </tp>
      <tp t="s">
        <v>#N/A N/A</v>
        <stp/>
        <stp>BDP|11408323129997168377</stp>
        <tr r="M434" s="2"/>
      </tp>
      <tp t="s">
        <v>#N/A N/A</v>
        <stp/>
        <stp>BDP|11899622974617269350</stp>
        <tr r="P723" s="2"/>
      </tp>
      <tp t="s">
        <v>#N/A N/A</v>
        <stp/>
        <stp>BDP|12299680043433861780</stp>
        <tr r="F808" s="2"/>
      </tp>
      <tp t="s">
        <v>#N/A N/A</v>
        <stp/>
        <stp>BDP|17944002297993332946</stp>
        <tr r="T1878" s="2"/>
      </tp>
      <tp t="s">
        <v>#N/A N/A</v>
        <stp/>
        <stp>BDP|14817051616579168839</stp>
        <tr r="F2198" s="2"/>
      </tp>
      <tp t="s">
        <v>#N/A N/A</v>
        <stp/>
        <stp>BDP|16869557863685442439</stp>
        <tr r="O1163" s="2"/>
      </tp>
      <tp t="s">
        <v>#N/A N/A</v>
        <stp/>
        <stp>BDP|17911576320901147560</stp>
        <tr r="F2019" s="2"/>
      </tp>
      <tp t="s">
        <v>#N/A N/A</v>
        <stp/>
        <stp>BDP|14500821206361898902</stp>
        <tr r="R208" s="2"/>
      </tp>
      <tp t="s">
        <v>#N/A N/A</v>
        <stp/>
        <stp>BDP|18361601687015469798</stp>
        <tr r="K1945" s="2"/>
      </tp>
      <tp t="s">
        <v>#N/A N/A</v>
        <stp/>
        <stp>BDP|18283431279589477652</stp>
        <tr r="T1361" s="2"/>
      </tp>
      <tp t="s">
        <v>#N/A N/A</v>
        <stp/>
        <stp>BDP|13237741859826025361</stp>
        <tr r="G273" s="2"/>
      </tp>
      <tp t="s">
        <v>#N/A N/A</v>
        <stp/>
        <stp>BDP|11924507241314082017</stp>
        <tr r="J1989" s="2"/>
      </tp>
      <tp t="s">
        <v>#N/A N/A</v>
        <stp/>
        <stp>BDP|11883359563246320648</stp>
        <tr r="O65" s="2"/>
      </tp>
      <tp t="s">
        <v>#N/A N/A</v>
        <stp/>
        <stp>BDP|18395895310641060435</stp>
        <tr r="M570" s="2"/>
      </tp>
      <tp t="s">
        <v>#N/A N/A</v>
        <stp/>
        <stp>BDP|14708607257646802519</stp>
        <tr r="C1417" s="2"/>
      </tp>
      <tp t="s">
        <v>#N/A N/A</v>
        <stp/>
        <stp>BDP|13682895924309212407</stp>
        <tr r="F1166" s="2"/>
      </tp>
      <tp t="s">
        <v>#N/A N/A</v>
        <stp/>
        <stp>BDP|18300888302730114416</stp>
        <tr r="K1501" s="2"/>
      </tp>
      <tp t="s">
        <v>#N/A N/A</v>
        <stp/>
        <stp>BDP|16063092257836310145</stp>
        <tr r="T2033" s="2"/>
      </tp>
      <tp t="s">
        <v>#N/A N/A</v>
        <stp/>
        <stp>BDP|13477734708198240849</stp>
        <tr r="E1379" s="2"/>
      </tp>
      <tp t="s">
        <v>#N/A N/A</v>
        <stp/>
        <stp>BDP|17771085904980145330</stp>
        <tr r="P132" s="2"/>
      </tp>
      <tp t="s">
        <v>#N/A N/A</v>
        <stp/>
        <stp>BDP|13993368855302455379</stp>
        <tr r="J1416" s="2"/>
      </tp>
      <tp t="s">
        <v>#N/A N/A</v>
        <stp/>
        <stp>BDS|12392622705793865364</stp>
        <tr r="I1005" s="2"/>
      </tp>
      <tp t="s">
        <v>#N/A N/A</v>
        <stp/>
        <stp>BDP|10898397847134658794</stp>
        <tr r="G2146" s="2"/>
      </tp>
      <tp t="s">
        <v>#N/A N/A</v>
        <stp/>
        <stp>BDP|11893636746715562210</stp>
        <tr r="S871" s="2"/>
      </tp>
      <tp t="s">
        <v>#N/A N/A</v>
        <stp/>
        <stp>BDS|14621590988235446899</stp>
        <tr r="I1834" s="2"/>
      </tp>
      <tp t="s">
        <v>#N/A N/A</v>
        <stp/>
        <stp>BDP|13555793324590993287</stp>
        <tr r="R1633" s="2"/>
      </tp>
      <tp t="s">
        <v>#N/A N/A</v>
        <stp/>
        <stp>BDP|14468273378934187139</stp>
        <tr r="G201" s="2"/>
      </tp>
      <tp t="s">
        <v>#N/A N/A</v>
        <stp/>
        <stp>BDP|11842400863817250004</stp>
        <tr r="J892" s="2"/>
      </tp>
      <tp t="s">
        <v>#N/A N/A</v>
        <stp/>
        <stp>BDP|17759655274086899474</stp>
        <tr r="E2242" s="2"/>
      </tp>
      <tp t="s">
        <v>#N/A N/A</v>
        <stp/>
        <stp>BDP|13870791278700747778</stp>
        <tr r="S7" s="2"/>
      </tp>
      <tp t="s">
        <v>#N/A N/A</v>
        <stp/>
        <stp>BDP|14308720308052499544</stp>
        <tr r="O848" s="2"/>
      </tp>
      <tp t="s">
        <v>#N/A N/A</v>
        <stp/>
        <stp>BDP|12917018611653272425</stp>
        <tr r="J586" s="2"/>
      </tp>
      <tp t="s">
        <v>#N/A N/A</v>
        <stp/>
        <stp>BDP|13845301242912014230</stp>
        <tr r="F1457" s="2"/>
      </tp>
      <tp t="s">
        <v>#N/A N/A</v>
        <stp/>
        <stp>BDP|13171122011043898430</stp>
        <tr r="T70" s="2"/>
      </tp>
      <tp t="s">
        <v>#N/A N/A</v>
        <stp/>
        <stp>BDP|17518008981343859853</stp>
        <tr r="J1275" s="2"/>
      </tp>
      <tp t="s">
        <v>#N/A N/A</v>
        <stp/>
        <stp>BDP|12188568651070642698</stp>
        <tr r="S91" s="2"/>
      </tp>
      <tp t="s">
        <v>#N/A N/A</v>
        <stp/>
        <stp>BDP|11211517578800313713</stp>
        <tr r="K475" s="2"/>
      </tp>
      <tp t="s">
        <v>#N/A N/A</v>
        <stp/>
        <stp>BDS|17919426474367366761</stp>
        <tr r="I2157" s="2"/>
      </tp>
      <tp t="s">
        <v>#N/A N/A</v>
        <stp/>
        <stp>BDP|10362163762401659287</stp>
        <tr r="K1533" s="2"/>
      </tp>
      <tp t="s">
        <v>#N/A N/A</v>
        <stp/>
        <stp>BDP|14880167676477496151</stp>
        <tr r="R1131" s="2"/>
      </tp>
      <tp t="s">
        <v>#N/A N/A</v>
        <stp/>
        <stp>BDP|10270256691276897979</stp>
        <tr r="D900" s="2"/>
      </tp>
      <tp t="s">
        <v>#N/A N/A</v>
        <stp/>
        <stp>BDP|14926521426637560010</stp>
        <tr r="O1527" s="2"/>
      </tp>
      <tp t="s">
        <v>#N/A N/A</v>
        <stp/>
        <stp>BDP|13838441842497469033</stp>
        <tr r="G2104" s="2"/>
      </tp>
      <tp t="s">
        <v>#N/A N/A</v>
        <stp/>
        <stp>BDP|12312929389800323721</stp>
        <tr r="H1725" s="2"/>
      </tp>
      <tp t="s">
        <v>#N/A N/A</v>
        <stp/>
        <stp>BDP|13840330210151352412</stp>
        <tr r="M2233" s="2"/>
      </tp>
      <tp t="s">
        <v>#N/A N/A</v>
        <stp/>
        <stp>BDP|15164582037622630513</stp>
        <tr r="N1886" s="2"/>
      </tp>
      <tp t="s">
        <v>#N/A N/A</v>
        <stp/>
        <stp>BDP|14669435938904100358</stp>
        <tr r="E631" s="2"/>
      </tp>
      <tp t="s">
        <v>#N/A N/A</v>
        <stp/>
        <stp>BDP|14760633733316829365</stp>
        <tr r="E594" s="2"/>
      </tp>
      <tp t="s">
        <v>#N/A N/A</v>
        <stp/>
        <stp>BDP|11009119409131016518</stp>
        <tr r="D309" s="2"/>
      </tp>
      <tp t="s">
        <v>#N/A N/A</v>
        <stp/>
        <stp>BDP|13688265319603883782</stp>
        <tr r="H86" s="2"/>
      </tp>
      <tp t="s">
        <v>#N/A N/A</v>
        <stp/>
        <stp>BDP|12110928539079409578</stp>
        <tr r="P978" s="2"/>
      </tp>
      <tp t="s">
        <v>#N/A N/A</v>
        <stp/>
        <stp>BDP|13410033122290573596</stp>
        <tr r="A2103" s="2"/>
      </tp>
      <tp t="s">
        <v>#N/A N/A</v>
        <stp/>
        <stp>BDP|16588283991550691936</stp>
        <tr r="T1242" s="2"/>
      </tp>
      <tp t="s">
        <v>#N/A N/A</v>
        <stp/>
        <stp>BDP|16955256073810591733</stp>
        <tr r="G1692" s="2"/>
      </tp>
      <tp t="s">
        <v>#N/A N/A</v>
        <stp/>
        <stp>BDP|16311439793217993832</stp>
        <tr r="E593" s="2"/>
      </tp>
      <tp t="s">
        <v>#N/A N/A</v>
        <stp/>
        <stp>BDP|16488097459720498790</stp>
        <tr r="N1336" s="2"/>
      </tp>
      <tp t="s">
        <v>#N/A N/A</v>
        <stp/>
        <stp>BDP|11886721095062281940</stp>
        <tr r="Q252" s="2"/>
      </tp>
      <tp t="s">
        <v>#N/A N/A</v>
        <stp/>
        <stp>BDP|12356465404357917513</stp>
        <tr r="G826" s="2"/>
      </tp>
      <tp t="s">
        <v>#N/A N/A</v>
        <stp/>
        <stp>BDP|15092624653784091683</stp>
        <tr r="N1272" s="2"/>
      </tp>
      <tp t="s">
        <v>#N/A N/A</v>
        <stp/>
        <stp>BDP|16449725568527017475</stp>
        <tr r="H384" s="2"/>
      </tp>
      <tp t="s">
        <v>#N/A N/A</v>
        <stp/>
        <stp>BDP|18265008052638088197</stp>
        <tr r="E1494" s="2"/>
      </tp>
      <tp t="s">
        <v>#N/A N/A</v>
        <stp/>
        <stp>BDP|10358530715169969955</stp>
        <tr r="K229" s="2"/>
      </tp>
      <tp t="s">
        <v>#N/A N/A</v>
        <stp/>
        <stp>BDP|18271982452325697578</stp>
        <tr r="H1972" s="2"/>
      </tp>
      <tp t="s">
        <v>#N/A N/A</v>
        <stp/>
        <stp>BDP|17409912856337870821</stp>
        <tr r="K1935" s="2"/>
      </tp>
      <tp t="s">
        <v>#N/A N/A</v>
        <stp/>
        <stp>BDP|10039483915792276366</stp>
        <tr r="G1664" s="2"/>
      </tp>
      <tp t="s">
        <v>#N/A N/A</v>
        <stp/>
        <stp>BDP|16836346905419544853</stp>
        <tr r="P30" s="2"/>
      </tp>
      <tp t="s">
        <v>#N/A N/A</v>
        <stp/>
        <stp>BDP|10789293082089254778</stp>
        <tr r="C879" s="2"/>
      </tp>
      <tp t="s">
        <v>#N/A N/A</v>
        <stp/>
        <stp>BDP|14936284668932206628</stp>
        <tr r="T1873" s="2"/>
      </tp>
      <tp t="s">
        <v>#N/A N/A</v>
        <stp/>
        <stp>BDP|10216525004769539885</stp>
        <tr r="Q1894" s="2"/>
      </tp>
      <tp t="s">
        <v>#N/A N/A</v>
        <stp/>
        <stp>BDP|12973107534427274366</stp>
        <tr r="M1295" s="2"/>
      </tp>
      <tp t="s">
        <v>#N/A N/A</v>
        <stp/>
        <stp>BDP|16863031749663902524</stp>
        <tr r="G1798" s="2"/>
      </tp>
      <tp t="s">
        <v>#N/A N/A</v>
        <stp/>
        <stp>BDP|15096873812458599092</stp>
        <tr r="T1940" s="2"/>
      </tp>
      <tp t="s">
        <v>#N/A N/A</v>
        <stp/>
        <stp>BDP|11931152957311014027</stp>
        <tr r="G829" s="2"/>
      </tp>
      <tp t="s">
        <v>#N/A N/A</v>
        <stp/>
        <stp>BDP|10242444914261261090</stp>
        <tr r="G887" s="2"/>
      </tp>
      <tp t="s">
        <v>#N/A N/A</v>
        <stp/>
        <stp>BDP|12179806191257907007</stp>
        <tr r="J925" s="2"/>
      </tp>
      <tp t="s">
        <v>#N/A N/A</v>
        <stp/>
        <stp>BDP|13146218129565290224</stp>
        <tr r="C1146" s="2"/>
      </tp>
      <tp t="s">
        <v>#N/A N/A</v>
        <stp/>
        <stp>BDP|16774483561686138665</stp>
        <tr r="O1014" s="2"/>
      </tp>
      <tp t="s">
        <v>#N/A N/A</v>
        <stp/>
        <stp>BDP|14909342879360554480</stp>
        <tr r="F1589" s="2"/>
      </tp>
      <tp t="s">
        <v>#N/A N/A</v>
        <stp/>
        <stp>BDP|10505408665274176289</stp>
        <tr r="Q680" s="2"/>
      </tp>
      <tp t="s">
        <v>#N/A N/A</v>
        <stp/>
        <stp>BDS|13765221466866068582</stp>
        <tr r="I1343" s="2"/>
      </tp>
      <tp t="s">
        <v>#N/A N/A</v>
        <stp/>
        <stp>BDP|14540289413421602202</stp>
        <tr r="N1026" s="2"/>
      </tp>
      <tp t="s">
        <v>#N/A N/A</v>
        <stp/>
        <stp>BDP|16873094109961222323</stp>
        <tr r="P1330" s="2"/>
      </tp>
      <tp t="s">
        <v>#N/A N/A</v>
        <stp/>
        <stp>BDP|16376974233958750084</stp>
        <tr r="C1576" s="2"/>
      </tp>
      <tp t="s">
        <v>#N/A N/A</v>
        <stp/>
        <stp>BDP|14018077448193387744</stp>
        <tr r="E1432" s="2"/>
      </tp>
      <tp t="s">
        <v>#N/A N/A</v>
        <stp/>
        <stp>BDP|17129881352028413678</stp>
        <tr r="P78" s="2"/>
      </tp>
      <tp t="s">
        <v>#N/A N/A</v>
        <stp/>
        <stp>BDP|17472435618774099276</stp>
        <tr r="G392" s="2"/>
      </tp>
      <tp t="s">
        <v>#N/A N/A</v>
        <stp/>
        <stp>BDP|13059155607472954438</stp>
        <tr r="N962" s="2"/>
      </tp>
      <tp t="s">
        <v>#N/A N/A</v>
        <stp/>
        <stp>BDP|18363717886735570698</stp>
        <tr r="F343" s="2"/>
      </tp>
      <tp t="s">
        <v>#N/A N/A</v>
        <stp/>
        <stp>BDP|10495455678046822197</stp>
        <tr r="H2010" s="2"/>
      </tp>
      <tp t="s">
        <v>#N/A N/A</v>
        <stp/>
        <stp>BDP|16446540925981523486</stp>
        <tr r="E747" s="2"/>
      </tp>
      <tp t="s">
        <v>#N/A N/A</v>
        <stp/>
        <stp>BDS|14882682350040321381</stp>
        <tr r="I442" s="2"/>
      </tp>
      <tp t="s">
        <v>#N/A N/A</v>
        <stp/>
        <stp>BDP|17894560654313244007</stp>
        <tr r="J748" s="2"/>
      </tp>
      <tp t="s">
        <v>#N/A N/A</v>
        <stp/>
        <stp>BDP|15541347929650742079</stp>
        <tr r="S640" s="2"/>
      </tp>
      <tp t="s">
        <v>#N/A N/A</v>
        <stp/>
        <stp>BDP|10580200375001956015</stp>
        <tr r="S930" s="2"/>
      </tp>
      <tp t="s">
        <v>#N/A N/A</v>
        <stp/>
        <stp>BDP|11223893786236326369</stp>
        <tr r="T225" s="2"/>
      </tp>
      <tp t="s">
        <v>#N/A N/A</v>
        <stp/>
        <stp>BDP|10187474904051808124</stp>
        <tr r="K1836" s="2"/>
      </tp>
      <tp t="s">
        <v>#N/A N/A</v>
        <stp/>
        <stp>BDP|12569316957953337382</stp>
        <tr r="J1355" s="2"/>
      </tp>
      <tp t="s">
        <v>#N/A N/A</v>
        <stp/>
        <stp>BDP|14471151188220780964</stp>
        <tr r="D1641" s="2"/>
      </tp>
      <tp t="s">
        <v>#N/A N/A</v>
        <stp/>
        <stp>BDP|17895966262398731430</stp>
        <tr r="C1735" s="2"/>
      </tp>
      <tp t="s">
        <v>#N/A N/A</v>
        <stp/>
        <stp>BDP|10158762343912483589</stp>
        <tr r="J1074" s="2"/>
      </tp>
      <tp t="s">
        <v>#N/A N/A</v>
        <stp/>
        <stp>BDP|17514696818053490781</stp>
        <tr r="E566" s="2"/>
      </tp>
      <tp t="s">
        <v>#N/A N/A</v>
        <stp/>
        <stp>BDP|13206610605639909879</stp>
        <tr r="O2049" s="2"/>
      </tp>
      <tp t="s">
        <v>#N/A N/A</v>
        <stp/>
        <stp>BDP|14436628589127535926</stp>
        <tr r="M1931" s="2"/>
      </tp>
      <tp t="s">
        <v>#N/A N/A</v>
        <stp/>
        <stp>BDP|15887272723754752537</stp>
        <tr r="D108" s="2"/>
      </tp>
      <tp t="s">
        <v>#N/A N/A</v>
        <stp/>
        <stp>BDP|12265769833197922563</stp>
        <tr r="P1801" s="2"/>
      </tp>
      <tp t="s">
        <v>#N/A N/A</v>
        <stp/>
        <stp>BDP|16479722159675749508</stp>
        <tr r="R1095" s="2"/>
      </tp>
      <tp t="s">
        <v>#N/A N/A</v>
        <stp/>
        <stp>BDP|14444632953390524398</stp>
        <tr r="K1080" s="2"/>
      </tp>
      <tp t="s">
        <v>#N/A N/A</v>
        <stp/>
        <stp>BDP|13103668234590355286</stp>
        <tr r="P94" s="2"/>
      </tp>
      <tp t="s">
        <v>#N/A N/A</v>
        <stp/>
        <stp>BDP|12372599822255849486</stp>
        <tr r="D453" s="2"/>
      </tp>
      <tp t="s">
        <v>#N/A N/A</v>
        <stp/>
        <stp>BDP|11771522601902974255</stp>
        <tr r="K1466" s="2"/>
      </tp>
      <tp t="s">
        <v>#N/A N/A</v>
        <stp/>
        <stp>BDP|11640662323287839639</stp>
        <tr r="T1012" s="2"/>
      </tp>
      <tp t="s">
        <v>#N/A N/A</v>
        <stp/>
        <stp>BDP|11958463269204694380</stp>
        <tr r="T1449" s="2"/>
      </tp>
      <tp t="s">
        <v>#N/A N/A</v>
        <stp/>
        <stp>BDP|14472559849164024500</stp>
        <tr r="D489" s="2"/>
      </tp>
      <tp t="s">
        <v>#N/A N/A</v>
        <stp/>
        <stp>BDP|10869017651396961799</stp>
        <tr r="E1350" s="2"/>
      </tp>
      <tp t="s">
        <v>#N/A N/A</v>
        <stp/>
        <stp>BDP|17646638168645520605</stp>
        <tr r="P1861" s="2"/>
      </tp>
      <tp t="s">
        <v>#N/A N/A</v>
        <stp/>
        <stp>BDP|10255081141781091136</stp>
        <tr r="K2121" s="2"/>
      </tp>
      <tp t="s">
        <v>#N/A N/A</v>
        <stp/>
        <stp>BDP|12498357811781105595</stp>
        <tr r="E1592" s="2"/>
      </tp>
      <tp t="s">
        <v>#N/A N/A</v>
        <stp/>
        <stp>BDP|15311798632381362430</stp>
        <tr r="K544" s="2"/>
      </tp>
      <tp t="s">
        <v>#N/A N/A</v>
        <stp/>
        <stp>BDP|14538328078241220557</stp>
        <tr r="O815" s="2"/>
      </tp>
      <tp t="s">
        <v>#N/A N/A</v>
        <stp/>
        <stp>BDP|14923731671169075939</stp>
        <tr r="D1444" s="2"/>
      </tp>
      <tp t="s">
        <v>#N/A N/A</v>
        <stp/>
        <stp>BDP|16162113200917131493</stp>
        <tr r="O2169" s="2"/>
      </tp>
      <tp t="s">
        <v>#N/A N/A</v>
        <stp/>
        <stp>BDP|17189356358724018144</stp>
        <tr r="P1695" s="2"/>
      </tp>
      <tp t="s">
        <v>#N/A N/A</v>
        <stp/>
        <stp>BDP|11678526209890510004</stp>
        <tr r="D672" s="2"/>
      </tp>
      <tp t="s">
        <v>#N/A N/A</v>
        <stp/>
        <stp>BDP|14959869481451435128</stp>
        <tr r="C1401" s="2"/>
      </tp>
      <tp t="s">
        <v>#N/A N/A</v>
        <stp/>
        <stp>BDS|17076196986352187859</stp>
        <tr r="I346" s="2"/>
      </tp>
      <tp t="s">
        <v>#N/A N/A</v>
        <stp/>
        <stp>BDP|12122566547245028287</stp>
        <tr r="G96" s="2"/>
      </tp>
      <tp t="s">
        <v>#N/A N/A</v>
        <stp/>
        <stp>BDP|11268878370679989343</stp>
        <tr r="J8" s="2"/>
      </tp>
      <tp t="s">
        <v>#N/A N/A</v>
        <stp/>
        <stp>BDP|13493345073113266098</stp>
        <tr r="H1880" s="2"/>
      </tp>
      <tp t="s">
        <v>#N/A N/A</v>
        <stp/>
        <stp>BDP|15167535074422861162</stp>
        <tr r="K2014" s="2"/>
      </tp>
      <tp t="s">
        <v>#N/A N/A</v>
        <stp/>
        <stp>BDP|10025258868449055959</stp>
        <tr r="P2008" s="2"/>
      </tp>
      <tp t="s">
        <v>#N/A N/A</v>
        <stp/>
        <stp>BDP|13306190214736218144</stp>
        <tr r="E1668" s="2"/>
      </tp>
      <tp t="s">
        <v>#N/A N/A</v>
        <stp/>
        <stp>BDS|10272783363482753757</stp>
        <tr r="I1855" s="2"/>
      </tp>
      <tp t="s">
        <v>#N/A N/A</v>
        <stp/>
        <stp>BDS|12757883095034002314</stp>
        <tr r="I1146" s="2"/>
      </tp>
      <tp t="s">
        <v>#N/A N/A</v>
        <stp/>
        <stp>BDP|11540655001502121184</stp>
        <tr r="K1757" s="2"/>
      </tp>
      <tp t="s">
        <v>#N/A N/A</v>
        <stp/>
        <stp>BDP|15643296803080123352</stp>
        <tr r="C29" s="2"/>
      </tp>
      <tp t="s">
        <v>#N/A N/A</v>
        <stp/>
        <stp>BDP|15170563798749651414</stp>
        <tr r="M1723" s="2"/>
      </tp>
      <tp t="s">
        <v>#N/A N/A</v>
        <stp/>
        <stp>BDP|16049630712845856018</stp>
        <tr r="E1826" s="2"/>
      </tp>
      <tp t="s">
        <v>#N/A N/A</v>
        <stp/>
        <stp>BDP|10550437115291970026</stp>
        <tr r="Q1858" s="2"/>
      </tp>
      <tp t="s">
        <v>#N/A N/A</v>
        <stp/>
        <stp>BDP|13988072520452380757</stp>
        <tr r="R1132" s="2"/>
      </tp>
      <tp t="s">
        <v>#N/A N/A</v>
        <stp/>
        <stp>BDP|11931370033070053557</stp>
        <tr r="N525" s="2"/>
      </tp>
      <tp t="s">
        <v>#N/A N/A</v>
        <stp/>
        <stp>BDP|18342152388223526637</stp>
        <tr r="D1273" s="2"/>
      </tp>
      <tp t="s">
        <v>#N/A N/A</v>
        <stp/>
        <stp>BDP|15639833298645509507</stp>
        <tr r="F1796" s="2"/>
      </tp>
      <tp t="s">
        <v>#N/A N/A</v>
        <stp/>
        <stp>BDP|14702075549574543045</stp>
        <tr r="A980" s="2"/>
      </tp>
      <tp t="s">
        <v>#N/A N/A</v>
        <stp/>
        <stp>BDP|16915636132380500754</stp>
        <tr r="N1292" s="2"/>
      </tp>
      <tp t="s">
        <v>#N/A N/A</v>
        <stp/>
        <stp>BDP|13903415171294675070</stp>
        <tr r="F302" s="2"/>
      </tp>
      <tp t="s">
        <v>#N/A N/A</v>
        <stp/>
        <stp>BDP|15806660651303055176</stp>
        <tr r="J1001" s="2"/>
      </tp>
      <tp t="s">
        <v>#N/A N/A</v>
        <stp/>
        <stp>BDP|15366444249809220848</stp>
        <tr r="Q598" s="2"/>
      </tp>
      <tp t="s">
        <v>#N/A N/A</v>
        <stp/>
        <stp>BDP|16333147960237779281</stp>
        <tr r="C2087" s="2"/>
      </tp>
      <tp t="s">
        <v>#N/A N/A</v>
        <stp/>
        <stp>BDP|16006970982471521281</stp>
        <tr r="A806" s="2"/>
      </tp>
      <tp t="s">
        <v>#N/A N/A</v>
        <stp/>
        <stp>BDP|15563248469843019600</stp>
        <tr r="T1124" s="2"/>
      </tp>
      <tp t="s">
        <v>#N/A N/A</v>
        <stp/>
        <stp>BDP|14933070855954295115</stp>
        <tr r="P2067" s="2"/>
      </tp>
      <tp t="s">
        <v>#N/A N/A</v>
        <stp/>
        <stp>BDP|16322790560356656542</stp>
        <tr r="D1087" s="2"/>
      </tp>
      <tp t="s">
        <v>#N/A N/A</v>
        <stp/>
        <stp>BDP|17747686922807348068</stp>
        <tr r="S343" s="2"/>
      </tp>
      <tp t="s">
        <v>#N/A N/A</v>
        <stp/>
        <stp>BDP|11065735649653464565</stp>
        <tr r="F1242" s="2"/>
      </tp>
      <tp t="s">
        <v>#N/A N/A</v>
        <stp/>
        <stp>BDP|10042067726381013784</stp>
        <tr r="F112" s="2"/>
      </tp>
      <tp t="s">
        <v>#N/A N/A</v>
        <stp/>
        <stp>BDP|15224376731385845446</stp>
        <tr r="S479" s="2"/>
      </tp>
      <tp t="s">
        <v>#N/A N/A</v>
        <stp/>
        <stp>BDP|12766723739135109751</stp>
        <tr r="S1905" s="2"/>
      </tp>
      <tp t="s">
        <v>#N/A N/A</v>
        <stp/>
        <stp>BDP|16021020818717102430</stp>
        <tr r="S1786" s="2"/>
      </tp>
      <tp t="s">
        <v>#N/A N/A</v>
        <stp/>
        <stp>BDP|16220727914796811246</stp>
        <tr r="A311" s="2"/>
      </tp>
      <tp t="s">
        <v>#N/A N/A</v>
        <stp/>
        <stp>BDP|11105071217403977707</stp>
        <tr r="G2099" s="2"/>
      </tp>
      <tp t="s">
        <v>#N/A N/A</v>
        <stp/>
        <stp>BDP|16273688044034430429</stp>
        <tr r="G438" s="2"/>
      </tp>
      <tp t="s">
        <v>#N/A N/A</v>
        <stp/>
        <stp>BDP|16521383644815857098</stp>
        <tr r="S758" s="2"/>
      </tp>
      <tp t="s">
        <v>#N/A N/A</v>
        <stp/>
        <stp>BDP|17543528448486152456</stp>
        <tr r="O320" s="2"/>
      </tp>
      <tp t="s">
        <v>#N/A N/A</v>
        <stp/>
        <stp>BDP|17630345964227896156</stp>
        <tr r="K473" s="2"/>
      </tp>
      <tp t="s">
        <v>#N/A N/A</v>
        <stp/>
        <stp>BDP|12898780660683908424</stp>
        <tr r="R623" s="2"/>
      </tp>
      <tp t="s">
        <v>#N/A N/A</v>
        <stp/>
        <stp>BDP|18242838088228259400</stp>
        <tr r="A493" s="2"/>
      </tp>
      <tp t="s">
        <v>#N/A N/A</v>
        <stp/>
        <stp>BDP|15292826689411781058</stp>
        <tr r="R1015" s="2"/>
      </tp>
      <tp t="s">
        <v>#N/A N/A</v>
        <stp/>
        <stp>BDP|14379911059814619864</stp>
        <tr r="N1286" s="2"/>
      </tp>
      <tp t="s">
        <v>#N/A N/A</v>
        <stp/>
        <stp>BDP|16148252619052791315</stp>
        <tr r="Q733" s="2"/>
      </tp>
      <tp t="s">
        <v>#N/A N/A</v>
        <stp/>
        <stp>BDP|12840995499101024738</stp>
        <tr r="J450" s="2"/>
      </tp>
      <tp t="s">
        <v>#N/A N/A</v>
        <stp/>
        <stp>BDP|16454291128737729598</stp>
        <tr r="D1351" s="2"/>
      </tp>
      <tp t="s">
        <v>#N/A N/A</v>
        <stp/>
        <stp>BDP|12063374515214019098</stp>
        <tr r="P221" s="2"/>
      </tp>
      <tp t="s">
        <v>#N/A N/A</v>
        <stp/>
        <stp>BDP|15236792482019316719</stp>
        <tr r="H2218" s="2"/>
      </tp>
      <tp t="s">
        <v>#N/A N/A</v>
        <stp/>
        <stp>BDP|10404161674706584487</stp>
        <tr r="J1218" s="2"/>
      </tp>
      <tp t="s">
        <v>#N/A N/A</v>
        <stp/>
        <stp>BDP|15811697030810210486</stp>
        <tr r="T1382" s="2"/>
      </tp>
      <tp t="s">
        <v>#N/A N/A</v>
        <stp/>
        <stp>BDP|13642943642788213299</stp>
        <tr r="E83" s="2"/>
      </tp>
      <tp t="s">
        <v>#N/A N/A</v>
        <stp/>
        <stp>BDP|16494667327195770390</stp>
        <tr r="R920" s="2"/>
      </tp>
      <tp t="s">
        <v>#N/A N/A</v>
        <stp/>
        <stp>BDP|16892646556409314822</stp>
        <tr r="E595" s="2"/>
      </tp>
      <tp t="s">
        <v>#N/A N/A</v>
        <stp/>
        <stp>BDP|15184340568295644101</stp>
        <tr r="A291" s="2"/>
      </tp>
      <tp t="s">
        <v>#N/A N/A</v>
        <stp/>
        <stp>BDP|17099078149524633338</stp>
        <tr r="T1876" s="2"/>
      </tp>
      <tp t="s">
        <v>#N/A N/A</v>
        <stp/>
        <stp>BDP|14172111006897820653</stp>
        <tr r="E603" s="2"/>
      </tp>
      <tp t="s">
        <v>#N/A N/A</v>
        <stp/>
        <stp>BDP|17883617705475348040</stp>
        <tr r="T2003" s="2"/>
      </tp>
      <tp t="s">
        <v>#N/A N/A</v>
        <stp/>
        <stp>BDP|18151981953655688575</stp>
        <tr r="D7" s="2"/>
      </tp>
      <tp t="s">
        <v>#N/A N/A</v>
        <stp/>
        <stp>BDP|11597104930883721498</stp>
        <tr r="R1799" s="2"/>
      </tp>
      <tp t="s">
        <v>#N/A N/A</v>
        <stp/>
        <stp>BDP|14773173127810462385</stp>
        <tr r="J2207" s="2"/>
      </tp>
      <tp t="s">
        <v>#N/A N/A</v>
        <stp/>
        <stp>BDP|10594319600867824075</stp>
        <tr r="D2167" s="2"/>
      </tp>
      <tp t="s">
        <v>#N/A N/A</v>
        <stp/>
        <stp>BDP|18347255748993779920</stp>
        <tr r="O1258" s="2"/>
      </tp>
      <tp t="s">
        <v>#N/A N/A</v>
        <stp/>
        <stp>BDP|13283955461299553184</stp>
        <tr r="K1650" s="2"/>
      </tp>
      <tp t="s">
        <v>#N/A N/A</v>
        <stp/>
        <stp>BDP|16119168278167651323</stp>
        <tr r="D2199" s="2"/>
      </tp>
      <tp t="s">
        <v>#N/A N/A</v>
        <stp/>
        <stp>BDP|12176901288595542279</stp>
        <tr r="P1653" s="2"/>
      </tp>
      <tp t="s">
        <v>#N/A N/A</v>
        <stp/>
        <stp>BDP|14325309527575999469</stp>
        <tr r="T1286" s="2"/>
      </tp>
      <tp t="s">
        <v>#N/A N/A</v>
        <stp/>
        <stp>BDP|13122860377899341180</stp>
        <tr r="F1742" s="2"/>
      </tp>
      <tp t="s">
        <v>#N/A N/A</v>
        <stp/>
        <stp>BDP|10248082622182696450</stp>
        <tr r="A2095" s="2"/>
      </tp>
      <tp t="s">
        <v>#N/A N/A</v>
        <stp/>
        <stp>BDP|16324107719450686277</stp>
        <tr r="P1563" s="2"/>
      </tp>
      <tp t="s">
        <v>#N/A N/A</v>
        <stp/>
        <stp>BDP|15583662877444752486</stp>
        <tr r="K938" s="2"/>
      </tp>
      <tp t="s">
        <v>#N/A N/A</v>
        <stp/>
        <stp>BDP|17118463874832957212</stp>
        <tr r="S1586" s="2"/>
      </tp>
      <tp t="s">
        <v>#N/A N/A</v>
        <stp/>
        <stp>BDP|11667000849605158458</stp>
        <tr r="F451" s="2"/>
      </tp>
      <tp t="s">
        <v>#N/A N/A</v>
        <stp/>
        <stp>BDP|17691457523467974220</stp>
        <tr r="A203" s="2"/>
      </tp>
      <tp t="s">
        <v>#N/A N/A</v>
        <stp/>
        <stp>BDS|13449100707571398785</stp>
        <tr r="I1472" s="2"/>
      </tp>
      <tp t="s">
        <v>#N/A N/A</v>
        <stp/>
        <stp>BDP|15212661158442087071</stp>
        <tr r="J154" s="2"/>
      </tp>
      <tp t="s">
        <v>#N/A N/A</v>
        <stp/>
        <stp>BDP|10878214059823266091</stp>
        <tr r="C1549" s="2"/>
      </tp>
      <tp t="s">
        <v>#N/A N/A</v>
        <stp/>
        <stp>BDP|17560688959524704487</stp>
        <tr r="N1080" s="2"/>
      </tp>
      <tp t="s">
        <v>#N/A N/A</v>
        <stp/>
        <stp>BDP|17743956298890917387</stp>
        <tr r="S676" s="2"/>
      </tp>
      <tp t="s">
        <v>#N/A N/A</v>
        <stp/>
        <stp>BDP|16974017061866015225</stp>
        <tr r="N1585" s="2"/>
      </tp>
      <tp t="s">
        <v>#N/A N/A</v>
        <stp/>
        <stp>BDP|10801341516190630670</stp>
        <tr r="O1044" s="2"/>
      </tp>
      <tp t="s">
        <v>#N/A N/A</v>
        <stp/>
        <stp>BDP|17820679273044099671</stp>
        <tr r="Q1432" s="2"/>
      </tp>
      <tp t="s">
        <v>#N/A N/A</v>
        <stp/>
        <stp>BDP|13411186371691525030</stp>
        <tr r="S1588" s="2"/>
      </tp>
      <tp t="s">
        <v>#N/A N/A</v>
        <stp/>
        <stp>BDP|12439046302057846112</stp>
        <tr r="H2212" s="2"/>
      </tp>
      <tp t="s">
        <v>#N/A N/A</v>
        <stp/>
        <stp>BDP|14618746867568753994</stp>
        <tr r="A698" s="2"/>
      </tp>
      <tp t="s">
        <v>#N/A N/A</v>
        <stp/>
        <stp>BDP|16343685278430917317</stp>
        <tr r="P578" s="2"/>
      </tp>
      <tp t="s">
        <v>#N/A N/A</v>
        <stp/>
        <stp>BDP|14340253759405026242</stp>
        <tr r="S1393" s="2"/>
      </tp>
      <tp t="s">
        <v>#N/A N/A</v>
        <stp/>
        <stp>BDP|12637492870472718737</stp>
        <tr r="C379" s="2"/>
      </tp>
      <tp t="s">
        <v>#N/A N/A</v>
        <stp/>
        <stp>BDP|15633084836282243012</stp>
        <tr r="T1505" s="2"/>
      </tp>
      <tp t="s">
        <v>#N/A N/A</v>
        <stp/>
        <stp>BDP|16961316038621800335</stp>
        <tr r="G671" s="2"/>
      </tp>
      <tp t="s">
        <v>#N/A N/A</v>
        <stp/>
        <stp>BDP|17462532467502905222</stp>
        <tr r="P1147" s="2"/>
      </tp>
      <tp t="s">
        <v>#N/A N/A</v>
        <stp/>
        <stp>BDP|10483718813541566381</stp>
        <tr r="J1830" s="2"/>
      </tp>
      <tp t="s">
        <v>#N/A N/A</v>
        <stp/>
        <stp>BDP|15828192399600120926</stp>
        <tr r="S1263" s="2"/>
      </tp>
      <tp t="s">
        <v>#N/A N/A</v>
        <stp/>
        <stp>BDP|12348024100696864022</stp>
        <tr r="C1015" s="2"/>
      </tp>
      <tp t="s">
        <v>#N/A N/A</v>
        <stp/>
        <stp>BDP|16668476061659953922</stp>
        <tr r="M362" s="2"/>
      </tp>
      <tp t="s">
        <v>#N/A N/A</v>
        <stp/>
        <stp>BDP|17238507674370443192</stp>
        <tr r="S1463" s="2"/>
      </tp>
      <tp t="s">
        <v>#N/A N/A</v>
        <stp/>
        <stp>BDP|15634762268777434774</stp>
        <tr r="K1513" s="2"/>
      </tp>
      <tp t="s">
        <v>#N/A N/A</v>
        <stp/>
        <stp>BDP|12127015329902183637</stp>
        <tr r="S277" s="2"/>
      </tp>
      <tp t="s">
        <v>#N/A N/A</v>
        <stp/>
        <stp>BDP|17461231713656782688</stp>
        <tr r="H1171" s="2"/>
      </tp>
      <tp t="s">
        <v>#N/A N/A</v>
        <stp/>
        <stp>BDP|16912851435370142936</stp>
        <tr r="P1229" s="2"/>
      </tp>
      <tp t="s">
        <v>#N/A N/A</v>
        <stp/>
        <stp>BDP|13011506207292853040</stp>
        <tr r="M283" s="2"/>
      </tp>
      <tp t="s">
        <v>#N/A N/A</v>
        <stp/>
        <stp>BDP|14240448323997732196</stp>
        <tr r="P670" s="2"/>
      </tp>
      <tp t="s">
        <v>#N/A N/A</v>
        <stp/>
        <stp>BDP|16902957761625611800</stp>
        <tr r="K1242" s="2"/>
      </tp>
      <tp t="s">
        <v>#N/A N/A</v>
        <stp/>
        <stp>BDP|15254692433567755347</stp>
        <tr r="O168" s="2"/>
      </tp>
      <tp t="s">
        <v>#N/A N/A</v>
        <stp/>
        <stp>BDP|18163888775801236255</stp>
        <tr r="J1306" s="2"/>
      </tp>
      <tp t="s">
        <v>#N/A N/A</v>
        <stp/>
        <stp>BDP|13526181178078869962</stp>
        <tr r="H1708" s="2"/>
      </tp>
      <tp t="s">
        <v>#N/A N/A</v>
        <stp/>
        <stp>BDP|14357855179478068745</stp>
        <tr r="N226" s="2"/>
      </tp>
      <tp t="s">
        <v>#N/A N/A</v>
        <stp/>
        <stp>BDP|14780093373686691103</stp>
        <tr r="J2008" s="2"/>
      </tp>
      <tp t="s">
        <v>#N/A N/A</v>
        <stp/>
        <stp>BDP|14551401422124960254</stp>
        <tr r="R2075" s="2"/>
      </tp>
      <tp t="s">
        <v>#N/A N/A</v>
        <stp/>
        <stp>BDP|14341162276210014682</stp>
        <tr r="N1647" s="2"/>
      </tp>
      <tp t="s">
        <v>#N/A N/A</v>
        <stp/>
        <stp>BDP|13911806119889909728</stp>
        <tr r="M1532" s="2"/>
      </tp>
      <tp t="s">
        <v>#N/A N/A</v>
        <stp/>
        <stp>BDP|12323884497372540526</stp>
        <tr r="J2070" s="2"/>
      </tp>
      <tp t="s">
        <v>#N/A N/A</v>
        <stp/>
        <stp>BDP|14926708375952333247</stp>
        <tr r="G333" s="2"/>
      </tp>
      <tp t="s">
        <v>#N/A N/A</v>
        <stp/>
        <stp>BDP|13084967909358037649</stp>
        <tr r="E1825" s="2"/>
      </tp>
      <tp t="s">
        <v>#N/A N/A</v>
        <stp/>
        <stp>BDP|12058081076263039253</stp>
        <tr r="O1438" s="2"/>
      </tp>
      <tp t="s">
        <v>#N/A N/A</v>
        <stp/>
        <stp>BDP|16825352496108421045</stp>
        <tr r="R1248" s="2"/>
      </tp>
      <tp t="s">
        <v>#N/A N/A</v>
        <stp/>
        <stp>BDP|15235948588842477212</stp>
        <tr r="O200" s="2"/>
      </tp>
      <tp t="s">
        <v>#N/A N/A</v>
        <stp/>
        <stp>BDP|13936465682253689809</stp>
        <tr r="G1365" s="2"/>
      </tp>
      <tp t="s">
        <v>#N/A N/A</v>
        <stp/>
        <stp>BDP|13224906828269855596</stp>
        <tr r="N1544" s="2"/>
      </tp>
      <tp t="s">
        <v>#N/A N/A</v>
        <stp/>
        <stp>BDS|13816131325677229341</stp>
        <tr r="I356" s="2"/>
      </tp>
      <tp t="s">
        <v>#N/A N/A</v>
        <stp/>
        <stp>BDP|17869431979611146180</stp>
        <tr r="O1930" s="2"/>
      </tp>
      <tp t="s">
        <v>#N/A N/A</v>
        <stp/>
        <stp>BDP|11930058950405398543</stp>
        <tr r="E861" s="2"/>
      </tp>
      <tp t="s">
        <v>#N/A N/A</v>
        <stp/>
        <stp>BDP|14824954682324713531</stp>
        <tr r="P1512" s="2"/>
      </tp>
      <tp t="s">
        <v>#N/A N/A</v>
        <stp/>
        <stp>BDP|12917257473542305176</stp>
        <tr r="K2004" s="2"/>
      </tp>
      <tp t="s">
        <v>#N/A N/A</v>
        <stp/>
        <stp>BDP|15080062939417430509</stp>
        <tr r="O1620" s="2"/>
      </tp>
      <tp t="s">
        <v>#N/A N/A</v>
        <stp/>
        <stp>BDP|15324432049841453069</stp>
        <tr r="O1587" s="2"/>
      </tp>
      <tp t="s">
        <v>#N/A N/A</v>
        <stp/>
        <stp>BDS|12684292295065073829</stp>
        <tr r="I1124" s="2"/>
      </tp>
      <tp t="s">
        <v>#N/A N/A</v>
        <stp/>
        <stp>BDP|15634848291183032392</stp>
        <tr r="C771" s="2"/>
      </tp>
      <tp t="s">
        <v>#N/A N/A</v>
        <stp/>
        <stp>BDP|16703213748602668628</stp>
        <tr r="C912" s="2"/>
      </tp>
      <tp t="s">
        <v>#N/A N/A</v>
        <stp/>
        <stp>BDP|13621088474597772773</stp>
        <tr r="R1300" s="2"/>
      </tp>
      <tp t="s">
        <v>#N/A N/A</v>
        <stp/>
        <stp>BDP|14784345413960988237</stp>
        <tr r="K135" s="2"/>
      </tp>
      <tp t="s">
        <v>#N/A N/A</v>
        <stp/>
        <stp>BDP|11021316939083495666</stp>
        <tr r="G1276" s="2"/>
      </tp>
      <tp t="s">
        <v>#N/A N/A</v>
        <stp/>
        <stp>BDP|11893725366787259344</stp>
        <tr r="C681" s="2"/>
      </tp>
      <tp t="s">
        <v>#N/A N/A</v>
        <stp/>
        <stp>BDP|17797249864094926348</stp>
        <tr r="H376" s="2"/>
      </tp>
      <tp t="s">
        <v>#N/A N/A</v>
        <stp/>
        <stp>BDP|10380277249307508525</stp>
        <tr r="M881" s="2"/>
      </tp>
      <tp t="s">
        <v>#N/A N/A</v>
        <stp/>
        <stp>BDP|18112997265640581321</stp>
        <tr r="A884" s="2"/>
      </tp>
      <tp t="s">
        <v>#N/A N/A</v>
        <stp/>
        <stp>BDP|14695531561420746391</stp>
        <tr r="S185" s="2"/>
      </tp>
      <tp t="s">
        <v>#N/A N/A</v>
        <stp/>
        <stp>BDP|16976259701872472238</stp>
        <tr r="S121" s="2"/>
      </tp>
      <tp t="s">
        <v>#N/A N/A</v>
        <stp/>
        <stp>BDP|13913121501723693567</stp>
        <tr r="H1056" s="2"/>
      </tp>
      <tp t="s">
        <v>#N/A N/A</v>
        <stp/>
        <stp>BDP|13305210466155892661</stp>
        <tr r="C1830" s="2"/>
      </tp>
      <tp t="s">
        <v>#N/A N/A</v>
        <stp/>
        <stp>BDP|15061094204666447739</stp>
        <tr r="S1042" s="2"/>
      </tp>
      <tp t="s">
        <v>#N/A N/A</v>
        <stp/>
        <stp>BDP|10727074561895247792</stp>
        <tr r="H854" s="2"/>
      </tp>
      <tp t="s">
        <v>#N/A N/A</v>
        <stp/>
        <stp>BDP|11968833246111591835</stp>
        <tr r="T1415" s="2"/>
      </tp>
      <tp t="s">
        <v>#N/A N/A</v>
        <stp/>
        <stp>BDP|16887106703682662176</stp>
        <tr r="K2008" s="2"/>
      </tp>
      <tp t="s">
        <v>#N/A N/A</v>
        <stp/>
        <stp>BDP|11683032438014421230</stp>
        <tr r="H41" s="2"/>
      </tp>
      <tp t="s">
        <v>#N/A N/A</v>
        <stp/>
        <stp>BDS|13921787174557412089</stp>
        <tr r="I953" s="2"/>
      </tp>
      <tp t="s">
        <v>#N/A N/A</v>
        <stp/>
        <stp>BDP|14674549353536802633</stp>
        <tr r="Q1143" s="2"/>
      </tp>
      <tp t="s">
        <v>#N/A N/A</v>
        <stp/>
        <stp>BDP|11195712992458968311</stp>
        <tr r="K1046" s="2"/>
      </tp>
      <tp t="s">
        <v>#N/A N/A</v>
        <stp/>
        <stp>BDP|16089039784602883850</stp>
        <tr r="S178" s="2"/>
      </tp>
      <tp t="s">
        <v>#N/A N/A</v>
        <stp/>
        <stp>BDP|15574628208595573202</stp>
        <tr r="F346" s="2"/>
      </tp>
      <tp t="s">
        <v>#N/A N/A</v>
        <stp/>
        <stp>BDP|11208275228853275655</stp>
        <tr r="C1677" s="2"/>
      </tp>
      <tp t="s">
        <v>#N/A N/A</v>
        <stp/>
        <stp>BDP|18221969246843850209</stp>
        <tr r="O1096" s="2"/>
      </tp>
      <tp t="s">
        <v>#N/A N/A</v>
        <stp/>
        <stp>BDP|13130606209930233100</stp>
        <tr r="M1410" s="2"/>
      </tp>
      <tp t="s">
        <v>#N/A N/A</v>
        <stp/>
        <stp>BDP|13190087330485544160</stp>
        <tr r="R685" s="2"/>
      </tp>
      <tp t="s">
        <v>#N/A N/A</v>
        <stp/>
        <stp>BDP|17609886683531452238</stp>
        <tr r="F1065" s="2"/>
      </tp>
      <tp t="s">
        <v>#N/A N/A</v>
        <stp/>
        <stp>BDP|10047000132975864205</stp>
        <tr r="O818" s="2"/>
      </tp>
      <tp t="s">
        <v>#N/A N/A</v>
        <stp/>
        <stp>BDP|12787069418925175221</stp>
        <tr r="S868" s="2"/>
      </tp>
      <tp t="s">
        <v>#N/A N/A</v>
        <stp/>
        <stp>BDP|17927638643360043133</stp>
        <tr r="T1904" s="2"/>
      </tp>
      <tp t="s">
        <v>#N/A N/A</v>
        <stp/>
        <stp>BDP|17290340523214747681</stp>
        <tr r="S1415" s="2"/>
      </tp>
      <tp t="s">
        <v>#N/A N/A</v>
        <stp/>
        <stp>BDP|15204942227889862331</stp>
        <tr r="R1898" s="2"/>
      </tp>
      <tp t="s">
        <v>#N/A N/A</v>
        <stp/>
        <stp>BDP|16638654333363213488</stp>
        <tr r="G1007" s="2"/>
      </tp>
      <tp t="s">
        <v>#N/A N/A</v>
        <stp/>
        <stp>BDS|17459384726635130728</stp>
        <tr r="I296" s="2"/>
      </tp>
      <tp t="s">
        <v>#N/A N/A</v>
        <stp/>
        <stp>BDP|13128668008628684938</stp>
        <tr r="J1987" s="2"/>
      </tp>
      <tp t="s">
        <v>#N/A N/A</v>
        <stp/>
        <stp>BDP|12247093422436674258</stp>
        <tr r="A1290" s="2"/>
      </tp>
      <tp t="s">
        <v>#N/A N/A</v>
        <stp/>
        <stp>BDS|15897617952681165332</stp>
        <tr r="I479" s="2"/>
      </tp>
      <tp t="s">
        <v>#N/A N/A</v>
        <stp/>
        <stp>BDP|11897412337833248164</stp>
        <tr r="F1694" s="2"/>
      </tp>
      <tp t="s">
        <v>#N/A N/A</v>
        <stp/>
        <stp>BDP|12909654841885796106</stp>
        <tr r="R698" s="2"/>
      </tp>
      <tp t="s">
        <v>#N/A N/A</v>
        <stp/>
        <stp>BDP|11959709640944043232</stp>
        <tr r="T1590" s="2"/>
      </tp>
      <tp t="s">
        <v>#N/A N/A</v>
        <stp/>
        <stp>BDP|13920769526996237412</stp>
        <tr r="Q45" s="2"/>
      </tp>
      <tp t="s">
        <v>#N/A N/A</v>
        <stp/>
        <stp>BDP|16857935093471125335</stp>
        <tr r="S391" s="2"/>
      </tp>
      <tp t="s">
        <v>#N/A N/A</v>
        <stp/>
        <stp>BDP|15680623238752381657</stp>
        <tr r="N1648" s="2"/>
      </tp>
      <tp t="s">
        <v>#N/A N/A</v>
        <stp/>
        <stp>BDP|14266502953251211195</stp>
        <tr r="H1705" s="2"/>
      </tp>
      <tp t="s">
        <v>#N/A N/A</v>
        <stp/>
        <stp>BDP|15104822030569967303</stp>
        <tr r="T1315" s="2"/>
      </tp>
      <tp t="s">
        <v>#N/A N/A</v>
        <stp/>
        <stp>BDP|10275708761004995104</stp>
        <tr r="P909" s="2"/>
      </tp>
      <tp t="s">
        <v>#N/A N/A</v>
        <stp/>
        <stp>BDP|13038742170054970377</stp>
        <tr r="H399" s="2"/>
      </tp>
      <tp t="s">
        <v>#N/A N/A</v>
        <stp/>
        <stp>BDP|10992916183312758768</stp>
        <tr r="A1413" s="2"/>
      </tp>
      <tp t="s">
        <v>#N/A N/A</v>
        <stp/>
        <stp>BDP|14930163774276501043</stp>
        <tr r="J1046" s="2"/>
      </tp>
      <tp t="s">
        <v>#N/A N/A</v>
        <stp/>
        <stp>BDP|13677854610746135886</stp>
        <tr r="F858" s="2"/>
      </tp>
      <tp t="s">
        <v>#N/A N/A</v>
        <stp/>
        <stp>BDP|16354854978598236566</stp>
        <tr r="Q163" s="2"/>
      </tp>
      <tp t="s">
        <v>#N/A N/A</v>
        <stp/>
        <stp>BDP|12856207764293747114</stp>
        <tr r="D917" s="2"/>
      </tp>
      <tp t="s">
        <v>#N/A N/A</v>
        <stp/>
        <stp>BDP|10695540365451949649</stp>
        <tr r="C183" s="2"/>
      </tp>
      <tp t="s">
        <v>#N/A N/A</v>
        <stp/>
        <stp>BDP|17069460259684316661</stp>
        <tr r="C1876" s="2"/>
      </tp>
      <tp t="s">
        <v>#N/A N/A</v>
        <stp/>
        <stp>BDP|16756215008402752231</stp>
        <tr r="H2220" s="2"/>
      </tp>
      <tp t="s">
        <v>#N/A N/A</v>
        <stp/>
        <stp>BDP|17043430776727962765</stp>
        <tr r="J924" s="2"/>
      </tp>
      <tp t="s">
        <v>#N/A N/A</v>
        <stp/>
        <stp>BDP|13838930289443892509</stp>
        <tr r="T439" s="2"/>
      </tp>
      <tp t="s">
        <v>#N/A N/A</v>
        <stp/>
        <stp>BDP|15178370272706904377</stp>
        <tr r="T1292" s="2"/>
      </tp>
      <tp t="s">
        <v>#N/A N/A</v>
        <stp/>
        <stp>BDP|16639443659012120105</stp>
        <tr r="D209" s="2"/>
      </tp>
      <tp t="s">
        <v>#N/A N/A</v>
        <stp/>
        <stp>BDP|11881929183686209210</stp>
        <tr r="A1749" s="2"/>
      </tp>
      <tp t="s">
        <v>#N/A N/A</v>
        <stp/>
        <stp>BDP|15447144243173973701</stp>
        <tr r="J1960" s="2"/>
      </tp>
      <tp t="s">
        <v>#N/A N/A</v>
        <stp/>
        <stp>BDP|16873194569177370212</stp>
        <tr r="C750" s="2"/>
      </tp>
      <tp t="s">
        <v>#N/A N/A</v>
        <stp/>
        <stp>BDP|15703733544226377491</stp>
        <tr r="J45" s="2"/>
      </tp>
      <tp t="s">
        <v>#N/A N/A</v>
        <stp/>
        <stp>BDP|15811476353640569031</stp>
        <tr r="P1877" s="2"/>
      </tp>
      <tp t="s">
        <v>#N/A N/A</v>
        <stp/>
        <stp>BDP|11774215248005528616</stp>
        <tr r="K1439" s="2"/>
      </tp>
      <tp t="s">
        <v>#N/A N/A</v>
        <stp/>
        <stp>BDP|14125185759895910138</stp>
        <tr r="H291" s="2"/>
      </tp>
      <tp t="s">
        <v>#N/A N/A</v>
        <stp/>
        <stp>BDP|16918714052789575953</stp>
        <tr r="R948" s="2"/>
      </tp>
      <tp t="s">
        <v>#N/A N/A</v>
        <stp/>
        <stp>BDP|12897631319956916716</stp>
        <tr r="A1841" s="2"/>
      </tp>
      <tp t="s">
        <v>#N/A N/A</v>
        <stp/>
        <stp>BDP|11355143216983989621</stp>
        <tr r="M1451" s="2"/>
      </tp>
      <tp t="s">
        <v>#N/A N/A</v>
        <stp/>
        <stp>BDP|16934610022132747470</stp>
        <tr r="P562" s="2"/>
      </tp>
      <tp t="s">
        <v>#N/A N/A</v>
        <stp/>
        <stp>BDP|12604380314271673563</stp>
        <tr r="K391" s="2"/>
      </tp>
      <tp t="s">
        <v>#N/A N/A</v>
        <stp/>
        <stp>BDP|17038200642771014480</stp>
        <tr r="T963" s="2"/>
      </tp>
      <tp t="s">
        <v>#N/A N/A</v>
        <stp/>
        <stp>BDP|16133080802371955380</stp>
        <tr r="T757" s="2"/>
      </tp>
      <tp t="s">
        <v>#N/A N/A</v>
        <stp/>
        <stp>BDP|16464890019462647983</stp>
        <tr r="F436" s="2"/>
      </tp>
      <tp t="s">
        <v>#N/A N/A</v>
        <stp/>
        <stp>BDP|11588768407504958675</stp>
        <tr r="Q2003" s="2"/>
      </tp>
      <tp t="s">
        <v>#N/A N/A</v>
        <stp/>
        <stp>BDP|12800070972962698315</stp>
        <tr r="N37" s="2"/>
      </tp>
      <tp t="s">
        <v>#N/A N/A</v>
        <stp/>
        <stp>BDP|12963494403535146786</stp>
        <tr r="J876" s="2"/>
      </tp>
      <tp t="s">
        <v>#N/A N/A</v>
        <stp/>
        <stp>BDP|13296089379438050895</stp>
        <tr r="G1608" s="2"/>
      </tp>
      <tp t="s">
        <v>#N/A N/A</v>
        <stp/>
        <stp>BDP|11963071107694518164</stp>
        <tr r="H2166" s="2"/>
      </tp>
      <tp t="s">
        <v>#N/A N/A</v>
        <stp/>
        <stp>BDP|11242558654552651787</stp>
        <tr r="F1190" s="2"/>
      </tp>
      <tp t="s">
        <v>#N/A N/A</v>
        <stp/>
        <stp>BDP|11937238432715572100</stp>
        <tr r="E1457" s="2"/>
      </tp>
      <tp t="s">
        <v>#N/A N/A</v>
        <stp/>
        <stp>BDP|11155186253991642014</stp>
        <tr r="Q1227" s="2"/>
      </tp>
      <tp t="s">
        <v>#N/A N/A</v>
        <stp/>
        <stp>BDP|16837834205308389206</stp>
        <tr r="T63" s="2"/>
      </tp>
      <tp t="s">
        <v>#N/A N/A</v>
        <stp/>
        <stp>BDP|11970951940070697876</stp>
        <tr r="D1591" s="2"/>
      </tp>
      <tp t="s">
        <v>#N/A N/A</v>
        <stp/>
        <stp>BDP|12740297815083228648</stp>
        <tr r="F1885" s="2"/>
      </tp>
      <tp t="s">
        <v>#N/A N/A</v>
        <stp/>
        <stp>BDP|18083389857463286904</stp>
        <tr r="J718" s="2"/>
      </tp>
      <tp t="s">
        <v>#N/A N/A</v>
        <stp/>
        <stp>BDP|10996468933324629779</stp>
        <tr r="Q240" s="2"/>
      </tp>
      <tp t="s">
        <v>#N/A N/A</v>
        <stp/>
        <stp>BDP|12026745489448297123</stp>
        <tr r="M2051" s="2"/>
      </tp>
      <tp t="s">
        <v>#N/A N/A</v>
        <stp/>
        <stp>BDP|11541897300659954489</stp>
        <tr r="J434" s="2"/>
      </tp>
      <tp t="s">
        <v>#N/A N/A</v>
        <stp/>
        <stp>BDP|10483467101670798098</stp>
        <tr r="E546" s="2"/>
      </tp>
      <tp t="s">
        <v>#N/A N/A</v>
        <stp/>
        <stp>BDP|17922810395924226621</stp>
        <tr r="K1286" s="2"/>
      </tp>
      <tp t="s">
        <v>#N/A N/A</v>
        <stp/>
        <stp>BDP|10151185135817391129</stp>
        <tr r="G142" s="2"/>
      </tp>
      <tp t="s">
        <v>#N/A N/A</v>
        <stp/>
        <stp>BDP|15627574806990856422</stp>
        <tr r="O1032" s="2"/>
      </tp>
      <tp t="s">
        <v>#N/A N/A</v>
        <stp/>
        <stp>BDP|14110016904400080094</stp>
        <tr r="J1862" s="2"/>
      </tp>
      <tp t="s">
        <v>#N/A N/A</v>
        <stp/>
        <stp>BDS|13809430138683488391</stp>
        <tr r="I703" s="2"/>
      </tp>
      <tp t="s">
        <v>#N/A N/A</v>
        <stp/>
        <stp>BDP|12988684718412255362</stp>
        <tr r="D448" s="2"/>
      </tp>
      <tp t="s">
        <v>#N/A N/A</v>
        <stp/>
        <stp>BDP|17559912083910832222</stp>
        <tr r="P583" s="2"/>
      </tp>
      <tp t="s">
        <v>#N/A N/A</v>
        <stp/>
        <stp>BDP|15161424366457802409</stp>
        <tr r="Q1436" s="2"/>
      </tp>
      <tp t="s">
        <v>#N/A N/A</v>
        <stp/>
        <stp>BDP|11309601352582991452</stp>
        <tr r="E1424" s="2"/>
      </tp>
      <tp t="s">
        <v>#N/A N/A</v>
        <stp/>
        <stp>BDS|12961106943635088641</stp>
        <tr r="I1523" s="2"/>
      </tp>
      <tp t="s">
        <v>#N/A N/A</v>
        <stp/>
        <stp>BDS|12038117330131723589</stp>
        <tr r="I1399" s="2"/>
      </tp>
      <tp t="s">
        <v>#N/A N/A</v>
        <stp/>
        <stp>BDP|17021397121795571708</stp>
        <tr r="P1127" s="2"/>
      </tp>
      <tp t="s">
        <v>#N/A N/A</v>
        <stp/>
        <stp>BDP|13440399374660225364</stp>
        <tr r="H1587" s="2"/>
      </tp>
      <tp t="s">
        <v>#N/A N/A</v>
        <stp/>
        <stp>BDP|12205239299005519804</stp>
        <tr r="D962" s="2"/>
      </tp>
      <tp t="s">
        <v>#N/A N/A</v>
        <stp/>
        <stp>BDP|13228855899574570269</stp>
        <tr r="S609" s="2"/>
      </tp>
      <tp t="s">
        <v>#N/A N/A</v>
        <stp/>
        <stp>BDP|11808947933726153939</stp>
        <tr r="N2078" s="2"/>
      </tp>
      <tp t="s">
        <v>#N/A N/A</v>
        <stp/>
        <stp>BDP|12365569237368921862</stp>
        <tr r="R1823" s="2"/>
      </tp>
      <tp t="s">
        <v>#N/A N/A</v>
        <stp/>
        <stp>BDP|15772740126750056489</stp>
        <tr r="N342" s="2"/>
      </tp>
      <tp t="s">
        <v>#N/A N/A</v>
        <stp/>
        <stp>BDP|10975791967545295089</stp>
        <tr r="T782" s="2"/>
      </tp>
      <tp t="s">
        <v>#N/A N/A</v>
        <stp/>
        <stp>BDP|14271670829251950583</stp>
        <tr r="C1207" s="2"/>
      </tp>
      <tp t="s">
        <v>#N/A N/A</v>
        <stp/>
        <stp>BDP|18441083330559812690</stp>
        <tr r="M1151" s="2"/>
      </tp>
      <tp t="s">
        <v>#N/A N/A</v>
        <stp/>
        <stp>BDP|12023052438452240723</stp>
        <tr r="J1460" s="2"/>
      </tp>
      <tp t="s">
        <v>#N/A N/A</v>
        <stp/>
        <stp>BDP|17838389760725860359</stp>
        <tr r="A19" s="2"/>
      </tp>
      <tp t="s">
        <v>#N/A N/A</v>
        <stp/>
        <stp>BDP|11852163751150038126</stp>
        <tr r="G568" s="2"/>
      </tp>
      <tp t="s">
        <v>#N/A N/A</v>
        <stp/>
        <stp>BDP|11674084492555332927</stp>
        <tr r="F1731" s="2"/>
      </tp>
      <tp t="s">
        <v>#N/A N/A</v>
        <stp/>
        <stp>BDP|10747923205138406594</stp>
        <tr r="D1438" s="2"/>
      </tp>
      <tp t="s">
        <v>#N/A N/A</v>
        <stp/>
        <stp>BDP|17724033758801993782</stp>
        <tr r="N333" s="2"/>
      </tp>
      <tp t="s">
        <v>#N/A N/A</v>
        <stp/>
        <stp>BDP|17729973091200504392</stp>
        <tr r="J719" s="2"/>
      </tp>
      <tp t="s">
        <v>#N/A N/A</v>
        <stp/>
        <stp>BDP|17989675112865931187</stp>
        <tr r="H1529" s="2"/>
      </tp>
      <tp t="s">
        <v>#N/A N/A</v>
        <stp/>
        <stp>BDP|14831147988878984105</stp>
        <tr r="D1181" s="2"/>
      </tp>
      <tp t="s">
        <v>#N/A N/A</v>
        <stp/>
        <stp>BDP|16809024644945481374</stp>
        <tr r="S1816" s="2"/>
      </tp>
      <tp t="s">
        <v>#N/A N/A</v>
        <stp/>
        <stp>BDP|13671424039745851580</stp>
        <tr r="T201" s="2"/>
      </tp>
      <tp t="s">
        <v>#N/A N/A</v>
        <stp/>
        <stp>BDP|10817351865163238273</stp>
        <tr r="A2224" s="2"/>
      </tp>
      <tp t="s">
        <v>#N/A N/A</v>
        <stp/>
        <stp>BDP|16622161260325837053</stp>
        <tr r="J894" s="2"/>
      </tp>
      <tp t="s">
        <v>#N/A N/A</v>
        <stp/>
        <stp>BDP|11081140285268421488</stp>
        <tr r="J530" s="2"/>
      </tp>
      <tp t="s">
        <v>#N/A N/A</v>
        <stp/>
        <stp>BDP|16565543878582382278</stp>
        <tr r="H1379" s="2"/>
      </tp>
      <tp t="s">
        <v>#N/A N/A</v>
        <stp/>
        <stp>BDP|15999736173889326875</stp>
        <tr r="A1281" s="2"/>
      </tp>
      <tp t="s">
        <v>#N/A N/A</v>
        <stp/>
        <stp>BDP|14212535193659966564</stp>
        <tr r="R2020" s="2"/>
      </tp>
      <tp t="s">
        <v>#N/A N/A</v>
        <stp/>
        <stp>BDP|10195536598170218858</stp>
        <tr r="T261" s="2"/>
      </tp>
      <tp t="s">
        <v>#N/A N/A</v>
        <stp/>
        <stp>BDP|15289422940997832657</stp>
        <tr r="G49" s="2"/>
      </tp>
      <tp t="s">
        <v>#N/A N/A</v>
        <stp/>
        <stp>BDP|10780488623442156006</stp>
        <tr r="E10" s="2"/>
      </tp>
      <tp t="s">
        <v>#N/A N/A</v>
        <stp/>
        <stp>BDP|14949183832360833260</stp>
        <tr r="M1737" s="2"/>
      </tp>
      <tp t="s">
        <v>#N/A N/A</v>
        <stp/>
        <stp>BDP|16126641872177249481</stp>
        <tr r="Q747" s="2"/>
      </tp>
      <tp t="s">
        <v>#N/A N/A</v>
        <stp/>
        <stp>BDP|16438404012042260597</stp>
        <tr r="P1687" s="2"/>
      </tp>
      <tp t="s">
        <v>#N/A N/A</v>
        <stp/>
        <stp>BDP|17022188451730099742</stp>
        <tr r="P1028" s="2"/>
      </tp>
      <tp t="s">
        <v>#N/A N/A</v>
        <stp/>
        <stp>BDP|17250209873421494787</stp>
        <tr r="A1556" s="2"/>
      </tp>
      <tp t="s">
        <v>#N/A N/A</v>
        <stp/>
        <stp>BDP|16210748639906353013</stp>
        <tr r="H1805" s="2"/>
      </tp>
      <tp t="s">
        <v>#N/A N/A</v>
        <stp/>
        <stp>BDP|13021690054455110111</stp>
        <tr r="R344" s="2"/>
      </tp>
      <tp t="s">
        <v>#N/A N/A</v>
        <stp/>
        <stp>BDP|13726993711066470960</stp>
        <tr r="C606" s="2"/>
      </tp>
      <tp t="s">
        <v>#N/A N/A</v>
        <stp/>
        <stp>BDP|10770535552504224093</stp>
        <tr r="R1681" s="2"/>
      </tp>
      <tp t="s">
        <v>#N/A N/A</v>
        <stp/>
        <stp>BDP|11880630451223256559</stp>
        <tr r="D2084" s="2"/>
      </tp>
      <tp t="s">
        <v>#N/A N/A</v>
        <stp/>
        <stp>BDP|17065591165717025714</stp>
        <tr r="T1634" s="2"/>
      </tp>
      <tp t="s">
        <v>#N/A N/A</v>
        <stp/>
        <stp>BDP|10833000893995480824</stp>
        <tr r="P390" s="2"/>
      </tp>
      <tp t="s">
        <v>#N/A N/A</v>
        <stp/>
        <stp>BDP|11007334821713820774</stp>
        <tr r="J931" s="2"/>
      </tp>
      <tp t="s">
        <v>#N/A N/A</v>
        <stp/>
        <stp>BDP|15407092731685393728</stp>
        <tr r="Q1963" s="2"/>
      </tp>
      <tp t="s">
        <v>#N/A N/A</v>
        <stp/>
        <stp>BDP|10625319619840311607</stp>
        <tr r="K1164" s="2"/>
      </tp>
      <tp t="s">
        <v>#N/A N/A</v>
        <stp/>
        <stp>BDP|15706166425564154683</stp>
        <tr r="C1272" s="2"/>
      </tp>
      <tp t="s">
        <v>#N/A N/A</v>
        <stp/>
        <stp>BDP|10784191245036346758</stp>
        <tr r="O1000" s="2"/>
      </tp>
      <tp t="s">
        <v>#N/A N/A</v>
        <stp/>
        <stp>BDP|18138221010556839960</stp>
        <tr r="F2032" s="2"/>
      </tp>
      <tp t="s">
        <v>#N/A N/A</v>
        <stp/>
        <stp>BDP|14205196776576202027</stp>
        <tr r="F1721" s="2"/>
      </tp>
      <tp t="s">
        <v>#N/A N/A</v>
        <stp/>
        <stp>BDP|12634563741632900552</stp>
        <tr r="N303" s="2"/>
      </tp>
      <tp t="s">
        <v>#N/A N/A</v>
        <stp/>
        <stp>BDP|17607185017365333671</stp>
        <tr r="S1481" s="2"/>
      </tp>
      <tp t="s">
        <v>#N/A N/A</v>
        <stp/>
        <stp>BDP|16618342886760869909</stp>
        <tr r="T942" s="2"/>
      </tp>
      <tp t="s">
        <v>#N/A N/A</v>
        <stp/>
        <stp>BDP|17232290128316834578</stp>
        <tr r="H127" s="2"/>
      </tp>
      <tp t="s">
        <v>#N/A N/A</v>
        <stp/>
        <stp>BDS|10361241442254392697</stp>
        <tr r="I1091" s="2"/>
      </tp>
      <tp t="s">
        <v>#N/A N/A</v>
        <stp/>
        <stp>BDP|14023007814055081487</stp>
        <tr r="T1560" s="2"/>
      </tp>
      <tp t="s">
        <v>#N/A N/A</v>
        <stp/>
        <stp>BDP|16548552908923619424</stp>
        <tr r="Q1226" s="2"/>
      </tp>
      <tp t="s">
        <v>#N/A N/A</v>
        <stp/>
        <stp>BDP|12797942148719360240</stp>
        <tr r="F1808" s="2"/>
      </tp>
      <tp t="s">
        <v>#N/A N/A</v>
        <stp/>
        <stp>BDP|12880760520046626540</stp>
        <tr r="C1959" s="2"/>
      </tp>
      <tp t="s">
        <v>#N/A N/A</v>
        <stp/>
        <stp>BDP|10809520517384784461</stp>
        <tr r="N1556" s="2"/>
      </tp>
      <tp t="s">
        <v>#N/A N/A</v>
        <stp/>
        <stp>BDP|15195705000122817456</stp>
        <tr r="T205" s="2"/>
      </tp>
      <tp t="s">
        <v>#N/A N/A</v>
        <stp/>
        <stp>BDP|10365306923206983353</stp>
        <tr r="F785" s="2"/>
      </tp>
      <tp t="s">
        <v>#N/A N/A</v>
        <stp/>
        <stp>BDP|17539207595358976059</stp>
        <tr r="H117" s="2"/>
      </tp>
      <tp t="s">
        <v>#N/A N/A</v>
        <stp/>
        <stp>BDP|15548504378356790563</stp>
        <tr r="Q1420" s="2"/>
      </tp>
      <tp t="s">
        <v>#N/A N/A</v>
        <stp/>
        <stp>BDP|13079337112643976648</stp>
        <tr r="Q822" s="2"/>
      </tp>
      <tp t="s">
        <v>#N/A N/A</v>
        <stp/>
        <stp>BDP|12797836297503743487</stp>
        <tr r="Q35" s="2"/>
      </tp>
      <tp t="s">
        <v>#N/A N/A</v>
        <stp/>
        <stp>BDP|12922164523511536459</stp>
        <tr r="Q1575" s="2"/>
      </tp>
      <tp t="s">
        <v>#N/A N/A</v>
        <stp/>
        <stp>BDP|15988310874772408747</stp>
        <tr r="C1061" s="2"/>
      </tp>
      <tp t="s">
        <v>#N/A N/A</v>
        <stp/>
        <stp>BDP|14562817316658791196</stp>
        <tr r="P1247" s="2"/>
      </tp>
      <tp t="s">
        <v>#N/A N/A</v>
        <stp/>
        <stp>BDP|17016369762550830606</stp>
        <tr r="F1285" s="2"/>
      </tp>
      <tp t="s">
        <v>#N/A N/A</v>
        <stp/>
        <stp>BDP|17829518380616134840</stp>
        <tr r="S1616" s="2"/>
      </tp>
      <tp t="s">
        <v>#N/A N/A</v>
        <stp/>
        <stp>BDP|12697915067281517890</stp>
        <tr r="G279" s="2"/>
      </tp>
      <tp t="s">
        <v>#N/A N/A</v>
        <stp/>
        <stp>BDP|12465882574441261868</stp>
        <tr r="C1636" s="2"/>
      </tp>
      <tp t="s">
        <v>#N/A N/A</v>
        <stp/>
        <stp>BDP|10768038478566643562</stp>
        <tr r="J1497" s="2"/>
      </tp>
      <tp t="s">
        <v>#N/A N/A</v>
        <stp/>
        <stp>BDP|11743503424987966565</stp>
        <tr r="E874" s="2"/>
      </tp>
      <tp t="s">
        <v>#N/A N/A</v>
        <stp/>
        <stp>BDP|10872221173831476014</stp>
        <tr r="A757" s="2"/>
      </tp>
      <tp t="s">
        <v>#N/A N/A</v>
        <stp/>
        <stp>BDP|11908307800425172349</stp>
        <tr r="T774" s="2"/>
      </tp>
      <tp t="s">
        <v>#N/A N/A</v>
        <stp/>
        <stp>BDP|16846737613875049143</stp>
        <tr r="E612" s="2"/>
      </tp>
      <tp t="s">
        <v>#N/A N/A</v>
        <stp/>
        <stp>BDP|10189463468347162122</stp>
        <tr r="A734" s="2"/>
      </tp>
      <tp t="s">
        <v>#N/A N/A</v>
        <stp/>
        <stp>BDP|10680857408644447831</stp>
        <tr r="P918" s="2"/>
      </tp>
      <tp t="s">
        <v>#N/A N/A</v>
        <stp/>
        <stp>BDP|11282430610141807155</stp>
        <tr r="G868" s="2"/>
      </tp>
      <tp t="s">
        <v>#N/A N/A</v>
        <stp/>
        <stp>BDP|16589099736384670509</stp>
        <tr r="S323" s="2"/>
      </tp>
      <tp t="s">
        <v>#N/A N/A</v>
        <stp/>
        <stp>BDP|18434841848360645026</stp>
        <tr r="M266" s="2"/>
      </tp>
      <tp t="s">
        <v>#N/A N/A</v>
        <stp/>
        <stp>BDP|14436090279530109795</stp>
        <tr r="K1958" s="2"/>
      </tp>
      <tp t="s">
        <v>#N/A N/A</v>
        <stp/>
        <stp>BDP|15726714839573040634</stp>
        <tr r="M2240" s="2"/>
      </tp>
      <tp t="s">
        <v>#N/A N/A</v>
        <stp/>
        <stp>BDP|11834828590285621108</stp>
        <tr r="M109" s="2"/>
      </tp>
      <tp t="s">
        <v>#N/A N/A</v>
        <stp/>
        <stp>BDP|15320516395129819437</stp>
        <tr r="F637" s="2"/>
      </tp>
      <tp t="s">
        <v>#N/A N/A</v>
        <stp/>
        <stp>BDP|15248184353943599603</stp>
        <tr r="N1333" s="2"/>
      </tp>
      <tp t="s">
        <v>#N/A N/A</v>
        <stp/>
        <stp>BDP|13322256359462076234</stp>
        <tr r="T1193" s="2"/>
      </tp>
      <tp t="s">
        <v>#N/A N/A</v>
        <stp/>
        <stp>BDP|10701355353550467295</stp>
        <tr r="A1086" s="2"/>
      </tp>
      <tp t="s">
        <v>#N/A N/A</v>
        <stp/>
        <stp>BDS|15889449855598738814</stp>
        <tr r="I459" s="2"/>
      </tp>
      <tp t="s">
        <v>#N/A N/A</v>
        <stp/>
        <stp>BDP|18398876809517012318</stp>
        <tr r="H1188" s="2"/>
      </tp>
      <tp t="s">
        <v>#N/A N/A</v>
        <stp/>
        <stp>BDS|11279389902387275158</stp>
        <tr r="I2000" s="2"/>
      </tp>
      <tp t="s">
        <v>#N/A N/A</v>
        <stp/>
        <stp>BDP|13562554909444036657</stp>
        <tr r="R853" s="2"/>
      </tp>
      <tp t="s">
        <v>#N/A N/A</v>
        <stp/>
        <stp>BDP|16849224457853591643</stp>
        <tr r="D2189" s="2"/>
      </tp>
      <tp t="s">
        <v>#N/A N/A</v>
        <stp/>
        <stp>BDP|16299359168107172024</stp>
        <tr r="T1062" s="2"/>
      </tp>
      <tp t="s">
        <v>#N/A N/A</v>
        <stp/>
        <stp>BDP|12034958005619992656</stp>
        <tr r="T941" s="2"/>
      </tp>
      <tp t="s">
        <v>#N/A N/A</v>
        <stp/>
        <stp>BDP|13680297974393760108</stp>
        <tr r="O1934" s="2"/>
      </tp>
      <tp t="s">
        <v>#N/A N/A</v>
        <stp/>
        <stp>BDP|15170771988496123832</stp>
        <tr r="F2085" s="2"/>
      </tp>
      <tp t="s">
        <v>#N/A N/A</v>
        <stp/>
        <stp>BDP|17973323265491265707</stp>
        <tr r="C1117" s="2"/>
      </tp>
      <tp t="s">
        <v>#N/A N/A</v>
        <stp/>
        <stp>BDP|10733667962370713487</stp>
        <tr r="R1111" s="2"/>
      </tp>
      <tp t="s">
        <v>#N/A N/A</v>
        <stp/>
        <stp>BDP|14978821926198900286</stp>
        <tr r="G1143" s="2"/>
      </tp>
      <tp t="s">
        <v>#N/A N/A</v>
        <stp/>
        <stp>BDP|12786647569960440623</stp>
        <tr r="O499" s="2"/>
      </tp>
      <tp t="s">
        <v>#N/A N/A</v>
        <stp/>
        <stp>BDP|13016940880323159596</stp>
        <tr r="K968" s="2"/>
      </tp>
      <tp t="s">
        <v>#N/A N/A</v>
        <stp/>
        <stp>BDP|13741291167276423514</stp>
        <tr r="E1835" s="2"/>
      </tp>
      <tp t="s">
        <v>#N/A N/A</v>
        <stp/>
        <stp>BDP|17824105518574877744</stp>
        <tr r="Q80" s="2"/>
      </tp>
      <tp t="s">
        <v>#N/A N/A</v>
        <stp/>
        <stp>BDP|17325574437344856171</stp>
        <tr r="M280" s="2"/>
      </tp>
      <tp t="s">
        <v>#N/A N/A</v>
        <stp/>
        <stp>BDP|14878316671516161252</stp>
        <tr r="E960" s="2"/>
      </tp>
      <tp t="s">
        <v>#N/A N/A</v>
        <stp/>
        <stp>BDP|17086078679797207307</stp>
        <tr r="E331" s="2"/>
      </tp>
      <tp t="s">
        <v>#N/A N/A</v>
        <stp/>
        <stp>BDP|14112639920761974578</stp>
        <tr r="P1492" s="2"/>
      </tp>
      <tp t="s">
        <v>#N/A N/A</v>
        <stp/>
        <stp>BDP|18271223809459149744</stp>
        <tr r="S1255" s="2"/>
      </tp>
      <tp t="s">
        <v>#N/A N/A</v>
        <stp/>
        <stp>BDS|12049683012066379760</stp>
        <tr r="I816" s="2"/>
      </tp>
      <tp t="s">
        <v>#N/A N/A</v>
        <stp/>
        <stp>BDP|13429211903796904333</stp>
        <tr r="C396" s="2"/>
      </tp>
      <tp t="s">
        <v>#N/A N/A</v>
        <stp/>
        <stp>BDP|12252629532202619188</stp>
        <tr r="H1018" s="2"/>
      </tp>
      <tp t="s">
        <v>#N/A N/A</v>
        <stp/>
        <stp>BDP|15172334824469822922</stp>
        <tr r="C1247" s="2"/>
      </tp>
      <tp t="s">
        <v>#N/A N/A</v>
        <stp/>
        <stp>BDP|10326623257190864721</stp>
        <tr r="E1859" s="2"/>
      </tp>
      <tp t="s">
        <v>#N/A N/A</v>
        <stp/>
        <stp>BDP|11072414582508777186</stp>
        <tr r="J1869" s="2"/>
      </tp>
      <tp t="s">
        <v>#N/A N/A</v>
        <stp/>
        <stp>BDP|11070442686069942076</stp>
        <tr r="O1927" s="2"/>
      </tp>
      <tp t="s">
        <v>#N/A N/A</v>
        <stp/>
        <stp>BDP|15548923099539319814</stp>
        <tr r="S659" s="2"/>
      </tp>
      <tp t="s">
        <v>#N/A N/A</v>
        <stp/>
        <stp>BDP|15163773819302324501</stp>
        <tr r="C797" s="2"/>
      </tp>
      <tp t="s">
        <v>#N/A N/A</v>
        <stp/>
        <stp>BDP|17434866845308334780</stp>
        <tr r="J469" s="2"/>
      </tp>
      <tp t="s">
        <v>#N/A N/A</v>
        <stp/>
        <stp>BDP|10514828525526718898</stp>
        <tr r="J198" s="2"/>
      </tp>
      <tp t="s">
        <v>#N/A N/A</v>
        <stp/>
        <stp>BDP|15012376169586051222</stp>
        <tr r="T1585" s="2"/>
      </tp>
      <tp t="s">
        <v>#N/A N/A</v>
        <stp/>
        <stp>BDP|12738622548581986589</stp>
        <tr r="J1452" s="2"/>
      </tp>
      <tp t="s">
        <v>#N/A N/A</v>
        <stp/>
        <stp>BDP|15760101692021877815</stp>
        <tr r="T979" s="2"/>
      </tp>
      <tp t="s">
        <v>#N/A N/A</v>
        <stp/>
        <stp>BDP|13819356331247323033</stp>
        <tr r="M2115" s="2"/>
      </tp>
      <tp t="s">
        <v>#N/A N/A</v>
        <stp/>
        <stp>BDP|17636022063373818637</stp>
        <tr r="R54" s="2"/>
      </tp>
      <tp t="s">
        <v>#N/A N/A</v>
        <stp/>
        <stp>BDP|18301601684124907624</stp>
        <tr r="G1851" s="2"/>
      </tp>
      <tp t="s">
        <v>#N/A N/A</v>
        <stp/>
        <stp>BDP|16338156579984948093</stp>
        <tr r="D73" s="2"/>
      </tp>
      <tp t="s">
        <v>#N/A N/A</v>
        <stp/>
        <stp>BDP|14341096963957011161</stp>
        <tr r="A1547" s="2"/>
      </tp>
      <tp t="s">
        <v>#N/A N/A</v>
        <stp/>
        <stp>BDP|10322249740486812405</stp>
        <tr r="R668" s="2"/>
      </tp>
      <tp t="s">
        <v>#N/A N/A</v>
        <stp/>
        <stp>BDS|13151650553112391686</stp>
        <tr r="I1193" s="2"/>
      </tp>
      <tp t="s">
        <v>#N/A N/A</v>
        <stp/>
        <stp>BDP|15187612562866989740</stp>
        <tr r="F817" s="2"/>
      </tp>
      <tp t="s">
        <v>#N/A N/A</v>
        <stp/>
        <stp>BDP|15928948955278673515</stp>
        <tr r="F656" s="2"/>
      </tp>
      <tp t="s">
        <v>#N/A N/A</v>
        <stp/>
        <stp>BDP|12263574027652465398</stp>
        <tr r="H1565" s="2"/>
      </tp>
      <tp t="s">
        <v>#N/A N/A</v>
        <stp/>
        <stp>BDP|16361698121676698028</stp>
        <tr r="K737" s="2"/>
      </tp>
      <tp t="s">
        <v>#N/A N/A</v>
        <stp/>
        <stp>BDP|11036798557947089013</stp>
        <tr r="N1449" s="2"/>
      </tp>
      <tp t="s">
        <v>#N/A N/A</v>
        <stp/>
        <stp>BDP|16551710667287576499</stp>
        <tr r="J1012" s="2"/>
      </tp>
      <tp t="s">
        <v>#N/A N/A</v>
        <stp/>
        <stp>BDP|17285446468995383426</stp>
        <tr r="K1719" s="2"/>
      </tp>
      <tp t="s">
        <v>#N/A N/A</v>
        <stp/>
        <stp>BDP|11858723658804804357</stp>
        <tr r="O2186" s="2"/>
      </tp>
      <tp t="s">
        <v>#N/A N/A</v>
        <stp/>
        <stp>BDP|13828539239021554086</stp>
        <tr r="F1049" s="2"/>
      </tp>
      <tp t="s">
        <v>#N/A N/A</v>
        <stp/>
        <stp>BDP|15684594801443304720</stp>
        <tr r="A32" s="2"/>
      </tp>
      <tp t="s">
        <v>#N/A N/A</v>
        <stp/>
        <stp>BDP|12199380216631222525</stp>
        <tr r="H480" s="2"/>
      </tp>
      <tp t="s">
        <v>#N/A N/A</v>
        <stp/>
        <stp>BDP|17064266939486591455</stp>
        <tr r="K477" s="2"/>
      </tp>
      <tp t="s">
        <v>#N/A N/A</v>
        <stp/>
        <stp>BDS|11913821030117795900</stp>
        <tr r="I539" s="2"/>
      </tp>
      <tp t="s">
        <v>#N/A N/A</v>
        <stp/>
        <stp>BDP|11188491661955299241</stp>
        <tr r="A700" s="2"/>
      </tp>
      <tp t="s">
        <v>#N/A N/A</v>
        <stp/>
        <stp>BDP|14944363569124909108</stp>
        <tr r="S483" s="2"/>
      </tp>
      <tp t="s">
        <v>#N/A N/A</v>
        <stp/>
        <stp>BDP|12754038348910583262</stp>
        <tr r="K1613" s="2"/>
      </tp>
      <tp t="s">
        <v>#N/A N/A</v>
        <stp/>
        <stp>BDP|13807365417015734018</stp>
        <tr r="D1230" s="2"/>
      </tp>
      <tp t="s">
        <v>#N/A N/A</v>
        <stp/>
        <stp>BDP|10413363028860444513</stp>
        <tr r="G2159" s="2"/>
      </tp>
      <tp t="s">
        <v>#N/A N/A</v>
        <stp/>
        <stp>BDP|11185310809477468127</stp>
        <tr r="T565" s="2"/>
      </tp>
      <tp t="s">
        <v>#N/A N/A</v>
        <stp/>
        <stp>BDP|11904538815324077500</stp>
        <tr r="R1026" s="2"/>
      </tp>
      <tp t="s">
        <v>#N/A N/A</v>
        <stp/>
        <stp>BDP|15670413126350985773</stp>
        <tr r="A685" s="2"/>
      </tp>
      <tp t="s">
        <v>#N/A N/A</v>
        <stp/>
        <stp>BDP|12690455628809294961</stp>
        <tr r="K1618" s="2"/>
      </tp>
      <tp t="s">
        <v>#N/A N/A</v>
        <stp/>
        <stp>BDP|11170964906678953473</stp>
        <tr r="M2104" s="2"/>
      </tp>
      <tp t="s">
        <v>#N/A N/A</v>
        <stp/>
        <stp>BDP|14279895082086324653</stp>
        <tr r="O1451" s="2"/>
      </tp>
      <tp t="s">
        <v>#N/A N/A</v>
        <stp/>
        <stp>BDP|12473920142132235996</stp>
        <tr r="H89" s="2"/>
      </tp>
      <tp t="s">
        <v>#N/A N/A</v>
        <stp/>
        <stp>BDP|18010527594815080595</stp>
        <tr r="M743" s="2"/>
      </tp>
      <tp t="s">
        <v>#N/A N/A</v>
        <stp/>
        <stp>BDP|14630692522626760252</stp>
        <tr r="S634" s="2"/>
      </tp>
      <tp t="s">
        <v>#N/A N/A</v>
        <stp/>
        <stp>BDP|12978657112317695678</stp>
        <tr r="Q947" s="2"/>
      </tp>
      <tp t="s">
        <v>#N/A N/A</v>
        <stp/>
        <stp>BDP|16534006492099004287</stp>
        <tr r="S1954" s="2"/>
      </tp>
      <tp t="s">
        <v>#N/A N/A</v>
        <stp/>
        <stp>BDP|13331757366754748285</stp>
        <tr r="S49" s="2"/>
      </tp>
      <tp t="s">
        <v>#N/A N/A</v>
        <stp/>
        <stp>BDP|14483850759028288552</stp>
        <tr r="G1482" s="2"/>
      </tp>
      <tp t="s">
        <v>#N/A N/A</v>
        <stp/>
        <stp>BDP|15227304834148835916</stp>
        <tr r="A1971" s="2"/>
      </tp>
      <tp t="s">
        <v>#N/A N/A</v>
        <stp/>
        <stp>BDP|17151623200524478186</stp>
        <tr r="H1631" s="2"/>
      </tp>
      <tp t="s">
        <v>#N/A N/A</v>
        <stp/>
        <stp>BDP|10723553445790844500</stp>
        <tr r="R215" s="2"/>
      </tp>
      <tp t="s">
        <v>#N/A N/A</v>
        <stp/>
        <stp>BDP|14007072538702467141</stp>
        <tr r="M1316" s="2"/>
      </tp>
      <tp t="s">
        <v>#N/A N/A</v>
        <stp/>
        <stp>BDP|13805279547013091272</stp>
        <tr r="M1147" s="2"/>
      </tp>
      <tp t="s">
        <v>#N/A N/A</v>
        <stp/>
        <stp>BDP|17508295293610736871</stp>
        <tr r="S1983" s="2"/>
      </tp>
      <tp t="s">
        <v>#N/A N/A</v>
        <stp/>
        <stp>BDP|15439550647870034099</stp>
        <tr r="P223" s="2"/>
      </tp>
      <tp t="s">
        <v>#N/A N/A</v>
        <stp/>
        <stp>BDP|18355587540175148856</stp>
        <tr r="M379" s="2"/>
      </tp>
      <tp t="s">
        <v>#N/A N/A</v>
        <stp/>
        <stp>BDP|13059791776204645363</stp>
        <tr r="E1483" s="2"/>
      </tp>
      <tp t="s">
        <v>#N/A N/A</v>
        <stp/>
        <stp>BDP|16948907046158106713</stp>
        <tr r="T16" s="2"/>
      </tp>
      <tp t="s">
        <v>#N/A N/A</v>
        <stp/>
        <stp>BDP|15945151366757419112</stp>
        <tr r="K1860" s="2"/>
      </tp>
      <tp t="s">
        <v>#N/A N/A</v>
        <stp/>
        <stp>BDP|15721970583253490388</stp>
        <tr r="A1071" s="2"/>
      </tp>
      <tp t="s">
        <v>#N/A N/A</v>
        <stp/>
        <stp>BDP|10677456934491167292</stp>
        <tr r="P1432" s="2"/>
      </tp>
      <tp t="s">
        <v>#N/A N/A</v>
        <stp/>
        <stp>BDP|10666004324250832652</stp>
        <tr r="T2018" s="2"/>
      </tp>
      <tp t="s">
        <v>#N/A N/A</v>
        <stp/>
        <stp>BDP|12278915999144547206</stp>
        <tr r="D138" s="2"/>
      </tp>
      <tp t="s">
        <v>#N/A N/A</v>
        <stp/>
        <stp>BDP|12810538130864235463</stp>
        <tr r="E821" s="2"/>
      </tp>
      <tp t="s">
        <v>#N/A N/A</v>
        <stp/>
        <stp>BDP|10733463518593632206</stp>
        <tr r="F1201" s="2"/>
      </tp>
      <tp t="s">
        <v>#N/A N/A</v>
        <stp/>
        <stp>BDP|18365820535882295597</stp>
        <tr r="F1615" s="2"/>
      </tp>
      <tp t="s">
        <v>#N/A N/A</v>
        <stp/>
        <stp>BDP|12710130866609837854</stp>
        <tr r="D1384" s="2"/>
      </tp>
      <tp t="s">
        <v>#N/A N/A</v>
        <stp/>
        <stp>BDS|10135306506264821335</stp>
        <tr r="I1376" s="2"/>
      </tp>
      <tp t="s">
        <v>#N/A N/A</v>
        <stp/>
        <stp>BDS|16366330388111456802</stp>
        <tr r="I135" s="2"/>
      </tp>
      <tp t="s">
        <v>#N/A N/A</v>
        <stp/>
        <stp>BDP|14050888780485091577</stp>
        <tr r="E1268" s="2"/>
      </tp>
      <tp t="s">
        <v>#N/A N/A</v>
        <stp/>
        <stp>BDP|16778998205959291268</stp>
        <tr r="R914" s="2"/>
      </tp>
      <tp t="s">
        <v>#N/A N/A</v>
        <stp/>
        <stp>BDP|12843261303227577377</stp>
        <tr r="C354" s="2"/>
      </tp>
      <tp t="s">
        <v>#N/A N/A</v>
        <stp/>
        <stp>BDP|18367820382079955554</stp>
        <tr r="D971" s="2"/>
      </tp>
      <tp t="s">
        <v>#N/A N/A</v>
        <stp/>
        <stp>BDP|12868097972776848744</stp>
        <tr r="R256" s="2"/>
      </tp>
      <tp t="s">
        <v>#N/A N/A</v>
        <stp/>
        <stp>BDS|15783314716034990753</stp>
        <tr r="I51" s="2"/>
      </tp>
      <tp t="s">
        <v>#N/A N/A</v>
        <stp/>
        <stp>BDP|11065382393138107753</stp>
        <tr r="O1231" s="2"/>
      </tp>
      <tp t="s">
        <v>#N/A N/A</v>
        <stp/>
        <stp>BDP|10018295847242109003</stp>
        <tr r="M1260" s="2"/>
      </tp>
      <tp t="s">
        <v>#N/A N/A</v>
        <stp/>
        <stp>BDP|17509655520247915063</stp>
        <tr r="H1908" s="2"/>
      </tp>
      <tp t="s">
        <v>#N/A N/A</v>
        <stp/>
        <stp>BDP|11966172364786122444</stp>
        <tr r="O484" s="2"/>
      </tp>
      <tp t="s">
        <v>#N/A N/A</v>
        <stp/>
        <stp>BDP|12189368336475892368</stp>
        <tr r="P694" s="2"/>
      </tp>
      <tp t="s">
        <v>#N/A N/A</v>
        <stp/>
        <stp>BDP|12286189123790631500</stp>
        <tr r="O1213" s="2"/>
      </tp>
      <tp t="s">
        <v>#N/A N/A</v>
        <stp/>
        <stp>BDP|11889024374602964089</stp>
        <tr r="D2240" s="2"/>
      </tp>
      <tp t="s">
        <v>#N/A N/A</v>
        <stp/>
        <stp>BDP|17074537560697833740</stp>
        <tr r="A601" s="2"/>
      </tp>
      <tp t="s">
        <v>#N/A N/A</v>
        <stp/>
        <stp>BDS|15129628248122172169</stp>
        <tr r="I1039" s="2"/>
      </tp>
      <tp t="s">
        <v>#N/A N/A</v>
        <stp/>
        <stp>BDP|11532511307164931455</stp>
        <tr r="S159" s="2"/>
      </tp>
      <tp t="s">
        <v>#N/A N/A</v>
        <stp/>
        <stp>BDP|10962194472642961047</stp>
        <tr r="F296" s="2"/>
      </tp>
      <tp t="s">
        <v>#N/A N/A</v>
        <stp/>
        <stp>BDP|13633767340361623591</stp>
        <tr r="M1965" s="2"/>
      </tp>
      <tp t="s">
        <v>#N/A N/A</v>
        <stp/>
        <stp>BDP|17960452320553163623</stp>
        <tr r="J1262" s="2"/>
      </tp>
      <tp t="s">
        <v>#N/A N/A</v>
        <stp/>
        <stp>BDP|14734090395011532814</stp>
        <tr r="F2219" s="2"/>
      </tp>
      <tp t="s">
        <v>#N/A N/A</v>
        <stp/>
        <stp>BDP|11318010123191936677</stp>
        <tr r="C1795" s="2"/>
      </tp>
      <tp t="s">
        <v>#N/A N/A</v>
        <stp/>
        <stp>BDP|13393389042584158474</stp>
        <tr r="O466" s="2"/>
      </tp>
      <tp t="s">
        <v>#N/A N/A</v>
        <stp/>
        <stp>BDS|16479388310077626776</stp>
        <tr r="I968" s="2"/>
      </tp>
      <tp t="s">
        <v>#N/A N/A</v>
        <stp/>
        <stp>BDP|13708933993624076399</stp>
        <tr r="S2091" s="2"/>
      </tp>
      <tp t="s">
        <v>#N/A N/A</v>
        <stp/>
        <stp>BDP|13712410738439063908</stp>
        <tr r="D1388" s="2"/>
      </tp>
      <tp t="s">
        <v>#N/A N/A</v>
        <stp/>
        <stp>BDP|15397992434138084309</stp>
        <tr r="K1129" s="2"/>
      </tp>
      <tp t="s">
        <v>#N/A N/A</v>
        <stp/>
        <stp>BDP|14724606924492933648</stp>
        <tr r="R19" s="2"/>
      </tp>
      <tp t="s">
        <v>#N/A N/A</v>
        <stp/>
        <stp>BDP|12681675352810475599</stp>
        <tr r="M1641" s="2"/>
      </tp>
      <tp t="s">
        <v>#N/A N/A</v>
        <stp/>
        <stp>BDP|18396908353956763695</stp>
        <tr r="K395" s="2"/>
      </tp>
      <tp t="s">
        <v>#N/A N/A</v>
        <stp/>
        <stp>BDP|11966936184990041407</stp>
        <tr r="S445" s="2"/>
      </tp>
      <tp t="s">
        <v>#N/A N/A</v>
        <stp/>
        <stp>BDP|11384096959145860553</stp>
        <tr r="N1635" s="2"/>
      </tp>
      <tp t="s">
        <v>#N/A N/A</v>
        <stp/>
        <stp>BDP|10692376545056918534</stp>
        <tr r="P1685" s="2"/>
      </tp>
      <tp t="s">
        <v>#N/A N/A</v>
        <stp/>
        <stp>BDP|12668181763683134228</stp>
        <tr r="J2037" s="2"/>
      </tp>
      <tp t="s">
        <v>#N/A N/A</v>
        <stp/>
        <stp>BDP|15513908025249825363</stp>
        <tr r="Q183" s="2"/>
      </tp>
      <tp t="s">
        <v>#N/A N/A</v>
        <stp/>
        <stp>BDP|12544156449742791105</stp>
        <tr r="S263" s="2"/>
      </tp>
      <tp t="s">
        <v>#N/A N/A</v>
        <stp/>
        <stp>BDP|17123621835887937111</stp>
        <tr r="R2144" s="2"/>
      </tp>
      <tp t="s">
        <v>#N/A N/A</v>
        <stp/>
        <stp>BDP|12048404632427995655</stp>
        <tr r="G903" s="2"/>
      </tp>
      <tp t="s">
        <v>#N/A N/A</v>
        <stp/>
        <stp>BDP|13378103335254001189</stp>
        <tr r="M1906" s="2"/>
      </tp>
      <tp t="s">
        <v>#N/A N/A</v>
        <stp/>
        <stp>BDP|16903527613557089165</stp>
        <tr r="H1753" s="2"/>
      </tp>
      <tp t="s">
        <v>#N/A N/A</v>
        <stp/>
        <stp>BDP|17622619709164568153</stp>
        <tr r="Q1313" s="2"/>
      </tp>
      <tp t="s">
        <v>#N/A N/A</v>
        <stp/>
        <stp>BDP|14085874692057840637</stp>
        <tr r="P1935" s="2"/>
      </tp>
      <tp t="s">
        <v>#N/A N/A</v>
        <stp/>
        <stp>BDP|11802735919233413088</stp>
        <tr r="Q1362" s="2"/>
      </tp>
      <tp t="s">
        <v>#N/A N/A</v>
        <stp/>
        <stp>BDP|17478480971432247219</stp>
        <tr r="C783" s="2"/>
      </tp>
      <tp t="s">
        <v>#N/A N/A</v>
        <stp/>
        <stp>BDP|11911608912766779427</stp>
        <tr r="N2077" s="2"/>
      </tp>
      <tp t="s">
        <v>#N/A N/A</v>
        <stp/>
        <stp>BDP|15021496184814300902</stp>
        <tr r="O1730" s="2"/>
      </tp>
      <tp t="s">
        <v>#N/A N/A</v>
        <stp/>
        <stp>BDP|11689680430378036805</stp>
        <tr r="K1820" s="2"/>
      </tp>
      <tp t="s">
        <v>#N/A N/A</v>
        <stp/>
        <stp>BDP|11756357202564796293</stp>
        <tr r="C662" s="2"/>
      </tp>
      <tp t="s">
        <v>#N/A N/A</v>
        <stp/>
        <stp>BDS|13898752864770331672</stp>
        <tr r="I903" s="2"/>
      </tp>
      <tp t="s">
        <v>#N/A N/A</v>
        <stp/>
        <stp>BDP|11399600618376520404</stp>
        <tr r="J941" s="2"/>
      </tp>
      <tp t="s">
        <v>#N/A N/A</v>
        <stp/>
        <stp>BDP|13868409281318671317</stp>
        <tr r="A1465" s="2"/>
      </tp>
      <tp t="s">
        <v>#N/A N/A</v>
        <stp/>
        <stp>BDP|10215627568573378757</stp>
        <tr r="K1396" s="2"/>
      </tp>
      <tp t="s">
        <v>#N/A N/A</v>
        <stp/>
        <stp>BDP|14562693575459079875</stp>
        <tr r="J1238" s="2"/>
      </tp>
      <tp t="s">
        <v>#N/A N/A</v>
        <stp/>
        <stp>BDP|17235439166297196682</stp>
        <tr r="J162" s="2"/>
      </tp>
      <tp t="s">
        <v>#N/A N/A</v>
        <stp/>
        <stp>BDP|16639473728804088073</stp>
        <tr r="N83" s="2"/>
      </tp>
      <tp t="s">
        <v>#N/A N/A</v>
        <stp/>
        <stp>BDP|15526257984579869225</stp>
        <tr r="D610" s="2"/>
      </tp>
      <tp t="s">
        <v>#N/A N/A</v>
        <stp/>
        <stp>BDP|12456297240125165526</stp>
        <tr r="Q370" s="2"/>
      </tp>
      <tp t="s">
        <v>#N/A N/A</v>
        <stp/>
        <stp>BDP|14954031227345179722</stp>
        <tr r="O262" s="2"/>
      </tp>
      <tp t="s">
        <v>#N/A N/A</v>
        <stp/>
        <stp>BDP|12982966065910605925</stp>
        <tr r="F625" s="2"/>
      </tp>
      <tp t="s">
        <v>#N/A N/A</v>
        <stp/>
        <stp>BDP|15982908680335476536</stp>
        <tr r="N2250" s="2"/>
      </tp>
      <tp t="s">
        <v>#N/A N/A</v>
        <stp/>
        <stp>BDP|11258627058357743114</stp>
        <tr r="G12" s="2"/>
      </tp>
      <tp t="s">
        <v>#N/A N/A</v>
        <stp/>
        <stp>BDP|11737493607208069975</stp>
        <tr r="M701" s="2"/>
      </tp>
      <tp t="s">
        <v>#N/A N/A</v>
        <stp/>
        <stp>BDP|16206739549096502738</stp>
        <tr r="T828" s="2"/>
      </tp>
      <tp t="s">
        <v>#N/A N/A</v>
        <stp/>
        <stp>BDP|16641784734433253560</stp>
        <tr r="E1084" s="2"/>
      </tp>
      <tp t="s">
        <v>#N/A N/A</v>
        <stp/>
        <stp>BDP|11783740147822281489</stp>
        <tr r="C478" s="2"/>
      </tp>
      <tp t="s">
        <v>#N/A N/A</v>
        <stp/>
        <stp>BDP|17776509536823852672</stp>
        <tr r="R1946" s="2"/>
      </tp>
      <tp t="s">
        <v>#N/A N/A</v>
        <stp/>
        <stp>BDP|15360672372180836006</stp>
        <tr r="S1534" s="2"/>
      </tp>
      <tp t="s">
        <v>#N/A N/A</v>
        <stp/>
        <stp>BDP|17819437796569747747</stp>
        <tr r="D783" s="2"/>
      </tp>
      <tp t="s">
        <v>#N/A N/A</v>
        <stp/>
        <stp>BDP|15824449143137122608</stp>
        <tr r="P1652" s="2"/>
      </tp>
      <tp t="s">
        <v>#N/A N/A</v>
        <stp/>
        <stp>BDP|17552012440317925036</stp>
        <tr r="G175" s="2"/>
      </tp>
      <tp t="s">
        <v>#N/A N/A</v>
        <stp/>
        <stp>BDP|16934790973733522181</stp>
        <tr r="C2175" s="2"/>
      </tp>
      <tp t="s">
        <v>#N/A N/A</v>
        <stp/>
        <stp>BDS|10977055811154523156</stp>
        <tr r="I1320" s="2"/>
      </tp>
      <tp t="s">
        <v>#N/A N/A</v>
        <stp/>
        <stp>BDP|10275675546991442798</stp>
        <tr r="G744" s="2"/>
      </tp>
      <tp t="s">
        <v>#N/A N/A</v>
        <stp/>
        <stp>BDP|13386466246090816758</stp>
        <tr r="K200" s="2"/>
      </tp>
      <tp t="s">
        <v>#N/A N/A</v>
        <stp/>
        <stp>BDP|10816528327166492576</stp>
        <tr r="P1876" s="2"/>
      </tp>
      <tp t="s">
        <v>#N/A N/A</v>
        <stp/>
        <stp>BDP|14477164523602678194</stp>
        <tr r="S1798" s="2"/>
      </tp>
      <tp t="s">
        <v>#N/A N/A</v>
        <stp/>
        <stp>BDS|11489642337587918738</stp>
        <tr r="I1280" s="2"/>
      </tp>
      <tp t="s">
        <v>#N/A N/A</v>
        <stp/>
        <stp>BDP|16069492654921789243</stp>
        <tr r="N138" s="2"/>
      </tp>
      <tp t="s">
        <v>#N/A N/A</v>
        <stp/>
        <stp>BDP|10955551011536060631</stp>
        <tr r="C471" s="2"/>
      </tp>
      <tp t="s">
        <v>#N/A N/A</v>
        <stp/>
        <stp>BDP|16766662002582918646</stp>
        <tr r="K1317" s="2"/>
      </tp>
      <tp t="s">
        <v>#N/A N/A</v>
        <stp/>
        <stp>BDP|18050577463467293889</stp>
        <tr r="N1479" s="2"/>
      </tp>
      <tp t="s">
        <v>#N/A N/A</v>
        <stp/>
        <stp>BDP|14950352548235299289</stp>
        <tr r="A2214" s="2"/>
      </tp>
      <tp t="s">
        <v>#N/A N/A</v>
        <stp/>
        <stp>BDP|13416166250394486789</stp>
        <tr r="D367" s="2"/>
      </tp>
      <tp t="s">
        <v>#N/A N/A</v>
        <stp/>
        <stp>BDP|16811346531881586362</stp>
        <tr r="C174" s="2"/>
      </tp>
      <tp t="s">
        <v>#N/A N/A</v>
        <stp/>
        <stp>BDP|10191538263164763383</stp>
        <tr r="J687" s="2"/>
      </tp>
      <tp t="s">
        <v>#N/A N/A</v>
        <stp/>
        <stp>BDP|11894558402619850997</stp>
        <tr r="D796" s="2"/>
      </tp>
      <tp t="s">
        <v>#N/A N/A</v>
        <stp/>
        <stp>BDP|10493389977086050650</stp>
        <tr r="M2135" s="2"/>
      </tp>
      <tp t="s">
        <v>#N/A N/A</v>
        <stp/>
        <stp>BDP|15715893971639022712</stp>
        <tr r="M1706" s="2"/>
      </tp>
      <tp t="s">
        <v>#N/A N/A</v>
        <stp/>
        <stp>BDP|14413465959364726521</stp>
        <tr r="P1201" s="2"/>
      </tp>
      <tp t="s">
        <v>#N/A N/A</v>
        <stp/>
        <stp>BDS|13434917648139486349</stp>
        <tr r="I1051" s="2"/>
      </tp>
      <tp t="s">
        <v>#N/A N/A</v>
        <stp/>
        <stp>BDP|11991094743154582580</stp>
        <tr r="M1513" s="2"/>
      </tp>
      <tp t="s">
        <v>#N/A N/A</v>
        <stp/>
        <stp>BDP|16269308060556521162</stp>
        <tr r="E15" s="2"/>
      </tp>
      <tp t="s">
        <v>#N/A N/A</v>
        <stp/>
        <stp>BDP|15709232819814916650</stp>
        <tr r="O852" s="2"/>
      </tp>
      <tp t="s">
        <v>#N/A N/A</v>
        <stp/>
        <stp>BDP|14598365023071155003</stp>
        <tr r="Q1920" s="2"/>
      </tp>
      <tp t="s">
        <v>#N/A N/A</v>
        <stp/>
        <stp>BDP|14114992600440992904</stp>
        <tr r="D1002" s="2"/>
      </tp>
      <tp t="s">
        <v>#N/A N/A</v>
        <stp/>
        <stp>BDP|16014391558064380032</stp>
        <tr r="T1730" s="2"/>
      </tp>
      <tp t="s">
        <v>#N/A N/A</v>
        <stp/>
        <stp>BDP|13568645975873695538</stp>
        <tr r="Q602" s="2"/>
      </tp>
      <tp t="s">
        <v>#N/A N/A</v>
        <stp/>
        <stp>BDP|16312935586517295452</stp>
        <tr r="C1218" s="2"/>
      </tp>
      <tp t="s">
        <v>#N/A N/A</v>
        <stp/>
        <stp>BDS|12304425539194884525</stp>
        <tr r="I1127" s="2"/>
      </tp>
      <tp t="s">
        <v>#N/A N/A</v>
        <stp/>
        <stp>BDP|10219996163749102289</stp>
        <tr r="C99" s="2"/>
      </tp>
      <tp t="s">
        <v>#N/A N/A</v>
        <stp/>
        <stp>BDP|17643024825937686668</stp>
        <tr r="S739" s="2"/>
      </tp>
      <tp t="s">
        <v>#N/A N/A</v>
        <stp/>
        <stp>BDP|13622320185904325830</stp>
        <tr r="F2120" s="2"/>
      </tp>
      <tp t="s">
        <v>#N/A N/A</v>
        <stp/>
        <stp>BDP|11704622253506474039</stp>
        <tr r="O1206" s="2"/>
      </tp>
      <tp t="s">
        <v>#N/A N/A</v>
        <stp/>
        <stp>BDP|12904021867661478199</stp>
        <tr r="A1861" s="2"/>
      </tp>
      <tp t="s">
        <v>#N/A N/A</v>
        <stp/>
        <stp>BDP|15580245312337762551</stp>
        <tr r="C290" s="2"/>
      </tp>
      <tp t="s">
        <v>#N/A N/A</v>
        <stp/>
        <stp>BDP|10507161263505588644</stp>
        <tr r="C1551" s="2"/>
      </tp>
      <tp t="s">
        <v>#N/A N/A</v>
        <stp/>
        <stp>BDP|14965084817481798007</stp>
        <tr r="J200" s="2"/>
      </tp>
      <tp t="s">
        <v>#N/A N/A</v>
        <stp/>
        <stp>BDP|15294048605180516179</stp>
        <tr r="D1932" s="2"/>
      </tp>
      <tp t="s">
        <v>#N/A N/A</v>
        <stp/>
        <stp>BDP|13723150615894043366</stp>
        <tr r="D1638" s="2"/>
      </tp>
      <tp t="s">
        <v>#N/A N/A</v>
        <stp/>
        <stp>BDP|10138047272872009164</stp>
        <tr r="N556" s="2"/>
      </tp>
      <tp t="s">
        <v>#N/A N/A</v>
        <stp/>
        <stp>BDP|10351710787863369874</stp>
        <tr r="T1871" s="2"/>
      </tp>
      <tp t="s">
        <v>#N/A N/A</v>
        <stp/>
        <stp>BDP|14439777735832675614</stp>
        <tr r="R696" s="2"/>
      </tp>
      <tp t="s">
        <v>#N/A N/A</v>
        <stp/>
        <stp>BDP|12475188617787971130</stp>
        <tr r="S932" s="2"/>
      </tp>
      <tp t="s">
        <v>#N/A N/A</v>
        <stp/>
        <stp>BDP|13965183103304080231</stp>
        <tr r="D1009" s="2"/>
      </tp>
      <tp t="s">
        <v>#N/A N/A</v>
        <stp/>
        <stp>BDS|15269014113899317914</stp>
        <tr r="I1683" s="2"/>
      </tp>
      <tp t="s">
        <v>#N/A N/A</v>
        <stp/>
        <stp>BDP|16727524703897654015</stp>
        <tr r="D292" s="2"/>
      </tp>
      <tp t="s">
        <v>#N/A N/A</v>
        <stp/>
        <stp>BDP|16191880759417948887</stp>
        <tr r="S746" s="2"/>
      </tp>
      <tp t="s">
        <v>#N/A N/A</v>
        <stp/>
        <stp>BDP|12783704823963394062</stp>
        <tr r="Q1802" s="2"/>
      </tp>
      <tp t="s">
        <v>#N/A N/A</v>
        <stp/>
        <stp>BDP|13553151429254816009</stp>
        <tr r="J1286" s="2"/>
      </tp>
      <tp t="s">
        <v>#N/A N/A</v>
        <stp/>
        <stp>BDP|16815176126634873508</stp>
        <tr r="O1957" s="2"/>
      </tp>
      <tp t="s">
        <v>#N/A N/A</v>
        <stp/>
        <stp>BDP|14096665747035825780</stp>
        <tr r="E664" s="2"/>
      </tp>
      <tp t="s">
        <v>#N/A N/A</v>
        <stp/>
        <stp>BDP|16196598813475885320</stp>
        <tr r="R1367" s="2"/>
      </tp>
      <tp t="s">
        <v>#N/A N/A</v>
        <stp/>
        <stp>BDP|10421611138994540593</stp>
        <tr r="E1002" s="2"/>
      </tp>
      <tp t="s">
        <v>#N/A N/A</v>
        <stp/>
        <stp>BDP|10153854882503310748</stp>
        <tr r="F1147" s="2"/>
      </tp>
      <tp t="s">
        <v>#N/A N/A</v>
        <stp/>
        <stp>BDP|10896384171552747271</stp>
        <tr r="R2212" s="2"/>
      </tp>
      <tp t="s">
        <v>#N/A N/A</v>
        <stp/>
        <stp>BDP|13105217419514985017</stp>
        <tr r="S146" s="2"/>
      </tp>
      <tp t="s">
        <v>#N/A N/A</v>
        <stp/>
        <stp>BDP|15531615325920774575</stp>
        <tr r="R243" s="2"/>
      </tp>
      <tp t="s">
        <v>#N/A N/A</v>
        <stp/>
        <stp>BDP|13382098403737932019</stp>
        <tr r="C142" s="2"/>
      </tp>
      <tp t="s">
        <v>#N/A N/A</v>
        <stp/>
        <stp>BDP|15910198231152340131</stp>
        <tr r="K649" s="2"/>
      </tp>
      <tp t="s">
        <v>#N/A N/A</v>
        <stp/>
        <stp>BDP|14751287343353844558</stp>
        <tr r="Q1059" s="2"/>
      </tp>
      <tp t="s">
        <v>#N/A N/A</v>
        <stp/>
        <stp>BDP|11082013646415659406</stp>
        <tr r="J1076" s="2"/>
      </tp>
      <tp t="s">
        <v>#N/A N/A</v>
        <stp/>
        <stp>BDP|13467018575656629676</stp>
        <tr r="S1129" s="2"/>
      </tp>
      <tp t="s">
        <v>#N/A N/A</v>
        <stp/>
        <stp>BDP|10739129476150031224</stp>
        <tr r="R1871" s="2"/>
      </tp>
      <tp t="s">
        <v>#N/A N/A</v>
        <stp/>
        <stp>BDP|11888306674858580982</stp>
        <tr r="D241" s="2"/>
      </tp>
      <tp t="s">
        <v>#N/A N/A</v>
        <stp/>
        <stp>BDP|10286767776260700441</stp>
        <tr r="C1978" s="2"/>
      </tp>
      <tp t="s">
        <v>#N/A N/A</v>
        <stp/>
        <stp>BDP|14758678734093511600</stp>
        <tr r="Q2051" s="2"/>
      </tp>
      <tp t="s">
        <v>#N/A N/A</v>
        <stp/>
        <stp>BDP|12408446052437503061</stp>
        <tr r="J684" s="2"/>
      </tp>
      <tp t="s">
        <v>#N/A N/A</v>
        <stp/>
        <stp>BDP|15482554282125177939</stp>
        <tr r="A768" s="2"/>
      </tp>
      <tp t="s">
        <v>#N/A N/A</v>
        <stp/>
        <stp>BDP|13814578433372980341</stp>
        <tr r="H631" s="2"/>
      </tp>
      <tp t="s">
        <v>#N/A N/A</v>
        <stp/>
        <stp>BDP|18020250710837485801</stp>
        <tr r="K1259" s="2"/>
      </tp>
      <tp t="s">
        <v>#N/A N/A</v>
        <stp/>
        <stp>BDP|10866082864785324762</stp>
        <tr r="E877" s="2"/>
      </tp>
      <tp t="s">
        <v>#N/A N/A</v>
        <stp/>
        <stp>BDP|16531763704250348554</stp>
        <tr r="J1136" s="2"/>
      </tp>
      <tp t="s">
        <v>#N/A N/A</v>
        <stp/>
        <stp>BDP|12060662544643756745</stp>
        <tr r="E2052" s="2"/>
      </tp>
      <tp t="s">
        <v>#N/A N/A</v>
        <stp/>
        <stp>BDP|14218119807859312863</stp>
        <tr r="S1090" s="2"/>
      </tp>
      <tp t="s">
        <v>#N/A N/A</v>
        <stp/>
        <stp>BDP|13603987323568990459</stp>
        <tr r="D1471" s="2"/>
      </tp>
      <tp t="s">
        <v>#N/A N/A</v>
        <stp/>
        <stp>BDP|13084028900083564464</stp>
        <tr r="P1342" s="2"/>
      </tp>
      <tp t="s">
        <v>#N/A N/A</v>
        <stp/>
        <stp>BDP|11927316305423926550</stp>
        <tr r="C1217" s="2"/>
      </tp>
      <tp t="s">
        <v>#N/A N/A</v>
        <stp/>
        <stp>BDP|10144604442415322314</stp>
        <tr r="K1180" s="2"/>
      </tp>
      <tp t="s">
        <v>#N/A N/A</v>
        <stp/>
        <stp>BDP|13621323161483176153</stp>
        <tr r="A42" s="2"/>
      </tp>
      <tp t="s">
        <v>#N/A N/A</v>
        <stp/>
        <stp>BDP|10694448048651856533</stp>
        <tr r="H942" s="2"/>
      </tp>
      <tp t="s">
        <v>#N/A N/A</v>
        <stp/>
        <stp>BDP|15387794680108387684</stp>
        <tr r="D1011" s="2"/>
      </tp>
      <tp t="s">
        <v>#N/A N/A</v>
        <stp/>
        <stp>BDP|16382778564705947682</stp>
        <tr r="S1310" s="2"/>
      </tp>
      <tp t="s">
        <v>#N/A N/A</v>
        <stp/>
        <stp>BDP|14123304119212900005</stp>
        <tr r="C323" s="2"/>
      </tp>
      <tp t="s">
        <v>#N/A N/A</v>
        <stp/>
        <stp>BDP|11290654245940139727</stp>
        <tr r="R1580" s="2"/>
      </tp>
      <tp t="s">
        <v>#N/A N/A</v>
        <stp/>
        <stp>BDP|15438988798083023259</stp>
        <tr r="R1658" s="2"/>
      </tp>
      <tp t="s">
        <v>#N/A N/A</v>
        <stp/>
        <stp>BDP|16518426208252909475</stp>
        <tr r="K585" s="2"/>
      </tp>
      <tp t="s">
        <v>#N/A N/A</v>
        <stp/>
        <stp>BDP|12515636460341234757</stp>
        <tr r="J785" s="2"/>
      </tp>
      <tp t="s">
        <v>#N/A N/A</v>
        <stp/>
        <stp>BDP|12521242721247251137</stp>
        <tr r="N2044" s="2"/>
      </tp>
      <tp t="s">
        <v>#N/A N/A</v>
        <stp/>
        <stp>BDP|12858831421334236893</stp>
        <tr r="D480" s="2"/>
      </tp>
      <tp t="s">
        <v>#N/A N/A</v>
        <stp/>
        <stp>BDP|12605194030455746193</stp>
        <tr r="C1085" s="2"/>
      </tp>
      <tp t="s">
        <v>#N/A N/A</v>
        <stp/>
        <stp>BDP|11661275241151067213</stp>
        <tr r="F2236" s="2"/>
      </tp>
      <tp t="s">
        <v>#N/A N/A</v>
        <stp/>
        <stp>BDP|10251744505461170235</stp>
        <tr r="N1896" s="2"/>
      </tp>
      <tp t="s">
        <v>#N/A N/A</v>
        <stp/>
        <stp>BDP|11970795731226375731</stp>
        <tr r="E2042" s="2"/>
      </tp>
      <tp t="s">
        <v>#N/A N/A</v>
        <stp/>
        <stp>BDP|16547317371326546012</stp>
        <tr r="D1280" s="2"/>
      </tp>
      <tp t="s">
        <v>#N/A N/A</v>
        <stp/>
        <stp>BDP|15660444933230156610</stp>
        <tr r="S1758" s="2"/>
      </tp>
      <tp t="s">
        <v>#N/A N/A</v>
        <stp/>
        <stp>BDP|17259269254554050019</stp>
        <tr r="C198" s="2"/>
      </tp>
      <tp t="s">
        <v>#N/A N/A</v>
        <stp/>
        <stp>BDP|17311681754801947179</stp>
        <tr r="T199" s="2"/>
      </tp>
      <tp t="s">
        <v>#N/A N/A</v>
        <stp/>
        <stp>BDP|15533050154612428613</stp>
        <tr r="E652" s="2"/>
      </tp>
      <tp t="s">
        <v>#N/A N/A</v>
        <stp/>
        <stp>BDP|13903117727322787698</stp>
        <tr r="N2102" s="2"/>
      </tp>
      <tp t="s">
        <v>#N/A N/A</v>
        <stp/>
        <stp>BDP|17089606804397108249</stp>
        <tr r="D1135" s="2"/>
      </tp>
      <tp t="s">
        <v>#N/A N/A</v>
        <stp/>
        <stp>BDP|12416849767348261056</stp>
        <tr r="D36" s="2"/>
      </tp>
      <tp t="s">
        <v>#N/A N/A</v>
        <stp/>
        <stp>BDS|13302609101370794168</stp>
        <tr r="I286" s="2"/>
      </tp>
      <tp t="s">
        <v>#N/A N/A</v>
        <stp/>
        <stp>BDP|16167061941927512135</stp>
        <tr r="S1833" s="2"/>
      </tp>
      <tp t="s">
        <v>#N/A N/A</v>
        <stp/>
        <stp>BDP|15731079980099775077</stp>
        <tr r="C2242" s="2"/>
      </tp>
      <tp t="s">
        <v>#N/A N/A</v>
        <stp/>
        <stp>BDP|10715060852772059339</stp>
        <tr r="A590" s="2"/>
      </tp>
      <tp t="s">
        <v>#N/A N/A</v>
        <stp/>
        <stp>BDP|15002524052858624964</stp>
        <tr r="D149" s="2"/>
      </tp>
      <tp t="s">
        <v>#N/A N/A</v>
        <stp/>
        <stp>BDP|16912950626838371197</stp>
        <tr r="C1869" s="2"/>
      </tp>
      <tp t="s">
        <v>#N/A N/A</v>
        <stp/>
        <stp>BDP|11714627664197277238</stp>
        <tr r="M783" s="2"/>
      </tp>
      <tp t="s">
        <v>#N/A N/A</v>
        <stp/>
        <stp>BDP|14787378952564696244</stp>
        <tr r="G1734" s="2"/>
      </tp>
      <tp t="s">
        <v>#N/A N/A</v>
        <stp/>
        <stp>BDP|12442873424984544822</stp>
        <tr r="R315" s="2"/>
      </tp>
      <tp t="s">
        <v>#N/A N/A</v>
        <stp/>
        <stp>BDP|13202330681909650564</stp>
        <tr r="J1934" s="2"/>
      </tp>
      <tp t="s">
        <v>#N/A N/A</v>
        <stp/>
        <stp>BDP|16086269842832056643</stp>
        <tr r="J821" s="2"/>
      </tp>
      <tp t="s">
        <v>#N/A N/A</v>
        <stp/>
        <stp>BDP|15525401115960236426</stp>
        <tr r="R1662" s="2"/>
      </tp>
      <tp t="s">
        <v>#N/A N/A</v>
        <stp/>
        <stp>BDP|12745758455374490039</stp>
        <tr r="A965" s="2"/>
      </tp>
      <tp t="s">
        <v>#N/A N/A</v>
        <stp/>
        <stp>BDP|18274021450859153014</stp>
        <tr r="T1059" s="2"/>
      </tp>
      <tp t="s">
        <v>#N/A N/A</v>
        <stp/>
        <stp>BDP|18298786913563105985</stp>
        <tr r="M1432" s="2"/>
      </tp>
      <tp t="s">
        <v>#N/A N/A</v>
        <stp/>
        <stp>BDS|11092618937205141549</stp>
        <tr r="I2" s="2"/>
      </tp>
      <tp t="s">
        <v>#N/A N/A</v>
        <stp/>
        <stp>BDP|16507228161715523333</stp>
        <tr r="G855" s="2"/>
      </tp>
      <tp t="s">
        <v>#N/A N/A</v>
        <stp/>
        <stp>BDP|14351199554222946674</stp>
        <tr r="M2238" s="2"/>
      </tp>
      <tp t="s">
        <v>#N/A N/A</v>
        <stp/>
        <stp>BDP|15153059234097084509</stp>
        <tr r="G1707" s="2"/>
      </tp>
      <tp t="s">
        <v>#N/A N/A</v>
        <stp/>
        <stp>BDP|10511308117064568272</stp>
        <tr r="E1938" s="2"/>
      </tp>
      <tp t="s">
        <v>#N/A N/A</v>
        <stp/>
        <stp>BDP|16279555094089477778</stp>
        <tr r="J1607" s="2"/>
      </tp>
      <tp t="s">
        <v>#N/A N/A</v>
        <stp/>
        <stp>BDP|14164863610659264058</stp>
        <tr r="A1038" s="2"/>
      </tp>
      <tp t="s">
        <v>#N/A N/A</v>
        <stp/>
        <stp>BDP|15300811483934654570</stp>
        <tr r="O1038" s="2"/>
      </tp>
      <tp t="s">
        <v>#N/A N/A</v>
        <stp/>
        <stp>BDP|14743673871543670279</stp>
        <tr r="C1985" s="2"/>
      </tp>
      <tp t="s">
        <v>#N/A N/A</v>
        <stp/>
        <stp>BDP|15192301445496166056</stp>
        <tr r="R1703" s="2"/>
      </tp>
      <tp t="s">
        <v>#N/A N/A</v>
        <stp/>
        <stp>BDP|13504366403932346637</stp>
        <tr r="A215" s="2"/>
      </tp>
      <tp t="s">
        <v>#N/A N/A</v>
        <stp/>
        <stp>BDP|16102666302120734428</stp>
        <tr r="E870" s="2"/>
      </tp>
      <tp t="s">
        <v>#N/A N/A</v>
        <stp/>
        <stp>BDP|17255799697224536991</stp>
        <tr r="F540" s="2"/>
      </tp>
      <tp t="s">
        <v>#N/A N/A</v>
        <stp/>
        <stp>BDP|14165339293743770963</stp>
        <tr r="N1825" s="2"/>
      </tp>
      <tp t="s">
        <v>#N/A N/A</v>
        <stp/>
        <stp>BDP|14168733749606916521</stp>
        <tr r="H595" s="2"/>
      </tp>
      <tp t="s">
        <v>#N/A N/A</v>
        <stp/>
        <stp>BDP|13282698000090203193</stp>
        <tr r="J1646" s="2"/>
      </tp>
      <tp t="s">
        <v>#N/A N/A</v>
        <stp/>
        <stp>BDP|14051282861906151288</stp>
        <tr r="G1086" s="2"/>
      </tp>
      <tp t="s">
        <v>#N/A N/A</v>
        <stp/>
        <stp>BDP|10221478214767371629</stp>
        <tr r="E400" s="2"/>
      </tp>
      <tp t="s">
        <v>#N/A N/A</v>
        <stp/>
        <stp>BDP|14886903395243526388</stp>
        <tr r="Q1505" s="2"/>
      </tp>
      <tp t="s">
        <v>#N/A N/A</v>
        <stp/>
        <stp>BDP|10458580217055969520</stp>
        <tr r="A1801" s="2"/>
      </tp>
      <tp t="s">
        <v>#N/A N/A</v>
        <stp/>
        <stp>BDP|18359824460813481153</stp>
        <tr r="K283" s="2"/>
      </tp>
      <tp t="s">
        <v>#N/A N/A</v>
        <stp/>
        <stp>BDP|16201556240517448435</stp>
        <tr r="C1855" s="2"/>
      </tp>
      <tp t="s">
        <v>#N/A N/A</v>
        <stp/>
        <stp>BDP|10416575164615311241</stp>
        <tr r="A1254" s="2"/>
      </tp>
      <tp t="s">
        <v>#N/A N/A</v>
        <stp/>
        <stp>BDP|16305443787067783979</stp>
        <tr r="N1041" s="2"/>
      </tp>
      <tp t="s">
        <v>#N/A N/A</v>
        <stp/>
        <stp>BDP|12020378522926356164</stp>
        <tr r="N797" s="2"/>
      </tp>
      <tp t="s">
        <v>#N/A N/A</v>
        <stp/>
        <stp>BDP|14447195772882939468</stp>
        <tr r="G2074" s="2"/>
      </tp>
      <tp t="s">
        <v>#N/A N/A</v>
        <stp/>
        <stp>BDP|10578614351385611233</stp>
        <tr r="P1415" s="2"/>
      </tp>
      <tp t="s">
        <v>#N/A N/A</v>
        <stp/>
        <stp>BDP|15711561762334509662</stp>
        <tr r="K823" s="2"/>
      </tp>
      <tp t="s">
        <v>#N/A N/A</v>
        <stp/>
        <stp>BDP|17675333808825491594</stp>
        <tr r="S1137" s="2"/>
      </tp>
      <tp t="s">
        <v>#N/A N/A</v>
        <stp/>
        <stp>BDP|12879681087450245857</stp>
        <tr r="H30" s="2"/>
      </tp>
      <tp t="s">
        <v>#N/A N/A</v>
        <stp/>
        <stp>BDP|16687786724560933739</stp>
        <tr r="G1728" s="2"/>
      </tp>
      <tp t="s">
        <v>#N/A N/A</v>
        <stp/>
        <stp>BDP|17455102461247243370</stp>
        <tr r="A46" s="2"/>
      </tp>
      <tp t="s">
        <v>#N/A N/A</v>
        <stp/>
        <stp>BDP|16621801380260017261</stp>
        <tr r="F1057" s="2"/>
      </tp>
      <tp t="s">
        <v>#N/A N/A</v>
        <stp/>
        <stp>BDP|12327190950812333099</stp>
        <tr r="N2097" s="2"/>
      </tp>
      <tp t="s">
        <v>#N/A N/A</v>
        <stp/>
        <stp>BDP|12244531477476048265</stp>
        <tr r="P2249" s="2"/>
      </tp>
      <tp t="s">
        <v>#N/A N/A</v>
        <stp/>
        <stp>BDP|15497529501390763405</stp>
        <tr r="R1353" s="2"/>
      </tp>
      <tp t="s">
        <v>#N/A N/A</v>
        <stp/>
        <stp>BDP|15671302970233633604</stp>
        <tr r="H2050" s="2"/>
      </tp>
      <tp t="s">
        <v>#N/A N/A</v>
        <stp/>
        <stp>BDP|13643677695779758131</stp>
        <tr r="D24" s="2"/>
      </tp>
      <tp t="s">
        <v>#N/A N/A</v>
        <stp/>
        <stp>BDP|15768454882299438443</stp>
        <tr r="N347" s="2"/>
      </tp>
      <tp t="s">
        <v>#N/A N/A</v>
        <stp/>
        <stp>BDP|17734902487230812282</stp>
        <tr r="T2203" s="2"/>
      </tp>
      <tp t="s">
        <v>#N/A N/A</v>
        <stp/>
        <stp>BDP|10103311643282260112</stp>
        <tr r="K1390" s="2"/>
      </tp>
      <tp t="s">
        <v>#N/A N/A</v>
        <stp/>
        <stp>BDP|10915881076192006976</stp>
        <tr r="Q924" s="2"/>
      </tp>
      <tp t="s">
        <v>#N/A N/A</v>
        <stp/>
        <stp>BDP|18084128674578073265</stp>
        <tr r="T678" s="2"/>
      </tp>
      <tp t="s">
        <v>#N/A N/A</v>
        <stp/>
        <stp>BDP|12168117176781131172</stp>
        <tr r="G1419" s="2"/>
      </tp>
      <tp t="s">
        <v>#N/A N/A</v>
        <stp/>
        <stp>BDP|14616974185659022846</stp>
        <tr r="P158" s="2"/>
      </tp>
      <tp t="s">
        <v>#N/A N/A</v>
        <stp/>
        <stp>BDP|17260238761302925598</stp>
        <tr r="D80" s="2"/>
      </tp>
      <tp t="s">
        <v>#N/A N/A</v>
        <stp/>
        <stp>BDP|17398123021231597157</stp>
        <tr r="T1325" s="2"/>
      </tp>
      <tp t="s">
        <v>#N/A N/A</v>
        <stp/>
        <stp>BDP|16087656535521749679</stp>
        <tr r="C1984" s="2"/>
      </tp>
      <tp t="s">
        <v>#N/A N/A</v>
        <stp/>
        <stp>BDP|10679964851519944184</stp>
        <tr r="F889" s="2"/>
      </tp>
      <tp t="s">
        <v>#N/A N/A</v>
        <stp/>
        <stp>BDP|15161327878066308387</stp>
        <tr r="M489" s="2"/>
      </tp>
      <tp t="s">
        <v>#N/A N/A</v>
        <stp/>
        <stp>BDP|10674257419964890326</stp>
        <tr r="E381" s="2"/>
      </tp>
      <tp t="s">
        <v>#N/A N/A</v>
        <stp/>
        <stp>BDP|11576651971910421458</stp>
        <tr r="E1429" s="2"/>
      </tp>
      <tp t="s">
        <v>#N/A N/A</v>
        <stp/>
        <stp>BDP|16324659994135282806</stp>
        <tr r="Q623" s="2"/>
      </tp>
      <tp t="s">
        <v>#N/A N/A</v>
        <stp/>
        <stp>BDS|12599683912867949652</stp>
        <tr r="I1517" s="2"/>
      </tp>
      <tp t="s">
        <v>#N/A N/A</v>
        <stp/>
        <stp>BDP|10438123700686129370</stp>
        <tr r="T1577" s="2"/>
      </tp>
      <tp t="s">
        <v>#N/A N/A</v>
        <stp/>
        <stp>BDP|11477387946370857222</stp>
        <tr r="Q2100" s="2"/>
      </tp>
      <tp t="s">
        <v>#N/A N/A</v>
        <stp/>
        <stp>BDP|16494751669642088182</stp>
        <tr r="C1150" s="2"/>
      </tp>
      <tp t="s">
        <v>#N/A N/A</v>
        <stp/>
        <stp>BDP|15681306336390712178</stp>
        <tr r="P1779" s="2"/>
      </tp>
      <tp t="s">
        <v>#N/A N/A</v>
        <stp/>
        <stp>BDP|15022202425038552901</stp>
        <tr r="Q857" s="2"/>
      </tp>
      <tp t="s">
        <v>#N/A N/A</v>
        <stp/>
        <stp>BDP|10667135512307054371</stp>
        <tr r="C153" s="2"/>
      </tp>
      <tp t="s">
        <v>#N/A N/A</v>
        <stp/>
        <stp>BDP|10643374591077950991</stp>
        <tr r="C826" s="2"/>
      </tp>
      <tp t="s">
        <v>#N/A N/A</v>
        <stp/>
        <stp>BDP|13510404585149320232</stp>
        <tr r="H1464" s="2"/>
      </tp>
      <tp t="s">
        <v>#N/A N/A</v>
        <stp/>
        <stp>BDP|11462933788547751381</stp>
        <tr r="S2026" s="2"/>
      </tp>
      <tp t="s">
        <v>#N/A N/A</v>
        <stp/>
        <stp>BDP|11917620066475410090</stp>
        <tr r="Q1854" s="2"/>
      </tp>
      <tp t="s">
        <v>#N/A N/A</v>
        <stp/>
        <stp>BDS|12857190750977778560</stp>
        <tr r="I227" s="2"/>
      </tp>
      <tp t="s">
        <v>#N/A N/A</v>
        <stp/>
        <stp>BDP|18006518964587259843</stp>
        <tr r="S690" s="2"/>
      </tp>
      <tp t="s">
        <v>#N/A N/A</v>
        <stp/>
        <stp>BDP|17653194084433099987</stp>
        <tr r="F1414" s="2"/>
      </tp>
      <tp t="s">
        <v>#N/A N/A</v>
        <stp/>
        <stp>BDP|10449006124833463577</stp>
        <tr r="G25" s="2"/>
      </tp>
      <tp t="s">
        <v>#N/A N/A</v>
        <stp/>
        <stp>BDP|14390657251074022747</stp>
        <tr r="G1134" s="2"/>
      </tp>
      <tp t="s">
        <v>#N/A N/A</v>
        <stp/>
        <stp>BDP|18420189871798739295</stp>
        <tr r="R662" s="2"/>
      </tp>
      <tp t="s">
        <v>#N/A N/A</v>
        <stp/>
        <stp>BDS|15112024751846344213</stp>
        <tr r="I1013" s="2"/>
      </tp>
      <tp t="s">
        <v>#N/A N/A</v>
        <stp/>
        <stp>BDP|12374218740166663672</stp>
        <tr r="S675" s="2"/>
      </tp>
      <tp t="s">
        <v>#N/A N/A</v>
        <stp/>
        <stp>BDP|16136298208652007237</stp>
        <tr r="E439" s="2"/>
      </tp>
      <tp t="s">
        <v>#N/A N/A</v>
        <stp/>
        <stp>BDP|17986355939717398459</stp>
        <tr r="M1785" s="2"/>
      </tp>
      <tp t="s">
        <v>#N/A N/A</v>
        <stp/>
        <stp>BDP|13763481703356770589</stp>
        <tr r="H1335" s="2"/>
      </tp>
      <tp t="s">
        <v>#N/A N/A</v>
        <stp/>
        <stp>BDP|14140015259352806728</stp>
        <tr r="C380" s="2"/>
      </tp>
      <tp t="s">
        <v>#N/A N/A</v>
        <stp/>
        <stp>BDP|14708470180929276517</stp>
        <tr r="R891" s="2"/>
      </tp>
      <tp t="s">
        <v>#N/A N/A</v>
        <stp/>
        <stp>BDP|14449653755587088473</stp>
        <tr r="R2062" s="2"/>
      </tp>
      <tp t="s">
        <v>#N/A N/A</v>
        <stp/>
        <stp>BDP|11002530345491448519</stp>
        <tr r="K1256" s="2"/>
      </tp>
      <tp t="s">
        <v>#N/A N/A</v>
        <stp/>
        <stp>BDP|14137250602247795521</stp>
        <tr r="A893" s="2"/>
      </tp>
      <tp t="s">
        <v>#N/A N/A</v>
        <stp/>
        <stp>BDP|16801469247253216183</stp>
        <tr r="H531" s="2"/>
      </tp>
      <tp t="s">
        <v>#N/A N/A</v>
        <stp/>
        <stp>BDS|12465771470913173520</stp>
        <tr r="I2100" s="2"/>
      </tp>
      <tp t="s">
        <v>#N/A N/A</v>
        <stp/>
        <stp>BDP|12621162147106412509</stp>
        <tr r="T902" s="2"/>
      </tp>
      <tp t="s">
        <v>#N/A N/A</v>
        <stp/>
        <stp>BDP|11076569461526429001</stp>
        <tr r="Q402" s="2"/>
      </tp>
      <tp t="s">
        <v>#N/A N/A</v>
        <stp/>
        <stp>BDP|17331793166700886277</stp>
        <tr r="K1579" s="2"/>
      </tp>
      <tp t="s">
        <v>#N/A N/A</v>
        <stp/>
        <stp>BDP|10790831470428257351</stp>
        <tr r="E727" s="2"/>
      </tp>
      <tp t="s">
        <v>#N/A N/A</v>
        <stp/>
        <stp>BDP|16761199997192850823</stp>
        <tr r="J12" s="2"/>
      </tp>
      <tp t="s">
        <v>#N/A N/A</v>
        <stp/>
        <stp>BDP|10338263762152476209</stp>
        <tr r="G899" s="2"/>
      </tp>
      <tp t="s">
        <v>#N/A N/A</v>
        <stp/>
        <stp>BDP|14747069690770253900</stp>
        <tr r="A957" s="2"/>
      </tp>
      <tp t="s">
        <v>#N/A N/A</v>
        <stp/>
        <stp>BDP|18194451087725091509</stp>
        <tr r="J1154" s="2"/>
      </tp>
      <tp t="s">
        <v>#N/A N/A</v>
        <stp/>
        <stp>BDP|11026371501423503508</stp>
        <tr r="Q1347" s="2"/>
      </tp>
      <tp t="s">
        <v>#N/A N/A</v>
        <stp/>
        <stp>BDP|14168469654782309336</stp>
        <tr r="H653" s="2"/>
      </tp>
      <tp t="s">
        <v>#N/A N/A</v>
        <stp/>
        <stp>BDP|14193558160847237454</stp>
        <tr r="T1214" s="2"/>
      </tp>
      <tp t="s">
        <v>#N/A N/A</v>
        <stp/>
        <stp>BDP|10579090519581294445</stp>
        <tr r="G52" s="2"/>
      </tp>
      <tp t="s">
        <v>#N/A N/A</v>
        <stp/>
        <stp>BDP|15852181314290284153</stp>
        <tr r="H1836" s="2"/>
      </tp>
      <tp t="s">
        <v>#N/A N/A</v>
        <stp/>
        <stp>BDP|17185461267053315205</stp>
        <tr r="C2010" s="2"/>
      </tp>
      <tp t="s">
        <v>#N/A N/A</v>
        <stp/>
        <stp>BDP|10685578814849554931</stp>
        <tr r="A719" s="2"/>
      </tp>
      <tp t="s">
        <v>#N/A N/A</v>
        <stp/>
        <stp>BDS|13698038163126296745</stp>
        <tr r="I430" s="2"/>
      </tp>
      <tp t="s">
        <v>#N/A N/A</v>
        <stp/>
        <stp>BDP|11066689562407165281</stp>
        <tr r="J599" s="2"/>
      </tp>
      <tp t="s">
        <v>#N/A N/A</v>
        <stp/>
        <stp>BDP|11135169729706400091</stp>
        <tr r="T1173" s="2"/>
      </tp>
      <tp t="s">
        <v>#N/A N/A</v>
        <stp/>
        <stp>BDP|10765524637390433251</stp>
        <tr r="J2061" s="2"/>
      </tp>
      <tp t="s">
        <v>#N/A N/A</v>
        <stp/>
        <stp>BDP|13410184409702143475</stp>
        <tr r="G2013" s="2"/>
      </tp>
      <tp t="s">
        <v>#N/A N/A</v>
        <stp/>
        <stp>BDP|15258448035970078600</stp>
        <tr r="K1897" s="2"/>
      </tp>
      <tp t="s">
        <v>#N/A N/A</v>
        <stp/>
        <stp>BDP|14216560514645344100</stp>
        <tr r="P936" s="2"/>
      </tp>
      <tp t="s">
        <v>#N/A N/A</v>
        <stp/>
        <stp>BDP|10136907266379137256</stp>
        <tr r="R1530" s="2"/>
      </tp>
      <tp t="s">
        <v>#N/A N/A</v>
        <stp/>
        <stp>BDS|12331672116127545676</stp>
        <tr r="I480" s="2"/>
      </tp>
      <tp t="s">
        <v>#N/A N/A</v>
        <stp/>
        <stp>BDP|11851358316860112796</stp>
        <tr r="R1389" s="2"/>
      </tp>
      <tp t="s">
        <v>#N/A N/A</v>
        <stp/>
        <stp>BDP|11875335842283973135</stp>
        <tr r="J799" s="2"/>
      </tp>
      <tp t="s">
        <v>#N/A N/A</v>
        <stp/>
        <stp>BDP|16711872155278575734</stp>
        <tr r="N922" s="2"/>
      </tp>
      <tp t="s">
        <v>#N/A N/A</v>
        <stp/>
        <stp>BDP|11423178562510370219</stp>
        <tr r="H2066" s="2"/>
      </tp>
      <tp t="s">
        <v>#N/A N/A</v>
        <stp/>
        <stp>BDP|17838066521420849144</stp>
        <tr r="F1836" s="2"/>
      </tp>
      <tp t="s">
        <v>#N/A N/A</v>
        <stp/>
        <stp>BDP|12502730360596157140</stp>
        <tr r="K1077" s="2"/>
      </tp>
      <tp t="s">
        <v>#N/A N/A</v>
        <stp/>
        <stp>BDP|15130280108346260506</stp>
        <tr r="H2245" s="2"/>
      </tp>
      <tp t="s">
        <v>#N/A N/A</v>
        <stp/>
        <stp>BDP|14212816216100234945</stp>
        <tr r="A367" s="2"/>
      </tp>
      <tp t="s">
        <v>#N/A N/A</v>
        <stp/>
        <stp>BDP|10716718112903650115</stp>
        <tr r="C1802" s="2"/>
      </tp>
      <tp t="s">
        <v>#N/A N/A</v>
        <stp/>
        <stp>BDP|11537104025924396207</stp>
        <tr r="C35" s="2"/>
      </tp>
      <tp t="s">
        <v>#N/A N/A</v>
        <stp/>
        <stp>BDP|15370216690272615875</stp>
        <tr r="M544" s="2"/>
      </tp>
      <tp t="s">
        <v>#N/A N/A</v>
        <stp/>
        <stp>BDP|15560370736728125964</stp>
        <tr r="O1795" s="2"/>
      </tp>
      <tp t="s">
        <v>#N/A N/A</v>
        <stp/>
        <stp>BDP|13096611422865176610</stp>
        <tr r="A928" s="2"/>
      </tp>
      <tp t="s">
        <v>#N/A N/A</v>
        <stp/>
        <stp>BDS|11732614166744409146</stp>
        <tr r="I1145" s="2"/>
      </tp>
      <tp t="s">
        <v>#N/A N/A</v>
        <stp/>
        <stp>BDP|15157589579882401172</stp>
        <tr r="C973" s="2"/>
      </tp>
      <tp t="s">
        <v>#N/A N/A</v>
        <stp/>
        <stp>BDP|16688938094273619145</stp>
        <tr r="J1369" s="2"/>
      </tp>
      <tp t="s">
        <v>#N/A N/A</v>
        <stp/>
        <stp>BDP|17236776305051343507</stp>
        <tr r="R960" s="2"/>
      </tp>
      <tp t="s">
        <v>#N/A N/A</v>
        <stp/>
        <stp>BDP|13804205771782377090</stp>
        <tr r="T2015" s="2"/>
      </tp>
      <tp t="s">
        <v>#N/A N/A</v>
        <stp/>
        <stp>BDP|12931581147381316665</stp>
        <tr r="J856" s="2"/>
      </tp>
      <tp t="s">
        <v>#N/A N/A</v>
        <stp/>
        <stp>BDP|17531924368605566992</stp>
        <tr r="H1591" s="2"/>
      </tp>
      <tp t="s">
        <v>#N/A N/A</v>
        <stp/>
        <stp>BDP|12786527334616059628</stp>
        <tr r="H1442" s="2"/>
      </tp>
      <tp t="s">
        <v>#N/A N/A</v>
        <stp/>
        <stp>BDP|11059407854745030172</stp>
        <tr r="F525" s="2"/>
      </tp>
      <tp t="s">
        <v>#N/A N/A</v>
        <stp/>
        <stp>BDP|13134042756275260721</stp>
        <tr r="C46" s="2"/>
      </tp>
      <tp t="s">
        <v>#N/A N/A</v>
        <stp/>
        <stp>BDP|14243121159537340390</stp>
        <tr r="K1152" s="2"/>
      </tp>
      <tp t="s">
        <v>#N/A N/A</v>
        <stp/>
        <stp>BDP|17865420133341823523</stp>
        <tr r="T91" s="2"/>
      </tp>
      <tp t="s">
        <v>#N/A N/A</v>
        <stp/>
        <stp>BDP|14320577159154636483</stp>
        <tr r="Q769" s="2"/>
      </tp>
      <tp t="s">
        <v>#N/A N/A</v>
        <stp/>
        <stp>BDP|16147603625664639209</stp>
        <tr r="F1902" s="2"/>
      </tp>
      <tp t="s">
        <v>#N/A N/A</v>
        <stp/>
        <stp>BDP|10632660834804221542</stp>
        <tr r="K681" s="2"/>
      </tp>
      <tp t="s">
        <v>#N/A N/A</v>
        <stp/>
        <stp>BDP|14529043704771343149</stp>
        <tr r="J2026" s="2"/>
      </tp>
      <tp t="s">
        <v>#N/A N/A</v>
        <stp/>
        <stp>BDP|18246013283132442669</stp>
        <tr r="D1984" s="2"/>
      </tp>
      <tp t="s">
        <v>#N/A N/A</v>
        <stp/>
        <stp>BDP|13297399018840705563</stp>
        <tr r="S2256" s="2"/>
      </tp>
      <tp t="s">
        <v>#N/A N/A</v>
        <stp/>
        <stp>BDP|11216038483178936590</stp>
        <tr r="G1841" s="2"/>
      </tp>
      <tp t="s">
        <v>#N/A N/A</v>
        <stp/>
        <stp>BDP|18371185797423887765</stp>
        <tr r="C1202" s="2"/>
      </tp>
      <tp t="s">
        <v>#N/A N/A</v>
        <stp/>
        <stp>BDP|12368101731844014004</stp>
        <tr r="P2025" s="2"/>
      </tp>
      <tp t="s">
        <v>#N/A N/A</v>
        <stp/>
        <stp>BDP|14061552702173379668</stp>
        <tr r="R1375" s="2"/>
      </tp>
      <tp t="s">
        <v>#N/A N/A</v>
        <stp/>
        <stp>BDP|12457068015174234375</stp>
        <tr r="O1164" s="2"/>
      </tp>
      <tp t="s">
        <v>#N/A N/A</v>
        <stp/>
        <stp>BDP|10416819298921931468</stp>
        <tr r="J1360" s="2"/>
      </tp>
      <tp t="s">
        <v>#N/A N/A</v>
        <stp/>
        <stp>BDP|10435166077604493630</stp>
        <tr r="O2026" s="2"/>
      </tp>
      <tp t="s">
        <v>#N/A N/A</v>
        <stp/>
        <stp>BDP|16873132331832943213</stp>
        <tr r="D1843" s="2"/>
      </tp>
      <tp t="s">
        <v>#N/A N/A</v>
        <stp/>
        <stp>BDP|10629178779737842520</stp>
        <tr r="H1483" s="2"/>
      </tp>
      <tp t="s">
        <v>#N/A N/A</v>
        <stp/>
        <stp>BDP|10991723938778658871</stp>
        <tr r="P832" s="2"/>
      </tp>
      <tp t="s">
        <v>#N/A N/A</v>
        <stp/>
        <stp>BDP|12712308838795934344</stp>
        <tr r="H768" s="2"/>
      </tp>
      <tp t="s">
        <v>#N/A N/A</v>
        <stp/>
        <stp>BDP|10683787804823869008</stp>
        <tr r="T1420" s="2"/>
      </tp>
      <tp t="s">
        <v>#N/A N/A</v>
        <stp/>
        <stp>BDP|14832255028012663219</stp>
        <tr r="J2019" s="2"/>
      </tp>
      <tp t="s">
        <v>#N/A N/A</v>
        <stp/>
        <stp>BDP|16077347127004016718</stp>
        <tr r="R1074" s="2"/>
      </tp>
      <tp t="s">
        <v>#N/A N/A</v>
        <stp/>
        <stp>BDP|10316064967943846180</stp>
        <tr r="Q1212" s="2"/>
      </tp>
      <tp t="s">
        <v>#N/A N/A</v>
        <stp/>
        <stp>BDP|15270225916795699724</stp>
        <tr r="K1846" s="2"/>
      </tp>
      <tp t="s">
        <v>#N/A N/A</v>
        <stp/>
        <stp>BDP|16703776571097096537</stp>
        <tr r="H543" s="2"/>
      </tp>
      <tp t="s">
        <v>#N/A N/A</v>
        <stp/>
        <stp>BDP|10871135539327903199</stp>
        <tr r="C1107" s="2"/>
      </tp>
      <tp t="s">
        <v>#N/A N/A</v>
        <stp/>
        <stp>BDP|13297606112639563977</stp>
        <tr r="O560" s="2"/>
      </tp>
      <tp t="s">
        <v>#N/A N/A</v>
        <stp/>
        <stp>BDP|11039355245932578070</stp>
        <tr r="J2201" s="2"/>
      </tp>
      <tp t="s">
        <v>#N/A N/A</v>
        <stp/>
        <stp>BDP|16275172315530286200</stp>
        <tr r="N1882" s="2"/>
      </tp>
      <tp t="s">
        <v>#N/A N/A</v>
        <stp/>
        <stp>BDP|16789513151625507702</stp>
        <tr r="F1594" s="2"/>
      </tp>
      <tp t="s">
        <v>#N/A N/A</v>
        <stp/>
        <stp>BDP|17528320271425084241</stp>
        <tr r="O2099" s="2"/>
      </tp>
      <tp t="s">
        <v>#N/A N/A</v>
        <stp/>
        <stp>BDP|15738938252425460806</stp>
        <tr r="E632" s="2"/>
      </tp>
      <tp t="s">
        <v>#N/A N/A</v>
        <stp/>
        <stp>BDP|12986252999695232850</stp>
        <tr r="S900" s="2"/>
      </tp>
      <tp t="s">
        <v>#N/A N/A</v>
        <stp/>
        <stp>BDP|13198757927271440357</stp>
        <tr r="J341" s="2"/>
      </tp>
      <tp t="s">
        <v>#N/A N/A</v>
        <stp/>
        <stp>BDP|12931129908585622272</stp>
        <tr r="S481" s="2"/>
      </tp>
      <tp t="s">
        <v>#N/A N/A</v>
        <stp/>
        <stp>BDP|10891154286074958906</stp>
        <tr r="D1473" s="2"/>
      </tp>
      <tp t="s">
        <v>#N/A N/A</v>
        <stp/>
        <stp>BDP|16531432404294250228</stp>
        <tr r="H1392" s="2"/>
      </tp>
      <tp t="s">
        <v>#N/A N/A</v>
        <stp/>
        <stp>BDP|16007908059676926822</stp>
        <tr r="D1398" s="2"/>
      </tp>
      <tp t="s">
        <v>#N/A N/A</v>
        <stp/>
        <stp>BDP|11780689314336850419</stp>
        <tr r="R413" s="2"/>
      </tp>
      <tp t="s">
        <v>#N/A N/A</v>
        <stp/>
        <stp>BDP|13416086789958127762</stp>
        <tr r="M290" s="2"/>
      </tp>
      <tp t="s">
        <v>#N/A N/A</v>
        <stp/>
        <stp>BDP|16446920649876504982</stp>
        <tr r="S1964" s="2"/>
      </tp>
      <tp t="s">
        <v>#N/A N/A</v>
        <stp/>
        <stp>BDP|14082767764321715073</stp>
        <tr r="F696" s="2"/>
      </tp>
      <tp t="s">
        <v>#N/A N/A</v>
        <stp/>
        <stp>BDP|16236954594492892097</stp>
        <tr r="T1226" s="2"/>
      </tp>
      <tp t="s">
        <v>#N/A N/A</v>
        <stp/>
        <stp>BDP|10195407344033641717</stp>
        <tr r="P1990" s="2"/>
      </tp>
      <tp t="s">
        <v>#N/A N/A</v>
        <stp/>
        <stp>BDP|17770254523341240219</stp>
        <tr r="D1869" s="2"/>
      </tp>
      <tp t="s">
        <v>#N/A N/A</v>
        <stp/>
        <stp>BDP|16628254223087420569</stp>
        <tr r="J1434" s="2"/>
      </tp>
      <tp t="s">
        <v>#N/A N/A</v>
        <stp/>
        <stp>BDP|13259272546642644379</stp>
        <tr r="J1293" s="2"/>
      </tp>
      <tp t="s">
        <v>#N/A N/A</v>
        <stp/>
        <stp>BDP|10784918256719792152</stp>
        <tr r="G662" s="2"/>
      </tp>
      <tp t="s">
        <v>#N/A N/A</v>
        <stp/>
        <stp>BDP|15587365653770566770</stp>
        <tr r="Q837" s="2"/>
      </tp>
      <tp t="s">
        <v>#N/A N/A</v>
        <stp/>
        <stp>BDP|14435433547887086723</stp>
        <tr r="T115" s="2"/>
      </tp>
      <tp t="s">
        <v>#N/A N/A</v>
        <stp/>
        <stp>BDP|12410043447207724521</stp>
        <tr r="G1299" s="2"/>
      </tp>
      <tp t="s">
        <v>#N/A N/A</v>
        <stp/>
        <stp>BDP|14106833350364263925</stp>
        <tr r="H1351" s="2"/>
      </tp>
      <tp t="s">
        <v>#N/A N/A</v>
        <stp/>
        <stp>BDP|18279679106633088913</stp>
        <tr r="H963" s="2"/>
      </tp>
      <tp t="s">
        <v>#N/A N/A</v>
        <stp/>
        <stp>BDP|15920685350767778545</stp>
        <tr r="E552" s="2"/>
      </tp>
      <tp t="s">
        <v>#N/A N/A</v>
        <stp/>
        <stp>BDS|17288502075220585132</stp>
        <tr r="I8" s="2"/>
      </tp>
      <tp t="s">
        <v>#N/A N/A</v>
        <stp/>
        <stp>BDP|10791611048224402288</stp>
        <tr r="S1212" s="2"/>
      </tp>
      <tp t="s">
        <v>#N/A N/A</v>
        <stp/>
        <stp>BDP|10762297458451070240</stp>
        <tr r="J106" s="2"/>
      </tp>
      <tp t="s">
        <v>#N/A N/A</v>
        <stp/>
        <stp>BDP|12968762866403923420</stp>
        <tr r="N1477" s="2"/>
      </tp>
      <tp t="s">
        <v>#N/A N/A</v>
        <stp/>
        <stp>BDP|16348125813073519151</stp>
        <tr r="H1310" s="2"/>
      </tp>
      <tp t="s">
        <v>#N/A N/A</v>
        <stp/>
        <stp>BDP|13501772627665366743</stp>
        <tr r="R90" s="2"/>
      </tp>
      <tp t="s">
        <v>#N/A N/A</v>
        <stp/>
        <stp>BDP|15936177744005846101</stp>
        <tr r="J1157" s="2"/>
      </tp>
      <tp t="s">
        <v>#N/A N/A</v>
        <stp/>
        <stp>BDP|15452583407834884017</stp>
        <tr r="R444" s="2"/>
      </tp>
      <tp t="s">
        <v>#N/A N/A</v>
        <stp/>
        <stp>BDP|12054302452123451342</stp>
        <tr r="G1593" s="2"/>
      </tp>
      <tp t="s">
        <v>#N/A N/A</v>
        <stp/>
        <stp>BDP|15950290110160445261</stp>
        <tr r="K1865" s="2"/>
      </tp>
      <tp t="s">
        <v>#N/A N/A</v>
        <stp/>
        <stp>BDP|16569522413476618000</stp>
        <tr r="Q1625" s="2"/>
      </tp>
      <tp t="s">
        <v>#N/A N/A</v>
        <stp/>
        <stp>BDP|16770852693482100121</stp>
        <tr r="Q1329" s="2"/>
      </tp>
      <tp t="s">
        <v>#N/A N/A</v>
        <stp/>
        <stp>BDP|10589022035166494142</stp>
        <tr r="O1752" s="2"/>
      </tp>
      <tp t="s">
        <v>#N/A N/A</v>
        <stp/>
        <stp>BDP|15729106374547945085</stp>
        <tr r="J393" s="2"/>
      </tp>
      <tp t="s">
        <v>#N/A N/A</v>
        <stp/>
        <stp>BDP|16373798866634783791</stp>
        <tr r="C1941" s="2"/>
      </tp>
      <tp t="s">
        <v>#N/A N/A</v>
        <stp/>
        <stp>BDP|13450662157035708107</stp>
        <tr r="O1339" s="2"/>
      </tp>
      <tp t="s">
        <v>#N/A N/A</v>
        <stp/>
        <stp>BDP|18318984435782870445</stp>
        <tr r="A485" s="2"/>
      </tp>
      <tp t="s">
        <v>#N/A N/A</v>
        <stp/>
        <stp>BDP|12862769828570051348</stp>
        <tr r="T274" s="2"/>
      </tp>
      <tp t="s">
        <v>#N/A N/A</v>
        <stp/>
        <stp>BDP|10705100752641689119</stp>
        <tr r="S1356" s="2"/>
      </tp>
      <tp t="s">
        <v>#N/A N/A</v>
        <stp/>
        <stp>BDP|13228336517102753737</stp>
        <tr r="D1146" s="2"/>
      </tp>
      <tp t="s">
        <v>#N/A N/A</v>
        <stp/>
        <stp>BDP|10071757086612419950</stp>
        <tr r="M374" s="2"/>
      </tp>
      <tp t="s">
        <v>#N/A N/A</v>
        <stp/>
        <stp>BDP|14179653446573163110</stp>
        <tr r="S1450" s="2"/>
      </tp>
      <tp t="s">
        <v>#N/A N/A</v>
        <stp/>
        <stp>BDS|11829371578426709710</stp>
        <tr r="I1492" s="2"/>
      </tp>
      <tp t="s">
        <v>#N/A N/A</v>
        <stp/>
        <stp>BDP|10571426323117045563</stp>
        <tr r="F340" s="2"/>
      </tp>
      <tp t="s">
        <v>#N/A N/A</v>
        <stp/>
        <stp>BDP|18019824880754402845</stp>
        <tr r="M1961" s="2"/>
      </tp>
      <tp t="s">
        <v>#N/A N/A</v>
        <stp/>
        <stp>BDP|15995872336512286881</stp>
        <tr r="M1643" s="2"/>
      </tp>
      <tp t="s">
        <v>#N/A N/A</v>
        <stp/>
        <stp>BDP|16321964989274652787</stp>
        <tr r="N1936" s="2"/>
      </tp>
      <tp t="s">
        <v>#N/A N/A</v>
        <stp/>
        <stp>BDP|11219055642231452035</stp>
        <tr r="K1830" s="2"/>
      </tp>
      <tp t="s">
        <v>#N/A N/A</v>
        <stp/>
        <stp>BDP|11183462121780393372</stp>
        <tr r="C2066" s="2"/>
      </tp>
      <tp t="s">
        <v>#N/A N/A</v>
        <stp/>
        <stp>BDP|17558677557213037375</stp>
        <tr r="R1891" s="2"/>
      </tp>
      <tp t="s">
        <v>#N/A N/A</v>
        <stp/>
        <stp>BDP|17391309007077142772</stp>
        <tr r="T1606" s="2"/>
      </tp>
      <tp t="s">
        <v>#N/A N/A</v>
        <stp/>
        <stp>BDP|10303773630508192879</stp>
        <tr r="M2253" s="2"/>
      </tp>
      <tp t="s">
        <v>#N/A N/A</v>
        <stp/>
        <stp>BDP|17068290701704843520</stp>
        <tr r="M633" s="2"/>
      </tp>
      <tp t="s">
        <v>#N/A N/A</v>
        <stp/>
        <stp>BDP|11926308519582134539</stp>
        <tr r="J1211" s="2"/>
      </tp>
      <tp t="s">
        <v>#N/A N/A</v>
        <stp/>
        <stp>BDS|16653321661486414104</stp>
        <tr r="I1733" s="2"/>
      </tp>
      <tp t="s">
        <v>#N/A N/A</v>
        <stp/>
        <stp>BDP|10753735055386273011</stp>
        <tr r="C1621" s="2"/>
      </tp>
      <tp t="s">
        <v>#N/A N/A</v>
        <stp/>
        <stp>BDP|16771898976434891927</stp>
        <tr r="J454" s="2"/>
      </tp>
      <tp t="s">
        <v>#N/A N/A</v>
        <stp/>
        <stp>BDS|14229408003845048103</stp>
        <tr r="I1255" s="2"/>
      </tp>
      <tp t="s">
        <v>#N/A N/A</v>
        <stp/>
        <stp>BDP|17823205561346303181</stp>
        <tr r="J1182" s="2"/>
      </tp>
      <tp t="s">
        <v>#N/A N/A</v>
        <stp/>
        <stp>BDP|15498241670051048529</stp>
        <tr r="J1970" s="2"/>
      </tp>
      <tp t="s">
        <v>#N/A N/A</v>
        <stp/>
        <stp>BDP|17535471718794858205</stp>
        <tr r="T2212" s="2"/>
      </tp>
      <tp t="s">
        <v>#N/A N/A</v>
        <stp/>
        <stp>BDP|17043604855242407236</stp>
        <tr r="R1022" s="2"/>
      </tp>
      <tp t="s">
        <v>#N/A N/A</v>
        <stp/>
        <stp>BDS|12426494362783625787</stp>
        <tr r="I1832" s="2"/>
      </tp>
      <tp t="s">
        <v>#N/A N/A</v>
        <stp/>
        <stp>BDP|10792679776770568515</stp>
        <tr r="F1577" s="2"/>
      </tp>
      <tp t="s">
        <v>#N/A N/A</v>
        <stp/>
        <stp>BDP|11643612771194308073</stp>
        <tr r="O711" s="2"/>
      </tp>
      <tp t="s">
        <v>#N/A N/A</v>
        <stp/>
        <stp>BDP|12525476649930906676</stp>
        <tr r="F437" s="2"/>
      </tp>
      <tp t="s">
        <v>#N/A N/A</v>
        <stp/>
        <stp>BDP|11486885651081869900</stp>
        <tr r="N766" s="2"/>
      </tp>
      <tp t="s">
        <v>#N/A N/A</v>
        <stp/>
        <stp>BDP|10147124531060334648</stp>
        <tr r="K1686" s="2"/>
      </tp>
      <tp t="s">
        <v>#N/A N/A</v>
        <stp/>
        <stp>BDP|11323963191837131201</stp>
        <tr r="R1054" s="2"/>
      </tp>
      <tp t="s">
        <v>#N/A N/A</v>
        <stp/>
        <stp>BDS|13932309065247956536</stp>
        <tr r="I254" s="2"/>
      </tp>
      <tp t="s">
        <v>#N/A N/A</v>
        <stp/>
        <stp>BDP|13469488570506980209</stp>
        <tr r="E970" s="2"/>
      </tp>
      <tp t="s">
        <v>#N/A N/A</v>
        <stp/>
        <stp>BDP|14498850796158154937</stp>
        <tr r="M803" s="2"/>
      </tp>
      <tp t="s">
        <v>#N/A N/A</v>
        <stp/>
        <stp>BDS|13320498273157712380</stp>
        <tr r="I468" s="2"/>
      </tp>
      <tp t="s">
        <v>#N/A N/A</v>
        <stp/>
        <stp>BDP|14117662366974357477</stp>
        <tr r="O1358" s="2"/>
      </tp>
      <tp t="s">
        <v>#N/A N/A</v>
        <stp/>
        <stp>BDP|10204182549941732010</stp>
        <tr r="G1340" s="2"/>
      </tp>
      <tp t="s">
        <v>#N/A N/A</v>
        <stp/>
        <stp>BDP|14124504730675393371</stp>
        <tr r="S863" s="2"/>
      </tp>
      <tp t="s">
        <v>#N/A N/A</v>
        <stp/>
        <stp>BDP|14249068360547588149</stp>
        <tr r="P10" s="2"/>
      </tp>
      <tp t="s">
        <v>#N/A N/A</v>
        <stp/>
        <stp>BDP|15574158651510362574</stp>
        <tr r="F1004" s="2"/>
      </tp>
      <tp t="s">
        <v>#N/A N/A</v>
        <stp/>
        <stp>BDP|10478270757052698176</stp>
        <tr r="N2173" s="2"/>
      </tp>
      <tp t="s">
        <v>#N/A N/A</v>
        <stp/>
        <stp>BDP|13668827917727691907</stp>
        <tr r="E520" s="2"/>
      </tp>
      <tp t="s">
        <v>#N/A N/A</v>
        <stp/>
        <stp>BDP|13240305440888124864</stp>
        <tr r="Q184" s="2"/>
      </tp>
      <tp t="s">
        <v>#N/A N/A</v>
        <stp/>
        <stp>BDP|16096747067577721416</stp>
        <tr r="T786" s="2"/>
      </tp>
      <tp t="s">
        <v>#N/A N/A</v>
        <stp/>
        <stp>BDS|13304466140210098733</stp>
        <tr r="I1722" s="2"/>
      </tp>
      <tp t="s">
        <v>#N/A N/A</v>
        <stp/>
        <stp>BDP|11619167108151503589</stp>
        <tr r="J565" s="2"/>
      </tp>
      <tp t="s">
        <v>#N/A N/A</v>
        <stp/>
        <stp>BDP|13376761316885395459</stp>
        <tr r="S1159" s="2"/>
      </tp>
      <tp t="s">
        <v>#N/A N/A</v>
        <stp/>
        <stp>BDP|16466328907420559111</stp>
        <tr r="J571" s="2"/>
      </tp>
      <tp t="s">
        <v>#N/A N/A</v>
        <stp/>
        <stp>BDP|12260026504164495256</stp>
        <tr r="E1384" s="2"/>
      </tp>
      <tp t="s">
        <v>#N/A N/A</v>
        <stp/>
        <stp>BDP|15883315950013456485</stp>
        <tr r="O1560" s="2"/>
      </tp>
      <tp t="s">
        <v>#N/A N/A</v>
        <stp/>
        <stp>BDP|18295086331689621686</stp>
        <tr r="G306" s="2"/>
      </tp>
      <tp t="s">
        <v>#N/A N/A</v>
        <stp/>
        <stp>BDP|14051026058975970060</stp>
        <tr r="A2010" s="2"/>
      </tp>
      <tp t="s">
        <v>#N/A N/A</v>
        <stp/>
        <stp>BDP|11745406804043765218</stp>
        <tr r="P826" s="2"/>
      </tp>
      <tp t="s">
        <v>#N/A N/A</v>
        <stp/>
        <stp>BDP|14169659022947293313</stp>
        <tr r="H707" s="2"/>
      </tp>
      <tp t="s">
        <v>#N/A N/A</v>
        <stp/>
        <stp>BDP|17442498152003915131</stp>
        <tr r="K2164" s="2"/>
      </tp>
      <tp t="s">
        <v>#N/A N/A</v>
        <stp/>
        <stp>BDP|15783779246817052530</stp>
        <tr r="H353" s="2"/>
      </tp>
      <tp t="s">
        <v>#N/A N/A</v>
        <stp/>
        <stp>BDP|17397263165656741124</stp>
        <tr r="N606" s="2"/>
      </tp>
      <tp t="s">
        <v>#N/A N/A</v>
        <stp/>
        <stp>BDP|18192528886448933995</stp>
        <tr r="M2161" s="2"/>
      </tp>
      <tp t="s">
        <v>#N/A N/A</v>
        <stp/>
        <stp>BDP|10739344200151567633</stp>
        <tr r="O81" s="2"/>
      </tp>
      <tp t="s">
        <v>#N/A N/A</v>
        <stp/>
        <stp>BDS|16941005974774207195</stp>
        <tr r="I1298" s="2"/>
      </tp>
      <tp t="s">
        <v>#N/A N/A</v>
        <stp/>
        <stp>BDP|11679672794759760377</stp>
        <tr r="M2245" s="2"/>
      </tp>
      <tp t="s">
        <v>#N/A N/A</v>
        <stp/>
        <stp>BDP|14038230582452213865</stp>
        <tr r="F1500" s="2"/>
      </tp>
      <tp t="s">
        <v>#N/A N/A</v>
        <stp/>
        <stp>BDP|13468812226435503833</stp>
        <tr r="O1666" s="2"/>
      </tp>
      <tp t="s">
        <v>#N/A N/A</v>
        <stp/>
        <stp>BDP|14054144020620327326</stp>
        <tr r="Q2157" s="2"/>
      </tp>
      <tp t="s">
        <v>#N/A N/A</v>
        <stp/>
        <stp>BDP|13670036395739460713</stp>
        <tr r="O1996" s="2"/>
      </tp>
      <tp t="s">
        <v>#N/A N/A</v>
        <stp/>
        <stp>BDP|16338775022617272015</stp>
        <tr r="R1591" s="2"/>
      </tp>
      <tp t="s">
        <v>#N/A N/A</v>
        <stp/>
        <stp>BDP|14273011676515613260</stp>
        <tr r="C2105" s="2"/>
      </tp>
      <tp t="s">
        <v>#N/A N/A</v>
        <stp/>
        <stp>BDP|16347053722592049214</stp>
        <tr r="R1567" s="2"/>
      </tp>
      <tp t="s">
        <v>#N/A N/A</v>
        <stp/>
        <stp>BDP|10415509135307688522</stp>
        <tr r="N2146" s="2"/>
      </tp>
      <tp t="s">
        <v>#N/A N/A</v>
        <stp/>
        <stp>BDP|10707266924603572756</stp>
        <tr r="G1654" s="2"/>
      </tp>
      <tp t="s">
        <v>#N/A N/A</v>
        <stp/>
        <stp>BDP|16419928472119800599</stp>
        <tr r="G1014" s="2"/>
      </tp>
      <tp t="s">
        <v>#N/A N/A</v>
        <stp/>
        <stp>BDP|11638851436638376632</stp>
        <tr r="A1783" s="2"/>
      </tp>
      <tp t="s">
        <v>#N/A N/A</v>
        <stp/>
        <stp>BDP|10031265649905963738</stp>
        <tr r="G1912" s="2"/>
      </tp>
      <tp t="s">
        <v>#N/A N/A</v>
        <stp/>
        <stp>BDP|10005122240436642713</stp>
        <tr r="E607" s="2"/>
      </tp>
      <tp t="s">
        <v>#N/A N/A</v>
        <stp/>
        <stp>BDP|15379703033586337363</stp>
        <tr r="O1144" s="2"/>
      </tp>
      <tp t="s">
        <v>#N/A N/A</v>
        <stp/>
        <stp>BDP|13453337936522169550</stp>
        <tr r="J418" s="2"/>
      </tp>
      <tp t="s">
        <v>#N/A N/A</v>
        <stp/>
        <stp>BDP|14934721338325387158</stp>
        <tr r="T595" s="2"/>
      </tp>
      <tp t="s">
        <v>#N/A N/A</v>
        <stp/>
        <stp>BDP|12928529119567390547</stp>
        <tr r="E1863" s="2"/>
      </tp>
      <tp t="s">
        <v>#N/A N/A</v>
        <stp/>
        <stp>BDP|11034381470561878050</stp>
        <tr r="A1821" s="2"/>
      </tp>
      <tp t="s">
        <v>#N/A N/A</v>
        <stp/>
        <stp>BDP|14997948856008977476</stp>
        <tr r="J992" s="2"/>
      </tp>
      <tp t="s">
        <v>#N/A N/A</v>
        <stp/>
        <stp>BDP|16082709942935402438</stp>
        <tr r="R390" s="2"/>
      </tp>
      <tp t="s">
        <v>#N/A N/A</v>
        <stp/>
        <stp>BDP|14019517145097957683</stp>
        <tr r="F1666" s="2"/>
      </tp>
      <tp t="s">
        <v>#N/A N/A</v>
        <stp/>
        <stp>BDP|12360446437016354765</stp>
        <tr r="R1502" s="2"/>
      </tp>
      <tp t="s">
        <v>#N/A N/A</v>
        <stp/>
        <stp>BDP|13932223845584842531</stp>
        <tr r="J850" s="2"/>
      </tp>
      <tp t="s">
        <v>#N/A N/A</v>
        <stp/>
        <stp>BDP|13025271042136505752</stp>
        <tr r="N1441" s="2"/>
      </tp>
      <tp t="s">
        <v>#N/A N/A</v>
        <stp/>
        <stp>BDP|13644803485523621400</stp>
        <tr r="J108" s="2"/>
      </tp>
      <tp t="s">
        <v>#N/A N/A</v>
        <stp/>
        <stp>BDP|12873047777805789497</stp>
        <tr r="F509" s="2"/>
      </tp>
      <tp t="s">
        <v>#N/A N/A</v>
        <stp/>
        <stp>BDP|10306090943579561994</stp>
        <tr r="A121" s="2"/>
      </tp>
      <tp t="s">
        <v>#N/A N/A</v>
        <stp/>
        <stp>BDP|12626100629636349397</stp>
        <tr r="T1473" s="2"/>
      </tp>
      <tp t="s">
        <v>#N/A N/A</v>
        <stp/>
        <stp>BDP|17656346846500744465</stp>
        <tr r="N175" s="2"/>
      </tp>
      <tp t="s">
        <v>#N/A N/A</v>
        <stp/>
        <stp>BDP|15294478266762575136</stp>
        <tr r="Q1669" s="2"/>
      </tp>
      <tp t="s">
        <v>#N/A N/A</v>
        <stp/>
        <stp>BDP|16435850850686232961</stp>
        <tr r="A1188" s="2"/>
      </tp>
      <tp t="s">
        <v>#N/A N/A</v>
        <stp/>
        <stp>BDP|14478459907890418470</stp>
        <tr r="E164" s="2"/>
      </tp>
      <tp t="s">
        <v>#N/A N/A</v>
        <stp/>
        <stp>BDP|12364241324161782719</stp>
        <tr r="H1083" s="2"/>
      </tp>
      <tp t="s">
        <v>#N/A N/A</v>
        <stp/>
        <stp>BDP|14579778686819197608</stp>
        <tr r="S76" s="2"/>
      </tp>
      <tp t="s">
        <v>#N/A N/A</v>
        <stp/>
        <stp>BDP|13394279142954187527</stp>
        <tr r="R1426" s="2"/>
      </tp>
      <tp t="s">
        <v>#N/A N/A</v>
        <stp/>
        <stp>BDP|13535565066135835182</stp>
        <tr r="A1236" s="2"/>
      </tp>
      <tp t="s">
        <v>#N/A N/A</v>
        <stp/>
        <stp>BDP|16126928052517214968</stp>
        <tr r="E1866" s="2"/>
      </tp>
      <tp t="s">
        <v>#N/A N/A</v>
        <stp/>
        <stp>BDP|14549064336010365333</stp>
        <tr r="P1323" s="2"/>
      </tp>
      <tp t="s">
        <v>#N/A N/A</v>
        <stp/>
        <stp>BDS|16590112991809547362</stp>
        <tr r="I169" s="2"/>
      </tp>
      <tp t="s">
        <v>#N/A N/A</v>
        <stp/>
        <stp>BDP|10252536918555836540</stp>
        <tr r="Q695" s="2"/>
      </tp>
      <tp t="s">
        <v>#N/A N/A</v>
        <stp/>
        <stp>BDP|10882129563711842247</stp>
        <tr r="F755" s="2"/>
      </tp>
      <tp t="s">
        <v>#N/A N/A</v>
        <stp/>
        <stp>BDP|12206709506477902688</stp>
        <tr r="C672" s="2"/>
      </tp>
      <tp t="s">
        <v>#N/A N/A</v>
        <stp/>
        <stp>BDP|15177846500371753872</stp>
        <tr r="P998" s="2"/>
      </tp>
      <tp t="s">
        <v>#N/A N/A</v>
        <stp/>
        <stp>BDP|14929227308730229245</stp>
        <tr r="E2121" s="2"/>
      </tp>
      <tp t="s">
        <v>#N/A N/A</v>
        <stp/>
        <stp>BDP|15938757709245378334</stp>
        <tr r="K1306" s="2"/>
      </tp>
      <tp t="s">
        <v>#N/A N/A</v>
        <stp/>
        <stp>BDP|14080291971534515189</stp>
        <tr r="C1293" s="2"/>
      </tp>
      <tp t="s">
        <v>#N/A N/A</v>
        <stp/>
        <stp>BDP|15628299268007092226</stp>
        <tr r="O1432" s="2"/>
      </tp>
      <tp t="s">
        <v>#N/A N/A</v>
        <stp/>
        <stp>BDP|10112541363634127320</stp>
        <tr r="N134" s="2"/>
      </tp>
      <tp t="s">
        <v>#N/A N/A</v>
        <stp/>
        <stp>BDP|12414817780706602065</stp>
        <tr r="P1085" s="2"/>
      </tp>
      <tp t="s">
        <v>#N/A N/A</v>
        <stp/>
        <stp>BDP|11977970393234824103</stp>
        <tr r="M2197" s="2"/>
      </tp>
      <tp t="s">
        <v>#N/A N/A</v>
        <stp/>
        <stp>BDP|18417822449635973536</stp>
        <tr r="J1656" s="2"/>
      </tp>
      <tp t="s">
        <v>#N/A N/A</v>
        <stp/>
        <stp>BDS|13607125041276772444</stp>
        <tr r="I1467" s="2"/>
      </tp>
      <tp t="s">
        <v>#N/A N/A</v>
        <stp/>
        <stp>BDP|16998412554547075482</stp>
        <tr r="F2028" s="2"/>
      </tp>
      <tp t="s">
        <v>#N/A N/A</v>
        <stp/>
        <stp>BDP|18155414915828561144</stp>
        <tr r="N781" s="2"/>
      </tp>
      <tp t="s">
        <v>#N/A N/A</v>
        <stp/>
        <stp>BDP|14461648641087117544</stp>
        <tr r="T2163" s="2"/>
      </tp>
      <tp t="s">
        <v>#N/A N/A</v>
        <stp/>
        <stp>BDP|10259371401956843182</stp>
        <tr r="N1424" s="2"/>
      </tp>
      <tp t="s">
        <v>#N/A N/A</v>
        <stp/>
        <stp>BDS|14184050412601774062</stp>
        <tr r="I1112" s="2"/>
      </tp>
      <tp t="s">
        <v>#N/A N/A</v>
        <stp/>
        <stp>BDP|12261954288413955428</stp>
        <tr r="R450" s="2"/>
      </tp>
      <tp t="s">
        <v>#N/A N/A</v>
        <stp/>
        <stp>BDP|14058771672815629575</stp>
        <tr r="G537" s="2"/>
      </tp>
      <tp t="s">
        <v>#N/A N/A</v>
        <stp/>
        <stp>BDP|15775811803500603979</stp>
        <tr r="H1495" s="2"/>
      </tp>
      <tp t="s">
        <v>#N/A N/A</v>
        <stp/>
        <stp>BDP|17089803290775357773</stp>
        <tr r="S1929" s="2"/>
      </tp>
      <tp t="s">
        <v>#N/A N/A</v>
        <stp/>
        <stp>BDS|11588639031575674569</stp>
        <tr r="I1632" s="2"/>
      </tp>
      <tp t="s">
        <v>#N/A N/A</v>
        <stp/>
        <stp>BDP|17707622753828045824</stp>
        <tr r="Q1762" s="2"/>
      </tp>
      <tp t="s">
        <v>#N/A N/A</v>
        <stp/>
        <stp>BDP|12138115482176063968</stp>
        <tr r="H2101" s="2"/>
      </tp>
      <tp t="s">
        <v>#N/A N/A</v>
        <stp/>
        <stp>BDP|11555059220262645523</stp>
        <tr r="Q1151" s="2"/>
      </tp>
      <tp t="s">
        <v>#N/A N/A</v>
        <stp/>
        <stp>BDP|15622758296588259733</stp>
        <tr r="J1453" s="2"/>
      </tp>
      <tp t="s">
        <v>#N/A N/A</v>
        <stp/>
        <stp>BDP|15681735863012647241</stp>
        <tr r="H380" s="2"/>
      </tp>
      <tp t="s">
        <v>#N/A N/A</v>
        <stp/>
        <stp>BDP|10890232555334979730</stp>
        <tr r="K1516" s="2"/>
      </tp>
      <tp t="s">
        <v>#N/A N/A</v>
        <stp/>
        <stp>BDP|14327304043484780335</stp>
        <tr r="N520" s="2"/>
      </tp>
      <tp t="s">
        <v>#N/A N/A</v>
        <stp/>
        <stp>BDP|12348585527120195196</stp>
        <tr r="M1832" s="2"/>
      </tp>
      <tp t="s">
        <v>#N/A N/A</v>
        <stp/>
        <stp>BDP|15393013410412594238</stp>
        <tr r="D28" s="2"/>
      </tp>
      <tp t="s">
        <v>#N/A N/A</v>
        <stp/>
        <stp>BDP|16191243518145076492</stp>
        <tr r="S2027" s="2"/>
      </tp>
      <tp t="s">
        <v>#N/A N/A</v>
        <stp/>
        <stp>BDP|10560461156406352328</stp>
        <tr r="Q382" s="2"/>
      </tp>
      <tp t="s">
        <v>#N/A N/A</v>
        <stp/>
        <stp>BDP|14145539156043512352</stp>
        <tr r="S1438" s="2"/>
      </tp>
      <tp t="s">
        <v>#N/A N/A</v>
        <stp/>
        <stp>BDP|15237412228081640698</stp>
        <tr r="T1937" s="2"/>
      </tp>
      <tp t="s">
        <v>#N/A N/A</v>
        <stp/>
        <stp>BDP|16608948411929094375</stp>
        <tr r="N358" s="2"/>
      </tp>
      <tp t="s">
        <v>#N/A N/A</v>
        <stp/>
        <stp>BDP|14374624553462782112</stp>
        <tr r="G1995" s="2"/>
      </tp>
      <tp t="s">
        <v>#N/A N/A</v>
        <stp/>
        <stp>BDP|16636444146564090606</stp>
        <tr r="E1008" s="2"/>
      </tp>
      <tp t="s">
        <v>#N/A N/A</v>
        <stp/>
        <stp>BDP|11756806089170261589</stp>
        <tr r="S1663" s="2"/>
      </tp>
      <tp t="s">
        <v>#N/A N/A</v>
        <stp/>
        <stp>BDS|13720399999339059400</stp>
        <tr r="I308" s="2"/>
      </tp>
      <tp t="s">
        <v>#N/A N/A</v>
        <stp/>
        <stp>BDP|10392154887628623535</stp>
        <tr r="F335" s="2"/>
      </tp>
      <tp t="s">
        <v>#N/A N/A</v>
        <stp/>
        <stp>BDP|11372945344801764900</stp>
        <tr r="J1968" s="2"/>
      </tp>
      <tp t="s">
        <v>#N/A N/A</v>
        <stp/>
        <stp>BDP|17127624241177035668</stp>
        <tr r="N612" s="2"/>
      </tp>
      <tp t="s">
        <v>#N/A N/A</v>
        <stp/>
        <stp>BDP|13868349823676261093</stp>
        <tr r="O1604" s="2"/>
      </tp>
      <tp t="s">
        <v>#N/A N/A</v>
        <stp/>
        <stp>BDP|11943320560993783386</stp>
        <tr r="P693" s="2"/>
      </tp>
      <tp t="s">
        <v>#N/A N/A</v>
        <stp/>
        <stp>BDP|17993749775231829243</stp>
        <tr r="E730" s="2"/>
      </tp>
      <tp t="s">
        <v>#N/A N/A</v>
        <stp/>
        <stp>BDP|10651951860109153263</stp>
        <tr r="O1118" s="2"/>
      </tp>
      <tp t="s">
        <v>#N/A N/A</v>
        <stp/>
        <stp>BDP|10533605217513094069</stp>
        <tr r="D967" s="2"/>
      </tp>
      <tp t="s">
        <v>#N/A N/A</v>
        <stp/>
        <stp>BDP|12312971722184349916</stp>
        <tr r="A2139" s="2"/>
      </tp>
      <tp t="s">
        <v>#N/A N/A</v>
        <stp/>
        <stp>BDP|13192252563130100329</stp>
        <tr r="K570" s="2"/>
      </tp>
      <tp t="s">
        <v>#N/A N/A</v>
        <stp/>
        <stp>BDP|13915040393679247780</stp>
        <tr r="Q1417" s="2"/>
      </tp>
      <tp t="s">
        <v>#N/A N/A</v>
        <stp/>
        <stp>BDP|17125543700010355627</stp>
        <tr r="R604" s="2"/>
      </tp>
      <tp t="s">
        <v>#N/A N/A</v>
        <stp/>
        <stp>BDP|17442572710711625610</stp>
        <tr r="E1308" s="2"/>
      </tp>
      <tp t="s">
        <v>#N/A N/A</v>
        <stp/>
        <stp>BDP|16574160857451184719</stp>
        <tr r="D2221" s="2"/>
      </tp>
      <tp t="s">
        <v>#N/A N/A</v>
        <stp/>
        <stp>BDP|13919061843286955515</stp>
        <tr r="K699" s="2"/>
      </tp>
      <tp t="s">
        <v>#N/A N/A</v>
        <stp/>
        <stp>BDP|12921629336994004790</stp>
        <tr r="E1422" s="2"/>
      </tp>
      <tp t="s">
        <v>#N/A N/A</v>
        <stp/>
        <stp>BDP|17542792373325969621</stp>
        <tr r="Q2124" s="2"/>
      </tp>
      <tp t="s">
        <v>#N/A N/A</v>
        <stp/>
        <stp>BDP|13806030504742932526</stp>
        <tr r="O1435" s="2"/>
      </tp>
      <tp t="s">
        <v>#N/A N/A</v>
        <stp/>
        <stp>BDP|13895233538910744605</stp>
        <tr r="E1311" s="2"/>
      </tp>
      <tp t="s">
        <v>#N/A N/A</v>
        <stp/>
        <stp>BDP|10473447515218940984</stp>
        <tr r="G391" s="2"/>
      </tp>
      <tp t="s">
        <v>#N/A N/A</v>
        <stp/>
        <stp>BDP|16045726727611252633</stp>
        <tr r="T891" s="2"/>
      </tp>
      <tp t="s">
        <v>#N/A N/A</v>
        <stp/>
        <stp>BDP|14724348350521297754</stp>
        <tr r="F836" s="2"/>
      </tp>
      <tp t="s">
        <v>#N/A N/A</v>
        <stp/>
        <stp>BDP|10723462025397901592</stp>
        <tr r="Q366" s="2"/>
      </tp>
      <tp t="s">
        <v>#N/A N/A</v>
        <stp/>
        <stp>BDP|11012777705676577436</stp>
        <tr r="K1184" s="2"/>
      </tp>
      <tp t="s">
        <v>#N/A N/A</v>
        <stp/>
        <stp>BDS|11943508406507982710</stp>
        <tr r="I1700" s="2"/>
      </tp>
      <tp t="s">
        <v>#N/A N/A</v>
        <stp/>
        <stp>BDP|12061011152785189669</stp>
        <tr r="Q2177" s="2"/>
      </tp>
      <tp t="s">
        <v>#N/A N/A</v>
        <stp/>
        <stp>BDP|16388254973053584445</stp>
        <tr r="S769" s="2"/>
      </tp>
      <tp t="s">
        <v>#N/A N/A</v>
        <stp/>
        <stp>BDP|10174016755432963382</stp>
        <tr r="F1233" s="2"/>
      </tp>
      <tp t="s">
        <v>#N/A N/A</v>
        <stp/>
        <stp>BDP|17599809764455219874</stp>
        <tr r="C1221" s="2"/>
      </tp>
      <tp t="s">
        <v>#N/A N/A</v>
        <stp/>
        <stp>BDP|11133555427740329243</stp>
        <tr r="E584" s="2"/>
      </tp>
      <tp t="s">
        <v>#N/A N/A</v>
        <stp/>
        <stp>BDP|10261820322166361851</stp>
        <tr r="O424" s="2"/>
      </tp>
      <tp t="s">
        <v>#N/A N/A</v>
        <stp/>
        <stp>BDP|10213255675406454725</stp>
        <tr r="E867" s="2"/>
      </tp>
      <tp t="s">
        <v>#N/A N/A</v>
        <stp/>
        <stp>BDP|10309844405599404521</stp>
        <tr r="O1779" s="2"/>
      </tp>
      <tp t="s">
        <v>#N/A N/A</v>
        <stp/>
        <stp>BDP|17460716663664463660</stp>
        <tr r="O1561" s="2"/>
      </tp>
      <tp t="s">
        <v>#N/A N/A</v>
        <stp/>
        <stp>BDP|12018924033055530901</stp>
        <tr r="C1705" s="2"/>
      </tp>
      <tp t="s">
        <v>#N/A N/A</v>
        <stp/>
        <stp>BDP|17208920206562210803</stp>
        <tr r="Q651" s="2"/>
      </tp>
      <tp t="s">
        <v>#N/A N/A</v>
        <stp/>
        <stp>BDP|10047501223190002373</stp>
        <tr r="F2243" s="2"/>
      </tp>
      <tp t="s">
        <v>#N/A N/A</v>
        <stp/>
        <stp>BDS|15001167220593303125</stp>
        <tr r="I1157" s="2"/>
      </tp>
      <tp t="s">
        <v>#N/A N/A</v>
        <stp/>
        <stp>BDP|12475779009875928473</stp>
        <tr r="N516" s="2"/>
      </tp>
      <tp t="s">
        <v>#N/A N/A</v>
        <stp/>
        <stp>BDP|18255620044207382938</stp>
        <tr r="E1664" s="2"/>
      </tp>
      <tp t="s">
        <v>#N/A N/A</v>
        <stp/>
        <stp>BDP|15676671864198286938</stp>
        <tr r="G1454" s="2"/>
      </tp>
      <tp t="s">
        <v>#N/A N/A</v>
        <stp/>
        <stp>BDP|13210336267016581478</stp>
        <tr r="O1661" s="2"/>
      </tp>
      <tp t="s">
        <v>#N/A N/A</v>
        <stp/>
        <stp>BDP|17765763650978096952</stp>
        <tr r="R1197" s="2"/>
      </tp>
      <tp t="s">
        <v>#N/A N/A</v>
        <stp/>
        <stp>BDP|10242033940779030955</stp>
        <tr r="P1420" s="2"/>
      </tp>
      <tp t="s">
        <v>#N/A N/A</v>
        <stp/>
        <stp>BDP|16215742985679522421</stp>
        <tr r="O2111" s="2"/>
      </tp>
      <tp t="s">
        <v>#N/A N/A</v>
        <stp/>
        <stp>BDP|13778711980610338815</stp>
        <tr r="E677" s="2"/>
      </tp>
      <tp t="s">
        <v>#N/A N/A</v>
        <stp/>
        <stp>BDP|12002443407511406330</stp>
        <tr r="C668" s="2"/>
      </tp>
      <tp t="s">
        <v>#N/A N/A</v>
        <stp/>
        <stp>BDP|11429481131837159588</stp>
        <tr r="O2226" s="2"/>
      </tp>
      <tp t="s">
        <v>#N/A N/A</v>
        <stp/>
        <stp>BDP|14853731710895786381</stp>
        <tr r="M859" s="2"/>
      </tp>
      <tp t="s">
        <v>#N/A N/A</v>
        <stp/>
        <stp>BDP|10825237712766871150</stp>
        <tr r="D995" s="2"/>
      </tp>
      <tp t="s">
        <v>#N/A N/A</v>
        <stp/>
        <stp>BDP|15314046408225971427</stp>
        <tr r="C1299" s="2"/>
      </tp>
      <tp t="s">
        <v>#N/A N/A</v>
        <stp/>
        <stp>BDP|12818220422266422085</stp>
        <tr r="R2197" s="2"/>
      </tp>
      <tp t="s">
        <v>#N/A N/A</v>
        <stp/>
        <stp>BDP|17295255973841822782</stp>
        <tr r="D1423" s="2"/>
      </tp>
      <tp t="s">
        <v>#N/A N/A</v>
        <stp/>
        <stp>BDP|17683450725175489065</stp>
        <tr r="J560" s="2"/>
      </tp>
      <tp t="s">
        <v>#N/A N/A</v>
        <stp/>
        <stp>BDP|11634276103862687501</stp>
        <tr r="C1852" s="2"/>
      </tp>
      <tp t="s">
        <v>#N/A N/A</v>
        <stp/>
        <stp>BDS|12148252137084576315</stp>
        <tr r="I1251" s="2"/>
      </tp>
      <tp t="s">
        <v>#N/A N/A</v>
        <stp/>
        <stp>BDP|10892212265208996814</stp>
        <tr r="J1755" s="2"/>
      </tp>
      <tp t="s">
        <v>#N/A N/A</v>
        <stp/>
        <stp>BDP|15373936996247648643</stp>
        <tr r="H437" s="2"/>
      </tp>
      <tp t="s">
        <v>#N/A N/A</v>
        <stp/>
        <stp>BDP|10125419364800954692</stp>
        <tr r="E2026" s="2"/>
      </tp>
      <tp t="s">
        <v>#N/A N/A</v>
        <stp/>
        <stp>BDP|10501573649913864678</stp>
        <tr r="T922" s="2"/>
      </tp>
      <tp t="s">
        <v>#N/A N/A</v>
        <stp/>
        <stp>BDP|10213568605188774914</stp>
        <tr r="G1274" s="2"/>
      </tp>
      <tp t="s">
        <v>#N/A N/A</v>
        <stp/>
        <stp>BDP|14019690557913037090</stp>
        <tr r="S995" s="2"/>
      </tp>
      <tp t="s">
        <v>#N/A N/A</v>
        <stp/>
        <stp>BDP|14242804784806540647</stp>
        <tr r="S1421" s="2"/>
      </tp>
      <tp t="s">
        <v>#N/A N/A</v>
        <stp/>
        <stp>BDP|15594460665795448651</stp>
        <tr r="K2102" s="2"/>
      </tp>
      <tp t="s">
        <v>#N/A N/A</v>
        <stp/>
        <stp>BDP|11075924114834879996</stp>
        <tr r="M1733" s="2"/>
      </tp>
      <tp t="s">
        <v>#N/A N/A</v>
        <stp/>
        <stp>BDP|12692975972731302971</stp>
        <tr r="T158" s="2"/>
      </tp>
      <tp t="s">
        <v>#N/A N/A</v>
        <stp/>
        <stp>BDP|12439733532951769355</stp>
        <tr r="T1858" s="2"/>
      </tp>
      <tp t="s">
        <v>#N/A N/A</v>
        <stp/>
        <stp>BDP|18211018052490634907</stp>
        <tr r="H1498" s="2"/>
      </tp>
      <tp t="s">
        <v>#N/A N/A</v>
        <stp/>
        <stp>BDP|16926531248486073559</stp>
        <tr r="F130" s="2"/>
      </tp>
      <tp t="s">
        <v>#N/A N/A</v>
        <stp/>
        <stp>BDP|12542005461286026638</stp>
        <tr r="S703" s="2"/>
      </tp>
      <tp t="s">
        <v>#N/A N/A</v>
        <stp/>
        <stp>BDP|13742373756851207036</stp>
        <tr r="T1130" s="2"/>
      </tp>
      <tp t="s">
        <v>#N/A N/A</v>
        <stp/>
        <stp>BDP|18082726191530160254</stp>
        <tr r="D1603" s="2"/>
      </tp>
      <tp t="s">
        <v>#N/A N/A</v>
        <stp/>
        <stp>BDP|16669342577344074228</stp>
        <tr r="H347" s="2"/>
      </tp>
      <tp t="s">
        <v>#N/A N/A</v>
        <stp/>
        <stp>BDP|14362510123600009768</stp>
        <tr r="R966" s="2"/>
      </tp>
      <tp t="s">
        <v>#N/A N/A</v>
        <stp/>
        <stp>BDP|18067545552515866998</stp>
        <tr r="F975" s="2"/>
      </tp>
      <tp t="s">
        <v>#N/A N/A</v>
        <stp/>
        <stp>BDP|14482979979089883751</stp>
        <tr r="E1475" s="2"/>
      </tp>
      <tp t="s">
        <v>#N/A N/A</v>
        <stp/>
        <stp>BDP|10153870586477712308</stp>
        <tr r="K562" s="2"/>
      </tp>
      <tp t="s">
        <v>#N/A N/A</v>
        <stp/>
        <stp>BDP|12014437448046818048</stp>
        <tr r="G1822" s="2"/>
      </tp>
      <tp t="s">
        <v>#N/A N/A</v>
        <stp/>
        <stp>BDP|12300449191132065911</stp>
        <tr r="O2166" s="2"/>
      </tp>
      <tp t="s">
        <v>#N/A N/A</v>
        <stp/>
        <stp>BDP|14812759569372337307</stp>
        <tr r="F2027" s="2"/>
      </tp>
      <tp t="s">
        <v>#N/A N/A</v>
        <stp/>
        <stp>BDS|13816114038333617638</stp>
        <tr r="I216" s="2"/>
      </tp>
      <tp t="s">
        <v>#N/A N/A</v>
        <stp/>
        <stp>BDP|16203241617635608409</stp>
        <tr r="T424" s="2"/>
      </tp>
      <tp t="s">
        <v>#N/A N/A</v>
        <stp/>
        <stp>BDP|14648320376485169148</stp>
        <tr r="N983" s="2"/>
      </tp>
      <tp t="s">
        <v>#N/A N/A</v>
        <stp/>
        <stp>BDP|15173919192696041752</stp>
        <tr r="O92" s="2"/>
      </tp>
      <tp t="s">
        <v>#N/A N/A</v>
        <stp/>
        <stp>BDP|17505246525500143329</stp>
        <tr r="R198" s="2"/>
      </tp>
      <tp t="s">
        <v>#N/A N/A</v>
        <stp/>
        <stp>BDP|16068424047490213209</stp>
        <tr r="Q2079" s="2"/>
      </tp>
      <tp t="s">
        <v>#N/A N/A</v>
        <stp/>
        <stp>BDP|17415436030644059009</stp>
        <tr r="O991" s="2"/>
      </tp>
      <tp t="s">
        <v>#N/A N/A</v>
        <stp/>
        <stp>BDP|12140874471480219928</stp>
        <tr r="S798" s="2"/>
      </tp>
      <tp t="s">
        <v>#N/A N/A</v>
        <stp/>
        <stp>BDP|15733150328947528584</stp>
        <tr r="R676" s="2"/>
      </tp>
      <tp t="s">
        <v>#N/A N/A</v>
        <stp/>
        <stp>BDP|14451200033660479148</stp>
        <tr r="E1470" s="2"/>
      </tp>
      <tp t="s">
        <v>#N/A N/A</v>
        <stp/>
        <stp>BDP|17325336060232023478</stp>
        <tr r="N1091" s="2"/>
      </tp>
      <tp t="s">
        <v>#N/A N/A</v>
        <stp/>
        <stp>BDS|17725749670095108667</stp>
        <tr r="I1627" s="2"/>
      </tp>
      <tp t="s">
        <v>#N/A N/A</v>
        <stp/>
        <stp>BDP|10111190789389322453</stp>
        <tr r="M2055" s="2"/>
      </tp>
      <tp t="s">
        <v>#N/A N/A</v>
        <stp/>
        <stp>BDP|12583356242886441711</stp>
        <tr r="O1113" s="2"/>
      </tp>
      <tp t="s">
        <v>#N/A N/A</v>
        <stp/>
        <stp>BDP|10579353630315444130</stp>
        <tr r="K917" s="2"/>
      </tp>
      <tp t="s">
        <v>#N/A N/A</v>
        <stp/>
        <stp>BDP|14666721473704518452</stp>
        <tr r="F1936" s="2"/>
      </tp>
      <tp t="s">
        <v>#N/A N/A</v>
        <stp/>
        <stp>BDP|15386122716989163816</stp>
        <tr r="N1520" s="2"/>
      </tp>
      <tp t="s">
        <v>#N/A N/A</v>
        <stp/>
        <stp>BDP|15251497440728800946</stp>
        <tr r="C2022" s="2"/>
      </tp>
      <tp t="s">
        <v>#N/A N/A</v>
        <stp/>
        <stp>BDP|16383348601522341322</stp>
        <tr r="N30" s="2"/>
      </tp>
      <tp t="s">
        <v>#N/A N/A</v>
        <stp/>
        <stp>BDP|12559460346377571173</stp>
        <tr r="N259" s="2"/>
      </tp>
      <tp t="s">
        <v>#N/A N/A</v>
        <stp/>
        <stp>BDP|10581394968148672958</stp>
        <tr r="J1093" s="2"/>
      </tp>
      <tp t="s">
        <v>#N/A N/A</v>
        <stp/>
        <stp>BDP|16513826731258564141</stp>
        <tr r="H2208" s="2"/>
      </tp>
      <tp t="s">
        <v>#N/A N/A</v>
        <stp/>
        <stp>BDP|15002222629157445685</stp>
        <tr r="O1498" s="2"/>
      </tp>
      <tp t="s">
        <v>#N/A N/A</v>
        <stp/>
        <stp>BDP|17131206600450655106</stp>
        <tr r="H1219" s="2"/>
      </tp>
      <tp t="s">
        <v>#N/A N/A</v>
        <stp/>
        <stp>BDP|15894126729211390376</stp>
        <tr r="H2238" s="2"/>
      </tp>
      <tp t="s">
        <v>#N/A N/A</v>
        <stp/>
        <stp>BDP|17776295249173701671</stp>
        <tr r="J221" s="2"/>
      </tp>
      <tp t="s">
        <v>#N/A N/A</v>
        <stp/>
        <stp>BDP|10159573841476309333</stp>
        <tr r="P1787" s="2"/>
      </tp>
      <tp t="s">
        <v>#N/A N/A</v>
        <stp/>
        <stp>BDP|11244342041346229426</stp>
        <tr r="R850" s="2"/>
      </tp>
      <tp t="s">
        <v>#N/A N/A</v>
        <stp/>
        <stp>BDP|17209617037566756046</stp>
        <tr r="O760" s="2"/>
      </tp>
      <tp t="s">
        <v>#N/A N/A</v>
        <stp/>
        <stp>BDP|17372485639016014252</stp>
        <tr r="H991" s="2"/>
      </tp>
      <tp t="s">
        <v>#N/A N/A</v>
        <stp/>
        <stp>BDP|14764683000173850500</stp>
        <tr r="Q943" s="2"/>
      </tp>
      <tp t="s">
        <v>#N/A N/A</v>
        <stp/>
        <stp>BDP|14460480927225904354</stp>
        <tr r="M132" s="2"/>
      </tp>
      <tp t="s">
        <v>#N/A N/A</v>
        <stp/>
        <stp>BDP|11551334385186081848</stp>
        <tr r="O1559" s="2"/>
      </tp>
      <tp t="s">
        <v>#N/A N/A</v>
        <stp/>
        <stp>BDP|11317936769722867866</stp>
        <tr r="T817" s="2"/>
      </tp>
      <tp t="s">
        <v>#N/A N/A</v>
        <stp/>
        <stp>BDP|15458120070543759465</stp>
        <tr r="R404" s="2"/>
      </tp>
      <tp t="s">
        <v>#N/A N/A</v>
        <stp/>
        <stp>BDP|15530708739947307282</stp>
        <tr r="Q625" s="2"/>
      </tp>
      <tp t="s">
        <v>#N/A N/A</v>
        <stp/>
        <stp>BDP|16139159863670996595</stp>
        <tr r="F68" s="2"/>
      </tp>
      <tp t="s">
        <v>#N/A N/A</v>
        <stp/>
        <stp>BDP|11916482124430429362</stp>
        <tr r="E605" s="2"/>
      </tp>
      <tp t="s">
        <v>#N/A N/A</v>
        <stp/>
        <stp>BDP|13414067332281302543</stp>
        <tr r="R1897" s="2"/>
      </tp>
      <tp t="s">
        <v>#N/A N/A</v>
        <stp/>
        <stp>BDS|16046796501770469584</stp>
        <tr r="I473" s="2"/>
      </tp>
      <tp t="s">
        <v>#N/A N/A</v>
        <stp/>
        <stp>BDP|12011920750129662331</stp>
        <tr r="G649" s="2"/>
      </tp>
      <tp t="s">
        <v>#N/A N/A</v>
        <stp/>
        <stp>BDP|18185904966732691164</stp>
        <tr r="T1443" s="2"/>
      </tp>
      <tp t="s">
        <v>#N/A N/A</v>
        <stp/>
        <stp>BDP|15212185918146776724</stp>
        <tr r="D1215" s="2"/>
      </tp>
      <tp t="s">
        <v>#N/A N/A</v>
        <stp/>
        <stp>BDP|15946610098687247950</stp>
        <tr r="O2051" s="2"/>
      </tp>
      <tp t="s">
        <v>#N/A N/A</v>
        <stp/>
        <stp>BDP|13703682373331233794</stp>
        <tr r="C560" s="2"/>
      </tp>
      <tp t="s">
        <v>#N/A N/A</v>
        <stp/>
        <stp>BDP|15464173031856121549</stp>
        <tr r="H1309" s="2"/>
      </tp>
      <tp t="s">
        <v>#N/A N/A</v>
        <stp/>
        <stp>BDP|18127411671586569936</stp>
        <tr r="F2191" s="2"/>
      </tp>
      <tp t="s">
        <v>#N/A N/A</v>
        <stp/>
        <stp>BDP|13409073907092514567</stp>
        <tr r="G996" s="2"/>
      </tp>
      <tp t="s">
        <v>#N/A N/A</v>
        <stp/>
        <stp>BDP|10761316220294946183</stp>
        <tr r="R1228" s="2"/>
      </tp>
      <tp t="s">
        <v>#N/A N/A</v>
        <stp/>
        <stp>BDP|11454054151684161464</stp>
        <tr r="O1496" s="2"/>
      </tp>
      <tp t="s">
        <v>#N/A N/A</v>
        <stp/>
        <stp>BDP|12902176435783902754</stp>
        <tr r="Q329" s="2"/>
      </tp>
      <tp t="s">
        <v>#N/A N/A</v>
        <stp/>
        <stp>BDP|14723530836107434115</stp>
        <tr r="K1162" s="2"/>
      </tp>
      <tp t="s">
        <v>#N/A N/A</v>
        <stp/>
        <stp>BDP|14608565272403641130</stp>
        <tr r="M880" s="2"/>
      </tp>
      <tp t="s">
        <v>#N/A N/A</v>
        <stp/>
        <stp>BDP|12234654233094228710</stp>
        <tr r="F1802" s="2"/>
      </tp>
      <tp t="s">
        <v>#N/A N/A</v>
        <stp/>
        <stp>BDP|14152888918149609009</stp>
        <tr r="G1065" s="2"/>
      </tp>
      <tp t="s">
        <v>#N/A N/A</v>
        <stp/>
        <stp>BDP|12413169754330074219</stp>
        <tr r="K382" s="2"/>
      </tp>
      <tp t="s">
        <v>#N/A N/A</v>
        <stp/>
        <stp>BDP|10598126047320508129</stp>
        <tr r="E955" s="2"/>
      </tp>
      <tp t="s">
        <v>#N/A N/A</v>
        <stp/>
        <stp>BDS|16413728709644889133</stp>
        <tr r="I726" s="2"/>
      </tp>
      <tp t="s">
        <v>#N/A N/A</v>
        <stp/>
        <stp>BDP|17691501776548707909</stp>
        <tr r="E366" s="2"/>
      </tp>
      <tp t="s">
        <v>#N/A N/A</v>
        <stp/>
        <stp>BDP|12051156169133222294</stp>
        <tr r="Q713" s="2"/>
      </tp>
      <tp t="s">
        <v>#N/A N/A</v>
        <stp/>
        <stp>BDP|14925122609348257972</stp>
        <tr r="P536" s="2"/>
      </tp>
      <tp t="s">
        <v>#N/A N/A</v>
        <stp/>
        <stp>BDP|14582513376654552613</stp>
        <tr r="T324" s="2"/>
      </tp>
      <tp t="s">
        <v>#N/A N/A</v>
        <stp/>
        <stp>BDP|14488121210952480242</stp>
        <tr r="R2064" s="2"/>
      </tp>
      <tp t="s">
        <v>#N/A N/A</v>
        <stp/>
        <stp>BDP|17716203931213886182</stp>
        <tr r="C501" s="2"/>
      </tp>
      <tp t="s">
        <v>#N/A N/A</v>
        <stp/>
        <stp>BDP|13272668829307810437</stp>
        <tr r="A471" s="2"/>
      </tp>
      <tp t="s">
        <v>#N/A N/A</v>
        <stp/>
        <stp>BDP|10138327487429639649</stp>
        <tr r="O1538" s="2"/>
      </tp>
      <tp t="s">
        <v>#N/A N/A</v>
        <stp/>
        <stp>BDP|12359623807248593857</stp>
        <tr r="A1429" s="2"/>
      </tp>
      <tp t="s">
        <v>#N/A N/A</v>
        <stp/>
        <stp>BDP|17551570914636227128</stp>
        <tr r="G1630" s="2"/>
      </tp>
      <tp t="s">
        <v>#N/A N/A</v>
        <stp/>
        <stp>BDS|14666817537903197848</stp>
        <tr r="I518" s="2"/>
      </tp>
      <tp t="s">
        <v>#N/A N/A</v>
        <stp/>
        <stp>BDP|13769288032814263298</stp>
        <tr r="Q1737" s="2"/>
      </tp>
      <tp t="s">
        <v>#N/A N/A</v>
        <stp/>
        <stp>BDP|11891583811760445131</stp>
        <tr r="K1073" s="2"/>
      </tp>
      <tp t="s">
        <v>#N/A N/A</v>
        <stp/>
        <stp>BDP|17912018079797669310</stp>
        <tr r="K1401" s="2"/>
      </tp>
      <tp t="s">
        <v>#N/A N/A</v>
        <stp/>
        <stp>BDP|12091030346554168625</stp>
        <tr r="S2098" s="2"/>
      </tp>
      <tp t="s">
        <v>#N/A N/A</v>
        <stp/>
        <stp>BDP|12227271361125299704</stp>
        <tr r="J778" s="2"/>
      </tp>
      <tp t="s">
        <v>#N/A N/A</v>
        <stp/>
        <stp>BDP|13106544521004036428</stp>
        <tr r="C36" s="2"/>
      </tp>
      <tp t="s">
        <v>#N/A N/A</v>
        <stp/>
        <stp>BDP|17456258173564526215</stp>
        <tr r="Q814" s="2"/>
      </tp>
      <tp t="s">
        <v>#N/A N/A</v>
        <stp/>
        <stp>BDP|12572158021407644210</stp>
        <tr r="D843" s="2"/>
      </tp>
      <tp t="s">
        <v>#N/A N/A</v>
        <stp/>
        <stp>BDP|17051438465257866686</stp>
        <tr r="O397" s="2"/>
      </tp>
      <tp t="s">
        <v>#N/A N/A</v>
        <stp/>
        <stp>BDP|12839428650061408684</stp>
        <tr r="Q1775" s="2"/>
      </tp>
      <tp t="s">
        <v>#N/A N/A</v>
        <stp/>
        <stp>BDP|16461192055873844567</stp>
        <tr r="F1084" s="2"/>
      </tp>
      <tp t="s">
        <v>#N/A N/A</v>
        <stp/>
        <stp>BDS|17392853719803990935</stp>
        <tr r="I1462" s="2"/>
      </tp>
      <tp t="s">
        <v>#N/A N/A</v>
        <stp/>
        <stp>BDP|14039703272991222165</stp>
        <tr r="P1723" s="2"/>
      </tp>
      <tp t="s">
        <v>#N/A N/A</v>
        <stp/>
        <stp>BDP|13302029552187445511</stp>
        <tr r="A894" s="2"/>
      </tp>
      <tp t="s">
        <v>#N/A N/A</v>
        <stp/>
        <stp>BDS|17629705131157039028</stp>
        <tr r="I2138" s="2"/>
      </tp>
      <tp t="s">
        <v>#N/A N/A</v>
        <stp/>
        <stp>BDP|14185120780840641939</stp>
        <tr r="A1028" s="2"/>
      </tp>
      <tp t="s">
        <v>#N/A N/A</v>
        <stp/>
        <stp>BDP|16427353117337063709</stp>
        <tr r="A661" s="2"/>
      </tp>
      <tp t="s">
        <v>#N/A N/A</v>
        <stp/>
        <stp>BDP|17383011552964746219</stp>
        <tr r="H1193" s="2"/>
      </tp>
      <tp t="s">
        <v>#N/A N/A</v>
        <stp/>
        <stp>BDP|13863365279844028715</stp>
        <tr r="F1722" s="2"/>
      </tp>
      <tp t="s">
        <v>#N/A N/A</v>
        <stp/>
        <stp>BDP|14725707111351428748</stp>
        <tr r="Q204" s="2"/>
      </tp>
      <tp t="s">
        <v>#N/A N/A</v>
        <stp/>
        <stp>BDP|14568736496146353858</stp>
        <tr r="K21" s="2"/>
      </tp>
      <tp t="s">
        <v>#N/A N/A</v>
        <stp/>
        <stp>BDP|12215479220352668251</stp>
        <tr r="K245" s="2"/>
      </tp>
      <tp t="s">
        <v>#N/A N/A</v>
        <stp/>
        <stp>BDP|16426138217006325454</stp>
        <tr r="P1256" s="2"/>
      </tp>
      <tp t="s">
        <v>#N/A N/A</v>
        <stp/>
        <stp>BDP|13270264148264347599</stp>
        <tr r="P894" s="2"/>
      </tp>
      <tp t="s">
        <v>#N/A N/A</v>
        <stp/>
        <stp>BDP|11764879022147073845</stp>
        <tr r="R1558" s="2"/>
      </tp>
      <tp t="s">
        <v>#N/A N/A</v>
        <stp/>
        <stp>BDP|13993616152186508292</stp>
        <tr r="F1984" s="2"/>
      </tp>
      <tp t="s">
        <v>#N/A N/A</v>
        <stp/>
        <stp>BDP|10047356877609401907</stp>
        <tr r="C1385" s="2"/>
      </tp>
      <tp t="s">
        <v>#N/A N/A</v>
        <stp/>
        <stp>BDS|15723327297543521821</stp>
        <tr r="I172" s="2"/>
      </tp>
      <tp t="s">
        <v>#N/A N/A</v>
        <stp/>
        <stp>BDP|15199248811036042426</stp>
        <tr r="D1263" s="2"/>
      </tp>
      <tp t="s">
        <v>#N/A N/A</v>
        <stp/>
        <stp>BDP|13148779872253056429</stp>
        <tr r="F919" s="2"/>
      </tp>
      <tp t="s">
        <v>#N/A N/A</v>
        <stp/>
        <stp>BDP|12642145170065608523</stp>
        <tr r="J2217" s="2"/>
      </tp>
      <tp t="s">
        <v>#N/A N/A</v>
        <stp/>
        <stp>BDP|11729766645032400466</stp>
        <tr r="H286" s="2"/>
      </tp>
      <tp t="s">
        <v>#N/A N/A</v>
        <stp/>
        <stp>BDS|13141779640850158422</stp>
        <tr r="I1954" s="2"/>
      </tp>
      <tp t="s">
        <v>#N/A N/A</v>
        <stp/>
        <stp>BDP|18364502291136551612</stp>
        <tr r="H1487" s="2"/>
      </tp>
      <tp t="s">
        <v>#N/A N/A</v>
        <stp/>
        <stp>BDP|12767625221157087528</stp>
        <tr r="H329" s="2"/>
      </tp>
      <tp t="s">
        <v>#N/A N/A</v>
        <stp/>
        <stp>BDP|15233493203406700396</stp>
        <tr r="G290" s="2"/>
      </tp>
      <tp t="s">
        <v>#N/A N/A</v>
        <stp/>
        <stp>BDP|16270494620792936646</stp>
        <tr r="R217" s="2"/>
      </tp>
      <tp t="s">
        <v>#N/A N/A</v>
        <stp/>
        <stp>BDP|10257709484928829386</stp>
        <tr r="A1252" s="2"/>
      </tp>
      <tp t="s">
        <v>#N/A N/A</v>
        <stp/>
        <stp>BDP|11127681364365358084</stp>
        <tr r="K1488" s="2"/>
      </tp>
      <tp t="s">
        <v>#N/A N/A</v>
        <stp/>
        <stp>BDP|12748914691054388229</stp>
        <tr r="K1275" s="2"/>
      </tp>
      <tp t="s">
        <v>#N/A N/A</v>
        <stp/>
        <stp>BDP|13266568218883964030</stp>
        <tr r="R418" s="2"/>
      </tp>
      <tp t="s">
        <v>#N/A N/A</v>
        <stp/>
        <stp>BDP|17992146555375697285</stp>
        <tr r="N930" s="2"/>
      </tp>
      <tp t="s">
        <v>#N/A N/A</v>
        <stp/>
        <stp>BDP|15072187338304340757</stp>
        <tr r="F1667" s="2"/>
      </tp>
      <tp t="s">
        <v>#N/A N/A</v>
        <stp/>
        <stp>BDP|14071141343403771665</stp>
        <tr r="R1349" s="2"/>
      </tp>
      <tp t="s">
        <v>#N/A N/A</v>
        <stp/>
        <stp>BDP|16047191360310806576</stp>
        <tr r="P2058" s="2"/>
      </tp>
      <tp t="s">
        <v>#N/A N/A</v>
        <stp/>
        <stp>BDP|17452504207124400210</stp>
        <tr r="Q1667" s="2"/>
      </tp>
      <tp t="s">
        <v>#N/A N/A</v>
        <stp/>
        <stp>BDP|13478296072847895517</stp>
        <tr r="Q1101" s="2"/>
      </tp>
      <tp t="s">
        <v>#N/A N/A</v>
        <stp/>
        <stp>BDP|14918344815913798192</stp>
        <tr r="S649" s="2"/>
      </tp>
      <tp t="s">
        <v>#N/A N/A</v>
        <stp/>
        <stp>BDP|12787498727115649592</stp>
        <tr r="A1554" s="2"/>
      </tp>
      <tp t="s">
        <v>#N/A N/A</v>
        <stp/>
        <stp>BDP|15310264570667566362</stp>
        <tr r="H126" s="2"/>
      </tp>
      <tp t="s">
        <v>#N/A N/A</v>
        <stp/>
        <stp>BDS|14016633033042105745</stp>
        <tr r="I334" s="2"/>
      </tp>
      <tp t="s">
        <v>#N/A N/A</v>
        <stp/>
        <stp>BDP|11763401624297340467</stp>
        <tr r="A193" s="2"/>
      </tp>
      <tp t="s">
        <v>#N/A N/A</v>
        <stp/>
        <stp>BDP|17205766602683067700</stp>
        <tr r="F1620" s="2"/>
      </tp>
      <tp t="s">
        <v>#N/A N/A</v>
        <stp/>
        <stp>BDP|13438817012757154900</stp>
        <tr r="S1224" s="2"/>
      </tp>
      <tp t="s">
        <v>#N/A N/A</v>
        <stp/>
        <stp>BDP|13083420276093460768</stp>
        <tr r="E968" s="2"/>
      </tp>
      <tp t="s">
        <v>#N/A N/A</v>
        <stp/>
        <stp>BDP|10032889265943250990</stp>
        <tr r="D649" s="2"/>
      </tp>
      <tp t="s">
        <v>#N/A N/A</v>
        <stp/>
        <stp>BDP|15745534142289128916</stp>
        <tr r="J522" s="2"/>
      </tp>
      <tp t="s">
        <v>#N/A N/A</v>
        <stp/>
        <stp>BDP|10294106579840884259</stp>
        <tr r="P1741" s="2"/>
      </tp>
      <tp t="s">
        <v>#N/A N/A</v>
        <stp/>
        <stp>BDP|13428439631765195510</stp>
        <tr r="P1046" s="2"/>
      </tp>
      <tp t="s">
        <v>#N/A N/A</v>
        <stp/>
        <stp>BDP|10359159031340598643</stp>
        <tr r="M1346" s="2"/>
      </tp>
      <tp t="s">
        <v>#N/A N/A</v>
        <stp/>
        <stp>BDP|14718423444192232255</stp>
        <tr r="P1421" s="2"/>
      </tp>
      <tp t="s">
        <v>#N/A N/A</v>
        <stp/>
        <stp>BDP|17075033921592102354</stp>
        <tr r="C544" s="2"/>
      </tp>
      <tp t="s">
        <v>#N/A N/A</v>
        <stp/>
        <stp>BDP|12674263234062041525</stp>
        <tr r="F1875" s="2"/>
      </tp>
      <tp t="s">
        <v>#N/A N/A</v>
        <stp/>
        <stp>BDP|10244652535507141652</stp>
        <tr r="T631" s="2"/>
      </tp>
      <tp t="s">
        <v>#N/A N/A</v>
        <stp/>
        <stp>BDP|15013560441548800891</stp>
        <tr r="J1947" s="2"/>
      </tp>
      <tp t="s">
        <v>#N/A N/A</v>
        <stp/>
        <stp>BDP|11146657001694322703</stp>
        <tr r="T1791" s="2"/>
      </tp>
      <tp t="s">
        <v>#N/A N/A</v>
        <stp/>
        <stp>BDP|12996098243496371466</stp>
        <tr r="A2241" s="2"/>
      </tp>
      <tp t="s">
        <v>#N/A N/A</v>
        <stp/>
        <stp>BDP|15151732880477502917</stp>
        <tr r="F216" s="2"/>
      </tp>
      <tp t="s">
        <v>#N/A N/A</v>
        <stp/>
        <stp>BDP|13374054860286241721</stp>
        <tr r="A1706" s="2"/>
      </tp>
      <tp t="s">
        <v>#N/A N/A</v>
        <stp/>
        <stp>BDP|14843957583851176098</stp>
        <tr r="E2072" s="2"/>
      </tp>
      <tp t="s">
        <v>#N/A N/A</v>
        <stp/>
        <stp>BDP|18364625632029004057</stp>
        <tr r="D1977" s="2"/>
      </tp>
      <tp t="s">
        <v>#N/A N/A</v>
        <stp/>
        <stp>BDP|17561392311157990628</stp>
        <tr r="D981" s="2"/>
      </tp>
      <tp t="s">
        <v>#N/A N/A</v>
        <stp/>
        <stp>BDP|12561141252065304763</stp>
        <tr r="F634" s="2"/>
      </tp>
      <tp t="s">
        <v>#N/A N/A</v>
        <stp/>
        <stp>BDP|17617551333126007365</stp>
        <tr r="R1106" s="2"/>
      </tp>
      <tp t="s">
        <v>#N/A N/A</v>
        <stp/>
        <stp>BDP|11907310359437627412</stp>
        <tr r="O908" s="2"/>
      </tp>
      <tp t="s">
        <v>#N/A N/A</v>
        <stp/>
        <stp>BDP|10254316812271219754</stp>
        <tr r="E1610" s="2"/>
      </tp>
      <tp t="s">
        <v>#N/A N/A</v>
        <stp/>
        <stp>BDP|15170779062851337111</stp>
        <tr r="C1097" s="2"/>
      </tp>
      <tp t="s">
        <v>#N/A N/A</v>
        <stp/>
        <stp>BDP|16378284454352396652</stp>
        <tr r="H1846" s="2"/>
      </tp>
      <tp t="s">
        <v>#N/A N/A</v>
        <stp/>
        <stp>BDS|12082668005833875214</stp>
        <tr r="I1870" s="2"/>
      </tp>
      <tp t="s">
        <v>#N/A N/A</v>
        <stp/>
        <stp>BDP|11003469553951883443</stp>
        <tr r="S1769" s="2"/>
      </tp>
      <tp t="s">
        <v>#N/A N/A</v>
        <stp/>
        <stp>BDP|10362313639903457662</stp>
        <tr r="S1564" s="2"/>
      </tp>
      <tp t="s">
        <v>#N/A N/A</v>
        <stp/>
        <stp>BDP|15309037810309885816</stp>
        <tr r="J1720" s="2"/>
      </tp>
      <tp t="s">
        <v>#N/A N/A</v>
        <stp/>
        <stp>BDP|17877728055529482928</stp>
        <tr r="J1272" s="2"/>
      </tp>
      <tp t="s">
        <v>#N/A N/A</v>
        <stp/>
        <stp>BDP|10807279455646238415</stp>
        <tr r="K388" s="2"/>
      </tp>
      <tp t="s">
        <v>#N/A N/A</v>
        <stp/>
        <stp>BDP|16918447485987510847</stp>
        <tr r="C1130" s="2"/>
      </tp>
      <tp t="s">
        <v>#N/A N/A</v>
        <stp/>
        <stp>BDP|14377514558954400573</stp>
        <tr r="H696" s="2"/>
      </tp>
      <tp t="s">
        <v>#N/A N/A</v>
        <stp/>
        <stp>BDP|18038448674498126684</stp>
        <tr r="K683" s="2"/>
      </tp>
      <tp t="s">
        <v>#N/A N/A</v>
        <stp/>
        <stp>BDP|11182360991177711980</stp>
        <tr r="G1077" s="2"/>
      </tp>
      <tp t="s">
        <v>#N/A N/A</v>
        <stp/>
        <stp>BDP|14019199215912003359</stp>
        <tr r="N448" s="2"/>
      </tp>
      <tp t="s">
        <v>#N/A N/A</v>
        <stp/>
        <stp>BDP|12646098551637446536</stp>
        <tr r="K31" s="2"/>
      </tp>
      <tp t="s">
        <v>#N/A N/A</v>
        <stp/>
        <stp>BDP|12598420521263977263</stp>
        <tr r="O837" s="2"/>
      </tp>
      <tp t="s">
        <v>#N/A N/A</v>
        <stp/>
        <stp>BDP|17922029845802744408</stp>
        <tr r="K198" s="2"/>
      </tp>
      <tp t="s">
        <v>#N/A N/A</v>
        <stp/>
        <stp>BDP|11127361169775628419</stp>
        <tr r="M1172" s="2"/>
      </tp>
      <tp t="s">
        <v>#N/A N/A</v>
        <stp/>
        <stp>BDP|17425664988978013431</stp>
        <tr r="K1138" s="2"/>
      </tp>
      <tp t="s">
        <v>#N/A N/A</v>
        <stp/>
        <stp>BDP|17787631800824987046</stp>
        <tr r="M1033" s="2"/>
      </tp>
      <tp t="s">
        <v>#N/A N/A</v>
        <stp/>
        <stp>BDP|17344087340465085320</stp>
        <tr r="O1728" s="2"/>
      </tp>
      <tp t="s">
        <v>#N/A N/A</v>
        <stp/>
        <stp>BDP|15279078843927814378</stp>
        <tr r="S1555" s="2"/>
      </tp>
      <tp t="s">
        <v>#N/A N/A</v>
        <stp/>
        <stp>BDP|16014712345218460898</stp>
        <tr r="T1603" s="2"/>
      </tp>
      <tp t="s">
        <v>#N/A N/A</v>
        <stp/>
        <stp>BDP|16776709508573564732</stp>
        <tr r="F751" s="2"/>
      </tp>
      <tp t="s">
        <v>#N/A N/A</v>
        <stp/>
        <stp>BDP|12888098135494921048</stp>
        <tr r="H1492" s="2"/>
      </tp>
      <tp t="s">
        <v>#N/A N/A</v>
        <stp/>
        <stp>BDP|11768571094931856956</stp>
        <tr r="G982" s="2"/>
      </tp>
      <tp t="s">
        <v>#N/A N/A</v>
        <stp/>
        <stp>BDP|10280712388202237806</stp>
        <tr r="M1903" s="2"/>
      </tp>
      <tp t="s">
        <v>#N/A N/A</v>
        <stp/>
        <stp>BDP|16193465926485946011</stp>
        <tr r="C208" s="2"/>
      </tp>
      <tp t="s">
        <v>#N/A N/A</v>
        <stp/>
        <stp>BDP|16901969692426251565</stp>
        <tr r="M2129" s="2"/>
      </tp>
      <tp t="s">
        <v>#N/A N/A</v>
        <stp/>
        <stp>BDP|10107597604855128541</stp>
        <tr r="C32" s="2"/>
      </tp>
      <tp t="s">
        <v>#N/A N/A</v>
        <stp/>
        <stp>BDP|16670733916406993335</stp>
        <tr r="H1352" s="2"/>
      </tp>
      <tp t="s">
        <v>#N/A N/A</v>
        <stp/>
        <stp>BDP|14447754033042396785</stp>
        <tr r="A1915" s="2"/>
      </tp>
      <tp t="s">
        <v>#N/A N/A</v>
        <stp/>
        <stp>BDP|11035236772423951218</stp>
        <tr r="C347" s="2"/>
      </tp>
      <tp t="s">
        <v>#N/A N/A</v>
        <stp/>
        <stp>BDP|13852537501476222517</stp>
        <tr r="Q606" s="2"/>
      </tp>
      <tp t="s">
        <v>#N/A N/A</v>
        <stp/>
        <stp>BDP|11596879355758965173</stp>
        <tr r="T1013" s="2"/>
      </tp>
      <tp t="s">
        <v>#N/A N/A</v>
        <stp/>
        <stp>BDP|16488689584289177406</stp>
        <tr r="O1175" s="2"/>
      </tp>
      <tp t="s">
        <v>#N/A N/A</v>
        <stp/>
        <stp>BDP|10819650493169235352</stp>
        <tr r="R221" s="2"/>
      </tp>
      <tp t="s">
        <v>#N/A N/A</v>
        <stp/>
        <stp>BDP|14304202922472123395</stp>
        <tr r="T862" s="2"/>
      </tp>
      <tp t="s">
        <v>#N/A N/A</v>
        <stp/>
        <stp>BDP|15313782300104329311</stp>
        <tr r="A461" s="2"/>
      </tp>
      <tp t="s">
        <v>#N/A N/A</v>
        <stp/>
        <stp>BDP|17896177441725709208</stp>
        <tr r="K1120" s="2"/>
      </tp>
      <tp t="s">
        <v>#N/A N/A</v>
        <stp/>
        <stp>BDP|10692684472064658039</stp>
        <tr r="M1441" s="2"/>
      </tp>
      <tp t="s">
        <v>#N/A N/A</v>
        <stp/>
        <stp>BDP|10996137750275583465</stp>
        <tr r="D406" s="2"/>
      </tp>
      <tp t="s">
        <v>#N/A N/A</v>
        <stp/>
        <stp>BDP|11842404462934503268</stp>
        <tr r="T1661" s="2"/>
      </tp>
      <tp t="s">
        <v>#N/A N/A</v>
        <stp/>
        <stp>BDP|15139289856663151478</stp>
        <tr r="E1724" s="2"/>
      </tp>
      <tp t="s">
        <v>#N/A N/A</v>
        <stp/>
        <stp>BDP|13631692015180105120</stp>
        <tr r="N687" s="2"/>
      </tp>
      <tp t="s">
        <v>#N/A N/A</v>
        <stp/>
        <stp>BDP|14013683315397062147</stp>
        <tr r="P2165" s="2"/>
      </tp>
      <tp t="s">
        <v>#N/A N/A</v>
        <stp/>
        <stp>BDP|15628904336303830916</stp>
        <tr r="F714" s="2"/>
      </tp>
      <tp t="s">
        <v>#N/A N/A</v>
        <stp/>
        <stp>BDP|13600407473186409386</stp>
        <tr r="K2076" s="2"/>
      </tp>
      <tp t="s">
        <v>#N/A N/A</v>
        <stp/>
        <stp>BDP|16710311832284511783</stp>
        <tr r="H1934" s="2"/>
      </tp>
      <tp t="s">
        <v>#N/A N/A</v>
        <stp/>
        <stp>BDP|12119488476950214446</stp>
        <tr r="C159" s="2"/>
      </tp>
      <tp t="s">
        <v>#N/A N/A</v>
        <stp/>
        <stp>BDP|13378096503536961095</stp>
        <tr r="J1269" s="2"/>
      </tp>
      <tp t="s">
        <v>#N/A N/A</v>
        <stp/>
        <stp>BDP|13540038397096184993</stp>
        <tr r="G612" s="2"/>
      </tp>
      <tp t="s">
        <v>#N/A N/A</v>
        <stp/>
        <stp>BDP|14988150231896656522</stp>
        <tr r="M1750" s="2"/>
      </tp>
      <tp t="s">
        <v>#N/A N/A</v>
        <stp/>
        <stp>BDP|15964355320369174840</stp>
        <tr r="H640" s="2"/>
      </tp>
      <tp t="s">
        <v>#N/A N/A</v>
        <stp/>
        <stp>BDP|16578276558824167029</stp>
        <tr r="K440" s="2"/>
      </tp>
      <tp t="s">
        <v>#N/A N/A</v>
        <stp/>
        <stp>BDP|17254474619696130142</stp>
        <tr r="P765" s="2"/>
      </tp>
      <tp t="s">
        <v>#N/A N/A</v>
        <stp/>
        <stp>BDP|11305589506824474500</stp>
        <tr r="Q1208" s="2"/>
      </tp>
      <tp t="s">
        <v>#N/A N/A</v>
        <stp/>
        <stp>BDP|13992209203107446373</stp>
        <tr r="C815" s="2"/>
      </tp>
      <tp t="s">
        <v>#N/A N/A</v>
        <stp/>
        <stp>BDP|13748866489290775661</stp>
        <tr r="P2094" s="2"/>
      </tp>
      <tp t="s">
        <v>#N/A N/A</v>
        <stp/>
        <stp>BDP|13233734145644415196</stp>
        <tr r="O78" s="2"/>
      </tp>
      <tp t="s">
        <v>#N/A N/A</v>
        <stp/>
        <stp>BDP|16906074663032178756</stp>
        <tr r="A1125" s="2"/>
      </tp>
      <tp t="s">
        <v>#N/A N/A</v>
        <stp/>
        <stp>BDP|11955667266096779270</stp>
        <tr r="N2140" s="2"/>
      </tp>
      <tp t="s">
        <v>#N/A N/A</v>
        <stp/>
        <stp>BDP|13362597308270350383</stp>
        <tr r="S167" s="2"/>
      </tp>
      <tp t="s">
        <v>#N/A N/A</v>
        <stp/>
        <stp>BDP|17173081753502467570</stp>
        <tr r="O242" s="2"/>
      </tp>
      <tp t="s">
        <v>#N/A N/A</v>
        <stp/>
        <stp>BDP|16571204562067906077</stp>
        <tr r="M1950" s="2"/>
      </tp>
      <tp t="s">
        <v>#N/A N/A</v>
        <stp/>
        <stp>BDP|17870100950786400054</stp>
        <tr r="R990" s="2"/>
      </tp>
      <tp t="s">
        <v>#N/A N/A</v>
        <stp/>
        <stp>BDP|12996599824768596895</stp>
        <tr r="K1899" s="2"/>
      </tp>
      <tp t="s">
        <v>#N/A N/A</v>
        <stp/>
        <stp>BDP|12706389034610220716</stp>
        <tr r="K1941" s="2"/>
      </tp>
      <tp t="s">
        <v>#N/A N/A</v>
        <stp/>
        <stp>BDP|16786537667523322383</stp>
        <tr r="N1459" s="2"/>
      </tp>
      <tp t="s">
        <v>#N/A N/A</v>
        <stp/>
        <stp>BDP|16314696347621128049</stp>
        <tr r="P2" s="2"/>
      </tp>
      <tp t="s">
        <v>#N/A N/A</v>
        <stp/>
        <stp>BDS|13524401672991995459</stp>
        <tr r="I1367" s="2"/>
      </tp>
      <tp t="s">
        <v>#N/A N/A</v>
        <stp/>
        <stp>BDP|16645180040817733115</stp>
        <tr r="D1788" s="2"/>
      </tp>
      <tp t="s">
        <v>#N/A N/A</v>
        <stp/>
        <stp>BDP|15491782205285146204</stp>
        <tr r="D1704" s="2"/>
      </tp>
      <tp t="s">
        <v>#N/A N/A</v>
        <stp/>
        <stp>BDP|13113494211613494053</stp>
        <tr r="J1842" s="2"/>
      </tp>
      <tp t="s">
        <v>#N/A N/A</v>
        <stp/>
        <stp>BDS|12453259008343040622</stp>
        <tr r="I1973" s="2"/>
      </tp>
      <tp t="s">
        <v>#N/A N/A</v>
        <stp/>
        <stp>BDP|11021218062242275296</stp>
        <tr r="O282" s="2"/>
      </tp>
      <tp t="s">
        <v>#N/A N/A</v>
        <stp/>
        <stp>BDP|13147287066812508023</stp>
        <tr r="G550" s="2"/>
      </tp>
      <tp t="s">
        <v>#N/A N/A</v>
        <stp/>
        <stp>BDP|10940649071193725731</stp>
        <tr r="R595" s="2"/>
      </tp>
      <tp t="s">
        <v>#N/A N/A</v>
        <stp/>
        <stp>BDP|17831265717393893293</stp>
        <tr r="G578" s="2"/>
      </tp>
      <tp t="s">
        <v>#N/A N/A</v>
        <stp/>
        <stp>BDP|13787964838434932884</stp>
        <tr r="A1976" s="2"/>
      </tp>
      <tp t="s">
        <v>#N/A N/A</v>
        <stp/>
        <stp>BDP|11562668466202929640</stp>
        <tr r="N2108" s="2"/>
      </tp>
      <tp t="s">
        <v>#N/A N/A</v>
        <stp/>
        <stp>BDP|15412083919816970743</stp>
        <tr r="E1361" s="2"/>
      </tp>
      <tp t="s">
        <v>#N/A N/A</v>
        <stp/>
        <stp>BDP|12677167205474825258</stp>
        <tr r="E629" s="2"/>
      </tp>
      <tp t="s">
        <v>#N/A N/A</v>
        <stp/>
        <stp>BDP|11851734341576183132</stp>
        <tr r="C1956" s="2"/>
      </tp>
      <tp t="s">
        <v>#N/A N/A</v>
        <stp/>
        <stp>BDP|11784738948847054040</stp>
        <tr r="K620" s="2"/>
      </tp>
      <tp t="s">
        <v>#N/A N/A</v>
        <stp/>
        <stp>BDP|17754134548616486102</stp>
        <tr r="M1208" s="2"/>
      </tp>
      <tp t="s">
        <v>#N/A N/A</v>
        <stp/>
        <stp>BDP|17856038725459152971</stp>
        <tr r="A1457" s="2"/>
      </tp>
      <tp t="s">
        <v>#N/A N/A</v>
        <stp/>
        <stp>BDP|15213797001937671045</stp>
        <tr r="F1222" s="2"/>
      </tp>
      <tp t="s">
        <v>#N/A N/A</v>
        <stp/>
        <stp>BDP|13337477643271686793</stp>
        <tr r="E2024" s="2"/>
      </tp>
      <tp t="s">
        <v>#N/A N/A</v>
        <stp/>
        <stp>BDP|17372297700105257509</stp>
        <tr r="S2070" s="2"/>
      </tp>
      <tp t="s">
        <v>#N/A N/A</v>
        <stp/>
        <stp>BDP|11248263139492498716</stp>
        <tr r="K2224" s="2"/>
      </tp>
      <tp t="s">
        <v>#N/A N/A</v>
        <stp/>
        <stp>BDP|10227405175893774584</stp>
        <tr r="K1877" s="2"/>
      </tp>
      <tp t="s">
        <v>#N/A N/A</v>
        <stp/>
        <stp>BDP|10848778936944011518</stp>
        <tr r="C258" s="2"/>
      </tp>
      <tp t="s">
        <v>#N/A N/A</v>
        <stp/>
        <stp>BDP|13445289288434543891</stp>
        <tr r="T1228" s="2"/>
      </tp>
      <tp t="s">
        <v>#N/A N/A</v>
        <stp/>
        <stp>BDP|16749612809416497337</stp>
        <tr r="O1277" s="2"/>
      </tp>
      <tp t="s">
        <v>#N/A N/A</v>
        <stp/>
        <stp>BDS|16663015578210380475</stp>
        <tr r="I942" s="2"/>
      </tp>
      <tp t="s">
        <v>#N/A N/A</v>
        <stp/>
        <stp>BDP|11974350003641053678</stp>
        <tr r="R1523" s="2"/>
      </tp>
      <tp t="s">
        <v>#N/A N/A</v>
        <stp/>
        <stp>BDP|13938087251313177093</stp>
        <tr r="J629" s="2"/>
      </tp>
      <tp t="s">
        <v>#N/A N/A</v>
        <stp/>
        <stp>BDP|14790134829813217177</stp>
        <tr r="D1394" s="2"/>
      </tp>
      <tp t="s">
        <v>#N/A N/A</v>
        <stp/>
        <stp>BDP|16811336275320149773</stp>
        <tr r="A1541" s="2"/>
      </tp>
      <tp t="s">
        <v>#N/A N/A</v>
        <stp/>
        <stp>BDP|17106074208076148473</stp>
        <tr r="A1527" s="2"/>
      </tp>
      <tp t="s">
        <v>#N/A N/A</v>
        <stp/>
        <stp>BDP|14464446126214967377</stp>
        <tr r="H731" s="2"/>
      </tp>
      <tp t="s">
        <v>#N/A N/A</v>
        <stp/>
        <stp>BDP|12518414055404935200</stp>
        <tr r="J1790" s="2"/>
      </tp>
      <tp t="s">
        <v>#N/A N/A</v>
        <stp/>
        <stp>BDP|17604579959767396535</stp>
        <tr r="E1027" s="2"/>
      </tp>
      <tp t="s">
        <v>#N/A N/A</v>
        <stp/>
        <stp>BDP|12638193686209752765</stp>
        <tr r="K1285" s="2"/>
      </tp>
      <tp t="s">
        <v>#N/A N/A</v>
        <stp/>
        <stp>BDP|17082285956327746218</stp>
        <tr r="T212" s="2"/>
      </tp>
      <tp t="s">
        <v>#N/A N/A</v>
        <stp/>
        <stp>BDP|11269736800600028396</stp>
        <tr r="Q327" s="2"/>
      </tp>
      <tp t="s">
        <v>#N/A N/A</v>
        <stp/>
        <stp>BDP|14224549769690492236</stp>
        <tr r="G232" s="2"/>
      </tp>
      <tp t="s">
        <v>#N/A N/A</v>
        <stp/>
        <stp>BDP|14358552468444083669</stp>
        <tr r="T12" s="2"/>
      </tp>
      <tp t="s">
        <v>#N/A N/A</v>
        <stp/>
        <stp>BDP|14931083148020546546</stp>
        <tr r="P598" s="2"/>
      </tp>
      <tp t="s">
        <v>#N/A N/A</v>
        <stp/>
        <stp>BDP|14012810378056855896</stp>
        <tr r="P1243" s="2"/>
      </tp>
      <tp t="s">
        <v>#N/A N/A</v>
        <stp/>
        <stp>BDP|13946769846871557441</stp>
        <tr r="E1224" s="2"/>
      </tp>
      <tp t="s">
        <v>#N/A N/A</v>
        <stp/>
        <stp>BDP|15973367115293352116</stp>
        <tr r="E547" s="2"/>
      </tp>
      <tp t="s">
        <v>#N/A N/A</v>
        <stp/>
        <stp>BDP|13230791447256700331</stp>
        <tr r="F880" s="2"/>
      </tp>
      <tp t="s">
        <v>#N/A N/A</v>
        <stp/>
        <stp>BDP|17979042610145129647</stp>
        <tr r="N124" s="2"/>
      </tp>
      <tp t="s">
        <v>#N/A N/A</v>
        <stp/>
        <stp>BDP|10216663593439818377</stp>
        <tr r="H2233" s="2"/>
      </tp>
      <tp t="s">
        <v>#N/A N/A</v>
        <stp/>
        <stp>BDP|13739137713386922065</stp>
        <tr r="E1767" s="2"/>
      </tp>
      <tp t="s">
        <v>#N/A N/A</v>
        <stp/>
        <stp>BDP|15661023003045911564</stp>
        <tr r="H1408" s="2"/>
      </tp>
      <tp t="s">
        <v>#N/A N/A</v>
        <stp/>
        <stp>BDP|17256873547687268986</stp>
        <tr r="A1012" s="2"/>
      </tp>
      <tp t="s">
        <v>#N/A N/A</v>
        <stp/>
        <stp>BDP|13878098490119100689</stp>
        <tr r="T1436" s="2"/>
      </tp>
      <tp t="s">
        <v>#N/A N/A</v>
        <stp/>
        <stp>BDP|15630347578755148130</stp>
        <tr r="P1995" s="2"/>
      </tp>
      <tp t="s">
        <v>#N/A N/A</v>
        <stp/>
        <stp>BDP|17818443374095109415</stp>
        <tr r="N974" s="2"/>
      </tp>
      <tp t="s">
        <v>#N/A N/A</v>
        <stp/>
        <stp>BDP|12578321830110834773</stp>
        <tr r="N117" s="2"/>
      </tp>
      <tp t="s">
        <v>#N/A N/A</v>
        <stp/>
        <stp>BDP|15614267832492912334</stp>
        <tr r="D1234" s="2"/>
      </tp>
      <tp t="s">
        <v>#N/A N/A</v>
        <stp/>
        <stp>BDP|11645762328152902390</stp>
        <tr r="D1786" s="2"/>
      </tp>
      <tp t="s">
        <v>#N/A N/A</v>
        <stp/>
        <stp>BDP|10338934198346632361</stp>
        <tr r="Q2219" s="2"/>
      </tp>
      <tp t="s">
        <v>#N/A N/A</v>
        <stp/>
        <stp>BDP|14875248463806509321</stp>
        <tr r="Q140" s="2"/>
      </tp>
      <tp t="s">
        <v>#N/A N/A</v>
        <stp/>
        <stp>BDP|16936403776433208352</stp>
        <tr r="J134" s="2"/>
      </tp>
      <tp t="s">
        <v>#N/A N/A</v>
        <stp/>
        <stp>BDP|10684543815996911765</stp>
        <tr r="R2151" s="2"/>
      </tp>
      <tp t="s">
        <v>#N/A N/A</v>
        <stp/>
        <stp>BDP|10745384295626417961</stp>
        <tr r="F359" s="2"/>
      </tp>
      <tp t="s">
        <v>#N/A N/A</v>
        <stp/>
        <stp>BDP|16207394406656414615</stp>
        <tr r="P1688" s="2"/>
      </tp>
      <tp t="s">
        <v>#N/A N/A</v>
        <stp/>
        <stp>BDP|17716378969420711769</stp>
        <tr r="O1633" s="2"/>
      </tp>
      <tp t="s">
        <v>#N/A N/A</v>
        <stp/>
        <stp>BDP|11210696352374421353</stp>
        <tr r="O2019" s="2"/>
      </tp>
      <tp t="s">
        <v>#N/A N/A</v>
        <stp/>
        <stp>BDP|16928404806230736702</stp>
        <tr r="S2043" s="2"/>
      </tp>
      <tp t="s">
        <v>#N/A N/A</v>
        <stp/>
        <stp>BDP|17108454747434818634</stp>
        <tr r="T508" s="2"/>
      </tp>
      <tp t="s">
        <v>#N/A N/A</v>
        <stp/>
        <stp>BDP|12001598110853713064</stp>
        <tr r="H1210" s="2"/>
      </tp>
      <tp t="s">
        <v>#N/A N/A</v>
        <stp/>
        <stp>BDP|17201642572924875749</stp>
        <tr r="M853" s="2"/>
      </tp>
      <tp t="s">
        <v>#N/A N/A</v>
        <stp/>
        <stp>BDP|12543913027744268892</stp>
        <tr r="Q1128" s="2"/>
      </tp>
      <tp t="s">
        <v>#N/A N/A</v>
        <stp/>
        <stp>BDP|15318996485133634211</stp>
        <tr r="K1400" s="2"/>
      </tp>
      <tp t="s">
        <v>#N/A N/A</v>
        <stp/>
        <stp>BDP|17448096051240227766</stp>
        <tr r="O1812" s="2"/>
      </tp>
      <tp t="s">
        <v>#N/A N/A</v>
        <stp/>
        <stp>BDP|14943143621574743632</stp>
        <tr r="T1671" s="2"/>
      </tp>
      <tp t="s">
        <v>#N/A N/A</v>
        <stp/>
        <stp>BDP|10244675319241403338</stp>
        <tr r="D771" s="2"/>
      </tp>
      <tp t="s">
        <v>#N/A N/A</v>
        <stp/>
        <stp>BDP|17919282509806067637</stp>
        <tr r="A371" s="2"/>
      </tp>
      <tp t="s">
        <v>#N/A N/A</v>
        <stp/>
        <stp>BDP|11063846099514477128</stp>
        <tr r="D821" s="2"/>
      </tp>
      <tp t="s">
        <v>#N/A N/A</v>
        <stp/>
        <stp>BDP|16375163564723285781</stp>
        <tr r="E333" s="2"/>
      </tp>
      <tp t="s">
        <v>#N/A N/A</v>
        <stp/>
        <stp>BDP|13952493919223079029</stp>
        <tr r="Q2112" s="2"/>
      </tp>
      <tp t="s">
        <v>#N/A N/A</v>
        <stp/>
        <stp>BDP|11460149475906956479</stp>
        <tr r="G2128" s="2"/>
      </tp>
      <tp t="s">
        <v>#N/A N/A</v>
        <stp/>
        <stp>BDS|16972108186818080275</stp>
        <tr r="I123" s="2"/>
      </tp>
      <tp t="s">
        <v>#N/A N/A</v>
        <stp/>
        <stp>BDP|10263492130157842588</stp>
        <tr r="R2087" s="2"/>
      </tp>
      <tp t="s">
        <v>#N/A N/A</v>
        <stp/>
        <stp>BDP|13087215723244100286</stp>
        <tr r="C823" s="2"/>
      </tp>
      <tp t="s">
        <v>#N/A N/A</v>
        <stp/>
        <stp>BDS|15391370273074880078</stp>
        <tr r="I1123" s="2"/>
      </tp>
      <tp t="s">
        <v>#N/A N/A</v>
        <stp/>
        <stp>BDP|14592701945695313786</stp>
        <tr r="E559" s="2"/>
      </tp>
      <tp t="s">
        <v>#N/A N/A</v>
        <stp/>
        <stp>BDP|14855689119645773354</stp>
        <tr r="R481" s="2"/>
      </tp>
      <tp t="s">
        <v>#N/A N/A</v>
        <stp/>
        <stp>BDP|13788696669177475180</stp>
        <tr r="D1760" s="2"/>
      </tp>
      <tp t="s">
        <v>#N/A N/A</v>
        <stp/>
        <stp>BDP|10674013028370381777</stp>
        <tr r="D817" s="2"/>
      </tp>
      <tp t="s">
        <v>#N/A N/A</v>
        <stp/>
        <stp>BDS|10590752168241948592</stp>
        <tr r="I1550" s="2"/>
      </tp>
      <tp t="s">
        <v>#N/A N/A</v>
        <stp/>
        <stp>BDP|15657684506861658753</stp>
        <tr r="T1930" s="2"/>
      </tp>
      <tp t="s">
        <v>#N/A N/A</v>
        <stp/>
        <stp>BDP|15789929531419824378</stp>
        <tr r="S209" s="2"/>
      </tp>
      <tp t="s">
        <v>#N/A N/A</v>
        <stp/>
        <stp>BDP|17496386910771303147</stp>
        <tr r="F2112" s="2"/>
      </tp>
      <tp t="s">
        <v>#N/A N/A</v>
        <stp/>
        <stp>BDP|16260377611572787383</stp>
        <tr r="R740" s="2"/>
      </tp>
      <tp t="s">
        <v>#N/A N/A</v>
        <stp/>
        <stp>BDP|11570926708964262961</stp>
        <tr r="M1881" s="2"/>
      </tp>
      <tp t="s">
        <v>#N/A N/A</v>
        <stp/>
        <stp>BDP|10739355182719363789</stp>
        <tr r="G2093" s="2"/>
      </tp>
      <tp t="s">
        <v>#N/A N/A</v>
        <stp/>
        <stp>BDP|15636193256303180735</stp>
        <tr r="N1195" s="2"/>
      </tp>
      <tp t="s">
        <v>#N/A N/A</v>
        <stp/>
        <stp>BDP|12863219593019150504</stp>
        <tr r="S2169" s="2"/>
      </tp>
      <tp t="s">
        <v>#N/A N/A</v>
        <stp/>
        <stp>BDP|13393092816527618011</stp>
        <tr r="A1138" s="2"/>
      </tp>
      <tp t="s">
        <v>#N/A N/A</v>
        <stp/>
        <stp>BDP|14602715089677385965</stp>
        <tr r="N987" s="2"/>
      </tp>
      <tp t="s">
        <v>#N/A N/A</v>
        <stp/>
        <stp>BDP|16964287900545813428</stp>
        <tr r="S1082" s="2"/>
      </tp>
      <tp t="s">
        <v>#N/A N/A</v>
        <stp/>
        <stp>BDP|15734584017790259418</stp>
        <tr r="M766" s="2"/>
      </tp>
      <tp t="s">
        <v>#N/A N/A</v>
        <stp/>
        <stp>BDP|16373204543040365588</stp>
        <tr r="O1837" s="2"/>
      </tp>
      <tp t="s">
        <v>#N/A N/A</v>
        <stp/>
        <stp>BDS|12222001854643718199</stp>
        <tr r="I845" s="2"/>
      </tp>
      <tp t="s">
        <v>#N/A N/A</v>
        <stp/>
        <stp>BDP|12882593506694583699</stp>
        <tr r="F141" s="2"/>
      </tp>
      <tp t="s">
        <v>#N/A N/A</v>
        <stp/>
        <stp>BDS|17695617767583173190</stp>
        <tr r="I600" s="2"/>
      </tp>
      <tp t="s">
        <v>#N/A N/A</v>
        <stp/>
        <stp>BDS|17769938617183970924</stp>
        <tr r="I983" s="2"/>
      </tp>
      <tp t="s">
        <v>#N/A N/A</v>
        <stp/>
        <stp>BDP|14536028158965460108</stp>
        <tr r="C985" s="2"/>
      </tp>
      <tp t="s">
        <v>#N/A N/A</v>
        <stp/>
        <stp>BDP|15339090259816909317</stp>
        <tr r="S2232" s="2"/>
      </tp>
      <tp t="s">
        <v>#N/A N/A</v>
        <stp/>
        <stp>BDP|12016549703902538091</stp>
        <tr r="F1793" s="2"/>
      </tp>
      <tp t="s">
        <v>#N/A N/A</v>
        <stp/>
        <stp>BDP|10945364957440210316</stp>
        <tr r="O159" s="2"/>
      </tp>
      <tp t="s">
        <v>#N/A N/A</v>
        <stp/>
        <stp>BDP|13335372088484705906</stp>
        <tr r="P981" s="2"/>
      </tp>
      <tp t="s">
        <v>#N/A N/A</v>
        <stp/>
        <stp>BDP|15715656119634476345</stp>
        <tr r="F465" s="2"/>
      </tp>
      <tp t="s">
        <v>#N/A N/A</v>
        <stp/>
        <stp>BDP|11680487632962660113</stp>
        <tr r="J76" s="2"/>
      </tp>
      <tp t="s">
        <v>#N/A N/A</v>
        <stp/>
        <stp>BDP|12226408328888021912</stp>
        <tr r="M640" s="2"/>
      </tp>
      <tp t="s">
        <v>#N/A N/A</v>
        <stp/>
        <stp>BDP|16811056403697733420</stp>
        <tr r="C2126" s="2"/>
      </tp>
      <tp t="s">
        <v>#N/A N/A</v>
        <stp/>
        <stp>BDP|17769351786119716085</stp>
        <tr r="O727" s="2"/>
      </tp>
      <tp t="s">
        <v>#N/A N/A</v>
        <stp/>
        <stp>BDP|14971033845026721334</stp>
        <tr r="J2239" s="2"/>
      </tp>
      <tp t="s">
        <v>#N/A N/A</v>
        <stp/>
        <stp>BDP|17829302010473244312</stp>
        <tr r="N1708" s="2"/>
      </tp>
      <tp t="s">
        <v>#N/A N/A</v>
        <stp/>
        <stp>BDS|15570376659221735742</stp>
        <tr r="I2126" s="2"/>
      </tp>
      <tp t="s">
        <v>#N/A N/A</v>
        <stp/>
        <stp>BDS|11736526159057722335</stp>
        <tr r="I292" s="2"/>
      </tp>
      <tp t="s">
        <v>#N/A N/A</v>
        <stp/>
        <stp>BDP|16084857302159889247</stp>
        <tr r="O1757" s="2"/>
      </tp>
      <tp t="s">
        <v>#N/A N/A</v>
        <stp/>
        <stp>BDP|12583165400235982316</stp>
        <tr r="S319" s="2"/>
      </tp>
      <tp t="s">
        <v>#N/A N/A</v>
        <stp/>
        <stp>BDP|14512196931005048662</stp>
        <tr r="R1231" s="2"/>
      </tp>
      <tp t="s">
        <v>#N/A N/A</v>
        <stp/>
        <stp>BDP|17618042348487550143</stp>
        <tr r="D1245" s="2"/>
      </tp>
      <tp t="s">
        <v>#N/A N/A</v>
        <stp/>
        <stp>BDP|11247516426382826163</stp>
        <tr r="C1470" s="2"/>
      </tp>
      <tp t="s">
        <v>#N/A N/A</v>
        <stp/>
        <stp>BDP|17527041450187956037</stp>
        <tr r="R802" s="2"/>
      </tp>
      <tp t="s">
        <v>#N/A N/A</v>
        <stp/>
        <stp>BDP|16138691594119254556</stp>
        <tr r="O996" s="2"/>
      </tp>
      <tp t="s">
        <v>#N/A N/A</v>
        <stp/>
        <stp>BDP|10322095365522728130</stp>
        <tr r="Q293" s="2"/>
      </tp>
      <tp t="s">
        <v>#N/A N/A</v>
        <stp/>
        <stp>BDP|12523344644298931870</stp>
        <tr r="K1765" s="2"/>
      </tp>
      <tp t="s">
        <v>#N/A N/A</v>
        <stp/>
        <stp>BDP|13029295032830506758</stp>
        <tr r="O707" s="2"/>
      </tp>
      <tp t="s">
        <v>#N/A N/A</v>
        <stp/>
        <stp>BDP|10843501042496775261</stp>
        <tr r="H2070" s="2"/>
      </tp>
      <tp t="s">
        <v>#N/A N/A</v>
        <stp/>
        <stp>BDP|13458697040300261440</stp>
        <tr r="Q538" s="2"/>
      </tp>
      <tp t="s">
        <v>#N/A N/A</v>
        <stp/>
        <stp>BDP|14873654622386044343</stp>
        <tr r="Q1336" s="2"/>
      </tp>
      <tp t="s">
        <v>#N/A N/A</v>
        <stp/>
        <stp>BDP|17496659176886867548</stp>
        <tr r="R1052" s="2"/>
      </tp>
      <tp t="s">
        <v>#N/A N/A</v>
        <stp/>
        <stp>BDP|17171873538689017055</stp>
        <tr r="E358" s="2"/>
      </tp>
      <tp t="s">
        <v>#N/A N/A</v>
        <stp/>
        <stp>BDP|11085179445029169881</stp>
        <tr r="S15" s="2"/>
      </tp>
      <tp t="s">
        <v>#N/A N/A</v>
        <stp/>
        <stp>BDP|17046241033690465383</stp>
        <tr r="F2074" s="2"/>
      </tp>
      <tp t="s">
        <v>#N/A N/A</v>
        <stp/>
        <stp>BDP|17796105429418677939</stp>
        <tr r="G373" s="2"/>
      </tp>
      <tp t="s">
        <v>#N/A N/A</v>
        <stp/>
        <stp>BDP|17101462699569716620</stp>
        <tr r="C1633" s="2"/>
      </tp>
      <tp t="s">
        <v>#N/A N/A</v>
        <stp/>
        <stp>BDP|10777756369050850482</stp>
        <tr r="A1453" s="2"/>
      </tp>
      <tp t="s">
        <v>#N/A N/A</v>
        <stp/>
        <stp>BDP|17693767112912853614</stp>
        <tr r="Q861" s="2"/>
      </tp>
      <tp t="s">
        <v>#N/A N/A</v>
        <stp/>
        <stp>BDP|10362795914616438510</stp>
        <tr r="Q1001" s="2"/>
      </tp>
      <tp t="s">
        <v>#N/A N/A</v>
        <stp/>
        <stp>BDP|12319279456838913804</stp>
        <tr r="H1415" s="2"/>
      </tp>
      <tp t="s">
        <v>#N/A N/A</v>
        <stp/>
        <stp>BDP|12611425389133598839</stp>
        <tr r="E328" s="2"/>
      </tp>
      <tp t="s">
        <v>#N/A N/A</v>
        <stp/>
        <stp>BDP|13177828522339299580</stp>
        <tr r="P1576" s="2"/>
      </tp>
      <tp t="s">
        <v>#N/A N/A</v>
        <stp/>
        <stp>BDP|17618126817086829400</stp>
        <tr r="H2098" s="2"/>
      </tp>
      <tp t="s">
        <v>#N/A N/A</v>
        <stp/>
        <stp>BDP|12189859733689435581</stp>
        <tr r="A1390" s="2"/>
      </tp>
      <tp t="s">
        <v>#N/A N/A</v>
        <stp/>
        <stp>BDP|14876431908124008183</stp>
        <tr r="K1740" s="2"/>
      </tp>
      <tp t="s">
        <v>#N/A N/A</v>
        <stp/>
        <stp>BDP|12010523108945667779</stp>
        <tr r="Q1541" s="2"/>
      </tp>
      <tp t="s">
        <v>#N/A N/A</v>
        <stp/>
        <stp>BDP|11312927576462414898</stp>
        <tr r="P1669" s="2"/>
      </tp>
      <tp t="s">
        <v>#N/A N/A</v>
        <stp/>
        <stp>BDP|13236670315112398391</stp>
        <tr r="R579" s="2"/>
      </tp>
      <tp t="s">
        <v>#N/A N/A</v>
        <stp/>
        <stp>BDP|18310895795098265478</stp>
        <tr r="N1771" s="2"/>
      </tp>
      <tp t="s">
        <v>#N/A N/A</v>
        <stp/>
        <stp>BDP|11754850958988144112</stp>
        <tr r="D1784" s="2"/>
      </tp>
      <tp t="s">
        <v>#N/A N/A</v>
        <stp/>
        <stp>BDP|11457875599885969094</stp>
        <tr r="O2241" s="2"/>
      </tp>
      <tp t="s">
        <v>#N/A N/A</v>
        <stp/>
        <stp>BDP|16679921461908910467</stp>
        <tr r="N434" s="2"/>
      </tp>
      <tp t="s">
        <v>#N/A N/A</v>
        <stp/>
        <stp>BDP|12370691410095093506</stp>
        <tr r="G816" s="2"/>
      </tp>
      <tp t="s">
        <v>#N/A N/A</v>
        <stp/>
        <stp>BDS|13918072863994273464</stp>
        <tr r="I295" s="2"/>
      </tp>
      <tp t="s">
        <v>#N/A N/A</v>
        <stp/>
        <stp>BDP|13916955756379872389</stp>
        <tr r="P875" s="2"/>
      </tp>
      <tp t="s">
        <v>#N/A N/A</v>
        <stp/>
        <stp>BDP|17314626325775811368</stp>
        <tr r="H1374" s="2"/>
      </tp>
      <tp t="s">
        <v>#N/A N/A</v>
        <stp/>
        <stp>BDP|12460808780306674183</stp>
        <tr r="J1950" s="2"/>
      </tp>
      <tp t="s">
        <v>#N/A N/A</v>
        <stp/>
        <stp>BDP|14285556620402550486</stp>
        <tr r="G1012" s="2"/>
      </tp>
      <tp t="s">
        <v>#N/A N/A</v>
        <stp/>
        <stp>BDP|12851096720865248097</stp>
        <tr r="K105" s="2"/>
      </tp>
      <tp t="s">
        <v>#N/A N/A</v>
        <stp/>
        <stp>BDP|12531147562250084096</stp>
        <tr r="T584" s="2"/>
      </tp>
      <tp t="s">
        <v>#N/A N/A</v>
        <stp/>
        <stp>BDP|16712089223148611900</stp>
        <tr r="N431" s="2"/>
      </tp>
      <tp t="s">
        <v>#N/A N/A</v>
        <stp/>
        <stp>BDP|10926811293005595142</stp>
        <tr r="O2197" s="2"/>
      </tp>
      <tp t="s">
        <v>#N/A N/A</v>
        <stp/>
        <stp>BDP|16393693246109150876</stp>
        <tr r="N1311" s="2"/>
      </tp>
      <tp t="s">
        <v>#N/A N/A</v>
        <stp/>
        <stp>BDP|14249943792977939675</stp>
        <tr r="M826" s="2"/>
      </tp>
      <tp t="s">
        <v>#N/A N/A</v>
        <stp/>
        <stp>BDP|11024708968667503273</stp>
        <tr r="P1833" s="2"/>
      </tp>
      <tp t="s">
        <v>#N/A N/A</v>
        <stp/>
        <stp>BDP|11419573816372761288</stp>
        <tr r="J2097" s="2"/>
      </tp>
      <tp t="s">
        <v>#N/A N/A</v>
        <stp/>
        <stp>BDP|11997316131616546262</stp>
        <tr r="T277" s="2"/>
      </tp>
      <tp t="s">
        <v>#N/A N/A</v>
        <stp/>
        <stp>BDP|16736590491528383761</stp>
        <tr r="N438" s="2"/>
      </tp>
      <tp t="s">
        <v>#N/A N/A</v>
        <stp/>
        <stp>BDP|10662329418153631402</stp>
        <tr r="K521" s="2"/>
      </tp>
      <tp t="s">
        <v>#N/A N/A</v>
        <stp/>
        <stp>BDP|12122192676510723139</stp>
        <tr r="R746" s="2"/>
      </tp>
      <tp t="s">
        <v>#N/A N/A</v>
        <stp/>
        <stp>BDP|11520755854390820668</stp>
        <tr r="M107" s="2"/>
      </tp>
      <tp t="s">
        <v>#N/A N/A</v>
        <stp/>
        <stp>BDP|14087874677677257982</stp>
        <tr r="H1206" s="2"/>
      </tp>
      <tp t="s">
        <v>#N/A N/A</v>
        <stp/>
        <stp>BDP|11903660125968237827</stp>
        <tr r="E989" s="2"/>
      </tp>
      <tp t="s">
        <v>#N/A N/A</v>
        <stp/>
        <stp>BDP|14936423578860927207</stp>
        <tr r="O40" s="2"/>
      </tp>
      <tp t="s">
        <v>#N/A N/A</v>
        <stp/>
        <stp>BDP|16213122784988652283</stp>
        <tr r="G335" s="2"/>
      </tp>
      <tp t="s">
        <v>#N/A N/A</v>
        <stp/>
        <stp>BDP|16379013398748936293</stp>
        <tr r="F2029" s="2"/>
      </tp>
      <tp t="s">
        <v>#N/A N/A</v>
        <stp/>
        <stp>BDP|12691980788017532199</stp>
        <tr r="T15" s="2"/>
      </tp>
      <tp t="s">
        <v>#N/A N/A</v>
        <stp/>
        <stp>BDP|12674039579879671902</stp>
        <tr r="C775" s="2"/>
      </tp>
      <tp t="s">
        <v>#N/A N/A</v>
        <stp/>
        <stp>BDP|10836763425727012715</stp>
        <tr r="P1842" s="2"/>
      </tp>
      <tp t="s">
        <v>#N/A N/A</v>
        <stp/>
        <stp>BDP|15021821403129955124</stp>
        <tr r="H1658" s="2"/>
      </tp>
      <tp t="s">
        <v>#N/A N/A</v>
        <stp/>
        <stp>BDP|15868136212550736044</stp>
        <tr r="S539" s="2"/>
      </tp>
      <tp t="s">
        <v>#N/A N/A</v>
        <stp/>
        <stp>BDP|13897937960909204035</stp>
        <tr r="C1744" s="2"/>
      </tp>
      <tp t="s">
        <v>#N/A N/A</v>
        <stp/>
        <stp>BDP|17376284396589718005</stp>
        <tr r="S1689" s="2"/>
      </tp>
      <tp t="s">
        <v>#N/A N/A</v>
        <stp/>
        <stp>BDP|12043153354417995428</stp>
        <tr r="F1626" s="2"/>
      </tp>
      <tp t="s">
        <v>#N/A N/A</v>
        <stp/>
        <stp>BDP|10239252961386426781</stp>
        <tr r="P1285" s="2"/>
      </tp>
      <tp t="s">
        <v>#N/A N/A</v>
        <stp/>
        <stp>BDP|16668722649861451138</stp>
        <tr r="R1345" s="2"/>
      </tp>
      <tp t="s">
        <v>#N/A N/A</v>
        <stp/>
        <stp>BDP|14335557067592844034</stp>
        <tr r="C2196" s="2"/>
      </tp>
      <tp t="s">
        <v>#N/A N/A</v>
        <stp/>
        <stp>BDP|11046533135140529295</stp>
        <tr r="Q1274" s="2"/>
      </tp>
      <tp t="s">
        <v>#N/A N/A</v>
        <stp/>
        <stp>BDP|15283022352961965414</stp>
        <tr r="Q2057" s="2"/>
      </tp>
      <tp t="s">
        <v>#N/A N/A</v>
        <stp/>
        <stp>BDP|16533524919334057341</stp>
        <tr r="T266" s="2"/>
      </tp>
      <tp t="s">
        <v>#N/A N/A</v>
        <stp/>
        <stp>BDP|17468074876493857673</stp>
        <tr r="N1112" s="2"/>
      </tp>
      <tp t="s">
        <v>#N/A N/A</v>
        <stp/>
        <stp>BDP|13541043267471971154</stp>
        <tr r="N585" s="2"/>
      </tp>
      <tp t="s">
        <v>#N/A N/A</v>
        <stp/>
        <stp>BDP|12062334633315284289</stp>
        <tr r="O1285" s="2"/>
      </tp>
      <tp t="s">
        <v>#N/A N/A</v>
        <stp/>
        <stp>BDP|15765261752442148580</stp>
        <tr r="O2034" s="2"/>
      </tp>
      <tp t="s">
        <v>#N/A N/A</v>
        <stp/>
        <stp>BDS|12606878798963679561</stp>
        <tr r="I2233" s="2"/>
      </tp>
      <tp t="s">
        <v>#N/A N/A</v>
        <stp/>
        <stp>BDP|18029364792075601281</stp>
        <tr r="T840" s="2"/>
      </tp>
      <tp t="s">
        <v>#N/A N/A</v>
        <stp/>
        <stp>BDP|18176095206318020544</stp>
        <tr r="D547" s="2"/>
      </tp>
      <tp t="s">
        <v>#N/A N/A</v>
        <stp/>
        <stp>BDP|13929688676383481496</stp>
        <tr r="O1312" s="2"/>
      </tp>
      <tp t="s">
        <v>#N/A N/A</v>
        <stp/>
        <stp>BDP|10052348839935625010</stp>
        <tr r="C13" s="2"/>
      </tp>
      <tp t="s">
        <v>#N/A N/A</v>
        <stp/>
        <stp>BDP|11039121653543885339</stp>
        <tr r="M691" s="2"/>
      </tp>
      <tp t="s">
        <v>#N/A N/A</v>
        <stp/>
        <stp>BDP|16741722069276408422</stp>
        <tr r="M136" s="2"/>
      </tp>
      <tp t="s">
        <v>#N/A N/A</v>
        <stp/>
        <stp>BDP|11478625648223037545</stp>
        <tr r="J596" s="2"/>
      </tp>
      <tp t="s">
        <v>#N/A N/A</v>
        <stp/>
        <stp>BDP|10192973728966356870</stp>
        <tr r="H1102" s="2"/>
      </tp>
      <tp t="s">
        <v>#N/A N/A</v>
        <stp/>
        <stp>BDP|12839924682681615746</stp>
        <tr r="A1003" s="2"/>
      </tp>
      <tp t="s">
        <v>#N/A N/A</v>
        <stp/>
        <stp>BDP|16183624468011734269</stp>
        <tr r="T1066" s="2"/>
      </tp>
      <tp t="s">
        <v>#N/A N/A</v>
        <stp/>
        <stp>BDS|14908650470670429012</stp>
        <tr r="I1207" s="2"/>
      </tp>
      <tp t="s">
        <v>#N/A N/A</v>
        <stp/>
        <stp>BDP|12821663703049277853</stp>
        <tr r="R1293" s="2"/>
      </tp>
      <tp t="s">
        <v>#N/A N/A</v>
        <stp/>
        <stp>BDP|17850125066473241645</stp>
        <tr r="R426" s="2"/>
      </tp>
      <tp t="s">
        <v>#N/A N/A</v>
        <stp/>
        <stp>BDP|17307677136203875407</stp>
        <tr r="N1521" s="2"/>
      </tp>
      <tp t="s">
        <v>#N/A N/A</v>
        <stp/>
        <stp>BDP|17796697144474183417</stp>
        <tr r="G1336" s="2"/>
      </tp>
      <tp t="s">
        <v>#N/A N/A</v>
        <stp/>
        <stp>BDP|18366776645608233690</stp>
        <tr r="Q1539" s="2"/>
      </tp>
      <tp t="s">
        <v>#N/A N/A</v>
        <stp/>
        <stp>BDP|17153509669660371118</stp>
        <tr r="A1382" s="2"/>
      </tp>
      <tp t="s">
        <v>#N/A N/A</v>
        <stp/>
        <stp>BDP|15883406845663299355</stp>
        <tr r="R1431" s="2"/>
      </tp>
      <tp t="s">
        <v>#N/A N/A</v>
        <stp/>
        <stp>BDS|17911888845957938947</stp>
        <tr r="I83" s="2"/>
      </tp>
      <tp t="s">
        <v>#N/A N/A</v>
        <stp/>
        <stp>BDP|16527267416744841472</stp>
        <tr r="G1897" s="2"/>
      </tp>
      <tp t="s">
        <v>#N/A N/A</v>
        <stp/>
        <stp>BDP|16809211687559728032</stp>
        <tr r="M1184" s="2"/>
      </tp>
      <tp t="s">
        <v>#N/A N/A</v>
        <stp/>
        <stp>BDP|13411235468793686140</stp>
        <tr r="P344" s="2"/>
      </tp>
      <tp t="s">
        <v>#N/A N/A</v>
        <stp/>
        <stp>BDP|17797732238061029712</stp>
        <tr r="O196" s="2"/>
      </tp>
      <tp t="s">
        <v>#N/A N/A</v>
        <stp/>
        <stp>BDP|13323691295660182936</stp>
        <tr r="A1673" s="2"/>
      </tp>
      <tp t="s">
        <v>#N/A N/A</v>
        <stp/>
        <stp>BDP|11746229211491939601</stp>
        <tr r="E1186" s="2"/>
      </tp>
      <tp t="s">
        <v>#N/A N/A</v>
        <stp/>
        <stp>BDP|10772215805197815069</stp>
        <tr r="T730" s="2"/>
      </tp>
      <tp t="s">
        <v>#N/A N/A</v>
        <stp/>
        <stp>BDP|15449576820186684181</stp>
        <tr r="G706" s="2"/>
      </tp>
      <tp t="s">
        <v>#N/A N/A</v>
        <stp/>
        <stp>BDP|10000494416017180736</stp>
        <tr r="A622" s="2"/>
      </tp>
      <tp t="s">
        <v>#N/A N/A</v>
        <stp/>
        <stp>BDP|14322346522116052689</stp>
        <tr r="G1094" s="2"/>
      </tp>
      <tp t="s">
        <v>#N/A N/A</v>
        <stp/>
        <stp>BDP|12732449269922625718</stp>
        <tr r="K476" s="2"/>
      </tp>
      <tp t="s">
        <v>#N/A N/A</v>
        <stp/>
        <stp>BDP|16983507296437240806</stp>
        <tr r="A1051" s="2"/>
      </tp>
      <tp t="s">
        <v>#N/A N/A</v>
        <stp/>
        <stp>BDP|12041608466083861432</stp>
        <tr r="T1452" s="2"/>
      </tp>
      <tp t="s">
        <v>#N/A N/A</v>
        <stp/>
        <stp>BDP|16477048568087343263</stp>
        <tr r="H1673" s="2"/>
      </tp>
      <tp t="s">
        <v>#N/A N/A</v>
        <stp/>
        <stp>BDP|15793737022644311181</stp>
        <tr r="R291" s="2"/>
      </tp>
      <tp t="s">
        <v>#N/A N/A</v>
        <stp/>
        <stp>BDP|18027101997294907139</stp>
        <tr r="C1492" s="2"/>
      </tp>
      <tp t="s">
        <v>#N/A N/A</v>
        <stp/>
        <stp>BDP|16591574879203396259</stp>
        <tr r="H156" s="2"/>
      </tp>
      <tp t="s">
        <v>#N/A N/A</v>
        <stp/>
        <stp>BDP|10425164543964810441</stp>
        <tr r="M1096" s="2"/>
      </tp>
      <tp t="s">
        <v>#N/A N/A</v>
        <stp/>
        <stp>BDP|13856681060663848558</stp>
        <tr r="P565" s="2"/>
      </tp>
      <tp t="s">
        <v>#N/A N/A</v>
        <stp/>
        <stp>BDP|12927735956406244339</stp>
        <tr r="O1838" s="2"/>
      </tp>
      <tp t="s">
        <v>#N/A N/A</v>
        <stp/>
        <stp>BDP|16619379110522860345</stp>
        <tr r="R373" s="2"/>
      </tp>
      <tp t="s">
        <v>#N/A N/A</v>
        <stp/>
        <stp>BDP|12670554969353498737</stp>
        <tr r="F2130" s="2"/>
      </tp>
      <tp t="s">
        <v>#N/A N/A</v>
        <stp/>
        <stp>BDP|10630979737206900926</stp>
        <tr r="M1489" s="2"/>
      </tp>
      <tp t="s">
        <v>#N/A N/A</v>
        <stp/>
        <stp>BDP|16791012728996358709</stp>
        <tr r="N2251" s="2"/>
      </tp>
      <tp t="s">
        <v>#N/A N/A</v>
        <stp/>
        <stp>BDP|12163798036052027132</stp>
        <tr r="D494" s="2"/>
      </tp>
      <tp t="s">
        <v>#N/A N/A</v>
        <stp/>
        <stp>BDP|11373087297914412956</stp>
        <tr r="C1373" s="2"/>
      </tp>
      <tp t="s">
        <v>#N/A N/A</v>
        <stp/>
        <stp>BDP|15298665899098023703</stp>
        <tr r="R1736" s="2"/>
      </tp>
      <tp t="s">
        <v>#N/A N/A</v>
        <stp/>
        <stp>BDP|12739581202027698566</stp>
        <tr r="E246" s="2"/>
      </tp>
      <tp t="s">
        <v>#N/A N/A</v>
        <stp/>
        <stp>BDP|13619126800880158787</stp>
        <tr r="S8" s="2"/>
      </tp>
      <tp t="s">
        <v>#N/A N/A</v>
        <stp/>
        <stp>BDP|14758895594823561322</stp>
        <tr r="H61" s="2"/>
      </tp>
      <tp t="s">
        <v>#N/A N/A</v>
        <stp/>
        <stp>BDP|10953687259080382666</stp>
        <tr r="F51" s="2"/>
      </tp>
      <tp t="s">
        <v>#N/A N/A</v>
        <stp/>
        <stp>BDP|16782951828360528824</stp>
        <tr r="D831" s="2"/>
      </tp>
      <tp t="s">
        <v>#N/A N/A</v>
        <stp/>
        <stp>BDP|15091946268527830895</stp>
        <tr r="K188" s="2"/>
      </tp>
      <tp t="s">
        <v>#N/A N/A</v>
        <stp/>
        <stp>BDP|15496179334281910330</stp>
        <tr r="D939" s="2"/>
      </tp>
      <tp t="s">
        <v>#N/A N/A</v>
        <stp/>
        <stp>BDP|11622552601785874473</stp>
        <tr r="E2133" s="2"/>
      </tp>
      <tp t="s">
        <v>#N/A N/A</v>
        <stp/>
        <stp>BDP|15201772941843996000</stp>
        <tr r="Q151" s="2"/>
      </tp>
      <tp t="s">
        <v>#N/A N/A</v>
        <stp/>
        <stp>BDP|10299992403035008958</stp>
        <tr r="C1840" s="2"/>
      </tp>
      <tp t="s">
        <v>#N/A N/A</v>
        <stp/>
        <stp>BDP|10145570341651862527</stp>
        <tr r="K106" s="2"/>
      </tp>
      <tp t="s">
        <v>#N/A N/A</v>
        <stp/>
        <stp>BDP|17784749266317137492</stp>
        <tr r="J1134" s="2"/>
      </tp>
      <tp t="s">
        <v>#N/A N/A</v>
        <stp/>
        <stp>BDP|13869836994705562272</stp>
        <tr r="J639" s="2"/>
      </tp>
      <tp t="s">
        <v>#N/A N/A</v>
        <stp/>
        <stp>BDP|14367470390588990408</stp>
        <tr r="S1807" s="2"/>
      </tp>
      <tp t="s">
        <v>#N/A N/A</v>
        <stp/>
        <stp>BDP|14378740625084631096</stp>
        <tr r="E1857" s="2"/>
      </tp>
      <tp t="s">
        <v>#N/A N/A</v>
        <stp/>
        <stp>BDP|12765263205754034193</stp>
        <tr r="R202" s="2"/>
      </tp>
      <tp t="s">
        <v>#N/A N/A</v>
        <stp/>
        <stp>BDP|11811396421616904343</stp>
        <tr r="R1829" s="2"/>
      </tp>
      <tp t="s">
        <v>#N/A N/A</v>
        <stp/>
        <stp>BDP|10474281486239071671</stp>
        <tr r="F43" s="2"/>
      </tp>
      <tp t="s">
        <v>#N/A N/A</v>
        <stp/>
        <stp>BDP|11268790131367702704</stp>
        <tr r="G2032" s="2"/>
      </tp>
      <tp t="s">
        <v>#N/A N/A</v>
        <stp/>
        <stp>BDP|10278531082731954975</stp>
        <tr r="R149" s="2"/>
      </tp>
      <tp t="s">
        <v>#N/A N/A</v>
        <stp/>
        <stp>BDP|13477707877524672283</stp>
        <tr r="H1287" s="2"/>
      </tp>
      <tp t="s">
        <v>#N/A N/A</v>
        <stp/>
        <stp>BDP|10158077528365450275</stp>
        <tr r="K1122" s="2"/>
      </tp>
      <tp t="s">
        <v>#N/A N/A</v>
        <stp/>
        <stp>BDP|11315927599574550007</stp>
        <tr r="Q552" s="2"/>
      </tp>
      <tp t="s">
        <v>#N/A N/A</v>
        <stp/>
        <stp>BDP|16233489216085439358</stp>
        <tr r="D1974" s="2"/>
      </tp>
      <tp t="s">
        <v>#N/A N/A</v>
        <stp/>
        <stp>BDP|11570815865369986359</stp>
        <tr r="T2222" s="2"/>
      </tp>
      <tp t="s">
        <v>#N/A N/A</v>
        <stp/>
        <stp>BDP|13745182935536775204</stp>
        <tr r="K466" s="2"/>
      </tp>
      <tp t="s">
        <v>#N/A N/A</v>
        <stp/>
        <stp>BDP|13196472922986013693</stp>
        <tr r="P1049" s="2"/>
      </tp>
      <tp t="s">
        <v>#N/A N/A</v>
        <stp/>
        <stp>BDP|16957948415253066859</stp>
        <tr r="Q833" s="2"/>
      </tp>
      <tp t="s">
        <v>#N/A N/A</v>
        <stp/>
        <stp>BDP|18306139690570599582</stp>
        <tr r="O177" s="2"/>
      </tp>
      <tp t="s">
        <v>#N/A N/A</v>
        <stp/>
        <stp>BDP|14161195638577972446</stp>
        <tr r="G1346" s="2"/>
      </tp>
      <tp t="s">
        <v>#N/A N/A</v>
        <stp/>
        <stp>BDP|16123559229465810188</stp>
        <tr r="S854" s="2"/>
      </tp>
      <tp t="s">
        <v>#N/A N/A</v>
        <stp/>
        <stp>BDP|11566894471688219323</stp>
        <tr r="O1594" s="2"/>
      </tp>
      <tp t="s">
        <v>#N/A N/A</v>
        <stp/>
        <stp>BDP|15004770171438255897</stp>
        <tr r="R591" s="2"/>
      </tp>
      <tp t="s">
        <v>#N/A N/A</v>
        <stp/>
        <stp>BDP|13932761538933868128</stp>
        <tr r="S1165" s="2"/>
      </tp>
      <tp t="s">
        <v>#N/A N/A</v>
        <stp/>
        <stp>BDP|15061696913722532521</stp>
        <tr r="K905" s="2"/>
      </tp>
      <tp t="s">
        <v>#N/A N/A</v>
        <stp/>
        <stp>BDP|14131451569217850480</stp>
        <tr r="G1783" s="2"/>
      </tp>
      <tp t="s">
        <v>#N/A N/A</v>
        <stp/>
        <stp>BDP|10211920649538792038</stp>
        <tr r="A1172" s="2"/>
      </tp>
      <tp t="s">
        <v>#N/A N/A</v>
        <stp/>
        <stp>BDP|11844632745564336205</stp>
        <tr r="N474" s="2"/>
      </tp>
      <tp t="s">
        <v>#N/A N/A</v>
        <stp/>
        <stp>BDP|11132787837608652853</stp>
        <tr r="E2245" s="2"/>
      </tp>
      <tp t="s">
        <v>#N/A N/A</v>
        <stp/>
        <stp>BDP|17974920836819686163</stp>
        <tr r="G1048" s="2"/>
      </tp>
      <tp t="s">
        <v>#N/A N/A</v>
        <stp/>
        <stp>BDP|12965318023272008468</stp>
        <tr r="D1521" s="2"/>
      </tp>
      <tp t="s">
        <v>#N/A N/A</v>
        <stp/>
        <stp>BDP|12892473616625402708</stp>
        <tr r="N1822" s="2"/>
      </tp>
      <tp t="s">
        <v>#N/A N/A</v>
        <stp/>
        <stp>BDP|12118802948349402204</stp>
        <tr r="A1030" s="2"/>
      </tp>
      <tp t="s">
        <v>#N/A N/A</v>
        <stp/>
        <stp>BDP|15336818099845622405</stp>
        <tr r="K960" s="2"/>
      </tp>
      <tp t="s">
        <v>#N/A N/A</v>
        <stp/>
        <stp>BDP|13344705969890579735</stp>
        <tr r="Q1717" s="2"/>
      </tp>
      <tp t="s">
        <v>#N/A N/A</v>
        <stp/>
        <stp>BDP|14878916465197088903</stp>
        <tr r="M1197" s="2"/>
      </tp>
      <tp t="s">
        <v>#N/A N/A</v>
        <stp/>
        <stp>BDP|10148767819157393410</stp>
        <tr r="O1943" s="2"/>
      </tp>
      <tp t="s">
        <v>#N/A N/A</v>
        <stp/>
        <stp>BDP|17162680963914425627</stp>
        <tr r="R1952" s="2"/>
      </tp>
      <tp t="s">
        <v>#N/A N/A</v>
        <stp/>
        <stp>BDP|16627194839834802524</stp>
        <tr r="Q564" s="2"/>
      </tp>
      <tp t="s">
        <v>#N/A N/A</v>
        <stp/>
        <stp>BDP|17210099252432408516</stp>
        <tr r="H1496" s="2"/>
      </tp>
      <tp t="s">
        <v>#N/A N/A</v>
        <stp/>
        <stp>BDP|15673181262697290023</stp>
        <tr r="P1684" s="2"/>
      </tp>
      <tp t="s">
        <v>#N/A N/A</v>
        <stp/>
        <stp>BDP|14657225325684557589</stp>
        <tr r="F621" s="2"/>
      </tp>
      <tp t="s">
        <v>#N/A N/A</v>
        <stp/>
        <stp>BDP|16431382300100029008</stp>
        <tr r="R1047" s="2"/>
      </tp>
      <tp t="s">
        <v>#N/A N/A</v>
        <stp/>
        <stp>BDP|11026327718736613009</stp>
        <tr r="J1084" s="2"/>
      </tp>
      <tp t="s">
        <v>#N/A N/A</v>
        <stp/>
        <stp>BDP|17906623344774373409</stp>
        <tr r="T1349" s="2"/>
      </tp>
      <tp t="s">
        <v>#N/A N/A</v>
        <stp/>
        <stp>BDP|11211725159907542103</stp>
        <tr r="K1970" s="2"/>
      </tp>
      <tp t="s">
        <v>#N/A N/A</v>
        <stp/>
        <stp>BDP|14677999840585739941</stp>
        <tr r="Q1021" s="2"/>
      </tp>
      <tp t="s">
        <v>#N/A N/A</v>
        <stp/>
        <stp>BDP|14931859794376038643</stp>
        <tr r="T2122" s="2"/>
      </tp>
      <tp t="s">
        <v>#N/A N/A</v>
        <stp/>
        <stp>BDP|11991746731341775172</stp>
        <tr r="S1856" s="2"/>
      </tp>
      <tp t="s">
        <v>#N/A N/A</v>
        <stp/>
        <stp>BDP|12407418132956393681</stp>
        <tr r="M1855" s="2"/>
      </tp>
      <tp t="s">
        <v>#N/A N/A</v>
        <stp/>
        <stp>BDP|13005657355007596297</stp>
        <tr r="M966" s="2"/>
      </tp>
      <tp t="s">
        <v>#N/A N/A</v>
        <stp/>
        <stp>BDP|10864390381936513896</stp>
        <tr r="M767" s="2"/>
      </tp>
      <tp t="s">
        <v>#N/A N/A</v>
        <stp/>
        <stp>BDP|15386569759044003409</stp>
        <tr r="H250" s="2"/>
      </tp>
      <tp t="s">
        <v>#N/A N/A</v>
        <stp/>
        <stp>BDS|18182917374742817131</stp>
        <tr r="I521" s="2"/>
      </tp>
      <tp t="s">
        <v>#N/A N/A</v>
        <stp/>
        <stp>BDP|15301086289601989977</stp>
        <tr r="G1842" s="2"/>
      </tp>
      <tp t="s">
        <v>#N/A N/A</v>
        <stp/>
        <stp>BDP|11137182005950466541</stp>
        <tr r="S345" s="2"/>
      </tp>
      <tp t="s">
        <v>#N/A N/A</v>
        <stp/>
        <stp>BDP|14033549864763869144</stp>
        <tr r="S1465" s="2"/>
      </tp>
      <tp t="s">
        <v>#N/A N/A</v>
        <stp/>
        <stp>BDP|18193097545768133105</stp>
        <tr r="K1315" s="2"/>
      </tp>
      <tp t="s">
        <v>#N/A N/A</v>
        <stp/>
        <stp>BDP|10713870339857267970</stp>
        <tr r="F1488" s="2"/>
      </tp>
      <tp t="s">
        <v>#N/A N/A</v>
        <stp/>
        <stp>BDP|15971308936130126022</stp>
        <tr r="M1956" s="2"/>
      </tp>
      <tp t="s">
        <v>#N/A N/A</v>
        <stp/>
        <stp>BDP|18128080767768190332</stp>
        <tr r="S392" s="2"/>
      </tp>
      <tp t="s">
        <v>#N/A N/A</v>
        <stp/>
        <stp>BDP|10548680695293202968</stp>
        <tr r="F5" s="2"/>
      </tp>
      <tp t="s">
        <v>#N/A N/A</v>
        <stp/>
        <stp>BDP|15606738871386117694</stp>
        <tr r="S1250" s="2"/>
      </tp>
      <tp t="s">
        <v>#N/A N/A</v>
        <stp/>
        <stp>BDP|16531646757539266988</stp>
        <tr r="F1142" s="2"/>
      </tp>
      <tp t="s">
        <v>#N/A N/A</v>
        <stp/>
        <stp>BDP|12435679930762908063</stp>
        <tr r="P961" s="2"/>
      </tp>
      <tp t="s">
        <v>#N/A N/A</v>
        <stp/>
        <stp>BDP|10725058934711231783</stp>
        <tr r="D1116" s="2"/>
      </tp>
      <tp t="s">
        <v>#N/A N/A</v>
        <stp/>
        <stp>BDP|18432874158597571728</stp>
        <tr r="J1147" s="2"/>
      </tp>
      <tp t="s">
        <v>#N/A N/A</v>
        <stp/>
        <stp>BDP|12156509819693223065</stp>
        <tr r="M1572" s="2"/>
      </tp>
      <tp t="s">
        <v>#N/A N/A</v>
        <stp/>
        <stp>BDP|13569239026670878643</stp>
        <tr r="P1019" s="2"/>
      </tp>
      <tp t="s">
        <v>#N/A N/A</v>
        <stp/>
        <stp>BDP|15198566367311876247</stp>
        <tr r="S2092" s="2"/>
      </tp>
      <tp t="s">
        <v>#N/A N/A</v>
        <stp/>
        <stp>BDP|18276254476828858052</stp>
        <tr r="C2171" s="2"/>
      </tp>
      <tp t="s">
        <v>#N/A N/A</v>
        <stp/>
        <stp>BDP|16921023136782983282</stp>
        <tr r="D355" s="2"/>
      </tp>
      <tp t="s">
        <v>#N/A N/A</v>
        <stp/>
        <stp>BDP|11491078845207986738</stp>
        <tr r="D82" s="2"/>
      </tp>
      <tp t="s">
        <v>#N/A N/A</v>
        <stp/>
        <stp>BDP|13116396237550129623</stp>
        <tr r="P500" s="2"/>
      </tp>
      <tp t="s">
        <v>#N/A N/A</v>
        <stp/>
        <stp>BDP|11652505751251906521</stp>
        <tr r="K853" s="2"/>
      </tp>
      <tp t="s">
        <v>#N/A N/A</v>
        <stp/>
        <stp>BDP|11357374199678772663</stp>
        <tr r="K867" s="2"/>
      </tp>
      <tp t="s">
        <v>#N/A N/A</v>
        <stp/>
        <stp>BDP|11460737729957420669</stp>
        <tr r="D131" s="2"/>
      </tp>
      <tp t="s">
        <v>#N/A N/A</v>
        <stp/>
        <stp>BDP|16903534327580047417</stp>
        <tr r="K2139" s="2"/>
      </tp>
      <tp t="s">
        <v>#N/A N/A</v>
        <stp/>
        <stp>BDP|15530434701077959320</stp>
        <tr r="T935" s="2"/>
      </tp>
      <tp t="s">
        <v>#N/A N/A</v>
        <stp/>
        <stp>BDP|11815235440680293259</stp>
        <tr r="C515" s="2"/>
      </tp>
      <tp t="s">
        <v>#N/A N/A</v>
        <stp/>
        <stp>BDP|14576729112952105585</stp>
        <tr r="S1140" s="2"/>
      </tp>
      <tp t="s">
        <v>#N/A N/A</v>
        <stp/>
        <stp>BDP|10238395207127838186</stp>
        <tr r="H509" s="2"/>
      </tp>
      <tp t="s">
        <v>#N/A N/A</v>
        <stp/>
        <stp>BDP|11589819677879715289</stp>
        <tr r="M1988" s="2"/>
      </tp>
      <tp t="s">
        <v>#N/A N/A</v>
        <stp/>
        <stp>BDP|16127066164381656493</stp>
        <tr r="K1146" s="2"/>
      </tp>
      <tp t="s">
        <v>#N/A N/A</v>
        <stp/>
        <stp>BDP|14475324720563951333</stp>
        <tr r="R162" s="2"/>
      </tp>
      <tp t="s">
        <v>#N/A N/A</v>
        <stp/>
        <stp>BDP|11410094270003602075</stp>
        <tr r="R868" s="2"/>
      </tp>
      <tp t="s">
        <v>#N/A N/A</v>
        <stp/>
        <stp>BDP|11224076858477745663</stp>
        <tr r="O1036" s="2"/>
      </tp>
      <tp t="s">
        <v>#N/A N/A</v>
        <stp/>
        <stp>BDP|16850724497664787968</stp>
        <tr r="C1661" s="2"/>
      </tp>
      <tp t="s">
        <v>#N/A N/A</v>
        <stp/>
        <stp>BDP|11532515109277640677</stp>
        <tr r="S1907" s="2"/>
      </tp>
      <tp t="s">
        <v>#N/A N/A</v>
        <stp/>
        <stp>BDP|10282339768136276670</stp>
        <tr r="M391" s="2"/>
      </tp>
      <tp t="s">
        <v>#N/A N/A</v>
        <stp/>
        <stp>BDP|11335214714175837222</stp>
        <tr r="A181" s="2"/>
      </tp>
      <tp t="s">
        <v>#N/A N/A</v>
        <stp/>
        <stp>BDP|17526537675132921261</stp>
        <tr r="D2070" s="2"/>
      </tp>
      <tp t="s">
        <v>#N/A N/A</v>
        <stp/>
        <stp>BDP|16521456817176200093</stp>
        <tr r="P2185" s="2"/>
      </tp>
      <tp t="s">
        <v>#N/A N/A</v>
        <stp/>
        <stp>BDP|17569020797549944251</stp>
        <tr r="S956" s="2"/>
      </tp>
      <tp t="s">
        <v>#N/A N/A</v>
        <stp/>
        <stp>BDP|14778671075695829514</stp>
        <tr r="D1554" s="2"/>
      </tp>
      <tp t="s">
        <v>#N/A N/A</v>
        <stp/>
        <stp>BDP|13676014189338660640</stp>
        <tr r="T896" s="2"/>
      </tp>
      <tp t="s">
        <v>#N/A N/A</v>
        <stp/>
        <stp>BDP|13266620137474310785</stp>
        <tr r="J2142" s="2"/>
      </tp>
      <tp t="s">
        <v>#N/A N/A</v>
        <stp/>
        <stp>BDP|13159871281077280199</stp>
        <tr r="P1237" s="2"/>
      </tp>
      <tp t="s">
        <v>#N/A N/A</v>
        <stp/>
        <stp>BDP|14213235981619401287</stp>
        <tr r="O1296" s="2"/>
      </tp>
      <tp t="s">
        <v>#N/A N/A</v>
        <stp/>
        <stp>BDP|17205033379034636125</stp>
        <tr r="Q2254" s="2"/>
      </tp>
      <tp t="s">
        <v>#N/A N/A</v>
        <stp/>
        <stp>BDP|16847435591487258945</stp>
        <tr r="J1185" s="2"/>
      </tp>
      <tp t="s">
        <v>#N/A N/A</v>
        <stp/>
        <stp>BDP|15063523877620868211</stp>
        <tr r="O2047" s="2"/>
      </tp>
      <tp t="s">
        <v>#N/A N/A</v>
        <stp/>
        <stp>BDP|15524287832676817789</stp>
        <tr r="S1952" s="2"/>
      </tp>
      <tp t="s">
        <v>#N/A N/A</v>
        <stp/>
        <stp>BDP|15889424177243442061</stp>
        <tr r="G812" s="2"/>
      </tp>
      <tp t="s">
        <v>#N/A N/A</v>
        <stp/>
        <stp>BDS|12852288226520249787</stp>
        <tr r="I1240" s="2"/>
      </tp>
      <tp t="s">
        <v>#N/A N/A</v>
        <stp/>
        <stp>BDP|15087042950022958724</stp>
        <tr r="G553" s="2"/>
      </tp>
      <tp t="s">
        <v>#N/A N/A</v>
        <stp/>
        <stp>BDP|16608133381629289396</stp>
        <tr r="O1135" s="2"/>
      </tp>
      <tp t="s">
        <v>#N/A N/A</v>
        <stp/>
        <stp>BDP|14807856878318981637</stp>
        <tr r="F1948" s="2"/>
      </tp>
      <tp t="s">
        <v>#N/A N/A</v>
        <stp/>
        <stp>BDP|16991214736275238736</stp>
        <tr r="E324" s="2"/>
      </tp>
      <tp t="s">
        <v>#N/A N/A</v>
        <stp/>
        <stp>BDP|16151812186336185586</stp>
        <tr r="S1695" s="2"/>
      </tp>
      <tp t="s">
        <v>#N/A N/A</v>
        <stp/>
        <stp>BDP|13736072257104025788</stp>
        <tr r="M1715" s="2"/>
      </tp>
      <tp t="s">
        <v>#N/A N/A</v>
        <stp/>
        <stp>BDP|11933772971190423448</stp>
        <tr r="F1568" s="2"/>
      </tp>
      <tp t="s">
        <v>#N/A N/A</v>
        <stp/>
        <stp>BDP|17973366020977234421</stp>
        <tr r="D1729" s="2"/>
      </tp>
      <tp t="s">
        <v>#N/A N/A</v>
        <stp/>
        <stp>BDP|12639599242371001720</stp>
        <tr r="G993" s="2"/>
      </tp>
      <tp t="s">
        <v>#N/A N/A</v>
        <stp/>
        <stp>BDP|17963305957535195106</stp>
        <tr r="T1735" s="2"/>
      </tp>
      <tp t="s">
        <v>#N/A N/A</v>
        <stp/>
        <stp>BDP|12474019449695043635</stp>
        <tr r="E2216" s="2"/>
      </tp>
      <tp t="s">
        <v>#N/A N/A</v>
        <stp/>
        <stp>BDP|14451566944655949508</stp>
        <tr r="N1139" s="2"/>
      </tp>
      <tp t="s">
        <v>#N/A N/A</v>
        <stp/>
        <stp>BDP|12544070949884324777</stp>
        <tr r="O2204" s="2"/>
      </tp>
      <tp t="s">
        <v>#N/A N/A</v>
        <stp/>
        <stp>BDP|10580163241138543887</stp>
        <tr r="H2007" s="2"/>
      </tp>
      <tp t="s">
        <v>#N/A N/A</v>
        <stp/>
        <stp>BDP|11180736821277534697</stp>
        <tr r="C230" s="2"/>
      </tp>
      <tp t="s">
        <v>#N/A N/A</v>
        <stp/>
        <stp>BDP|15297454078803552058</stp>
        <tr r="O1843" s="2"/>
      </tp>
      <tp t="s">
        <v>#N/A N/A</v>
        <stp/>
        <stp>BDP|12837288643123865244</stp>
        <tr r="O1249" s="2"/>
      </tp>
      <tp t="s">
        <v>#N/A N/A</v>
        <stp/>
        <stp>BDP|15874226003610387257</stp>
        <tr r="J1389" s="2"/>
      </tp>
      <tp t="s">
        <v>#N/A N/A</v>
        <stp/>
        <stp>BDP|10805663070790686473</stp>
        <tr r="J1403" s="2"/>
      </tp>
      <tp t="s">
        <v>#N/A N/A</v>
        <stp/>
        <stp>BDP|11615331684059962679</stp>
        <tr r="D429" s="2"/>
      </tp>
      <tp t="s">
        <v>#N/A N/A</v>
        <stp/>
        <stp>BDP|10002531448941024545</stp>
        <tr r="S599" s="2"/>
      </tp>
      <tp t="s">
        <v>#N/A N/A</v>
        <stp/>
        <stp>BDP|10749789163716638256</stp>
        <tr r="G2238" s="2"/>
      </tp>
      <tp t="s">
        <v>#N/A N/A</v>
        <stp/>
        <stp>BDP|16907197378015685010</stp>
        <tr r="R1540" s="2"/>
      </tp>
      <tp t="s">
        <v>#N/A N/A</v>
        <stp/>
        <stp>BDP|15896740778026900626</stp>
        <tr r="O1860" s="2"/>
      </tp>
      <tp t="s">
        <v>#N/A N/A</v>
        <stp/>
        <stp>BDP|16645538602082818402</stp>
        <tr r="E704" s="2"/>
      </tp>
      <tp t="s">
        <v>#N/A N/A</v>
        <stp/>
        <stp>BDP|13091559568730099520</stp>
        <tr r="F652" s="2"/>
      </tp>
      <tp t="s">
        <v>#N/A N/A</v>
        <stp/>
        <stp>BDP|16929495718816786009</stp>
        <tr r="M69" s="2"/>
      </tp>
      <tp t="s">
        <v>#N/A N/A</v>
        <stp/>
        <stp>BDP|17807248021611243304</stp>
        <tr r="Q487" s="2"/>
      </tp>
      <tp t="s">
        <v>#N/A N/A</v>
        <stp/>
        <stp>BDS|11575423419270013129</stp>
        <tr r="I765" s="2"/>
      </tp>
      <tp t="s">
        <v>#N/A N/A</v>
        <stp/>
        <stp>BDS|17844549752355007720</stp>
        <tr r="I1734" s="2"/>
      </tp>
      <tp t="s">
        <v>#N/A N/A</v>
        <stp/>
        <stp>BDP|13806126520850134543</stp>
        <tr r="T461" s="2"/>
      </tp>
      <tp t="s">
        <v>#N/A N/A</v>
        <stp/>
        <stp>BDP|11519023171950102386</stp>
        <tr r="C1690" s="2"/>
      </tp>
      <tp t="s">
        <v>#N/A N/A</v>
        <stp/>
        <stp>BDP|16271020828908316942</stp>
        <tr r="C1364" s="2"/>
      </tp>
      <tp t="s">
        <v>#N/A N/A</v>
        <stp/>
        <stp>BDP|11705578357490036482</stp>
        <tr r="P1359" s="2"/>
      </tp>
      <tp t="s">
        <v>#N/A N/A</v>
        <stp/>
        <stp>BDP|17617488263366225605</stp>
        <tr r="R1774" s="2"/>
      </tp>
      <tp t="s">
        <v>#N/A N/A</v>
        <stp/>
        <stp>BDP|14933676836932504620</stp>
        <tr r="R1077" s="2"/>
      </tp>
      <tp t="s">
        <v>#N/A N/A</v>
        <stp/>
        <stp>BDP|16340061850142906438</stp>
        <tr r="J1408" s="2"/>
      </tp>
      <tp t="s">
        <v>#N/A N/A</v>
        <stp/>
        <stp>BDP|18386277229028222501</stp>
        <tr r="R1909" s="2"/>
      </tp>
      <tp t="s">
        <v>#N/A N/A</v>
        <stp/>
        <stp>BDP|15371539048309637812</stp>
        <tr r="F531" s="2"/>
      </tp>
      <tp t="s">
        <v>#N/A N/A</v>
        <stp/>
        <stp>BDP|16446163291352900958</stp>
        <tr r="N456" s="2"/>
      </tp>
      <tp t="s">
        <v>#N/A N/A</v>
        <stp/>
        <stp>BDP|14830784848665571725</stp>
        <tr r="P1006" s="2"/>
      </tp>
      <tp t="s">
        <v>#N/A N/A</v>
        <stp/>
        <stp>BDP|14579735946172989068</stp>
        <tr r="G501" s="2"/>
      </tp>
      <tp t="s">
        <v>#N/A N/A</v>
        <stp/>
        <stp>BDP|12414493084283527831</stp>
        <tr r="O1469" s="2"/>
      </tp>
      <tp t="s">
        <v>#N/A N/A</v>
        <stp/>
        <stp>BDP|14644257674515056180</stp>
        <tr r="O2258" s="2"/>
      </tp>
      <tp t="s">
        <v>#N/A N/A</v>
        <stp/>
        <stp>BDP|10501732331906185790</stp>
        <tr r="F1094" s="2"/>
      </tp>
      <tp t="s">
        <v>#N/A N/A</v>
        <stp/>
        <stp>BDP|14952343923298041813</stp>
        <tr r="N1194" s="2"/>
      </tp>
      <tp t="s">
        <v>#N/A N/A</v>
        <stp/>
        <stp>BDP|14171327013555819676</stp>
        <tr r="F125" s="2"/>
      </tp>
      <tp t="s">
        <v>#N/A N/A</v>
        <stp/>
        <stp>BDP|11134051099394045927</stp>
        <tr r="D1827" s="2"/>
      </tp>
      <tp t="s">
        <v>#N/A N/A</v>
        <stp/>
        <stp>BDP|12218072285079995668</stp>
        <tr r="S4" s="2"/>
      </tp>
      <tp t="s">
        <v>#N/A N/A</v>
        <stp/>
        <stp>BDP|11531521373384800233</stp>
        <tr r="N583" s="2"/>
      </tp>
      <tp t="s">
        <v>#N/A N/A</v>
        <stp/>
        <stp>BDP|17455045737614849500</stp>
        <tr r="R113" s="2"/>
      </tp>
      <tp t="s">
        <v>#N/A N/A</v>
        <stp/>
        <stp>BDP|14667989289557001788</stp>
        <tr r="A1495" s="2"/>
      </tp>
      <tp t="s">
        <v>#N/A N/A</v>
        <stp/>
        <stp>BDP|11498890250930539971</stp>
        <tr r="R1421" s="2"/>
      </tp>
      <tp t="s">
        <v>#N/A N/A</v>
        <stp/>
        <stp>BDP|12884851169041921829</stp>
        <tr r="H2080" s="2"/>
      </tp>
      <tp t="s">
        <v>#N/A N/A</v>
        <stp/>
        <stp>BDP|14931831867117328813</stp>
        <tr r="M470" s="2"/>
      </tp>
      <tp t="s">
        <v>#N/A N/A</v>
        <stp/>
        <stp>BDP|13184447051885250293</stp>
        <tr r="E37" s="2"/>
      </tp>
      <tp t="s">
        <v>#N/A N/A</v>
        <stp/>
        <stp>BDP|12925667470383977590</stp>
        <tr r="P405" s="2"/>
      </tp>
      <tp t="s">
        <v>#N/A N/A</v>
        <stp/>
        <stp>BDP|13598861008116292861</stp>
        <tr r="M269" s="2"/>
      </tp>
      <tp t="s">
        <v>#N/A N/A</v>
        <stp/>
        <stp>BDP|15567360653392873473</stp>
        <tr r="N1402" s="2"/>
      </tp>
      <tp t="s">
        <v>#N/A N/A</v>
        <stp/>
        <stp>BDP|12199251229545255209</stp>
        <tr r="Q1009" s="2"/>
      </tp>
      <tp t="s">
        <v>#N/A N/A</v>
        <stp/>
        <stp>BDP|16410031513423371182</stp>
        <tr r="N292" s="2"/>
      </tp>
      <tp t="s">
        <v>#N/A N/A</v>
        <stp/>
        <stp>BDP|15982021690901537812</stp>
        <tr r="N1379" s="2"/>
      </tp>
      <tp t="s">
        <v>#N/A N/A</v>
        <stp/>
        <stp>BDP|10247557763484264291</stp>
        <tr r="O964" s="2"/>
      </tp>
      <tp t="s">
        <v>#N/A N/A</v>
        <stp/>
        <stp>BDP|11039285418337970062</stp>
        <tr r="K2227" s="2"/>
      </tp>
      <tp t="s">
        <v>#N/A N/A</v>
        <stp/>
        <stp>BDP|14645085441090851584</stp>
        <tr r="K1653" s="2"/>
      </tp>
      <tp t="s">
        <v>#N/A N/A</v>
        <stp/>
        <stp>BDP|17365975469855231808</stp>
        <tr r="K2099" s="2"/>
      </tp>
      <tp t="s">
        <v>#N/A N/A</v>
        <stp/>
        <stp>BDP|17427365417144212487</stp>
        <tr r="G1999" s="2"/>
      </tp>
      <tp t="s">
        <v>#N/A N/A</v>
        <stp/>
        <stp>BDP|16867106207225421740</stp>
        <tr r="R1721" s="2"/>
      </tp>
      <tp t="s">
        <v>#N/A N/A</v>
        <stp/>
        <stp>BDP|10225023420860705789</stp>
        <tr r="C1100" s="2"/>
      </tp>
      <tp t="s">
        <v>#N/A N/A</v>
        <stp/>
        <stp>BDP|14341835189573508233</stp>
        <tr r="E739" s="2"/>
      </tp>
      <tp t="s">
        <v>#N/A N/A</v>
        <stp/>
        <stp>BDP|15748724716236913054</stp>
        <tr r="H850" s="2"/>
      </tp>
      <tp t="s">
        <v>#N/A N/A</v>
        <stp/>
        <stp>BDP|10272757520853869309</stp>
        <tr r="E982" s="2"/>
      </tp>
      <tp t="s">
        <v>#N/A N/A</v>
        <stp/>
        <stp>BDS|10923624506643975080</stp>
        <tr r="I1620" s="2"/>
      </tp>
      <tp t="s">
        <v>#N/A N/A</v>
        <stp/>
        <stp>BDP|14019904981792604284</stp>
        <tr r="A40" s="2"/>
      </tp>
      <tp t="s">
        <v>#N/A N/A</v>
        <stp/>
        <stp>BDP|17354698977016220509</stp>
        <tr r="E841" s="2"/>
      </tp>
      <tp t="s">
        <v>#N/A N/A</v>
        <stp/>
        <stp>BDP|11664195700183562652</stp>
        <tr r="D369" s="2"/>
      </tp>
      <tp t="s">
        <v>#N/A N/A</v>
        <stp/>
        <stp>BDP|12929445135745519527</stp>
        <tr r="G461" s="2"/>
      </tp>
      <tp t="s">
        <v>#N/A N/A</v>
        <stp/>
        <stp>BDP|17332891293136505535</stp>
        <tr r="H198" s="2"/>
      </tp>
      <tp t="s">
        <v>#N/A N/A</v>
        <stp/>
        <stp>BDP|10096831149878570101</stp>
        <tr r="H706" s="2"/>
      </tp>
      <tp t="s">
        <v>#N/A N/A</v>
        <stp/>
        <stp>BDP|15275474677402443195</stp>
        <tr r="S394" s="2"/>
      </tp>
      <tp t="s">
        <v>#N/A N/A</v>
        <stp/>
        <stp>BDS|13458823253033821811</stp>
        <tr r="I952" s="2"/>
      </tp>
      <tp t="s">
        <v>#N/A N/A</v>
        <stp/>
        <stp>BDP|16566648943530467198</stp>
        <tr r="J1697" s="2"/>
      </tp>
      <tp t="s">
        <v>#N/A N/A</v>
        <stp/>
        <stp>BDP|11562599122254483750</stp>
        <tr r="E608" s="2"/>
      </tp>
      <tp t="s">
        <v>#N/A N/A</v>
        <stp/>
        <stp>BDP|17205904227358232181</stp>
        <tr r="M631" s="2"/>
      </tp>
      <tp t="s">
        <v>#N/A N/A</v>
        <stp/>
        <stp>BDP|11102014433365438280</stp>
        <tr r="P2142" s="2"/>
      </tp>
      <tp t="s">
        <v>#N/A N/A</v>
        <stp/>
        <stp>BDP|14970155757657096249</stp>
        <tr r="G870" s="2"/>
      </tp>
      <tp t="s">
        <v>#N/A N/A</v>
        <stp/>
        <stp>BDP|16591549234507224283</stp>
        <tr r="C1199" s="2"/>
      </tp>
      <tp t="s">
        <v>#N/A N/A</v>
        <stp/>
        <stp>BDP|11930103155262371201</stp>
        <tr r="M602" s="2"/>
      </tp>
      <tp t="s">
        <v>#N/A N/A</v>
        <stp/>
        <stp>BDP|10442393397616670932</stp>
        <tr r="O1923" s="2"/>
      </tp>
      <tp t="s">
        <v>#N/A N/A</v>
        <stp/>
        <stp>BDP|12200034503963993440</stp>
        <tr r="S1742" s="2"/>
      </tp>
      <tp t="s">
        <v>#N/A N/A</v>
        <stp/>
        <stp>BDS|13714723784730443995</stp>
        <tr r="I2252" s="2"/>
      </tp>
      <tp t="s">
        <v>#N/A N/A</v>
        <stp/>
        <stp>BDS|15894641982796257811</stp>
        <tr r="I1621" s="2"/>
      </tp>
      <tp t="s">
        <v>#N/A N/A</v>
        <stp/>
        <stp>BDP|15654120801248853938</stp>
        <tr r="E1178" s="2"/>
      </tp>
      <tp t="s">
        <v>#N/A N/A</v>
        <stp/>
        <stp>BDP|12293733238546400535</stp>
        <tr r="A2031" s="2"/>
      </tp>
      <tp t="s">
        <v>#N/A N/A</v>
        <stp/>
        <stp>BDP|13900378112520054422</stp>
        <tr r="P1270" s="2"/>
      </tp>
      <tp t="s">
        <v>#N/A N/A</v>
        <stp/>
        <stp>BDP|18200092562612163968</stp>
        <tr r="R806" s="2"/>
      </tp>
      <tp t="s">
        <v>#N/A N/A</v>
        <stp/>
        <stp>BDP|13629973962768446198</stp>
        <tr r="R293" s="2"/>
      </tp>
      <tp t="s">
        <v>#N/A N/A</v>
        <stp/>
        <stp>BDP|10793014534062472480</stp>
        <tr r="N1405" s="2"/>
      </tp>
      <tp t="s">
        <v>#N/A N/A</v>
        <stp/>
        <stp>BDP|14349819013689909162</stp>
        <tr r="K417" s="2"/>
      </tp>
      <tp t="s">
        <v>#N/A N/A</v>
        <stp/>
        <stp>BDP|14470537389524180814</stp>
        <tr r="D413" s="2"/>
      </tp>
      <tp t="s">
        <v>#N/A N/A</v>
        <stp/>
        <stp>BDP|11974621136937266610</stp>
        <tr r="H1938" s="2"/>
      </tp>
      <tp t="s">
        <v>#N/A N/A</v>
        <stp/>
        <stp>BDP|16487786028865299387</stp>
        <tr r="A692" s="2"/>
      </tp>
      <tp t="s">
        <v>#N/A N/A</v>
        <stp/>
        <stp>BDP|12817429040532352570</stp>
        <tr r="O591" s="2"/>
      </tp>
      <tp t="s">
        <v>#N/A N/A</v>
        <stp/>
        <stp>BDP|12214896706068018739</stp>
        <tr r="A1485" s="2"/>
      </tp>
      <tp t="s">
        <v>#N/A N/A</v>
        <stp/>
        <stp>BDP|15304045698478283136</stp>
        <tr r="A1599" s="2"/>
      </tp>
      <tp t="s">
        <v>#N/A N/A</v>
        <stp/>
        <stp>BDP|12583715566047579194</stp>
        <tr r="C569" s="2"/>
      </tp>
      <tp t="s">
        <v>#N/A N/A</v>
        <stp/>
        <stp>BDP|12140867049439605269</stp>
        <tr r="K223" s="2"/>
      </tp>
      <tp t="s">
        <v>#N/A N/A</v>
        <stp/>
        <stp>BDP|15886556167837384470</stp>
        <tr r="M1529" s="2"/>
      </tp>
      <tp t="s">
        <v>#N/A N/A</v>
        <stp/>
        <stp>BDP|10102632938916316677</stp>
        <tr r="G435" s="2"/>
      </tp>
      <tp t="s">
        <v>#N/A N/A</v>
        <stp/>
        <stp>BDP|16835467346801288249</stp>
        <tr r="H1556" s="2"/>
      </tp>
      <tp t="s">
        <v>#N/A N/A</v>
        <stp/>
        <stp>BDP|17002593364708498970</stp>
        <tr r="A391" s="2"/>
      </tp>
      <tp t="s">
        <v>#N/A N/A</v>
        <stp/>
        <stp>BDP|13801631146954562063</stp>
        <tr r="E2000" s="2"/>
      </tp>
      <tp t="s">
        <v>#N/A N/A</v>
        <stp/>
        <stp>BDP|18380586590012103342</stp>
        <tr r="E1335" s="2"/>
      </tp>
      <tp t="s">
        <v>#N/A N/A</v>
        <stp/>
        <stp>BDP|17806535086396131926</stp>
        <tr r="F1410" s="2"/>
      </tp>
      <tp t="s">
        <v>#N/A N/A</v>
        <stp/>
        <stp>BDP|10321601558993107549</stp>
        <tr r="R474" s="2"/>
      </tp>
      <tp t="s">
        <v>#N/A N/A</v>
        <stp/>
        <stp>BDP|11502997537846546808</stp>
        <tr r="K1769" s="2"/>
      </tp>
      <tp t="s">
        <v>#N/A N/A</v>
        <stp/>
        <stp>BDP|13224595746145514264</stp>
        <tr r="T1282" s="2"/>
      </tp>
      <tp t="s">
        <v>#N/A N/A</v>
        <stp/>
        <stp>BDS|14700386883732516842</stp>
        <tr r="I181" s="2"/>
      </tp>
      <tp t="s">
        <v>#N/A N/A</v>
        <stp/>
        <stp>BDP|15313951984570855142</stp>
        <tr r="N1793" s="2"/>
      </tp>
      <tp t="s">
        <v>#N/A N/A</v>
        <stp/>
        <stp>BDP|13130053325393841775</stp>
        <tr r="F833" s="2"/>
      </tp>
      <tp t="s">
        <v>#N/A N/A</v>
        <stp/>
        <stp>BDP|14262214587612341992</stp>
        <tr r="T2061" s="2"/>
      </tp>
      <tp t="s">
        <v>#N/A N/A</v>
        <stp/>
        <stp>BDP|13481272877426290586</stp>
        <tr r="P1244" s="2"/>
      </tp>
      <tp t="s">
        <v>#N/A N/A</v>
        <stp/>
        <stp>BDP|11596023408814129001</stp>
        <tr r="P128" s="2"/>
      </tp>
      <tp t="s">
        <v>#N/A N/A</v>
        <stp/>
        <stp>BDP|16543234317420926067</stp>
        <tr r="F943" s="2"/>
      </tp>
      <tp t="s">
        <v>#N/A N/A</v>
        <stp/>
        <stp>BDP|12312152548055442746</stp>
        <tr r="K1815" s="2"/>
      </tp>
      <tp t="s">
        <v>#N/A N/A</v>
        <stp/>
        <stp>BDP|13328354125322808554</stp>
        <tr r="D1725" s="2"/>
      </tp>
      <tp t="s">
        <v>#N/A N/A</v>
        <stp/>
        <stp>BDP|15417733751750166292</stp>
        <tr r="E938" s="2"/>
      </tp>
      <tp t="s">
        <v>#N/A N/A</v>
        <stp/>
        <stp>BDP|12040008761332686396</stp>
        <tr r="A991" s="2"/>
      </tp>
      <tp t="s">
        <v>#N/A N/A</v>
        <stp/>
        <stp>BDP|11957101659488911871</stp>
        <tr r="K1095" s="2"/>
      </tp>
      <tp t="s">
        <v>#N/A N/A</v>
        <stp/>
        <stp>BDP|11807475119305817407</stp>
        <tr r="A389" s="2"/>
      </tp>
      <tp t="s">
        <v>#N/A N/A</v>
        <stp/>
        <stp>BDP|10469083823240066711</stp>
        <tr r="P1162" s="2"/>
      </tp>
      <tp t="s">
        <v>#N/A N/A</v>
        <stp/>
        <stp>BDP|11512756009251069274</stp>
        <tr r="D2082" s="2"/>
      </tp>
      <tp t="s">
        <v>#N/A N/A</v>
        <stp/>
        <stp>BDP|15802177448790151582</stp>
        <tr r="Q1078" s="2"/>
      </tp>
      <tp t="s">
        <v>#N/A N/A</v>
        <stp/>
        <stp>BDP|12509006559147721552</stp>
        <tr r="M356" s="2"/>
      </tp>
      <tp t="s">
        <v>#N/A N/A</v>
        <stp/>
        <stp>BDP|10536321320450805411</stp>
        <tr r="P906" s="2"/>
      </tp>
      <tp t="s">
        <v>#N/A N/A</v>
        <stp/>
        <stp>BDP|12184627120735593686</stp>
        <tr r="K1908" s="2"/>
      </tp>
      <tp t="s">
        <v>#N/A N/A</v>
        <stp/>
        <stp>BDP|15995138912798732812</stp>
        <tr r="T1736" s="2"/>
      </tp>
      <tp t="s">
        <v>#N/A N/A</v>
        <stp/>
        <stp>BDP|12830095961282837360</stp>
        <tr r="N645" s="2"/>
      </tp>
      <tp t="s">
        <v>#N/A N/A</v>
        <stp/>
        <stp>BDP|17998391041207785284</stp>
        <tr r="F1972" s="2"/>
      </tp>
      <tp t="s">
        <v>#N/A N/A</v>
        <stp/>
        <stp>BDP|14238215299048281268</stp>
        <tr r="D1859" s="2"/>
      </tp>
      <tp t="s">
        <v>#N/A N/A</v>
        <stp/>
        <stp>BDP|12988412522847710635</stp>
        <tr r="N348" s="2"/>
      </tp>
      <tp t="s">
        <v>#N/A N/A</v>
        <stp/>
        <stp>BDP|10153681020257621612</stp>
        <tr r="R160" s="2"/>
      </tp>
      <tp t="s">
        <v>#N/A N/A</v>
        <stp/>
        <stp>BDP|17858664599284826917</stp>
        <tr r="K719" s="2"/>
      </tp>
      <tp t="s">
        <v>#N/A N/A</v>
        <stp/>
        <stp>BDP|12202097367694155531</stp>
        <tr r="N968" s="2"/>
      </tp>
      <tp t="s">
        <v>#N/A N/A</v>
        <stp/>
        <stp>BDP|12964135372379055860</stp>
        <tr r="D758" s="2"/>
      </tp>
      <tp t="s">
        <v>#N/A N/A</v>
        <stp/>
        <stp>BDP|11802423615710894198</stp>
        <tr r="D828" s="2"/>
      </tp>
      <tp t="s">
        <v>#N/A N/A</v>
        <stp/>
        <stp>BDP|14128978433848279390</stp>
        <tr r="E1878" s="2"/>
      </tp>
      <tp t="s">
        <v>#N/A N/A</v>
        <stp/>
        <stp>BDP|16108765148492342220</stp>
        <tr r="P785" s="2"/>
      </tp>
      <tp t="s">
        <v>#N/A N/A</v>
        <stp/>
        <stp>BDP|10549397053171769260</stp>
        <tr r="E571" s="2"/>
      </tp>
      <tp t="s">
        <v>#N/A N/A</v>
        <stp/>
        <stp>BDP|12743390570140144315</stp>
        <tr r="C325" s="2"/>
      </tp>
      <tp t="s">
        <v>#N/A N/A</v>
        <stp/>
        <stp>BDP|13006035368546612635</stp>
        <tr r="E1627" s="2"/>
      </tp>
      <tp t="s">
        <v>#N/A N/A</v>
        <stp/>
        <stp>BDP|18230350946802995899</stp>
        <tr r="K1919" s="2"/>
      </tp>
      <tp t="s">
        <v>#N/A N/A</v>
        <stp/>
        <stp>BDP|12068532670101170439</stp>
        <tr r="P939" s="2"/>
      </tp>
      <tp t="s">
        <v>#N/A N/A</v>
        <stp/>
        <stp>BDP|11220529471351169715</stp>
        <tr r="T279" s="2"/>
      </tp>
      <tp t="s">
        <v>#N/A N/A</v>
        <stp/>
        <stp>BDP|17234402274485565428</stp>
        <tr r="Q863" s="2"/>
      </tp>
      <tp t="s">
        <v>#N/A N/A</v>
        <stp/>
        <stp>BDP|11353768666586307313</stp>
        <tr r="F292" s="2"/>
      </tp>
      <tp t="s">
        <v>#N/A N/A</v>
        <stp/>
        <stp>BDP|17693925793503031161</stp>
        <tr r="N242" s="2"/>
      </tp>
      <tp t="s">
        <v>#N/A N/A</v>
        <stp/>
        <stp>BDS|16124604503921476443</stp>
        <tr r="I1313" s="2"/>
      </tp>
      <tp t="s">
        <v>#N/A N/A</v>
        <stp/>
        <stp>BDP|10525347297959073670</stp>
        <tr r="P112" s="2"/>
      </tp>
      <tp t="s">
        <v>#N/A N/A</v>
        <stp/>
        <stp>BDP|15329133697348786010</stp>
        <tr r="R1712" s="2"/>
      </tp>
      <tp t="s">
        <v>#N/A N/A</v>
        <stp/>
        <stp>BDP|12743493995713323998</stp>
        <tr r="N1330" s="2"/>
      </tp>
      <tp t="s">
        <v>#N/A N/A</v>
        <stp/>
        <stp>BDS|18252851945325341439</stp>
        <tr r="I761" s="2"/>
      </tp>
      <tp t="s">
        <v>#N/A N/A</v>
        <stp/>
        <stp>BDP|11307054160951224355</stp>
        <tr r="E473" s="2"/>
      </tp>
      <tp t="s">
        <v>#N/A N/A</v>
        <stp/>
        <stp>BDP|15806969358695234955</stp>
        <tr r="J1629" s="2"/>
      </tp>
      <tp t="s">
        <v>#N/A N/A</v>
        <stp/>
        <stp>BDP|15585045770595011200</stp>
        <tr r="K850" s="2"/>
      </tp>
      <tp t="s">
        <v>#N/A N/A</v>
        <stp/>
        <stp>BDP|10181889114984858844</stp>
        <tr r="R512" s="2"/>
      </tp>
      <tp t="s">
        <v>#N/A N/A</v>
        <stp/>
        <stp>BDP|11394056846199745963</stp>
        <tr r="E223" s="2"/>
      </tp>
      <tp t="s">
        <v>#N/A N/A</v>
        <stp/>
        <stp>BDP|15472945443714255909</stp>
        <tr r="F1773" s="2"/>
      </tp>
      <tp t="s">
        <v>#N/A N/A</v>
        <stp/>
        <stp>BDP|16246671611785235179</stp>
        <tr r="E1897" s="2"/>
      </tp>
      <tp t="s">
        <v>#N/A N/A</v>
        <stp/>
        <stp>BDP|16798245404546547735</stp>
        <tr r="N1450" s="2"/>
      </tp>
      <tp t="s">
        <v>#N/A N/A</v>
        <stp/>
        <stp>BDP|16404052741824008312</stp>
        <tr r="K2049" s="2"/>
      </tp>
      <tp t="s">
        <v>#N/A N/A</v>
        <stp/>
        <stp>BDP|17443422415662005528</stp>
        <tr r="C577" s="2"/>
      </tp>
      <tp t="s">
        <v>#N/A N/A</v>
        <stp/>
        <stp>BDS|13281570702406322566</stp>
        <tr r="I388" s="2"/>
      </tp>
      <tp t="s">
        <v>#N/A N/A</v>
        <stp/>
        <stp>BDP|12901601768860387739</stp>
        <tr r="D606" s="2"/>
      </tp>
      <tp t="s">
        <v>#N/A N/A</v>
        <stp/>
        <stp>BDP|16620172758826815101</stp>
        <tr r="H556" s="2"/>
      </tp>
      <tp t="s">
        <v>#N/A N/A</v>
        <stp/>
        <stp>BDP|17795856583433853186</stp>
        <tr r="C372" s="2"/>
      </tp>
      <tp t="s">
        <v>#N/A N/A</v>
        <stp/>
        <stp>BDP|14605288254546960023</stp>
        <tr r="T220" s="2"/>
      </tp>
      <tp t="s">
        <v>#N/A N/A</v>
        <stp/>
        <stp>BDP|15441526954639289914</stp>
        <tr r="D262" s="2"/>
      </tp>
      <tp t="s">
        <v>#N/A N/A</v>
        <stp/>
        <stp>BDP|10146028614211519530</stp>
        <tr r="D986" s="2"/>
      </tp>
      <tp t="s">
        <v>#N/A N/A</v>
        <stp/>
        <stp>BDP|15427645073103502279</stp>
        <tr r="P754" s="2"/>
      </tp>
      <tp t="s">
        <v>#N/A N/A</v>
        <stp/>
        <stp>BDP|17710638475275334637</stp>
        <tr r="M626" s="2"/>
      </tp>
      <tp t="s">
        <v>#N/A N/A</v>
        <stp/>
        <stp>BDS|11439170148882976303</stp>
        <tr r="I403" s="2"/>
      </tp>
      <tp t="s">
        <v>#N/A N/A</v>
        <stp/>
        <stp>BDP|10956616531536911618</stp>
        <tr r="E1135" s="2"/>
      </tp>
      <tp t="s">
        <v>#N/A N/A</v>
        <stp/>
        <stp>BDP|15755279764425553102</stp>
        <tr r="O1517" s="2"/>
      </tp>
      <tp t="s">
        <v>#N/A N/A</v>
        <stp/>
        <stp>BDP|13428167735805712112</stp>
        <tr r="K621" s="2"/>
      </tp>
      <tp t="s">
        <v>#N/A N/A</v>
        <stp/>
        <stp>BDP|10793925690033738631</stp>
        <tr r="O977" s="2"/>
      </tp>
      <tp t="s">
        <v>#N/A N/A</v>
        <stp/>
        <stp>BDP|18435057521786743969</stp>
        <tr r="M1972" s="2"/>
      </tp>
      <tp t="s">
        <v>#N/A N/A</v>
        <stp/>
        <stp>BDP|16765609183209453416</stp>
        <tr r="D141" s="2"/>
      </tp>
      <tp t="s">
        <v>#N/A N/A</v>
        <stp/>
        <stp>BDP|16193682229115233237</stp>
        <tr r="T2131" s="2"/>
      </tp>
      <tp t="s">
        <v>#N/A N/A</v>
        <stp/>
        <stp>BDS|12613145638314827108</stp>
        <tr r="I1820" s="2"/>
      </tp>
      <tp t="s">
        <v>#N/A N/A</v>
        <stp/>
        <stp>BDP|16271353500356487623</stp>
        <tr r="J716" s="2"/>
      </tp>
      <tp t="s">
        <v>#N/A N/A</v>
        <stp/>
        <stp>BDP|12419163343061326333</stp>
        <tr r="A1415" s="2"/>
      </tp>
      <tp t="s">
        <v>#N/A N/A</v>
        <stp/>
        <stp>BDP|17620533071541723125</stp>
        <tr r="D1816" s="2"/>
      </tp>
      <tp t="s">
        <v>#N/A N/A</v>
        <stp/>
        <stp>BDP|12756925697635662253</stp>
        <tr r="R1644" s="2"/>
      </tp>
      <tp t="s">
        <v>#N/A N/A</v>
        <stp/>
        <stp>BDP|13076123657500431201</stp>
        <tr r="E2165" s="2"/>
      </tp>
      <tp t="s">
        <v>#N/A N/A</v>
        <stp/>
        <stp>BDP|15054500054261322166</stp>
        <tr r="M1020" s="2"/>
      </tp>
      <tp t="s">
        <v>#N/A N/A</v>
        <stp/>
        <stp>BDP|10034327772227232636</stp>
        <tr r="C1938" s="2"/>
      </tp>
      <tp t="s">
        <v>#N/A N/A</v>
        <stp/>
        <stp>BDP|10124773637217051605</stp>
        <tr r="R919" s="2"/>
      </tp>
      <tp t="s">
        <v>#N/A N/A</v>
        <stp/>
        <stp>BDP|17412632615253139620</stp>
        <tr r="C2034" s="2"/>
      </tp>
      <tp t="s">
        <v>#N/A N/A</v>
        <stp/>
        <stp>BDP|10714943092434753171</stp>
        <tr r="G1643" s="2"/>
      </tp>
      <tp t="s">
        <v>#N/A N/A</v>
        <stp/>
        <stp>BDP|17258057332098605920</stp>
        <tr r="S1877" s="2"/>
      </tp>
      <tp t="s">
        <v>#N/A N/A</v>
        <stp/>
        <stp>BDP|11350376457541516375</stp>
        <tr r="F857" s="2"/>
      </tp>
      <tp t="s">
        <v>#N/A N/A</v>
        <stp/>
        <stp>BDP|18220452941665569822</stp>
        <tr r="T694" s="2"/>
      </tp>
      <tp t="s">
        <v>#N/A N/A</v>
        <stp/>
        <stp>BDP|12054583605717922551</stp>
        <tr r="G1779" s="2"/>
      </tp>
      <tp t="s">
        <v>#N/A N/A</v>
        <stp/>
        <stp>BDP|18413788492855922661</stp>
        <tr r="R1123" s="2"/>
      </tp>
      <tp t="s">
        <v>#N/A N/A</v>
        <stp/>
        <stp>BDS|14774764550657714446</stp>
        <tr r="I1553" s="2"/>
      </tp>
      <tp t="s">
        <v>#N/A N/A</v>
        <stp/>
        <stp>BDP|17758617906315243137</stp>
        <tr r="C1030" s="2"/>
      </tp>
      <tp t="s">
        <v>#N/A N/A</v>
        <stp/>
        <stp>BDP|15118045912996486724</stp>
        <tr r="R1110" s="2"/>
      </tp>
      <tp t="s">
        <v>#N/A N/A</v>
        <stp/>
        <stp>BDP|15044770140796124570</stp>
        <tr r="G1001" s="2"/>
      </tp>
      <tp t="s">
        <v>#N/A N/A</v>
        <stp/>
        <stp>BDP|14048663071357458720</stp>
        <tr r="T1982" s="2"/>
      </tp>
      <tp t="s">
        <v>#N/A N/A</v>
        <stp/>
        <stp>BDP|14668286229982404328</stp>
        <tr r="H1521" s="2"/>
      </tp>
      <tp t="s">
        <v>#N/A N/A</v>
        <stp/>
        <stp>BDP|16870063319156475423</stp>
        <tr r="J423" s="2"/>
      </tp>
      <tp t="s">
        <v>#N/A N/A</v>
        <stp/>
        <stp>BDP|12726633427075629643</stp>
        <tr r="Q136" s="2"/>
      </tp>
      <tp t="s">
        <v>#N/A N/A</v>
        <stp/>
        <stp>BDP|17411717114390435446</stp>
        <tr r="S1222" s="2"/>
      </tp>
      <tp t="s">
        <v>#N/A N/A</v>
        <stp/>
        <stp>BDP|12311409649290291793</stp>
        <tr r="J525" s="2"/>
      </tp>
      <tp t="s">
        <v>#N/A N/A</v>
        <stp/>
        <stp>BDP|10423361366902128248</stp>
        <tr r="N233" s="2"/>
      </tp>
      <tp t="s">
        <v>#N/A N/A</v>
        <stp/>
        <stp>BDP|10134074274485738740</stp>
        <tr r="E962" s="2"/>
      </tp>
      <tp t="s">
        <v>#N/A N/A</v>
        <stp/>
        <stp>BDP|15101415312464108126</stp>
        <tr r="N128" s="2"/>
      </tp>
      <tp t="s">
        <v>#N/A N/A</v>
        <stp/>
        <stp>BDP|15805999547984701907</stp>
        <tr r="N723" s="2"/>
      </tp>
      <tp t="s">
        <v>#N/A N/A</v>
        <stp/>
        <stp>BDP|15421341313400277207</stp>
        <tr r="F2118" s="2"/>
      </tp>
      <tp t="s">
        <v>#N/A N/A</v>
        <stp/>
        <stp>BDP|14405623736655150107</stp>
        <tr r="K1382" s="2"/>
      </tp>
      <tp t="s">
        <v>#N/A N/A</v>
        <stp/>
        <stp>BDP|17024282113668915930</stp>
        <tr r="H524" s="2"/>
      </tp>
      <tp t="s">
        <v>#N/A N/A</v>
        <stp/>
        <stp>BDP|10215623053624026221</stp>
        <tr r="K170" s="2"/>
      </tp>
      <tp t="s">
        <v>#N/A N/A</v>
        <stp/>
        <stp>BDP|12361101786629517717</stp>
        <tr r="R2096" s="2"/>
      </tp>
      <tp t="s">
        <v>#N/A N/A</v>
        <stp/>
        <stp>BDP|11768275696956256959</stp>
        <tr r="A1588" s="2"/>
      </tp>
      <tp t="s">
        <v>#N/A N/A</v>
        <stp/>
        <stp>BDP|16490539126095726174</stp>
        <tr r="A1563" s="2"/>
      </tp>
      <tp t="s">
        <v>#N/A N/A</v>
        <stp/>
        <stp>BDS|11844212116273561484</stp>
        <tr r="I832" s="2"/>
      </tp>
      <tp t="s">
        <v>#N/A N/A</v>
        <stp/>
        <stp>BDP|12923190790116257930</stp>
        <tr r="M1281" s="2"/>
      </tp>
      <tp t="s">
        <v>#N/A N/A</v>
        <stp/>
        <stp>BDP|16125144377475003034</stp>
        <tr r="K803" s="2"/>
      </tp>
      <tp t="s">
        <v>#N/A N/A</v>
        <stp/>
        <stp>BDP|17278810409752816834</stp>
        <tr r="E193" s="2"/>
      </tp>
      <tp t="s">
        <v>#N/A N/A</v>
        <stp/>
        <stp>BDP|11539925255351717941</stp>
        <tr r="F1289" s="2"/>
      </tp>
      <tp t="s">
        <v>#N/A N/A</v>
        <stp/>
        <stp>BDP|14845797851401978285</stp>
        <tr r="M1822" s="2"/>
      </tp>
      <tp t="s">
        <v>#N/A N/A</v>
        <stp/>
        <stp>BDP|11623019465965145723</stp>
        <tr r="F2224" s="2"/>
      </tp>
      <tp t="s">
        <v>#N/A N/A</v>
        <stp/>
        <stp>BDS|13654483638555426404</stp>
        <tr r="I582" s="2"/>
      </tp>
      <tp t="s">
        <v>#N/A N/A</v>
        <stp/>
        <stp>BDP|14100023027442038150</stp>
        <tr r="E1726" s="2"/>
      </tp>
      <tp t="s">
        <v>#N/A N/A</v>
        <stp/>
        <stp>BDP|17213153513616218471</stp>
        <tr r="O119" s="2"/>
      </tp>
      <tp t="s">
        <v>#N/A N/A</v>
        <stp/>
        <stp>BDP|16138713714262177741</stp>
        <tr r="T1165" s="2"/>
      </tp>
      <tp t="s">
        <v>#N/A N/A</v>
        <stp/>
        <stp>BDS|10416217916241142704</stp>
        <tr r="I1160" s="2"/>
      </tp>
      <tp t="s">
        <v>#N/A N/A</v>
        <stp/>
        <stp>BDP|17350514135507341354</stp>
        <tr r="A812" s="2"/>
      </tp>
      <tp t="s">
        <v>#N/A N/A</v>
        <stp/>
        <stp>BDP|12020675447142032711</stp>
        <tr r="C1327" s="2"/>
      </tp>
      <tp t="s">
        <v>#N/A N/A</v>
        <stp/>
        <stp>BDP|17436159310693737164</stp>
        <tr r="J568" s="2"/>
      </tp>
      <tp t="s">
        <v>#N/A N/A</v>
        <stp/>
        <stp>BDP|10554360418074982326</stp>
        <tr r="C412" s="2"/>
      </tp>
      <tp t="s">
        <v>#N/A N/A</v>
        <stp/>
        <stp>BDP|15391593443964081590</stp>
        <tr r="A1622" s="2"/>
      </tp>
      <tp t="s">
        <v>#N/A N/A</v>
        <stp/>
        <stp>BDP|17234437578994905507</stp>
        <tr r="E1398" s="2"/>
      </tp>
      <tp t="s">
        <v>#N/A N/A</v>
        <stp/>
        <stp>BDP|16389276165465491259</stp>
        <tr r="R2055" s="2"/>
      </tp>
      <tp t="s">
        <v>#N/A N/A</v>
        <stp/>
        <stp>BDP|11057288589789402750</stp>
        <tr r="Q541" s="2"/>
      </tp>
      <tp t="s">
        <v>#N/A N/A</v>
        <stp/>
        <stp>BDP|18066305517818632712</stp>
        <tr r="F1151" s="2"/>
      </tp>
      <tp t="s">
        <v>#N/A N/A</v>
        <stp/>
        <stp>BDP|11460506574103208528</stp>
        <tr r="M1751" s="2"/>
      </tp>
      <tp t="s">
        <v>#N/A N/A</v>
        <stp/>
        <stp>BDP|17850989783394575761</stp>
        <tr r="P1102" s="2"/>
      </tp>
      <tp t="s">
        <v>#N/A N/A</v>
        <stp/>
        <stp>BDP|10983928154178813179</stp>
        <tr r="P1670" s="2"/>
      </tp>
      <tp t="s">
        <v>#N/A N/A</v>
        <stp/>
        <stp>BDP|12343676212935044566</stp>
        <tr r="M1280" s="2"/>
      </tp>
      <tp t="s">
        <v>#N/A N/A</v>
        <stp/>
        <stp>BDP|17137076775783436679</stp>
        <tr r="S142" s="2"/>
      </tp>
      <tp t="s">
        <v>#N/A N/A</v>
        <stp/>
        <stp>BDP|10816764933869461893</stp>
        <tr r="Q2257" s="2"/>
      </tp>
      <tp t="s">
        <v>#N/A N/A</v>
        <stp/>
        <stp>BDP|14392537925317430116</stp>
        <tr r="F1368" s="2"/>
      </tp>
      <tp t="s">
        <v>#N/A N/A</v>
        <stp/>
        <stp>BDP|10170126369373221188</stp>
        <tr r="E249" s="2"/>
      </tp>
      <tp t="s">
        <v>#N/A N/A</v>
        <stp/>
        <stp>BDP|17344808145497279947</stp>
        <tr r="A65" s="2"/>
      </tp>
      <tp t="s">
        <v>#N/A N/A</v>
        <stp/>
        <stp>BDP|12569252507951209455</stp>
        <tr r="H2013" s="2"/>
      </tp>
      <tp t="s">
        <v>#N/A N/A</v>
        <stp/>
        <stp>BDP|14450626457176521448</stp>
        <tr r="P1765" s="2"/>
      </tp>
      <tp t="s">
        <v>#N/A N/A</v>
        <stp/>
        <stp>BDP|14240200062471862489</stp>
        <tr r="C1192" s="2"/>
      </tp>
      <tp t="s">
        <v>#N/A N/A</v>
        <stp/>
        <stp>BDP|13370291542134901418</stp>
        <tr r="N2152" s="2"/>
      </tp>
      <tp t="s">
        <v>#N/A N/A</v>
        <stp/>
        <stp>BDP|12932180547147485525</stp>
        <tr r="N2252" s="2"/>
      </tp>
      <tp t="s">
        <v>#N/A N/A</v>
        <stp/>
        <stp>BDP|15325489106141836556</stp>
        <tr r="C231" s="2"/>
      </tp>
      <tp t="s">
        <v>#N/A N/A</v>
        <stp/>
        <stp>BDS|11527275160167100709</stp>
        <tr r="I764" s="2"/>
      </tp>
      <tp t="s">
        <v>#N/A N/A</v>
        <stp/>
        <stp>BDP|13891494410142812192</stp>
        <tr r="A2007" s="2"/>
      </tp>
      <tp t="s">
        <v>#N/A N/A</v>
        <stp/>
        <stp>BDP|16385767137640373711</stp>
        <tr r="P1943" s="2"/>
      </tp>
      <tp t="s">
        <v>#N/A N/A</v>
        <stp/>
        <stp>BDP|11803628055277826077</stp>
        <tr r="H312" s="2"/>
      </tp>
      <tp t="s">
        <v>#N/A N/A</v>
        <stp/>
        <stp>BDP|14683607827267241237</stp>
        <tr r="K583" s="2"/>
      </tp>
      <tp t="s">
        <v>#N/A N/A</v>
        <stp/>
        <stp>BDP|15577556356991473121</stp>
        <tr r="M793" s="2"/>
      </tp>
      <tp t="s">
        <v>#N/A N/A</v>
        <stp/>
        <stp>BDP|14097616353672129035</stp>
        <tr r="S960" s="2"/>
      </tp>
      <tp t="s">
        <v>#N/A N/A</v>
        <stp/>
        <stp>BDP|16047652614977531342</stp>
        <tr r="N2196" s="2"/>
      </tp>
      <tp t="s">
        <v>#N/A N/A</v>
        <stp/>
        <stp>BDP|13755013647134393620</stp>
        <tr r="J825" s="2"/>
      </tp>
      <tp t="s">
        <v>#N/A N/A</v>
        <stp/>
        <stp>BDP|13348571430134191450</stp>
        <tr r="G1687" s="2"/>
      </tp>
      <tp t="s">
        <v>#N/A N/A</v>
        <stp/>
        <stp>BDP|13798303655175652543</stp>
        <tr r="T1249" s="2"/>
      </tp>
      <tp t="s">
        <v>#N/A N/A</v>
        <stp/>
        <stp>BDP|16692316606571849193</stp>
        <tr r="N299" s="2"/>
      </tp>
      <tp t="s">
        <v>#N/A N/A</v>
        <stp/>
        <stp>BDP|16766308992780172943</stp>
        <tr r="P825" s="2"/>
      </tp>
      <tp t="s">
        <v>#N/A N/A</v>
        <stp/>
        <stp>BDP|16110315244095115159</stp>
        <tr r="D274" s="2"/>
      </tp>
      <tp t="s">
        <v>#N/A N/A</v>
        <stp/>
        <stp>BDP|14899241729155052450</stp>
        <tr r="M829" s="2"/>
      </tp>
      <tp t="s">
        <v>#N/A N/A</v>
        <stp/>
        <stp>BDP|16117258407283753242</stp>
        <tr r="C628" s="2"/>
      </tp>
      <tp t="s">
        <v>#N/A N/A</v>
        <stp/>
        <stp>BDS|12391569927656135609</stp>
        <tr r="I1906" s="2"/>
      </tp>
      <tp t="s">
        <v>#N/A N/A</v>
        <stp/>
        <stp>BDP|16684837294282214030</stp>
        <tr r="D767" s="2"/>
      </tp>
      <tp t="s">
        <v>#N/A N/A</v>
        <stp/>
        <stp>BDP|14875551097369911438</stp>
        <tr r="E2089" s="2"/>
      </tp>
      <tp t="s">
        <v>#N/A N/A</v>
        <stp/>
        <stp>BDP|16396977435228389127</stp>
        <tr r="A1295" s="2"/>
      </tp>
      <tp t="s">
        <v>#N/A N/A</v>
        <stp/>
        <stp>BDP|15041105572520712656</stp>
        <tr r="D1682" s="2"/>
      </tp>
      <tp t="s">
        <v>#N/A N/A</v>
        <stp/>
        <stp>BDP|11049890038517379825</stp>
        <tr r="N646" s="2"/>
      </tp>
      <tp t="s">
        <v>#N/A N/A</v>
        <stp/>
        <stp>BDP|16901991500473773971</stp>
        <tr r="C306" s="2"/>
      </tp>
      <tp t="s">
        <v>#N/A N/A</v>
        <stp/>
        <stp>BDP|17168693656356928777</stp>
        <tr r="A1676" s="2"/>
      </tp>
      <tp t="s">
        <v>#N/A N/A</v>
        <stp/>
        <stp>BDP|11768568105828439906</stp>
        <tr r="M520" s="2"/>
      </tp>
      <tp t="s">
        <v>#N/A N/A</v>
        <stp/>
        <stp>BDP|18353192280040367492</stp>
        <tr r="F2209" s="2"/>
      </tp>
      <tp t="s">
        <v>#N/A N/A</v>
        <stp/>
        <stp>BDP|11114426043310808486</stp>
        <tr r="H1971" s="2"/>
      </tp>
      <tp t="s">
        <v>#N/A N/A</v>
        <stp/>
        <stp>BDP|10648003954586476667</stp>
        <tr r="J1162" s="2"/>
      </tp>
      <tp t="s">
        <v>#N/A N/A</v>
        <stp/>
        <stp>BDS|14427752824284688008</stp>
        <tr r="I1412" s="2"/>
      </tp>
      <tp t="s">
        <v>#N/A N/A</v>
        <stp/>
        <stp>BDP|13472396088304384968</stp>
        <tr r="C1235" s="2"/>
      </tp>
      <tp t="s">
        <v>#N/A N/A</v>
        <stp/>
        <stp>BDP|16479164931272031330</stp>
        <tr r="C652" s="2"/>
      </tp>
      <tp t="s">
        <v>#N/A N/A</v>
        <stp/>
        <stp>BDP|15472498476817366483</stp>
        <tr r="S740" s="2"/>
      </tp>
      <tp t="s">
        <v>#N/A N/A</v>
        <stp/>
        <stp>BDP|17232454340650735200</stp>
        <tr r="A539" s="2"/>
      </tp>
      <tp t="s">
        <v>#N/A N/A</v>
        <stp/>
        <stp>BDP|14179433627835296274</stp>
        <tr r="P722" s="2"/>
      </tp>
      <tp t="s">
        <v>#N/A N/A</v>
        <stp/>
        <stp>BDS|13384419154575028257</stp>
        <tr r="I433" s="2"/>
      </tp>
      <tp t="s">
        <v>#N/A N/A</v>
        <stp/>
        <stp>BDP|15261721924551149457</stp>
        <tr r="P719" s="2"/>
      </tp>
      <tp t="s">
        <v>#N/A N/A</v>
        <stp/>
        <stp>BDS|13933892736415053851</stp>
        <tr r="I1131" s="2"/>
      </tp>
      <tp t="s">
        <v>#N/A N/A</v>
        <stp/>
        <stp>BDP|13155400120570900081</stp>
        <tr r="O461" s="2"/>
      </tp>
      <tp t="s">
        <v>#N/A N/A</v>
        <stp/>
        <stp>BDP|10069834555171279945</stp>
        <tr r="M2031" s="2"/>
      </tp>
      <tp t="s">
        <v>#N/A N/A</v>
        <stp/>
        <stp>BDP|11267472697721341816</stp>
        <tr r="T1725" s="2"/>
      </tp>
      <tp t="s">
        <v>#N/A N/A</v>
        <stp/>
        <stp>BDP|18090423388764348599</stp>
        <tr r="S1035" s="2"/>
      </tp>
      <tp t="s">
        <v>#N/A N/A</v>
        <stp/>
        <stp>BDP|12422676139881344398</stp>
        <tr r="J787" s="2"/>
      </tp>
      <tp t="s">
        <v>#N/A N/A</v>
        <stp/>
        <stp>BDP|14532713542196311450</stp>
        <tr r="R1853" s="2"/>
      </tp>
      <tp t="s">
        <v>#N/A N/A</v>
        <stp/>
        <stp>BDP|11319603444573702507</stp>
        <tr r="C98" s="2"/>
      </tp>
      <tp t="s">
        <v>#N/A N/A</v>
        <stp/>
        <stp>BDP|13715498646986171097</stp>
        <tr r="F608" s="2"/>
      </tp>
      <tp t="s">
        <v>#N/A N/A</v>
        <stp/>
        <stp>BDP|18207031340549545040</stp>
        <tr r="H1683" s="2"/>
      </tp>
      <tp t="s">
        <v>#N/A N/A</v>
        <stp/>
        <stp>BDP|10907712266110712492</stp>
        <tr r="G2242" s="2"/>
      </tp>
      <tp t="s">
        <v>#N/A N/A</v>
        <stp/>
        <stp>BDP|11927476423537556584</stp>
        <tr r="F258" s="2"/>
      </tp>
      <tp t="s">
        <v>#N/A N/A</v>
        <stp/>
        <stp>BDP|14698318816131602270</stp>
        <tr r="J523" s="2"/>
      </tp>
      <tp t="s">
        <v>#N/A N/A</v>
        <stp/>
        <stp>BDP|16524673643645307427</stp>
        <tr r="N1151" s="2"/>
      </tp>
      <tp t="s">
        <v>#N/A N/A</v>
        <stp/>
        <stp>BDP|11851607339432488359</stp>
        <tr r="K545" s="2"/>
      </tp>
      <tp t="s">
        <v>#N/A N/A</v>
        <stp/>
        <stp>BDP|10169044140193509204</stp>
        <tr r="A1834" s="2"/>
      </tp>
      <tp t="s">
        <v>#N/A N/A</v>
        <stp/>
        <stp>BDP|12080766744080585471</stp>
        <tr r="D1104" s="2"/>
      </tp>
      <tp t="s">
        <v>#N/A N/A</v>
        <stp/>
        <stp>BDP|12708260241777280629</stp>
        <tr r="F34" s="2"/>
      </tp>
      <tp t="s">
        <v>#N/A N/A</v>
        <stp/>
        <stp>BDP|16333379806964461463</stp>
        <tr r="E2162" s="2"/>
      </tp>
      <tp t="s">
        <v>#N/A N/A</v>
        <stp/>
        <stp>BDP|11303026176356012572</stp>
        <tr r="D319" s="2"/>
      </tp>
      <tp t="s">
        <v>#N/A N/A</v>
        <stp/>
        <stp>BDP|16016000627324323546</stp>
        <tr r="P1821" s="2"/>
      </tp>
      <tp t="s">
        <v>#N/A N/A</v>
        <stp/>
        <stp>BDP|15212193179317372110</stp>
        <tr r="K1313" s="2"/>
      </tp>
      <tp t="s">
        <v>#N/A N/A</v>
        <stp/>
        <stp>BDP|11947116552135342591</stp>
        <tr r="N1156" s="2"/>
      </tp>
      <tp t="s">
        <v>#N/A N/A</v>
        <stp/>
        <stp>BDP|16219239742632780743</stp>
        <tr r="K762" s="2"/>
      </tp>
      <tp t="s">
        <v>#N/A N/A</v>
        <stp/>
        <stp>BDP|18227355780301755704</stp>
        <tr r="T746" s="2"/>
      </tp>
      <tp t="s">
        <v>#N/A N/A</v>
        <stp/>
        <stp>BDP|11070495674643504481</stp>
        <tr r="P1594" s="2"/>
      </tp>
      <tp t="s">
        <v>#N/A N/A</v>
        <stp/>
        <stp>BDP|11643210348432900065</stp>
        <tr r="N263" s="2"/>
      </tp>
      <tp t="s">
        <v>#N/A N/A</v>
        <stp/>
        <stp>BDP|15346605104950241659</stp>
        <tr r="H29" s="2"/>
      </tp>
      <tp t="s">
        <v>#N/A N/A</v>
        <stp/>
        <stp>BDP|11577304143782492129</stp>
        <tr r="C1558" s="2"/>
      </tp>
      <tp t="s">
        <v>#N/A N/A</v>
        <stp/>
        <stp>BDS|16404857484362429122</stp>
        <tr r="I1333" s="2"/>
      </tp>
      <tp t="s">
        <v>#N/A N/A</v>
        <stp/>
        <stp>BDP|15369209150860510762</stp>
        <tr r="A1799" s="2"/>
      </tp>
      <tp t="s">
        <v>#N/A N/A</v>
        <stp/>
        <stp>BDP|14790854757745268978</stp>
        <tr r="P1626" s="2"/>
      </tp>
      <tp t="s">
        <v>#N/A N/A</v>
        <stp/>
        <stp>BDP|14846504301434981008</stp>
        <tr r="S384" s="2"/>
      </tp>
      <tp t="s">
        <v>#N/A N/A</v>
        <stp/>
        <stp>BDP|11199596170885021381</stp>
        <tr r="P847" s="2"/>
      </tp>
      <tp t="s">
        <v>#N/A N/A</v>
        <stp/>
        <stp>BDP|17525786620346515182</stp>
        <tr r="D1359" s="2"/>
      </tp>
      <tp t="s">
        <v>#N/A N/A</v>
        <stp/>
        <stp>BDP|15469578264010526317</stp>
        <tr r="M1946" s="2"/>
      </tp>
      <tp t="s">
        <v>#N/A N/A</v>
        <stp/>
        <stp>BDP|17927908283104194789</stp>
        <tr r="T1174" s="2"/>
      </tp>
      <tp t="s">
        <v>#N/A N/A</v>
        <stp/>
        <stp>BDP|12688655236640139272</stp>
        <tr r="E1733" s="2"/>
      </tp>
      <tp t="s">
        <v>#N/A N/A</v>
        <stp/>
        <stp>BDP|14054456102413443609</stp>
        <tr r="O260" s="2"/>
      </tp>
      <tp t="s">
        <v>#N/A N/A</v>
        <stp/>
        <stp>BDP|10001137156846404725</stp>
        <tr r="J2051" s="2"/>
      </tp>
      <tp t="s">
        <v>#N/A N/A</v>
        <stp/>
        <stp>BDP|15828929602191994829</stp>
        <tr r="K2173" s="2"/>
      </tp>
      <tp t="s">
        <v>#N/A N/A</v>
        <stp/>
        <stp>BDP|17425101540066105169</stp>
        <tr r="D1266" s="2"/>
      </tp>
      <tp t="s">
        <v>#N/A N/A</v>
        <stp/>
        <stp>BDP|12714854422295697857</stp>
        <tr r="A886" s="2"/>
      </tp>
      <tp t="s">
        <v>#N/A N/A</v>
        <stp/>
        <stp>BDS|17839820541108932628</stp>
        <tr r="I2237" s="2"/>
      </tp>
      <tp t="s">
        <v>#N/A N/A</v>
        <stp/>
        <stp>BDP|16026243404040280110</stp>
        <tr r="K1447" s="2"/>
      </tp>
      <tp t="s">
        <v>#N/A N/A</v>
        <stp/>
        <stp>BDP|14497964481254367430</stp>
        <tr r="K1375" s="2"/>
      </tp>
      <tp t="s">
        <v>#N/A N/A</v>
        <stp/>
        <stp>BDP|14748738966228173800</stp>
        <tr r="Q1835" s="2"/>
      </tp>
      <tp t="s">
        <v>#N/A N/A</v>
        <stp/>
        <stp>BDP|15703835586250696076</stp>
        <tr r="D1162" s="2"/>
      </tp>
      <tp t="s">
        <v>#N/A N/A</v>
        <stp/>
        <stp>BDP|17050430700237791176</stp>
        <tr r="R280" s="2"/>
      </tp>
      <tp t="s">
        <v>#N/A N/A</v>
        <stp/>
        <stp>BDP|11187477673707725012</stp>
        <tr r="H914" s="2"/>
      </tp>
      <tp t="s">
        <v>#N/A N/A</v>
        <stp/>
        <stp>BDP|17995332114454426495</stp>
        <tr r="D1345" s="2"/>
      </tp>
      <tp t="s">
        <v>#N/A N/A</v>
        <stp/>
        <stp>BDP|11641309071722005242</stp>
        <tr r="T717" s="2"/>
      </tp>
      <tp t="s">
        <v>#N/A N/A</v>
        <stp/>
        <stp>BDP|13008952028248689587</stp>
        <tr r="J285" s="2"/>
      </tp>
      <tp t="s">
        <v>#N/A N/A</v>
        <stp/>
        <stp>BDP|14860239733400873033</stp>
        <tr r="D609" s="2"/>
      </tp>
      <tp t="s">
        <v>#N/A N/A</v>
        <stp/>
        <stp>BDP|14537746065311311148</stp>
        <tr r="O90" s="2"/>
      </tp>
      <tp t="s">
        <v>#N/A N/A</v>
        <stp/>
        <stp>BDP|14872671771246497692</stp>
        <tr r="G1501" s="2"/>
      </tp>
      <tp t="s">
        <v>#N/A N/A</v>
        <stp/>
        <stp>BDP|13019548865454627140</stp>
        <tr r="S1612" s="2"/>
      </tp>
      <tp t="s">
        <v>#N/A N/A</v>
        <stp/>
        <stp>BDP|11240359125993091613</stp>
        <tr r="H1875" s="2"/>
      </tp>
      <tp t="s">
        <v>#N/A N/A</v>
        <stp/>
        <stp>BDP|15030722551743799171</stp>
        <tr r="N1177" s="2"/>
      </tp>
      <tp t="s">
        <v>#N/A N/A</v>
        <stp/>
        <stp>BDP|12015330981974120804</stp>
        <tr r="C1668" s="2"/>
      </tp>
      <tp t="s">
        <v>#N/A N/A</v>
        <stp/>
        <stp>BDP|16788465570032714252</stp>
        <tr r="K1047" s="2"/>
      </tp>
      <tp t="s">
        <v>#N/A N/A</v>
        <stp/>
        <stp>BDP|14569641338591868529</stp>
        <tr r="M1168" s="2"/>
      </tp>
      <tp t="s">
        <v>#N/A N/A</v>
        <stp/>
        <stp>BDP|13151162616865644346</stp>
        <tr r="O1399" s="2"/>
      </tp>
      <tp t="s">
        <v>#N/A N/A</v>
        <stp/>
        <stp>BDP|13960011444353714188</stp>
        <tr r="S311" s="2"/>
      </tp>
      <tp t="s">
        <v>#N/A N/A</v>
        <stp/>
        <stp>BDS|10365002000567546268</stp>
        <tr r="I961" s="2"/>
      </tp>
      <tp t="s">
        <v>#N/A N/A</v>
        <stp/>
        <stp>BDP|11831330670069065988</stp>
        <tr r="P141" s="2"/>
      </tp>
      <tp t="s">
        <v>#N/A N/A</v>
        <stp/>
        <stp>BDP|10005403160793204418</stp>
        <tr r="P2107" s="2"/>
      </tp>
      <tp t="s">
        <v>#N/A N/A</v>
        <stp/>
        <stp>BDP|18201259506457368817</stp>
        <tr r="N2249" s="2"/>
      </tp>
      <tp t="s">
        <v>#N/A N/A</v>
        <stp/>
        <stp>BDP|10702358330155533046</stp>
        <tr r="N659" s="2"/>
      </tp>
      <tp t="s">
        <v>#N/A N/A</v>
        <stp/>
        <stp>BDP|12102743761595775302</stp>
        <tr r="C1163" s="2"/>
      </tp>
      <tp t="s">
        <v>#N/A N/A</v>
        <stp/>
        <stp>BDP|16947922138060149911</stp>
        <tr r="S671" s="2"/>
      </tp>
      <tp t="s">
        <v>#N/A N/A</v>
        <stp/>
        <stp>BDP|14166814474289242757</stp>
        <tr r="D725" s="2"/>
      </tp>
      <tp t="s">
        <v>#N/A N/A</v>
        <stp/>
        <stp>BDP|13371407628247009781</stp>
        <tr r="D1697" s="2"/>
      </tp>
      <tp t="s">
        <v>#N/A N/A</v>
        <stp/>
        <stp>BDP|10022041135710476660</stp>
        <tr r="C2047" s="2"/>
      </tp>
      <tp t="s">
        <v>#N/A N/A</v>
        <stp/>
        <stp>BDP|10367919188263061798</stp>
        <tr r="K372" s="2"/>
      </tp>
      <tp t="s">
        <v>#N/A N/A</v>
        <stp/>
        <stp>BDP|18009893655486904664</stp>
        <tr r="N1534" s="2"/>
      </tp>
      <tp t="s">
        <v>#N/A N/A</v>
        <stp/>
        <stp>BDP|11465512914988568879</stp>
        <tr r="C1730" s="2"/>
      </tp>
      <tp t="s">
        <v>#N/A N/A</v>
        <stp/>
        <stp>BDP|15426149282938959185</stp>
        <tr r="N1355" s="2"/>
      </tp>
      <tp t="s">
        <v>#N/A N/A</v>
        <stp/>
        <stp>BDP|13637328923654393376</stp>
        <tr r="H695" s="2"/>
      </tp>
      <tp t="s">
        <v>#N/A N/A</v>
        <stp/>
        <stp>BDP|12741140134634698129</stp>
        <tr r="T1939" s="2"/>
      </tp>
      <tp t="s">
        <v>#N/A N/A</v>
        <stp/>
        <stp>BDP|10422455136365410707</stp>
        <tr r="G1233" s="2"/>
      </tp>
      <tp t="s">
        <v>#N/A N/A</v>
        <stp/>
        <stp>BDP|12275320673154932797</stp>
        <tr r="J1214" s="2"/>
      </tp>
      <tp t="s">
        <v>#N/A N/A</v>
        <stp/>
        <stp>BDP|12412147145521165377</stp>
        <tr r="F1294" s="2"/>
      </tp>
      <tp t="s">
        <v>#N/A N/A</v>
        <stp/>
        <stp>BDP|10665595419528404914</stp>
        <tr r="R267" s="2"/>
      </tp>
      <tp t="s">
        <v>#N/A N/A</v>
        <stp/>
        <stp>BDP|15444680651231677283</stp>
        <tr r="J1458" s="2"/>
      </tp>
      <tp t="s">
        <v>#N/A N/A</v>
        <stp/>
        <stp>BDS|18390184199852354712</stp>
        <tr r="I443" s="2"/>
      </tp>
      <tp t="s">
        <v>#N/A N/A</v>
        <stp/>
        <stp>BDP|15456140113233537356</stp>
        <tr r="F1381" s="2"/>
      </tp>
      <tp t="s">
        <v>#N/A N/A</v>
        <stp/>
        <stp>BDP|11742035677555613667</stp>
        <tr r="O1616" s="2"/>
      </tp>
      <tp t="s">
        <v>#N/A N/A</v>
        <stp/>
        <stp>BDP|11537022821714412216</stp>
        <tr r="Q662" s="2"/>
      </tp>
      <tp t="s">
        <v>#N/A N/A</v>
        <stp/>
        <stp>BDP|11966256959734150773</stp>
        <tr r="E1108" s="2"/>
      </tp>
      <tp t="s">
        <v>#N/A N/A</v>
        <stp/>
        <stp>BDP|10895688675864281040</stp>
        <tr r="J1156" s="2"/>
      </tp>
      <tp t="s">
        <v>#N/A N/A</v>
        <stp/>
        <stp>BDP|13943487713362115100</stp>
        <tr r="Q353" s="2"/>
      </tp>
      <tp t="s">
        <v>#N/A N/A</v>
        <stp/>
        <stp>BDP|12865059558863556133</stp>
        <tr r="T349" s="2"/>
      </tp>
      <tp t="s">
        <v>#N/A N/A</v>
        <stp/>
        <stp>BDP|14356785003646311086</stp>
        <tr r="F46" s="2"/>
      </tp>
      <tp t="s">
        <v>#N/A N/A</v>
        <stp/>
        <stp>BDP|17682100718636885457</stp>
        <tr r="S1319" s="2"/>
      </tp>
      <tp t="s">
        <v>#N/A N/A</v>
        <stp/>
        <stp>BDP|12912272773533968170</stp>
        <tr r="S2130" s="2"/>
      </tp>
      <tp t="s">
        <v>#N/A N/A</v>
        <stp/>
        <stp>BDP|10315682788372497949</stp>
        <tr r="R1766" s="2"/>
      </tp>
      <tp t="s">
        <v>#N/A N/A</v>
        <stp/>
        <stp>BDP|11755068743265776568</stp>
        <tr r="A1609" s="2"/>
      </tp>
      <tp t="s">
        <v>#N/A N/A</v>
        <stp/>
        <stp>BDP|15594568537930180660</stp>
        <tr r="N372" s="2"/>
      </tp>
      <tp t="s">
        <v>#N/A N/A</v>
        <stp/>
        <stp>BDP|16754746251287376621</stp>
        <tr r="P1348" s="2"/>
      </tp>
      <tp t="s">
        <v>#N/A N/A</v>
        <stp/>
        <stp>BDP|11860957731546715882</stp>
        <tr r="M2114" s="2"/>
      </tp>
      <tp t="s">
        <v>#N/A N/A</v>
        <stp/>
        <stp>BDP|11603404460231214770</stp>
        <tr r="S1782" s="2"/>
      </tp>
      <tp t="s">
        <v>#N/A N/A</v>
        <stp/>
        <stp>BDP|13357143704591553650</stp>
        <tr r="E1175" s="2"/>
      </tp>
      <tp t="s">
        <v>#N/A N/A</v>
        <stp/>
        <stp>BDP|17579146715452121061</stp>
        <tr r="O1978" s="2"/>
      </tp>
      <tp t="s">
        <v>#N/A N/A</v>
        <stp/>
        <stp>BDP|12439043045384525737</stp>
        <tr r="C330" s="2"/>
      </tp>
      <tp t="s">
        <v>#N/A N/A</v>
        <stp/>
        <stp>BDP|11321719763073680645</stp>
        <tr r="N638" s="2"/>
      </tp>
      <tp t="s">
        <v>#N/A N/A</v>
        <stp/>
        <stp>BDP|13593538324575175405</stp>
        <tr r="R601" s="2"/>
      </tp>
      <tp t="s">
        <v>#N/A N/A</v>
        <stp/>
        <stp>BDP|11172112834024377247</stp>
        <tr r="P1236" s="2"/>
      </tp>
      <tp t="s">
        <v>#N/A N/A</v>
        <stp/>
        <stp>BDP|12349475731370227045</stp>
        <tr r="T260" s="2"/>
      </tp>
      <tp t="s">
        <v>#N/A N/A</v>
        <stp/>
        <stp>BDP|13528212573334720734</stp>
        <tr r="P780" s="2"/>
      </tp>
      <tp t="s">
        <v>#N/A N/A</v>
        <stp/>
        <stp>BDP|13000377676164628641</stp>
        <tr r="H1248" s="2"/>
      </tp>
      <tp t="s">
        <v>#N/A N/A</v>
        <stp/>
        <stp>BDP|13342262941687725707</stp>
        <tr r="Q103" s="2"/>
      </tp>
      <tp t="s">
        <v>#N/A N/A</v>
        <stp/>
        <stp>BDP|17833589590267091934</stp>
        <tr r="R625" s="2"/>
      </tp>
      <tp t="s">
        <v>#N/A N/A</v>
        <stp/>
        <stp>BDP|13540762911834998482</stp>
        <tr r="G299" s="2"/>
      </tp>
      <tp t="s">
        <v>#N/A N/A</v>
        <stp/>
        <stp>BDS|13000327947938428919</stp>
        <tr r="I1782" s="2"/>
      </tp>
      <tp t="s">
        <v>#N/A N/A</v>
        <stp/>
        <stp>BDP|16106015551142489468</stp>
        <tr r="A691" s="2"/>
      </tp>
      <tp t="s">
        <v>#N/A N/A</v>
        <stp/>
        <stp>BDP|15455944524398610317</stp>
        <tr r="T2060" s="2"/>
      </tp>
      <tp t="s">
        <v>#N/A N/A</v>
        <stp/>
        <stp>BDP|11998340100164957379</stp>
        <tr r="J753" s="2"/>
      </tp>
      <tp t="s">
        <v>#N/A N/A</v>
        <stp/>
        <stp>BDP|11366735992982282836</stp>
        <tr r="G1746" s="2"/>
      </tp>
      <tp t="s">
        <v>#N/A N/A</v>
        <stp/>
        <stp>BDP|17381499603573985538</stp>
        <tr r="K912" s="2"/>
      </tp>
      <tp t="s">
        <v>#N/A N/A</v>
        <stp/>
        <stp>BDP|15268913498908018889</stp>
        <tr r="D1123" s="2"/>
      </tp>
      <tp t="s">
        <v>#N/A N/A</v>
        <stp/>
        <stp>BDP|11889888362099935387</stp>
        <tr r="T1592" s="2"/>
      </tp>
      <tp t="s">
        <v>#N/A N/A</v>
        <stp/>
        <stp>BDP|10849781717862599110</stp>
        <tr r="K351" s="2"/>
      </tp>
      <tp t="s">
        <v>#N/A N/A</v>
        <stp/>
        <stp>BDP|13334918808798984700</stp>
        <tr r="R1933" s="2"/>
      </tp>
      <tp t="s">
        <v>#N/A N/A</v>
        <stp/>
        <stp>BDP|15042619074840393147</stp>
        <tr r="R2232" s="2"/>
      </tp>
      <tp t="s">
        <v>#N/A N/A</v>
        <stp/>
        <stp>BDP|12546970578059980017</stp>
        <tr r="P550" s="2"/>
      </tp>
      <tp t="s">
        <v>#N/A N/A</v>
        <stp/>
        <stp>BDP|15013024575906534104</stp>
        <tr r="H226" s="2"/>
      </tp>
      <tp t="s">
        <v>#N/A N/A</v>
        <stp/>
        <stp>BDP|12708029700141064674</stp>
        <tr r="P378" s="2"/>
      </tp>
      <tp t="s">
        <v>#N/A N/A</v>
        <stp/>
        <stp>BDP|17415022845107995181</stp>
        <tr r="O70" s="2"/>
      </tp>
      <tp t="s">
        <v>#N/A N/A</v>
        <stp/>
        <stp>BDP|15763419667322152023</stp>
        <tr r="J860" s="2"/>
      </tp>
      <tp t="s">
        <v>#N/A N/A</v>
        <stp/>
        <stp>BDP|16515044520767693651</stp>
        <tr r="S511" s="2"/>
      </tp>
      <tp t="s">
        <v>#N/A N/A</v>
        <stp/>
        <stp>BDP|11597516244015613044</stp>
        <tr r="M794" s="2"/>
      </tp>
      <tp t="s">
        <v>#N/A N/A</v>
        <stp/>
        <stp>BDP|15752282446442205499</stp>
        <tr r="R462" s="2"/>
      </tp>
      <tp t="s">
        <v>#N/A N/A</v>
        <stp/>
        <stp>BDP|16772269426346035554</stp>
        <tr r="K2020" s="2"/>
      </tp>
      <tp t="s">
        <v>#N/A N/A</v>
        <stp/>
        <stp>BDP|11918436268791090703</stp>
        <tr r="Q633" s="2"/>
      </tp>
      <tp t="s">
        <v>#N/A N/A</v>
        <stp/>
        <stp>BDP|15790855844269007547</stp>
        <tr r="K7" s="2"/>
      </tp>
      <tp t="s">
        <v>#N/A N/A</v>
        <stp/>
        <stp>BDS|15600003284278294011</stp>
        <tr r="I1274" s="2"/>
      </tp>
      <tp t="s">
        <v>#N/A N/A</v>
        <stp/>
        <stp>BDP|11012193328622352509</stp>
        <tr r="N821" s="2"/>
      </tp>
      <tp t="s">
        <v>#N/A N/A</v>
        <stp/>
        <stp>BDP|16633101931901329061</stp>
        <tr r="P1037" s="2"/>
      </tp>
      <tp t="s">
        <v>#N/A N/A</v>
        <stp/>
        <stp>BDS|12100309247321626117</stp>
        <tr r="I1201" s="2"/>
      </tp>
      <tp t="s">
        <v>#N/A N/A</v>
        <stp/>
        <stp>BDP|10469943143939472155</stp>
        <tr r="O1160" s="2"/>
      </tp>
      <tp t="s">
        <v>#N/A N/A</v>
        <stp/>
        <stp>BDP|11420255980089685751</stp>
        <tr r="P1369" s="2"/>
      </tp>
      <tp t="s">
        <v>#N/A N/A</v>
        <stp/>
        <stp>BDP|15056247537868504944</stp>
        <tr r="A185" s="2"/>
      </tp>
      <tp t="s">
        <v>#N/A N/A</v>
        <stp/>
        <stp>BDP|17753545197989771713</stp>
        <tr r="S265" s="2"/>
      </tp>
      <tp t="s">
        <v>#N/A N/A</v>
        <stp/>
        <stp>BDP|15432931537993014927</stp>
        <tr r="G686" s="2"/>
      </tp>
      <tp t="s">
        <v>#N/A N/A</v>
        <stp/>
        <stp>BDP|13083660192458734112</stp>
        <tr r="H934" s="2"/>
      </tp>
      <tp t="s">
        <v>#N/A N/A</v>
        <stp/>
        <stp>BDP|11525028355683242224</stp>
        <tr r="K1508" s="2"/>
      </tp>
      <tp t="s">
        <v>#N/A N/A</v>
        <stp/>
        <stp>BDP|17371190946890938770</stp>
        <tr r="K786" s="2"/>
      </tp>
      <tp t="s">
        <v>#N/A N/A</v>
        <stp/>
        <stp>BDP|18263541206418479068</stp>
        <tr r="O961" s="2"/>
      </tp>
      <tp t="s">
        <v>#N/A N/A</v>
        <stp/>
        <stp>BDP|16503375864616471008</stp>
        <tr r="N885" s="2"/>
      </tp>
      <tp t="s">
        <v>#N/A N/A</v>
        <stp/>
        <stp>BDP|10698379893648020708</stp>
        <tr r="C260" s="2"/>
      </tp>
      <tp t="s">
        <v>#N/A N/A</v>
        <stp/>
        <stp>BDP|12537633639052554089</stp>
        <tr r="T408" s="2"/>
      </tp>
      <tp t="s">
        <v>#N/A N/A</v>
        <stp/>
        <stp>BDP|16608835282583442018</stp>
        <tr r="D1336" s="2"/>
      </tp>
      <tp t="s">
        <v>#N/A N/A</v>
        <stp/>
        <stp>BDP|14225169782261489902</stp>
        <tr r="S1027" s="2"/>
      </tp>
      <tp t="s">
        <v>#N/A N/A</v>
        <stp/>
        <stp>BDS|10493438002191405003</stp>
        <tr r="I2042" s="2"/>
      </tp>
      <tp t="s">
        <v>#N/A N/A</v>
        <stp/>
        <stp>BDP|14712548652888672955</stp>
        <tr r="Q1704" s="2"/>
      </tp>
      <tp t="s">
        <v>#N/A N/A</v>
        <stp/>
        <stp>BDP|18159812041652614353</stp>
        <tr r="A795" s="2"/>
      </tp>
      <tp t="s">
        <v>#N/A N/A</v>
        <stp/>
        <stp>BDP|14434453634317206150</stp>
        <tr r="M1341" s="2"/>
      </tp>
      <tp t="s">
        <v>#N/A N/A</v>
        <stp/>
        <stp>BDP|11498676835069082844</stp>
        <tr r="P87" s="2"/>
      </tp>
      <tp t="s">
        <v>#N/A N/A</v>
        <stp/>
        <stp>BDP|10099900258851865825</stp>
        <tr r="M1562" s="2"/>
      </tp>
      <tp t="s">
        <v>#N/A N/A</v>
        <stp/>
        <stp>BDP|17262847937048134120</stp>
        <tr r="G2056" s="2"/>
      </tp>
      <tp t="s">
        <v>#N/A N/A</v>
        <stp/>
        <stp>BDP|18049307578859892020</stp>
        <tr r="S1451" s="2"/>
      </tp>
      <tp t="s">
        <v>#N/A N/A</v>
        <stp/>
        <stp>BDP|11259757274086119201</stp>
        <tr r="C1574" s="2"/>
      </tp>
      <tp t="s">
        <v>#N/A N/A</v>
        <stp/>
        <stp>BDP|11712030145112637251</stp>
        <tr r="S2166" s="2"/>
      </tp>
      <tp t="s">
        <v>#N/A N/A</v>
        <stp/>
        <stp>BDP|10192100023987444145</stp>
        <tr r="H1547" s="2"/>
      </tp>
      <tp t="s">
        <v>#N/A N/A</v>
        <stp/>
        <stp>BDP|11798711026925474467</stp>
        <tr r="D2049" s="2"/>
      </tp>
      <tp t="s">
        <v>#N/A N/A</v>
        <stp/>
        <stp>BDP|10659564513587750660</stp>
        <tr r="G1232" s="2"/>
      </tp>
      <tp t="s">
        <v>#N/A N/A</v>
        <stp/>
        <stp>BDP|11911395025132774703</stp>
        <tr r="G1108" s="2"/>
      </tp>
      <tp t="s">
        <v>#N/A N/A</v>
        <stp/>
        <stp>BDP|12510692589211014871</stp>
        <tr r="N379" s="2"/>
      </tp>
      <tp t="s">
        <v>#N/A N/A</v>
        <stp/>
        <stp>BDP|13414542805741155261</stp>
        <tr r="F645" s="2"/>
      </tp>
      <tp t="s">
        <v>#N/A N/A</v>
        <stp/>
        <stp>BDP|15043415864956684410</stp>
        <tr r="N1824" s="2"/>
      </tp>
      <tp t="s">
        <v>#N/A N/A</v>
        <stp/>
        <stp>BDP|16649757903085212102</stp>
        <tr r="H1484" s="2"/>
      </tp>
      <tp t="s">
        <v>#N/A N/A</v>
        <stp/>
        <stp>BDP|11703439722935013741</stp>
        <tr r="S1623" s="2"/>
      </tp>
      <tp t="s">
        <v>#N/A N/A</v>
        <stp/>
        <stp>BDP|13088237461632189011</stp>
        <tr r="S148" s="2"/>
      </tp>
      <tp t="s">
        <v>#N/A N/A</v>
        <stp/>
        <stp>BDP|11020227721026614274</stp>
        <tr r="J1205" s="2"/>
      </tp>
      <tp t="s">
        <v>#N/A N/A</v>
        <stp/>
        <stp>BDP|12800416677361953550</stp>
        <tr r="T1669" s="2"/>
      </tp>
      <tp t="s">
        <v>#N/A N/A</v>
        <stp/>
        <stp>BDP|16678610241182288369</stp>
        <tr r="D2144" s="2"/>
      </tp>
      <tp t="s">
        <v>#N/A N/A</v>
        <stp/>
        <stp>BDP|15510780921550709593</stp>
        <tr r="P184" s="2"/>
      </tp>
      <tp t="s">
        <v>#N/A N/A</v>
        <stp/>
        <stp>BDP|14991663781917550891</stp>
        <tr r="J1880" s="2"/>
      </tp>
      <tp t="s">
        <v>#N/A N/A</v>
        <stp/>
        <stp>BDP|16986774553285987460</stp>
        <tr r="H212" s="2"/>
      </tp>
      <tp t="s">
        <v>#N/A N/A</v>
        <stp/>
        <stp>BDP|11489107513235327169</stp>
        <tr r="R865" s="2"/>
      </tp>
      <tp t="s">
        <v>#N/A N/A</v>
        <stp/>
        <stp>BDP|15154912133092637872</stp>
        <tr r="P1958" s="2"/>
      </tp>
      <tp t="s">
        <v>#N/A N/A</v>
        <stp/>
        <stp>BDP|13878384639621849737</stp>
        <tr r="M647" s="2"/>
      </tp>
      <tp t="s">
        <v>#N/A N/A</v>
        <stp/>
        <stp>BDP|15548498929066332049</stp>
        <tr r="K1591" s="2"/>
      </tp>
      <tp t="s">
        <v>#N/A N/A</v>
        <stp/>
        <stp>BDP|18103486680524922527</stp>
        <tr r="M719" s="2"/>
      </tp>
      <tp t="s">
        <v>#N/A N/A</v>
        <stp/>
        <stp>BDP|10386228178382941222</stp>
        <tr r="O1890" s="2"/>
      </tp>
      <tp t="s">
        <v>#N/A N/A</v>
        <stp/>
        <stp>BDP|15482266524284307479</stp>
        <tr r="J767" s="2"/>
      </tp>
      <tp t="s">
        <v>#N/A N/A</v>
        <stp/>
        <stp>BDP|13152827768689877116</stp>
        <tr r="G1828" s="2"/>
      </tp>
      <tp t="s">
        <v>#N/A N/A</v>
        <stp/>
        <stp>BDP|16047377077387228007</stp>
        <tr r="M589" s="2"/>
      </tp>
      <tp t="s">
        <v>#N/A N/A</v>
        <stp/>
        <stp>BDS|15257612271513205217</stp>
        <tr r="I666" s="2"/>
      </tp>
      <tp t="s">
        <v>#N/A N/A</v>
        <stp/>
        <stp>BDP|16425100401276505425</stp>
        <tr r="K1052" s="2"/>
      </tp>
      <tp t="s">
        <v>#N/A N/A</v>
        <stp/>
        <stp>BDP|16482668327681675615</stp>
        <tr r="S1707" s="2"/>
      </tp>
      <tp t="s">
        <v>#N/A N/A</v>
        <stp/>
        <stp>BDP|17821995198542210097</stp>
        <tr r="P62" s="2"/>
      </tp>
      <tp t="s">
        <v>#N/A N/A</v>
        <stp/>
        <stp>BDP|18294138527538365676</stp>
        <tr r="K2148" s="2"/>
      </tp>
      <tp t="s">
        <v>#N/A N/A</v>
        <stp/>
        <stp>BDP|17747104187369210206</stp>
        <tr r="R1883" s="2"/>
      </tp>
      <tp t="s">
        <v>#N/A N/A</v>
        <stp/>
        <stp>BDP|13733775302433841282</stp>
        <tr r="C1273" s="2"/>
      </tp>
      <tp t="s">
        <v>#N/A N/A</v>
        <stp/>
        <stp>BDP|18367017812355207979</stp>
        <tr r="J1993" s="2"/>
      </tp>
      <tp t="s">
        <v>#N/A N/A</v>
        <stp/>
        <stp>BDP|14611658532725049141</stp>
        <tr r="O896" s="2"/>
      </tp>
      <tp t="s">
        <v>#N/A N/A</v>
        <stp/>
        <stp>BDP|12853328004667281398</stp>
        <tr r="O2157" s="2"/>
      </tp>
      <tp t="s">
        <v>#N/A N/A</v>
        <stp/>
        <stp>BDP|12953095552813011172</stp>
        <tr r="H1502" s="2"/>
      </tp>
      <tp t="s">
        <v>#N/A N/A</v>
        <stp/>
        <stp>BDP|10089428763326599110</stp>
        <tr r="Q27" s="2"/>
      </tp>
      <tp t="s">
        <v>#N/A N/A</v>
        <stp/>
        <stp>BDP|10280431162206507131</stp>
        <tr r="E1394" s="2"/>
      </tp>
      <tp t="s">
        <v>#N/A N/A</v>
        <stp/>
        <stp>BDP|15759088668491135730</stp>
        <tr r="M1864" s="2"/>
      </tp>
      <tp t="s">
        <v>#N/A N/A</v>
        <stp/>
        <stp>BDP|13414531355927058175</stp>
        <tr r="C769" s="2"/>
      </tp>
      <tp t="s">
        <v>#N/A N/A</v>
        <stp/>
        <stp>BDP|17582657807437766354</stp>
        <tr r="P2078" s="2"/>
      </tp>
      <tp t="s">
        <v>#N/A N/A</v>
        <stp/>
        <stp>BDP|17163348253762119621</stp>
        <tr r="R1559" s="2"/>
      </tp>
      <tp t="s">
        <v>#N/A N/A</v>
        <stp/>
        <stp>BDP|12094810265678776161</stp>
        <tr r="C272" s="2"/>
      </tp>
      <tp t="s">
        <v>#N/A N/A</v>
        <stp/>
        <stp>BDP|14880894288514555595</stp>
        <tr r="J1727" s="2"/>
      </tp>
      <tp t="s">
        <v>#N/A N/A</v>
        <stp/>
        <stp>BDP|15183438671836545535</stp>
        <tr r="D2173" s="2"/>
      </tp>
      <tp t="s">
        <v>#N/A N/A</v>
        <stp/>
        <stp>BDP|14839262293158114299</stp>
        <tr r="C1631" s="2"/>
      </tp>
      <tp t="s">
        <v>#N/A N/A</v>
        <stp/>
        <stp>BDP|15887160639793102137</stp>
        <tr r="E335" s="2"/>
      </tp>
      <tp t="s">
        <v>#N/A N/A</v>
        <stp/>
        <stp>BDP|14249236810020490203</stp>
        <tr r="M732" s="2"/>
      </tp>
      <tp t="s">
        <v>#N/A N/A</v>
        <stp/>
        <stp>BDP|12918298467156554572</stp>
        <tr r="G1807" s="2"/>
      </tp>
      <tp t="s">
        <v>#N/A N/A</v>
        <stp/>
        <stp>BDP|10767413844725681015</stp>
        <tr r="K1546" s="2"/>
      </tp>
      <tp t="s">
        <v>#N/A N/A</v>
        <stp/>
        <stp>BDP|10681615373491910587</stp>
        <tr r="A1018" s="2"/>
      </tp>
      <tp t="s">
        <v>#N/A N/A</v>
        <stp/>
        <stp>BDP|14784621801030845792</stp>
        <tr r="R1813" s="2"/>
      </tp>
      <tp t="s">
        <v>#N/A N/A</v>
        <stp/>
        <stp>BDP|15717004214018681902</stp>
        <tr r="R446" s="2"/>
      </tp>
      <tp t="s">
        <v>#N/A N/A</v>
        <stp/>
        <stp>BDP|13405532434463100379</stp>
        <tr r="F127" s="2"/>
      </tp>
      <tp t="s">
        <v>#N/A N/A</v>
        <stp/>
        <stp>BDP|12525703158476825308</stp>
        <tr r="Q1253" s="2"/>
      </tp>
      <tp t="s">
        <v>#N/A N/A</v>
        <stp/>
        <stp>BDP|14125300144304577259</stp>
        <tr r="A1014" s="2"/>
      </tp>
      <tp t="s">
        <v>#N/A N/A</v>
        <stp/>
        <stp>BDP|15026103302709596820</stp>
        <tr r="M1805" s="2"/>
      </tp>
      <tp t="s">
        <v>#N/A N/A</v>
        <stp/>
        <stp>BDS|16193502619560787798</stp>
        <tr r="I236" s="2"/>
      </tp>
      <tp t="s">
        <v>#N/A N/A</v>
        <stp/>
        <stp>BDP|10560141405274795062</stp>
        <tr r="G367" s="2"/>
      </tp>
      <tp t="s">
        <v>#N/A N/A</v>
        <stp/>
        <stp>BDS|10289602783972798904</stp>
        <tr r="I1758" s="2"/>
      </tp>
      <tp t="s">
        <v>#N/A N/A</v>
        <stp/>
        <stp>BDP|11343498316053065294</stp>
        <tr r="D140" s="2"/>
      </tp>
      <tp t="s">
        <v>#N/A N/A</v>
        <stp/>
        <stp>BDP|17834751669742189100</stp>
        <tr r="J926" s="2"/>
      </tp>
      <tp t="s">
        <v>#N/A N/A</v>
        <stp/>
        <stp>BDP|16009665660146411578</stp>
        <tr r="D1485" s="2"/>
      </tp>
      <tp t="s">
        <v>#N/A N/A</v>
        <stp/>
        <stp>BDP|13344197761441720098</stp>
        <tr r="P309" s="2"/>
      </tp>
      <tp t="s">
        <v>#N/A N/A</v>
        <stp/>
        <stp>BDP|12561986318939043600</stp>
        <tr r="J1879" s="2"/>
      </tp>
      <tp t="s">
        <v>#N/A N/A</v>
        <stp/>
        <stp>BDP|15210628530696644337</stp>
        <tr r="A927" s="2"/>
      </tp>
      <tp t="s">
        <v>#N/A N/A</v>
        <stp/>
        <stp>BDP|16065305570703098451</stp>
        <tr r="Q591" s="2"/>
      </tp>
      <tp t="s">
        <v>#N/A N/A</v>
        <stp/>
        <stp>BDP|12452174506954629266</stp>
        <tr r="G2194" s="2"/>
      </tp>
      <tp t="s">
        <v>#N/A N/A</v>
        <stp/>
        <stp>BDP|12599211670767823591</stp>
        <tr r="J1846" s="2"/>
      </tp>
      <tp t="s">
        <v>#N/A N/A</v>
        <stp/>
        <stp>BDP|14555699669836139714</stp>
        <tr r="D1340" s="2"/>
      </tp>
      <tp t="s">
        <v>#N/A N/A</v>
        <stp/>
        <stp>BDP|17429971960738449523</stp>
        <tr r="S1427" s="2"/>
      </tp>
      <tp t="s">
        <v>#N/A N/A</v>
        <stp/>
        <stp>BDP|13647273521655542306</stp>
        <tr r="K1330" s="2"/>
      </tp>
      <tp t="s">
        <v>#N/A N/A</v>
        <stp/>
        <stp>BDP|11640114475240516220</stp>
        <tr r="G945" s="2"/>
      </tp>
      <tp t="s">
        <v>#N/A N/A</v>
        <stp/>
        <stp>BDP|12892862549618497367</stp>
        <tr r="D1304" s="2"/>
      </tp>
      <tp t="s">
        <v>#N/A N/A</v>
        <stp/>
        <stp>BDP|15058908246399790444</stp>
        <tr r="F2123" s="2"/>
      </tp>
      <tp t="s">
        <v>#N/A N/A</v>
        <stp/>
        <stp>BDP|15579619490737923889</stp>
        <tr r="O808" s="2"/>
      </tp>
      <tp t="s">
        <v>#N/A N/A</v>
        <stp/>
        <stp>BDP|11889476269424205218</stp>
        <tr r="P1798" s="2"/>
      </tp>
      <tp t="s">
        <v>#N/A N/A</v>
        <stp/>
        <stp>BDP|14395871450299890591</stp>
        <tr r="G1040" s="2"/>
      </tp>
      <tp t="s">
        <v>#N/A N/A</v>
        <stp/>
        <stp>BDS|13319558475824557006</stp>
        <tr r="I527" s="2"/>
      </tp>
      <tp t="s">
        <v>#N/A N/A</v>
        <stp/>
        <stp>BDP|16645760776632025132</stp>
        <tr r="M1779" s="2"/>
      </tp>
      <tp t="s">
        <v>#N/A N/A</v>
        <stp/>
        <stp>BDP|12268613206103766273</stp>
        <tr r="M1659" s="2"/>
      </tp>
      <tp t="s">
        <v>#N/A N/A</v>
        <stp/>
        <stp>BDP|12420291376557839564</stp>
        <tr r="F2128" s="2"/>
      </tp>
      <tp t="s">
        <v>#N/A N/A</v>
        <stp/>
        <stp>BDP|12470683598930758869</stp>
        <tr r="P992" s="2"/>
      </tp>
      <tp t="s">
        <v>#N/A N/A</v>
        <stp/>
        <stp>BDP|15184408705316777265</stp>
        <tr r="R2201" s="2"/>
      </tp>
      <tp t="s">
        <v>#N/A N/A</v>
        <stp/>
        <stp>BDP|13495798117025972567</stp>
        <tr r="R1696" s="2"/>
      </tp>
      <tp t="s">
        <v>#N/A N/A</v>
        <stp/>
        <stp>BDP|13497721774165791301</stp>
        <tr r="E958" s="2"/>
      </tp>
      <tp t="s">
        <v>#N/A N/A</v>
        <stp/>
        <stp>BDP|13102072461056465665</stp>
        <tr r="C1757" s="2"/>
      </tp>
      <tp t="s">
        <v>#N/A N/A</v>
        <stp/>
        <stp>BDP|17208470054315518613</stp>
        <tr r="P778" s="2"/>
      </tp>
      <tp t="s">
        <v>#N/A N/A</v>
        <stp/>
        <stp>BDP|12319582065003915722</stp>
        <tr r="M161" s="2"/>
      </tp>
      <tp t="s">
        <v>#N/A N/A</v>
        <stp/>
        <stp>BDP|12906370870275916623</stp>
        <tr r="H1627" s="2"/>
      </tp>
      <tp t="s">
        <v>#N/A N/A</v>
        <stp/>
        <stp>BDP|11368700664730673546</stp>
        <tr r="M300" s="2"/>
      </tp>
      <tp t="s">
        <v>#N/A N/A</v>
        <stp/>
        <stp>BDP|16422559621467398366</stp>
        <tr r="F1187" s="2"/>
      </tp>
      <tp t="s">
        <v>#N/A N/A</v>
        <stp/>
        <stp>BDP|13331822297450072732</stp>
        <tr r="Q1588" s="2"/>
      </tp>
      <tp t="s">
        <v>#N/A N/A</v>
        <stp/>
        <stp>BDP|13613335324146152150</stp>
        <tr r="R1169" s="2"/>
      </tp>
      <tp t="s">
        <v>#N/A N/A</v>
        <stp/>
        <stp>BDP|17319004723276278670</stp>
        <tr r="N1669" s="2"/>
      </tp>
      <tp t="s">
        <v>#N/A N/A</v>
        <stp/>
        <stp>BDP|17712114347483569417</stp>
        <tr r="E230" s="2"/>
      </tp>
      <tp t="s">
        <v>#N/A N/A</v>
        <stp/>
        <stp>BDP|14081726501647413129</stp>
        <tr r="S594" s="2"/>
      </tp>
      <tp t="s">
        <v>#N/A N/A</v>
        <stp/>
        <stp>BDP|13909877562069158182</stp>
        <tr r="P1154" s="2"/>
      </tp>
      <tp t="s">
        <v>#N/A N/A</v>
        <stp/>
        <stp>BDP|16876714020553831545</stp>
        <tr r="H940" s="2"/>
      </tp>
      <tp t="s">
        <v>#N/A N/A</v>
        <stp/>
        <stp>BDP|10524306174481440003</stp>
        <tr r="M597" s="2"/>
      </tp>
      <tp t="s">
        <v>#N/A N/A</v>
        <stp/>
        <stp>BDP|16221375063571019734</stp>
        <tr r="H1837" s="2"/>
      </tp>
      <tp t="s">
        <v>#N/A N/A</v>
        <stp/>
        <stp>BDP|11143345769962879318</stp>
        <tr r="E446" s="2"/>
      </tp>
      <tp t="s">
        <v>#N/A N/A</v>
        <stp/>
        <stp>BDP|17544066929886781685</stp>
        <tr r="S1683" s="2"/>
      </tp>
      <tp t="s">
        <v>#N/A N/A</v>
        <stp/>
        <stp>BDP|17010345450534941082</stp>
        <tr r="F1059" s="2"/>
      </tp>
      <tp t="s">
        <v>#N/A N/A</v>
        <stp/>
        <stp>BDS|17726276136664940791</stp>
        <tr r="I737" s="2"/>
      </tp>
      <tp t="s">
        <v>#N/A N/A</v>
        <stp/>
        <stp>BDP|17723850381317333555</stp>
        <tr r="O583" s="2"/>
      </tp>
      <tp t="s">
        <v>#N/A N/A</v>
        <stp/>
        <stp>BDP|16704138126204689414</stp>
        <tr r="D697" s="2"/>
      </tp>
      <tp t="s">
        <v>#N/A N/A</v>
        <stp/>
        <stp>BDP|17109786963683856073</stp>
        <tr r="R493" s="2"/>
      </tp>
      <tp t="s">
        <v>#N/A N/A</v>
        <stp/>
        <stp>BDP|12790134133915227000</stp>
        <tr r="R1579" s="2"/>
      </tp>
      <tp t="s">
        <v>#N/A N/A</v>
        <stp/>
        <stp>BDP|18063371545229273354</stp>
        <tr r="A73" s="2"/>
      </tp>
      <tp t="s">
        <v>#N/A N/A</v>
        <stp/>
        <stp>BDP|17130386679227475116</stp>
        <tr r="G1509" s="2"/>
      </tp>
      <tp t="s">
        <v>#N/A N/A</v>
        <stp/>
        <stp>BDP|10561446422271250241</stp>
        <tr r="K1728" s="2"/>
      </tp>
      <tp t="s">
        <v>#N/A N/A</v>
        <stp/>
        <stp>BDP|17613048785933175931</stp>
        <tr r="C508" s="2"/>
      </tp>
      <tp t="s">
        <v>#N/A N/A</v>
        <stp/>
        <stp>BDP|12722562713080260353</stp>
        <tr r="K1736" s="2"/>
      </tp>
      <tp t="s">
        <v>#N/A N/A</v>
        <stp/>
        <stp>BDP|16138136769964616088</stp>
        <tr r="T2181" s="2"/>
      </tp>
      <tp t="s">
        <v>#N/A N/A</v>
        <stp/>
        <stp>BDP|13079035539030976560</stp>
        <tr r="Q1729" s="2"/>
      </tp>
      <tp t="s">
        <v>#N/A N/A</v>
        <stp/>
        <stp>BDP|14129153332430262316</stp>
        <tr r="D628" s="2"/>
      </tp>
      <tp t="s">
        <v>#N/A N/A</v>
        <stp/>
        <stp>BDP|16061857954098066642</stp>
        <tr r="C977" s="2"/>
      </tp>
      <tp t="s">
        <v>#N/A N/A</v>
        <stp/>
        <stp>BDP|13561350813807038368</stp>
        <tr r="E1915" s="2"/>
      </tp>
      <tp t="s">
        <v>#N/A N/A</v>
        <stp/>
        <stp>BDP|16939894659089906752</stp>
        <tr r="F1080" s="2"/>
      </tp>
      <tp t="s">
        <v>#N/A N/A</v>
        <stp/>
        <stp>BDP|13762914673410729870</stp>
        <tr r="E1381" s="2"/>
      </tp>
      <tp t="s">
        <v>#N/A N/A</v>
        <stp/>
        <stp>BDP|14906866910058354097</stp>
        <tr r="D432" s="2"/>
      </tp>
      <tp t="s">
        <v>#N/A N/A</v>
        <stp/>
        <stp>BDP|18358415973537216960</stp>
        <tr r="E2047" s="2"/>
      </tp>
      <tp t="s">
        <v>#N/A N/A</v>
        <stp/>
        <stp>BDP|16218129765812649660</stp>
        <tr r="R1496" s="2"/>
      </tp>
      <tp t="s">
        <v>#N/A N/A</v>
        <stp/>
        <stp>BDP|16646220576677732105</stp>
        <tr r="N899" s="2"/>
      </tp>
      <tp t="s">
        <v>#N/A N/A</v>
        <stp/>
        <stp>BDP|13384232846326042626</stp>
        <tr r="P1132" s="2"/>
      </tp>
      <tp t="s">
        <v>#N/A N/A</v>
        <stp/>
        <stp>BDP|12709326665524604628</stp>
        <tr r="K1549" s="2"/>
      </tp>
      <tp t="s">
        <v>#N/A N/A</v>
        <stp/>
        <stp>BDP|17862178758690609653</stp>
        <tr r="O308" s="2"/>
      </tp>
      <tp t="s">
        <v>#N/A N/A</v>
        <stp/>
        <stp>BDP|14857246223130301189</stp>
        <tr r="D602" s="2"/>
      </tp>
      <tp t="s">
        <v>#N/A N/A</v>
        <stp/>
        <stp>BDP|14281040046737172253</stp>
        <tr r="S1468" s="2"/>
      </tp>
      <tp t="s">
        <v>#N/A N/A</v>
        <stp/>
        <stp>BDP|17195455272594173534</stp>
        <tr r="N895" s="2"/>
      </tp>
      <tp t="s">
        <v>#N/A N/A</v>
        <stp/>
        <stp>BDP|12716299824777726097</stp>
        <tr r="F1989" s="2"/>
      </tp>
      <tp t="s">
        <v>#N/A N/A</v>
        <stp/>
        <stp>BDP|16911291171225018359</stp>
        <tr r="S1661" s="2"/>
      </tp>
      <tp t="s">
        <v>#N/A N/A</v>
        <stp/>
        <stp>BDP|17793991068778504575</stp>
        <tr r="J1768" s="2"/>
      </tp>
      <tp t="s">
        <v>#N/A N/A</v>
        <stp/>
        <stp>BDP|17132119890213223962</stp>
        <tr r="O1701" s="2"/>
      </tp>
      <tp t="s">
        <v>#N/A N/A</v>
        <stp/>
        <stp>BDP|16832374015858743993</stp>
        <tr r="G1634" s="2"/>
      </tp>
      <tp t="s">
        <v>#N/A N/A</v>
        <stp/>
        <stp>BDP|16540349657431394418</stp>
        <tr r="S600" s="2"/>
      </tp>
      <tp t="s">
        <v>#N/A N/A</v>
        <stp/>
        <stp>BDP|11536593165023515489</stp>
        <tr r="J1383" s="2"/>
      </tp>
      <tp t="s">
        <v>#N/A N/A</v>
        <stp/>
        <stp>BDP|14221807405829448076</stp>
        <tr r="K278" s="2"/>
      </tp>
      <tp t="s">
        <v>#N/A N/A</v>
        <stp/>
        <stp>BDP|12286371881344724877</stp>
        <tr r="J103" s="2"/>
      </tp>
      <tp t="s">
        <v>#N/A N/A</v>
        <stp/>
        <stp>BDP|13205954193016020009</stp>
        <tr r="G1106" s="2"/>
      </tp>
      <tp t="s">
        <v>#N/A N/A</v>
        <stp/>
        <stp>BDP|15666642474102725358</stp>
        <tr r="K304" s="2"/>
      </tp>
      <tp t="s">
        <v>#N/A N/A</v>
        <stp/>
        <stp>BDP|15502929942684315921</stp>
        <tr r="P2228" s="2"/>
      </tp>
      <tp t="s">
        <v>#N/A N/A</v>
        <stp/>
        <stp>BDS|10710912471932261923</stp>
        <tr r="I1220" s="2"/>
      </tp>
      <tp t="s">
        <v>#N/A N/A</v>
        <stp/>
        <stp>BDP|10706062055575810589</stp>
        <tr r="O96" s="2"/>
      </tp>
      <tp t="s">
        <v>#N/A N/A</v>
        <stp/>
        <stp>BDP|18261539295054546554</stp>
        <tr r="Q1595" s="2"/>
      </tp>
      <tp t="s">
        <v>#N/A N/A</v>
        <stp/>
        <stp>BDS|13296667319216966735</stp>
        <tr r="I844" s="2"/>
      </tp>
      <tp t="s">
        <v>#N/A N/A</v>
        <stp/>
        <stp>BDP|17035486967707291795</stp>
        <tr r="N2155" s="2"/>
      </tp>
      <tp t="s">
        <v>#N/A N/A</v>
        <stp/>
        <stp>BDP|17680329808777083680</stp>
        <tr r="M1218" s="2"/>
      </tp>
      <tp t="s">
        <v>#N/A N/A</v>
        <stp/>
        <stp>BDP|13397104926132869794</stp>
        <tr r="E2147" s="2"/>
      </tp>
      <tp t="s">
        <v>#N/A N/A</v>
        <stp/>
        <stp>BDP|11618213103971339736</stp>
        <tr r="H1217" s="2"/>
      </tp>
      <tp t="s">
        <v>#N/A N/A</v>
        <stp/>
        <stp>BDP|17830742728390889784</stp>
        <tr r="O49" s="2"/>
      </tp>
      <tp t="s">
        <v>#N/A N/A</v>
        <stp/>
        <stp>BDP|16533821362308476558</stp>
        <tr r="J1722" s="2"/>
      </tp>
      <tp t="s">
        <v>#N/A N/A</v>
        <stp/>
        <stp>BDP|12949657866437703099</stp>
        <tr r="O958" s="2"/>
      </tp>
      <tp t="s">
        <v>#N/A N/A</v>
        <stp/>
        <stp>BDS|10083957766858381271</stp>
        <tr r="I2223" s="2"/>
      </tp>
      <tp t="s">
        <v>#N/A N/A</v>
        <stp/>
        <stp>BDP|15365216542153399575</stp>
        <tr r="E630" s="2"/>
      </tp>
      <tp t="s">
        <v>#N/A N/A</v>
        <stp/>
        <stp>BDP|17940236346891123595</stp>
        <tr r="T1089" s="2"/>
      </tp>
      <tp t="s">
        <v>#N/A N/A</v>
        <stp/>
        <stp>BDP|17616378865722577554</stp>
        <tr r="S275" s="2"/>
      </tp>
      <tp t="s">
        <v>#N/A N/A</v>
        <stp/>
        <stp>BDP|10801810438398199647</stp>
        <tr r="D1397" s="2"/>
      </tp>
      <tp t="s">
        <v>#N/A N/A</v>
        <stp/>
        <stp>BDP|13273128193758743601</stp>
        <tr r="F2185" s="2"/>
      </tp>
      <tp t="s">
        <v>#N/A N/A</v>
        <stp/>
        <stp>BDP|14130726273979595818</stp>
        <tr r="A766" s="2"/>
      </tp>
      <tp t="s">
        <v>#N/A N/A</v>
        <stp/>
        <stp>BDP|14586740843441433323</stp>
        <tr r="Q825" s="2"/>
      </tp>
      <tp t="s">
        <v>#N/A N/A</v>
        <stp/>
        <stp>BDP|17485276765224144234</stp>
        <tr r="H1855" s="2"/>
      </tp>
      <tp t="s">
        <v>#N/A N/A</v>
        <stp/>
        <stp>BDP|14304976290580098106</stp>
        <tr r="G337" s="2"/>
      </tp>
      <tp t="s">
        <v>#N/A N/A</v>
        <stp/>
        <stp>BDP|11222149560851493266</stp>
        <tr r="R2254" s="2"/>
      </tp>
      <tp t="s">
        <v>#N/A N/A</v>
        <stp/>
        <stp>BDP|15725149816996479656</stp>
        <tr r="J1484" s="2"/>
      </tp>
      <tp t="s">
        <v>#N/A N/A</v>
        <stp/>
        <stp>BDP|18072919250182094355</stp>
        <tr r="J2006" s="2"/>
      </tp>
      <tp t="s">
        <v>#N/A N/A</v>
        <stp/>
        <stp>BDP|12415190262559848933</stp>
        <tr r="D1532" s="2"/>
      </tp>
      <tp t="s">
        <v>#N/A N/A</v>
        <stp/>
        <stp>BDP|10164270602230557752</stp>
        <tr r="Q1757" s="2"/>
      </tp>
      <tp t="s">
        <v>#N/A N/A</v>
        <stp/>
        <stp>BDP|10970680447226555173</stp>
        <tr r="D1024" s="2"/>
      </tp>
      <tp t="s">
        <v>#N/A N/A</v>
        <stp/>
        <stp>BDP|11163575332470564252</stp>
        <tr r="E696" s="2"/>
      </tp>
      <tp t="s">
        <v>#N/A N/A</v>
        <stp/>
        <stp>BDP|13103276074030232346</stp>
        <tr r="G861" s="2"/>
      </tp>
      <tp t="s">
        <v>#N/A N/A</v>
        <stp/>
        <stp>BDP|14763606563719355831</stp>
        <tr r="Q123" s="2"/>
      </tp>
      <tp t="s">
        <v>#N/A N/A</v>
        <stp/>
        <stp>BDP|15762071645211447552</stp>
        <tr r="S736" s="2"/>
      </tp>
      <tp t="s">
        <v>#N/A N/A</v>
        <stp/>
        <stp>BDP|16005422227684342122</stp>
        <tr r="P369" s="2"/>
      </tp>
      <tp t="s">
        <v>#N/A N/A</v>
        <stp/>
        <stp>BDP|14428937183814596456</stp>
        <tr r="H1023" s="2"/>
      </tp>
      <tp t="s">
        <v>#N/A N/A</v>
        <stp/>
        <stp>BDS|12870696374047622141</stp>
        <tr r="I1173" s="2"/>
      </tp>
      <tp t="s">
        <v>#N/A N/A</v>
        <stp/>
        <stp>BDP|12000817382814446339</stp>
        <tr r="G741" s="2"/>
      </tp>
      <tp t="s">
        <v>#N/A N/A</v>
        <stp/>
        <stp>BDP|17733979713812323842</stp>
        <tr r="S2016" s="2"/>
      </tp>
      <tp t="s">
        <v>#N/A N/A</v>
        <stp/>
        <stp>BDP|16984039309951732209</stp>
        <tr r="Q75" s="2"/>
      </tp>
      <tp t="s">
        <v>#N/A N/A</v>
        <stp/>
        <stp>BDS|12043108502812165440</stp>
        <tr r="I2181" s="2"/>
      </tp>
      <tp t="s">
        <v>#N/A N/A</v>
        <stp/>
        <stp>BDP|12318801149628777390</stp>
        <tr r="R1597" s="2"/>
      </tp>
      <tp t="s">
        <v>#N/A N/A</v>
        <stp/>
        <stp>BDP|12629112466957703728</stp>
        <tr r="M1066" s="2"/>
      </tp>
      <tp t="s">
        <v>#N/A N/A</v>
        <stp/>
        <stp>BDP|15181749410483779563</stp>
        <tr r="G1413" s="2"/>
      </tp>
      <tp t="s">
        <v>#N/A N/A</v>
        <stp/>
        <stp>BDP|12813025478368156873</stp>
        <tr r="R1796" s="2"/>
      </tp>
      <tp t="s">
        <v>#N/A N/A</v>
        <stp/>
        <stp>BDP|13097355234176641038</stp>
        <tr r="K1892" s="2"/>
      </tp>
      <tp t="s">
        <v>#N/A N/A</v>
        <stp/>
        <stp>BDP|15887209011087847455</stp>
        <tr r="Q1446" s="2"/>
      </tp>
      <tp t="s">
        <v>#N/A N/A</v>
        <stp/>
        <stp>BDS|15547495741088910830</stp>
        <tr r="I2202" s="2"/>
      </tp>
      <tp t="s">
        <v>#N/A N/A</v>
        <stp/>
        <stp>BDP|15565270184143505977</stp>
        <tr r="D996" s="2"/>
      </tp>
      <tp t="s">
        <v>#N/A N/A</v>
        <stp/>
        <stp>BDP|14002913121602254860</stp>
        <tr r="M563" s="2"/>
      </tp>
      <tp t="s">
        <v>#N/A N/A</v>
        <stp/>
        <stp>BDP|15003022083319644135</stp>
        <tr r="F2233" s="2"/>
      </tp>
      <tp t="s">
        <v>#N/A N/A</v>
        <stp/>
        <stp>BDP|14129507112262717701</stp>
        <tr r="S1590" s="2"/>
      </tp>
      <tp t="s">
        <v>#N/A N/A</v>
        <stp/>
        <stp>BDP|12743195251105349683</stp>
        <tr r="S653" s="2"/>
      </tp>
      <tp t="s">
        <v>#N/A N/A</v>
        <stp/>
        <stp>BDP|17078619268245995742</stp>
        <tr r="N1137" s="2"/>
      </tp>
      <tp t="s">
        <v>#N/A N/A</v>
        <stp/>
        <stp>BDP|12340564234783017250</stp>
        <tr r="R1439" s="2"/>
      </tp>
      <tp t="s">
        <v>#N/A N/A</v>
        <stp/>
        <stp>BDP|13817781580691057845</stp>
        <tr r="G1994" s="2"/>
      </tp>
      <tp t="s">
        <v>#N/A N/A</v>
        <stp/>
        <stp>BDP|10408495500705972403</stp>
        <tr r="E1116" s="2"/>
      </tp>
      <tp t="s">
        <v>#N/A N/A</v>
        <stp/>
        <stp>BDP|14773755434582171736</stp>
        <tr r="C1839" s="2"/>
      </tp>
      <tp t="s">
        <v>#N/A N/A</v>
        <stp/>
        <stp>BDP|11507948720107271878</stp>
        <tr r="O103" s="2"/>
      </tp>
      <tp t="s">
        <v>#N/A N/A</v>
        <stp/>
        <stp>BDP|11535455302330399059</stp>
        <tr r="S1972" s="2"/>
      </tp>
      <tp t="s">
        <v>#N/A N/A</v>
        <stp/>
        <stp>BDP|13552248124156698070</stp>
        <tr r="M1653" s="2"/>
      </tp>
      <tp t="s">
        <v>#N/A N/A</v>
        <stp/>
        <stp>BDP|10887458964762540586</stp>
        <tr r="Q1554" s="2"/>
      </tp>
      <tp t="s">
        <v>#N/A N/A</v>
        <stp/>
        <stp>BDP|12346339333722073578</stp>
        <tr r="N1667" s="2"/>
      </tp>
      <tp t="s">
        <v>#N/A N/A</v>
        <stp/>
        <stp>BDP|12840665248416142334</stp>
        <tr r="T1625" s="2"/>
      </tp>
      <tp t="s">
        <v>#N/A N/A</v>
        <stp/>
        <stp>BDP|14155327022123276371</stp>
        <tr r="G2185" s="2"/>
      </tp>
      <tp t="s">
        <v>#N/A N/A</v>
        <stp/>
        <stp>BDP|11050553495510305876</stp>
        <tr r="J579" s="2"/>
      </tp>
      <tp t="s">
        <v>#N/A N/A</v>
        <stp/>
        <stp>BDP|17541218353675687057</stp>
        <tr r="M644" s="2"/>
      </tp>
      <tp t="s">
        <v>#N/A N/A</v>
        <stp/>
        <stp>BDP|17695849141256703807</stp>
        <tr r="H294" s="2"/>
      </tp>
      <tp t="s">
        <v>#N/A N/A</v>
        <stp/>
        <stp>BDP|10064795938393449210</stp>
        <tr r="Q970" s="2"/>
      </tp>
      <tp t="s">
        <v>#N/A N/A</v>
        <stp/>
        <stp>BDP|15663372045182656564</stp>
        <tr r="D485" s="2"/>
      </tp>
      <tp t="s">
        <v>#N/A N/A</v>
        <stp/>
        <stp>BDP|12896427199818271255</stp>
        <tr r="A2034" s="2"/>
      </tp>
      <tp t="s">
        <v>#N/A N/A</v>
        <stp/>
        <stp>BDP|10806594420570035256</stp>
        <tr r="O338" s="2"/>
      </tp>
      <tp t="s">
        <v>#N/A N/A</v>
        <stp/>
        <stp>BDP|12186589782269764381</stp>
        <tr r="J1216" s="2"/>
      </tp>
      <tp t="s">
        <v>#N/A N/A</v>
        <stp/>
        <stp>BDP|12329857545283236850</stp>
        <tr r="S1239" s="2"/>
      </tp>
      <tp t="s">
        <v>#N/A N/A</v>
        <stp/>
        <stp>BDP|13070507095973039921</stp>
        <tr r="O1221" s="2"/>
      </tp>
      <tp t="s">
        <v>#N/A N/A</v>
        <stp/>
        <stp>BDP|16038703207081387533</stp>
        <tr r="G724" s="2"/>
      </tp>
      <tp t="s">
        <v>#N/A N/A</v>
        <stp/>
        <stp>BDP|16541270308743581280</stp>
        <tr r="J975" s="2"/>
      </tp>
      <tp t="s">
        <v>#N/A N/A</v>
        <stp/>
        <stp>BDP|15367563223415692273</stp>
        <tr r="A1117" s="2"/>
      </tp>
      <tp t="s">
        <v>#N/A N/A</v>
        <stp/>
        <stp>BDP|11057987187632068788</stp>
        <tr r="H143" s="2"/>
      </tp>
      <tp t="s">
        <v>#N/A N/A</v>
        <stp/>
        <stp>BDP|11068825354440541949</stp>
        <tr r="A1354" s="2"/>
      </tp>
      <tp t="s">
        <v>#N/A N/A</v>
        <stp/>
        <stp>BDP|11017500250657798304</stp>
        <tr r="M76" s="2"/>
      </tp>
      <tp t="s">
        <v>#N/A N/A</v>
        <stp/>
        <stp>BDP|11769259630432739722</stp>
        <tr r="K1671" s="2"/>
      </tp>
      <tp t="s">
        <v>#N/A N/A</v>
        <stp/>
        <stp>BDP|14805000492871823950</stp>
        <tr r="Q1884" s="2"/>
      </tp>
      <tp t="s">
        <v>#N/A N/A</v>
        <stp/>
        <stp>BDP|14685347221577346774</stp>
        <tr r="O1396" s="2"/>
      </tp>
      <tp t="s">
        <v>#N/A N/A</v>
        <stp/>
        <stp>BDP|14187056602666376725</stp>
        <tr r="F1745" s="2"/>
      </tp>
      <tp t="s">
        <v>#N/A N/A</v>
        <stp/>
        <stp>BDP|13451222571562301138</stp>
        <tr r="K265" s="2"/>
      </tp>
      <tp t="s">
        <v>#N/A N/A</v>
        <stp/>
        <stp>BDP|17083764453225537577</stp>
        <tr r="H2083" s="2"/>
      </tp>
      <tp t="s">
        <v>#N/A N/A</v>
        <stp/>
        <stp>BDP|11985798686902848994</stp>
        <tr r="A2105" s="2"/>
      </tp>
      <tp t="s">
        <v>#N/A N/A</v>
        <stp/>
        <stp>BDP|17878969283564827720</stp>
        <tr r="E214" s="2"/>
      </tp>
      <tp t="s">
        <v>#N/A N/A</v>
        <stp/>
        <stp>BDP|16175982049166096874</stp>
        <tr r="G1931" s="2"/>
      </tp>
      <tp t="s">
        <v>#N/A N/A</v>
        <stp/>
        <stp>BDP|12756938533304307937</stp>
        <tr r="O1928" s="2"/>
      </tp>
      <tp t="s">
        <v>#N/A N/A</v>
        <stp/>
        <stp>BDP|16788453728623850650</stp>
        <tr r="P1740" s="2"/>
      </tp>
      <tp t="s">
        <v>#N/A N/A</v>
        <stp/>
        <stp>BDP|12303721170521389654</stp>
        <tr r="G1110" s="2"/>
      </tp>
      <tp t="s">
        <v>#N/A N/A</v>
        <stp/>
        <stp>BDP|11398221840554130676</stp>
        <tr r="K371" s="2"/>
      </tp>
      <tp t="s">
        <v>#N/A N/A</v>
        <stp/>
        <stp>BDP|16391659656957402731</stp>
        <tr r="G1460" s="2"/>
      </tp>
      <tp t="s">
        <v>#N/A N/A</v>
        <stp/>
        <stp>BDP|16199734536792406572</stp>
        <tr r="J869" s="2"/>
      </tp>
      <tp t="s">
        <v>#N/A N/A</v>
        <stp/>
        <stp>BDP|14837429035104815202</stp>
        <tr r="D365" s="2"/>
      </tp>
      <tp t="s">
        <v>#N/A N/A</v>
        <stp/>
        <stp>BDP|13226053956546733518</stp>
        <tr r="G1618" s="2"/>
      </tp>
      <tp t="s">
        <v>#N/A N/A</v>
        <stp/>
        <stp>BDP|13848625849181362579</stp>
        <tr r="O1351" s="2"/>
      </tp>
      <tp t="s">
        <v>#N/A N/A</v>
        <stp/>
        <stp>BDP|13403788117353822346</stp>
        <tr r="K1627" s="2"/>
      </tp>
      <tp t="s">
        <v>#N/A N/A</v>
        <stp/>
        <stp>BDP|16249089831735437586</stp>
        <tr r="S1733" s="2"/>
      </tp>
      <tp t="s">
        <v>#N/A N/A</v>
        <stp/>
        <stp>BDP|12505256300960626512</stp>
        <tr r="D2174" s="2"/>
      </tp>
      <tp t="s">
        <v>#N/A N/A</v>
        <stp/>
        <stp>BDP|10251949017418411526</stp>
        <tr r="H558" s="2"/>
      </tp>
      <tp t="s">
        <v>#N/A N/A</v>
        <stp/>
        <stp>BDP|11926647519523760049</stp>
        <tr r="E1708" s="2"/>
      </tp>
      <tp t="s">
        <v>#N/A N/A</v>
        <stp/>
        <stp>BDP|16332361882069550159</stp>
        <tr r="F666" s="2"/>
      </tp>
      <tp t="s">
        <v>#N/A N/A</v>
        <stp/>
        <stp>BDP|13372647644970506417</stp>
        <tr r="N1302" s="2"/>
      </tp>
      <tp t="s">
        <v>#N/A N/A</v>
        <stp/>
        <stp>BDP|16740486577848823876</stp>
        <tr r="R385" s="2"/>
      </tp>
      <tp t="s">
        <v>#N/A N/A</v>
        <stp/>
        <stp>BDP|14916765796146789990</stp>
        <tr r="J937" s="2"/>
      </tp>
      <tp t="s">
        <v>#N/A N/A</v>
        <stp/>
        <stp>BDP|13332967781960302700</stp>
        <tr r="P1017" s="2"/>
      </tp>
      <tp t="s">
        <v>#N/A N/A</v>
        <stp/>
        <stp>BDP|17394955015619579311</stp>
        <tr r="F1474" s="2"/>
      </tp>
      <tp t="s">
        <v>#N/A N/A</v>
        <stp/>
        <stp>BDP|14505577957177725658</stp>
        <tr r="K343" s="2"/>
      </tp>
      <tp t="s">
        <v>#N/A N/A</v>
        <stp/>
        <stp>BDP|18167768533089262014</stp>
        <tr r="J594" s="2"/>
      </tp>
      <tp t="s">
        <v>#N/A N/A</v>
        <stp/>
        <stp>BDP|15728673600843660513</stp>
        <tr r="Q1080" s="2"/>
      </tp>
      <tp t="s">
        <v>#N/A N/A</v>
        <stp/>
        <stp>BDP|11098914582482700735</stp>
        <tr r="F1408" s="2"/>
      </tp>
      <tp t="s">
        <v>#N/A N/A</v>
        <stp/>
        <stp>BDS|10797016666727647420</stp>
        <tr r="I895" s="2"/>
      </tp>
      <tp t="s">
        <v>#N/A N/A</v>
        <stp/>
        <stp>BDP|13440395760031343299</stp>
        <tr r="A598" s="2"/>
      </tp>
      <tp t="s">
        <v>#N/A N/A</v>
        <stp/>
        <stp>BDP|11647265265477084721</stp>
        <tr r="C1515" s="2"/>
      </tp>
      <tp t="s">
        <v>#N/A N/A</v>
        <stp/>
        <stp>BDP|12892131484727945917</stp>
        <tr r="C1638" s="2"/>
      </tp>
      <tp t="s">
        <v>#N/A N/A</v>
        <stp/>
        <stp>BDP|17278332429663846074</stp>
        <tr r="C434" s="2"/>
      </tp>
      <tp t="s">
        <v>#N/A N/A</v>
        <stp/>
        <stp>BDP|16613040047641539677</stp>
        <tr r="J119" s="2"/>
      </tp>
      <tp t="s">
        <v>#N/A N/A</v>
        <stp/>
        <stp>BDP|10523972988167824350</stp>
        <tr r="P1003" s="2"/>
      </tp>
      <tp t="s">
        <v>#N/A N/A</v>
        <stp/>
        <stp>BDP|11276704945052140514</stp>
        <tr r="H1133" s="2"/>
      </tp>
      <tp t="s">
        <v>#N/A N/A</v>
        <stp/>
        <stp>BDP|11587008471515106626</stp>
        <tr r="R1507" s="2"/>
      </tp>
      <tp t="s">
        <v>#N/A N/A</v>
        <stp/>
        <stp>BDP|17314524151666114461</stp>
        <tr r="K2208" s="2"/>
      </tp>
      <tp t="s">
        <v>#N/A N/A</v>
        <stp/>
        <stp>BDP|13463092201173900526</stp>
        <tr r="H1394" s="2"/>
      </tp>
      <tp t="s">
        <v>#N/A N/A</v>
        <stp/>
        <stp>BDP|10251599230926811547</stp>
        <tr r="R423" s="2"/>
      </tp>
      <tp t="s">
        <v>#N/A N/A</v>
        <stp/>
        <stp>BDP|12675654474627820184</stp>
        <tr r="A1699" s="2"/>
      </tp>
      <tp t="s">
        <v>#N/A N/A</v>
        <stp/>
        <stp>BDP|17034517550160535235</stp>
        <tr r="E323" s="2"/>
      </tp>
      <tp t="s">
        <v>#N/A N/A</v>
        <stp/>
        <stp>BDP|11293234430924515137</stp>
        <tr r="Q1270" s="2"/>
      </tp>
      <tp t="s">
        <v>#N/A N/A</v>
        <stp/>
        <stp>BDP|15276360860742666757</stp>
        <tr r="E147" s="2"/>
      </tp>
      <tp t="s">
        <v>#N/A N/A</v>
        <stp/>
        <stp>BDP|15858705647086009581</stp>
        <tr r="G1101" s="2"/>
      </tp>
      <tp t="s">
        <v>#N/A N/A</v>
        <stp/>
        <stp>BDP|14579536507116589239</stp>
        <tr r="N743" s="2"/>
      </tp>
      <tp t="s">
        <v>#N/A N/A</v>
        <stp/>
        <stp>BDP|14629258573994475035</stp>
        <tr r="H1288" s="2"/>
      </tp>
      <tp t="s">
        <v>#N/A N/A</v>
        <stp/>
        <stp>BDP|14517620840187439443</stp>
        <tr r="G164" s="2"/>
      </tp>
      <tp t="s">
        <v>#N/A N/A</v>
        <stp/>
        <stp>BDP|12183648979932980421</stp>
        <tr r="O1679" s="2"/>
      </tp>
      <tp t="s">
        <v>#N/A N/A</v>
        <stp/>
        <stp>BDP|17937266419097231636</stp>
        <tr r="O158" s="2"/>
      </tp>
      <tp t="s">
        <v>#N/A N/A</v>
        <stp/>
        <stp>BDP|13794673702729044959</stp>
        <tr r="C2056" s="2"/>
      </tp>
      <tp t="s">
        <v>#N/A N/A</v>
        <stp/>
        <stp>BDP|13702676261862482426</stp>
        <tr r="E288" s="2"/>
      </tp>
      <tp t="s">
        <v>#N/A N/A</v>
        <stp/>
        <stp>BDP|13522695236533451097</stp>
        <tr r="S858" s="2"/>
      </tp>
      <tp t="s">
        <v>#N/A N/A</v>
        <stp/>
        <stp>BDP|10889592931886605515</stp>
        <tr r="T1036" s="2"/>
      </tp>
      <tp t="s">
        <v>#N/A N/A</v>
        <stp/>
        <stp>BDP|16412911806873371978</stp>
        <tr r="D1835" s="2"/>
      </tp>
      <tp t="s">
        <v>#N/A N/A</v>
        <stp/>
        <stp>BDP|10195196769103497120</stp>
        <tr r="M1285" s="2"/>
      </tp>
      <tp t="s">
        <v>#N/A N/A</v>
        <stp/>
        <stp>BDP|13893239437816282197</stp>
        <tr r="J79" s="2"/>
      </tp>
      <tp t="s">
        <v>#N/A N/A</v>
        <stp/>
        <stp>BDP|18442614567759106440</stp>
        <tr r="F738" s="2"/>
      </tp>
      <tp t="s">
        <v>#N/A N/A</v>
        <stp/>
        <stp>BDP|13610113703491319600</stp>
        <tr r="E1768" s="2"/>
      </tp>
      <tp t="s">
        <v>#N/A N/A</v>
        <stp/>
        <stp>BDP|12310158281679984790</stp>
        <tr r="P496" s="2"/>
      </tp>
      <tp t="s">
        <v>#N/A N/A</v>
        <stp/>
        <stp>BDP|16248507254134955781</stp>
        <tr r="N1372" s="2"/>
      </tp>
      <tp t="s">
        <v>#N/A N/A</v>
        <stp/>
        <stp>BDP|13718923626624164954</stp>
        <tr r="F402" s="2"/>
      </tp>
      <tp t="s">
        <v>#N/A N/A</v>
        <stp/>
        <stp>BDP|14077240782093451854</stp>
        <tr r="F834" s="2"/>
      </tp>
      <tp t="s">
        <v>#N/A N/A</v>
        <stp/>
        <stp>BDP|17469060349250925650</stp>
        <tr r="G1423" s="2"/>
      </tp>
      <tp t="s">
        <v>#N/A N/A</v>
        <stp/>
        <stp>BDP|15294339260705157074</stp>
        <tr r="A1565" s="2"/>
      </tp>
      <tp t="s">
        <v>#N/A N/A</v>
        <stp/>
        <stp>BDP|10372422045754077133</stp>
        <tr r="F898" s="2"/>
      </tp>
      <tp t="s">
        <v>#N/A N/A</v>
        <stp/>
        <stp>BDP|13172426101297424514</stp>
        <tr r="D2255" s="2"/>
      </tp>
      <tp t="s">
        <v>#N/A N/A</v>
        <stp/>
        <stp>BDP|16740909814893294869</stp>
        <tr r="S841" s="2"/>
      </tp>
      <tp t="s">
        <v>#N/A N/A</v>
        <stp/>
        <stp>BDP|15603635571540514164</stp>
        <tr r="C947" s="2"/>
      </tp>
      <tp t="s">
        <v>#N/A N/A</v>
        <stp/>
        <stp>BDS|16707824933319279105</stp>
        <tr r="I922" s="2"/>
      </tp>
      <tp t="s">
        <v>#N/A N/A</v>
        <stp/>
        <stp>BDP|16894509246727914503</stp>
        <tr r="J206" s="2"/>
      </tp>
      <tp t="s">
        <v>#N/A N/A</v>
        <stp/>
        <stp>BDP|15790489216625673084</stp>
        <tr r="F838" s="2"/>
      </tp>
      <tp t="s">
        <v>#N/A N/A</v>
        <stp/>
        <stp>BDP|11525724067755712005</stp>
        <tr r="G1452" s="2"/>
      </tp>
      <tp t="s">
        <v>#N/A N/A</v>
        <stp/>
        <stp>BDP|13865687029157752590</stp>
        <tr r="G312" s="2"/>
      </tp>
      <tp t="s">
        <v>#N/A N/A</v>
        <stp/>
        <stp>BDP|13169089865868328881</stp>
        <tr r="S522" s="2"/>
      </tp>
      <tp t="s">
        <v>#N/A N/A</v>
        <stp/>
        <stp>BDP|17300805583073677116</stp>
        <tr r="F1632" s="2"/>
      </tp>
      <tp t="s">
        <v>#N/A N/A</v>
        <stp/>
        <stp>BDP|15892001151113881665</stp>
        <tr r="Q1898" s="2"/>
      </tp>
      <tp t="s">
        <v>#N/A N/A</v>
        <stp/>
        <stp>BDP|17024096271050741584</stp>
        <tr r="F168" s="2"/>
      </tp>
      <tp t="s">
        <v>#N/A N/A</v>
        <stp/>
        <stp>BDP|16889365747346734286</stp>
        <tr r="P2011" s="2"/>
      </tp>
      <tp t="s">
        <v>#N/A N/A</v>
        <stp/>
        <stp>BDP|18248918670585168644</stp>
        <tr r="S1719" s="2"/>
      </tp>
      <tp t="s">
        <v>#N/A N/A</v>
        <stp/>
        <stp>BDP|13826473804056593483</stp>
        <tr r="C703" s="2"/>
      </tp>
      <tp t="s">
        <v>#N/A N/A</v>
        <stp/>
        <stp>BDP|11789562457307606362</stp>
        <tr r="K1351" s="2"/>
      </tp>
      <tp t="s">
        <v>#N/A N/A</v>
        <stp/>
        <stp>BDP|12400403264883201640</stp>
        <tr r="N97" s="2"/>
      </tp>
      <tp t="s">
        <v>#N/A N/A</v>
        <stp/>
        <stp>BDP|11628454811670791132</stp>
        <tr r="H420" s="2"/>
      </tp>
      <tp t="s">
        <v>#N/A N/A</v>
        <stp/>
        <stp>BDP|17461528036177747310</stp>
        <tr r="P636" s="2"/>
      </tp>
      <tp t="s">
        <v>#N/A N/A</v>
        <stp/>
        <stp>BDP|10752892790836056281</stp>
        <tr r="G1970" s="2"/>
      </tp>
      <tp t="s">
        <v>#N/A N/A</v>
        <stp/>
        <stp>BDP|14163322723034267449</stp>
        <tr r="D1312" s="2"/>
      </tp>
      <tp t="s">
        <v>#N/A N/A</v>
        <stp/>
        <stp>BDP|18392704676068362500</stp>
        <tr r="N359" s="2"/>
      </tp>
      <tp t="s">
        <v>#N/A N/A</v>
        <stp/>
        <stp>BDP|15983414626160850603</stp>
        <tr r="O416" s="2"/>
      </tp>
      <tp t="s">
        <v>#N/A N/A</v>
        <stp/>
        <stp>BDS|10251548610830179128</stp>
        <tr r="I585" s="2"/>
      </tp>
      <tp t="s">
        <v>#N/A N/A</v>
        <stp/>
        <stp>BDP|11616424045761698511</stp>
        <tr r="N1278" s="2"/>
      </tp>
      <tp t="s">
        <v>#N/A N/A</v>
        <stp/>
        <stp>BDP|12241062673857367722</stp>
        <tr r="N1496" s="2"/>
      </tp>
      <tp t="s">
        <v>#N/A N/A</v>
        <stp/>
        <stp>BDP|14572398335461962067</stp>
        <tr r="Q1451" s="2"/>
      </tp>
      <tp t="s">
        <v>#N/A N/A</v>
        <stp/>
        <stp>BDP|10185020334254575247</stp>
        <tr r="F1686" s="2"/>
      </tp>
      <tp t="s">
        <v>#N/A N/A</v>
        <stp/>
        <stp>BDP|13567248929757897169</stp>
        <tr r="E1157" s="2"/>
      </tp>
      <tp t="s">
        <v>#N/A N/A</v>
        <stp/>
        <stp>BDP|17374405956633554068</stp>
        <tr r="C1642" s="2"/>
      </tp>
      <tp t="s">
        <v>#N/A N/A</v>
        <stp/>
        <stp>BDP|18152966230840750767</stp>
        <tr r="Q355" s="2"/>
      </tp>
      <tp t="s">
        <v>#N/A N/A</v>
        <stp/>
        <stp>BDP|13878301174790387290</stp>
        <tr r="P1718" s="2"/>
      </tp>
      <tp t="s">
        <v>#N/A N/A</v>
        <stp/>
        <stp>BDP|13641633824816739405</stp>
        <tr r="G69" s="2"/>
      </tp>
      <tp t="s">
        <v>#N/A N/A</v>
        <stp/>
        <stp>BDP|16066073550213160508</stp>
        <tr r="D556" s="2"/>
      </tp>
      <tp t="s">
        <v>#N/A N/A</v>
        <stp/>
        <stp>BDP|16347127752944406313</stp>
        <tr r="O15" s="2"/>
      </tp>
      <tp t="s">
        <v>#N/A N/A</v>
        <stp/>
        <stp>BDP|13497193203614868302</stp>
        <tr r="O1638" s="2"/>
      </tp>
      <tp t="s">
        <v>#N/A N/A</v>
        <stp/>
        <stp>BDP|14960393214895025627</stp>
        <tr r="K2046" s="2"/>
      </tp>
      <tp t="s">
        <v>#N/A N/A</v>
        <stp/>
        <stp>BDP|11772735973566264239</stp>
        <tr r="T311" s="2"/>
      </tp>
      <tp t="s">
        <v>#N/A N/A</v>
        <stp/>
        <stp>BDP|11225111994135684972</stp>
        <tr r="J1765" s="2"/>
      </tp>
      <tp t="s">
        <v>#N/A N/A</v>
        <stp/>
        <stp>BDP|16993082624382029332</stp>
        <tr r="J777" s="2"/>
      </tp>
      <tp t="s">
        <v>#N/A N/A</v>
        <stp/>
        <stp>BDP|10383171159730817137</stp>
        <tr r="H1246" s="2"/>
      </tp>
      <tp t="s">
        <v>#N/A N/A</v>
        <stp/>
        <stp>BDP|13555565359963870546</stp>
        <tr r="D1237" s="2"/>
      </tp>
      <tp t="s">
        <v>#N/A N/A</v>
        <stp/>
        <stp>BDP|13035778696698727000</stp>
        <tr r="O278" s="2"/>
      </tp>
      <tp t="s">
        <v>#N/A N/A</v>
        <stp/>
        <stp>BDP|14387055051490312427</stp>
        <tr r="H580" s="2"/>
      </tp>
      <tp t="s">
        <v>#N/A N/A</v>
        <stp/>
        <stp>BDP|14601280178994117017</stp>
        <tr r="K1269" s="2"/>
      </tp>
      <tp t="s">
        <v>#N/A N/A</v>
        <stp/>
        <stp>BDP|15226775885146704919</stp>
        <tr r="F2168" s="2"/>
      </tp>
      <tp t="s">
        <v>#N/A N/A</v>
        <stp/>
        <stp>BDP|10872761848277886183</stp>
        <tr r="N1698" s="2"/>
      </tp>
      <tp t="s">
        <v>#N/A N/A</v>
        <stp/>
        <stp>BDP|11184879809805119987</stp>
        <tr r="E377" s="2"/>
      </tp>
      <tp t="s">
        <v>#N/A N/A</v>
        <stp/>
        <stp>BDP|10973773002950332291</stp>
        <tr r="A2093" s="2"/>
      </tp>
      <tp t="s">
        <v>#N/A N/A</v>
        <stp/>
        <stp>BDP|16139209928371900266</stp>
        <tr r="N2130" s="2"/>
      </tp>
      <tp t="s">
        <v>#N/A N/A</v>
        <stp/>
        <stp>BDP|17057402640841792319</stp>
        <tr r="M1983" s="2"/>
      </tp>
      <tp t="s">
        <v>#N/A N/A</v>
        <stp/>
        <stp>BDP|15279634151605539639</stp>
        <tr r="Q1926" s="2"/>
      </tp>
      <tp t="s">
        <v>#N/A N/A</v>
        <stp/>
        <stp>BDP|16858908981533650192</stp>
        <tr r="G865" s="2"/>
      </tp>
      <tp t="s">
        <v>#N/A N/A</v>
        <stp/>
        <stp>BDP|12403223945257463619</stp>
        <tr r="R447" s="2"/>
      </tp>
      <tp t="s">
        <v>#N/A N/A</v>
        <stp/>
        <stp>BDP|12300607818306537689</stp>
        <tr r="M838" s="2"/>
      </tp>
      <tp t="s">
        <v>#N/A N/A</v>
        <stp/>
        <stp>BDP|14332257564275599011</stp>
        <tr r="A357" s="2"/>
      </tp>
      <tp t="s">
        <v>#N/A N/A</v>
        <stp/>
        <stp>BDP|16031429361892083354</stp>
        <tr r="F1672" s="2"/>
      </tp>
      <tp t="s">
        <v>#N/A N/A</v>
        <stp/>
        <stp>BDP|14731592742221281185</stp>
        <tr r="R556" s="2"/>
      </tp>
      <tp t="s">
        <v>#N/A N/A</v>
        <stp/>
        <stp>BDP|14684728370804700556</stp>
        <tr r="D646" s="2"/>
      </tp>
      <tp t="s">
        <v>#N/A N/A</v>
        <stp/>
        <stp>BDP|13287095274146937701</stp>
        <tr r="G1244" s="2"/>
      </tp>
      <tp t="s">
        <v>#N/A N/A</v>
        <stp/>
        <stp>BDP|14491772852402225150</stp>
        <tr r="N747" s="2"/>
      </tp>
      <tp t="s">
        <v>#N/A N/A</v>
        <stp/>
        <stp>BDP|16816847618593280906</stp>
        <tr r="C808" s="2"/>
      </tp>
      <tp t="s">
        <v>#N/A N/A</v>
        <stp/>
        <stp>BDP|15413407265830438230</stp>
        <tr r="O1223" s="2"/>
      </tp>
      <tp t="s">
        <v>#N/A N/A</v>
        <stp/>
        <stp>BDP|16923296377637194106</stp>
        <tr r="K1069" s="2"/>
      </tp>
      <tp t="s">
        <v>#N/A N/A</v>
        <stp/>
        <stp>BDP|12105164719312130599</stp>
        <tr r="F998" s="2"/>
      </tp>
      <tp t="s">
        <v>#N/A N/A</v>
        <stp/>
        <stp>BDP|16033334264141996782</stp>
        <tr r="T428" s="2"/>
      </tp>
      <tp t="s">
        <v>#N/A N/A</v>
        <stp/>
        <stp>BDP|16654195969755194112</stp>
        <tr r="H553" s="2"/>
      </tp>
      <tp t="s">
        <v>#N/A N/A</v>
        <stp/>
        <stp>BDP|12041343324112792413</stp>
        <tr r="S1303" s="2"/>
      </tp>
      <tp t="s">
        <v>#N/A N/A</v>
        <stp/>
        <stp>BDP|12282422095703241915</stp>
        <tr r="G1355" s="2"/>
      </tp>
      <tp t="s">
        <v>#N/A N/A</v>
        <stp/>
        <stp>BDP|16844466873470206095</stp>
        <tr r="P1789" s="2"/>
      </tp>
      <tp t="s">
        <v>#N/A N/A</v>
        <stp/>
        <stp>BDP|14169040532631177304</stp>
        <tr r="R1704" s="2"/>
      </tp>
      <tp t="s">
        <v>#N/A N/A</v>
        <stp/>
        <stp>BDP|11128893381384837072</stp>
        <tr r="M1132" s="2"/>
      </tp>
      <tp t="s">
        <v>#N/A N/A</v>
        <stp/>
        <stp>BDP|16289568124006758216</stp>
        <tr r="G242" s="2"/>
      </tp>
      <tp t="s">
        <v>#N/A N/A</v>
        <stp/>
        <stp>BDP|16424333877335201240</stp>
        <tr r="F253" s="2"/>
      </tp>
      <tp t="s">
        <v>#N/A N/A</v>
        <stp/>
        <stp>BDP|17324682466062978025</stp>
        <tr r="E725" s="2"/>
      </tp>
      <tp t="s">
        <v>#N/A N/A</v>
        <stp/>
        <stp>BDP|11969013377753166086</stp>
        <tr r="J225" s="2"/>
      </tp>
      <tp t="s">
        <v>#N/A N/A</v>
        <stp/>
        <stp>BDP|16164928003632520838</stp>
        <tr r="Q1338" s="2"/>
      </tp>
      <tp t="s">
        <v>#N/A N/A</v>
        <stp/>
        <stp>BDP|17403775561276466503</stp>
        <tr r="A2113" s="2"/>
      </tp>
      <tp t="s">
        <v>#N/A N/A</v>
        <stp/>
        <stp>BDP|10556939997894630115</stp>
        <tr r="A1446" s="2"/>
      </tp>
      <tp t="s">
        <v>#N/A N/A</v>
        <stp/>
        <stp>BDP|18360297333949896573</stp>
        <tr r="O1342" s="2"/>
      </tp>
      <tp t="s">
        <v>#N/A N/A</v>
        <stp/>
        <stp>BDP|11373306421136417303</stp>
        <tr r="O811" s="2"/>
      </tp>
      <tp t="s">
        <v>#N/A N/A</v>
        <stp/>
        <stp>BDP|15884798653027765537</stp>
        <tr r="C1552" s="2"/>
      </tp>
      <tp t="s">
        <v>#N/A N/A</v>
        <stp/>
        <stp>BDP|12723646284808245139</stp>
        <tr r="Q790" s="2"/>
      </tp>
      <tp t="s">
        <v>#N/A N/A</v>
        <stp/>
        <stp>BDP|16603800165055273876</stp>
        <tr r="H1174" s="2"/>
      </tp>
      <tp t="s">
        <v>#N/A N/A</v>
        <stp/>
        <stp>BDP|14056927064799669762</stp>
        <tr r="R319" s="2"/>
      </tp>
      <tp t="s">
        <v>#N/A N/A</v>
        <stp/>
        <stp>BDP|13065311243707664627</stp>
        <tr r="O1673" s="2"/>
      </tp>
      <tp t="s">
        <v>#N/A N/A</v>
        <stp/>
        <stp>BDP|13349981384391110686</stp>
        <tr r="E896" s="2"/>
      </tp>
      <tp t="s">
        <v>#N/A N/A</v>
        <stp/>
        <stp>BDP|14117840145075133873</stp>
        <tr r="O1043" s="2"/>
      </tp>
      <tp t="s">
        <v>#N/A N/A</v>
        <stp/>
        <stp>BDP|14361900523583371954</stp>
        <tr r="R1167" s="2"/>
      </tp>
      <tp t="s">
        <v>#N/A N/A</v>
        <stp/>
        <stp>BDP|15506000970940107729</stp>
        <tr r="A529" s="2"/>
      </tp>
      <tp t="s">
        <v>#N/A N/A</v>
        <stp/>
        <stp>BDP|16625554853355114674</stp>
        <tr r="E1955" s="2"/>
      </tp>
      <tp t="s">
        <v>#N/A N/A</v>
        <stp/>
        <stp>BDP|10080608617684201636</stp>
        <tr r="N1642" s="2"/>
      </tp>
      <tp t="s">
        <v>#N/A N/A</v>
        <stp/>
        <stp>BDP|10248681022218900977</stp>
        <tr r="S1330" s="2"/>
      </tp>
      <tp t="s">
        <v>#N/A N/A</v>
        <stp/>
        <stp>BDP|11179426674017696078</stp>
        <tr r="C264" s="2"/>
      </tp>
      <tp t="s">
        <v>#N/A N/A</v>
        <stp/>
        <stp>BDP|12212344715093274672</stp>
        <tr r="M1634" s="2"/>
      </tp>
      <tp t="s">
        <v>#N/A N/A</v>
        <stp/>
        <stp>BDS|12540036157375126753</stp>
        <tr r="I2257" s="2"/>
      </tp>
      <tp t="s">
        <v>#N/A N/A</v>
        <stp/>
        <stp>BDP|10808499199638779098</stp>
        <tr r="P72" s="2"/>
      </tp>
      <tp t="s">
        <v>#N/A N/A</v>
        <stp/>
        <stp>BDP|12936223891019432584</stp>
        <tr r="O1767" s="2"/>
      </tp>
      <tp t="s">
        <v>#N/A N/A</v>
        <stp/>
        <stp>BDP|15276074280188012034</stp>
        <tr r="R1104" s="2"/>
      </tp>
      <tp t="s">
        <v>#N/A N/A</v>
        <stp/>
        <stp>BDP|11822737157686910035</stp>
        <tr r="J1923" s="2"/>
      </tp>
      <tp t="s">
        <v>#N/A N/A</v>
        <stp/>
        <stp>BDP|15528472447172644253</stp>
        <tr r="N523" s="2"/>
      </tp>
      <tp t="s">
        <v>#N/A N/A</v>
        <stp/>
        <stp>BDP|11990866997442894764</stp>
        <tr r="T2119" s="2"/>
      </tp>
      <tp t="s">
        <v>#N/A N/A</v>
        <stp/>
        <stp>BDP|10587033720296991196</stp>
        <tr r="H545" s="2"/>
      </tp>
      <tp t="s">
        <v>#N/A N/A</v>
        <stp/>
        <stp>BDP|11123455604266726611</stp>
        <tr r="K777" s="2"/>
      </tp>
      <tp t="s">
        <v>#N/A N/A</v>
        <stp/>
        <stp>BDP|12729866381083434421</stp>
        <tr r="E1714" s="2"/>
      </tp>
      <tp t="s">
        <v>#N/A N/A</v>
        <stp/>
        <stp>BDP|10627383443055826735</stp>
        <tr r="P2053" s="2"/>
      </tp>
      <tp t="s">
        <v>#N/A N/A</v>
        <stp/>
        <stp>BDP|15723127960141407671</stp>
        <tr r="R1258" s="2"/>
      </tp>
      <tp t="s">
        <v>#N/A N/A</v>
        <stp/>
        <stp>BDP|11626973347341329835</stp>
        <tr r="S757" s="2"/>
      </tp>
      <tp t="s">
        <v>#N/A N/A</v>
        <stp/>
        <stp>BDP|15589442860551291353</stp>
        <tr r="N1834" s="2"/>
      </tp>
      <tp t="s">
        <v>#N/A N/A</v>
        <stp/>
        <stp>BDP|14840346769117202316</stp>
        <tr r="S658" s="2"/>
      </tp>
      <tp t="s">
        <v>#N/A N/A</v>
        <stp/>
        <stp>BDP|11554006659112923335</stp>
        <tr r="F801" s="2"/>
      </tp>
      <tp t="s">
        <v>#N/A N/A</v>
        <stp/>
        <stp>BDP|11861520110483828345</stp>
        <tr r="Q629" s="2"/>
      </tp>
      <tp t="s">
        <v>#N/A N/A</v>
        <stp/>
        <stp>BDP|17781941749796987952</stp>
        <tr r="J659" s="2"/>
      </tp>
      <tp t="s">
        <v>#N/A N/A</v>
        <stp/>
        <stp>BDP|17389562733844210027</stp>
        <tr r="Q1811" s="2"/>
      </tp>
      <tp t="s">
        <v>#N/A N/A</v>
        <stp/>
        <stp>BDP|15093079006642432231</stp>
        <tr r="E1784" s="2"/>
      </tp>
      <tp t="s">
        <v>#N/A N/A</v>
        <stp/>
        <stp>BDP|18141120225619517757</stp>
        <tr r="N215" s="2"/>
      </tp>
      <tp t="s">
        <v>#N/A N/A</v>
        <stp/>
        <stp>BDP|15061361330525664560</stp>
        <tr r="F1110" s="2"/>
      </tp>
      <tp t="s">
        <v>#N/A N/A</v>
        <stp/>
        <stp>BDP|11993181176203082116</stp>
        <tr r="C392" s="2"/>
      </tp>
      <tp t="s">
        <v>#N/A N/A</v>
        <stp/>
        <stp>BDS|13111162311776027032</stp>
        <tr r="I84" s="2"/>
      </tp>
    </main>
    <main first="bofaddin.rtdserver">
      <tp t="s">
        <v>#N/A N/A</v>
        <stp/>
        <stp>BDP|7866756672331501</stp>
        <tr r="C1601" s="2"/>
      </tp>
      <tp t="s">
        <v>#N/A N/A</v>
        <stp/>
        <stp>BDP|6445202458627666</stp>
        <tr r="S617" s="2"/>
      </tp>
      <tp t="s">
        <v>#N/A N/A</v>
        <stp/>
        <stp>BDP|5135559098369409</stp>
        <tr r="O383" s="2"/>
      </tp>
      <tp t="s">
        <v>#N/A N/A</v>
        <stp/>
        <stp>BDP|1276983193688176</stp>
        <tr r="E282" s="2"/>
      </tp>
      <tp t="s">
        <v>#N/A N/A</v>
        <stp/>
        <stp>BDP|6737830599095472</stp>
        <tr r="M372" s="2"/>
      </tp>
      <tp t="s">
        <v>#N/A N/A</v>
        <stp/>
        <stp>BDP|6546291323306070</stp>
        <tr r="A1460" s="2"/>
      </tp>
      <tp t="s">
        <v>#N/A N/A</v>
        <stp/>
        <stp>BDP|9215566319021239</stp>
        <tr r="R1784" s="2"/>
      </tp>
      <tp t="s">
        <v>#N/A N/A</v>
        <stp/>
        <stp>BDP|2253723039270528</stp>
        <tr r="P1831" s="2"/>
      </tp>
      <tp t="s">
        <v>#N/A N/A</v>
        <stp/>
        <stp>BDP|1650858019341947</stp>
        <tr r="F2192" s="2"/>
      </tp>
      <tp t="s">
        <v>#N/A N/A</v>
        <stp/>
        <stp>BDS|5740616862343782</stp>
        <tr r="I176" s="2"/>
      </tp>
      <tp t="s">
        <v>#N/A N/A</v>
        <stp/>
        <stp>BDP|3661869868490839</stp>
        <tr r="F1496" s="2"/>
      </tp>
      <tp t="s">
        <v>#N/A N/A</v>
        <stp/>
        <stp>BDP|3321465641333580</stp>
        <tr r="T1707" s="2"/>
      </tp>
      <tp t="s">
        <v>#N/A N/A</v>
        <stp/>
        <stp>BDP|8342522474636462</stp>
        <tr r="O1835" s="2"/>
      </tp>
      <tp t="s">
        <v>#N/A N/A</v>
        <stp/>
        <stp>BDP|2707357293353742</stp>
        <tr r="Q1064" s="2"/>
      </tp>
      <tp t="s">
        <v>#N/A N/A</v>
        <stp/>
        <stp>BDP|8116229423123701</stp>
        <tr r="K1893" s="2"/>
      </tp>
      <tp t="s">
        <v>#N/A N/A</v>
        <stp/>
        <stp>BDP|8633250646636298</stp>
        <tr r="N1073" s="2"/>
      </tp>
      <tp t="s">
        <v>#N/A N/A</v>
        <stp/>
        <stp>BDP|8258368967891445</stp>
        <tr r="C596" s="2"/>
      </tp>
      <tp t="s">
        <v>#N/A N/A</v>
        <stp/>
        <stp>BDP|7787486679519315</stp>
        <tr r="D1040" s="2"/>
      </tp>
      <tp t="s">
        <v>#N/A N/A</v>
        <stp/>
        <stp>BDP|1728554880538026888</stp>
        <tr r="N2194" s="2"/>
      </tp>
      <tp t="s">
        <v>#N/A N/A</v>
        <stp/>
        <stp>BDP|2405428960615828945</stp>
        <tr r="S1995" s="2"/>
      </tp>
      <tp t="s">
        <v>#N/A N/A</v>
        <stp/>
        <stp>BDP|7123476236514385890</stp>
        <tr r="S1521" s="2"/>
      </tp>
      <tp t="s">
        <v>#N/A N/A</v>
        <stp/>
        <stp>BDP|2897480252429846600</stp>
        <tr r="K1772" s="2"/>
      </tp>
      <tp t="s">
        <v>#N/A N/A</v>
        <stp/>
        <stp>BDP|8187792865585516026</stp>
        <tr r="J2152" s="2"/>
      </tp>
      <tp t="s">
        <v>#N/A N/A</v>
        <stp/>
        <stp>BDP|8124597411844346401</stp>
        <tr r="J237" s="2"/>
      </tp>
      <tp t="s">
        <v>#N/A N/A</v>
        <stp/>
        <stp>BDP|2817619290121568067</stp>
        <tr r="P666" s="2"/>
      </tp>
      <tp t="s">
        <v>#N/A N/A</v>
        <stp/>
        <stp>BDP|8491476491390059982</stp>
        <tr r="A1934" s="2"/>
      </tp>
      <tp t="s">
        <v>#N/A N/A</v>
        <stp/>
        <stp>BDP|1175119521027950920</stp>
        <tr r="P2066" s="2"/>
      </tp>
      <tp t="s">
        <v>#N/A N/A</v>
        <stp/>
        <stp>BDP|5290274326461926800</stp>
        <tr r="C216" s="2"/>
      </tp>
      <tp t="s">
        <v>#N/A N/A</v>
        <stp/>
        <stp>BDP|5226754682384975269</stp>
        <tr r="R440" s="2"/>
      </tp>
      <tp t="s">
        <v>#N/A N/A</v>
        <stp/>
        <stp>BDP|6702308388974489512</stp>
        <tr r="R987" s="2"/>
      </tp>
      <tp t="s">
        <v>#N/A N/A</v>
        <stp/>
        <stp>BDP|9979075046391689042</stp>
        <tr r="D897" s="2"/>
      </tp>
      <tp t="s">
        <v>#N/A N/A</v>
        <stp/>
        <stp>BDP|8444093763364280666</stp>
        <tr r="H2235" s="2"/>
      </tp>
      <tp t="s">
        <v>#N/A N/A</v>
        <stp/>
        <stp>BDP|2975647144898242416</stp>
        <tr r="F1709" s="2"/>
      </tp>
      <tp t="s">
        <v>#N/A N/A</v>
        <stp/>
        <stp>BDS|5522543691982874726</stp>
        <tr r="I975" s="2"/>
      </tp>
      <tp t="s">
        <v>#N/A N/A</v>
        <stp/>
        <stp>BDP|6876202079867884838</stp>
        <tr r="A1303" s="2"/>
      </tp>
      <tp t="s">
        <v>#N/A N/A</v>
        <stp/>
        <stp>BDP|6998892470591364495</stp>
        <tr r="N50" s="2"/>
      </tp>
      <tp t="s">
        <v>#N/A N/A</v>
        <stp/>
        <stp>BDP|7020325584975830540</stp>
        <tr r="E1086" s="2"/>
      </tp>
      <tp t="s">
        <v>#N/A N/A</v>
        <stp/>
        <stp>BDP|5315689879479803101</stp>
        <tr r="H813" s="2"/>
      </tp>
      <tp t="s">
        <v>#N/A N/A</v>
        <stp/>
        <stp>BDP|4651269439568529166</stp>
        <tr r="R1058" s="2"/>
      </tp>
      <tp t="s">
        <v>#N/A N/A</v>
        <stp/>
        <stp>BDP|4689326764044269984</stp>
        <tr r="E154" s="2"/>
      </tp>
      <tp t="s">
        <v>#N/A N/A</v>
        <stp/>
        <stp>BDP|8551487390119160069</stp>
        <tr r="F1563" s="2"/>
      </tp>
      <tp t="s">
        <v>#N/A N/A</v>
        <stp/>
        <stp>BDP|5082006456794960853</stp>
        <tr r="S1592" s="2"/>
      </tp>
      <tp t="s">
        <v>#N/A N/A</v>
        <stp/>
        <stp>BDP|6750370379098392600</stp>
        <tr r="R44" s="2"/>
      </tp>
      <tp t="s">
        <v>#N/A N/A</v>
        <stp/>
        <stp>BDP|7445802339209331948</stp>
        <tr r="D282" s="2"/>
      </tp>
      <tp t="s">
        <v>#N/A N/A</v>
        <stp/>
        <stp>BDP|9368138906362866644</stp>
        <tr r="M11" s="2"/>
      </tp>
      <tp t="s">
        <v>#N/A N/A</v>
        <stp/>
        <stp>BDP|4919528237117660901</stp>
        <tr r="M1565" s="2"/>
      </tp>
      <tp t="s">
        <v>#N/A N/A</v>
        <stp/>
        <stp>BDP|8539779341777909003</stp>
        <tr r="N1489" s="2"/>
      </tp>
      <tp t="s">
        <v>#N/A N/A</v>
        <stp/>
        <stp>BDP|8016199630526352006</stp>
        <tr r="A2028" s="2"/>
      </tp>
      <tp t="s">
        <v>#N/A N/A</v>
        <stp/>
        <stp>BDP|8165459846745174191</stp>
        <tr r="T1813" s="2"/>
      </tp>
      <tp t="s">
        <v>#N/A N/A</v>
        <stp/>
        <stp>BDP|4225907848202297720</stp>
        <tr r="S23" s="2"/>
      </tp>
      <tp t="s">
        <v>#N/A N/A</v>
        <stp/>
        <stp>BDP|6506398230878126273</stp>
        <tr r="H2226" s="2"/>
      </tp>
      <tp t="s">
        <v>#N/A N/A</v>
        <stp/>
        <stp>BDP|9504901596426006394</stp>
        <tr r="D915" s="2"/>
      </tp>
      <tp t="s">
        <v>#N/A N/A</v>
        <stp/>
        <stp>BDP|1967312787971447718</stp>
        <tr r="D717" s="2"/>
      </tp>
      <tp t="s">
        <v>#N/A N/A</v>
        <stp/>
        <stp>BDP|2020120289280409751</stp>
        <tr r="O1662" s="2"/>
      </tp>
      <tp t="s">
        <v>#N/A N/A</v>
        <stp/>
        <stp>BDP|1568825693664734897</stp>
        <tr r="R477" s="2"/>
      </tp>
      <tp t="s">
        <v>#N/A N/A</v>
        <stp/>
        <stp>BDP|3838112285300514633</stp>
        <tr r="P117" s="2"/>
      </tp>
      <tp t="s">
        <v>#N/A N/A</v>
        <stp/>
        <stp>BDP|9041346510385947275</stp>
        <tr r="F1273" s="2"/>
      </tp>
      <tp t="s">
        <v>#N/A N/A</v>
        <stp/>
        <stp>BDP|4883240173859370464</stp>
        <tr r="F529" s="2"/>
      </tp>
      <tp t="s">
        <v>#N/A N/A</v>
        <stp/>
        <stp>BDP|7101596155138130367</stp>
        <tr r="D879" s="2"/>
      </tp>
      <tp t="s">
        <v>#N/A N/A</v>
        <stp/>
        <stp>BDP|2149487770515521867</stp>
        <tr r="C522" s="2"/>
      </tp>
      <tp t="s">
        <v>#N/A N/A</v>
        <stp/>
        <stp>BDS|6704943348494918387</stp>
        <tr r="I1988" s="2"/>
      </tp>
      <tp t="s">
        <v>#N/A N/A</v>
        <stp/>
        <stp>BDP|3488493302742598907</stp>
        <tr r="J1280" s="2"/>
      </tp>
      <tp t="s">
        <v>#N/A N/A</v>
        <stp/>
        <stp>BDS|5074586747708749023</stp>
        <tr r="I1054" s="2"/>
      </tp>
      <tp t="s">
        <v>#N/A N/A</v>
        <stp/>
        <stp>BDP|9453681273950613439</stp>
        <tr r="G1871" s="2"/>
      </tp>
      <tp t="s">
        <v>#N/A N/A</v>
        <stp/>
        <stp>BDP|4429640999091678650</stp>
        <tr r="S1453" s="2"/>
      </tp>
      <tp t="s">
        <v>#N/A N/A</v>
        <stp/>
        <stp>BDP|4425039379877752833</stp>
        <tr r="S935" s="2"/>
      </tp>
      <tp t="s">
        <v>#N/A N/A</v>
        <stp/>
        <stp>BDP|9550264592987985925</stp>
        <tr r="F1305" s="2"/>
      </tp>
      <tp t="s">
        <v>#N/A N/A</v>
        <stp/>
        <stp>BDP|6326883236892588325</stp>
        <tr r="N2100" s="2"/>
      </tp>
      <tp t="s">
        <v>#N/A N/A</v>
        <stp/>
        <stp>BDP|4584378996721779394</stp>
        <tr r="S875" s="2"/>
      </tp>
      <tp t="s">
        <v>#N/A N/A</v>
        <stp/>
        <stp>BDP|1220364484224381298</stp>
        <tr r="F588" s="2"/>
      </tp>
      <tp t="s">
        <v>#N/A N/A</v>
        <stp/>
        <stp>BDP|5798389764045759961</stp>
        <tr r="E528" s="2"/>
      </tp>
      <tp t="s">
        <v>#N/A N/A</v>
        <stp/>
        <stp>BDP|3872938415215590213</stp>
        <tr r="J936" s="2"/>
      </tp>
      <tp t="s">
        <v>#N/A N/A</v>
        <stp/>
        <stp>BDP|4762423500915621999</stp>
        <tr r="R701" s="2"/>
      </tp>
      <tp t="s">
        <v>#N/A N/A</v>
        <stp/>
        <stp>BDP|8428614923264926451</stp>
        <tr r="T476" s="2"/>
      </tp>
      <tp t="s">
        <v>#N/A N/A</v>
        <stp/>
        <stp>BDP|2924432932639503071</stp>
        <tr r="S512" s="2"/>
      </tp>
      <tp t="s">
        <v>#N/A N/A</v>
        <stp/>
        <stp>BDS|7597129037580286989</stp>
        <tr r="I1592" s="2"/>
      </tp>
      <tp t="s">
        <v>#N/A N/A</v>
        <stp/>
        <stp>BDP|3519945707032807443</stp>
        <tr r="R343" s="2"/>
      </tp>
      <tp t="s">
        <v>#N/A N/A</v>
        <stp/>
        <stp>BDP|9013070068771453215</stp>
        <tr r="T1705" s="2"/>
      </tp>
      <tp t="s">
        <v>#N/A N/A</v>
        <stp/>
        <stp>BDP|9404284877523329325</stp>
        <tr r="K226" s="2"/>
      </tp>
      <tp t="s">
        <v>#N/A N/A</v>
        <stp/>
        <stp>BDP|8794471768652316419</stp>
        <tr r="E1303" s="2"/>
      </tp>
      <tp t="s">
        <v>#N/A N/A</v>
        <stp/>
        <stp>BDP|7916200349475270884</stp>
        <tr r="F1490" s="2"/>
      </tp>
      <tp t="s">
        <v>#N/A N/A</v>
        <stp/>
        <stp>BDP|4138984862345739261</stp>
        <tr r="H660" s="2"/>
      </tp>
      <tp t="s">
        <v>#N/A N/A</v>
        <stp/>
        <stp>BDP|5977511062453324929</stp>
        <tr r="Q445" s="2"/>
      </tp>
      <tp t="s">
        <v>#N/A N/A</v>
        <stp/>
        <stp>BDP|2655060295076699185</stp>
        <tr r="M855" s="2"/>
      </tp>
      <tp t="s">
        <v>#N/A N/A</v>
        <stp/>
        <stp>BDP|4036582595933139772</stp>
        <tr r="F1349" s="2"/>
      </tp>
      <tp t="s">
        <v>#N/A N/A</v>
        <stp/>
        <stp>BDP|7574121004483026989</stp>
        <tr r="A143" s="2"/>
      </tp>
      <tp t="s">
        <v>#N/A N/A</v>
        <stp/>
        <stp>BDP|7897654075029277312</stp>
        <tr r="S325" s="2"/>
      </tp>
      <tp t="s">
        <v>#N/A N/A</v>
        <stp/>
        <stp>BDP|9186375730493421693</stp>
        <tr r="D2239" s="2"/>
      </tp>
      <tp t="s">
        <v>#N/A N/A</v>
        <stp/>
        <stp>BDP|8670480258091991446</stp>
        <tr r="Q1531" s="2"/>
      </tp>
      <tp t="s">
        <v>#N/A N/A</v>
        <stp/>
        <stp>BDP|6180295387540403003</stp>
        <tr r="S1622" s="2"/>
      </tp>
      <tp t="s">
        <v>#N/A N/A</v>
        <stp/>
        <stp>BDP|4064425046578682095</stp>
        <tr r="J1871" s="2"/>
      </tp>
      <tp t="s">
        <v>#N/A N/A</v>
        <stp/>
        <stp>BDP|2763933978913238354</stp>
        <tr r="S799" s="2"/>
      </tp>
      <tp t="s">
        <v>#N/A N/A</v>
        <stp/>
        <stp>BDP|8384784304204664723</stp>
        <tr r="D454" s="2"/>
      </tp>
      <tp t="s">
        <v>#N/A N/A</v>
        <stp/>
        <stp>BDP|4851020711818503157</stp>
        <tr r="G728" s="2"/>
      </tp>
      <tp t="s">
        <v>#N/A N/A</v>
        <stp/>
        <stp>BDP|6176586395162786402</stp>
        <tr r="D1635" s="2"/>
      </tp>
      <tp t="s">
        <v>#N/A N/A</v>
        <stp/>
        <stp>BDS|6217786745878642122</stp>
        <tr r="I237" s="2"/>
      </tp>
      <tp t="s">
        <v>#N/A N/A</v>
        <stp/>
        <stp>BDP|9040461882929715087</stp>
        <tr r="D430" s="2"/>
      </tp>
      <tp t="s">
        <v>#N/A N/A</v>
        <stp/>
        <stp>BDP|6856346199689765999</stp>
        <tr r="K1356" s="2"/>
      </tp>
      <tp t="s">
        <v>#N/A N/A</v>
        <stp/>
        <stp>BDP|2132559651779716791</stp>
        <tr r="T856" s="2"/>
      </tp>
      <tp t="s">
        <v>#N/A N/A</v>
        <stp/>
        <stp>BDP|2543322744959944016</stp>
        <tr r="S2039" s="2"/>
      </tp>
      <tp t="s">
        <v>#N/A N/A</v>
        <stp/>
        <stp>BDP|5582110200668770084</stp>
        <tr r="T1280" s="2"/>
      </tp>
      <tp t="s">
        <v>#N/A N/A</v>
        <stp/>
        <stp>BDP|3934452394975502765</stp>
        <tr r="M272" s="2"/>
      </tp>
      <tp t="s">
        <v>#N/A N/A</v>
        <stp/>
        <stp>BDP|4764284014938749372</stp>
        <tr r="M2174" s="2"/>
      </tp>
      <tp t="s">
        <v>#N/A N/A</v>
        <stp/>
        <stp>BDP|7837819044784779316</stp>
        <tr r="P1343" s="2"/>
      </tp>
      <tp t="s">
        <v>#N/A N/A</v>
        <stp/>
        <stp>BDP|8706300774082849208</stp>
        <tr r="M68" s="2"/>
      </tp>
      <tp t="s">
        <v>#N/A N/A</v>
        <stp/>
        <stp>BDP|3998786560749875723</stp>
        <tr r="D953" s="2"/>
      </tp>
      <tp t="s">
        <v>#N/A N/A</v>
        <stp/>
        <stp>BDP|2815398209908099535</stp>
        <tr r="G476" s="2"/>
      </tp>
      <tp t="s">
        <v>#N/A N/A</v>
        <stp/>
        <stp>BDP|3047091358822858824</stp>
        <tr r="H1623" s="2"/>
      </tp>
      <tp t="s">
        <v>#N/A N/A</v>
        <stp/>
        <stp>BDP|9666289021865399072</stp>
        <tr r="A1033" s="2"/>
      </tp>
      <tp t="s">
        <v>#N/A N/A</v>
        <stp/>
        <stp>BDP|4303684119737195885</stp>
        <tr r="S1568" s="2"/>
      </tp>
      <tp t="s">
        <v>#N/A N/A</v>
        <stp/>
        <stp>BDP|6902880150833962431</stp>
        <tr r="F319" s="2"/>
      </tp>
      <tp t="s">
        <v>#N/A N/A</v>
        <stp/>
        <stp>BDP|5132099284156138767</stp>
        <tr r="H1490" s="2"/>
      </tp>
      <tp t="s">
        <v>#N/A N/A</v>
        <stp/>
        <stp>BDP|3613641890170164088</stp>
        <tr r="C1790" s="2"/>
      </tp>
      <tp t="s">
        <v>#N/A N/A</v>
        <stp/>
        <stp>BDP|7716886780533359878</stp>
        <tr r="D1952" s="2"/>
      </tp>
      <tp t="s">
        <v>#N/A N/A</v>
        <stp/>
        <stp>BDP|7896448457238887285</stp>
        <tr r="P641" s="2"/>
      </tp>
      <tp t="s">
        <v>#N/A N/A</v>
        <stp/>
        <stp>BDP|8811138083968690557</stp>
        <tr r="C2231" s="2"/>
      </tp>
      <tp t="s">
        <v>#N/A N/A</v>
        <stp/>
        <stp>BDP|7587695295444069021</stp>
        <tr r="T130" s="2"/>
      </tp>
      <tp t="s">
        <v>#N/A N/A</v>
        <stp/>
        <stp>BDS|7230231185398840978</stp>
        <tr r="I1169" s="2"/>
      </tp>
      <tp t="s">
        <v>#N/A N/A</v>
        <stp/>
        <stp>BDP|4026779299670092655</stp>
        <tr r="R1154" s="2"/>
      </tp>
      <tp t="s">
        <v>#N/A N/A</v>
        <stp/>
        <stp>BDP|8758088911963769623</stp>
        <tr r="J1988" s="2"/>
      </tp>
      <tp t="s">
        <v>#N/A N/A</v>
        <stp/>
        <stp>BDP|1166490484636168767</stp>
        <tr r="C972" s="2"/>
      </tp>
      <tp t="s">
        <v>#N/A N/A</v>
        <stp/>
        <stp>BDP|7531847142623107492</stp>
        <tr r="S20" s="2"/>
      </tp>
      <tp t="s">
        <v>#N/A N/A</v>
        <stp/>
        <stp>BDP|4720197377268212606</stp>
        <tr r="Q1188" s="2"/>
      </tp>
      <tp t="s">
        <v>#N/A N/A</v>
        <stp/>
        <stp>BDP|2130762952185960976</stp>
        <tr r="S687" s="2"/>
      </tp>
      <tp t="s">
        <v>#N/A N/A</v>
        <stp/>
        <stp>BDP|8519490522443020157</stp>
        <tr r="R1334" s="2"/>
      </tp>
      <tp t="s">
        <v>#N/A N/A</v>
        <stp/>
        <stp>BDP|8793689536278152934</stp>
        <tr r="K731" s="2"/>
      </tp>
      <tp t="s">
        <v>#N/A N/A</v>
        <stp/>
        <stp>BDP|2253160615426219883</stp>
        <tr r="K365" s="2"/>
      </tp>
      <tp t="s">
        <v>#N/A N/A</v>
        <stp/>
        <stp>BDP|1875505446199432513</stp>
        <tr r="F456" s="2"/>
      </tp>
      <tp t="s">
        <v>#N/A N/A</v>
        <stp/>
        <stp>BDP|9044458801238995964</stp>
        <tr r="R1858" s="2"/>
      </tp>
      <tp t="s">
        <v>#N/A N/A</v>
        <stp/>
        <stp>BDP|9962035550878581841</stp>
        <tr r="Q2147" s="2"/>
      </tp>
      <tp t="s">
        <v>#N/A N/A</v>
        <stp/>
        <stp>BDP|8092564524866163581</stp>
        <tr r="P1562" s="2"/>
      </tp>
      <tp t="s">
        <v>#N/A N/A</v>
        <stp/>
        <stp>BDP|9740023942325555493</stp>
        <tr r="S365" s="2"/>
      </tp>
      <tp t="s">
        <v>#N/A N/A</v>
        <stp/>
        <stp>BDP|1161183902744833883</stp>
        <tr r="F1139" s="2"/>
      </tp>
      <tp t="s">
        <v>#N/A N/A</v>
        <stp/>
        <stp>BDP|6558607658138094168</stp>
        <tr r="C1828" s="2"/>
      </tp>
      <tp t="s">
        <v>#N/A N/A</v>
        <stp/>
        <stp>BDP|3254184560480073810</stp>
        <tr r="E1515" s="2"/>
      </tp>
      <tp t="s">
        <v>#N/A N/A</v>
        <stp/>
        <stp>BDP|3010033984255539296</stp>
        <tr r="P371" s="2"/>
      </tp>
      <tp t="s">
        <v>#N/A N/A</v>
        <stp/>
        <stp>BDP|7642198507642371808</stp>
        <tr r="M2246" s="2"/>
      </tp>
      <tp t="s">
        <v>#N/A N/A</v>
        <stp/>
        <stp>BDP|2142871360173565387</stp>
        <tr r="F26" s="2"/>
      </tp>
      <tp t="s">
        <v>#N/A N/A</v>
        <stp/>
        <stp>BDS|4919765723644127966</stp>
        <tr r="I2160" s="2"/>
      </tp>
      <tp t="s">
        <v>#N/A N/A</v>
        <stp/>
        <stp>BDP|7752767647470423890</stp>
        <tr r="C416" s="2"/>
      </tp>
      <tp t="s">
        <v>#N/A N/A</v>
        <stp/>
        <stp>BDP|5819767687454349212</stp>
        <tr r="O1330" s="2"/>
      </tp>
      <tp t="s">
        <v>#N/A N/A</v>
        <stp/>
        <stp>BDP|2486915682187915859</stp>
        <tr r="K1353" s="2"/>
      </tp>
      <tp t="s">
        <v>#N/A N/A</v>
        <stp/>
        <stp>BDS|7909042558457996978</stp>
        <tr r="I1889" s="2"/>
      </tp>
      <tp t="s">
        <v>#N/A N/A</v>
        <stp/>
        <stp>BDP|8674198494708059409</stp>
        <tr r="D536" s="2"/>
      </tp>
      <tp t="s">
        <v>#N/A N/A</v>
        <stp/>
        <stp>BDP|5603682287060423767</stp>
        <tr r="H1605" s="2"/>
      </tp>
      <tp t="s">
        <v>#N/A N/A</v>
        <stp/>
        <stp>BDP|5037582092267530247</stp>
        <tr r="S2008" s="2"/>
      </tp>
      <tp t="s">
        <v>#N/A N/A</v>
        <stp/>
        <stp>BDP|9860820497773128774</stp>
        <tr r="K113" s="2"/>
      </tp>
      <tp t="s">
        <v>#N/A N/A</v>
        <stp/>
        <stp>BDP|2761054711206072981</stp>
        <tr r="C2227" s="2"/>
      </tp>
      <tp t="s">
        <v>#N/A N/A</v>
        <stp/>
        <stp>BDP|9970275762519402831</stp>
        <tr r="J476" s="2"/>
      </tp>
      <tp t="s">
        <v>#N/A N/A</v>
        <stp/>
        <stp>BDP|5147921768121123710</stp>
        <tr r="G2254" s="2"/>
      </tp>
      <tp t="s">
        <v>#N/A N/A</v>
        <stp/>
        <stp>BDP|6021972719575739720</stp>
        <tr r="D139" s="2"/>
      </tp>
      <tp t="s">
        <v>#N/A N/A</v>
        <stp/>
        <stp>BDP|7205237823038927303</stp>
        <tr r="J1590" s="2"/>
      </tp>
      <tp t="s">
        <v>#N/A N/A</v>
        <stp/>
        <stp>BDP|1197011705345446896</stp>
        <tr r="E1297" s="2"/>
      </tp>
      <tp t="s">
        <v>#N/A N/A</v>
        <stp/>
        <stp>BDP|4592753290233933513</stp>
        <tr r="A314" s="2"/>
      </tp>
      <tp t="s">
        <v>#N/A N/A</v>
        <stp/>
        <stp>BDP|2109792787581597026</stp>
        <tr r="K811" s="2"/>
      </tp>
      <tp t="s">
        <v>#N/A N/A</v>
        <stp/>
        <stp>BDP|5151024880213384283</stp>
        <tr r="T1143" s="2"/>
      </tp>
      <tp t="s">
        <v>#N/A N/A</v>
        <stp/>
        <stp>BDP|7629809856794077283</stp>
        <tr r="K1813" s="2"/>
      </tp>
      <tp t="s">
        <v>#N/A N/A</v>
        <stp/>
        <stp>BDP|7371086638350238899</stp>
        <tr r="Q922" s="2"/>
      </tp>
      <tp t="s">
        <v>#N/A N/A</v>
        <stp/>
        <stp>BDP|7247128069088764462</stp>
        <tr r="D1780" s="2"/>
      </tp>
      <tp t="s">
        <v>#N/A N/A</v>
        <stp/>
        <stp>BDP|6428167062168062589</stp>
        <tr r="T1927" s="2"/>
      </tp>
      <tp t="s">
        <v>#N/A N/A</v>
        <stp/>
        <stp>BDP|7045941049001498717</stp>
        <tr r="D1987" s="2"/>
      </tp>
      <tp t="s">
        <v>#N/A N/A</v>
        <stp/>
        <stp>BDP|6405036171915702895</stp>
        <tr r="Q2134" s="2"/>
      </tp>
      <tp t="s">
        <v>#N/A N/A</v>
        <stp/>
        <stp>BDP|8275198936556759025</stp>
        <tr r="P59" s="2"/>
      </tp>
      <tp t="s">
        <v>#N/A N/A</v>
        <stp/>
        <stp>BDP|7983471365729656056</stp>
        <tr r="O1412" s="2"/>
      </tp>
      <tp t="s">
        <v>#N/A N/A</v>
        <stp/>
        <stp>BDP|2496390355138452041</stp>
        <tr r="Q1883" s="2"/>
      </tp>
      <tp t="s">
        <v>#N/A N/A</v>
        <stp/>
        <stp>BDP|7839422916927415905</stp>
        <tr r="O309" s="2"/>
      </tp>
      <tp t="s">
        <v>#N/A N/A</v>
        <stp/>
        <stp>BDP|5577732319529754609</stp>
        <tr r="P2232" s="2"/>
      </tp>
      <tp t="s">
        <v>#N/A N/A</v>
        <stp/>
        <stp>BDP|7410606087357316289</stp>
        <tr r="N1265" s="2"/>
      </tp>
      <tp t="s">
        <v>#N/A N/A</v>
        <stp/>
        <stp>BDP|9568814019054187846</stp>
        <tr r="K148" s="2"/>
      </tp>
      <tp t="s">
        <v>#N/A N/A</v>
        <stp/>
        <stp>BDP|6379595996794089242</stp>
        <tr r="Q1582" s="2"/>
      </tp>
      <tp t="s">
        <v>#N/A N/A</v>
        <stp/>
        <stp>BDP|9005888418155977911</stp>
        <tr r="G1237" s="2"/>
      </tp>
      <tp t="s">
        <v>#N/A N/A</v>
        <stp/>
        <stp>BDP|6715583465400309919</stp>
        <tr r="C1064" s="2"/>
      </tp>
      <tp t="s">
        <v>#N/A N/A</v>
        <stp/>
        <stp>BDP|8059687085623690932</stp>
        <tr r="K2083" s="2"/>
      </tp>
      <tp t="s">
        <v>#N/A N/A</v>
        <stp/>
        <stp>BDP|4395295080766214404</stp>
        <tr r="A94" s="2"/>
      </tp>
      <tp t="s">
        <v>#N/A N/A</v>
        <stp/>
        <stp>BDS|1127231413767087991</stp>
        <tr r="I1151" s="2"/>
      </tp>
      <tp t="s">
        <v>#N/A N/A</v>
        <stp/>
        <stp>BDP|8625066411700199584</stp>
        <tr r="G2147" s="2"/>
      </tp>
      <tp t="s">
        <v>#N/A N/A</v>
        <stp/>
        <stp>BDP|9429556309874725470</stp>
        <tr r="J1177" s="2"/>
      </tp>
      <tp t="s">
        <v>#N/A N/A</v>
        <stp/>
        <stp>BDP|1990243995003472543</stp>
        <tr r="S269" s="2"/>
      </tp>
      <tp t="s">
        <v>#N/A N/A</v>
        <stp/>
        <stp>BDP|9534445355252889642</stp>
        <tr r="K579" s="2"/>
      </tp>
      <tp t="s">
        <v>#N/A N/A</v>
        <stp/>
        <stp>BDP|7886856945716498141</stp>
        <tr r="N1412" s="2"/>
      </tp>
      <tp t="s">
        <v>#N/A N/A</v>
        <stp/>
        <stp>BDP|9454395628574927046</stp>
        <tr r="K1582" s="2"/>
      </tp>
      <tp t="s">
        <v>#N/A N/A</v>
        <stp/>
        <stp>BDP|2177083844203711926</stp>
        <tr r="S2021" s="2"/>
      </tp>
      <tp t="s">
        <v>#N/A N/A</v>
        <stp/>
        <stp>BDP|1545863300605394088</stp>
        <tr r="D117" s="2"/>
      </tp>
      <tp t="s">
        <v>#N/A N/A</v>
        <stp/>
        <stp>BDP|4356392188393970033</stp>
        <tr r="J1602" s="2"/>
      </tp>
      <tp t="s">
        <v>#N/A N/A</v>
        <stp/>
        <stp>BDP|4319169018870367866</stp>
        <tr r="Q168" s="2"/>
      </tp>
      <tp t="s">
        <v>#N/A N/A</v>
        <stp/>
        <stp>BDP|8635156978713124120</stp>
        <tr r="R1566" s="2"/>
      </tp>
      <tp t="s">
        <v>#N/A N/A</v>
        <stp/>
        <stp>BDP|4270266658108432700</stp>
        <tr r="D338" s="2"/>
      </tp>
      <tp t="s">
        <v>#N/A N/A</v>
        <stp/>
        <stp>BDP|8179510038580244225</stp>
        <tr r="P2154" s="2"/>
      </tp>
      <tp t="s">
        <v>#N/A N/A</v>
        <stp/>
        <stp>BDP|1440882010100051441</stp>
        <tr r="D57" s="2"/>
      </tp>
      <tp t="s">
        <v>#N/A N/A</v>
        <stp/>
        <stp>BDP|5091016062699836639</stp>
        <tr r="N2035" s="2"/>
      </tp>
      <tp t="s">
        <v>#N/A N/A</v>
        <stp/>
        <stp>BDP|8347973539739046756</stp>
        <tr r="E2123" s="2"/>
      </tp>
      <tp t="s">
        <v>#N/A N/A</v>
        <stp/>
        <stp>BDP|1470074494273902763</stp>
        <tr r="K1587" s="2"/>
      </tp>
      <tp t="s">
        <v>#N/A N/A</v>
        <stp/>
        <stp>BDP|6876140968269856442</stp>
        <tr r="D1486" s="2"/>
      </tp>
      <tp t="s">
        <v>#N/A N/A</v>
        <stp/>
        <stp>BDP|1546061577673853943</stp>
        <tr r="Q6" s="2"/>
      </tp>
      <tp t="s">
        <v>#N/A N/A</v>
        <stp/>
        <stp>BDP|7174233091237365785</stp>
        <tr r="S727" s="2"/>
      </tp>
      <tp t="s">
        <v>#N/A N/A</v>
        <stp/>
        <stp>BDP|6074934193158079280</stp>
        <tr r="S1267" s="2"/>
      </tp>
      <tp t="s">
        <v>#N/A N/A</v>
        <stp/>
        <stp>BDP|2464834418020558722</stp>
        <tr r="H1636" s="2"/>
      </tp>
      <tp t="s">
        <v>#N/A N/A</v>
        <stp/>
        <stp>BDP|5014235276078996449</stp>
        <tr r="R1251" s="2"/>
      </tp>
      <tp t="s">
        <v>#N/A N/A</v>
        <stp/>
        <stp>BDP|6773922066033291698</stp>
        <tr r="T2175" s="2"/>
      </tp>
      <tp t="s">
        <v>#N/A N/A</v>
        <stp/>
        <stp>BDP|7702875601721007296</stp>
        <tr r="G1041" s="2"/>
      </tp>
      <tp t="s">
        <v>#N/A N/A</v>
        <stp/>
        <stp>BDP|9925962489403733790</stp>
        <tr r="S1331" s="2"/>
      </tp>
      <tp t="s">
        <v>#N/A N/A</v>
        <stp/>
        <stp>BDP|6225044191585911665</stp>
        <tr r="Q969" s="2"/>
      </tp>
      <tp t="s">
        <v>#N/A N/A</v>
        <stp/>
        <stp>BDP|1111283982774128321</stp>
        <tr r="E1544" s="2"/>
      </tp>
      <tp t="s">
        <v>#N/A N/A</v>
        <stp/>
        <stp>BDP|1370494680554503570</stp>
        <tr r="C2150" s="2"/>
      </tp>
      <tp t="s">
        <v>#N/A N/A</v>
        <stp/>
        <stp>BDP|8127512769065307226</stp>
        <tr r="N2221" s="2"/>
      </tp>
      <tp t="s">
        <v>#N/A N/A</v>
        <stp/>
        <stp>BDP|9122450014344978410</stp>
        <tr r="C842" s="2"/>
      </tp>
      <tp t="s">
        <v>#N/A N/A</v>
        <stp/>
        <stp>BDP|3224499461435319807</stp>
        <tr r="N155" s="2"/>
      </tp>
      <tp t="s">
        <v>#N/A N/A</v>
        <stp/>
        <stp>BDP|1546690753926338857</stp>
        <tr r="P1221" s="2"/>
      </tp>
      <tp t="s">
        <v>#N/A N/A</v>
        <stp/>
        <stp>BDP|8944841599223590686</stp>
        <tr r="K404" s="2"/>
      </tp>
      <tp t="s">
        <v>#N/A N/A</v>
        <stp/>
        <stp>BDP|1370371226774308889</stp>
        <tr r="E1918" s="2"/>
      </tp>
      <tp t="s">
        <v>#N/A N/A</v>
        <stp/>
        <stp>BDP|3887979524822725650</stp>
        <tr r="J1920" s="2"/>
      </tp>
      <tp t="s">
        <v>#N/A N/A</v>
        <stp/>
        <stp>BDP|4509058359314148914</stp>
        <tr r="C458" s="2"/>
      </tp>
      <tp t="s">
        <v>#N/A N/A</v>
        <stp/>
        <stp>BDP|5302478218054109843</stp>
        <tr r="O1611" s="2"/>
      </tp>
      <tp t="s">
        <v>#N/A N/A</v>
        <stp/>
        <stp>BDP|4860727507097782832</stp>
        <tr r="F93" s="2"/>
      </tp>
      <tp t="s">
        <v>#N/A N/A</v>
        <stp/>
        <stp>BDP|7921049363389373444</stp>
        <tr r="E77" s="2"/>
      </tp>
      <tp t="s">
        <v>#N/A N/A</v>
        <stp/>
        <stp>BDP|1426402061017580892</stp>
        <tr r="J248" s="2"/>
      </tp>
      <tp t="s">
        <v>#N/A N/A</v>
        <stp/>
        <stp>BDP|1800824130077411178</stp>
        <tr r="Q1083" s="2"/>
      </tp>
      <tp t="s">
        <v>#N/A N/A</v>
        <stp/>
        <stp>BDP|4223634455849411292</stp>
        <tr r="M2053" s="2"/>
      </tp>
      <tp t="s">
        <v>#N/A N/A</v>
        <stp/>
        <stp>BDP|6546712239196694823</stp>
        <tr r="C661" s="2"/>
      </tp>
      <tp t="s">
        <v>#N/A N/A</v>
        <stp/>
        <stp>BDP|2641250887804579087</stp>
        <tr r="Q1439" s="2"/>
      </tp>
      <tp t="s">
        <v>#N/A N/A</v>
        <stp/>
        <stp>BDP|6264118918333677945</stp>
        <tr r="E123" s="2"/>
      </tp>
      <tp t="s">
        <v>#N/A N/A</v>
        <stp/>
        <stp>BDP|7106156294523190084</stp>
        <tr r="A217" s="2"/>
      </tp>
      <tp t="s">
        <v>#N/A N/A</v>
        <stp/>
        <stp>BDP|2604701549619590430</stp>
        <tr r="N1316" s="2"/>
      </tp>
      <tp t="s">
        <v>#N/A N/A</v>
        <stp/>
        <stp>BDP|5176509398771640463</stp>
        <tr r="S1795" s="2"/>
      </tp>
      <tp t="s">
        <v>#N/A N/A</v>
        <stp/>
        <stp>BDS|2660917537853802714</stp>
        <tr r="I282" s="2"/>
      </tp>
      <tp t="s">
        <v>#N/A N/A</v>
        <stp/>
        <stp>BDP|5064970624346895422</stp>
        <tr r="J169" s="2"/>
      </tp>
      <tp t="s">
        <v>#N/A N/A</v>
        <stp/>
        <stp>BDP|2562991585877308831</stp>
        <tr r="J1529" s="2"/>
      </tp>
      <tp t="s">
        <v>#N/A N/A</v>
        <stp/>
        <stp>BDP|3175082992136195033</stp>
        <tr r="P1897" s="2"/>
      </tp>
      <tp t="s">
        <v>#N/A N/A</v>
        <stp/>
        <stp>BDS|6170814252606373180</stp>
        <tr r="I650" s="2"/>
      </tp>
      <tp t="s">
        <v>#N/A N/A</v>
        <stp/>
        <stp>BDS|8846696217571977263</stp>
        <tr r="I1223" s="2"/>
      </tp>
      <tp t="s">
        <v>#N/A N/A</v>
        <stp/>
        <stp>BDP|3741900537955087095</stp>
        <tr r="J1478" s="2"/>
      </tp>
      <tp t="s">
        <v>#N/A N/A</v>
        <stp/>
        <stp>BDP|9900327495539321640</stp>
        <tr r="Q1163" s="2"/>
      </tp>
      <tp t="s">
        <v>#N/A N/A</v>
        <stp/>
        <stp>BDP|3978855511632669422</stp>
        <tr r="D901" s="2"/>
      </tp>
      <tp t="s">
        <v>#N/A N/A</v>
        <stp/>
        <stp>BDP|2577685109199437190</stp>
        <tr r="S1084" s="2"/>
      </tp>
      <tp t="s">
        <v>#N/A N/A</v>
        <stp/>
        <stp>BDP|1865421910359735144</stp>
        <tr r="E956" s="2"/>
      </tp>
      <tp t="s">
        <v>#N/A N/A</v>
        <stp/>
        <stp>BDP|5754279005198960359</stp>
        <tr r="O1852" s="2"/>
      </tp>
      <tp t="s">
        <v>#N/A N/A</v>
        <stp/>
        <stp>BDS|9057611405883596084</stp>
        <tr r="I958" s="2"/>
      </tp>
      <tp t="s">
        <v>#N/A N/A</v>
        <stp/>
        <stp>BDP|5337869306137863628</stp>
        <tr r="N663" s="2"/>
      </tp>
      <tp t="s">
        <v>#N/A N/A</v>
        <stp/>
        <stp>BDP|2397123388920133715</stp>
        <tr r="J236" s="2"/>
      </tp>
      <tp t="s">
        <v>#N/A N/A</v>
        <stp/>
        <stp>BDP|6751085393774262774</stp>
        <tr r="E1554" s="2"/>
      </tp>
      <tp t="s">
        <v>#N/A N/A</v>
        <stp/>
        <stp>BDP|9739965196253711690</stp>
        <tr r="O449" s="2"/>
      </tp>
      <tp t="s">
        <v>#N/A N/A</v>
        <stp/>
        <stp>BDP|6609992340593769414</stp>
        <tr r="F1012" s="2"/>
      </tp>
      <tp t="s">
        <v>#N/A N/A</v>
        <stp/>
        <stp>BDP|9554419537720368298</stp>
        <tr r="E1283" s="2"/>
      </tp>
      <tp t="s">
        <v>#N/A N/A</v>
        <stp/>
        <stp>BDP|5333249159806413837</stp>
        <tr r="P25" s="2"/>
      </tp>
      <tp t="s">
        <v>#N/A N/A</v>
        <stp/>
        <stp>BDP|2863019715469360669</stp>
        <tr r="J575" s="2"/>
      </tp>
      <tp t="s">
        <v>#N/A N/A</v>
        <stp/>
        <stp>BDS|3820718075029090654</stp>
        <tr r="I568" s="2"/>
      </tp>
      <tp t="s">
        <v>#N/A N/A</v>
        <stp/>
        <stp>BDP|5960326263915480955</stp>
        <tr r="E2044" s="2"/>
      </tp>
      <tp t="s">
        <v>#N/A N/A</v>
        <stp/>
        <stp>BDP|5319046228759357251</stp>
        <tr r="N339" s="2"/>
      </tp>
      <tp t="s">
        <v>#N/A N/A</v>
        <stp/>
        <stp>BDP|1868873042741409005</stp>
        <tr r="C1599" s="2"/>
      </tp>
      <tp t="s">
        <v>#N/A N/A</v>
        <stp/>
        <stp>BDP|9688877821638194787</stp>
        <tr r="R789" s="2"/>
      </tp>
      <tp t="s">
        <v>#N/A N/A</v>
        <stp/>
        <stp>BDP|9087781677275449028</stp>
        <tr r="A1053" s="2"/>
      </tp>
      <tp t="s">
        <v>#N/A N/A</v>
        <stp/>
        <stp>BDP|6370662793554728185</stp>
        <tr r="R2164" s="2"/>
      </tp>
      <tp t="s">
        <v>#N/A N/A</v>
        <stp/>
        <stp>BDP|4768615397882853508</stp>
        <tr r="E1300" s="2"/>
      </tp>
      <tp t="s">
        <v>#N/A N/A</v>
        <stp/>
        <stp>BDP|7300595094385199269</stp>
        <tr r="P77" s="2"/>
      </tp>
      <tp t="s">
        <v>#N/A N/A</v>
        <stp/>
        <stp>BDP|6822575091354058277</stp>
        <tr r="J2120" s="2"/>
      </tp>
      <tp t="s">
        <v>#N/A N/A</v>
        <stp/>
        <stp>BDP|5645902638972061100</stp>
        <tr r="E460" s="2"/>
      </tp>
      <tp t="s">
        <v>#N/A N/A</v>
        <stp/>
        <stp>BDP|2545767398829147946</stp>
        <tr r="C199" s="2"/>
      </tp>
      <tp t="s">
        <v>#N/A N/A</v>
        <stp/>
        <stp>BDP|9090725064267147392</stp>
        <tr r="D85" s="2"/>
      </tp>
      <tp t="s">
        <v>#N/A N/A</v>
        <stp/>
        <stp>BDP|5630146519581083850</stp>
        <tr r="H1300" s="2"/>
      </tp>
      <tp t="s">
        <v>#N/A N/A</v>
        <stp/>
        <stp>BDP|9187391938233602683</stp>
        <tr r="H1334" s="2"/>
      </tp>
      <tp t="s">
        <v>#N/A N/A</v>
        <stp/>
        <stp>BDP|8533387132171861598</stp>
        <tr r="M1974" s="2"/>
      </tp>
      <tp t="s">
        <v>#N/A N/A</v>
        <stp/>
        <stp>BDP|3284808158271787331</stp>
        <tr r="P736" s="2"/>
      </tp>
      <tp t="s">
        <v>#N/A N/A</v>
        <stp/>
        <stp>BDP|2612244018514222969</stp>
        <tr r="S1871" s="2"/>
      </tp>
      <tp t="s">
        <v>#N/A N/A</v>
        <stp/>
        <stp>BDP|9312064068877134425</stp>
        <tr r="F191" s="2"/>
      </tp>
      <tp t="s">
        <v>#N/A N/A</v>
        <stp/>
        <stp>BDP|2218305794455022189</stp>
        <tr r="Q1870" s="2"/>
      </tp>
      <tp t="s">
        <v>#N/A N/A</v>
        <stp/>
        <stp>BDP|4435658984474353281</stp>
        <tr r="H1737" s="2"/>
      </tp>
      <tp t="s">
        <v>#N/A N/A</v>
        <stp/>
        <stp>BDP|6190064653159811627</stp>
        <tr r="A2030" s="2"/>
      </tp>
      <tp t="s">
        <v>#N/A N/A</v>
        <stp/>
        <stp>BDP|6161398521319649213</stp>
        <tr r="E1518" s="2"/>
      </tp>
      <tp t="s">
        <v>#N/A N/A</v>
        <stp/>
        <stp>BDP|9773479358291600506</stp>
        <tr r="E1392" s="2"/>
      </tp>
      <tp t="s">
        <v>#N/A N/A</v>
        <stp/>
        <stp>BDP|6142189756177985989</stp>
        <tr r="E1639" s="2"/>
      </tp>
      <tp t="s">
        <v>#N/A N/A</v>
        <stp/>
        <stp>BDP|2947310487180189500</stp>
        <tr r="M1286" s="2"/>
      </tp>
      <tp t="s">
        <v>#N/A N/A</v>
        <stp/>
        <stp>BDP|6026018976088869511</stp>
        <tr r="K71" s="2"/>
      </tp>
      <tp t="s">
        <v>#N/A N/A</v>
        <stp/>
        <stp>BDP|2759988879588842801</stp>
        <tr r="M367" s="2"/>
      </tp>
      <tp t="s">
        <v>#N/A N/A</v>
        <stp/>
        <stp>BDP|2097807582459472781</stp>
        <tr r="E1101" s="2"/>
      </tp>
      <tp t="s">
        <v>#N/A N/A</v>
        <stp/>
        <stp>BDP|6134474377029620099</stp>
        <tr r="D984" s="2"/>
      </tp>
      <tp t="s">
        <v>#N/A N/A</v>
        <stp/>
        <stp>BDP|7715277084040224188</stp>
        <tr r="M1284" s="2"/>
      </tp>
      <tp t="s">
        <v>#N/A N/A</v>
        <stp/>
        <stp>BDP|2502889023740801482</stp>
        <tr r="O286" s="2"/>
      </tp>
      <tp t="s">
        <v>#N/A N/A</v>
        <stp/>
        <stp>BDS|6590892185963080975</stp>
        <tr r="I494" s="2"/>
      </tp>
      <tp t="s">
        <v>#N/A N/A</v>
        <stp/>
        <stp>BDP|9698427665262699599</stp>
        <tr r="P845" s="2"/>
      </tp>
      <tp t="s">
        <v>#N/A N/A</v>
        <stp/>
        <stp>BDP|7228792706765120929</stp>
        <tr r="Q1593" s="2"/>
      </tp>
      <tp t="s">
        <v>#N/A N/A</v>
        <stp/>
        <stp>BDP|2693644197514938527</stp>
        <tr r="J1728" s="2"/>
      </tp>
      <tp t="s">
        <v>#N/A N/A</v>
        <stp/>
        <stp>BDP|5665577338958461731</stp>
        <tr r="D1675" s="2"/>
      </tp>
      <tp t="s">
        <v>#N/A N/A</v>
        <stp/>
        <stp>BDP|9394582377923697444</stp>
        <tr r="J2136" s="2"/>
      </tp>
      <tp t="s">
        <v>#N/A N/A</v>
        <stp/>
        <stp>BDP|8298931895255306195</stp>
        <tr r="N1254" s="2"/>
      </tp>
      <tp t="s">
        <v>#N/A N/A</v>
        <stp/>
        <stp>BDP|1299261498931171739</stp>
        <tr r="C65" s="2"/>
      </tp>
      <tp t="s">
        <v>#N/A N/A</v>
        <stp/>
        <stp>BDP|1095951039793424462</stp>
        <tr r="J757" s="2"/>
      </tp>
      <tp t="s">
        <v>#N/A N/A</v>
        <stp/>
        <stp>BDP|7985079797166071479</stp>
        <tr r="G1730" s="2"/>
      </tp>
      <tp t="s">
        <v>#N/A N/A</v>
        <stp/>
        <stp>BDP|8428761674923021786</stp>
        <tr r="N1248" s="2"/>
      </tp>
      <tp t="s">
        <v>#N/A N/A</v>
        <stp/>
        <stp>BDP|9195896331199426732</stp>
        <tr r="M2103" s="2"/>
      </tp>
      <tp t="s">
        <v>#N/A N/A</v>
        <stp/>
        <stp>BDP|3590471518683226962</stp>
        <tr r="F1427" s="2"/>
      </tp>
      <tp t="s">
        <v>#N/A N/A</v>
        <stp/>
        <stp>BDP|8152421160516917041</stp>
        <tr r="C899" s="2"/>
      </tp>
      <tp t="s">
        <v>#N/A N/A</v>
        <stp/>
        <stp>BDP|4475321109669964287</stp>
        <tr r="H187" s="2"/>
      </tp>
      <tp t="s">
        <v>#N/A N/A</v>
        <stp/>
        <stp>BDP|3935182819366048967</stp>
        <tr r="E744" s="2"/>
      </tp>
      <tp t="s">
        <v>#N/A N/A</v>
        <stp/>
        <stp>BDP|7821085748836169978</stp>
        <tr r="A1470" s="2"/>
      </tp>
      <tp t="s">
        <v>#N/A N/A</v>
        <stp/>
        <stp>BDP|5049306099760110365</stp>
        <tr r="P122" s="2"/>
      </tp>
      <tp t="s">
        <v>#N/A N/A</v>
        <stp/>
        <stp>BDP|2788183759148936219</stp>
        <tr r="H213" s="2"/>
      </tp>
      <tp t="s">
        <v>#N/A N/A</v>
        <stp/>
        <stp>BDP|2319056088240525657</stp>
        <tr r="O1419" s="2"/>
      </tp>
      <tp t="s">
        <v>#N/A N/A</v>
        <stp/>
        <stp>BDP|5816220361838230579</stp>
        <tr r="M646" s="2"/>
      </tp>
      <tp t="s">
        <v>#N/A N/A</v>
        <stp/>
        <stp>BDP|4130914684541303891</stp>
        <tr r="S1213" s="2"/>
      </tp>
      <tp t="s">
        <v>#N/A N/A</v>
        <stp/>
        <stp>BDP|7376069651968945630</stp>
        <tr r="A1788" s="2"/>
      </tp>
      <tp t="s">
        <v>#N/A N/A</v>
        <stp/>
        <stp>BDP|8329340878877795760</stp>
        <tr r="K1103" s="2"/>
      </tp>
      <tp t="s">
        <v>#N/A N/A</v>
        <stp/>
        <stp>BDP|2292412431051485881</stp>
        <tr r="D2086" s="2"/>
      </tp>
      <tp t="s">
        <v>#N/A N/A</v>
        <stp/>
        <stp>BDP|7877237996185265515</stp>
        <tr r="E1947" s="2"/>
      </tp>
      <tp t="s">
        <v>#N/A N/A</v>
        <stp/>
        <stp>BDP|1567318664939749191</stp>
        <tr r="F454" s="2"/>
      </tp>
      <tp t="s">
        <v>#N/A N/A</v>
        <stp/>
        <stp>BDP|3793683449085078888</stp>
        <tr r="D330" s="2"/>
      </tp>
      <tp t="s">
        <v>#N/A N/A</v>
        <stp/>
        <stp>BDS|9843375167046045663</stp>
        <tr r="I841" s="2"/>
      </tp>
      <tp t="s">
        <v>#N/A N/A</v>
        <stp/>
        <stp>BDP|7155135618683234860</stp>
        <tr r="T2126" s="2"/>
      </tp>
      <tp t="s">
        <v>#N/A N/A</v>
        <stp/>
        <stp>BDP|1983578532893598875</stp>
        <tr r="D2190" s="2"/>
      </tp>
      <tp t="s">
        <v>#N/A N/A</v>
        <stp/>
        <stp>BDP|1115597805709703145</stp>
        <tr r="G960" s="2"/>
      </tp>
      <tp t="s">
        <v>#N/A N/A</v>
        <stp/>
        <stp>BDP|2023561667335969862</stp>
        <tr r="Q1921" s="2"/>
      </tp>
      <tp t="s">
        <v>#N/A N/A</v>
        <stp/>
        <stp>BDP|5446200869515706845</stp>
        <tr r="H130" s="2"/>
      </tp>
      <tp t="s">
        <v>#N/A N/A</v>
        <stp/>
        <stp>BDP|4838664923025428971</stp>
        <tr r="J2014" s="2"/>
      </tp>
      <tp t="s">
        <v>#N/A N/A</v>
        <stp/>
        <stp>BDP|6845004615602350904</stp>
        <tr r="M822" s="2"/>
      </tp>
      <tp t="s">
        <v>#N/A N/A</v>
        <stp/>
        <stp>BDP|9087336537260298582</stp>
        <tr r="N588" s="2"/>
      </tp>
      <tp t="s">
        <v>#N/A N/A</v>
        <stp/>
        <stp>BDP|4961476627087745903</stp>
        <tr r="G2135" s="2"/>
      </tp>
      <tp t="s">
        <v>#N/A N/A</v>
        <stp/>
        <stp>BDP|3970844272616335620</stp>
        <tr r="N1453" s="2"/>
      </tp>
      <tp t="s">
        <v>#N/A N/A</v>
        <stp/>
        <stp>BDP|6225775028548047730</stp>
        <tr r="D373" s="2"/>
      </tp>
      <tp t="s">
        <v>#N/A N/A</v>
        <stp/>
        <stp>BDP|8458539919951316132</stp>
        <tr r="M1876" s="2"/>
      </tp>
      <tp t="s">
        <v>#N/A N/A</v>
        <stp/>
        <stp>BDP|6061890346323438550</stp>
        <tr r="O766" s="2"/>
      </tp>
      <tp t="s">
        <v>#N/A N/A</v>
        <stp/>
        <stp>BDP|7975054806173242860</stp>
        <tr r="S85" s="2"/>
      </tp>
      <tp t="s">
        <v>#N/A N/A</v>
        <stp/>
        <stp>BDP|7056739205079905505</stp>
        <tr r="E189" s="2"/>
      </tp>
      <tp t="s">
        <v>#N/A N/A</v>
        <stp/>
        <stp>BDP|2893107684857477078</stp>
        <tr r="T1998" s="2"/>
      </tp>
      <tp t="s">
        <v>#N/A N/A</v>
        <stp/>
        <stp>BDP|9495565896499973026</stp>
        <tr r="R285" s="2"/>
      </tp>
      <tp t="s">
        <v>#N/A N/A</v>
        <stp/>
        <stp>BDP|7706820078761089526</stp>
        <tr r="Q1279" s="2"/>
      </tp>
      <tp t="s">
        <v>#N/A N/A</v>
        <stp/>
        <stp>BDS|4417442934648883737</stp>
        <tr r="I158" s="2"/>
      </tp>
      <tp t="s">
        <v>#N/A N/A</v>
        <stp/>
        <stp>BDP|1888852153593724365</stp>
        <tr r="P2251" s="2"/>
      </tp>
      <tp t="s">
        <v>#N/A N/A</v>
        <stp/>
        <stp>BDP|5066192996896246720</stp>
        <tr r="O2037" s="2"/>
      </tp>
      <tp t="s">
        <v>#N/A N/A</v>
        <stp/>
        <stp>BDP|9754616445185593293</stp>
        <tr r="Q643" s="2"/>
      </tp>
      <tp t="s">
        <v>#N/A N/A</v>
        <stp/>
        <stp>BDP|3015538875488030595</stp>
        <tr r="Q886" s="2"/>
      </tp>
      <tp t="s">
        <v>#N/A N/A</v>
        <stp/>
        <stp>BDP|7147807423958579986</stp>
        <tr r="F1310" s="2"/>
      </tp>
      <tp t="s">
        <v>#N/A N/A</v>
        <stp/>
        <stp>BDP|1714808351381077196</stp>
        <tr r="G830" s="2"/>
      </tp>
      <tp t="s">
        <v>#N/A N/A</v>
        <stp/>
        <stp>BDP|3208897574406999690</stp>
        <tr r="Q434" s="2"/>
      </tp>
      <tp t="s">
        <v>#N/A N/A</v>
        <stp/>
        <stp>BDP|8716442788398185055</stp>
        <tr r="S1301" s="2"/>
      </tp>
      <tp t="s">
        <v>#N/A N/A</v>
        <stp/>
        <stp>BDP|1736466289788594926</stp>
        <tr r="J1587" s="2"/>
      </tp>
      <tp t="s">
        <v>#N/A N/A</v>
        <stp/>
        <stp>BDP|7985711974929182224</stp>
        <tr r="J29" s="2"/>
      </tp>
      <tp t="s">
        <v>#N/A N/A</v>
        <stp/>
        <stp>BDS|4658918309310046115</stp>
        <tr r="I977" s="2"/>
      </tp>
      <tp t="s">
        <v>#N/A N/A</v>
        <stp/>
        <stp>BDP|9366517244870837415</stp>
        <tr r="F1860" s="2"/>
      </tp>
      <tp t="s">
        <v>#N/A N/A</v>
        <stp/>
        <stp>BDP|8585006665193788188</stp>
        <tr r="A209" s="2"/>
      </tp>
      <tp t="s">
        <v>#N/A N/A</v>
        <stp/>
        <stp>BDP|9446342553610468389</stp>
        <tr r="E1246" s="2"/>
      </tp>
      <tp t="s">
        <v>#N/A N/A</v>
        <stp/>
        <stp>BDP|4849109177729441741</stp>
        <tr r="T1041" s="2"/>
      </tp>
      <tp t="s">
        <v>#N/A N/A</v>
        <stp/>
        <stp>BDP|5122170607278992077</stp>
        <tr r="E1702" s="2"/>
      </tp>
      <tp t="s">
        <v>#N/A N/A</v>
        <stp/>
        <stp>BDP|8754397923151299404</stp>
        <tr r="H1577" s="2"/>
      </tp>
      <tp t="s">
        <v>#N/A N/A</v>
        <stp/>
        <stp>BDP|5173809367562125587</stp>
        <tr r="T644" s="2"/>
      </tp>
      <tp t="s">
        <v>#N/A N/A</v>
        <stp/>
        <stp>BDP|6392950026928817970</stp>
        <tr r="K1445" s="2"/>
      </tp>
      <tp t="s">
        <v>#N/A N/A</v>
        <stp/>
        <stp>BDP|7836787754261827835</stp>
        <tr r="J906" s="2"/>
      </tp>
      <tp t="s">
        <v>#N/A N/A</v>
        <stp/>
        <stp>BDP|8714681640921902798</stp>
        <tr r="S2229" s="2"/>
      </tp>
      <tp t="s">
        <v>#N/A N/A</v>
        <stp/>
        <stp>BDP|3553916117775863242</stp>
        <tr r="R1753" s="2"/>
      </tp>
      <tp t="s">
        <v>#N/A N/A</v>
        <stp/>
        <stp>BDP|2816113890593517536</stp>
        <tr r="A2246" s="2"/>
      </tp>
      <tp t="s">
        <v>#N/A N/A</v>
        <stp/>
        <stp>BDP|2896052552843446847</stp>
        <tr r="M250" s="2"/>
      </tp>
      <tp t="s">
        <v>#N/A N/A</v>
        <stp/>
        <stp>BDP|9004146845402656287</stp>
        <tr r="M638" s="2"/>
      </tp>
      <tp t="s">
        <v>#N/A N/A</v>
        <stp/>
        <stp>BDS|9340076763252183198</stp>
        <tr r="I1283" s="2"/>
      </tp>
      <tp t="s">
        <v>#N/A N/A</v>
        <stp/>
        <stp>BDP|2766036780901233799</stp>
        <tr r="A1055" s="2"/>
      </tp>
      <tp t="s">
        <v>#N/A N/A</v>
        <stp/>
        <stp>BDP|6464724988597827296</stp>
        <tr r="C630" s="2"/>
      </tp>
      <tp t="s">
        <v>#N/A N/A</v>
        <stp/>
        <stp>BDP|7866867164180643537</stp>
        <tr r="G834" s="2"/>
      </tp>
      <tp t="s">
        <v>#N/A N/A</v>
        <stp/>
        <stp>BDP|6753229580064368499</stp>
        <tr r="D1110" s="2"/>
      </tp>
      <tp t="s">
        <v>#N/A N/A</v>
        <stp/>
        <stp>BDP|4747665588764561232</stp>
        <tr r="C38" s="2"/>
      </tp>
      <tp t="s">
        <v>#N/A N/A</v>
        <stp/>
        <stp>BDP|8467686377364265167</stp>
        <tr r="S2123" s="2"/>
      </tp>
      <tp t="s">
        <v>#N/A N/A</v>
        <stp/>
        <stp>BDP|1858906142207256776</stp>
        <tr r="N2103" s="2"/>
      </tp>
      <tp t="s">
        <v>#N/A N/A</v>
        <stp/>
        <stp>BDP|5030427267019958233</stp>
        <tr r="D1150" s="2"/>
      </tp>
      <tp t="s">
        <v>#N/A N/A</v>
        <stp/>
        <stp>BDP|8033405258064742107</stp>
        <tr r="T459" s="2"/>
      </tp>
      <tp t="s">
        <v>#N/A N/A</v>
        <stp/>
        <stp>BDP|7541633296430873471</stp>
        <tr r="O1643" s="2"/>
      </tp>
      <tp t="s">
        <v>#N/A N/A</v>
        <stp/>
        <stp>BDP|9525042526102153591</stp>
        <tr r="H94" s="2"/>
      </tp>
      <tp t="s">
        <v>#N/A N/A</v>
        <stp/>
        <stp>BDP|2535827633394257197</stp>
        <tr r="G1524" s="2"/>
      </tp>
      <tp t="s">
        <v>#N/A N/A</v>
        <stp/>
        <stp>BDP|6647846459396014145</stp>
        <tr r="G471" s="2"/>
      </tp>
      <tp t="s">
        <v>#N/A N/A</v>
        <stp/>
        <stp>BDP|7914281138183765912</stp>
        <tr r="T1126" s="2"/>
      </tp>
      <tp t="s">
        <v>#N/A N/A</v>
        <stp/>
        <stp>BDP|6184799051578049065</stp>
        <tr r="H460" s="2"/>
      </tp>
      <tp t="s">
        <v>#N/A N/A</v>
        <stp/>
        <stp>BDP|5159920958821185451</stp>
        <tr r="N251" s="2"/>
      </tp>
      <tp t="s">
        <v>#N/A N/A</v>
        <stp/>
        <stp>BDP|8561788514853612103</stp>
        <tr r="C1807" s="2"/>
      </tp>
      <tp t="s">
        <v>#N/A N/A</v>
        <stp/>
        <stp>BDP|6258719789030000558</stp>
        <tr r="M514" s="2"/>
      </tp>
      <tp t="s">
        <v>#N/A N/A</v>
        <stp/>
        <stp>BDP|6602880094482654935</stp>
        <tr r="A523" s="2"/>
      </tp>
      <tp t="s">
        <v>#N/A N/A</v>
        <stp/>
        <stp>BDP|8707849833928909767</stp>
        <tr r="G318" s="2"/>
      </tp>
      <tp t="s">
        <v>#N/A N/A</v>
        <stp/>
        <stp>BDP|2954871499207075886</stp>
        <tr r="F2206" s="2"/>
      </tp>
      <tp t="s">
        <v>#N/A N/A</v>
        <stp/>
        <stp>BDP|5095635189876566105</stp>
        <tr r="O1425" s="2"/>
      </tp>
      <tp t="s">
        <v>#N/A N/A</v>
        <stp/>
        <stp>BDP|5845935531107570400</stp>
        <tr r="A328" s="2"/>
      </tp>
      <tp t="s">
        <v>#N/A N/A</v>
        <stp/>
        <stp>BDP|9726480440725861084</stp>
        <tr r="A490" s="2"/>
      </tp>
      <tp t="s">
        <v>#N/A N/A</v>
        <stp/>
        <stp>BDP|6488638526036924875</stp>
        <tr r="J1032" s="2"/>
      </tp>
      <tp t="s">
        <v>#N/A N/A</v>
        <stp/>
        <stp>BDP|3019764686105580595</stp>
        <tr r="P1402" s="2"/>
      </tp>
      <tp t="s">
        <v>#N/A N/A</v>
        <stp/>
        <stp>BDP|5892320985162762047</stp>
        <tr r="F301" s="2"/>
      </tp>
      <tp t="s">
        <v>#N/A N/A</v>
        <stp/>
        <stp>BDP|5420938115138929970</stp>
        <tr r="N153" s="2"/>
      </tp>
      <tp t="s">
        <v>#N/A N/A</v>
        <stp/>
        <stp>BDP|4072884544123285722</stp>
        <tr r="K1359" s="2"/>
      </tp>
      <tp t="s">
        <v>#N/A N/A</v>
        <stp/>
        <stp>BDP|8435056469716086441</stp>
        <tr r="N1912" s="2"/>
      </tp>
      <tp t="s">
        <v>#N/A N/A</v>
        <stp/>
        <stp>BDP|8209038475264823703</stp>
        <tr r="P1498" s="2"/>
      </tp>
      <tp t="s">
        <v>#N/A N/A</v>
        <stp/>
        <stp>BDP|9230688665032663757</stp>
        <tr r="C1427" s="2"/>
      </tp>
      <tp t="s">
        <v>#N/A N/A</v>
        <stp/>
        <stp>BDP|1709145649968003066</stp>
        <tr r="G637" s="2"/>
      </tp>
      <tp t="s">
        <v>#N/A N/A</v>
        <stp/>
        <stp>BDP|8812447012804048520</stp>
        <tr r="M30" s="2"/>
      </tp>
      <tp t="s">
        <v>#N/A N/A</v>
        <stp/>
        <stp>BDP|5955410151079394161</stp>
        <tr r="F1926" s="2"/>
      </tp>
      <tp t="s">
        <v>#N/A N/A</v>
        <stp/>
        <stp>BDP|8715290551261771249</stp>
        <tr r="A1919" s="2"/>
      </tp>
      <tp t="s">
        <v>#N/A N/A</v>
        <stp/>
        <stp>BDP|7194303816349909024</stp>
        <tr r="G906" s="2"/>
      </tp>
      <tp t="s">
        <v>#N/A N/A</v>
        <stp/>
        <stp>BDS|7878881942213932479</stp>
        <tr r="I520" s="2"/>
      </tp>
      <tp t="s">
        <v>#N/A N/A</v>
        <stp/>
        <stp>BDP|1634699623461567855</stp>
        <tr r="M1483" s="2"/>
      </tp>
      <tp t="s">
        <v>#N/A N/A</v>
        <stp/>
        <stp>BDP|3625276911578958459</stp>
        <tr r="A1206" s="2"/>
      </tp>
      <tp t="s">
        <v>#N/A N/A</v>
        <stp/>
        <stp>BDP|2058780185750261139</stp>
        <tr r="G1658" s="2"/>
      </tp>
      <tp t="s">
        <v>#N/A N/A</v>
        <stp/>
        <stp>BDP|6634850193103598896</stp>
        <tr r="G415" s="2"/>
      </tp>
      <tp t="s">
        <v>#N/A N/A</v>
        <stp/>
        <stp>BDP|8417280746527519538</stp>
        <tr r="H646" s="2"/>
      </tp>
      <tp t="s">
        <v>#N/A N/A</v>
        <stp/>
        <stp>BDP|9324143244116683694</stp>
        <tr r="Q2004" s="2"/>
      </tp>
      <tp t="s">
        <v>#N/A N/A</v>
        <stp/>
        <stp>BDP|2152589430510312864</stp>
        <tr r="N886" s="2"/>
      </tp>
      <tp t="s">
        <v>#N/A N/A</v>
        <stp/>
        <stp>BDP|3549659799236772624</stp>
        <tr r="T1491" s="2"/>
      </tp>
      <tp t="s">
        <v>#N/A N/A</v>
        <stp/>
        <stp>BDP|9088621247543167486</stp>
        <tr r="F614" s="2"/>
      </tp>
      <tp t="s">
        <v>#N/A N/A</v>
        <stp/>
        <stp>BDP|5173319720691906954</stp>
        <tr r="C1265" s="2"/>
      </tp>
      <tp t="s">
        <v>#N/A N/A</v>
        <stp/>
        <stp>BDP|6035891414950875393</stp>
        <tr r="H215" s="2"/>
      </tp>
      <tp t="s">
        <v>#N/A N/A</v>
        <stp/>
        <stp>BDP|8947451320615754779</stp>
        <tr r="E1968" s="2"/>
      </tp>
      <tp t="s">
        <v>#N/A N/A</v>
        <stp/>
        <stp>BDP|5798417203564156981</stp>
        <tr r="F1585" s="2"/>
      </tp>
      <tp t="s">
        <v>#N/A N/A</v>
        <stp/>
        <stp>BDP|7335504559909439223</stp>
        <tr r="K36" s="2"/>
      </tp>
      <tp t="s">
        <v>#N/A N/A</v>
        <stp/>
        <stp>BDP|4770126899817543753</stp>
        <tr r="K2057" s="2"/>
      </tp>
      <tp t="s">
        <v>#N/A N/A</v>
        <stp/>
        <stp>BDP|3539914593599913622</stp>
        <tr r="J1104" s="2"/>
      </tp>
      <tp t="s">
        <v>#N/A N/A</v>
        <stp/>
        <stp>BDP|5303187464029755743</stp>
        <tr r="F484" s="2"/>
      </tp>
      <tp t="s">
        <v>#N/A N/A</v>
        <stp/>
        <stp>BDP|6404207785374451491</stp>
        <tr r="T2250" s="2"/>
      </tp>
      <tp t="s">
        <v>#N/A N/A</v>
        <stp/>
        <stp>BDP|6327197182281359272</stp>
        <tr r="J1928" s="2"/>
      </tp>
      <tp t="s">
        <v>#N/A N/A</v>
        <stp/>
        <stp>BDP|8798293498826319993</stp>
        <tr r="J570" s="2"/>
      </tp>
      <tp t="s">
        <v>#N/A N/A</v>
        <stp/>
        <stp>BDP|8205994127579771676</stp>
        <tr r="T257" s="2"/>
      </tp>
      <tp t="s">
        <v>#N/A N/A</v>
        <stp/>
        <stp>BDS|8833854152498265116</stp>
        <tr r="I1349" s="2"/>
      </tp>
      <tp t="s">
        <v>#N/A N/A</v>
        <stp/>
        <stp>BDP|8399588074705466370</stp>
        <tr r="F89" s="2"/>
      </tp>
      <tp t="s">
        <v>#N/A N/A</v>
        <stp/>
        <stp>BDP|1081209789562574500</stp>
        <tr r="F460" s="2"/>
      </tp>
      <tp t="s">
        <v>#N/A N/A</v>
        <stp/>
        <stp>BDP|5617773729674362871</stp>
        <tr r="O1834" s="2"/>
      </tp>
      <tp t="s">
        <v>#N/A N/A</v>
        <stp/>
        <stp>BDP|3622525068374143813</stp>
        <tr r="P387" s="2"/>
      </tp>
      <tp t="s">
        <v>#N/A N/A</v>
        <stp/>
        <stp>BDP|3444440218319720336</stp>
        <tr r="E1133" s="2"/>
      </tp>
      <tp t="s">
        <v>#N/A N/A</v>
        <stp/>
        <stp>BDP|8746586873771359733</stp>
        <tr r="N998" s="2"/>
      </tp>
      <tp t="s">
        <v>#N/A N/A</v>
        <stp/>
        <stp>BDS|8189664250422981520</stp>
        <tr r="I289" s="2"/>
      </tp>
      <tp t="s">
        <v>#N/A N/A</v>
        <stp/>
        <stp>BDP|6493895359861859603</stp>
        <tr r="K173" s="2"/>
      </tp>
      <tp t="s">
        <v>#N/A N/A</v>
        <stp/>
        <stp>BDP|9450816828196979987</stp>
        <tr r="K206" s="2"/>
      </tp>
      <tp t="s">
        <v>#N/A N/A</v>
        <stp/>
        <stp>BDP|9049684715120928286</stp>
        <tr r="T957" s="2"/>
      </tp>
      <tp t="s">
        <v>#N/A N/A</v>
        <stp/>
        <stp>BDP|3852507296024533774</stp>
        <tr r="A1099" s="2"/>
      </tp>
      <tp t="s">
        <v>#N/A N/A</v>
        <stp/>
        <stp>BDP|4934902219444910451</stp>
        <tr r="S628" s="2"/>
      </tp>
      <tp t="s">
        <v>#N/A N/A</v>
        <stp/>
        <stp>BDP|5848933025430207206</stp>
        <tr r="J1137" s="2"/>
      </tp>
      <tp t="s">
        <v>#N/A N/A</v>
        <stp/>
        <stp>BDP|5069812718565675533</stp>
        <tr r="E957" s="2"/>
      </tp>
      <tp t="s">
        <v>#N/A N/A</v>
        <stp/>
        <stp>BDP|1863971160533349103</stp>
        <tr r="D1202" s="2"/>
      </tp>
      <tp t="s">
        <v>#N/A N/A</v>
        <stp/>
        <stp>BDP|3134607933548773293</stp>
        <tr r="T2095" s="2"/>
      </tp>
      <tp t="s">
        <v>#N/A N/A</v>
        <stp/>
        <stp>BDP|6929937587542118905</stp>
        <tr r="R562" s="2"/>
      </tp>
      <tp t="s">
        <v>#N/A N/A</v>
        <stp/>
        <stp>BDS|1813538532338685335</stp>
        <tr r="I551" s="2"/>
      </tp>
      <tp t="s">
        <v>#N/A N/A</v>
        <stp/>
        <stp>BDP|4899814906776343609</stp>
        <tr r="O515" s="2"/>
      </tp>
      <tp t="s">
        <v>#N/A N/A</v>
        <stp/>
        <stp>BDP|9897746367491349548</stp>
        <tr r="N1335" s="2"/>
      </tp>
      <tp t="s">
        <v>#N/A N/A</v>
        <stp/>
        <stp>BDP|1438397992253595468</stp>
        <tr r="G1225" s="2"/>
      </tp>
      <tp t="s">
        <v>#N/A N/A</v>
        <stp/>
        <stp>BDP|2518784126343233852</stp>
        <tr r="Q672" s="2"/>
      </tp>
      <tp t="s">
        <v>#N/A N/A</v>
        <stp/>
        <stp>BDP|8527545576581342781</stp>
        <tr r="Q848" s="2"/>
      </tp>
      <tp t="s">
        <v>#N/A N/A</v>
        <stp/>
        <stp>BDP|2370174127639669494</stp>
        <tr r="D2098" s="2"/>
      </tp>
      <tp t="s">
        <v>#N/A N/A</v>
        <stp/>
        <stp>BDP|7122718499974326167</stp>
        <tr r="S1104" s="2"/>
      </tp>
      <tp t="s">
        <v>#N/A N/A</v>
        <stp/>
        <stp>BDP|2780945862722482394</stp>
        <tr r="N545" s="2"/>
      </tp>
      <tp t="s">
        <v>#N/A N/A</v>
        <stp/>
        <stp>BDP|8316833806368253482</stp>
        <tr r="E498" s="2"/>
      </tp>
      <tp t="s">
        <v>#N/A N/A</v>
        <stp/>
        <stp>BDP|5264781086753102509</stp>
        <tr r="K1147" s="2"/>
      </tp>
      <tp t="s">
        <v>#N/A N/A</v>
        <stp/>
        <stp>BDP|8986652231641108015</stp>
        <tr r="S509" s="2"/>
      </tp>
      <tp t="s">
        <v>#N/A N/A</v>
        <stp/>
        <stp>BDP|2308865818686336138</stp>
        <tr r="F1121" s="2"/>
      </tp>
      <tp t="s">
        <v>#N/A N/A</v>
        <stp/>
        <stp>BDP|9687244568425669416</stp>
        <tr r="N1820" s="2"/>
      </tp>
      <tp t="s">
        <v>#N/A N/A</v>
        <stp/>
        <stp>BDP|1975127662908250267</stp>
        <tr r="J83" s="2"/>
      </tp>
      <tp t="s">
        <v>#N/A N/A</v>
        <stp/>
        <stp>BDP|2693144886703067497</stp>
        <tr r="D1665" s="2"/>
      </tp>
      <tp t="s">
        <v>#N/A N/A</v>
        <stp/>
        <stp>BDP|6399452964471739987</stp>
        <tr r="Q1198" s="2"/>
      </tp>
      <tp t="s">
        <v>#N/A N/A</v>
        <stp/>
        <stp>BDP|9446491677664709208</stp>
        <tr r="S1652" s="2"/>
      </tp>
      <tp t="s">
        <v>#N/A N/A</v>
        <stp/>
        <stp>BDP|9640459858195027164</stp>
        <tr r="E433" s="2"/>
      </tp>
      <tp t="s">
        <v>#N/A N/A</v>
        <stp/>
        <stp>BDP|2283852388617136935</stp>
        <tr r="Q678" s="2"/>
      </tp>
      <tp t="s">
        <v>#N/A N/A</v>
        <stp/>
        <stp>BDP|5609467506284398986</stp>
        <tr r="C1414" s="2"/>
      </tp>
      <tp t="s">
        <v>#N/A N/A</v>
        <stp/>
        <stp>BDP|8673680800853510164</stp>
        <tr r="H482" s="2"/>
      </tp>
      <tp t="s">
        <v>#N/A N/A</v>
        <stp/>
        <stp>BDP|9084893490910699421</stp>
        <tr r="Q716" s="2"/>
      </tp>
      <tp t="s">
        <v>#N/A N/A</v>
        <stp/>
        <stp>BDP|8097318748837438400</stp>
        <tr r="M2110" s="2"/>
      </tp>
      <tp t="s">
        <v>#N/A N/A</v>
        <stp/>
        <stp>BDP|2734595492105684773</stp>
        <tr r="O1889" s="2"/>
      </tp>
      <tp t="s">
        <v>#N/A N/A</v>
        <stp/>
        <stp>BDP|4934122886746498743</stp>
        <tr r="P654" s="2"/>
      </tp>
      <tp t="s">
        <v>#N/A N/A</v>
        <stp/>
        <stp>BDP|8419806698942342726</stp>
        <tr r="D1568" s="2"/>
      </tp>
      <tp t="s">
        <v>#N/A N/A</v>
        <stp/>
        <stp>BDP|9492264350265872777</stp>
        <tr r="S1610" s="2"/>
      </tp>
      <tp t="s">
        <v>#N/A N/A</v>
        <stp/>
        <stp>BDP|3472421387873980059</stp>
        <tr r="P1909" s="2"/>
      </tp>
      <tp t="s">
        <v>#N/A N/A</v>
        <stp/>
        <stp>BDP|2895957263375427470</stp>
        <tr r="E1528" s="2"/>
      </tp>
      <tp t="s">
        <v>#N/A N/A</v>
        <stp/>
        <stp>BDP|8804131161237356449</stp>
        <tr r="A1428" s="2"/>
      </tp>
      <tp t="s">
        <v>#N/A N/A</v>
        <stp/>
        <stp>BDP|3107899763830762118</stp>
        <tr r="G2236" s="2"/>
      </tp>
      <tp t="s">
        <v>#N/A N/A</v>
        <stp/>
        <stp>BDP|4732880744805734117</stp>
        <tr r="T2246" s="2"/>
      </tp>
      <tp t="s">
        <v>#N/A N/A</v>
        <stp/>
        <stp>BDP|6903198016782369886</stp>
        <tr r="E1037" s="2"/>
      </tp>
      <tp t="s">
        <v>#N/A N/A</v>
        <stp/>
        <stp>BDP|4826289817328248382</stp>
        <tr r="F978" s="2"/>
      </tp>
      <tp t="s">
        <v>#N/A N/A</v>
        <stp/>
        <stp>BDP|9428736801472883036</stp>
        <tr r="H1280" s="2"/>
      </tp>
      <tp t="s">
        <v>#N/A N/A</v>
        <stp/>
        <stp>BDP|8227001206910174483</stp>
        <tr r="C742" s="2"/>
      </tp>
      <tp t="s">
        <v>#N/A N/A</v>
        <stp/>
        <stp>BDP|8068234203812839457</stp>
        <tr r="D1186" s="2"/>
      </tp>
      <tp t="s">
        <v>#N/A N/A</v>
        <stp/>
        <stp>BDP|1142346439778944580</stp>
        <tr r="D1441" s="2"/>
      </tp>
      <tp t="s">
        <v>#N/A N/A</v>
        <stp/>
        <stp>BDP|4291997813818558802</stp>
        <tr r="A1195" s="2"/>
      </tp>
      <tp t="s">
        <v>#N/A N/A</v>
        <stp/>
        <stp>BDS|9575284606055034262</stp>
        <tr r="I1113" s="2"/>
      </tp>
      <tp t="s">
        <v>#N/A N/A</v>
        <stp/>
        <stp>BDP|5792939466066715081</stp>
        <tr r="C302" s="2"/>
      </tp>
      <tp t="s">
        <v>#N/A N/A</v>
        <stp/>
        <stp>BDP|7498790889513184784</stp>
        <tr r="F1565" s="2"/>
      </tp>
      <tp t="s">
        <v>#N/A N/A</v>
        <stp/>
        <stp>BDP|3967064372329004101</stp>
        <tr r="C518" s="2"/>
      </tp>
      <tp t="s">
        <v>#N/A N/A</v>
        <stp/>
        <stp>BDP|8296655834753981273</stp>
        <tr r="E2186" s="2"/>
      </tp>
      <tp t="s">
        <v>#N/A N/A</v>
        <stp/>
        <stp>BDP|7416231319130668854</stp>
        <tr r="E1021" s="2"/>
      </tp>
      <tp t="s">
        <v>#N/A N/A</v>
        <stp/>
        <stp>BDP|2896248892267481278</stp>
        <tr r="O737" s="2"/>
      </tp>
      <tp t="s">
        <v>#N/A N/A</v>
        <stp/>
        <stp>BDS|8905847830578878784</stp>
        <tr r="I2056" s="2"/>
      </tp>
      <tp t="s">
        <v>#N/A N/A</v>
        <stp/>
        <stp>BDP|8865836296536867381</stp>
        <tr r="F2011" s="2"/>
      </tp>
      <tp t="s">
        <v>#N/A N/A</v>
        <stp/>
        <stp>BDP|9559411475631993759</stp>
        <tr r="Q1871" s="2"/>
      </tp>
      <tp t="s">
        <v>#N/A N/A</v>
        <stp/>
        <stp>BDP|9961725350385007262</stp>
        <tr r="K678" s="2"/>
      </tp>
      <tp t="s">
        <v>#N/A N/A</v>
        <stp/>
        <stp>BDP|7976204917050554864</stp>
        <tr r="K441" s="2"/>
      </tp>
      <tp t="s">
        <v>#N/A N/A</v>
        <stp/>
        <stp>BDP|6756794659559323193</stp>
        <tr r="E1895" s="2"/>
      </tp>
      <tp t="s">
        <v>#N/A N/A</v>
        <stp/>
        <stp>BDP|9194420809984557520</stp>
        <tr r="C2214" s="2"/>
      </tp>
      <tp t="s">
        <v>#N/A N/A</v>
        <stp/>
        <stp>BDP|9424191409330149481</stp>
        <tr r="C2024" s="2"/>
      </tp>
      <tp t="s">
        <v>#N/A N/A</v>
        <stp/>
        <stp>BDP|5250896441575046076</stp>
        <tr r="P2006" s="2"/>
      </tp>
      <tp t="s">
        <v>#N/A N/A</v>
        <stp/>
        <stp>BDP|3015869145233776099</stp>
        <tr r="A578" s="2"/>
      </tp>
      <tp t="s">
        <v>#N/A N/A</v>
        <stp/>
        <stp>BDP|6469569679561674909</stp>
        <tr r="C820" s="2"/>
      </tp>
      <tp t="s">
        <v>#N/A N/A</v>
        <stp/>
        <stp>BDP|7973236896160050011</stp>
        <tr r="R1280" s="2"/>
      </tp>
      <tp t="s">
        <v>#N/A N/A</v>
        <stp/>
        <stp>BDS|3748798890784585564</stp>
        <tr r="I1356" s="2"/>
      </tp>
      <tp t="s">
        <v>#N/A N/A</v>
        <stp/>
        <stp>BDP|8052591402219043865</stp>
        <tr r="A2070" s="2"/>
      </tp>
      <tp t="s">
        <v>#N/A N/A</v>
        <stp/>
        <stp>BDP|8301231262145913566</stp>
        <tr r="J889" s="2"/>
      </tp>
      <tp t="s">
        <v>#N/A N/A</v>
        <stp/>
        <stp>BDP|4542990153243004721</stp>
        <tr r="C629" s="2"/>
      </tp>
      <tp t="s">
        <v>#N/A N/A</v>
        <stp/>
        <stp>BDP|7262023090094957647</stp>
        <tr r="K2066" s="2"/>
      </tp>
      <tp t="s">
        <v>#N/A N/A</v>
        <stp/>
        <stp>BDP|5360907971213756481</stp>
        <tr r="F1990" s="2"/>
      </tp>
      <tp t="s">
        <v>#N/A N/A</v>
        <stp/>
        <stp>BDP|6253804427103920314</stp>
        <tr r="O670" s="2"/>
      </tp>
      <tp t="s">
        <v>#N/A N/A</v>
        <stp/>
        <stp>BDP|4682989806122169340</stp>
        <tr r="N818" s="2"/>
      </tp>
      <tp t="s">
        <v>#N/A N/A</v>
        <stp/>
        <stp>BDP|9084309262613884379</stp>
        <tr r="O968" s="2"/>
      </tp>
      <tp t="s">
        <v>#N/A N/A</v>
        <stp/>
        <stp>BDP|7269092745217671857</stp>
        <tr r="R751" s="2"/>
      </tp>
      <tp t="s">
        <v>#N/A N/A</v>
        <stp/>
        <stp>BDP|8389260047954198611</stp>
        <tr r="D1662" s="2"/>
      </tp>
      <tp t="s">
        <v>#N/A N/A</v>
        <stp/>
        <stp>BDS|3592601222063100842</stp>
        <tr r="I222" s="2"/>
      </tp>
      <tp t="s">
        <v>#N/A N/A</v>
        <stp/>
        <stp>BDP|9426709348414849262</stp>
        <tr r="F264" s="2"/>
      </tp>
      <tp t="s">
        <v>#N/A N/A</v>
        <stp/>
        <stp>BDP|3616634507248679169</stp>
        <tr r="O1111" s="2"/>
      </tp>
      <tp t="s">
        <v>#N/A N/A</v>
        <stp/>
        <stp>BDP|5439220040228200768</stp>
        <tr r="O98" s="2"/>
      </tp>
      <tp t="s">
        <v>#N/A N/A</v>
        <stp/>
        <stp>BDP|5415860140152296721</stp>
        <tr r="Q891" s="2"/>
      </tp>
      <tp t="s">
        <v>#N/A N/A</v>
        <stp/>
        <stp>BDP|7363164081156084463</stp>
        <tr r="R700" s="2"/>
      </tp>
      <tp t="s">
        <v>#N/A N/A</v>
        <stp/>
        <stp>BDP|9483325984117246920</stp>
        <tr r="R1782" s="2"/>
      </tp>
      <tp t="s">
        <v>#N/A N/A</v>
        <stp/>
        <stp>BDP|4097715822218540542</stp>
        <tr r="J2148" s="2"/>
      </tp>
      <tp t="s">
        <v>#N/A N/A</v>
        <stp/>
        <stp>BDP|9778078647195473412</stp>
        <tr r="N436" s="2"/>
      </tp>
      <tp t="s">
        <v>#N/A N/A</v>
        <stp/>
        <stp>BDP|6663829060147025367</stp>
        <tr r="G39" s="2"/>
      </tp>
      <tp t="s">
        <v>#N/A N/A</v>
        <stp/>
        <stp>BDP|1258522786639182952</stp>
        <tr r="O1070" s="2"/>
      </tp>
      <tp t="s">
        <v>#N/A N/A</v>
        <stp/>
        <stp>BDP|2053160262600787911</stp>
        <tr r="P1191" s="2"/>
      </tp>
      <tp t="s">
        <v>#N/A N/A</v>
        <stp/>
        <stp>BDP|7194861106311214210</stp>
        <tr r="Q1520" s="2"/>
      </tp>
      <tp t="s">
        <v>#N/A N/A</v>
        <stp/>
        <stp>BDP|9670048501522055715</stp>
        <tr r="S776" s="2"/>
      </tp>
      <tp t="s">
        <v>#N/A N/A</v>
        <stp/>
        <stp>BDP|1815975829537093142</stp>
        <tr r="O1866" s="2"/>
      </tp>
      <tp t="s">
        <v>#N/A N/A</v>
        <stp/>
        <stp>BDP|8678360746102582114</stp>
        <tr r="O1343" s="2"/>
      </tp>
      <tp t="s">
        <v>#N/A N/A</v>
        <stp/>
        <stp>BDP|8504018210090217543</stp>
        <tr r="Q120" s="2"/>
      </tp>
      <tp t="s">
        <v>#N/A N/A</v>
        <stp/>
        <stp>BDP|2605152576900175861</stp>
        <tr r="T548" s="2"/>
      </tp>
      <tp t="s">
        <v>#N/A N/A</v>
        <stp/>
        <stp>BDP|2788869104421583720</stp>
        <tr r="M2146" s="2"/>
      </tp>
      <tp t="s">
        <v>#N/A N/A</v>
        <stp/>
        <stp>BDP|5128070894993624365</stp>
        <tr r="K1774" s="2"/>
      </tp>
      <tp t="s">
        <v>#N/A N/A</v>
        <stp/>
        <stp>BDP|5296994868320942686</stp>
        <tr r="J1905" s="2"/>
      </tp>
      <tp t="s">
        <v>#N/A N/A</v>
        <stp/>
        <stp>BDP|9359668773802407609</stp>
        <tr r="K1940" s="2"/>
      </tp>
      <tp t="s">
        <v>#N/A N/A</v>
        <stp/>
        <stp>BDP|9417699775311803524</stp>
        <tr r="F831" s="2"/>
      </tp>
      <tp t="s">
        <v>#N/A N/A</v>
        <stp/>
        <stp>BDP|8239509164440291768</stp>
        <tr r="A1026" s="2"/>
      </tp>
      <tp t="s">
        <v>#N/A N/A</v>
        <stp/>
        <stp>BDP|1443837660507090451</stp>
        <tr r="E16" s="2"/>
      </tp>
      <tp t="s">
        <v>#N/A N/A</v>
        <stp/>
        <stp>BDP|2687773292713906382</stp>
        <tr r="M926" s="2"/>
      </tp>
      <tp t="s">
        <v>#N/A N/A</v>
        <stp/>
        <stp>BDP|8431062437177360048</stp>
        <tr r="K2019" s="2"/>
      </tp>
      <tp t="s">
        <v>#N/A N/A</v>
        <stp/>
        <stp>BDP|5664889848582128756</stp>
        <tr r="O314" s="2"/>
      </tp>
      <tp t="s">
        <v>#N/A N/A</v>
        <stp/>
        <stp>BDP|9715000672085387747</stp>
        <tr r="T2089" s="2"/>
      </tp>
      <tp t="s">
        <v>#N/A N/A</v>
        <stp/>
        <stp>BDP|2978483936949508003</stp>
        <tr r="Q1701" s="2"/>
      </tp>
      <tp t="s">
        <v>#N/A N/A</v>
        <stp/>
        <stp>BDP|5344716170099784074</stp>
        <tr r="J360" s="2"/>
      </tp>
      <tp t="s">
        <v>#N/A N/A</v>
        <stp/>
        <stp>BDP|3385669138098877278</stp>
        <tr r="Q2006" s="2"/>
      </tp>
      <tp t="s">
        <v>#N/A N/A</v>
        <stp/>
        <stp>BDS|8046751437112534255</stp>
        <tr r="I1164" s="2"/>
      </tp>
      <tp t="s">
        <v>#N/A N/A</v>
        <stp/>
        <stp>BDP|5870686478479872123</stp>
        <tr r="N800" s="2"/>
      </tp>
      <tp t="s">
        <v>#N/A N/A</v>
        <stp/>
        <stp>BDP|2321207676519614210</stp>
        <tr r="G538" s="2"/>
      </tp>
      <tp t="s">
        <v>#N/A N/A</v>
        <stp/>
        <stp>BDP|9451412925215074623</stp>
        <tr r="A1113" s="2"/>
      </tp>
      <tp t="s">
        <v>#N/A N/A</v>
        <stp/>
        <stp>BDP|9396016800977227225</stp>
        <tr r="C1494" s="2"/>
      </tp>
      <tp t="s">
        <v>#N/A N/A</v>
        <stp/>
        <stp>BDP|5098288044117606881</stp>
        <tr r="D2104" s="2"/>
      </tp>
      <tp t="s">
        <v>#N/A N/A</v>
        <stp/>
        <stp>BDP|7732261770179377704</stp>
        <tr r="N1527" s="2"/>
      </tp>
      <tp t="s">
        <v>#N/A N/A</v>
        <stp/>
        <stp>BDP|9222729692252917998</stp>
        <tr r="O1324" s="2"/>
      </tp>
      <tp t="s">
        <v>#N/A N/A</v>
        <stp/>
        <stp>BDP|8056077256671114025</stp>
        <tr r="J859" s="2"/>
      </tp>
      <tp t="s">
        <v>#N/A N/A</v>
        <stp/>
        <stp>BDP|4272881800711149195</stp>
        <tr r="F899" s="2"/>
      </tp>
      <tp t="s">
        <v>#N/A N/A</v>
        <stp/>
        <stp>BDP|9206119337522794515</stp>
        <tr r="F1904" s="2"/>
      </tp>
      <tp t="s">
        <v>#N/A N/A</v>
        <stp/>
        <stp>BDP|3731930334773449660</stp>
        <tr r="H2105" s="2"/>
      </tp>
      <tp t="s">
        <v>#N/A N/A</v>
        <stp/>
        <stp>BDP|1215849953451450139</stp>
        <tr r="C2234" s="2"/>
      </tp>
      <tp t="s">
        <v>#N/A N/A</v>
        <stp/>
        <stp>BDP|8682901167232405978</stp>
        <tr r="H2085" s="2"/>
      </tp>
      <tp t="s">
        <v>#N/A N/A</v>
        <stp/>
        <stp>BDP|8354609272624613158</stp>
        <tr r="S466" s="2"/>
      </tp>
      <tp t="s">
        <v>#N/A N/A</v>
        <stp/>
        <stp>BDS|3463767027119080378</stp>
        <tr r="I223" s="2"/>
      </tp>
      <tp t="s">
        <v>#N/A N/A</v>
        <stp/>
        <stp>BDP|5174882139423720151</stp>
        <tr r="R950" s="2"/>
      </tp>
      <tp t="s">
        <v>#N/A N/A</v>
        <stp/>
        <stp>BDP|5127443364069243217</stp>
        <tr r="A1829" s="2"/>
      </tp>
      <tp t="s">
        <v>#N/A N/A</v>
        <stp/>
        <stp>BDP|1379456080186302772</stp>
        <tr r="H573" s="2"/>
      </tp>
      <tp t="s">
        <v>#N/A N/A</v>
        <stp/>
        <stp>BDP|1979236251679931306</stp>
        <tr r="G2200" s="2"/>
      </tp>
      <tp t="s">
        <v>#N/A N/A</v>
        <stp/>
        <stp>BDP|1818182084536523236</stp>
        <tr r="R1709" s="2"/>
      </tp>
      <tp t="s">
        <v>#N/A N/A</v>
        <stp/>
        <stp>BDP|4508941934545742705</stp>
        <tr r="C1109" s="2"/>
      </tp>
      <tp t="s">
        <v>#N/A N/A</v>
        <stp/>
        <stp>BDP|8897382498008891627</stp>
        <tr r="D522" s="2"/>
      </tp>
      <tp t="s">
        <v>#N/A N/A</v>
        <stp/>
        <stp>BDP|1677967215105518025</stp>
        <tr r="H1285" s="2"/>
      </tp>
      <tp t="s">
        <v>#N/A N/A</v>
        <stp/>
        <stp>BDP|8201334643785725674</stp>
        <tr r="T68" s="2"/>
      </tp>
      <tp t="s">
        <v>#N/A N/A</v>
        <stp/>
        <stp>BDP|2559995979625249557</stp>
        <tr r="R263" s="2"/>
      </tp>
      <tp t="s">
        <v>#N/A N/A</v>
        <stp/>
        <stp>BDP|1145136188213141790</stp>
        <tr r="A1232" s="2"/>
      </tp>
      <tp t="s">
        <v>#N/A N/A</v>
        <stp/>
        <stp>BDP|3067699320833303883</stp>
        <tr r="R975" s="2"/>
      </tp>
      <tp t="s">
        <v>#N/A N/A</v>
        <stp/>
        <stp>BDP|9617442822617488469</stp>
        <tr r="S1203" s="2"/>
      </tp>
      <tp t="s">
        <v>#N/A N/A</v>
        <stp/>
        <stp>BDP|9943317169965482576</stp>
        <tr r="G713" s="2"/>
      </tp>
      <tp t="s">
        <v>#N/A N/A</v>
        <stp/>
        <stp>BDP|5339905586599324145</stp>
        <tr r="G3" s="2"/>
      </tp>
      <tp t="s">
        <v>#N/A N/A</v>
        <stp/>
        <stp>BDP|5844978014739976808</stp>
        <tr r="Q1264" s="2"/>
      </tp>
      <tp t="s">
        <v>#N/A N/A</v>
        <stp/>
        <stp>BDP|9949743712837490492</stp>
        <tr r="D3" s="2"/>
      </tp>
      <tp t="s">
        <v>#N/A N/A</v>
        <stp/>
        <stp>BDP|1218642231309701124</stp>
        <tr r="N84" s="2"/>
      </tp>
      <tp t="s">
        <v>#N/A N/A</v>
        <stp/>
        <stp>BDP|5271809057923256755</stp>
        <tr r="E1633" s="2"/>
      </tp>
      <tp t="s">
        <v>#N/A N/A</v>
        <stp/>
        <stp>BDP|6791498781636950045</stp>
        <tr r="H1031" s="2"/>
      </tp>
      <tp t="s">
        <v>#N/A N/A</v>
        <stp/>
        <stp>BDP|8022460474763475445</stp>
        <tr r="J1611" s="2"/>
      </tp>
      <tp t="s">
        <v>#N/A N/A</v>
        <stp/>
        <stp>BDP|5938100098395747443</stp>
        <tr r="J1202" s="2"/>
      </tp>
      <tp t="s">
        <v>#N/A N/A</v>
        <stp/>
        <stp>BDP|3716152996655424220</stp>
        <tr r="C1228" s="2"/>
      </tp>
      <tp t="s">
        <v>#N/A N/A</v>
        <stp/>
        <stp>BDP|3494898919596760014</stp>
        <tr r="J541" s="2"/>
      </tp>
      <tp t="s">
        <v>#N/A N/A</v>
        <stp/>
        <stp>BDP|9963258738854045064</stp>
        <tr r="R1549" s="2"/>
      </tp>
      <tp t="s">
        <v>#N/A N/A</v>
        <stp/>
        <stp>BDP|9583796729172016278</stp>
        <tr r="C685" s="2"/>
      </tp>
      <tp t="s">
        <v>#N/A N/A</v>
        <stp/>
        <stp>BDP|3843944818381543631</stp>
        <tr r="D2207" s="2"/>
      </tp>
      <tp t="s">
        <v>#N/A N/A</v>
        <stp/>
        <stp>BDP|2042557880337328444</stp>
        <tr r="R393" s="2"/>
      </tp>
      <tp t="s">
        <v>#N/A N/A</v>
        <stp/>
        <stp>BDP|6437647095605444030</stp>
        <tr r="D1559" s="2"/>
      </tp>
      <tp t="s">
        <v>#N/A N/A</v>
        <stp/>
        <stp>BDP|8378361414491126726</stp>
        <tr r="A1474" s="2"/>
      </tp>
      <tp t="s">
        <v>#N/A N/A</v>
        <stp/>
        <stp>BDP|8755383069430249160</stp>
        <tr r="Q669" s="2"/>
      </tp>
      <tp t="s">
        <v>#N/A N/A</v>
        <stp/>
        <stp>BDP|8559675006615140774</stp>
        <tr r="N1851" s="2"/>
      </tp>
      <tp t="s">
        <v>#N/A N/A</v>
        <stp/>
        <stp>BDP|2814833119366211139</stp>
        <tr r="A1924" s="2"/>
      </tp>
      <tp t="s">
        <v>#N/A N/A</v>
        <stp/>
        <stp>BDP|8603337426714019108</stp>
        <tr r="K851" s="2"/>
      </tp>
      <tp t="s">
        <v>#N/A N/A</v>
        <stp/>
        <stp>BDP|5954066429848523301</stp>
        <tr r="F523" s="2"/>
      </tp>
      <tp t="s">
        <v>#N/A N/A</v>
        <stp/>
        <stp>BDP|3722543897037699410</stp>
        <tr r="F400" s="2"/>
      </tp>
      <tp t="s">
        <v>#N/A N/A</v>
        <stp/>
        <stp>BDP|7729965856564087342</stp>
        <tr r="F1079" s="2"/>
      </tp>
      <tp t="s">
        <v>#N/A N/A</v>
        <stp/>
        <stp>BDP|1773577084655595527</stp>
        <tr r="N14" s="2"/>
      </tp>
      <tp t="s">
        <v>#N/A N/A</v>
        <stp/>
        <stp>BDP|6383178703968268367</stp>
        <tr r="P934" s="2"/>
      </tp>
      <tp t="s">
        <v>#N/A N/A</v>
        <stp/>
        <stp>BDP|4730859541032792678</stp>
        <tr r="S424" s="2"/>
      </tp>
      <tp t="s">
        <v>#N/A N/A</v>
        <stp/>
        <stp>BDS|3454799589820447038</stp>
        <tr r="I1141" s="2"/>
      </tp>
      <tp t="s">
        <v>#N/A N/A</v>
        <stp/>
        <stp>BDP|9018372675992921383</stp>
        <tr r="Q634" s="2"/>
      </tp>
      <tp t="s">
        <v>#N/A N/A</v>
        <stp/>
        <stp>BDS|5752865723801715261</stp>
        <tr r="I487" s="2"/>
      </tp>
      <tp t="s">
        <v>#N/A N/A</v>
        <stp/>
        <stp>BDP|1231168575818517379</stp>
        <tr r="P1458" s="2"/>
      </tp>
      <tp t="s">
        <v>#N/A N/A</v>
        <stp/>
        <stp>BDP|3211273896431756578</stp>
        <tr r="Q1692" s="2"/>
      </tp>
      <tp t="s">
        <v>#N/A N/A</v>
        <stp/>
        <stp>BDP|2356546727709698056</stp>
        <tr r="H1343" s="2"/>
      </tp>
      <tp t="s">
        <v>#N/A N/A</v>
        <stp/>
        <stp>BDP|1223631598986824423</stp>
        <tr r="D1106" s="2"/>
      </tp>
      <tp t="s">
        <v>#N/A N/A</v>
        <stp/>
        <stp>BDP|2907898053944428748</stp>
        <tr r="R1557" s="2"/>
      </tp>
      <tp t="s">
        <v>#N/A N/A</v>
        <stp/>
        <stp>BDP|2130858813647249063</stp>
        <tr r="T898" s="2"/>
      </tp>
      <tp t="s">
        <v>#N/A N/A</v>
        <stp/>
        <stp>BDP|9791517810107248671</stp>
        <tr r="R1985" s="2"/>
      </tp>
      <tp t="s">
        <v>#N/A N/A</v>
        <stp/>
        <stp>BDP|1806197252130848988</stp>
        <tr r="K1739" s="2"/>
      </tp>
      <tp t="s">
        <v>#N/A N/A</v>
        <stp/>
        <stp>BDP|4629943231462294026</stp>
        <tr r="C498" s="2"/>
      </tp>
      <tp t="s">
        <v>#N/A N/A</v>
        <stp/>
        <stp>BDS|7396667886290811583</stp>
        <tr r="I1469" s="2"/>
      </tp>
      <tp t="s">
        <v>#N/A N/A</v>
        <stp/>
        <stp>BDP|4108005375847268856</stp>
        <tr r="M2172" s="2"/>
      </tp>
      <tp t="s">
        <v>#N/A N/A</v>
        <stp/>
        <stp>BDP|8573651711807203403</stp>
        <tr r="S2029" s="2"/>
      </tp>
      <tp t="s">
        <v>#N/A N/A</v>
        <stp/>
        <stp>BDP|8172485738613684041</stp>
        <tr r="F293" s="2"/>
      </tp>
      <tp t="s">
        <v>#N/A N/A</v>
        <stp/>
        <stp>BDP|3208456283855532620</stp>
        <tr r="F1994" s="2"/>
      </tp>
      <tp t="s">
        <v>#N/A N/A</v>
        <stp/>
        <stp>BDP|6329062120930544830</stp>
        <tr r="D1238" s="2"/>
      </tp>
      <tp t="s">
        <v>#N/A N/A</v>
        <stp/>
        <stp>BDP|9636678231084467470</stp>
        <tr r="M1726" s="2"/>
      </tp>
      <tp t="s">
        <v>#N/A N/A</v>
        <stp/>
        <stp>BDP|3039867850262587002</stp>
        <tr r="D571" s="2"/>
      </tp>
      <tp t="s">
        <v>#N/A N/A</v>
        <stp/>
        <stp>BDP|5095413252578432040</stp>
        <tr r="G2129" s="2"/>
      </tp>
      <tp t="s">
        <v>#N/A N/A</v>
        <stp/>
        <stp>BDP|9980215918165331303</stp>
        <tr r="M568" s="2"/>
      </tp>
      <tp t="s">
        <v>#N/A N/A</v>
        <stp/>
        <stp>BDP|2866802220833852736</stp>
        <tr r="J1298" s="2"/>
      </tp>
      <tp t="s">
        <v>#N/A N/A</v>
        <stp/>
        <stp>BDP|6966377029818021344</stp>
        <tr r="P16" s="2"/>
      </tp>
      <tp t="s">
        <v>#N/A N/A</v>
        <stp/>
        <stp>BDP|7330248267447115821</stp>
        <tr r="M257" s="2"/>
      </tp>
      <tp t="s">
        <v>#N/A N/A</v>
        <stp/>
        <stp>BDP|6074649388726618297</stp>
        <tr r="M993" s="2"/>
      </tp>
      <tp t="s">
        <v>#N/A N/A</v>
        <stp/>
        <stp>BDP|8518353377820567013</stp>
        <tr r="R323" s="2"/>
      </tp>
      <tp t="s">
        <v>#N/A N/A</v>
        <stp/>
        <stp>BDP|8664810825556240838</stp>
        <tr r="O642" s="2"/>
      </tp>
      <tp t="s">
        <v>#N/A N/A</v>
        <stp/>
        <stp>BDP|2750400930669055049</stp>
        <tr r="P340" s="2"/>
      </tp>
      <tp t="s">
        <v>#N/A N/A</v>
        <stp/>
        <stp>BDP|7696310177086445972</stp>
        <tr r="M2256" s="2"/>
      </tp>
      <tp t="s">
        <v>#N/A N/A</v>
        <stp/>
        <stp>BDP|1805986955915139472</stp>
        <tr r="S1989" s="2"/>
      </tp>
      <tp t="s">
        <v>#N/A N/A</v>
        <stp/>
        <stp>BDP|3944827750875123797</stp>
        <tr r="S1311" s="2"/>
      </tp>
      <tp t="s">
        <v>#N/A N/A</v>
        <stp/>
        <stp>BDS|9000276660060090142</stp>
        <tr r="I1384" s="2"/>
      </tp>
      <tp t="s">
        <v>#N/A N/A</v>
        <stp/>
        <stp>BDP|1208809216396029276</stp>
        <tr r="O1185" s="2"/>
      </tp>
      <tp t="s">
        <v>#N/A N/A</v>
        <stp/>
        <stp>BDP|1136864025953518441</stp>
        <tr r="Q982" s="2"/>
      </tp>
      <tp t="s">
        <v>#N/A N/A</v>
        <stp/>
        <stp>BDP|7742643792794477069</stp>
        <tr r="N1530" s="2"/>
      </tp>
      <tp t="s">
        <v>#N/A N/A</v>
        <stp/>
        <stp>BDP|5513202516642206824</stp>
        <tr r="K1145" s="2"/>
      </tp>
      <tp t="s">
        <v>#N/A N/A</v>
        <stp/>
        <stp>BDP|6615764084352520725</stp>
        <tr r="R2026" s="2"/>
      </tp>
      <tp t="s">
        <v>#N/A N/A</v>
        <stp/>
        <stp>BDS|3241149675628987191</stp>
        <tr r="I1616" s="2"/>
      </tp>
      <tp t="s">
        <v>#N/A N/A</v>
        <stp/>
        <stp>BDP|7672080819529075344</stp>
        <tr r="H1192" s="2"/>
      </tp>
      <tp t="s">
        <v>#N/A N/A</v>
        <stp/>
        <stp>BDP|9609340662677410776</stp>
        <tr r="T1414" s="2"/>
      </tp>
      <tp t="s">
        <v>#N/A N/A</v>
        <stp/>
        <stp>BDP|3717024186072858581</stp>
        <tr r="P1161" s="2"/>
      </tp>
      <tp t="s">
        <v>#N/A N/A</v>
        <stp/>
        <stp>BDP|8313501977355305342</stp>
        <tr r="S1577" s="2"/>
      </tp>
      <tp t="s">
        <v>#N/A N/A</v>
        <stp/>
        <stp>BDP|1961891554962087276</stp>
        <tr r="A1414" s="2"/>
      </tp>
      <tp t="s">
        <v>#N/A N/A</v>
        <stp/>
        <stp>BDS|7914313549324375815</stp>
        <tr r="I671" s="2"/>
      </tp>
      <tp t="s">
        <v>#N/A N/A</v>
        <stp/>
        <stp>BDS|9541221276968073828</stp>
        <tr r="I1494" s="2"/>
      </tp>
      <tp t="s">
        <v>#N/A N/A</v>
        <stp/>
        <stp>BDP|7027223811440578852</stp>
        <tr r="P1905" s="2"/>
      </tp>
      <tp t="s">
        <v>#N/A N/A</v>
        <stp/>
        <stp>BDP|1729372834754348943</stp>
        <tr r="P767" s="2"/>
      </tp>
      <tp t="s">
        <v>#N/A N/A</v>
        <stp/>
        <stp>BDP|1779953963297351513</stp>
        <tr r="N509" s="2"/>
      </tp>
      <tp t="s">
        <v>#N/A N/A</v>
        <stp/>
        <stp>BDP|5962110855024618984</stp>
        <tr r="N2182" s="2"/>
      </tp>
      <tp t="s">
        <v>#N/A N/A</v>
        <stp/>
        <stp>BDP|6960591289094943330</stp>
        <tr r="G2084" s="2"/>
      </tp>
      <tp t="s">
        <v>#N/A N/A</v>
        <stp/>
        <stp>BDP|2916350398120073475</stp>
        <tr r="R1690" s="2"/>
      </tp>
      <tp t="s">
        <v>#N/A N/A</v>
        <stp/>
        <stp>BDP|5021354922521518917</stp>
        <tr r="G1263" s="2"/>
      </tp>
      <tp t="s">
        <v>#N/A N/A</v>
        <stp/>
        <stp>BDP|5127476410384526800</stp>
        <tr r="G1568" s="2"/>
      </tp>
      <tp t="s">
        <v>#N/A N/A</v>
        <stp/>
        <stp>BDS|6265111982100569377</stp>
        <tr r="I1640" s="2"/>
      </tp>
      <tp t="s">
        <v>#N/A N/A</v>
        <stp/>
        <stp>BDP|5472848355846653206</stp>
        <tr r="S1174" s="2"/>
      </tp>
      <tp t="s">
        <v>#N/A N/A</v>
        <stp/>
        <stp>BDP|8601778684758592332</stp>
        <tr r="K78" s="2"/>
      </tp>
      <tp t="s">
        <v>#N/A N/A</v>
        <stp/>
        <stp>BDP|8602970204548084569</stp>
        <tr r="R488" s="2"/>
      </tp>
      <tp t="s">
        <v>#N/A N/A</v>
        <stp/>
        <stp>BDP|8845749057955801300</stp>
        <tr r="Q280" s="2"/>
      </tp>
      <tp t="s">
        <v>#N/A N/A</v>
        <stp/>
        <stp>BDS|8333474060451507724</stp>
        <tr r="I1297" s="2"/>
      </tp>
      <tp t="s">
        <v>#N/A N/A</v>
        <stp/>
        <stp>BDP|5784065537982396869</stp>
        <tr r="J1778" s="2"/>
      </tp>
      <tp t="s">
        <v>#N/A N/A</v>
        <stp/>
        <stp>BDP|3499987165933850326</stp>
        <tr r="F83" s="2"/>
      </tp>
      <tp t="s">
        <v>#N/A N/A</v>
        <stp/>
        <stp>BDP|5190132625873273963</stp>
        <tr r="Q1015" s="2"/>
      </tp>
      <tp t="s">
        <v>#N/A N/A</v>
        <stp/>
        <stp>BDP|5106016956224140847</stp>
        <tr r="C585" s="2"/>
      </tp>
      <tp t="s">
        <v>#N/A N/A</v>
        <stp/>
        <stp>BDP|6602846479997191291</stp>
        <tr r="Q390" s="2"/>
      </tp>
      <tp t="s">
        <v>#N/A N/A</v>
        <stp/>
        <stp>BDP|3540591247098074685</stp>
        <tr r="J2036" s="2"/>
      </tp>
      <tp t="s">
        <v>#N/A N/A</v>
        <stp/>
        <stp>BDP|5800184292543309226</stp>
        <tr r="C1472" s="2"/>
      </tp>
      <tp t="s">
        <v>#N/A N/A</v>
        <stp/>
        <stp>BDP|6680545074290316869</stp>
        <tr r="Q874" s="2"/>
      </tp>
      <tp t="s">
        <v>#N/A N/A</v>
        <stp/>
        <stp>BDP|7710421525459063434</stp>
        <tr r="G421" s="2"/>
      </tp>
      <tp t="s">
        <v>#N/A N/A</v>
        <stp/>
        <stp>BDP|1502035756718549060</stp>
        <tr r="R2199" s="2"/>
      </tp>
      <tp t="s">
        <v>#N/A N/A</v>
        <stp/>
        <stp>BDP|6669525167418094108</stp>
        <tr r="K611" s="2"/>
      </tp>
      <tp t="s">
        <v>#N/A N/A</v>
        <stp/>
        <stp>BDP|9796755082869549366</stp>
        <tr r="N1414" s="2"/>
      </tp>
      <tp t="s">
        <v>#N/A N/A</v>
        <stp/>
        <stp>BDP|6629900324414070517</stp>
        <tr r="A1667" s="2"/>
      </tp>
      <tp t="s">
        <v>#N/A N/A</v>
        <stp/>
        <stp>BDP|7780430073380708802</stp>
        <tr r="T986" s="2"/>
      </tp>
      <tp t="s">
        <v>#N/A N/A</v>
        <stp/>
        <stp>BDP|1466874041246603749</stp>
        <tr r="M128" s="2"/>
      </tp>
      <tp t="s">
        <v>#N/A N/A</v>
        <stp/>
        <stp>BDP|7883033818403028934</stp>
        <tr r="F799" s="2"/>
      </tp>
      <tp t="s">
        <v>#N/A N/A</v>
        <stp/>
        <stp>BDP|3831896436090092475</stp>
        <tr r="K927" s="2"/>
      </tp>
      <tp t="s">
        <v>#N/A N/A</v>
        <stp/>
        <stp>BDP|1508008095894084000</stp>
        <tr r="F1226" s="2"/>
      </tp>
      <tp t="s">
        <v>#N/A N/A</v>
        <stp/>
        <stp>BDP|8405745306746492523</stp>
        <tr r="O1208" s="2"/>
      </tp>
      <tp t="s">
        <v>#N/A N/A</v>
        <stp/>
        <stp>BDP|6556179383566422553</stp>
        <tr r="D652" s="2"/>
      </tp>
      <tp t="s">
        <v>#N/A N/A</v>
        <stp/>
        <stp>BDS|3600543111899287218</stp>
        <tr r="I1530" s="2"/>
      </tp>
      <tp t="s">
        <v>#N/A N/A</v>
        <stp/>
        <stp>BDP|6654590646993943800</stp>
        <tr r="D1592" s="2"/>
      </tp>
      <tp t="s">
        <v>#N/A N/A</v>
        <stp/>
        <stp>BDP|9035615332182597266</stp>
        <tr r="A936" s="2"/>
      </tp>
      <tp t="s">
        <v>#N/A N/A</v>
        <stp/>
        <stp>BDS|6882818918010530348</stp>
        <tr r="I1897" s="2"/>
      </tp>
      <tp t="s">
        <v>#N/A N/A</v>
        <stp/>
        <stp>BDP|9167059039593425590</stp>
        <tr r="Q505" s="2"/>
      </tp>
      <tp t="s">
        <v>#N/A N/A</v>
        <stp/>
        <stp>BDP|4764408282752227670</stp>
        <tr r="J1321" s="2"/>
      </tp>
      <tp t="s">
        <v>#N/A N/A</v>
        <stp/>
        <stp>BDP|3224039525065269866</stp>
        <tr r="O1222" s="2"/>
      </tp>
      <tp t="s">
        <v>#N/A N/A</v>
        <stp/>
        <stp>BDP|3921291661988964387</stp>
        <tr r="N1682" s="2"/>
      </tp>
      <tp t="s">
        <v>#N/A N/A</v>
        <stp/>
        <stp>BDP|1446133002208392466</stp>
        <tr r="H730" s="2"/>
      </tp>
      <tp t="s">
        <v>#N/A N/A</v>
        <stp/>
        <stp>BDP|2392402393234817782</stp>
        <tr r="S236" s="2"/>
      </tp>
      <tp t="s">
        <v>#N/A N/A</v>
        <stp/>
        <stp>BDP|3536992935851028491</stp>
        <tr r="P949" s="2"/>
      </tp>
      <tp t="s">
        <v>#N/A N/A</v>
        <stp/>
        <stp>BDP|2875599706518300341</stp>
        <tr r="J1654" s="2"/>
      </tp>
      <tp t="s">
        <v>#N/A N/A</v>
        <stp/>
        <stp>BDP|2850898471203560254</stp>
        <tr r="Q1146" s="2"/>
      </tp>
      <tp t="s">
        <v>#N/A N/A</v>
        <stp/>
        <stp>BDP|3175817465312365368</stp>
        <tr r="A520" s="2"/>
      </tp>
      <tp t="s">
        <v>#N/A N/A</v>
        <stp/>
        <stp>BDP|7710053399133285196</stp>
        <tr r="J884" s="2"/>
      </tp>
      <tp t="s">
        <v>#N/A N/A</v>
        <stp/>
        <stp>BDP|3529576233941988888</stp>
        <tr r="M1526" s="2"/>
      </tp>
      <tp t="s">
        <v>#N/A N/A</v>
        <stp/>
        <stp>BDP|4616271064978031457</stp>
        <tr r="N1247" s="2"/>
      </tp>
      <tp t="s">
        <v>#N/A N/A</v>
        <stp/>
        <stp>BDP|7941401763011284880</stp>
        <tr r="Q1879" s="2"/>
      </tp>
      <tp t="s">
        <v>#N/A N/A</v>
        <stp/>
        <stp>BDP|2987167954298248294</stp>
        <tr r="R862" s="2"/>
      </tp>
      <tp t="s">
        <v>#N/A N/A</v>
        <stp/>
        <stp>BDP|4791901347303105617</stp>
        <tr r="S1033" s="2"/>
      </tp>
      <tp t="s">
        <v>#N/A N/A</v>
        <stp/>
        <stp>BDP|6184077086605965793</stp>
        <tr r="O140" s="2"/>
      </tp>
      <tp t="s">
        <v>#N/A N/A</v>
        <stp/>
        <stp>BDP|9383684380309341287</stp>
        <tr r="D637" s="2"/>
      </tp>
      <tp t="s">
        <v>#N/A N/A</v>
        <stp/>
        <stp>BDP|4166297719979025216</stp>
        <tr r="R1867" s="2"/>
      </tp>
      <tp t="s">
        <v>#N/A N/A</v>
        <stp/>
        <stp>BDP|8002589419798761864</stp>
        <tr r="P1525" s="2"/>
      </tp>
      <tp t="s">
        <v>#N/A N/A</v>
        <stp/>
        <stp>BDP|4179385858657935988</stp>
        <tr r="Q2198" s="2"/>
      </tp>
      <tp t="s">
        <v>#N/A N/A</v>
        <stp/>
        <stp>BDP|7214852386778798362</stp>
        <tr r="G520" s="2"/>
      </tp>
      <tp t="s">
        <v>#N/A N/A</v>
        <stp/>
        <stp>BDP|9702519607055869590</stp>
        <tr r="J1338" s="2"/>
      </tp>
      <tp t="s">
        <v>#N/A N/A</v>
        <stp/>
        <stp>BDP|8604906597293523749</stp>
        <tr r="S1904" s="2"/>
      </tp>
      <tp t="s">
        <v>#N/A N/A</v>
        <stp/>
        <stp>BDS|9026882569848221337</stp>
        <tr r="I1322" s="2"/>
      </tp>
      <tp t="s">
        <v>#N/A N/A</v>
        <stp/>
        <stp>BDP|6187145584380154305</stp>
        <tr r="M1690" s="2"/>
      </tp>
      <tp t="s">
        <v>#N/A N/A</v>
        <stp/>
        <stp>BDP|9589178381175438973</stp>
        <tr r="C906" s="2"/>
      </tp>
      <tp t="s">
        <v>#N/A N/A</v>
        <stp/>
        <stp>BDP|1543307281960786633</stp>
        <tr r="N92" s="2"/>
      </tp>
      <tp t="s">
        <v>#N/A N/A</v>
        <stp/>
        <stp>BDP|1758648096933227177</stp>
        <tr r="H259" s="2"/>
      </tp>
      <tp t="s">
        <v>#N/A N/A</v>
        <stp/>
        <stp>BDP|1301222832148502462</stp>
        <tr r="C1147" s="2"/>
      </tp>
      <tp t="s">
        <v>#N/A N/A</v>
        <stp/>
        <stp>BDP|9024684702962371198</stp>
        <tr r="A332" s="2"/>
      </tp>
      <tp t="s">
        <v>#N/A N/A</v>
        <stp/>
        <stp>BDP|2742893023416424291</stp>
        <tr r="H1339" s="2"/>
      </tp>
      <tp t="s">
        <v>#N/A N/A</v>
        <stp/>
        <stp>BDP|6702248120963594968</stp>
        <tr r="G129" s="2"/>
      </tp>
      <tp t="s">
        <v>#N/A N/A</v>
        <stp/>
        <stp>BDP|9610091219704163071</stp>
        <tr r="Q809" s="2"/>
      </tp>
      <tp t="s">
        <v>#N/A N/A</v>
        <stp/>
        <stp>BDS|3275917681559765750</stp>
        <tr r="I506" s="2"/>
      </tp>
      <tp t="s">
        <v>#N/A N/A</v>
        <stp/>
        <stp>BDP|2180568774884581860</stp>
        <tr r="Q1700" s="2"/>
      </tp>
      <tp t="s">
        <v>#N/A N/A</v>
        <stp/>
        <stp>BDP|5946170208580165874</stp>
        <tr r="J801" s="2"/>
      </tp>
      <tp t="s">
        <v>#N/A N/A</v>
        <stp/>
        <stp>BDP|2368723992920479078</stp>
        <tr r="M2108" s="2"/>
      </tp>
      <tp t="s">
        <v>#N/A N/A</v>
        <stp/>
        <stp>BDP|7411655054320759821</stp>
        <tr r="H1142" s="2"/>
      </tp>
      <tp t="s">
        <v>#N/A N/A</v>
        <stp/>
        <stp>BDP|7646047051377205912</stp>
        <tr r="R394" s="2"/>
      </tp>
      <tp t="s">
        <v>#N/A N/A</v>
        <stp/>
        <stp>BDP|6808831106676579482</stp>
        <tr r="N1772" s="2"/>
      </tp>
      <tp t="s">
        <v>#N/A N/A</v>
        <stp/>
        <stp>BDP|8344030775565202673</stp>
        <tr r="F1746" s="2"/>
      </tp>
      <tp t="s">
        <v>#N/A N/A</v>
        <stp/>
        <stp>BDP|8435416820381774323</stp>
        <tr r="H194" s="2"/>
      </tp>
      <tp t="s">
        <v>#N/A N/A</v>
        <stp/>
        <stp>BDP|8692976626299661619</stp>
        <tr r="E735" s="2"/>
      </tp>
      <tp t="s">
        <v>#N/A N/A</v>
        <stp/>
        <stp>BDP|6139341202289738001</stp>
        <tr r="O622" s="2"/>
      </tp>
      <tp t="s">
        <v>#N/A N/A</v>
        <stp/>
        <stp>BDP|8760160301537540252</stp>
        <tr r="H862" s="2"/>
      </tp>
      <tp t="s">
        <v>#N/A N/A</v>
        <stp/>
        <stp>BDP|3751047197453734530</stp>
        <tr r="A2217" s="2"/>
      </tp>
      <tp t="s">
        <v>#N/A N/A</v>
        <stp/>
        <stp>BDP|6072523388173397499</stp>
        <tr r="P1551" s="2"/>
      </tp>
      <tp t="s">
        <v>#N/A N/A</v>
        <stp/>
        <stp>BDS|1605672186115204655</stp>
        <tr r="I500" s="2"/>
      </tp>
      <tp t="s">
        <v>#N/A N/A</v>
        <stp/>
        <stp>BDP|1926837681448277593</stp>
        <tr r="F2164" s="2"/>
      </tp>
      <tp t="s">
        <v>#N/A N/A</v>
        <stp/>
        <stp>BDP|8743063570060739361</stp>
        <tr r="Q1391" s="2"/>
      </tp>
      <tp t="s">
        <v>#N/A N/A</v>
        <stp/>
        <stp>BDP|8549916944488173114</stp>
        <tr r="M140" s="2"/>
      </tp>
      <tp t="s">
        <v>#N/A N/A</v>
        <stp/>
        <stp>BDP|7412478264901645810</stp>
        <tr r="K59" s="2"/>
      </tp>
      <tp t="s">
        <v>#N/A N/A</v>
        <stp/>
        <stp>BDP|8057720734464750410</stp>
        <tr r="A381" s="2"/>
      </tp>
      <tp t="s">
        <v>#N/A N/A</v>
        <stp/>
        <stp>BDP|2601196133069511593</stp>
        <tr r="Q524" s="2"/>
      </tp>
      <tp t="s">
        <v>#N/A N/A</v>
        <stp/>
        <stp>BDP|6308823951967090007</stp>
        <tr r="P469" s="2"/>
      </tp>
      <tp t="s">
        <v>#N/A N/A</v>
        <stp/>
        <stp>BDP|7022621583623592648</stp>
        <tr r="E1417" s="2"/>
      </tp>
      <tp t="s">
        <v>#N/A N/A</v>
        <stp/>
        <stp>BDP|7668809092919539311</stp>
        <tr r="F391" s="2"/>
      </tp>
      <tp t="s">
        <v>#N/A N/A</v>
        <stp/>
        <stp>BDP|6124103849296907917</stp>
        <tr r="N1872" s="2"/>
      </tp>
      <tp t="s">
        <v>#N/A N/A</v>
        <stp/>
        <stp>BDP|9282425658686196296</stp>
        <tr r="G185" s="2"/>
      </tp>
      <tp t="s">
        <v>#N/A N/A</v>
        <stp/>
        <stp>BDP|5375671723748452533</stp>
        <tr r="T1797" s="2"/>
      </tp>
      <tp t="s">
        <v>#N/A N/A</v>
        <stp/>
        <stp>BDP|6945649691105597092</stp>
        <tr r="K869" s="2"/>
      </tp>
      <tp t="s">
        <v>#N/A N/A</v>
        <stp/>
        <stp>BDP|2820730588254555562</stp>
        <tr r="T997" s="2"/>
      </tp>
      <tp t="s">
        <v>#N/A N/A</v>
        <stp/>
        <stp>BDP|6216051989690886269</stp>
        <tr r="S2155" s="2"/>
      </tp>
      <tp t="s">
        <v>#N/A N/A</v>
        <stp/>
        <stp>BDS|9720211491009555722</stp>
        <tr r="I69" s="2"/>
      </tp>
      <tp t="s">
        <v>#N/A N/A</v>
        <stp/>
        <stp>BDP|3759302486225503143</stp>
        <tr r="M636" s="2"/>
      </tp>
      <tp t="s">
        <v>#N/A N/A</v>
        <stp/>
        <stp>BDP|1401826929563743481</stp>
        <tr r="T2075" s="2"/>
      </tp>
      <tp t="s">
        <v>#N/A N/A</v>
        <stp/>
        <stp>BDP|2694123191310389667</stp>
        <tr r="R1158" s="2"/>
      </tp>
      <tp t="s">
        <v>#N/A N/A</v>
        <stp/>
        <stp>BDP|6340500929219330493</stp>
        <tr r="E316" s="2"/>
      </tp>
      <tp t="s">
        <v>#N/A N/A</v>
        <stp/>
        <stp>BDP|3868618346414793985</stp>
        <tr r="N258" s="2"/>
      </tp>
      <tp t="s">
        <v>#N/A N/A</v>
        <stp/>
        <stp>BDP|3151167670100082962</stp>
        <tr r="H103" s="2"/>
      </tp>
      <tp t="s">
        <v>#N/A N/A</v>
        <stp/>
        <stp>BDP|7344725402678470469</stp>
        <tr r="C1102" s="2"/>
      </tp>
      <tp t="s">
        <v>#N/A N/A</v>
        <stp/>
        <stp>BDP|7692690779428430237</stp>
        <tr r="O1345" s="2"/>
      </tp>
      <tp t="s">
        <v>#N/A N/A</v>
        <stp/>
        <stp>BDS|1771615489105617688</stp>
        <tr r="I12" s="2"/>
      </tp>
      <tp t="s">
        <v>#N/A N/A</v>
        <stp/>
        <stp>BDP|3990805433711329580</stp>
        <tr r="O863" s="2"/>
      </tp>
      <tp t="s">
        <v>#N/A N/A</v>
        <stp/>
        <stp>BDP|3798078782751362609</stp>
        <tr r="P2000" s="2"/>
      </tp>
      <tp t="s">
        <v>#N/A N/A</v>
        <stp/>
        <stp>BDP|7414081442868932763</stp>
        <tr r="A448" s="2"/>
      </tp>
      <tp t="s">
        <v>#N/A N/A</v>
        <stp/>
        <stp>BDP|3291786476869991646</stp>
        <tr r="Q1622" s="2"/>
      </tp>
      <tp t="s">
        <v>#N/A N/A</v>
        <stp/>
        <stp>BDP|3525959960883686373</stp>
        <tr r="F629" s="2"/>
      </tp>
      <tp t="s">
        <v>#N/A N/A</v>
        <stp/>
        <stp>BDP|6136262506600071808</stp>
        <tr r="J1762" s="2"/>
      </tp>
      <tp t="s">
        <v>#N/A N/A</v>
        <stp/>
        <stp>BDP|5210466881850104557</stp>
        <tr r="F2080" s="2"/>
      </tp>
      <tp t="s">
        <v>#N/A N/A</v>
        <stp/>
        <stp>BDP|9753185893648966548</stp>
        <tr r="K1490" s="2"/>
      </tp>
      <tp t="s">
        <v>#N/A N/A</v>
        <stp/>
        <stp>BDP|4666276486684560638</stp>
        <tr r="K1573" s="2"/>
      </tp>
      <tp t="s">
        <v>#N/A N/A</v>
        <stp/>
        <stp>BDP|8907423800209914938</stp>
        <tr r="P54" s="2"/>
      </tp>
      <tp t="s">
        <v>#N/A N/A</v>
        <stp/>
        <stp>BDP|2919360688425198077</stp>
        <tr r="E1917" s="2"/>
      </tp>
      <tp t="s">
        <v>#N/A N/A</v>
        <stp/>
        <stp>BDP|5806170108838035060</stp>
        <tr r="K815" s="2"/>
      </tp>
      <tp t="s">
        <v>#N/A N/A</v>
        <stp/>
        <stp>BDP|7512809879343873757</stp>
        <tr r="O845" s="2"/>
      </tp>
      <tp t="s">
        <v>#N/A N/A</v>
        <stp/>
        <stp>BDP|7032992585749844358</stp>
        <tr r="N7" s="2"/>
      </tp>
      <tp t="s">
        <v>#N/A N/A</v>
        <stp/>
        <stp>BDP|2760701181451299050</stp>
        <tr r="G477" s="2"/>
      </tp>
      <tp t="s">
        <v>#N/A N/A</v>
        <stp/>
        <stp>BDP|3579623142364197954</stp>
        <tr r="H120" s="2"/>
      </tp>
      <tp t="s">
        <v>#N/A N/A</v>
        <stp/>
        <stp>BDP|2563633162458254679</stp>
        <tr r="C2189" s="2"/>
      </tp>
      <tp t="s">
        <v>#N/A N/A</v>
        <stp/>
        <stp>BDS|1400723951576603908</stp>
        <tr r="I827" s="2"/>
      </tp>
      <tp t="s">
        <v>#N/A N/A</v>
        <stp/>
        <stp>BDP|8231644376837159207</stp>
        <tr r="D1269" s="2"/>
      </tp>
      <tp t="s">
        <v>#N/A N/A</v>
        <stp/>
        <stp>BDP|3113518947426054864</stp>
        <tr r="D509" s="2"/>
      </tp>
      <tp t="s">
        <v>#N/A N/A</v>
        <stp/>
        <stp>BDP|9139327570519051828</stp>
        <tr r="R186" s="2"/>
      </tp>
      <tp t="s">
        <v>#N/A N/A</v>
        <stp/>
        <stp>BDP|1838339769369341101</stp>
        <tr r="H1986" s="2"/>
      </tp>
      <tp t="s">
        <v>#N/A N/A</v>
        <stp/>
        <stp>BDP|8480523812393604337</stp>
        <tr r="P1921" s="2"/>
      </tp>
      <tp t="s">
        <v>#N/A N/A</v>
        <stp/>
        <stp>BDP|6291673596721274405</stp>
        <tr r="G1702" s="2"/>
      </tp>
      <tp t="s">
        <v>#N/A N/A</v>
        <stp/>
        <stp>BDP|6612210824622704858</stp>
        <tr r="T48" s="2"/>
      </tp>
      <tp t="s">
        <v>#N/A N/A</v>
        <stp/>
        <stp>BDP|9895894025289230672</stp>
        <tr r="O76" s="2"/>
      </tp>
      <tp t="s">
        <v>#N/A N/A</v>
        <stp/>
        <stp>BDP|7221030162099647448</stp>
        <tr r="A93" s="2"/>
      </tp>
      <tp t="s">
        <v>#N/A N/A</v>
        <stp/>
        <stp>BDP|9462307414786396121</stp>
        <tr r="E1225" s="2"/>
      </tp>
      <tp t="s">
        <v>#N/A N/A</v>
        <stp/>
        <stp>BDP|9157503068850118691</stp>
        <tr r="G1335" s="2"/>
      </tp>
      <tp t="s">
        <v>#N/A N/A</v>
        <stp/>
        <stp>BDP|5316454106848368525</stp>
        <tr r="E2066" s="2"/>
      </tp>
      <tp t="s">
        <v>#N/A N/A</v>
        <stp/>
        <stp>BDP|2687451396827586418</stp>
        <tr r="T962" s="2"/>
      </tp>
      <tp t="s">
        <v>#N/A N/A</v>
        <stp/>
        <stp>BDP|9305455430171377342</stp>
        <tr r="J410" s="2"/>
      </tp>
      <tp t="s">
        <v>#N/A N/A</v>
        <stp/>
        <stp>BDP|3742701522412422803</stp>
        <tr r="J1528" s="2"/>
      </tp>
      <tp t="s">
        <v>#N/A N/A</v>
        <stp/>
        <stp>BDP|5673868301509625868</stp>
        <tr r="N1519" s="2"/>
      </tp>
      <tp t="s">
        <v>#N/A N/A</v>
        <stp/>
        <stp>BDP|4872417589720808497</stp>
        <tr r="Q1944" s="2"/>
      </tp>
      <tp t="s">
        <v>#N/A N/A</v>
        <stp/>
        <stp>BDS|8836940440588475192</stp>
        <tr r="I1569" s="2"/>
      </tp>
      <tp t="s">
        <v>#N/A N/A</v>
        <stp/>
        <stp>BDP|6226924497418769214</stp>
        <tr r="T1594" s="2"/>
      </tp>
      <tp t="s">
        <v>#N/A N/A</v>
        <stp/>
        <stp>BDP|4826455687326859231</stp>
        <tr r="G625" s="2"/>
      </tp>
      <tp t="s">
        <v>#N/A N/A</v>
        <stp/>
        <stp>BDP|3452847494969505708</stp>
        <tr r="T1771" s="2"/>
      </tp>
      <tp t="s">
        <v>#N/A N/A</v>
        <stp/>
        <stp>BDS|9240480345532895768</stp>
        <tr r="I1314" s="2"/>
      </tp>
      <tp t="s">
        <v>#N/A N/A</v>
        <stp/>
        <stp>BDP|7527192021371958955</stp>
        <tr r="Q30" s="2"/>
      </tp>
      <tp t="s">
        <v>#N/A N/A</v>
        <stp/>
        <stp>BDP|7899235877867906946</stp>
        <tr r="K1350" s="2"/>
      </tp>
      <tp t="s">
        <v>#N/A N/A</v>
        <stp/>
        <stp>BDP|2716454782962489056</stp>
        <tr r="T764" s="2"/>
      </tp>
      <tp t="s">
        <v>#N/A N/A</v>
        <stp/>
        <stp>BDP|8515561933223780168</stp>
        <tr r="S2013" s="2"/>
      </tp>
      <tp t="s">
        <v>#N/A N/A</v>
        <stp/>
        <stp>BDP|8747826763382731800</stp>
        <tr r="P441" s="2"/>
      </tp>
      <tp t="s">
        <v>#N/A N/A</v>
        <stp/>
        <stp>BDP|2815894603242023430</stp>
        <tr r="E1250" s="2"/>
      </tp>
      <tp t="s">
        <v>#N/A N/A</v>
        <stp/>
        <stp>BDP|4410001627322328814</stp>
        <tr r="A628" s="2"/>
      </tp>
      <tp t="s">
        <v>#N/A N/A</v>
        <stp/>
        <stp>BDP|8261882874268970364</stp>
        <tr r="R686" s="2"/>
      </tp>
      <tp t="s">
        <v>#N/A N/A</v>
        <stp/>
        <stp>BDP|1378833233582378413</stp>
        <tr r="H454" s="2"/>
      </tp>
      <tp t="s">
        <v>#N/A N/A</v>
        <stp/>
        <stp>BDP|7415570680052070422</stp>
        <tr r="G1436" s="2"/>
      </tp>
      <tp t="s">
        <v>#N/A N/A</v>
        <stp/>
        <stp>BDP|3473864135826577238</stp>
        <tr r="J3" s="2"/>
      </tp>
      <tp t="s">
        <v>#N/A N/A</v>
        <stp/>
        <stp>BDP|9715155837426440100</stp>
        <tr r="Q2139" s="2"/>
      </tp>
      <tp t="s">
        <v>#N/A N/A</v>
        <stp/>
        <stp>BDP|8477114525750751766</stp>
        <tr r="J2090" s="2"/>
      </tp>
      <tp t="s">
        <v>#N/A N/A</v>
        <stp/>
        <stp>BDP|7264443055353576976</stp>
        <tr r="D2235" s="2"/>
      </tp>
      <tp t="s">
        <v>#N/A N/A</v>
        <stp/>
        <stp>BDP|7972234361657349896</stp>
        <tr r="A786" s="2"/>
      </tp>
      <tp t="s">
        <v>#N/A N/A</v>
        <stp/>
        <stp>BDP|3786473830178486055</stp>
        <tr r="R1846" s="2"/>
      </tp>
      <tp t="s">
        <v>#N/A N/A</v>
        <stp/>
        <stp>BDP|3134017938405937904</stp>
        <tr r="D2052" s="2"/>
      </tp>
      <tp t="s">
        <v>#N/A N/A</v>
        <stp/>
        <stp>BDP|3799651013811832984</stp>
        <tr r="D552" s="2"/>
      </tp>
      <tp t="s">
        <v>#N/A N/A</v>
        <stp/>
        <stp>BDP|2346975654045502747</stp>
        <tr r="M580" s="2"/>
      </tp>
      <tp t="s">
        <v>#N/A N/A</v>
        <stp/>
        <stp>BDP|6431120355307074921</stp>
        <tr r="F1534" s="2"/>
      </tp>
      <tp t="s">
        <v>#N/A N/A</v>
        <stp/>
        <stp>BDP|8138966985567401276</stp>
        <tr r="H1873" s="2"/>
      </tp>
      <tp t="s">
        <v>#N/A N/A</v>
        <stp/>
        <stp>BDP|7991547128255236969</stp>
        <tr r="O1526" s="2"/>
      </tp>
      <tp t="s">
        <v>#N/A N/A</v>
        <stp/>
        <stp>BDP|9466790963215960164</stp>
        <tr r="J1541" s="2"/>
      </tp>
      <tp t="s">
        <v>#N/A N/A</v>
        <stp/>
        <stp>BDP|3246417614083761913</stp>
        <tr r="A699" s="2"/>
      </tp>
      <tp t="s">
        <v>#N/A N/A</v>
        <stp/>
        <stp>BDP|7931630781155487093</stp>
        <tr r="Q1753" s="2"/>
      </tp>
      <tp t="s">
        <v>#N/A N/A</v>
        <stp/>
        <stp>BDP|8602259635772944793</stp>
        <tr r="M968" s="2"/>
      </tp>
      <tp t="s">
        <v>#N/A N/A</v>
        <stp/>
        <stp>BDP|4798229253297133818</stp>
        <tr r="S1367" s="2"/>
      </tp>
      <tp t="s">
        <v>#N/A N/A</v>
        <stp/>
        <stp>BDP|5351258024180222967</stp>
        <tr r="S1998" s="2"/>
      </tp>
      <tp t="s">
        <v>#N/A N/A</v>
        <stp/>
        <stp>BDP|8164455174431392656</stp>
        <tr r="S129" s="2"/>
      </tp>
      <tp t="s">
        <v>#N/A N/A</v>
        <stp/>
        <stp>BDP|8559660659335488286</stp>
        <tr r="G860" s="2"/>
      </tp>
      <tp t="s">
        <v>#N/A N/A</v>
        <stp/>
        <stp>BDP|8175882263412408889</stp>
        <tr r="E1495" s="2"/>
      </tp>
      <tp t="s">
        <v>#N/A N/A</v>
        <stp/>
        <stp>BDP|5360525099796756399</stp>
        <tr r="T755" s="2"/>
      </tp>
      <tp t="s">
        <v>#N/A N/A</v>
        <stp/>
        <stp>BDP|5892980823734251673</stp>
        <tr r="J1103" s="2"/>
      </tp>
      <tp t="s">
        <v>#N/A N/A</v>
        <stp/>
        <stp>BDS|8224865983156151208</stp>
        <tr r="I409" s="2"/>
      </tp>
      <tp t="s">
        <v>#N/A N/A</v>
        <stp/>
        <stp>BDP|4450809973457367026</stp>
        <tr r="F1236" s="2"/>
      </tp>
      <tp t="s">
        <v>#N/A N/A</v>
        <stp/>
        <stp>BDP|9862274535562887644</stp>
        <tr r="F1557" s="2"/>
      </tp>
      <tp t="s">
        <v>#N/A N/A</v>
        <stp/>
        <stp>BDP|7880277697912694284</stp>
        <tr r="D2213" s="2"/>
      </tp>
      <tp t="s">
        <v>#N/A N/A</v>
        <stp/>
        <stp>BDP|5880850100169826831</stp>
        <tr r="P2004" s="2"/>
      </tp>
      <tp t="s">
        <v>#N/A N/A</v>
        <stp/>
        <stp>BDP|8620128157706422615</stp>
        <tr r="D76" s="2"/>
      </tp>
      <tp t="s">
        <v>#N/A N/A</v>
        <stp/>
        <stp>BDP|1119915742371245169</stp>
        <tr r="D1125" s="2"/>
      </tp>
      <tp t="s">
        <v>#N/A N/A</v>
        <stp/>
        <stp>BDP|9711581763033381595</stp>
        <tr r="G1292" s="2"/>
      </tp>
      <tp t="s">
        <v>#N/A N/A</v>
        <stp/>
        <stp>BDP|1206774405612062869</stp>
        <tr r="E1255" s="2"/>
      </tp>
      <tp t="s">
        <v>#N/A N/A</v>
        <stp/>
        <stp>BDP|2559660054529448459</stp>
        <tr r="Q2183" s="2"/>
      </tp>
      <tp t="s">
        <v>#N/A N/A</v>
        <stp/>
        <stp>BDP|6171772433296180822</stp>
        <tr r="D761" s="2"/>
      </tp>
      <tp t="s">
        <v>#N/A N/A</v>
        <stp/>
        <stp>BDP|5002118676799050617</stp>
        <tr r="O1688" s="2"/>
      </tp>
      <tp t="s">
        <v>#N/A N/A</v>
        <stp/>
        <stp>BDP|6219608751330570900</stp>
        <tr r="Q1660" s="2"/>
      </tp>
      <tp t="s">
        <v>#N/A N/A</v>
        <stp/>
        <stp>BDP|8745875948849636187</stp>
        <tr r="C1374" s="2"/>
      </tp>
      <tp t="s">
        <v>#N/A N/A</v>
        <stp/>
        <stp>BDP|6078090300828762284</stp>
        <tr r="D537" s="2"/>
      </tp>
      <tp t="s">
        <v>#N/A N/A</v>
        <stp/>
        <stp>BDP|2913387380807342246</stp>
        <tr r="K1086" s="2"/>
      </tp>
      <tp t="s">
        <v>#N/A N/A</v>
        <stp/>
        <stp>BDP|2066417881732682002</stp>
        <tr r="T1263" s="2"/>
      </tp>
      <tp t="s">
        <v>#N/A N/A</v>
        <stp/>
        <stp>BDP|4896806950623753693</stp>
        <tr r="Q1356" s="2"/>
      </tp>
      <tp t="s">
        <v>#N/A N/A</v>
        <stp/>
        <stp>BDP|6052810195612395914</stp>
        <tr r="C1583" s="2"/>
      </tp>
      <tp t="s">
        <v>#N/A N/A</v>
        <stp/>
        <stp>BDP|8382534088118744197</stp>
        <tr r="S521" s="2"/>
      </tp>
      <tp t="s">
        <v>#N/A N/A</v>
        <stp/>
        <stp>BDP|6760475881380260658</stp>
        <tr r="O1572" s="2"/>
      </tp>
      <tp t="s">
        <v>#N/A N/A</v>
        <stp/>
        <stp>BDP|7406812773470494441</stp>
        <tr r="D450" s="2"/>
      </tp>
      <tp t="s">
        <v>#N/A N/A</v>
        <stp/>
        <stp>BDP|8441527563896712144</stp>
        <tr r="J1549" s="2"/>
      </tp>
      <tp t="s">
        <v>#N/A N/A</v>
        <stp/>
        <stp>BDP|3734413584706065540</stp>
        <tr r="M2102" s="2"/>
      </tp>
      <tp t="s">
        <v>#N/A N/A</v>
        <stp/>
        <stp>BDP|8529232437172312741</stp>
        <tr r="N399" s="2"/>
      </tp>
      <tp t="s">
        <v>#N/A N/A</v>
        <stp/>
        <stp>BDP|2690989148127308430</stp>
        <tr r="E1058" s="2"/>
      </tp>
      <tp t="s">
        <v>#N/A N/A</v>
        <stp/>
        <stp>BDP|5757011838133177993</stp>
        <tr r="A512" s="2"/>
      </tp>
      <tp t="s">
        <v>#N/A N/A</v>
        <stp/>
        <stp>BDP|6841789932896774832</stp>
        <tr r="E281" s="2"/>
      </tp>
      <tp t="s">
        <v>#N/A N/A</v>
        <stp/>
        <stp>BDP|4585358674039770557</stp>
        <tr r="M420" s="2"/>
      </tp>
      <tp t="s">
        <v>#N/A N/A</v>
        <stp/>
        <stp>BDP|8560754538112764295</stp>
        <tr r="P1793" s="2"/>
      </tp>
      <tp t="s">
        <v>#N/A N/A</v>
        <stp/>
        <stp>BDP|5643333286693597108</stp>
        <tr r="P1047" s="2"/>
      </tp>
      <tp t="s">
        <v>#N/A N/A</v>
        <stp/>
        <stp>BDP|8899004718316589335</stp>
        <tr r="A1907" s="2"/>
      </tp>
      <tp t="s">
        <v>#N/A N/A</v>
        <stp/>
        <stp>BDP|4569235755199686639</stp>
        <tr r="S1996" s="2"/>
      </tp>
      <tp t="s">
        <v>#N/A N/A</v>
        <stp/>
        <stp>BDP|7143635102099339451</stp>
        <tr r="K1051" s="2"/>
      </tp>
      <tp t="s">
        <v>#N/A N/A</v>
        <stp/>
        <stp>BDP|9031189459537758609</stp>
        <tr r="S2154" s="2"/>
      </tp>
      <tp t="s">
        <v>#N/A N/A</v>
        <stp/>
        <stp>BDP|2095532690855182749</stp>
        <tr r="A1292" s="2"/>
      </tp>
      <tp t="s">
        <v>#N/A N/A</v>
        <stp/>
        <stp>BDP|9649195105171579595</stp>
        <tr r="J183" s="2"/>
      </tp>
      <tp t="s">
        <v>#N/A N/A</v>
        <stp/>
        <stp>BDP|9143145456551740022</stp>
        <tr r="N2228" s="2"/>
      </tp>
      <tp t="s">
        <v>#N/A N/A</v>
        <stp/>
        <stp>BDP|7176363353215748850</stp>
        <tr r="N1287" s="2"/>
      </tp>
      <tp t="s">
        <v>#N/A N/A</v>
        <stp/>
        <stp>BDP|6732217529263009994</stp>
        <tr r="S765" s="2"/>
      </tp>
      <tp t="s">
        <v>#N/A N/A</v>
        <stp/>
        <stp>BDP|9535930060673097909</stp>
        <tr r="K946" s="2"/>
      </tp>
      <tp t="s">
        <v>#N/A N/A</v>
        <stp/>
        <stp>BDP|7116939488863916954</stp>
        <tr r="G1295" s="2"/>
      </tp>
      <tp t="s">
        <v>#N/A N/A</v>
        <stp/>
        <stp>BDP|9847032069691672222</stp>
        <tr r="E1167" s="2"/>
      </tp>
      <tp t="s">
        <v>#N/A N/A</v>
        <stp/>
        <stp>BDP|5660043991323400313</stp>
        <tr r="R2099" s="2"/>
      </tp>
      <tp t="s">
        <v>#N/A N/A</v>
        <stp/>
        <stp>BDP|7747832833288262836</stp>
        <tr r="S664" s="2"/>
      </tp>
      <tp t="s">
        <v>#N/A N/A</v>
        <stp/>
        <stp>BDP|3705751482540502030</stp>
        <tr r="A64" s="2"/>
      </tp>
      <tp t="s">
        <v>#N/A N/A</v>
        <stp/>
        <stp>BDP|4532405633867033809</stp>
        <tr r="T732" s="2"/>
      </tp>
      <tp t="s">
        <v>#N/A N/A</v>
        <stp/>
        <stp>BDP|6142582139445176971</stp>
        <tr r="Q1216" s="2"/>
      </tp>
      <tp t="s">
        <v>#N/A N/A</v>
        <stp/>
        <stp>BDP|6079012023139076147</stp>
        <tr r="K183" s="2"/>
      </tp>
      <tp t="s">
        <v>#N/A N/A</v>
        <stp/>
        <stp>BDP|9758468448896929363</stp>
        <tr r="M1883" s="2"/>
      </tp>
      <tp t="s">
        <v>#N/A N/A</v>
        <stp/>
        <stp>BDP|2686454147837119931</stp>
        <tr r="M1237" s="2"/>
      </tp>
      <tp t="s">
        <v>#N/A N/A</v>
        <stp/>
        <stp>BDP|3304320781367468321</stp>
        <tr r="G2011" s="2"/>
      </tp>
      <tp t="s">
        <v>#N/A N/A</v>
        <stp/>
        <stp>BDP|7054536891751330673</stp>
        <tr r="K581" s="2"/>
      </tp>
      <tp t="s">
        <v>#N/A N/A</v>
        <stp/>
        <stp>BDP|3262525971068156562</stp>
        <tr r="K528" s="2"/>
      </tp>
      <tp t="s">
        <v>#N/A N/A</v>
        <stp/>
        <stp>BDP|8264707526127524675</stp>
        <tr r="T1868" s="2"/>
      </tp>
      <tp t="s">
        <v>#N/A N/A</v>
        <stp/>
        <stp>BDP|1315876313354971084</stp>
        <tr r="K2081" s="2"/>
      </tp>
      <tp t="s">
        <v>#N/A N/A</v>
        <stp/>
        <stp>BDP|2278812670699228876</stp>
        <tr r="C2108" s="2"/>
      </tp>
      <tp t="s">
        <v>#N/A N/A</v>
        <stp/>
        <stp>BDP|2289915315984028201</stp>
        <tr r="R1569" s="2"/>
      </tp>
      <tp t="s">
        <v>#N/A N/A</v>
        <stp/>
        <stp>BDP|1247257895785627320</stp>
        <tr r="J2180" s="2"/>
      </tp>
      <tp t="s">
        <v>#N/A N/A</v>
        <stp/>
        <stp>BDP|4127222593284128776</stp>
        <tr r="H1144" s="2"/>
      </tp>
      <tp t="s">
        <v>#N/A N/A</v>
        <stp/>
        <stp>BDP|5106876762562674542</stp>
        <tr r="N91" s="2"/>
      </tp>
      <tp t="s">
        <v>#N/A N/A</v>
        <stp/>
        <stp>BDP|9797472658560894461</stp>
        <tr r="K1555" s="2"/>
      </tp>
      <tp t="s">
        <v>#N/A N/A</v>
        <stp/>
        <stp>BDP|1881182397262278739</stp>
        <tr r="E1922" s="2"/>
      </tp>
      <tp t="s">
        <v>#N/A N/A</v>
        <stp/>
        <stp>BDP|7570192842018015682</stp>
        <tr r="P874" s="2"/>
      </tp>
      <tp t="s">
        <v>#N/A N/A</v>
        <stp/>
        <stp>BDP|4267277197673118050</stp>
        <tr r="F1455" s="2"/>
      </tp>
      <tp t="s">
        <v>#N/A N/A</v>
        <stp/>
        <stp>BDP|3279717855244390922</stp>
        <tr r="N144" s="2"/>
      </tp>
      <tp t="s">
        <v>#N/A N/A</v>
        <stp/>
        <stp>BDP|6692705095374530015</stp>
        <tr r="D26" s="2"/>
      </tp>
      <tp t="s">
        <v>#N/A N/A</v>
        <stp/>
        <stp>BDP|9410623042823507463</stp>
        <tr r="M192" s="2"/>
      </tp>
      <tp t="s">
        <v>#N/A N/A</v>
        <stp/>
        <stp>BDP|4779046925403447958</stp>
        <tr r="M355" s="2"/>
      </tp>
      <tp t="s">
        <v>#N/A N/A</v>
        <stp/>
        <stp>BDP|3501438155537502914</stp>
        <tr r="R854" s="2"/>
      </tp>
      <tp t="s">
        <v>#N/A N/A</v>
        <stp/>
        <stp>BDP|7784010397314064664</stp>
        <tr r="O2027" s="2"/>
      </tp>
      <tp t="s">
        <v>#N/A N/A</v>
        <stp/>
        <stp>BDS|5427965515790839189</stp>
        <tr r="I1211" s="2"/>
      </tp>
      <tp t="s">
        <v>#N/A N/A</v>
        <stp/>
        <stp>BDP|2401119385882589520</stp>
        <tr r="N147" s="2"/>
      </tp>
      <tp t="s">
        <v>#N/A N/A</v>
        <stp/>
        <stp>BDP|8569001958908324994</stp>
        <tr r="Q2145" s="2"/>
      </tp>
      <tp t="s">
        <v>#N/A N/A</v>
        <stp/>
        <stp>BDP|2834049382544872210</stp>
        <tr r="K697" s="2"/>
      </tp>
      <tp t="s">
        <v>#N/A N/A</v>
        <stp/>
        <stp>BDP|3190935737402729752</stp>
        <tr r="E1176" s="2"/>
      </tp>
      <tp t="s">
        <v>#N/A N/A</v>
        <stp/>
        <stp>BDP|9628195777850642393</stp>
        <tr r="H196" s="2"/>
      </tp>
      <tp t="s">
        <v>#N/A N/A</v>
        <stp/>
        <stp>BDP|2949018694470822732</stp>
        <tr r="T1540" s="2"/>
      </tp>
      <tp t="s">
        <v>#N/A N/A</v>
        <stp/>
        <stp>BDP|9121064721691514649</stp>
        <tr r="T281" s="2"/>
      </tp>
      <tp t="s">
        <v>#N/A N/A</v>
        <stp/>
        <stp>BDP|1990752916482951941</stp>
        <tr r="E2175" s="2"/>
      </tp>
      <tp t="s">
        <v>#N/A N/A</v>
        <stp/>
        <stp>BDP|9580091520435304286</stp>
        <tr r="P842" s="2"/>
      </tp>
      <tp t="s">
        <v>#N/A N/A</v>
        <stp/>
        <stp>BDP|5538861600745294467</stp>
        <tr r="H2153" s="2"/>
      </tp>
      <tp t="s">
        <v>#N/A N/A</v>
        <stp/>
        <stp>BDP|7066813955734505269</stp>
        <tr r="S1133" s="2"/>
      </tp>
      <tp t="s">
        <v>#N/A N/A</v>
        <stp/>
        <stp>BDP|9068309245354605647</stp>
        <tr r="R209" s="2"/>
      </tp>
      <tp t="s">
        <v>#N/A N/A</v>
        <stp/>
        <stp>BDS|9939524986060362898</stp>
        <tr r="I2052" s="2"/>
      </tp>
      <tp t="s">
        <v>#N/A N/A</v>
        <stp/>
        <stp>BDP|5240120535449727258</stp>
        <tr r="K2250" s="2"/>
      </tp>
      <tp t="s">
        <v>#N/A N/A</v>
        <stp/>
        <stp>BDP|4021452303084987882</stp>
        <tr r="Q77" s="2"/>
      </tp>
      <tp t="s">
        <v>#N/A N/A</v>
        <stp/>
        <stp>BDP|9998038283424896966</stp>
        <tr r="A1845" s="2"/>
      </tp>
      <tp t="s">
        <v>#N/A N/A</v>
        <stp/>
        <stp>BDP|8990926012344968877</stp>
        <tr r="D1539" s="2"/>
      </tp>
      <tp t="s">
        <v>#N/A N/A</v>
        <stp/>
        <stp>BDP|7787968749492601499</stp>
        <tr r="J1194" s="2"/>
      </tp>
      <tp t="s">
        <v>#N/A N/A</v>
        <stp/>
        <stp>BDP|2993179513578801629</stp>
        <tr r="S454" s="2"/>
      </tp>
      <tp t="s">
        <v>#N/A N/A</v>
        <stp/>
        <stp>BDP|5445826770766118008</stp>
        <tr r="P1648" s="2"/>
      </tp>
      <tp t="s">
        <v>#N/A N/A</v>
        <stp/>
        <stp>BDP|3265458837379517120</stp>
        <tr r="E2194" s="2"/>
      </tp>
      <tp t="s">
        <v>#N/A N/A</v>
        <stp/>
        <stp>BDP|5322536442920059854</stp>
        <tr r="N1710" s="2"/>
      </tp>
      <tp t="s">
        <v>#N/A N/A</v>
        <stp/>
        <stp>BDP|1594861514431037500</stp>
        <tr r="P447" s="2"/>
      </tp>
      <tp t="s">
        <v>#N/A N/A</v>
        <stp/>
        <stp>BDP|4493224722211483978</stp>
        <tr r="D297" s="2"/>
      </tp>
      <tp t="s">
        <v>#N/A N/A</v>
        <stp/>
        <stp>BDP|7611378020042762810</stp>
        <tr r="N865" s="2"/>
      </tp>
      <tp t="s">
        <v>#N/A N/A</v>
        <stp/>
        <stp>BDP|4186727164429855081</stp>
        <tr r="A845" s="2"/>
      </tp>
      <tp t="s">
        <v>#N/A N/A</v>
        <stp/>
        <stp>BDP|6701972367736481342</stp>
        <tr r="A679" s="2"/>
      </tp>
      <tp t="s">
        <v>#N/A N/A</v>
        <stp/>
        <stp>BDP|1169571652249738449</stp>
        <tr r="T1506" s="2"/>
      </tp>
      <tp t="s">
        <v>#N/A N/A</v>
        <stp/>
        <stp>BDP|1245428875899429769</stp>
        <tr r="K516" s="2"/>
      </tp>
      <tp t="s">
        <v>#N/A N/A</v>
        <stp/>
        <stp>BDP|9548035009032876709</stp>
        <tr r="C721" s="2"/>
      </tp>
      <tp t="s">
        <v>#N/A N/A</v>
        <stp/>
        <stp>BDP|3613699965379435697</stp>
        <tr r="E1721" s="2"/>
      </tp>
      <tp t="s">
        <v>#N/A N/A</v>
        <stp/>
        <stp>BDP|9740441471196437018</stp>
        <tr r="F1117" s="2"/>
      </tp>
      <tp t="s">
        <v>#N/A N/A</v>
        <stp/>
        <stp>BDP|8302142266407012469</stp>
        <tr r="C1957" s="2"/>
      </tp>
      <tp t="s">
        <v>#N/A N/A</v>
        <stp/>
        <stp>BDS|3100173527225244948</stp>
        <tr r="I1294" s="2"/>
      </tp>
      <tp t="s">
        <v>#N/A N/A</v>
        <stp/>
        <stp>BDP|8112322353383163168</stp>
        <tr r="F679" s="2"/>
      </tp>
      <tp t="s">
        <v>#N/A N/A</v>
        <stp/>
        <stp>BDP|7359921453553663439</stp>
        <tr r="M1579" s="2"/>
      </tp>
      <tp t="s">
        <v>#N/A N/A</v>
        <stp/>
        <stp>BDP|9948935961333444987</stp>
        <tr r="Q89" s="2"/>
      </tp>
      <tp t="s">
        <v>#N/A N/A</v>
        <stp/>
        <stp>BDP|8730597400463192288</stp>
        <tr r="G437" s="2"/>
      </tp>
      <tp t="s">
        <v>#N/A N/A</v>
        <stp/>
        <stp>BDP|5061996736700144392</stp>
        <tr r="K736" s="2"/>
      </tp>
      <tp t="s">
        <v>#N/A N/A</v>
        <stp/>
        <stp>BDP|4833811802715557591</stp>
        <tr r="P938" s="2"/>
      </tp>
      <tp t="s">
        <v>#N/A N/A</v>
        <stp/>
        <stp>BDP|7644858230889624927</stp>
        <tr r="J1888" s="2"/>
      </tp>
      <tp t="s">
        <v>#N/A N/A</v>
        <stp/>
        <stp>BDP|8062415095449323005</stp>
        <tr r="H496" s="2"/>
      </tp>
      <tp t="s">
        <v>#N/A N/A</v>
        <stp/>
        <stp>BDP|2722911985047309873</stp>
        <tr r="T1727" s="2"/>
      </tp>
      <tp t="s">
        <v>#N/A N/A</v>
        <stp/>
        <stp>BDP|4198083888937545737</stp>
        <tr r="C1766" s="2"/>
      </tp>
      <tp t="s">
        <v>#N/A N/A</v>
        <stp/>
        <stp>BDP|5152160283522575267</stp>
        <tr r="C1955" s="2"/>
      </tp>
      <tp t="s">
        <v>#N/A N/A</v>
        <stp/>
        <stp>BDP|6745940733001323146</stp>
        <tr r="O1677" s="2"/>
      </tp>
      <tp t="s">
        <v>#N/A N/A</v>
        <stp/>
        <stp>BDP|3549440809568875376</stp>
        <tr r="M1960" s="2"/>
      </tp>
      <tp t="s">
        <v>#N/A N/A</v>
        <stp/>
        <stp>BDP|9130625915477862594</stp>
        <tr r="N1774" s="2"/>
      </tp>
      <tp t="s">
        <v>#N/A N/A</v>
        <stp/>
        <stp>BDP|7027885779975079169</stp>
        <tr r="C2078" s="2"/>
      </tp>
      <tp t="s">
        <v>#N/A N/A</v>
        <stp/>
        <stp>BDP|8285735313474695633</stp>
        <tr r="H622" s="2"/>
      </tp>
      <tp t="s">
        <v>#N/A N/A</v>
        <stp/>
        <stp>BDP|8310537311155143570</stp>
        <tr r="H96" s="2"/>
      </tp>
      <tp t="s">
        <v>#N/A N/A</v>
        <stp/>
        <stp>BDP|5631986304213842350</stp>
        <tr r="H154" s="2"/>
      </tp>
      <tp t="s">
        <v>#N/A N/A</v>
        <stp/>
        <stp>BDP|6761631314708720501</stp>
        <tr r="T2227" s="2"/>
      </tp>
      <tp t="s">
        <v>#N/A N/A</v>
        <stp/>
        <stp>BDP|8544132334550321662</stp>
        <tr r="G2115" s="2"/>
      </tp>
      <tp t="s">
        <v>#N/A N/A</v>
        <stp/>
        <stp>BDP|9565934765833098940</stp>
        <tr r="A130" s="2"/>
      </tp>
      <tp t="s">
        <v>#N/A N/A</v>
        <stp/>
        <stp>BDP|8743444053116645317</stp>
        <tr r="A664" s="2"/>
      </tp>
      <tp t="s">
        <v>#N/A N/A</v>
        <stp/>
        <stp>BDP|6154221135428716363</stp>
        <tr r="E1535" s="2"/>
      </tp>
      <tp t="s">
        <v>#N/A N/A</v>
        <stp/>
        <stp>BDP|4740334965774132976</stp>
        <tr r="M317" s="2"/>
      </tp>
      <tp t="s">
        <v>#N/A N/A</v>
        <stp/>
        <stp>BDP|9434455107314668571</stp>
        <tr r="T1784" s="2"/>
      </tp>
      <tp t="s">
        <v>#N/A N/A</v>
        <stp/>
        <stp>BDP|8331129161374688713</stp>
        <tr r="K2072" s="2"/>
      </tp>
      <tp t="s">
        <v>#N/A N/A</v>
        <stp/>
        <stp>BDP|4216236120981357959</stp>
        <tr r="D2094" s="2"/>
      </tp>
      <tp t="s">
        <v>#N/A N/A</v>
        <stp/>
        <stp>BDP|4050723127294141932</stp>
        <tr r="F1058" s="2"/>
      </tp>
      <tp t="s">
        <v>#N/A N/A</v>
        <stp/>
        <stp>BDP|8633183237273921575</stp>
        <tr r="D676" s="2"/>
      </tp>
      <tp t="s">
        <v>#N/A N/A</v>
        <stp/>
        <stp>BDP|8114504806085657465</stp>
        <tr r="Q1116" s="2"/>
      </tp>
      <tp t="s">
        <v>#N/A N/A</v>
        <stp/>
        <stp>BDP|2509736667717657801</stp>
        <tr r="P1524" s="2"/>
      </tp>
      <tp t="s">
        <v>#N/A N/A</v>
        <stp/>
        <stp>BDP|7064419672359000148</stp>
        <tr r="M906" s="2"/>
      </tp>
      <tp t="s">
        <v>#N/A N/A</v>
        <stp/>
        <stp>BDP|7333800132659260947</stp>
        <tr r="S507" s="2"/>
      </tp>
      <tp t="s">
        <v>#N/A N/A</v>
        <stp/>
        <stp>BDP|3926475079015425941</stp>
        <tr r="P123" s="2"/>
      </tp>
      <tp t="s">
        <v>#N/A N/A</v>
        <stp/>
        <stp>BDP|6666541885236023103</stp>
        <tr r="T1385" s="2"/>
      </tp>
      <tp t="s">
        <v>#N/A N/A</v>
        <stp/>
        <stp>BDP|8747698866702990666</stp>
        <tr r="E1884" s="2"/>
      </tp>
      <tp t="s">
        <v>#N/A N/A</v>
        <stp/>
        <stp>BDP|4538448320026790816</stp>
        <tr r="P1734" s="2"/>
      </tp>
      <tp t="s">
        <v>#N/A N/A</v>
        <stp/>
        <stp>BDP|6609904145121053644</stp>
        <tr r="R167" s="2"/>
      </tp>
      <tp t="s">
        <v>#N/A N/A</v>
        <stp/>
        <stp>BDP|8926327363399677895</stp>
        <tr r="N1155" s="2"/>
      </tp>
      <tp t="s">
        <v>#N/A N/A</v>
        <stp/>
        <stp>BDP|4345191430642843850</stp>
        <tr r="S1400" s="2"/>
      </tp>
      <tp t="s">
        <v>#N/A N/A</v>
        <stp/>
        <stp>BDP|6424658613258577508</stp>
        <tr r="R1783" s="2"/>
      </tp>
      <tp t="s">
        <v>#N/A N/A</v>
        <stp/>
        <stp>BDP|8302275602364442255</stp>
        <tr r="G180" s="2"/>
      </tp>
      <tp t="s">
        <v>#N/A N/A</v>
        <stp/>
        <stp>BDP|1603088291456887203</stp>
        <tr r="K531" s="2"/>
      </tp>
      <tp t="s">
        <v>#N/A N/A</v>
        <stp/>
        <stp>BDP|5157913292091141845</stp>
        <tr r="K402" s="2"/>
      </tp>
      <tp t="s">
        <v>#N/A N/A</v>
        <stp/>
        <stp>BDP|6618229848184971829</stp>
        <tr r="O864" s="2"/>
      </tp>
      <tp t="s">
        <v>#N/A N/A</v>
        <stp/>
        <stp>BDP|2776707184133351272</stp>
        <tr r="D1523" s="2"/>
      </tp>
      <tp t="s">
        <v>#N/A N/A</v>
        <stp/>
        <stp>BDP|7660902723544026425</stp>
        <tr r="C149" s="2"/>
      </tp>
      <tp t="s">
        <v>#N/A N/A</v>
        <stp/>
        <stp>BDP|3223891162667824661</stp>
        <tr r="M1088" s="2"/>
      </tp>
      <tp t="s">
        <v>#N/A N/A</v>
        <stp/>
        <stp>BDP|1643925282618092418</stp>
        <tr r="K716" s="2"/>
      </tp>
      <tp t="s">
        <v>#N/A N/A</v>
        <stp/>
        <stp>BDP|1738985690729872400</stp>
        <tr r="Q1865" s="2"/>
      </tp>
      <tp t="s">
        <v>#N/A N/A</v>
        <stp/>
        <stp>BDP|1877818172302938059</stp>
        <tr r="Q2156" s="2"/>
      </tp>
      <tp t="s">
        <v>#N/A N/A</v>
        <stp/>
        <stp>BDP|7709611882661291427</stp>
        <tr r="J677" s="2"/>
      </tp>
      <tp t="s">
        <v>#N/A N/A</v>
        <stp/>
        <stp>BDP|2996571778044655844</stp>
        <tr r="D1218" s="2"/>
      </tp>
      <tp t="s">
        <v>#N/A N/A</v>
        <stp/>
        <stp>BDP|7136238797802823298</stp>
        <tr r="R1003" s="2"/>
      </tp>
      <tp t="s">
        <v>#N/A N/A</v>
        <stp/>
        <stp>BDP|8489038070880353304</stp>
        <tr r="E590" s="2"/>
      </tp>
      <tp t="s">
        <v>#N/A N/A</v>
        <stp/>
        <stp>BDP|5543038844005336856</stp>
        <tr r="G813" s="2"/>
      </tp>
      <tp t="s">
        <v>#N/A N/A</v>
        <stp/>
        <stp>BDP|7586857643794467337</stp>
        <tr r="J2213" s="2"/>
      </tp>
      <tp t="s">
        <v>#N/A N/A</v>
        <stp/>
        <stp>BDP|9637335361955363531</stp>
        <tr r="C2258" s="2"/>
      </tp>
      <tp t="s">
        <v>#N/A N/A</v>
        <stp/>
        <stp>BDP|4866826061306635098</stp>
        <tr r="A609" s="2"/>
      </tp>
      <tp t="s">
        <v>#N/A N/A</v>
        <stp/>
        <stp>BDP|3880785633828299354</stp>
        <tr r="S1394" s="2"/>
      </tp>
      <tp t="s">
        <v>#N/A N/A</v>
        <stp/>
        <stp>BDP|1566273136814816887</stp>
        <tr r="A1244" s="2"/>
      </tp>
      <tp t="s">
        <v>#N/A N/A</v>
        <stp/>
        <stp>BDP|3835893514701540748</stp>
        <tr r="R1835" s="2"/>
      </tp>
      <tp t="s">
        <v>#N/A N/A</v>
        <stp/>
        <stp>BDP|6059879867265455100</stp>
        <tr r="K95" s="2"/>
      </tp>
      <tp t="s">
        <v>#N/A N/A</v>
        <stp/>
        <stp>BDP|9402167622872201464</stp>
        <tr r="Q1930" s="2"/>
      </tp>
      <tp t="s">
        <v>#N/A N/A</v>
        <stp/>
        <stp>BDP|6110591542803839860</stp>
        <tr r="M613" s="2"/>
      </tp>
      <tp t="s">
        <v>#N/A N/A</v>
        <stp/>
        <stp>BDP|5325776233194376909</stp>
        <tr r="N733" s="2"/>
      </tp>
      <tp t="s">
        <v>#N/A N/A</v>
        <stp/>
        <stp>BDP|2956421370525893872</stp>
        <tr r="A2085" s="2"/>
      </tp>
      <tp t="s">
        <v>#N/A N/A</v>
        <stp/>
        <stp>BDP|8421950985590541559</stp>
        <tr r="E103" s="2"/>
      </tp>
      <tp t="s">
        <v>#N/A N/A</v>
        <stp/>
        <stp>BDP|2076338752138730027</stp>
        <tr r="N1629" s="2"/>
      </tp>
      <tp t="s">
        <v>#N/A N/A</v>
        <stp/>
        <stp>BDP|8170104872901165366</stp>
        <tr r="H371" s="2"/>
      </tp>
      <tp t="s">
        <v>#N/A N/A</v>
        <stp/>
        <stp>BDP|8780647113196515515</stp>
        <tr r="J1475" s="2"/>
      </tp>
      <tp t="s">
        <v>#N/A N/A</v>
        <stp/>
        <stp>BDP|1217521922073337959</stp>
        <tr r="G1055" s="2"/>
      </tp>
      <tp t="s">
        <v>#N/A N/A</v>
        <stp/>
        <stp>BDP|5093682599181380768</stp>
        <tr r="K499" s="2"/>
      </tp>
      <tp t="s">
        <v>#N/A N/A</v>
        <stp/>
        <stp>BDP|7679032391374357639</stp>
        <tr r="M752" s="2"/>
      </tp>
      <tp t="s">
        <v>#N/A N/A</v>
        <stp/>
        <stp>BDP|1076855176877609517</stp>
        <tr r="F1810" s="2"/>
      </tp>
      <tp t="s">
        <v>#N/A N/A</v>
        <stp/>
        <stp>BDP|6275743262252339938</stp>
        <tr r="S843" s="2"/>
      </tp>
      <tp t="s">
        <v>#N/A N/A</v>
        <stp/>
        <stp>BDP|7990098758907935957</stp>
        <tr r="C1929" s="2"/>
      </tp>
      <tp t="s">
        <v>#N/A N/A</v>
        <stp/>
        <stp>BDP|6374393400791665889</stp>
        <tr r="Q39" s="2"/>
      </tp>
      <tp t="s">
        <v>#N/A N/A</v>
        <stp/>
        <stp>BDP|6729308989981965039</stp>
        <tr r="D527" s="2"/>
      </tp>
      <tp t="s">
        <v>#N/A N/A</v>
        <stp/>
        <stp>BDP|9574739933264895599</stp>
        <tr r="H1368" s="2"/>
      </tp>
      <tp t="s">
        <v>#N/A N/A</v>
        <stp/>
        <stp>BDP|8251259235897015269</stp>
        <tr r="S1593" s="2"/>
      </tp>
      <tp t="s">
        <v>#N/A N/A</v>
        <stp/>
        <stp>BDP|9185487438281681339</stp>
        <tr r="F82" s="2"/>
      </tp>
      <tp t="s">
        <v>#N/A N/A</v>
        <stp/>
        <stp>BDP|6169941222406172728</stp>
        <tr r="N1324" s="2"/>
      </tp>
      <tp t="s">
        <v>#N/A N/A</v>
        <stp/>
        <stp>BDP|6451008362315141935</stp>
        <tr r="C1458" s="2"/>
      </tp>
      <tp t="s">
        <v>#N/A N/A</v>
        <stp/>
        <stp>BDP|4785847279752678580</stp>
        <tr r="K1700" s="2"/>
      </tp>
      <tp t="s">
        <v>#N/A N/A</v>
        <stp/>
        <stp>BDP|4080272094835187664</stp>
        <tr r="E2068" s="2"/>
      </tp>
      <tp t="s">
        <v>#N/A N/A</v>
        <stp/>
        <stp>BDP|1171470300929005020</stp>
        <tr r="A887" s="2"/>
      </tp>
      <tp t="s">
        <v>#N/A N/A</v>
        <stp/>
        <stp>BDP|9516844754891259936</stp>
        <tr r="A1881" s="2"/>
      </tp>
      <tp t="s">
        <v>#N/A N/A</v>
        <stp/>
        <stp>BDP|2355710762697658828</stp>
        <tr r="P2117" s="2"/>
      </tp>
      <tp t="s">
        <v>#N/A N/A</v>
        <stp/>
        <stp>BDP|2863949508236678164</stp>
        <tr r="K1694" s="2"/>
      </tp>
      <tp t="s">
        <v>#N/A N/A</v>
        <stp/>
        <stp>BDP|9617479012723648315</stp>
        <tr r="C1905" s="2"/>
      </tp>
      <tp t="s">
        <v>#N/A N/A</v>
        <stp/>
        <stp>BDP|8436518277123378553</stp>
        <tr r="Q1389" s="2"/>
      </tp>
      <tp t="s">
        <v>#N/A N/A</v>
        <stp/>
        <stp>BDP|1739953782984379870</stp>
        <tr r="K180" s="2"/>
      </tp>
      <tp t="s">
        <v>#N/A N/A</v>
        <stp/>
        <stp>BDP|4219256499347393493</stp>
        <tr r="G2142" s="2"/>
      </tp>
      <tp t="s">
        <v>#N/A N/A</v>
        <stp/>
        <stp>BDP|9176374205885627317</stp>
        <tr r="E1948" s="2"/>
      </tp>
      <tp t="s">
        <v>#N/A N/A</v>
        <stp/>
        <stp>BDP|1715175284766265224</stp>
        <tr r="K1265" s="2"/>
      </tp>
      <tp t="s">
        <v>#N/A N/A</v>
        <stp/>
        <stp>BDP|3393527635408496142</stp>
        <tr r="A588" s="2"/>
      </tp>
      <tp t="s">
        <v>#N/A N/A</v>
        <stp/>
        <stp>BDP|8681284743016854418</stp>
        <tr r="R587" s="2"/>
      </tp>
      <tp t="s">
        <v>#N/A N/A</v>
        <stp/>
        <stp>BDP|4633372910858112249</stp>
        <tr r="S743" s="2"/>
      </tp>
      <tp t="s">
        <v>#N/A N/A</v>
        <stp/>
        <stp>BDP|5781189331259939231</stp>
        <tr r="O1556" s="2"/>
      </tp>
      <tp t="s">
        <v>#N/A N/A</v>
        <stp/>
        <stp>BDP|4319427364453320921</stp>
        <tr r="D1451" s="2"/>
      </tp>
      <tp t="s">
        <v>#N/A N/A</v>
        <stp/>
        <stp>BDP|6570523870159672153</stp>
        <tr r="D191" s="2"/>
      </tp>
      <tp t="s">
        <v>#N/A N/A</v>
        <stp/>
        <stp>BDP|8588619234557007645</stp>
        <tr r="P303" s="2"/>
      </tp>
      <tp t="s">
        <v>#N/A N/A</v>
        <stp/>
        <stp>BDP|7242148639580215999</stp>
        <tr r="S614" s="2"/>
      </tp>
      <tp t="s">
        <v>#N/A N/A</v>
        <stp/>
        <stp>BDP|1495108617488421536</stp>
        <tr r="Q1600" s="2"/>
      </tp>
      <tp t="s">
        <v>#N/A N/A</v>
        <stp/>
        <stp>BDP|4338907030634231650</stp>
        <tr r="M2178" s="2"/>
      </tp>
      <tp t="s">
        <v>#N/A N/A</v>
        <stp/>
        <stp>BDP|3730555188351733396</stp>
        <tr r="N1918" s="2"/>
      </tp>
      <tp t="s">
        <v>#N/A N/A</v>
        <stp/>
        <stp>BDP|7549106936358535122</stp>
        <tr r="A1824" s="2"/>
      </tp>
      <tp t="s">
        <v>#N/A N/A</v>
        <stp/>
        <stp>BDP|3791425156889646710</stp>
        <tr r="J187" s="2"/>
      </tp>
      <tp t="s">
        <v>#N/A N/A</v>
        <stp/>
        <stp>BDS|8694001613191891493</stp>
        <tr r="I889" s="2"/>
      </tp>
      <tp t="s">
        <v>#N/A N/A</v>
        <stp/>
        <stp>BDP|4438930403674830586</stp>
        <tr r="S1120" s="2"/>
      </tp>
      <tp t="s">
        <v>#N/A N/A</v>
        <stp/>
        <stp>BDP|1867666921389942024</stp>
        <tr r="S2089" s="2"/>
      </tp>
      <tp t="s">
        <v>#N/A N/A</v>
        <stp/>
        <stp>BDP|2888162350472298884</stp>
        <tr r="H338" s="2"/>
      </tp>
      <tp t="s">
        <v>#N/A N/A</v>
        <stp/>
        <stp>BDP|7886725494161880427</stp>
        <tr r="S1653" s="2"/>
      </tp>
      <tp t="s">
        <v>#N/A N/A</v>
        <stp/>
        <stp>BDP|3990937044817954530</stp>
        <tr r="Q845" s="2"/>
      </tp>
      <tp t="s">
        <v>#N/A N/A</v>
        <stp/>
        <stp>BDP|5807201202358775396</stp>
        <tr r="G270" s="2"/>
      </tp>
      <tp t="s">
        <v>#N/A N/A</v>
        <stp/>
        <stp>BDP|7013734200029203556</stp>
        <tr r="F1920" s="2"/>
      </tp>
      <tp t="s">
        <v>#N/A N/A</v>
        <stp/>
        <stp>BDS|5003899349690098546</stp>
        <tr r="I526" s="2"/>
      </tp>
      <tp t="s">
        <v>#N/A N/A</v>
        <stp/>
        <stp>BDP|1988998074854687763</stp>
        <tr r="N1303" s="2"/>
      </tp>
      <tp t="s">
        <v>#N/A N/A</v>
        <stp/>
        <stp>BDP|2081215964378385225</stp>
        <tr r="M307" s="2"/>
      </tp>
      <tp t="s">
        <v>#N/A N/A</v>
        <stp/>
        <stp>BDP|7952841868127062210</stp>
        <tr r="C1540" s="2"/>
      </tp>
      <tp t="s">
        <v>#N/A N/A</v>
        <stp/>
        <stp>BDP|1338553996654601524</stp>
        <tr r="P1869" s="2"/>
      </tp>
      <tp t="s">
        <v>#N/A N/A</v>
        <stp/>
        <stp>BDP|7811847569113323627</stp>
        <tr r="N2036" s="2"/>
      </tp>
      <tp t="s">
        <v>#N/A N/A</v>
        <stp/>
        <stp>BDS|5345953667005544302</stp>
        <tr r="I1178" s="2"/>
      </tp>
      <tp t="s">
        <v>#N/A N/A</v>
        <stp/>
        <stp>BDP|9535116645774237473</stp>
        <tr r="R249" s="2"/>
      </tp>
      <tp t="s">
        <v>#N/A N/A</v>
        <stp/>
        <stp>BDP|1215833987378227501</stp>
        <tr r="J2024" s="2"/>
      </tp>
      <tp t="s">
        <v>#N/A N/A</v>
        <stp/>
        <stp>BDP|4821750318787367921</stp>
        <tr r="A1966" s="2"/>
      </tp>
      <tp t="s">
        <v>#N/A N/A</v>
        <stp/>
        <stp>BDP|8297336530293286777</stp>
        <tr r="D1755" s="2"/>
      </tp>
      <tp t="s">
        <v>#N/A N/A</v>
        <stp/>
        <stp>BDP|8647449775550288712</stp>
        <tr r="G1930" s="2"/>
      </tp>
      <tp t="s">
        <v>#N/A N/A</v>
        <stp/>
        <stp>BDS|2485968774590405064</stp>
        <tr r="I139" s="2"/>
      </tp>
      <tp t="s">
        <v>#N/A N/A</v>
        <stp/>
        <stp>BDP|9949684864026318323</stp>
        <tr r="D910" s="2"/>
      </tp>
      <tp t="s">
        <v>#N/A N/A</v>
        <stp/>
        <stp>BDP|3657783107951587982</stp>
        <tr r="S2110" s="2"/>
      </tp>
      <tp t="s">
        <v>#N/A N/A</v>
        <stp/>
        <stp>BDS|7711277377347038930</stp>
        <tr r="I1615" s="2"/>
      </tp>
      <tp t="s">
        <v>#N/A N/A</v>
        <stp/>
        <stp>BDP|8230447293898103109</stp>
        <tr r="G1812" s="2"/>
      </tp>
      <tp t="s">
        <v>#N/A N/A</v>
        <stp/>
        <stp>BDP|3668739491515577458</stp>
        <tr r="K437" s="2"/>
      </tp>
      <tp t="s">
        <v>#N/A N/A</v>
        <stp/>
        <stp>BDP|1688761214043489845</stp>
        <tr r="P243" s="2"/>
      </tp>
      <tp t="s">
        <v>#N/A N/A</v>
        <stp/>
        <stp>BDP|3181845734942425612</stp>
        <tr r="A1723" s="2"/>
      </tp>
      <tp t="s">
        <v>#N/A N/A</v>
        <stp/>
        <stp>BDP|9949182095318414540</stp>
        <tr r="G629" s="2"/>
      </tp>
      <tp t="s">
        <v>#N/A N/A</v>
        <stp/>
        <stp>BDP|8794432864997708136</stp>
        <tr r="G150" s="2"/>
      </tp>
      <tp t="s">
        <v>#N/A N/A</v>
        <stp/>
        <stp>BDP|8031942838607820901</stp>
        <tr r="M687" s="2"/>
      </tp>
      <tp t="s">
        <v>#N/A N/A</v>
        <stp/>
        <stp>BDP|7818794534218456756</stp>
        <tr r="A1268" s="2"/>
      </tp>
      <tp t="s">
        <v>#N/A N/A</v>
        <stp/>
        <stp>BDP|5216566657859586020</stp>
        <tr r="H1754" s="2"/>
      </tp>
      <tp t="s">
        <v>#N/A N/A</v>
        <stp/>
        <stp>BDP|6925536192926999052</stp>
        <tr r="S1988" s="2"/>
      </tp>
      <tp t="s">
        <v>#N/A N/A</v>
        <stp/>
        <stp>BDP|8517606855045074259</stp>
        <tr r="N1869" s="2"/>
      </tp>
      <tp t="s">
        <v>#N/A N/A</v>
        <stp/>
        <stp>BDP|3632429220600022916</stp>
        <tr r="D179" s="2"/>
      </tp>
      <tp t="s">
        <v>#N/A N/A</v>
        <stp/>
        <stp>BDP|8192423007349184909</stp>
        <tr r="C1635" s="2"/>
      </tp>
      <tp t="s">
        <v>#N/A N/A</v>
        <stp/>
        <stp>BDP|7667156450889764616</stp>
        <tr r="D1526" s="2"/>
      </tp>
      <tp t="s">
        <v>#N/A N/A</v>
        <stp/>
        <stp>BDP|8397684360784863064</stp>
        <tr r="Q2067" s="2"/>
      </tp>
      <tp t="s">
        <v>#N/A N/A</v>
        <stp/>
        <stp>BDP|9286212769427648692</stp>
        <tr r="N113" s="2"/>
      </tp>
      <tp t="s">
        <v>#N/A N/A</v>
        <stp/>
        <stp>BDP|9290318197137595842</stp>
        <tr r="F1624" s="2"/>
      </tp>
      <tp t="s">
        <v>#N/A N/A</v>
        <stp/>
        <stp>BDP|3673801373969466942</stp>
        <tr r="C2099" s="2"/>
      </tp>
      <tp t="s">
        <v>#N/A N/A</v>
        <stp/>
        <stp>BDP|4477122861189075628</stp>
        <tr r="C483" s="2"/>
      </tp>
      <tp t="s">
        <v>#N/A N/A</v>
        <stp/>
        <stp>BDP|4864973075113799586</stp>
        <tr r="P564" s="2"/>
      </tp>
      <tp t="s">
        <v>#N/A N/A</v>
        <stp/>
        <stp>BDP|7332475780050049719</stp>
        <tr r="A1181" s="2"/>
      </tp>
      <tp t="s">
        <v>#N/A N/A</v>
        <stp/>
        <stp>BDP|8033321828184984161</stp>
        <tr r="O829" s="2"/>
      </tp>
      <tp t="s">
        <v>#N/A N/A</v>
        <stp/>
        <stp>BDS|6243448802748101602</stp>
        <tr r="I1922" s="2"/>
      </tp>
      <tp t="s">
        <v>#N/A N/A</v>
        <stp/>
        <stp>BDP|4252538068389452286</stp>
        <tr r="Q1711" s="2"/>
      </tp>
      <tp t="s">
        <v>#N/A N/A</v>
        <stp/>
        <stp>BDP|6649550496801175716</stp>
        <tr r="O1700" s="2"/>
      </tp>
      <tp t="s">
        <v>#N/A N/A</v>
        <stp/>
        <stp>BDP|8117119984039254430</stp>
        <tr r="K687" s="2"/>
      </tp>
      <tp t="s">
        <v>#N/A N/A</v>
        <stp/>
        <stp>BDP|8157876895141392456</stp>
        <tr r="A117" s="2"/>
      </tp>
      <tp t="s">
        <v>#N/A N/A</v>
        <stp/>
        <stp>BDP|7570778494184467175</stp>
        <tr r="G1879" s="2"/>
      </tp>
      <tp t="s">
        <v>#N/A N/A</v>
        <stp/>
        <stp>BDS|2673788489228363914</stp>
        <tr r="I1452" s="2"/>
      </tp>
      <tp t="s">
        <v>#N/A N/A</v>
        <stp/>
        <stp>BDP|1005318896107460063</stp>
        <tr r="O1288" s="2"/>
      </tp>
      <tp t="s">
        <v>#N/A N/A</v>
        <stp/>
        <stp>BDP|3599069583615720228</stp>
        <tr r="T1210" s="2"/>
      </tp>
      <tp t="s">
        <v>#N/A N/A</v>
        <stp/>
        <stp>BDP|5148454664802011955</stp>
        <tr r="M2059" s="2"/>
      </tp>
      <tp t="s">
        <v>#N/A N/A</v>
        <stp/>
        <stp>BDP|8453940533497790914</stp>
        <tr r="D1959" s="2"/>
      </tp>
      <tp t="s">
        <v>#N/A N/A</v>
        <stp/>
        <stp>BDP|9400662446422082511</stp>
        <tr r="P284" s="2"/>
      </tp>
      <tp t="s">
        <v>#N/A N/A</v>
        <stp/>
        <stp>BDP|3713408460199018426</stp>
        <tr r="R1126" s="2"/>
      </tp>
      <tp t="s">
        <v>#N/A N/A</v>
        <stp/>
        <stp>BDP|5074468227996208969</stp>
        <tr r="H941" s="2"/>
      </tp>
      <tp t="s">
        <v>#N/A N/A</v>
        <stp/>
        <stp>BDP|7167528784124333213</stp>
        <tr r="P432" s="2"/>
      </tp>
      <tp t="s">
        <v>#N/A N/A</v>
        <stp/>
        <stp>BDP|6092523650468092279</stp>
        <tr r="R125" s="2"/>
      </tp>
      <tp t="s">
        <v>#N/A N/A</v>
        <stp/>
        <stp>BDP|5844365635319689084</stp>
        <tr r="T1256" s="2"/>
      </tp>
      <tp t="s">
        <v>#N/A N/A</v>
        <stp/>
        <stp>BDP|8969386164981304038</stp>
        <tr r="T1250" s="2"/>
      </tp>
      <tp t="s">
        <v>#N/A N/A</v>
        <stp/>
        <stp>BDP|1508213070689147100</stp>
        <tr r="F2146" s="2"/>
      </tp>
      <tp t="s">
        <v>#N/A N/A</v>
        <stp/>
        <stp>BDP|6763416405676670800</stp>
        <tr r="H1163" s="2"/>
      </tp>
      <tp t="s">
        <v>#N/A N/A</v>
        <stp/>
        <stp>BDP|6947911711484564696</stp>
        <tr r="F37" s="2"/>
      </tp>
      <tp t="s">
        <v>#N/A N/A</v>
        <stp/>
        <stp>BDP|7468805726190168165</stp>
        <tr r="R1889" s="2"/>
      </tp>
      <tp t="s">
        <v>#N/A N/A</v>
        <stp/>
        <stp>BDP|3137795482753829372</stp>
        <tr r="S41" s="2"/>
      </tp>
      <tp t="s">
        <v>#N/A N/A</v>
        <stp/>
        <stp>BDP|8793668337599450870</stp>
        <tr r="K193" s="2"/>
      </tp>
      <tp t="s">
        <v>#N/A N/A</v>
        <stp/>
        <stp>BDP|6153271497432146354</stp>
        <tr r="Q557" s="2"/>
      </tp>
      <tp t="s">
        <v>#N/A N/A</v>
        <stp/>
        <stp>BDS|8445080215536566394</stp>
        <tr r="I1583" s="2"/>
      </tp>
      <tp t="s">
        <v>#N/A N/A</v>
        <stp/>
        <stp>BDP|7622098078965349917</stp>
        <tr r="J312" s="2"/>
      </tp>
      <tp t="s">
        <v>#N/A N/A</v>
        <stp/>
        <stp>BDP|5146216060749507406</stp>
        <tr r="H401" s="2"/>
      </tp>
      <tp t="s">
        <v>#N/A N/A</v>
        <stp/>
        <stp>BDP|6748836438998980900</stp>
        <tr r="E437" s="2"/>
      </tp>
      <tp t="s">
        <v>#N/A N/A</v>
        <stp/>
        <stp>BDS|8870863807998556498</stp>
        <tr r="I2194" s="2"/>
      </tp>
      <tp t="s">
        <v>#N/A N/A</v>
        <stp/>
        <stp>BDP|9480104750720714169</stp>
        <tr r="E574" s="2"/>
      </tp>
      <tp t="s">
        <v>#N/A N/A</v>
        <stp/>
        <stp>BDP|1309953155552351350</stp>
        <tr r="A253" s="2"/>
      </tp>
      <tp t="s">
        <v>#N/A N/A</v>
        <stp/>
        <stp>BDP|5978314745336924811</stp>
        <tr r="R1341" s="2"/>
      </tp>
      <tp t="s">
        <v>#N/A N/A</v>
        <stp/>
        <stp>BDP|7573446985112510542</stp>
        <tr r="J399" s="2"/>
      </tp>
      <tp t="s">
        <v>#N/A N/A</v>
        <stp/>
        <stp>BDP|3861347644430463891</stp>
        <tr r="C1282" s="2"/>
      </tp>
      <tp t="s">
        <v>#N/A N/A</v>
        <stp/>
        <stp>BDP|2906576554216628894</stp>
        <tr r="C535" s="2"/>
      </tp>
      <tp t="s">
        <v>#N/A N/A</v>
        <stp/>
        <stp>BDP|1366940254880247148</stp>
        <tr r="Q1267" s="2"/>
      </tp>
      <tp t="s">
        <v>#N/A N/A</v>
        <stp/>
        <stp>BDS|3710678444428397522</stp>
        <tr r="I1882" s="2"/>
      </tp>
      <tp t="s">
        <v>#N/A N/A</v>
        <stp/>
        <stp>BDP|2347552377298574417</stp>
        <tr r="E853" s="2"/>
      </tp>
      <tp t="s">
        <v>#N/A N/A</v>
        <stp/>
        <stp>BDP|2974645900641820902</stp>
        <tr r="N1166" s="2"/>
      </tp>
      <tp t="s">
        <v>#N/A N/A</v>
        <stp/>
        <stp>BDP|2813324498780134465</stp>
        <tr r="P1395" s="2"/>
      </tp>
      <tp t="s">
        <v>#N/A N/A</v>
        <stp/>
        <stp>BDP|1821605636728260091</stp>
        <tr r="T1581" s="2"/>
      </tp>
      <tp t="s">
        <v>#N/A N/A</v>
        <stp/>
        <stp>BDP|2223062183600432662</stp>
        <tr r="O354" s="2"/>
      </tp>
      <tp t="s">
        <v>#N/A N/A</v>
        <stp/>
        <stp>BDP|7716408973730012818</stp>
        <tr r="P1497" s="2"/>
      </tp>
      <tp t="s">
        <v>#N/A N/A</v>
        <stp/>
        <stp>BDP|9658941511619545431</stp>
        <tr r="H1499" s="2"/>
      </tp>
      <tp t="s">
        <v>#N/A N/A</v>
        <stp/>
        <stp>BDP|6059857475931748429</stp>
        <tr r="J1788" s="2"/>
      </tp>
      <tp t="s">
        <v>#N/A N/A</v>
        <stp/>
        <stp>BDP|4873572595020823471</stp>
        <tr r="P317" s="2"/>
      </tp>
      <tp t="s">
        <v>#N/A N/A</v>
        <stp/>
        <stp>BDP|7622278234959517354</stp>
        <tr r="Q1571" s="2"/>
      </tp>
      <tp t="s">
        <v>#N/A N/A</v>
        <stp/>
        <stp>BDP|8474950795124113001</stp>
        <tr r="J2218" s="2"/>
      </tp>
      <tp t="s">
        <v>#N/A N/A</v>
        <stp/>
        <stp>BDP|9343636601426164556</stp>
        <tr r="G2143" s="2"/>
      </tp>
      <tp t="s">
        <v>#N/A N/A</v>
        <stp/>
        <stp>BDP|2473898842052213088</stp>
        <tr r="N1019" s="2"/>
      </tp>
      <tp t="s">
        <v>#N/A N/A</v>
        <stp/>
        <stp>BDP|6629072394153406047</stp>
        <tr r="Q996" s="2"/>
      </tp>
      <tp t="s">
        <v>#N/A N/A</v>
        <stp/>
        <stp>BDP|6733124305739804329</stp>
        <tr r="K702" s="2"/>
      </tp>
      <tp t="s">
        <v>#N/A N/A</v>
        <stp/>
        <stp>BDP|7662840719507885492</stp>
        <tr r="Q1415" s="2"/>
      </tp>
      <tp t="s">
        <v>#N/A N/A</v>
        <stp/>
        <stp>BDP|2348879051432839073</stp>
        <tr r="T1217" s="2"/>
      </tp>
      <tp t="s">
        <v>#N/A N/A</v>
        <stp/>
        <stp>BDP|4617105893344875579</stp>
        <tr r="O1618" s="2"/>
      </tp>
      <tp t="s">
        <v>#N/A N/A</v>
        <stp/>
        <stp>BDP|5612300529511582804</stp>
        <tr r="H474" s="2"/>
      </tp>
      <tp t="s">
        <v>#N/A N/A</v>
        <stp/>
        <stp>BDP|9512991495811151525</stp>
        <tr r="E1890" s="2"/>
      </tp>
      <tp t="s">
        <v>#N/A N/A</v>
        <stp/>
        <stp>BDP|6459337188338317868</stp>
        <tr r="K2162" s="2"/>
      </tp>
      <tp t="s">
        <v>#N/A N/A</v>
        <stp/>
        <stp>BDP|5641092574526238938</stp>
        <tr r="D793" s="2"/>
      </tp>
      <tp t="s">
        <v>#N/A N/A</v>
        <stp/>
        <stp>BDS|2041818360027238694</stp>
        <tr r="I966" s="2"/>
      </tp>
      <tp t="s">
        <v>#N/A N/A</v>
        <stp/>
        <stp>BDP|1958860337605292202</stp>
        <tr r="O463" s="2"/>
      </tp>
      <tp t="s">
        <v>#N/A N/A</v>
        <stp/>
        <stp>BDP|7430186610888204245</stp>
        <tr r="K732" s="2"/>
      </tp>
      <tp t="s">
        <v>#N/A N/A</v>
        <stp/>
        <stp>BDS|9303959185232845717</stp>
        <tr r="I458" s="2"/>
      </tp>
      <tp t="s">
        <v>#N/A N/A</v>
        <stp/>
        <stp>BDP|6411811520839661895</stp>
        <tr r="G1796" s="2"/>
      </tp>
      <tp t="s">
        <v>#N/A N/A</v>
        <stp/>
        <stp>BDP|4625187424609701378</stp>
        <tr r="E1868" s="2"/>
      </tp>
      <tp t="s">
        <v>#N/A N/A</v>
        <stp/>
        <stp>BDP|6130421044532993945</stp>
        <tr r="E2126" s="2"/>
      </tp>
      <tp t="s">
        <v>#N/A N/A</v>
        <stp/>
        <stp>BDP|7902077800289691327</stp>
        <tr r="O730" s="2"/>
      </tp>
      <tp t="s">
        <v>#N/A N/A</v>
        <stp/>
        <stp>BDP|4180496341009562062</stp>
        <tr r="D89" s="2"/>
      </tp>
      <tp t="s">
        <v>#N/A N/A</v>
        <stp/>
        <stp>BDP|4560580791905734016</stp>
        <tr r="T842" s="2"/>
      </tp>
      <tp t="s">
        <v>#N/A N/A</v>
        <stp/>
        <stp>BDP|1888046151530758903</stp>
        <tr r="R41" s="2"/>
      </tp>
      <tp t="s">
        <v>#N/A N/A</v>
        <stp/>
        <stp>BDP|4317730034849771493</stp>
        <tr r="D825" s="2"/>
      </tp>
      <tp t="s">
        <v>#N/A N/A</v>
        <stp/>
        <stp>BDP|7679160404159797293</stp>
        <tr r="M1291" s="2"/>
      </tp>
      <tp t="s">
        <v>#N/A N/A</v>
        <stp/>
        <stp>BDP|1822679126630068837</stp>
        <tr r="M89" s="2"/>
      </tp>
      <tp t="s">
        <v>#N/A N/A</v>
        <stp/>
        <stp>BDP|7995808204825733705</stp>
        <tr r="Q920" s="2"/>
      </tp>
      <tp t="s">
        <v>#N/A N/A</v>
        <stp/>
        <stp>BDP|1083309789710192720</stp>
        <tr r="M1971" s="2"/>
      </tp>
      <tp t="s">
        <v>#N/A N/A</v>
        <stp/>
        <stp>BDP|4022842006492835308</stp>
        <tr r="F734" s="2"/>
      </tp>
      <tp t="s">
        <v>#N/A N/A</v>
        <stp/>
        <stp>BDP|8519030666402986132</stp>
        <tr r="J23" s="2"/>
      </tp>
      <tp t="s">
        <v>#N/A N/A</v>
        <stp/>
        <stp>BDP|6692493494406333023</stp>
        <tr r="J427" s="2"/>
      </tp>
      <tp t="s">
        <v>#N/A N/A</v>
        <stp/>
        <stp>BDP|9860079904970228435</stp>
        <tr r="S1670" s="2"/>
      </tp>
      <tp t="s">
        <v>#N/A N/A</v>
        <stp/>
        <stp>BDS|6424691925148548774</stp>
        <tr r="I305" s="2"/>
      </tp>
      <tp t="s">
        <v>#N/A N/A</v>
        <stp/>
        <stp>BDP|8011930469143892988</stp>
        <tr r="A1715" s="2"/>
      </tp>
      <tp t="s">
        <v>#N/A N/A</v>
        <stp/>
        <stp>BDP|4660091099931965158</stp>
        <tr r="H1322" s="2"/>
      </tp>
      <tp t="s">
        <v>#N/A N/A</v>
        <stp/>
        <stp>BDP|8502766683708226283</stp>
        <tr r="A1559" s="2"/>
      </tp>
      <tp t="s">
        <v>#N/A N/A</v>
        <stp/>
        <stp>BDP|8919168137130515779</stp>
        <tr r="K2009" s="2"/>
      </tp>
      <tp t="s">
        <v>#N/A N/A</v>
        <stp/>
        <stp>BDP|1118015448659203102</stp>
        <tr r="F999" s="2"/>
      </tp>
      <tp t="s">
        <v>#N/A N/A</v>
        <stp/>
        <stp>BDP|2323605629762917992</stp>
        <tr r="E1193" s="2"/>
      </tp>
      <tp t="s">
        <v>#N/A N/A</v>
        <stp/>
        <stp>BDP|5685758797733640580</stp>
        <tr r="G113" s="2"/>
      </tp>
      <tp t="s">
        <v>#N/A N/A</v>
        <stp/>
        <stp>BDP|9609103635081179787</stp>
        <tr r="G2157" s="2"/>
      </tp>
      <tp t="s">
        <v>#N/A N/A</v>
        <stp/>
        <stp>BDP|6709491305817692873</stp>
        <tr r="F174" s="2"/>
      </tp>
      <tp t="s">
        <v>#N/A N/A</v>
        <stp/>
        <stp>BDP|6647917490102556985</stp>
        <tr r="P171" s="2"/>
      </tp>
      <tp t="s">
        <v>#N/A N/A</v>
        <stp/>
        <stp>BDP|1420312001167770894</stp>
        <tr r="C795" s="2"/>
      </tp>
      <tp t="s">
        <v>#N/A N/A</v>
        <stp/>
        <stp>BDP|6358131696391401285</stp>
        <tr r="O2175" s="2"/>
      </tp>
      <tp t="s">
        <v>#N/A N/A</v>
        <stp/>
        <stp>BDP|7751301142798829573</stp>
        <tr r="K1552" s="2"/>
      </tp>
      <tp t="s">
        <v>#N/A N/A</v>
        <stp/>
        <stp>BDP|6250632298356455273</stp>
        <tr r="N277" s="2"/>
      </tp>
      <tp t="s">
        <v>#N/A N/A</v>
        <stp/>
        <stp>BDP|4908955546172154613</stp>
        <tr r="T1845" s="2"/>
      </tp>
      <tp t="s">
        <v>#N/A N/A</v>
        <stp/>
        <stp>BDS|6939334679976976908</stp>
        <tr r="I658" s="2"/>
      </tp>
      <tp t="s">
        <v>#N/A N/A</v>
        <stp/>
        <stp>BDP|2618675967679489688</stp>
        <tr r="J1527" s="2"/>
      </tp>
      <tp t="s">
        <v>#N/A N/A</v>
        <stp/>
        <stp>BDP|8237139622493182584</stp>
        <tr r="E1256" s="2"/>
      </tp>
      <tp t="s">
        <v>#N/A N/A</v>
        <stp/>
        <stp>BDP|1449979648935217437</stp>
        <tr r="H637" s="2"/>
      </tp>
      <tp t="s">
        <v>#N/A N/A</v>
        <stp/>
        <stp>BDP|4640449928386925999</stp>
        <tr r="R568" s="2"/>
      </tp>
      <tp t="s">
        <v>#N/A N/A</v>
        <stp/>
        <stp>BDP|7491973458837643173</stp>
        <tr r="G1574" s="2"/>
      </tp>
      <tp t="s">
        <v>#N/A N/A</v>
        <stp/>
        <stp>BDP|7331490381421769764</stp>
        <tr r="D1607" s="2"/>
      </tp>
      <tp t="s">
        <v>#N/A N/A</v>
        <stp/>
        <stp>BDP|3616392220506676935</stp>
        <tr r="O1456" s="2"/>
      </tp>
      <tp t="s">
        <v>#N/A N/A</v>
        <stp/>
        <stp>BDP|2116142244972860838</stp>
        <tr r="G205" s="2"/>
      </tp>
      <tp t="s">
        <v>#N/A N/A</v>
        <stp/>
        <stp>BDP|5961600871960231908</stp>
        <tr r="J1299" s="2"/>
      </tp>
      <tp t="s">
        <v>#N/A N/A</v>
        <stp/>
        <stp>BDP|8132029847942720395</stp>
        <tr r="T1240" s="2"/>
      </tp>
      <tp t="s">
        <v>#N/A N/A</v>
        <stp/>
        <stp>BDP|7355212580615167590</stp>
        <tr r="H2049" s="2"/>
      </tp>
      <tp t="s">
        <v>#N/A N/A</v>
        <stp/>
        <stp>BDP|8171381832235919082</stp>
        <tr r="H1670" s="2"/>
      </tp>
      <tp t="s">
        <v>#N/A N/A</v>
        <stp/>
        <stp>BDP|3583971801330885715</stp>
        <tr r="O763" s="2"/>
      </tp>
      <tp t="s">
        <v>#N/A N/A</v>
        <stp/>
        <stp>BDP|5462735977569938133</stp>
        <tr r="C282" s="2"/>
      </tp>
      <tp t="s">
        <v>#N/A N/A</v>
        <stp/>
        <stp>BDP|2776514963188717485</stp>
        <tr r="F160" s="2"/>
      </tp>
      <tp t="s">
        <v>#N/A N/A</v>
        <stp/>
        <stp>BDP|9059940874092829821</stp>
        <tr r="S205" s="2"/>
      </tp>
      <tp t="s">
        <v>#N/A N/A</v>
        <stp/>
        <stp>BDP|2921479345137583844</stp>
        <tr r="F1466" s="2"/>
      </tp>
      <tp t="s">
        <v>#N/A N/A</v>
        <stp/>
        <stp>BDP|6442998231741496024</stp>
        <tr r="T504" s="2"/>
      </tp>
      <tp t="s">
        <v>#N/A N/A</v>
        <stp/>
        <stp>BDS|1023190780034639154</stp>
        <tr r="I925" s="2"/>
      </tp>
      <tp t="s">
        <v>#N/A N/A</v>
        <stp/>
        <stp>BDP|9082386106753622432</stp>
        <tr r="Q1250" s="2"/>
      </tp>
      <tp t="s">
        <v>#N/A N/A</v>
        <stp/>
        <stp>BDP|5032755714777387990</stp>
        <tr r="A2082" s="2"/>
      </tp>
      <tp t="s">
        <v>#N/A N/A</v>
        <stp/>
        <stp>BDP|8067958239446431930</stp>
        <tr r="O1994" s="2"/>
      </tp>
      <tp t="s">
        <v>#N/A N/A</v>
        <stp/>
        <stp>BDP|9682554398880545859</stp>
        <tr r="Q2161" s="2"/>
      </tp>
      <tp t="s">
        <v>#N/A N/A</v>
        <stp/>
        <stp>BDP|4073813292959829106</stp>
        <tr r="F741" s="2"/>
      </tp>
      <tp t="s">
        <v>#N/A N/A</v>
        <stp/>
        <stp>BDP|7681092374099263425</stp>
        <tr r="P1912" s="2"/>
      </tp>
      <tp t="s">
        <v>#N/A N/A</v>
        <stp/>
        <stp>BDP|8600242962556986726</stp>
        <tr r="P241" s="2"/>
      </tp>
      <tp t="s">
        <v>#N/A N/A</v>
        <stp/>
        <stp>BDP|9814401220676187426</stp>
        <tr r="N1036" s="2"/>
      </tp>
      <tp t="s">
        <v>#N/A N/A</v>
        <stp/>
        <stp>BDP|5953322227060780907</stp>
        <tr r="S1094" s="2"/>
      </tp>
      <tp t="s">
        <v>#N/A N/A</v>
        <stp/>
        <stp>BDP|2175334299136615368</stp>
        <tr r="P80" s="2"/>
      </tp>
      <tp t="s">
        <v>#N/A N/A</v>
        <stp/>
        <stp>BDP|2823692881810918122</stp>
        <tr r="S1161" s="2"/>
      </tp>
      <tp t="s">
        <v>#N/A N/A</v>
        <stp/>
        <stp>BDP|9896328881057587852</stp>
        <tr r="C1313" s="2"/>
      </tp>
      <tp t="s">
        <v>#N/A N/A</v>
        <stp/>
        <stp>BDP|9182955254008839035</stp>
        <tr r="D694" s="2"/>
      </tp>
      <tp t="s">
        <v>#N/A N/A</v>
        <stp/>
        <stp>BDP|1900416828682335889</stp>
        <tr r="J168" s="2"/>
      </tp>
      <tp t="s">
        <v>#N/A N/A</v>
        <stp/>
        <stp>BDP|5179505722986887909</stp>
        <tr r="K592" s="2"/>
      </tp>
      <tp t="s">
        <v>#N/A N/A</v>
        <stp/>
        <stp>BDP|6719988630128719934</stp>
        <tr r="T171" s="2"/>
      </tp>
      <tp t="s">
        <v>#N/A N/A</v>
        <stp/>
        <stp>BDP|1351194484624334169</stp>
        <tr r="D974" s="2"/>
      </tp>
      <tp t="s">
        <v>#N/A N/A</v>
        <stp/>
        <stp>BDP|7192379894746180682</stp>
        <tr r="C1826" s="2"/>
      </tp>
      <tp t="s">
        <v>#N/A N/A</v>
        <stp/>
        <stp>BDS|2730872258454789643</stp>
        <tr r="I1488" s="2"/>
      </tp>
      <tp t="s">
        <v>#N/A N/A</v>
        <stp/>
        <stp>BDP|1792416009130515813</stp>
        <tr r="H2163" s="2"/>
      </tp>
      <tp t="s">
        <v>#N/A N/A</v>
        <stp/>
        <stp>BDP|2277157453569603299</stp>
        <tr r="F576" s="2"/>
      </tp>
      <tp t="s">
        <v>#N/A N/A</v>
        <stp/>
        <stp>BDP|5580275858718978781</stp>
        <tr r="Q220" s="2"/>
      </tp>
      <tp t="s">
        <v>#N/A N/A</v>
        <stp/>
        <stp>BDP|8219613484592837948</stp>
        <tr r="T912" s="2"/>
      </tp>
      <tp t="s">
        <v>#N/A N/A</v>
        <stp/>
        <stp>BDP|1591371549488570357</stp>
        <tr r="Q1192" s="2"/>
      </tp>
      <tp t="s">
        <v>#N/A N/A</v>
        <stp/>
        <stp>BDP|8127180824475735319</stp>
        <tr r="M348" s="2"/>
      </tp>
      <tp t="s">
        <v>#N/A N/A</v>
        <stp/>
        <stp>BDP|6293797895172273774</stp>
        <tr r="R247" s="2"/>
      </tp>
      <tp t="s">
        <v>#N/A N/A</v>
        <stp/>
        <stp>BDP|6296995832369377814</stp>
        <tr r="P419" s="2"/>
      </tp>
      <tp t="s">
        <v>#N/A N/A</v>
        <stp/>
        <stp>BDP|5787008702911978972</stp>
        <tr r="N786" s="2"/>
      </tp>
      <tp t="s">
        <v>#N/A N/A</v>
        <stp/>
        <stp>BDP|4990165999212593388</stp>
        <tr r="A1536" s="2"/>
      </tp>
      <tp t="s">
        <v>#N/A N/A</v>
        <stp/>
        <stp>BDP|2414240388604410178</stp>
        <tr r="E1166" s="2"/>
      </tp>
      <tp t="s">
        <v>#N/A N/A</v>
        <stp/>
        <stp>BDP|8786285895508569640</stp>
        <tr r="G117" s="2"/>
      </tp>
      <tp t="s">
        <v>#N/A N/A</v>
        <stp/>
        <stp>BDP|8492912951459941065</stp>
        <tr r="Q156" s="2"/>
      </tp>
      <tp t="s">
        <v>#N/A N/A</v>
        <stp/>
        <stp>BDS|1520471781091842105</stp>
        <tr r="I248" s="2"/>
      </tp>
      <tp t="s">
        <v>#N/A N/A</v>
        <stp/>
        <stp>BDP|1210388706356438938</stp>
        <tr r="M557" s="2"/>
      </tp>
      <tp t="s">
        <v>#N/A N/A</v>
        <stp/>
        <stp>BDP|6890896429651797040</stp>
        <tr r="H779" s="2"/>
      </tp>
      <tp t="s">
        <v>#N/A N/A</v>
        <stp/>
        <stp>BDP|4260826706170880159</stp>
        <tr r="K1419" s="2"/>
      </tp>
      <tp t="s">
        <v>#N/A N/A</v>
        <stp/>
        <stp>BDP|5406045218631357806</stp>
        <tr r="N88" s="2"/>
      </tp>
      <tp t="s">
        <v>#N/A N/A</v>
        <stp/>
        <stp>BDP|2174677501229472085</stp>
        <tr r="H858" s="2"/>
      </tp>
      <tp t="s">
        <v>#N/A N/A</v>
        <stp/>
        <stp>BDP|8462656598872583870</stp>
        <tr r="N2242" s="2"/>
      </tp>
      <tp t="s">
        <v>#N/A N/A</v>
        <stp/>
        <stp>BDP|9072271462710634082</stp>
        <tr r="Q26" s="2"/>
      </tp>
      <tp t="s">
        <v>#N/A N/A</v>
        <stp/>
        <stp>BDP|1746990734741968785</stp>
        <tr r="P2177" s="2"/>
      </tp>
      <tp t="s">
        <v>#N/A N/A</v>
        <stp/>
        <stp>BDP|9691666161514292080</stp>
        <tr r="N1149" s="2"/>
      </tp>
      <tp t="s">
        <v>#N/A N/A</v>
        <stp/>
        <stp>BDP|3993876071653333278</stp>
        <tr r="F486" s="2"/>
      </tp>
      <tp t="s">
        <v>#N/A N/A</v>
        <stp/>
        <stp>BDP|4097102490853825233</stp>
        <tr r="H984" s="2"/>
      </tp>
      <tp t="s">
        <v>#N/A N/A</v>
        <stp/>
        <stp>BDP|5865750726285919897</stp>
        <tr r="A1812" s="2"/>
      </tp>
      <tp t="s">
        <v>#N/A N/A</v>
        <stp/>
        <stp>BDP|6414779870312090980</stp>
        <tr r="M1259" s="2"/>
      </tp>
      <tp t="s">
        <v>#N/A N/A</v>
        <stp/>
        <stp>BDP|2995251904514276918</stp>
        <tr r="Q1844" s="2"/>
      </tp>
      <tp t="s">
        <v>#N/A N/A</v>
        <stp/>
        <stp>BDP|6776877878066644251</stp>
        <tr r="Q549" s="2"/>
      </tp>
      <tp t="s">
        <v>#N/A N/A</v>
        <stp/>
        <stp>BDP|6322874838019012972</stp>
        <tr r="K103" s="2"/>
      </tp>
      <tp t="s">
        <v>#N/A N/A</v>
        <stp/>
        <stp>BDP|9259798599959082399</stp>
        <tr r="Q1534" s="2"/>
      </tp>
      <tp t="s">
        <v>#N/A N/A</v>
        <stp/>
        <stp>BDP|2861905486606432812</stp>
        <tr r="C623" s="2"/>
      </tp>
      <tp t="s">
        <v>#N/A N/A</v>
        <stp/>
        <stp>BDP|6223591965538418013</stp>
        <tr r="C1666" s="2"/>
      </tp>
      <tp t="s">
        <v>#N/A N/A</v>
        <stp/>
        <stp>BDP|7112055682930589281</stp>
        <tr r="Q468" s="2"/>
      </tp>
      <tp t="s">
        <v>#N/A N/A</v>
        <stp/>
        <stp>BDP|2596787186497971799</stp>
        <tr r="C620" s="2"/>
      </tp>
      <tp t="s">
        <v>#N/A N/A</v>
        <stp/>
        <stp>BDP|5663856211593952204</stp>
        <tr r="D433" s="2"/>
      </tp>
      <tp t="s">
        <v>#N/A N/A</v>
        <stp/>
        <stp>BDP|4143789343219401358</stp>
        <tr r="G387" s="2"/>
      </tp>
      <tp t="s">
        <v>#N/A N/A</v>
        <stp/>
        <stp>BDP|6384286480552985394</stp>
        <tr r="C1537" s="2"/>
      </tp>
      <tp t="s">
        <v>#N/A N/A</v>
        <stp/>
        <stp>BDP|1840971864283311031</stp>
        <tr r="M1337" s="2"/>
      </tp>
      <tp t="s">
        <v>#N/A N/A</v>
        <stp/>
        <stp>BDS|3836375767878335309</stp>
        <tr r="I2134" s="2"/>
      </tp>
      <tp t="s">
        <v>#N/A N/A</v>
        <stp/>
        <stp>BDP|3470882617314609361</stp>
        <tr r="D632" s="2"/>
      </tp>
      <tp t="s">
        <v>#N/A N/A</v>
        <stp/>
        <stp>BDP|2037772122589858367</stp>
        <tr r="J1456" s="2"/>
      </tp>
      <tp t="s">
        <v>#N/A N/A</v>
        <stp/>
        <stp>BDP|3566253877898534398</stp>
        <tr r="D2184" s="2"/>
      </tp>
      <tp t="s">
        <v>#N/A N/A</v>
        <stp/>
        <stp>BDP|3550589271889456537</stp>
        <tr r="P1424" s="2"/>
      </tp>
      <tp t="s">
        <v>#N/A N/A</v>
        <stp/>
        <stp>BDP|7881796767188800359</stp>
        <tr r="F1145" s="2"/>
      </tp>
      <tp t="s">
        <v>#N/A N/A</v>
        <stp/>
        <stp>BDP|3971758392757688736</stp>
        <tr r="T167" s="2"/>
      </tp>
      <tp t="s">
        <v>#N/A N/A</v>
        <stp/>
        <stp>BDP|6439412765368910125</stp>
        <tr r="H764" s="2"/>
      </tp>
      <tp t="s">
        <v>#N/A N/A</v>
        <stp/>
        <stp>BDP|3707707641335838851</stp>
        <tr r="G1039" s="2"/>
      </tp>
      <tp t="s">
        <v>#N/A N/A</v>
        <stp/>
        <stp>BDP|8263716549220033628</stp>
        <tr r="J1242" s="2"/>
      </tp>
      <tp t="s">
        <v>#N/A N/A</v>
        <stp/>
        <stp>BDP|3761789667789502651</stp>
        <tr r="M54" s="2"/>
      </tp>
      <tp t="s">
        <v>#N/A N/A</v>
        <stp/>
        <stp>BDP|4602773690263981401</stp>
        <tr r="N873" s="2"/>
      </tp>
      <tp t="s">
        <v>#N/A N/A</v>
        <stp/>
        <stp>BDP|9169569578440545627</stp>
        <tr r="M2112" s="2"/>
      </tp>
      <tp t="s">
        <v>#N/A N/A</v>
        <stp/>
        <stp>BDP|2593915858636100552</stp>
        <tr r="P289" s="2"/>
      </tp>
      <tp t="s">
        <v>#N/A N/A</v>
        <stp/>
        <stp>BDP|1522683490993055055</stp>
        <tr r="R1894" s="2"/>
      </tp>
      <tp t="s">
        <v>#N/A N/A</v>
        <stp/>
        <stp>BDP|4034195295852209366</stp>
        <tr r="D1890" s="2"/>
      </tp>
      <tp t="s">
        <v>#N/A N/A</v>
        <stp/>
        <stp>BDP|4839027190808503874</stp>
        <tr r="N1881" s="2"/>
      </tp>
      <tp t="s">
        <v>#N/A N/A</v>
        <stp/>
        <stp>BDP|6657097563919591419</stp>
        <tr r="Q1183" s="2"/>
      </tp>
      <tp t="s">
        <v>#N/A N/A</v>
        <stp/>
        <stp>BDP|8792492146581459440</stp>
        <tr r="T1137" s="2"/>
      </tp>
      <tp t="s">
        <v>#N/A N/A</v>
        <stp/>
        <stp>BDP|5587972816214517492</stp>
        <tr r="T1889" s="2"/>
      </tp>
      <tp t="s">
        <v>#N/A N/A</v>
        <stp/>
        <stp>BDP|6294790073088606362</stp>
        <tr r="M1439" s="2"/>
      </tp>
      <tp t="s">
        <v>#N/A N/A</v>
        <stp/>
        <stp>BDP|5582396382720528330</stp>
        <tr r="R1278" s="2"/>
      </tp>
      <tp t="s">
        <v>#N/A N/A</v>
        <stp/>
        <stp>BDP|8027135308950655451</stp>
        <tr r="E250" s="2"/>
      </tp>
      <tp t="s">
        <v>#N/A N/A</v>
        <stp/>
        <stp>BDS|5765065388787242739</stp>
        <tr r="I1622" s="2"/>
      </tp>
      <tp t="s">
        <v>#N/A N/A</v>
        <stp/>
        <stp>BDP|4369965758124504108</stp>
        <tr r="K1926" s="2"/>
      </tp>
      <tp t="s">
        <v>#N/A N/A</v>
        <stp/>
        <stp>BDP|6121098906029270247</stp>
        <tr r="Q1242" s="2"/>
      </tp>
      <tp t="s">
        <v>#N/A N/A</v>
        <stp/>
        <stp>BDP|3231927077437893774</stp>
        <tr r="F1830" s="2"/>
      </tp>
      <tp t="s">
        <v>#N/A N/A</v>
        <stp/>
        <stp>BDP|6317069706143239897</stp>
        <tr r="P301" s="2"/>
      </tp>
      <tp t="s">
        <v>#N/A N/A</v>
        <stp/>
        <stp>BDP|1471564183279899815</stp>
        <tr r="K967" s="2"/>
      </tp>
      <tp t="s">
        <v>#N/A N/A</v>
        <stp/>
        <stp>BDP|9189048247237992736</stp>
        <tr r="R1961" s="2"/>
      </tp>
      <tp t="s">
        <v>#N/A N/A</v>
        <stp/>
        <stp>BDP|1947557898051489187</stp>
        <tr r="O2250" s="2"/>
      </tp>
      <tp t="s">
        <v>#N/A N/A</v>
        <stp/>
        <stp>BDP|5026738721168848523</stp>
        <tr r="A2008" s="2"/>
      </tp>
      <tp t="s">
        <v>#N/A N/A</v>
        <stp/>
        <stp>BDP|8907369545554002623</stp>
        <tr r="Q832" s="2"/>
      </tp>
      <tp t="s">
        <v>#N/A N/A</v>
        <stp/>
        <stp>BDP|2850892061980898108</stp>
        <tr r="R647" s="2"/>
      </tp>
      <tp t="s">
        <v>#N/A N/A</v>
        <stp/>
        <stp>BDP|7987227495273117273</stp>
        <tr r="Q603" s="2"/>
      </tp>
      <tp t="s">
        <v>#N/A N/A</v>
        <stp/>
        <stp>BDP|9102272893218877758</stp>
        <tr r="C75" s="2"/>
      </tp>
      <tp t="s">
        <v>#N/A N/A</v>
        <stp/>
        <stp>BDP|1506680456808514767</stp>
        <tr r="O1099" s="2"/>
      </tp>
      <tp t="s">
        <v>#N/A N/A</v>
        <stp/>
        <stp>BDP|8488400684758122193</stp>
        <tr r="A1708" s="2"/>
      </tp>
      <tp t="s">
        <v>#N/A N/A</v>
        <stp/>
        <stp>BDP|4200436649679711070</stp>
        <tr r="T110" s="2"/>
      </tp>
      <tp t="s">
        <v>#N/A N/A</v>
        <stp/>
        <stp>BDP|5125063411588855160</stp>
        <tr r="M1104" s="2"/>
      </tp>
      <tp t="s">
        <v>#N/A N/A</v>
        <stp/>
        <stp>BDP|9917782361560179590</stp>
        <tr r="F620" s="2"/>
      </tp>
      <tp t="s">
        <v>#N/A N/A</v>
        <stp/>
        <stp>BDP|7224035344467475994</stp>
        <tr r="R1219" s="2"/>
      </tp>
      <tp t="s">
        <v>#N/A N/A</v>
        <stp/>
        <stp>BDP|4856608620878745571</stp>
        <tr r="H1803" s="2"/>
      </tp>
      <tp t="s">
        <v>#N/A N/A</v>
        <stp/>
        <stp>BDP|5924666634115761843</stp>
        <tr r="A1102" s="2"/>
      </tp>
      <tp t="s">
        <v>#N/A N/A</v>
        <stp/>
        <stp>BDP|6101892216116640407</stp>
        <tr r="K2060" s="2"/>
      </tp>
      <tp t="s">
        <v>#N/A N/A</v>
        <stp/>
        <stp>BDP|6927815027721179067</stp>
        <tr r="E126" s="2"/>
      </tp>
      <tp t="s">
        <v>#N/A N/A</v>
        <stp/>
        <stp>BDP|7319398980998175937</stp>
        <tr r="C1946" s="2"/>
      </tp>
      <tp t="s">
        <v>#N/A N/A</v>
        <stp/>
        <stp>BDS|2044692981442617360</stp>
        <tr r="I1242" s="2"/>
      </tp>
      <tp t="s">
        <v>#N/A N/A</v>
        <stp/>
        <stp>BDP|1319140058068186069</stp>
        <tr r="N814" s="2"/>
      </tp>
      <tp t="s">
        <v>#N/A N/A</v>
        <stp/>
        <stp>BDP|5634643984774619285</stp>
        <tr r="F949" s="2"/>
      </tp>
      <tp t="s">
        <v>#N/A N/A</v>
        <stp/>
        <stp>BDP|7475091004599800390</stp>
        <tr r="F1001" s="2"/>
      </tp>
      <tp t="s">
        <v>#N/A N/A</v>
        <stp/>
        <stp>BDP|8354246788788323745</stp>
        <tr r="E1595" s="2"/>
      </tp>
      <tp t="s">
        <v>#N/A N/A</v>
        <stp/>
        <stp>BDP|8427080574731055302</stp>
        <tr r="M1921" s="2"/>
      </tp>
      <tp t="s">
        <v>#N/A N/A</v>
        <stp/>
        <stp>BDP|5740867158664476150</stp>
        <tr r="J854" s="2"/>
      </tp>
      <tp t="s">
        <v>#N/A N/A</v>
        <stp/>
        <stp>BDS|2958164470309300043</stp>
        <tr r="I367" s="2"/>
      </tp>
      <tp t="s">
        <v>#N/A N/A</v>
        <stp/>
        <stp>BDP|9414707851445555385</stp>
        <tr r="J464" s="2"/>
      </tp>
      <tp t="s">
        <v>#N/A N/A</v>
        <stp/>
        <stp>BDP|6151689096173068779</stp>
        <tr r="H2077" s="2"/>
      </tp>
      <tp t="s">
        <v>#N/A N/A</v>
        <stp/>
        <stp>BDP|2939232186453132654</stp>
        <tr r="S174" s="2"/>
      </tp>
      <tp t="s">
        <v>#N/A N/A</v>
        <stp/>
        <stp>BDP|8739646150042225495</stp>
        <tr r="N249" s="2"/>
      </tp>
      <tp t="s">
        <v>#N/A N/A</v>
        <stp/>
        <stp>BDP|1842988434984459285</stp>
        <tr r="P1748" s="2"/>
      </tp>
      <tp t="s">
        <v>#N/A N/A</v>
        <stp/>
        <stp>BDS|2804609477866655812</stp>
        <tr r="I2156" s="2"/>
      </tp>
      <tp t="s">
        <v>#N/A N/A</v>
        <stp/>
        <stp>BDP|8843063154778269803</stp>
        <tr r="C1013" s="2"/>
      </tp>
      <tp t="s">
        <v>#N/A N/A</v>
        <stp/>
        <stp>BDP|5878352057549614744</stp>
        <tr r="Q385" s="2"/>
      </tp>
      <tp t="s">
        <v>#N/A N/A</v>
        <stp/>
        <stp>BDS|2358504653189132694</stp>
        <tr r="I1942" s="2"/>
      </tp>
      <tp t="s">
        <v>#N/A N/A</v>
        <stp/>
        <stp>BDP|8409584840274111053</stp>
        <tr r="K1558" s="2"/>
      </tp>
      <tp t="s">
        <v>#N/A N/A</v>
        <stp/>
        <stp>BDP|3506740092044302484</stp>
        <tr r="M2183" s="2"/>
      </tp>
      <tp t="s">
        <v>#N/A N/A</v>
        <stp/>
        <stp>BDP|8548437130792871067</stp>
        <tr r="T1690" s="2"/>
      </tp>
      <tp t="s">
        <v>#N/A N/A</v>
        <stp/>
        <stp>BDP|9893639320739642957</stp>
        <tr r="J1592" s="2"/>
      </tp>
      <tp t="s">
        <v>#N/A N/A</v>
        <stp/>
        <stp>BDP|5419274191191953235</stp>
        <tr r="M797" s="2"/>
      </tp>
      <tp t="s">
        <v>#N/A N/A</v>
        <stp/>
        <stp>BDP|4978026487428496908</stp>
        <tr r="E403" s="2"/>
      </tp>
      <tp t="s">
        <v>#N/A N/A</v>
        <stp/>
        <stp>BDP|1697250178411683852</stp>
        <tr r="T1134" s="2"/>
      </tp>
      <tp t="s">
        <v>#N/A N/A</v>
        <stp/>
        <stp>BDP|4264930279146537153</stp>
        <tr r="K940" s="2"/>
      </tp>
      <tp t="s">
        <v>#N/A N/A</v>
        <stp/>
        <stp>BDP|7018407420058909411</stp>
        <tr r="T1774" s="2"/>
      </tp>
      <tp t="s">
        <v>#N/A N/A</v>
        <stp/>
        <stp>BDP|8312021018683998788</stp>
        <tr r="E974" s="2"/>
      </tp>
      <tp t="s">
        <v>#N/A N/A</v>
        <stp/>
        <stp>BDP|1618509940298954578</stp>
        <tr r="S1102" s="2"/>
      </tp>
      <tp t="s">
        <v>#N/A N/A</v>
        <stp/>
        <stp>BDP|2769854661270247193</stp>
        <tr r="R1760" s="2"/>
      </tp>
      <tp t="s">
        <v>#N/A N/A</v>
        <stp/>
        <stp>BDP|4503573598336271301</stp>
        <tr r="A340" s="2"/>
      </tp>
      <tp t="s">
        <v>#N/A N/A</v>
        <stp/>
        <stp>BDP|6913251978777528993</stp>
        <tr r="R2116" s="2"/>
      </tp>
      <tp t="s">
        <v>#N/A N/A</v>
        <stp/>
        <stp>BDP|9140197590334060800</stp>
        <tr r="G586" s="2"/>
      </tp>
      <tp t="s">
        <v>#N/A N/A</v>
        <stp/>
        <stp>BDP|7309335991400838014</stp>
        <tr r="M1548" s="2"/>
      </tp>
      <tp t="s">
        <v>#N/A N/A</v>
        <stp/>
        <stp>BDP|3584425261675798994</stp>
        <tr r="P1844" s="2"/>
      </tp>
      <tp t="s">
        <v>#N/A N/A</v>
        <stp/>
        <stp>BDP|1362710569695725844</stp>
        <tr r="O1646" s="2"/>
      </tp>
      <tp t="s">
        <v>#N/A N/A</v>
        <stp/>
        <stp>BDP|8504725107043194185</stp>
        <tr r="A1598" s="2"/>
      </tp>
      <tp t="s">
        <v>#N/A N/A</v>
        <stp/>
        <stp>BDP|7343689856690611923</stp>
        <tr r="E760" s="2"/>
      </tp>
      <tp t="s">
        <v>#N/A N/A</v>
        <stp/>
        <stp>BDP|7129247526833333997</stp>
        <tr r="P9" s="2"/>
      </tp>
      <tp t="s">
        <v>#N/A N/A</v>
        <stp/>
        <stp>BDP|4903827815763105369</stp>
        <tr r="N281" s="2"/>
      </tp>
      <tp t="s">
        <v>#N/A N/A</v>
        <stp/>
        <stp>BDP|8546757220912117283</stp>
        <tr r="P980" s="2"/>
      </tp>
      <tp t="s">
        <v>#N/A N/A</v>
        <stp/>
        <stp>BDP|5437921658804062074</stp>
        <tr r="M212" s="2"/>
      </tp>
      <tp t="s">
        <v>#N/A N/A</v>
        <stp/>
        <stp>BDP|2449810079516085651</stp>
        <tr r="P1579" s="2"/>
      </tp>
      <tp t="s">
        <v>#N/A N/A</v>
        <stp/>
        <stp>BDP|3747869811060000795</stp>
        <tr r="D483" s="2"/>
      </tp>
      <tp t="s">
        <v>#N/A N/A</v>
        <stp/>
        <stp>BDP|6552454799070885683</stp>
        <tr r="S583" s="2"/>
      </tp>
      <tp t="s">
        <v>#N/A N/A</v>
        <stp/>
        <stp>BDP|9356328528767892289</stp>
        <tr r="A374" s="2"/>
      </tp>
      <tp t="s">
        <v>#N/A N/A</v>
        <stp/>
        <stp>BDS|4876906337154401729</stp>
        <tr r="I1546" s="2"/>
      </tp>
      <tp t="s">
        <v>#N/A N/A</v>
        <stp/>
        <stp>BDP|2103250965968910312</stp>
        <tr r="O1429" s="2"/>
      </tp>
      <tp t="s">
        <v>#N/A N/A</v>
        <stp/>
        <stp>BDP|8707284894436282802</stp>
        <tr r="H280" s="2"/>
      </tp>
      <tp t="s">
        <v>#N/A N/A</v>
        <stp/>
        <stp>BDP|8217659746593823405</stp>
        <tr r="D2109" s="2"/>
      </tp>
      <tp t="s">
        <v>#N/A N/A</v>
        <stp/>
        <stp>BDP|2681596696011721271</stp>
        <tr r="S24" s="2"/>
      </tp>
      <tp t="s">
        <v>#N/A N/A</v>
        <stp/>
        <stp>BDP|7910716710029486552</stp>
        <tr r="K524" s="2"/>
      </tp>
      <tp t="s">
        <v>#N/A N/A</v>
        <stp/>
        <stp>BDP|1536893927170081624</stp>
        <tr r="F1150" s="2"/>
      </tp>
      <tp t="s">
        <v>#N/A N/A</v>
        <stp/>
        <stp>BDP|8514289830390072440</stp>
        <tr r="Q2175" s="2"/>
      </tp>
      <tp t="s">
        <v>#N/A N/A</v>
        <stp/>
        <stp>BDP|6814702099321056489</stp>
        <tr r="D469" s="2"/>
      </tp>
      <tp t="s">
        <v>#N/A N/A</v>
        <stp/>
        <stp>BDP|2641854099359568769</stp>
        <tr r="S1444" s="2"/>
      </tp>
      <tp t="s">
        <v>#N/A N/A</v>
        <stp/>
        <stp>BDP|7046766508899377441</stp>
        <tr r="S528" s="2"/>
      </tp>
      <tp t="s">
        <v>#N/A N/A</v>
        <stp/>
        <stp>BDP|1842264766290794867</stp>
        <tr r="T1721" s="2"/>
      </tp>
      <tp t="s">
        <v>#N/A N/A</v>
        <stp/>
        <stp>BDP|8019274149745341649</stp>
        <tr r="K1999" s="2"/>
      </tp>
      <tp t="s">
        <v>#N/A N/A</v>
        <stp/>
        <stp>BDP|3059429667824485883</stp>
        <tr r="S1139" s="2"/>
      </tp>
      <tp t="s">
        <v>#N/A N/A</v>
        <stp/>
        <stp>BDP|2822618279948196684</stp>
        <tr r="E1671" s="2"/>
      </tp>
      <tp t="s">
        <v>#N/A N/A</v>
        <stp/>
        <stp>BDP|5438389493687278545</stp>
        <tr r="O1483" s="2"/>
      </tp>
      <tp t="s">
        <v>#N/A N/A</v>
        <stp/>
        <stp>BDP|2786095186834441350</stp>
        <tr r="A2157" s="2"/>
      </tp>
      <tp t="s">
        <v>#N/A N/A</v>
        <stp/>
        <stp>BDP|7093577198642180471</stp>
        <tr r="G91" s="2"/>
      </tp>
      <tp t="s">
        <v>#N/A N/A</v>
        <stp/>
        <stp>BDP|7866961512367157540</stp>
        <tr r="T1691" s="2"/>
      </tp>
      <tp t="s">
        <v>#N/A N/A</v>
        <stp/>
        <stp>BDP|4904665201706715902</stp>
        <tr r="A2195" s="2"/>
      </tp>
      <tp t="s">
        <v>#N/A N/A</v>
        <stp/>
        <stp>BDP|2967575129751949971</stp>
        <tr r="K436" s="2"/>
      </tp>
      <tp t="s">
        <v>#N/A N/A</v>
        <stp/>
        <stp>BDS|3233922079885330538</stp>
        <tr r="I1110" s="2"/>
      </tp>
      <tp t="s">
        <v>#N/A N/A</v>
        <stp/>
        <stp>BDP|3676638722039666389</stp>
        <tr r="F816" s="2"/>
      </tp>
      <tp t="s">
        <v>#N/A N/A</v>
        <stp/>
        <stp>BDP|8314261039076287278</stp>
        <tr r="E1134" s="2"/>
      </tp>
      <tp t="s">
        <v>#N/A N/A</v>
        <stp/>
        <stp>BDP|8461412788570617920</stp>
        <tr r="J1092" s="2"/>
      </tp>
      <tp t="s">
        <v>#N/A N/A</v>
        <stp/>
        <stp>BDP|7816894998583907890</stp>
        <tr r="M158" s="2"/>
      </tp>
      <tp t="s">
        <v>#N/A N/A</v>
        <stp/>
        <stp>BDP|8620352345673826174</stp>
        <tr r="J1082" s="2"/>
      </tp>
      <tp t="s">
        <v>#N/A N/A</v>
        <stp/>
        <stp>BDP|3083345152181759989</stp>
        <tr r="C887" s="2"/>
      </tp>
      <tp t="s">
        <v>#N/A N/A</v>
        <stp/>
        <stp>BDP|9215117677272417095</stp>
        <tr r="P81" s="2"/>
      </tp>
      <tp t="s">
        <v>#N/A N/A</v>
        <stp/>
        <stp>BDP|1992170286854139102</stp>
        <tr r="H1970" s="2"/>
      </tp>
      <tp t="s">
        <v>#N/A N/A</v>
        <stp/>
        <stp>BDP|7596998659014905252</stp>
        <tr r="T39" s="2"/>
      </tp>
      <tp t="s">
        <v>#N/A N/A</v>
        <stp/>
        <stp>BDP|8366878793650993472</stp>
        <tr r="E38" s="2"/>
      </tp>
      <tp t="s">
        <v>#N/A N/A</v>
        <stp/>
        <stp>BDP|8854991859539268034</stp>
        <tr r="J123" s="2"/>
      </tp>
      <tp t="s">
        <v>#N/A N/A</v>
        <stp/>
        <stp>BDP|3850541926629296018</stp>
        <tr r="F33" s="2"/>
      </tp>
      <tp t="s">
        <v>#N/A N/A</v>
        <stp/>
        <stp>BDP|5109946545841947409</stp>
        <tr r="T603" s="2"/>
      </tp>
      <tp t="s">
        <v>#N/A N/A</v>
        <stp/>
        <stp>BDP|2862641373006660803</stp>
        <tr r="P2258" s="2"/>
      </tp>
      <tp t="s">
        <v>#N/A N/A</v>
        <stp/>
        <stp>BDP|5324335799426079406</stp>
        <tr r="Q225" s="2"/>
      </tp>
      <tp t="s">
        <v>#N/A N/A</v>
        <stp/>
        <stp>BDP|5955776586107819091</stp>
        <tr r="Q1273" s="2"/>
      </tp>
      <tp t="s">
        <v>#N/A N/A</v>
        <stp/>
        <stp>BDP|6945137364089495538</stp>
        <tr r="D1913" s="2"/>
      </tp>
      <tp t="s">
        <v>#N/A N/A</v>
        <stp/>
        <stp>BDP|6948369000439580133</stp>
        <tr r="A824" s="2"/>
      </tp>
      <tp t="s">
        <v>#N/A N/A</v>
        <stp/>
        <stp>BDP|5728096355155200800</stp>
        <tr r="T1582" s="2"/>
      </tp>
      <tp t="s">
        <v>#N/A N/A</v>
        <stp/>
        <stp>BDP|8760593837665020604</stp>
        <tr r="T1316" s="2"/>
      </tp>
      <tp t="s">
        <v>#N/A N/A</v>
        <stp/>
        <stp>BDP|4914421437316638835</stp>
        <tr r="Q1569" s="2"/>
      </tp>
      <tp t="s">
        <v>#N/A N/A</v>
        <stp/>
        <stp>BDP|8183978088014457031</stp>
        <tr r="C164" s="2"/>
      </tp>
      <tp t="s">
        <v>#N/A N/A</v>
        <stp/>
        <stp>BDP|8465914095823170689</stp>
        <tr r="O1571" s="2"/>
      </tp>
      <tp t="s">
        <v>#N/A N/A</v>
        <stp/>
        <stp>BDP|3505855419156084108</stp>
        <tr r="F110" s="2"/>
      </tp>
      <tp t="s">
        <v>#N/A N/A</v>
        <stp/>
        <stp>BDP|6279996646063379572</stp>
        <tr r="P570" s="2"/>
      </tp>
      <tp t="s">
        <v>#N/A N/A</v>
        <stp/>
        <stp>BDP|3649007475499229081</stp>
        <tr r="T89" s="2"/>
      </tp>
      <tp t="s">
        <v>#N/A N/A</v>
        <stp/>
        <stp>BDP|8023706629783565351</stp>
        <tr r="O832" s="2"/>
      </tp>
      <tp t="s">
        <v>#N/A N/A</v>
        <stp/>
        <stp>BDP|5447656483390303685</stp>
        <tr r="E133" s="2"/>
      </tp>
      <tp t="s">
        <v>#N/A N/A</v>
        <stp/>
        <stp>BDP|7047842948562372460</stp>
        <tr r="Q212" s="2"/>
      </tp>
      <tp t="s">
        <v>#N/A N/A</v>
        <stp/>
        <stp>BDP|4860303113412634945</stp>
        <tr r="P1063" s="2"/>
      </tp>
      <tp t="s">
        <v>#N/A N/A</v>
        <stp/>
        <stp>BDP|2027721639022614945</stp>
        <tr r="R1162" s="2"/>
      </tp>
      <tp t="s">
        <v>#N/A N/A</v>
        <stp/>
        <stp>BDP|3321001840292860820</stp>
        <tr r="D864" s="2"/>
      </tp>
      <tp t="s">
        <v>#N/A N/A</v>
        <stp/>
        <stp>BDP|1123179014875237997</stp>
        <tr r="R190" s="2"/>
      </tp>
      <tp t="s">
        <v>#N/A N/A</v>
        <stp/>
        <stp>BDP|1385744851339908769</stp>
        <tr r="P1781" s="2"/>
      </tp>
      <tp t="s">
        <v>#N/A N/A</v>
        <stp/>
        <stp>BDP|1497222628139584524</stp>
        <tr r="C1244" s="2"/>
      </tp>
      <tp t="s">
        <v>#N/A N/A</v>
        <stp/>
        <stp>BDP|3490492167955353901</stp>
        <tr r="A1999" s="2"/>
      </tp>
      <tp t="s">
        <v>#N/A N/A</v>
        <stp/>
        <stp>BDP|9237055327776903007</stp>
        <tr r="Q1577" s="2"/>
      </tp>
      <tp t="s">
        <v>#N/A N/A</v>
        <stp/>
        <stp>BDP|7451682391664337174</stp>
        <tr r="A303" s="2"/>
      </tp>
      <tp t="s">
        <v>#N/A N/A</v>
        <stp/>
        <stp>BDP|9546877536208420795</stp>
        <tr r="C1918" s="2"/>
      </tp>
      <tp t="s">
        <v>#N/A N/A</v>
        <stp/>
        <stp>BDP|7011962892289439394</stp>
        <tr r="M106" s="2"/>
      </tp>
      <tp t="s">
        <v>#N/A N/A</v>
        <stp/>
        <stp>BDP|8218582241973095725</stp>
        <tr r="E770" s="2"/>
      </tp>
      <tp t="s">
        <v>#N/A N/A</v>
        <stp/>
        <stp>BDP|4398943874052855556</stp>
        <tr r="Q1326" s="2"/>
      </tp>
      <tp t="s">
        <v>#N/A N/A</v>
        <stp/>
        <stp>BDP|7045764504259538498</stp>
        <tr r="N198" s="2"/>
      </tp>
      <tp t="s">
        <v>#N/A N/A</v>
        <stp/>
        <stp>BDP|6054263882691890021</stp>
        <tr r="Q303" s="2"/>
      </tp>
      <tp t="s">
        <v>#N/A N/A</v>
        <stp/>
        <stp>BDP|1082628902988664287</stp>
        <tr r="T1591" s="2"/>
      </tp>
      <tp t="s">
        <v>#N/A N/A</v>
        <stp/>
        <stp>BDP|9568484311827748656</stp>
        <tr r="E1460" s="2"/>
      </tp>
      <tp t="s">
        <v>#N/A N/A</v>
        <stp/>
        <stp>BDP|5475737568941988889</stp>
        <tr r="A1742" s="2"/>
      </tp>
      <tp t="s">
        <v>#N/A N/A</v>
        <stp/>
        <stp>BDP|7611438594487640091</stp>
        <tr r="D691" s="2"/>
      </tp>
      <tp t="s">
        <v>#N/A N/A</v>
        <stp/>
        <stp>BDP|8012631959921614720</stp>
        <tr r="E166" s="2"/>
      </tp>
      <tp t="s">
        <v>#N/A N/A</v>
        <stp/>
        <stp>BDP|5599099180835615541</stp>
        <tr r="P757" s="2"/>
      </tp>
      <tp t="s">
        <v>#N/A N/A</v>
        <stp/>
        <stp>BDP|2774905604091533789</stp>
        <tr r="E119" s="2"/>
      </tp>
      <tp t="s">
        <v>#N/A N/A</v>
        <stp/>
        <stp>BDP|1396494697505163425</stp>
        <tr r="N107" s="2"/>
      </tp>
      <tp t="s">
        <v>#N/A N/A</v>
        <stp/>
        <stp>BDP|9798451559220417510</stp>
        <tr r="P902" s="2"/>
      </tp>
      <tp t="s">
        <v>#N/A N/A</v>
        <stp/>
        <stp>BDP|3425295623929464742</stp>
        <tr r="K517" s="2"/>
      </tp>
      <tp t="s">
        <v>#N/A N/A</v>
        <stp/>
        <stp>BDP|8836165293044090935</stp>
        <tr r="H1281" s="2"/>
      </tp>
      <tp t="s">
        <v>#N/A N/A</v>
        <stp/>
        <stp>BDP|3505359651061813975</stp>
        <tr r="K2135" s="2"/>
      </tp>
      <tp t="s">
        <v>#N/A N/A</v>
        <stp/>
        <stp>BDP|7569733738008108618</stp>
        <tr r="Q785" s="2"/>
      </tp>
      <tp t="s">
        <v>#N/A N/A</v>
        <stp/>
        <stp>BDP|4332260235949905177</stp>
        <tr r="G898" s="2"/>
      </tp>
      <tp t="s">
        <v>#N/A N/A</v>
        <stp/>
        <stp>BDP|3132064077528793196</stp>
        <tr r="M2066" s="2"/>
      </tp>
      <tp t="s">
        <v>#N/A N/A</v>
        <stp/>
        <stp>BDP|8752397504483288562</stp>
        <tr r="Q2113" s="2"/>
      </tp>
      <tp t="s">
        <v>#N/A N/A</v>
        <stp/>
        <stp>BDP|8431319047675996759</stp>
        <tr r="H446" s="2"/>
      </tp>
      <tp t="s">
        <v>#N/A N/A</v>
        <stp/>
        <stp>BDP|8381465504753930265</stp>
        <tr r="C1445" s="2"/>
      </tp>
      <tp t="s">
        <v>#N/A N/A</v>
        <stp/>
        <stp>BDS|9048500632232884041</stp>
        <tr r="I1513" s="2"/>
      </tp>
      <tp t="s">
        <v>#N/A N/A</v>
        <stp/>
        <stp>BDP|7222887380693684924</stp>
        <tr r="A2075" s="2"/>
      </tp>
      <tp t="s">
        <v>#N/A N/A</v>
        <stp/>
        <stp>BDP|2816369978433001883</stp>
        <tr r="H1038" s="2"/>
      </tp>
      <tp t="s">
        <v>#N/A N/A</v>
        <stp/>
        <stp>BDP|5482689511696296911</stp>
        <tr r="P1763" s="2"/>
      </tp>
      <tp t="s">
        <v>#N/A N/A</v>
        <stp/>
        <stp>BDP|8727653919017764528</stp>
        <tr r="Q2085" s="2"/>
      </tp>
      <tp t="s">
        <v>#N/A N/A</v>
        <stp/>
        <stp>BDS|7623791526047765808</stp>
        <tr r="I1932" s="2"/>
      </tp>
      <tp t="s">
        <v>#N/A N/A</v>
        <stp/>
        <stp>BDP|1492878269533133159</stp>
        <tr r="G77" s="2"/>
      </tp>
      <tp t="s">
        <v>#N/A N/A</v>
        <stp/>
        <stp>BDS|5462688397291368667</stp>
        <tr r="I1773" s="2"/>
      </tp>
      <tp t="s">
        <v>#N/A N/A</v>
        <stp/>
        <stp>BDP|3550538667384710981</stp>
        <tr r="Q255" s="2"/>
      </tp>
      <tp t="s">
        <v>#N/A N/A</v>
        <stp/>
        <stp>BDP|6314647459220465843</stp>
        <tr r="G1790" s="2"/>
      </tp>
      <tp t="s">
        <v>#N/A N/A</v>
        <stp/>
        <stp>BDP|8506437003179270891</stp>
        <tr r="G1307" s="2"/>
      </tp>
      <tp t="s">
        <v>#N/A N/A</v>
        <stp/>
        <stp>BDP|8115666859932873489</stp>
        <tr r="A1027" s="2"/>
      </tp>
      <tp t="s">
        <v>#N/A N/A</v>
        <stp/>
        <stp>BDP|1224214589734376275</stp>
        <tr r="O335" s="2"/>
      </tp>
      <tp t="s">
        <v>#N/A N/A</v>
        <stp/>
        <stp>BDP|2492023398024715278</stp>
        <tr r="E850" s="2"/>
      </tp>
      <tp t="s">
        <v>#N/A N/A</v>
        <stp/>
        <stp>BDP|4619994561286073003</stp>
        <tr r="M1201" s="2"/>
      </tp>
      <tp t="s">
        <v>#N/A N/A</v>
        <stp/>
        <stp>BDP|7218816177021309494</stp>
        <tr r="P625" s="2"/>
      </tp>
      <tp t="s">
        <v>#N/A N/A</v>
        <stp/>
        <stp>BDP|1625639290996883539</stp>
        <tr r="N579" s="2"/>
      </tp>
      <tp t="s">
        <v>#N/A N/A</v>
        <stp/>
        <stp>BDP|5813716710248238655</stp>
        <tr r="H268" s="2"/>
      </tp>
      <tp t="s">
        <v>#N/A N/A</v>
        <stp/>
        <stp>BDP|8132816385591310482</stp>
        <tr r="D2148" s="2"/>
      </tp>
      <tp t="s">
        <v>#N/A N/A</v>
        <stp/>
        <stp>BDP|9510662339666400707</stp>
        <tr r="D2195" s="2"/>
      </tp>
      <tp t="s">
        <v>#N/A N/A</v>
        <stp/>
        <stp>BDP|8950071710434612063</stp>
        <tr r="M263" s="2"/>
      </tp>
      <tp t="s">
        <v>#N/A N/A</v>
        <stp/>
        <stp>BDP|9666773786933906809</stp>
        <tr r="A1946" s="2"/>
      </tp>
      <tp t="s">
        <v>#N/A N/A</v>
        <stp/>
        <stp>BDP|1934833081714108842</stp>
        <tr r="E1864" s="2"/>
      </tp>
      <tp t="s">
        <v>#N/A N/A</v>
        <stp/>
        <stp>BDP|6477307936493829843</stp>
        <tr r="E393" s="2"/>
      </tp>
      <tp t="s">
        <v>#N/A N/A</v>
        <stp/>
        <stp>BDP|8411467948410307577</stp>
        <tr r="T507" s="2"/>
      </tp>
      <tp t="s">
        <v>#N/A N/A</v>
        <stp/>
        <stp>BDS|4438959431737797492</stp>
        <tr r="I1825" s="2"/>
      </tp>
      <tp t="s">
        <v>#N/A N/A</v>
        <stp/>
        <stp>BDP|4942519368019785391</stp>
        <tr r="H1989" s="2"/>
      </tp>
      <tp t="s">
        <v>#N/A N/A</v>
        <stp/>
        <stp>BDS|5570889130131284210</stp>
        <tr r="I546" s="2"/>
      </tp>
      <tp t="s">
        <v>#N/A N/A</v>
        <stp/>
        <stp>BDP|2165850244212895169</stp>
        <tr r="C291" s="2"/>
      </tp>
      <tp t="s">
        <v>#N/A N/A</v>
        <stp/>
        <stp>BDP|9454486111763570267</stp>
        <tr r="P1596" s="2"/>
      </tp>
      <tp t="s">
        <v>#N/A N/A</v>
        <stp/>
        <stp>BDS|7995900155034774259</stp>
        <tr r="I1874" s="2"/>
      </tp>
      <tp t="s">
        <v>#N/A N/A</v>
        <stp/>
        <stp>BDP|7358580683755070261</stp>
        <tr r="O1074" s="2"/>
      </tp>
      <tp t="s">
        <v>#N/A N/A</v>
        <stp/>
        <stp>BDP|7679198168748999506</stp>
        <tr r="C1285" s="2"/>
      </tp>
      <tp t="s">
        <v>#N/A N/A</v>
        <stp/>
        <stp>BDS|6519447952312894858</stp>
        <tr r="I1415" s="2"/>
      </tp>
      <tp t="s">
        <v>#N/A N/A</v>
        <stp/>
        <stp>BDP|2930041693481239722</stp>
        <tr r="N35" s="2"/>
      </tp>
      <tp t="s">
        <v>#N/A N/A</v>
        <stp/>
        <stp>BDP|4567669311908436682</stp>
        <tr r="K916" s="2"/>
      </tp>
      <tp t="s">
        <v>#N/A N/A</v>
        <stp/>
        <stp>BDP|2701082880232549543</stp>
        <tr r="C5" s="2"/>
      </tp>
      <tp t="s">
        <v>#N/A N/A</v>
        <stp/>
        <stp>BDP|8365333173530518186</stp>
        <tr r="T119" s="2"/>
      </tp>
      <tp t="s">
        <v>#N/A N/A</v>
        <stp/>
        <stp>BDS|1829128154838702076</stp>
        <tr r="I778" s="2"/>
      </tp>
      <tp t="s">
        <v>#N/A N/A</v>
        <stp/>
        <stp>BDP|2458152474238245196</stp>
        <tr r="A335" s="2"/>
      </tp>
      <tp t="s">
        <v>#N/A N/A</v>
        <stp/>
        <stp>BDP|7342132434599814125</stp>
        <tr r="S805" s="2"/>
      </tp>
      <tp t="s">
        <v>#N/A N/A</v>
        <stp/>
        <stp>BDP|1853633490511600235</stp>
        <tr r="H678" s="2"/>
      </tp>
      <tp t="s">
        <v>#N/A N/A</v>
        <stp/>
        <stp>BDP|2096906340617986577</stp>
        <tr r="N2184" s="2"/>
      </tp>
      <tp t="s">
        <v>#N/A N/A</v>
        <stp/>
        <stp>BDP|5042615766731805910</stp>
        <tr r="D707" s="2"/>
      </tp>
      <tp t="s">
        <v>#N/A N/A</v>
        <stp/>
        <stp>BDP|1699745392457793597</stp>
        <tr r="M1563" s="2"/>
      </tp>
      <tp t="s">
        <v>#N/A N/A</v>
        <stp/>
        <stp>BDP|1250119556628958029</stp>
        <tr r="F1831" s="2"/>
      </tp>
      <tp t="s">
        <v>#N/A N/A</v>
        <stp/>
        <stp>BDP|9726885902119661556</stp>
        <tr r="R877" s="2"/>
      </tp>
      <tp t="s">
        <v>#N/A N/A</v>
        <stp/>
        <stp>BDP|3233473988571559379</stp>
        <tr r="R2106" s="2"/>
      </tp>
      <tp t="s">
        <v>#N/A N/A</v>
        <stp/>
        <stp>BDP|5858342521598320119</stp>
        <tr r="R800" s="2"/>
      </tp>
      <tp t="s">
        <v>#N/A N/A</v>
        <stp/>
        <stp>BDP|9959353443113590057</stp>
        <tr r="R1674" s="2"/>
      </tp>
      <tp t="s">
        <v>#N/A N/A</v>
        <stp/>
        <stp>BDP|1525907907852413795</stp>
        <tr r="M182" s="2"/>
      </tp>
      <tp t="s">
        <v>#N/A N/A</v>
        <stp/>
        <stp>BDP|8499484632930989284</stp>
        <tr r="R366" s="2"/>
      </tp>
      <tp t="s">
        <v>#N/A N/A</v>
        <stp/>
        <stp>BDP|2409698778096934833</stp>
        <tr r="Q1674" s="2"/>
      </tp>
      <tp t="s">
        <v>#N/A N/A</v>
        <stp/>
        <stp>BDP|2712788838212028981</stp>
        <tr r="N1338" s="2"/>
      </tp>
      <tp t="s">
        <v>#N/A N/A</v>
        <stp/>
        <stp>BDS|9584187240388272900</stp>
        <tr r="I877" s="2"/>
      </tp>
      <tp t="s">
        <v>#N/A N/A</v>
        <stp/>
        <stp>BDP|6819415106056799976</stp>
        <tr r="F1428" s="2"/>
      </tp>
      <tp t="s">
        <v>#N/A N/A</v>
        <stp/>
        <stp>BDP|9273155077902787088</stp>
        <tr r="J652" s="2"/>
      </tp>
      <tp t="s">
        <v>#N/A N/A</v>
        <stp/>
        <stp>BDP|9402977794160144499</stp>
        <tr r="S917" s="2"/>
      </tp>
      <tp t="s">
        <v>#N/A N/A</v>
        <stp/>
        <stp>BDP|8896837980595397079</stp>
        <tr r="N417" s="2"/>
      </tp>
      <tp t="s">
        <v>#N/A N/A</v>
        <stp/>
        <stp>BDP|4200431458089520138</stp>
        <tr r="R2045" s="2"/>
      </tp>
      <tp t="s">
        <v>#N/A N/A</v>
        <stp/>
        <stp>BDP|6646522172489883011</stp>
        <tr r="E2021" s="2"/>
      </tp>
      <tp t="s">
        <v>#N/A N/A</v>
        <stp/>
        <stp>BDS|1397144977778737281</stp>
        <tr r="I1337" s="2"/>
      </tp>
      <tp t="s">
        <v>#N/A N/A</v>
        <stp/>
        <stp>BDP|9964368761431718060</stp>
        <tr r="A984" s="2"/>
      </tp>
      <tp t="s">
        <v>#N/A N/A</v>
        <stp/>
        <stp>BDP|1603889654335345464</stp>
        <tr r="Q265" s="2"/>
      </tp>
      <tp t="s">
        <v>#N/A N/A</v>
        <stp/>
        <stp>BDP|7469752181875853073</stp>
        <tr r="J550" s="2"/>
      </tp>
      <tp t="s">
        <v>#N/A N/A</v>
        <stp/>
        <stp>BDP|4735841124882801100</stp>
        <tr r="S386" s="2"/>
      </tp>
      <tp t="s">
        <v>#N/A N/A</v>
        <stp/>
        <stp>BDP|7783883772134274100</stp>
        <tr r="A791" s="2"/>
      </tp>
      <tp t="s">
        <v>#N/A N/A</v>
        <stp/>
        <stp>BDP|9424298884766467826</stp>
        <tr r="T14" s="2"/>
      </tp>
      <tp t="s">
        <v>#N/A N/A</v>
        <stp/>
        <stp>BDS|2503998845635385758</stp>
        <tr r="I1442" s="2"/>
      </tp>
      <tp t="s">
        <v>#N/A N/A</v>
        <stp/>
        <stp>BDP|8677779569554743003</stp>
        <tr r="S1225" s="2"/>
      </tp>
      <tp t="s">
        <v>#N/A N/A</v>
        <stp/>
        <stp>BDP|8930492708257077678</stp>
        <tr r="O1439" s="2"/>
      </tp>
      <tp t="s">
        <v>#N/A N/A</v>
        <stp/>
        <stp>BDP|1168861067965764784</stp>
        <tr r="T468" s="2"/>
      </tp>
      <tp t="s">
        <v>#N/A N/A</v>
        <stp/>
        <stp>BDP|7237961858592482470</stp>
        <tr r="K606" s="2"/>
      </tp>
      <tp t="s">
        <v>#N/A N/A</v>
        <stp/>
        <stp>BDP|1027660908998331227</stp>
        <tr r="N421" s="2"/>
      </tp>
      <tp t="s">
        <v>#N/A N/A</v>
        <stp/>
        <stp>BDP|4282670267680964947</stp>
        <tr r="C96" s="2"/>
      </tp>
      <tp t="s">
        <v>#N/A N/A</v>
        <stp/>
        <stp>BDP|6897927100645736725</stp>
        <tr r="M1952" s="2"/>
      </tp>
      <tp t="s">
        <v>#N/A N/A</v>
        <stp/>
        <stp>BDP|2361749347545922969</stp>
        <tr r="H138" s="2"/>
      </tp>
      <tp t="s">
        <v>#N/A N/A</v>
        <stp/>
        <stp>BDP|3822209346030182802</stp>
        <tr r="J388" s="2"/>
      </tp>
      <tp t="s">
        <v>#N/A N/A</v>
        <stp/>
        <stp>BDP|8019395285248471670</stp>
        <tr r="H15" s="2"/>
      </tp>
      <tp t="s">
        <v>#N/A N/A</v>
        <stp/>
        <stp>BDP|1204841801201044586</stp>
        <tr r="O1742" s="2"/>
      </tp>
      <tp t="s">
        <v>#N/A N/A</v>
        <stp/>
        <stp>BDP|6331086785842253138</stp>
        <tr r="S951" s="2"/>
      </tp>
      <tp t="s">
        <v>#N/A N/A</v>
        <stp/>
        <stp>BDP|5864830307181360101</stp>
        <tr r="A68" s="2"/>
      </tp>
      <tp t="s">
        <v>#N/A N/A</v>
        <stp/>
        <stp>BDP|5493437042758233089</stp>
        <tr r="K708" s="2"/>
      </tp>
      <tp t="s">
        <v>#N/A N/A</v>
        <stp/>
        <stp>BDP|2016636908591020843</stp>
        <tr r="Q1619" s="2"/>
      </tp>
      <tp t="s">
        <v>#N/A N/A</v>
        <stp/>
        <stp>BDP|4941712466048613074</stp>
        <tr r="H1207" s="2"/>
      </tp>
      <tp t="s">
        <v>#N/A N/A</v>
        <stp/>
        <stp>BDS|9471534018611003105</stp>
        <tr r="I854" s="2"/>
      </tp>
      <tp t="s">
        <v>#N/A N/A</v>
        <stp/>
        <stp>BDP|1378860408315739155</stp>
        <tr r="O16" s="2"/>
      </tp>
      <tp t="s">
        <v>#N/A N/A</v>
        <stp/>
        <stp>BDP|6564958742517996140</stp>
        <tr r="J2236" s="2"/>
      </tp>
      <tp t="s">
        <v>#N/A N/A</v>
        <stp/>
        <stp>BDP|8606283117864201249</stp>
        <tr r="Q2154" s="2"/>
      </tp>
      <tp t="s">
        <v>#N/A N/A</v>
        <stp/>
        <stp>BDP|7261145880020879316</stp>
        <tr r="D293" s="2"/>
      </tp>
      <tp t="s">
        <v>#N/A N/A</v>
        <stp/>
        <stp>BDP|9749382602610266704</stp>
        <tr r="S1755" s="2"/>
      </tp>
      <tp t="s">
        <v>#N/A N/A</v>
        <stp/>
        <stp>BDP|8884560001082535259</stp>
        <tr r="J1356" s="2"/>
      </tp>
      <tp t="s">
        <v>#N/A N/A</v>
        <stp/>
        <stp>BDP|7870402183852211469</stp>
        <tr r="D1092" s="2"/>
      </tp>
      <tp t="s">
        <v>#N/A N/A</v>
        <stp/>
        <stp>BDP|1017397350079475324</stp>
        <tr r="K358" s="2"/>
      </tp>
      <tp t="s">
        <v>#N/A N/A</v>
        <stp/>
        <stp>BDP|4491059042954946958</stp>
        <tr r="G430" s="2"/>
      </tp>
      <tp t="s">
        <v>#N/A N/A</v>
        <stp/>
        <stp>BDP|9078491503769669932</stp>
        <tr r="C280" s="2"/>
      </tp>
      <tp t="s">
        <v>#N/A N/A</v>
        <stp/>
        <stp>BDP|8117486797979034118</stp>
        <tr r="J78" s="2"/>
      </tp>
      <tp t="s">
        <v>#N/A N/A</v>
        <stp/>
        <stp>BDP|9850749626880450114</stp>
        <tr r="A756" s="2"/>
      </tp>
      <tp t="s">
        <v>#N/A N/A</v>
        <stp/>
        <stp>BDP|5935813222142249070</stp>
        <tr r="Q1847" s="2"/>
      </tp>
      <tp t="s">
        <v>#N/A N/A</v>
        <stp/>
        <stp>BDS|3617418240578834608</stp>
        <tr r="I1723" s="2"/>
      </tp>
      <tp t="s">
        <v>#N/A N/A</v>
        <stp/>
        <stp>BDP|8641407218728896899</stp>
        <tr r="H1904" s="2"/>
      </tp>
      <tp t="s">
        <v>#N/A N/A</v>
        <stp/>
        <stp>BDP|8124837480840516588</stp>
        <tr r="K1044" s="2"/>
      </tp>
      <tp t="s">
        <v>#N/A N/A</v>
        <stp/>
        <stp>BDP|3754764961478902761</stp>
        <tr r="M121" s="2"/>
      </tp>
      <tp t="s">
        <v>#N/A N/A</v>
        <stp/>
        <stp>BDS|3516297582383903782</stp>
        <tr r="I972" s="2"/>
      </tp>
      <tp t="s">
        <v>#N/A N/A</v>
        <stp/>
        <stp>BDP|3548107207239572682</stp>
        <tr r="S869" s="2"/>
      </tp>
      <tp t="s">
        <v>#N/A N/A</v>
        <stp/>
        <stp>BDP|5322498394833467653</stp>
        <tr r="F1962" s="2"/>
      </tp>
      <tp t="s">
        <v>#N/A N/A</v>
        <stp/>
        <stp>BDP|8662089237955282349</stp>
        <tr r="D1058" s="2"/>
      </tp>
      <tp t="s">
        <v>#N/A N/A</v>
        <stp/>
        <stp>BDP|2656034697550849657</stp>
        <tr r="H964" s="2"/>
      </tp>
      <tp t="s">
        <v>#N/A N/A</v>
        <stp/>
        <stp>BDP|8562880991007516360</stp>
        <tr r="C952" s="2"/>
      </tp>
      <tp t="s">
        <v>#N/A N/A</v>
        <stp/>
        <stp>BDP|3362897421742579616</stp>
        <tr r="E819" s="2"/>
      </tp>
      <tp t="s">
        <v>#N/A N/A</v>
        <stp/>
        <stp>BDP|7539720012058908435</stp>
        <tr r="K2007" s="2"/>
      </tp>
      <tp t="s">
        <v>#N/A N/A</v>
        <stp/>
        <stp>BDP|8328592823204705614</stp>
        <tr r="T1790" s="2"/>
      </tp>
      <tp t="s">
        <v>#N/A N/A</v>
        <stp/>
        <stp>BDP|8609402645114950150</stp>
        <tr r="C830" s="2"/>
      </tp>
      <tp t="s">
        <v>#N/A N/A</v>
        <stp/>
        <stp>BDP|1006876796295767894</stp>
        <tr r="J848" s="2"/>
      </tp>
      <tp t="s">
        <v>#N/A N/A</v>
        <stp/>
        <stp>BDP|7383499771208430139</stp>
        <tr r="F481" s="2"/>
      </tp>
      <tp t="s">
        <v>#N/A N/A</v>
        <stp/>
        <stp>BDP|7893962040433576471</stp>
        <tr r="S1229" s="2"/>
      </tp>
      <tp t="s">
        <v>#N/A N/A</v>
        <stp/>
        <stp>BDP|1957710086717486463</stp>
        <tr r="G2035" s="2"/>
      </tp>
      <tp t="s">
        <v>#N/A N/A</v>
        <stp/>
        <stp>BDP|9165599713663034373</stp>
        <tr r="T899" s="2"/>
      </tp>
      <tp t="s">
        <v>#N/A N/A</v>
        <stp/>
        <stp>BDP|6172581574220696974</stp>
        <tr r="F888" s="2"/>
      </tp>
      <tp t="s">
        <v>#N/A N/A</v>
        <stp/>
        <stp>BDP|6655973949614487201</stp>
        <tr r="F186" s="2"/>
      </tp>
      <tp t="s">
        <v>#N/A N/A</v>
        <stp/>
        <stp>BDP|1535878548343473327</stp>
        <tr r="H1814" s="2"/>
      </tp>
      <tp t="s">
        <v>#N/A N/A</v>
        <stp/>
        <stp>BDP|1841529998699711992</stp>
        <tr r="J805" s="2"/>
      </tp>
      <tp t="s">
        <v>#N/A N/A</v>
        <stp/>
        <stp>BDP|9831236617934904394</stp>
        <tr r="S341" s="2"/>
      </tp>
      <tp t="s">
        <v>#N/A N/A</v>
        <stp/>
        <stp>BDP|2620805168842626345</stp>
        <tr r="C1581" s="2"/>
      </tp>
      <tp t="s">
        <v>#N/A N/A</v>
        <stp/>
        <stp>BDP|6579653227406382980</stp>
        <tr r="D125" s="2"/>
      </tp>
      <tp t="s">
        <v>#N/A N/A</v>
        <stp/>
        <stp>BDP|8758542156997804215</stp>
        <tr r="E655" s="2"/>
      </tp>
      <tp t="s">
        <v>#N/A N/A</v>
        <stp/>
        <stp>BDP|2696610057185468985</stp>
        <tr r="H322" s="2"/>
      </tp>
      <tp t="s">
        <v>#N/A N/A</v>
        <stp/>
        <stp>BDP|6106744041130072889</stp>
        <tr r="K1827" s="2"/>
      </tp>
      <tp t="s">
        <v>#N/A N/A</v>
        <stp/>
        <stp>BDP|3847823047156640479</stp>
        <tr r="K2160" s="2"/>
      </tp>
      <tp t="s">
        <v>#N/A N/A</v>
        <stp/>
        <stp>BDP|4515224154629614799</stp>
        <tr r="P1370" s="2"/>
      </tp>
      <tp t="s">
        <v>#N/A N/A</v>
        <stp/>
        <stp>BDS|5550985401510846189</stp>
        <tr r="I1287" s="2"/>
      </tp>
      <tp t="s">
        <v>#N/A N/A</v>
        <stp/>
        <stp>BDP|2443197771979118010</stp>
        <tr r="A1925" s="2"/>
      </tp>
      <tp t="s">
        <v>#N/A N/A</v>
        <stp/>
        <stp>BDP|8352743126343895356</stp>
        <tr r="F562" s="2"/>
      </tp>
      <tp t="s">
        <v>#N/A N/A</v>
        <stp/>
        <stp>BDP|3653593893712236028</stp>
        <tr r="A2084" s="2"/>
      </tp>
      <tp t="s">
        <v>#N/A N/A</v>
        <stp/>
        <stp>BDP|9498789700321992290</stp>
        <tr r="H1130" s="2"/>
      </tp>
      <tp t="s">
        <v>#N/A N/A</v>
        <stp/>
        <stp>BDP|1765171505498812518</stp>
        <tr r="C1477" s="2"/>
      </tp>
      <tp t="s">
        <v>#N/A N/A</v>
        <stp/>
        <stp>BDP|1194884811725628025</stp>
        <tr r="H684" s="2"/>
      </tp>
      <tp t="s">
        <v>#N/A N/A</v>
        <stp/>
        <stp>BDP|7570265794443297293</stp>
        <tr r="C1089" s="2"/>
      </tp>
      <tp t="s">
        <v>#N/A N/A</v>
        <stp/>
        <stp>BDP|8224402193619830159</stp>
        <tr r="P540" s="2"/>
      </tp>
      <tp t="s">
        <v>#N/A N/A</v>
        <stp/>
        <stp>BDP|8507659403211825275</stp>
        <tr r="E19" s="2"/>
      </tp>
      <tp t="s">
        <v>#N/A N/A</v>
        <stp/>
        <stp>BDP|4369763125509848548</stp>
        <tr r="G1825" s="2"/>
      </tp>
      <tp t="s">
        <v>#N/A N/A</v>
        <stp/>
        <stp>BDP|5216736449043594812</stp>
        <tr r="T563" s="2"/>
      </tp>
      <tp t="s">
        <v>#N/A N/A</v>
        <stp/>
        <stp>BDP|7498809058827578053</stp>
        <tr r="A1173" s="2"/>
      </tp>
      <tp t="s">
        <v>#N/A N/A</v>
        <stp/>
        <stp>BDP|8983108115171449449</stp>
        <tr r="J1610" s="2"/>
      </tp>
      <tp t="s">
        <v>#N/A N/A</v>
        <stp/>
        <stp>BDP|6941640214785486917</stp>
        <tr r="R473" s="2"/>
      </tp>
      <tp t="s">
        <v>#N/A N/A</v>
        <stp/>
        <stp>BDP|2623093917878516614</stp>
        <tr r="K559" s="2"/>
      </tp>
      <tp t="s">
        <v>#N/A N/A</v>
        <stp/>
        <stp>BDP|2409609299402518243</stp>
        <tr r="P546" s="2"/>
      </tp>
      <tp t="s">
        <v>#N/A N/A</v>
        <stp/>
        <stp>BDP|8630532867437738199</stp>
        <tr r="G1603" s="2"/>
      </tp>
      <tp t="s">
        <v>#N/A N/A</v>
        <stp/>
        <stp>BDP|3274549110302239881</stp>
        <tr r="O172" s="2"/>
      </tp>
      <tp t="s">
        <v>#N/A N/A</v>
        <stp/>
        <stp>BDS|1566827845538785890</stp>
        <tr r="I1555" s="2"/>
      </tp>
      <tp t="s">
        <v>#N/A N/A</v>
        <stp/>
        <stp>BDP|2303747798368525968</stp>
        <tr r="S845" s="2"/>
      </tp>
      <tp t="s">
        <v>#N/A N/A</v>
        <stp/>
        <stp>BDP|4080702070919982055</stp>
        <tr r="O536" s="2"/>
      </tp>
      <tp t="s">
        <v>#N/A N/A</v>
        <stp/>
        <stp>BDP|3187281862568555227</stp>
        <tr r="O1695" s="2"/>
      </tp>
      <tp t="s">
        <v>#N/A N/A</v>
        <stp/>
        <stp>BDP|3421532489333522070</stp>
        <tr r="H907" s="2"/>
      </tp>
      <tp t="s">
        <v>#N/A N/A</v>
        <stp/>
        <stp>BDP|9455106168210303330</stp>
        <tr r="M1002" s="2"/>
      </tp>
      <tp t="s">
        <v>#N/A N/A</v>
        <stp/>
        <stp>BDP|9765959049349446039</stp>
        <tr r="D1028" s="2"/>
      </tp>
      <tp t="s">
        <v>#N/A N/A</v>
        <stp/>
        <stp>BDS|4866229662335161858</stp>
        <tr r="I1875" s="2"/>
      </tp>
      <tp t="s">
        <v>#N/A N/A</v>
        <stp/>
        <stp>BDP|6427018072199887532</stp>
        <tr r="S64" s="2"/>
      </tp>
      <tp t="s">
        <v>#N/A N/A</v>
        <stp/>
        <stp>BDP|2237075648202214935</stp>
        <tr r="E42" s="2"/>
      </tp>
      <tp t="s">
        <v>#N/A N/A</v>
        <stp/>
        <stp>BDP|8296243552155926719</stp>
        <tr r="P1065" s="2"/>
      </tp>
      <tp t="s">
        <v>#N/A N/A</v>
        <stp/>
        <stp>BDP|8960514470555621225</stp>
        <tr r="S1749" s="2"/>
      </tp>
      <tp t="s">
        <v>#N/A N/A</v>
        <stp/>
        <stp>BDP|8463666643027946044</stp>
        <tr r="S1609" s="2"/>
      </tp>
      <tp t="s">
        <v>#N/A N/A</v>
        <stp/>
        <stp>BDP|5415685683566176026</stp>
        <tr r="A436" s="2"/>
      </tp>
      <tp t="s">
        <v>#N/A N/A</v>
        <stp/>
        <stp>BDP|6732057651339924765</stp>
        <tr r="N2061" s="2"/>
      </tp>
      <tp t="s">
        <v>#N/A N/A</v>
        <stp/>
        <stp>BDP|4945731967158730067</stp>
        <tr r="O1631" s="2"/>
      </tp>
      <tp t="s">
        <v>#N/A N/A</v>
        <stp/>
        <stp>BDS|1223225922249904576</stp>
        <tr r="I184" s="2"/>
      </tp>
      <tp t="s">
        <v>#N/A N/A</v>
        <stp/>
        <stp>BDP|1604862958727159653</stp>
        <tr r="H95" s="2"/>
      </tp>
      <tp t="s">
        <v>#N/A N/A</v>
        <stp/>
        <stp>BDP|5695682223828783468</stp>
        <tr r="S1958" s="2"/>
      </tp>
      <tp t="s">
        <v>#N/A N/A</v>
        <stp/>
        <stp>BDP|7232043255657874872</stp>
        <tr r="P1661" s="2"/>
      </tp>
      <tp t="s">
        <v>#N/A N/A</v>
        <stp/>
        <stp>BDP|9128498450974092149</stp>
        <tr r="F1411" s="2"/>
      </tp>
      <tp t="s">
        <v>#N/A N/A</v>
        <stp/>
        <stp>BDP|5583714208467193813</stp>
        <tr r="A982" s="2"/>
      </tp>
      <tp t="s">
        <v>#N/A N/A</v>
        <stp/>
        <stp>BDP|3240931474701035193</stp>
        <tr r="G1615" s="2"/>
      </tp>
      <tp t="s">
        <v>#N/A N/A</v>
        <stp/>
        <stp>BDP|1103456448405205920</stp>
        <tr r="D1016" s="2"/>
      </tp>
      <tp t="s">
        <v>#N/A N/A</v>
        <stp/>
        <stp>BDS|9009446371490829711</stp>
        <tr r="I851" s="2"/>
      </tp>
      <tp t="s">
        <v>#N/A N/A</v>
        <stp/>
        <stp>BDP|3753242778268233353</stp>
        <tr r="M1939" s="2"/>
      </tp>
      <tp t="s">
        <v>#N/A N/A</v>
        <stp/>
        <stp>BDP|6840427576098664060</stp>
        <tr r="H1098" s="2"/>
      </tp>
      <tp t="s">
        <v>#N/A N/A</v>
        <stp/>
        <stp>BDP|6435394621508048203</stp>
        <tr r="G1911" s="2"/>
      </tp>
      <tp t="s">
        <v>#N/A N/A</v>
        <stp/>
        <stp>BDP|2803149470959265022</stp>
        <tr r="A1039" s="2"/>
      </tp>
      <tp t="s">
        <v>#N/A N/A</v>
        <stp/>
        <stp>BDP|4195894974891382739</stp>
        <tr r="N1423" s="2"/>
      </tp>
      <tp t="s">
        <v>#N/A N/A</v>
        <stp/>
        <stp>BDP|1211130298826151248</stp>
        <tr r="D2045" s="2"/>
      </tp>
      <tp t="s">
        <v>#N/A N/A</v>
        <stp/>
        <stp>BDP|5255841424132650084</stp>
        <tr r="T407" s="2"/>
      </tp>
      <tp t="s">
        <v>#N/A N/A</v>
        <stp/>
        <stp>BDP|3872948024947125250</stp>
        <tr r="K221" s="2"/>
      </tp>
      <tp t="s">
        <v>#N/A N/A</v>
        <stp/>
        <stp>BDP|8093608660611977454</stp>
        <tr r="F1634" s="2"/>
      </tp>
      <tp t="s">
        <v>#N/A N/A</v>
        <stp/>
        <stp>BDP|1753659592372599192</stp>
        <tr r="K1523" s="2"/>
      </tp>
      <tp t="s">
        <v>#N/A N/A</v>
        <stp/>
        <stp>BDP|6871915545684264226</stp>
        <tr r="R2217" s="2"/>
      </tp>
      <tp t="s">
        <v>#N/A N/A</v>
        <stp/>
        <stp>BDP|5657632068409004114</stp>
        <tr r="D1427" s="2"/>
      </tp>
      <tp t="s">
        <v>#N/A N/A</v>
        <stp/>
        <stp>BDP|6103694680025734030</stp>
        <tr r="P1633" s="2"/>
      </tp>
      <tp t="s">
        <v>#N/A N/A</v>
        <stp/>
        <stp>BDP|9117078812934050182</stp>
        <tr r="A363" s="2"/>
      </tp>
      <tp t="s">
        <v>#N/A N/A</v>
        <stp/>
        <stp>BDP|1546571231778817275</stp>
        <tr r="J1115" s="2"/>
      </tp>
      <tp t="s">
        <v>#N/A N/A</v>
        <stp/>
        <stp>BDP|1031381621818551509</stp>
        <tr r="F1698" s="2"/>
      </tp>
      <tp t="s">
        <v>#N/A N/A</v>
        <stp/>
        <stp>BDP|1406921788038412566</stp>
        <tr r="P887" s="2"/>
      </tp>
      <tp t="s">
        <v>#N/A N/A</v>
        <stp/>
        <stp>BDP|8848205325834186107</stp>
        <tr r="E1459" s="2"/>
      </tp>
      <tp t="s">
        <v>#N/A N/A</v>
        <stp/>
        <stp>BDP|2065757888318477853</stp>
        <tr r="N2183" s="2"/>
      </tp>
      <tp t="s">
        <v>#N/A N/A</v>
        <stp/>
        <stp>BDP|4154872261275847229</stp>
        <tr r="K215" s="2"/>
      </tp>
      <tp t="s">
        <v>#N/A N/A</v>
        <stp/>
        <stp>BDP|7475418369418238030</stp>
        <tr r="S623" s="2"/>
      </tp>
      <tp t="s">
        <v>#N/A N/A</v>
        <stp/>
        <stp>BDS|2599117999496736172</stp>
        <tr r="I1868" s="2"/>
      </tp>
      <tp t="s">
        <v>#N/A N/A</v>
        <stp/>
        <stp>BDS|2490781357048013561</stp>
        <tr r="I155" s="2"/>
      </tp>
      <tp t="s">
        <v>#N/A N/A</v>
        <stp/>
        <stp>BDP|4500363118759285247</stp>
        <tr r="G544" s="2"/>
      </tp>
      <tp t="s">
        <v>#N/A N/A</v>
        <stp/>
        <stp>BDP|7140656009805671966</stp>
        <tr r="T1236" s="2"/>
      </tp>
      <tp t="s">
        <v>#N/A N/A</v>
        <stp/>
        <stp>BDP|2566697165118335778</stp>
        <tr r="T2180" s="2"/>
      </tp>
      <tp t="s">
        <v>#N/A N/A</v>
        <stp/>
        <stp>BDP|5522387994902744033</stp>
        <tr r="E63" s="2"/>
      </tp>
      <tp t="s">
        <v>#N/A N/A</v>
        <stp/>
        <stp>BDS|2680386186101258572</stp>
        <tr r="I707" s="2"/>
      </tp>
      <tp t="s">
        <v>#N/A N/A</v>
        <stp/>
        <stp>BDP|2430448665345877805</stp>
        <tr r="S1189" s="2"/>
      </tp>
      <tp t="s">
        <v>#N/A N/A</v>
        <stp/>
        <stp>BDP|5404790790647092105</stp>
        <tr r="C2193" s="2"/>
      </tp>
      <tp t="s">
        <v>#N/A N/A</v>
        <stp/>
        <stp>BDP|9681008437745857248</stp>
        <tr r="O658" s="2"/>
      </tp>
      <tp t="s">
        <v>#N/A N/A</v>
        <stp/>
        <stp>BDP|9948706568687973259</stp>
        <tr r="R537" s="2"/>
      </tp>
      <tp t="s">
        <v>#N/A N/A</v>
        <stp/>
        <stp>BDP|6292723199887219269</stp>
        <tr r="N952" s="2"/>
      </tp>
      <tp t="s">
        <v>#N/A N/A</v>
        <stp/>
        <stp>BDP|6954444913677149929</stp>
        <tr r="A632" s="2"/>
      </tp>
      <tp t="s">
        <v>#N/A N/A</v>
        <stp/>
        <stp>BDP|8607098298599804527</stp>
        <tr r="R1501" s="2"/>
      </tp>
      <tp t="s">
        <v>#N/A N/A</v>
        <stp/>
        <stp>BDP|3855904241773037048</stp>
        <tr r="K1132" s="2"/>
      </tp>
      <tp t="s">
        <v>#N/A N/A</v>
        <stp/>
        <stp>BDP|5106832208879504926</stp>
        <tr r="T316" s="2"/>
      </tp>
      <tp t="s">
        <v>#N/A N/A</v>
        <stp/>
        <stp>BDP|7246108148418621716</stp>
        <tr r="P943" s="2"/>
      </tp>
      <tp t="s">
        <v>#N/A N/A</v>
        <stp/>
        <stp>BDP|1657970351546581684</stp>
        <tr r="H1522" s="2"/>
      </tp>
      <tp t="s">
        <v>#N/A N/A</v>
        <stp/>
        <stp>BDP|8705859442250505987</stp>
        <tr r="A1440" s="2"/>
      </tp>
      <tp t="s">
        <v>#N/A N/A</v>
        <stp/>
        <stp>BDP|5905649022389600546</stp>
        <tr r="M768" s="2"/>
      </tp>
      <tp t="s">
        <v>#N/A N/A</v>
        <stp/>
        <stp>BDP|3576187099513119588</stp>
        <tr r="N45" s="2"/>
      </tp>
      <tp t="s">
        <v>#N/A N/A</v>
        <stp/>
        <stp>BDP|1268317740969660282</stp>
        <tr r="T2023" s="2"/>
      </tp>
      <tp t="s">
        <v>#N/A N/A</v>
        <stp/>
        <stp>BDP|9435940380243599684</stp>
        <tr r="O890" s="2"/>
      </tp>
      <tp t="s">
        <v>#N/A N/A</v>
        <stp/>
        <stp>BDP|3585120001038836734</stp>
        <tr r="E808" s="2"/>
      </tp>
      <tp t="s">
        <v>#N/A N/A</v>
        <stp/>
        <stp>BDP|9324267968801076105</stp>
        <tr r="E1739" s="2"/>
      </tp>
      <tp t="s">
        <v>#N/A N/A</v>
        <stp/>
        <stp>BDP|6412034640579260688</stp>
        <tr r="E46" s="2"/>
      </tp>
      <tp t="s">
        <v>#N/A N/A</v>
        <stp/>
        <stp>BDP|7472379097620043092</stp>
        <tr r="O1465" s="2"/>
      </tp>
      <tp t="s">
        <v>#N/A N/A</v>
        <stp/>
        <stp>BDP|9317714960652847779</stp>
        <tr r="J1733" s="2"/>
      </tp>
      <tp t="s">
        <v>#N/A N/A</v>
        <stp/>
        <stp>BDP|3414305879322094800</stp>
        <tr r="A684" s="2"/>
      </tp>
      <tp t="s">
        <v>#N/A N/A</v>
        <stp/>
        <stp>BDP|7272431769099339164</stp>
        <tr r="C1912" s="2"/>
      </tp>
      <tp t="s">
        <v>#N/A N/A</v>
        <stp/>
        <stp>BDS|9344192558530723083</stp>
        <tr r="I1104" s="2"/>
      </tp>
      <tp t="s">
        <v>#N/A N/A</v>
        <stp/>
        <stp>BDP|6627913530564858520</stp>
        <tr r="N957" s="2"/>
      </tp>
      <tp t="s">
        <v>#N/A N/A</v>
        <stp/>
        <stp>BDP|3189896019964900356</stp>
        <tr r="N193" s="2"/>
      </tp>
      <tp t="s">
        <v>#N/A N/A</v>
        <stp/>
        <stp>BDP|5253166203971286882</stp>
        <tr r="J483" s="2"/>
      </tp>
      <tp t="s">
        <v>#N/A N/A</v>
        <stp/>
        <stp>BDP|6984878568582219794</stp>
        <tr r="R486" s="2"/>
      </tp>
      <tp t="s">
        <v>#N/A N/A</v>
        <stp/>
        <stp>BDP|6377917060184760087</stp>
        <tr r="K551" s="2"/>
      </tp>
      <tp t="s">
        <v>#N/A N/A</v>
        <stp/>
        <stp>BDP|1458192227748575727</stp>
        <tr r="S1959" s="2"/>
      </tp>
      <tp t="s">
        <v>#N/A N/A</v>
        <stp/>
        <stp>BDP|7469309485177571699</stp>
        <tr r="E180" s="2"/>
      </tp>
      <tp t="s">
        <v>#N/A N/A</v>
        <stp/>
        <stp>BDP|5795839043202840625</stp>
        <tr r="F2009" s="2"/>
      </tp>
      <tp t="s">
        <v>#N/A N/A</v>
        <stp/>
        <stp>BDP|7800701355989588153</stp>
        <tr r="Q55" s="2"/>
      </tp>
      <tp t="s">
        <v>#N/A N/A</v>
        <stp/>
        <stp>BDP|3734601605491977962</stp>
        <tr r="Q264" s="2"/>
      </tp>
      <tp t="s">
        <v>#N/A N/A</v>
        <stp/>
        <stp>BDP|1873487649765018945</stp>
        <tr r="R2223" s="2"/>
      </tp>
      <tp t="s">
        <v>#N/A N/A</v>
        <stp/>
        <stp>BDS|5912819615930210121</stp>
        <tr r="I130" s="2"/>
      </tp>
      <tp t="s">
        <v>#N/A N/A</v>
        <stp/>
        <stp>BDP|9816918595522480656</stp>
        <tr r="R2128" s="2"/>
      </tp>
      <tp t="s">
        <v>#N/A N/A</v>
        <stp/>
        <stp>BDP|6122869288753767858</stp>
        <tr r="N1173" s="2"/>
      </tp>
      <tp t="s">
        <v>#N/A N/A</v>
        <stp/>
        <stp>BDP|9860002577484007722</stp>
        <tr r="P2116" s="2"/>
      </tp>
      <tp t="s">
        <v>#N/A N/A</v>
        <stp/>
        <stp>BDP|2150132210438867770</stp>
        <tr r="M1924" s="2"/>
      </tp>
      <tp t="s">
        <v>#N/A N/A</v>
        <stp/>
        <stp>BDP|7138291382551202152</stp>
        <tr r="D673" s="2"/>
      </tp>
      <tp t="s">
        <v>#N/A N/A</v>
        <stp/>
        <stp>BDP|5219442794754835172</stp>
        <tr r="G2149" s="2"/>
      </tp>
      <tp t="s">
        <v>#N/A N/A</v>
        <stp/>
        <stp>BDP|9862693923587956761</stp>
        <tr r="M1298" s="2"/>
      </tp>
      <tp t="s">
        <v>#N/A N/A</v>
        <stp/>
        <stp>BDP|8002540033417893429</stp>
        <tr r="H378" s="2"/>
      </tp>
      <tp t="s">
        <v>#N/A N/A</v>
        <stp/>
        <stp>BDP|9336381861170318146</stp>
        <tr r="M97" s="2"/>
      </tp>
      <tp t="s">
        <v>#N/A N/A</v>
        <stp/>
        <stp>BDP|5951813380851407919</stp>
        <tr r="E860" s="2"/>
      </tp>
      <tp t="s">
        <v>#N/A N/A</v>
        <stp/>
        <stp>BDP|3834885134523804614</stp>
        <tr r="S1956" s="2"/>
      </tp>
      <tp t="s">
        <v>#N/A N/A</v>
        <stp/>
        <stp>BDP|1755402989240000032</stp>
        <tr r="E264" s="2"/>
      </tp>
      <tp t="s">
        <v>#N/A N/A</v>
        <stp/>
        <stp>BDP|8145796935848650968</stp>
        <tr r="C1619" s="2"/>
      </tp>
      <tp t="s">
        <v>#N/A N/A</v>
        <stp/>
        <stp>BDP|8145789370071698423</stp>
        <tr r="C551" s="2"/>
      </tp>
      <tp t="s">
        <v>#N/A N/A</v>
        <stp/>
        <stp>BDP|7253049583570994216</stp>
        <tr r="R1205" s="2"/>
      </tp>
      <tp t="s">
        <v>#N/A N/A</v>
        <stp/>
        <stp>BDP|6776074429120727936</stp>
        <tr r="D311" s="2"/>
      </tp>
      <tp t="s">
        <v>#N/A N/A</v>
        <stp/>
        <stp>BDP|1136475588537541761</stp>
        <tr r="H922" s="2"/>
      </tp>
      <tp t="s">
        <v>#N/A N/A</v>
        <stp/>
        <stp>BDP|2423351129058066653</stp>
        <tr r="C1238" s="2"/>
      </tp>
      <tp t="s">
        <v>#N/A N/A</v>
        <stp/>
        <stp>BDP|2551350888786100244</stp>
        <tr r="T863" s="2"/>
      </tp>
      <tp t="s">
        <v>#N/A N/A</v>
        <stp/>
        <stp>BDP|1069793396044310612</stp>
        <tr r="N1485" s="2"/>
      </tp>
      <tp t="s">
        <v>#N/A N/A</v>
        <stp/>
        <stp>BDP|4095829945655961036</stp>
        <tr r="C1483" s="2"/>
      </tp>
      <tp t="s">
        <v>#N/A N/A</v>
        <stp/>
        <stp>BDP|2699222654730426898</stp>
        <tr r="E1413" s="2"/>
      </tp>
      <tp t="s">
        <v>#N/A N/A</v>
        <stp/>
        <stp>BDP|4110956521705316748</stp>
        <tr r="N1752" s="2"/>
      </tp>
      <tp t="s">
        <v>#N/A N/A</v>
        <stp/>
        <stp>BDP|4890496533029923796</stp>
        <tr r="F1809" s="2"/>
      </tp>
      <tp t="s">
        <v>#N/A N/A</v>
        <stp/>
        <stp>BDP|5437318727000226922</stp>
        <tr r="T1959" s="2"/>
      </tp>
      <tp t="s">
        <v>#N/A N/A</v>
        <stp/>
        <stp>BDP|5290933859576908234</stp>
        <tr r="M1711" s="2"/>
      </tp>
      <tp t="s">
        <v>#N/A N/A</v>
        <stp/>
        <stp>BDP|8941366139264221169</stp>
        <tr r="P1743" s="2"/>
      </tp>
      <tp t="s">
        <v>#N/A N/A</v>
        <stp/>
        <stp>BDP|7675891098819616234</stp>
        <tr r="M384" s="2"/>
      </tp>
      <tp t="s">
        <v>#N/A N/A</v>
        <stp/>
        <stp>BDP|9553544000852711342</stp>
        <tr r="D713" s="2"/>
      </tp>
      <tp t="s">
        <v>#N/A N/A</v>
        <stp/>
        <stp>BDP|2752464340878536760</stp>
        <tr r="O1739" s="2"/>
      </tp>
      <tp t="s">
        <v>#N/A N/A</v>
        <stp/>
        <stp>BDP|5584801795051526871</stp>
        <tr r="M1219" s="2"/>
      </tp>
      <tp t="s">
        <v>#N/A N/A</v>
        <stp/>
        <stp>BDP|6290599212398917728</stp>
        <tr r="Q1287" s="2"/>
      </tp>
      <tp t="s">
        <v>#N/A N/A</v>
        <stp/>
        <stp>BDP|1670213094910109707</stp>
        <tr r="K774" s="2"/>
      </tp>
      <tp t="s">
        <v>#N/A N/A</v>
        <stp/>
        <stp>BDP|4284280825720834956</stp>
        <tr r="A422" s="2"/>
      </tp>
      <tp t="s">
        <v>#N/A N/A</v>
        <stp/>
        <stp>BDP|4404653287567234068</stp>
        <tr r="C1850" s="2"/>
      </tp>
      <tp t="s">
        <v>#N/A N/A</v>
        <stp/>
        <stp>BDP|8391632736472237261</stp>
        <tr r="O1205" s="2"/>
      </tp>
      <tp t="s">
        <v>#N/A N/A</v>
        <stp/>
        <stp>BDP|2282858066107585664</stp>
        <tr r="O1356" s="2"/>
      </tp>
      <tp t="s">
        <v>#N/A N/A</v>
        <stp/>
        <stp>BDP|8571228076356313600</stp>
        <tr r="Q2155" s="2"/>
      </tp>
      <tp t="s">
        <v>#N/A N/A</v>
        <stp/>
        <stp>BDS|2385753990376509716</stp>
        <tr r="I109" s="2"/>
      </tp>
      <tp t="s">
        <v>#N/A N/A</v>
        <stp/>
        <stp>BDP|2908638623308823334</stp>
        <tr r="J2246" s="2"/>
      </tp>
      <tp t="s">
        <v>#N/A N/A</v>
        <stp/>
        <stp>BDP|7508334142108194571</stp>
        <tr r="T1517" s="2"/>
      </tp>
      <tp t="s">
        <v>#N/A N/A</v>
        <stp/>
        <stp>BDP|3677584664705918818</stp>
        <tr r="F649" s="2"/>
      </tp>
      <tp t="s">
        <v>#N/A N/A</v>
        <stp/>
        <stp>BDP|3397624420358033231</stp>
        <tr r="S702" s="2"/>
      </tp>
      <tp t="s">
        <v>#N/A N/A</v>
        <stp/>
        <stp>BDP|2715111163921744901</stp>
        <tr r="D1996" s="2"/>
      </tp>
      <tp t="s">
        <v>#N/A N/A</v>
        <stp/>
        <stp>BDP|4653409896061511571</stp>
        <tr r="S1272" s="2"/>
      </tp>
      <tp t="s">
        <v>#N/A N/A</v>
        <stp/>
        <stp>BDP|6129829631665396538</stp>
        <tr r="R1728" s="2"/>
      </tp>
      <tp t="s">
        <v>#N/A N/A</v>
        <stp/>
        <stp>BDP|7259335917450180853</stp>
        <tr r="A195" s="2"/>
      </tp>
      <tp t="s">
        <v>#N/A N/A</v>
        <stp/>
        <stp>BDP|7645830022285598500</stp>
        <tr r="R1456" s="2"/>
      </tp>
      <tp t="s">
        <v>#N/A N/A</v>
        <stp/>
        <stp>BDP|1889827738613549452</stp>
        <tr r="T116" s="2"/>
      </tp>
      <tp t="s">
        <v>#N/A N/A</v>
        <stp/>
        <stp>BDP|3594106390884395241</stp>
        <tr r="G1747" s="2"/>
      </tp>
      <tp t="s">
        <v>#N/A N/A</v>
        <stp/>
        <stp>BDP|6633666470293305919</stp>
        <tr r="C365" s="2"/>
      </tp>
      <tp t="s">
        <v>#N/A N/A</v>
        <stp/>
        <stp>BDP|7747875120184668447</stp>
        <tr r="F550" s="2"/>
      </tp>
      <tp t="s">
        <v>#N/A N/A</v>
        <stp/>
        <stp>BDP|8441492215685827523</stp>
        <tr r="T1578" s="2"/>
      </tp>
      <tp t="s">
        <v>#N/A N/A</v>
        <stp/>
        <stp>BDP|1309311352673335915</stp>
        <tr r="R171" s="2"/>
      </tp>
      <tp t="s">
        <v>#N/A N/A</v>
        <stp/>
        <stp>BDP|5879186262289817682</stp>
        <tr r="D120" s="2"/>
      </tp>
      <tp t="s">
        <v>#N/A N/A</v>
        <stp/>
        <stp>BDP|1322450282311221143</stp>
        <tr r="D1343" s="2"/>
      </tp>
      <tp t="s">
        <v>#N/A N/A</v>
        <stp/>
        <stp>BDP|3007508453967819990</stp>
        <tr r="Q88" s="2"/>
      </tp>
      <tp t="s">
        <v>#N/A N/A</v>
        <stp/>
        <stp>BDP|9002320365206319763</stp>
        <tr r="N1900" s="2"/>
      </tp>
      <tp t="s">
        <v>#N/A N/A</v>
        <stp/>
        <stp>BDP|9620610856554427375</stp>
        <tr r="Q1515" s="2"/>
      </tp>
      <tp t="s">
        <v>#N/A N/A</v>
        <stp/>
        <stp>BDP|6841827069120987589</stp>
        <tr r="K253" s="2"/>
      </tp>
      <tp t="s">
        <v>#N/A N/A</v>
        <stp/>
        <stp>BDP|1728501796923217318</stp>
        <tr r="M2101" s="2"/>
      </tp>
      <tp t="s">
        <v>#N/A N/A</v>
        <stp/>
        <stp>BDP|3317555845526516943</stp>
        <tr r="F1316" s="2"/>
      </tp>
      <tp t="s">
        <v>#N/A N/A</v>
        <stp/>
        <stp>BDP|8960798201213678158</stp>
        <tr r="O1792" s="2"/>
      </tp>
      <tp t="s">
        <v>#N/A N/A</v>
        <stp/>
        <stp>BDP|5589771853173493973</stp>
        <tr r="N1977" s="2"/>
      </tp>
      <tp t="s">
        <v>#N/A N/A</v>
        <stp/>
        <stp>BDP|3743156102378227701</stp>
        <tr r="S1721" s="2"/>
      </tp>
      <tp t="s">
        <v>#N/A N/A</v>
        <stp/>
        <stp>BDP|6359854555531613777</stp>
        <tr r="M1312" s="2"/>
      </tp>
      <tp t="s">
        <v>#N/A N/A</v>
        <stp/>
        <stp>BDP|4281009918619051180</stp>
        <tr r="O1770" s="2"/>
      </tp>
      <tp t="s">
        <v>#N/A N/A</v>
        <stp/>
        <stp>BDP|4172210561245505860</stp>
        <tr r="O859" s="2"/>
      </tp>
      <tp t="s">
        <v>#N/A N/A</v>
        <stp/>
        <stp>BDP|9478102878022710091</stp>
        <tr r="D994" s="2"/>
      </tp>
      <tp t="s">
        <v>#N/A N/A</v>
        <stp/>
        <stp>BDP|9592705971410198474</stp>
        <tr r="M1322" s="2"/>
      </tp>
      <tp t="s">
        <v>#N/A N/A</v>
        <stp/>
        <stp>BDP|7260809823723054338</stp>
        <tr r="J202" s="2"/>
      </tp>
      <tp t="s">
        <v>#N/A N/A</v>
        <stp/>
        <stp>BDP|2261076326059230437</stp>
        <tr r="S738" s="2"/>
      </tp>
      <tp t="s">
        <v>#N/A N/A</v>
        <stp/>
        <stp>BDP|5575831273776267153</stp>
        <tr r="P236" s="2"/>
      </tp>
      <tp t="s">
        <v>#N/A N/A</v>
        <stp/>
        <stp>BDP|4053713247258794239</stp>
        <tr r="A997" s="2"/>
      </tp>
      <tp t="s">
        <v>#N/A N/A</v>
        <stp/>
        <stp>BDP|8610055142665045432</stp>
        <tr r="D1793" s="2"/>
      </tp>
      <tp t="s">
        <v>#N/A N/A</v>
        <stp/>
        <stp>BDP|4050945539516849575</stp>
        <tr r="C1139" s="2"/>
      </tp>
      <tp t="s">
        <v>#N/A N/A</v>
        <stp/>
        <stp>BDP|6399671295914430076</stp>
        <tr r="J179" s="2"/>
      </tp>
      <tp t="s">
        <v>#N/A N/A</v>
        <stp/>
        <stp>BDP|8165634485408547305</stp>
        <tr r="F2125" s="2"/>
      </tp>
      <tp t="s">
        <v>#N/A N/A</v>
        <stp/>
        <stp>BDP|5715207590364021750</stp>
        <tr r="E729" s="2"/>
      </tp>
      <tp t="s">
        <v>#N/A N/A</v>
        <stp/>
        <stp>BDP|4939712786644858245</stp>
        <tr r="D1476" s="2"/>
      </tp>
      <tp t="s">
        <v>#N/A N/A</v>
        <stp/>
        <stp>BDP|2109606681912210309</stp>
        <tr r="E799" s="2"/>
      </tp>
      <tp t="s">
        <v>#N/A N/A</v>
        <stp/>
        <stp>BDP|8102884853538107096</stp>
        <tr r="K428" s="2"/>
      </tp>
      <tp t="s">
        <v>#N/A N/A</v>
        <stp/>
        <stp>BDP|7349352780119376877</stp>
        <tr r="H1876" s="2"/>
      </tp>
      <tp t="s">
        <v>#N/A N/A</v>
        <stp/>
        <stp>BDP|2276872030150562424</stp>
        <tr r="K1519" s="2"/>
      </tp>
      <tp t="s">
        <v>#N/A N/A</v>
        <stp/>
        <stp>BDP|1087932200916838396</stp>
        <tr r="M1248" s="2"/>
      </tp>
      <tp t="s">
        <v>#N/A N/A</v>
        <stp/>
        <stp>BDP|5176624457363229844</stp>
        <tr r="P1640" s="2"/>
      </tp>
      <tp t="s">
        <v>#N/A N/A</v>
        <stp/>
        <stp>BDP|3868364468358243363</stp>
        <tr r="K953" s="2"/>
      </tp>
      <tp t="s">
        <v>#N/A N/A</v>
        <stp/>
        <stp>BDP|7643273785398117873</stp>
        <tr r="S977" s="2"/>
      </tp>
      <tp t="s">
        <v>#N/A N/A</v>
        <stp/>
        <stp>BDP|8735433242250379573</stp>
        <tr r="K1923" s="2"/>
      </tp>
      <tp t="s">
        <v>#N/A N/A</v>
        <stp/>
        <stp>BDP|7912181460004117938</stp>
        <tr r="D1232" s="2"/>
      </tp>
      <tp t="s">
        <v>#N/A N/A</v>
        <stp/>
        <stp>BDP|8555309546225433744</stp>
        <tr r="G2021" s="2"/>
      </tp>
      <tp t="s">
        <v>#N/A N/A</v>
        <stp/>
        <stp>BDP|9514793553975534391</stp>
        <tr r="H744" s="2"/>
      </tp>
      <tp t="s">
        <v>#N/A N/A</v>
        <stp/>
        <stp>BDP|9125650466190827498</stp>
        <tr r="N1475" s="2"/>
      </tp>
      <tp t="s">
        <v>#N/A N/A</v>
        <stp/>
        <stp>BDP|4407947902400795063</stp>
        <tr r="E707" s="2"/>
      </tp>
      <tp t="s">
        <v>#N/A N/A</v>
        <stp/>
        <stp>BDP|3720424141817732905</stp>
        <tr r="R15" s="2"/>
      </tp>
      <tp t="s">
        <v>#N/A N/A</v>
        <stp/>
        <stp>BDP|4244841350546511209</stp>
        <tr r="J357" s="2"/>
      </tp>
      <tp t="s">
        <v>#N/A N/A</v>
        <stp/>
        <stp>BDP|6662760383912863681</stp>
        <tr r="F1601" s="2"/>
      </tp>
      <tp t="s">
        <v>#N/A N/A</v>
        <stp/>
        <stp>BDP|5785788989111681631</stp>
        <tr r="N475" s="2"/>
      </tp>
      <tp t="s">
        <v>#N/A N/A</v>
        <stp/>
        <stp>BDP|3672451310589136218</stp>
        <tr r="S62" s="2"/>
      </tp>
      <tp t="s">
        <v>#N/A N/A</v>
        <stp/>
        <stp>BDP|8629361662227289732</stp>
        <tr r="A1922" s="2"/>
      </tp>
      <tp t="s">
        <v>#N/A N/A</v>
        <stp/>
        <stp>BDP|5336368645516531966</stp>
        <tr r="J113" s="2"/>
      </tp>
      <tp t="s">
        <v>#N/A N/A</v>
        <stp/>
        <stp>BDP|4223006501138894187</stp>
        <tr r="D936" s="2"/>
      </tp>
      <tp t="s">
        <v>#N/A N/A</v>
        <stp/>
        <stp>BDP|8731407292320092865</stp>
        <tr r="O728" s="2"/>
      </tp>
      <tp t="s">
        <v>#N/A N/A</v>
        <stp/>
        <stp>BDS|8532562701732478259</stp>
        <tr r="I1116" s="2"/>
      </tp>
      <tp t="s">
        <v>#N/A N/A</v>
        <stp/>
        <stp>BDP|3413696957089850418</stp>
        <tr r="M2049" s="2"/>
      </tp>
      <tp t="s">
        <v>#N/A N/A</v>
        <stp/>
        <stp>BDP|5853267208082684830</stp>
        <tr r="F1899" s="2"/>
      </tp>
      <tp t="s">
        <v>#N/A N/A</v>
        <stp/>
        <stp>BDP|5365702894334491204</stp>
        <tr r="F2208" s="2"/>
      </tp>
      <tp t="s">
        <v>#N/A N/A</v>
        <stp/>
        <stp>BDP|1551560430349984393</stp>
        <tr r="A1276" s="2"/>
      </tp>
      <tp t="s">
        <v>#N/A N/A</v>
        <stp/>
        <stp>BDP|6553135083882226047</stp>
        <tr r="Q1606" s="2"/>
      </tp>
      <tp t="s">
        <v>#N/A N/A</v>
        <stp/>
        <stp>BDP|3346840087926104821</stp>
        <tr r="A725" s="2"/>
      </tp>
      <tp t="s">
        <v>#N/A N/A</v>
        <stp/>
        <stp>BDP|7460180565555296885</stp>
        <tr r="K1989" s="2"/>
      </tp>
      <tp t="s">
        <v>#N/A N/A</v>
        <stp/>
        <stp>BDP|2676369388285872134</stp>
        <tr r="P373" s="2"/>
      </tp>
      <tp t="s">
        <v>#N/A N/A</v>
        <stp/>
        <stp>BDP|4970981642393236729</stp>
        <tr r="M1505" s="2"/>
      </tp>
      <tp t="s">
        <v>#N/A N/A</v>
        <stp/>
        <stp>BDP|8253391901910802612</stp>
        <tr r="A1302" s="2"/>
      </tp>
      <tp t="s">
        <v>#N/A N/A</v>
        <stp/>
        <stp>BDP|5102582767302962949</stp>
        <tr r="H1996" s="2"/>
      </tp>
      <tp t="s">
        <v>#N/A N/A</v>
        <stp/>
        <stp>BDP|5004459507478126401</stp>
        <tr r="D1612" s="2"/>
      </tp>
      <tp t="s">
        <v>#N/A N/A</v>
        <stp/>
        <stp>BDP|8943931469323285920</stp>
        <tr r="N1531" s="2"/>
      </tp>
      <tp t="s">
        <v>#N/A N/A</v>
        <stp/>
        <stp>BDP|3905877438597345268</stp>
        <tr r="C1092" s="2"/>
      </tp>
      <tp t="s">
        <v>#N/A N/A</v>
        <stp/>
        <stp>BDP|4235895678123447542</stp>
        <tr r="N2142" s="2"/>
      </tp>
      <tp t="s">
        <v>#N/A N/A</v>
        <stp/>
        <stp>BDP|1844183547051314877</stp>
        <tr r="C931" s="2"/>
      </tp>
      <tp t="s">
        <v>#N/A N/A</v>
        <stp/>
        <stp>BDP|9802634270530063586</stp>
        <tr r="O1651" s="2"/>
      </tp>
      <tp t="s">
        <v>#N/A N/A</v>
        <stp/>
        <stp>BDS|3327392921767118894</stp>
        <tr r="I1665" s="2"/>
      </tp>
      <tp t="s">
        <v>#N/A N/A</v>
        <stp/>
        <stp>BDS|5644708736508781443</stp>
        <tr r="I26" s="2"/>
      </tp>
      <tp t="s">
        <v>#N/A N/A</v>
        <stp/>
        <stp>BDP|1148626951519663670</stp>
        <tr r="Q1217" s="2"/>
      </tp>
      <tp t="s">
        <v>#N/A N/A</v>
        <stp/>
        <stp>BDP|8534347776091542011</stp>
        <tr r="A2011" s="2"/>
      </tp>
      <tp t="s">
        <v>#N/A N/A</v>
        <stp/>
        <stp>BDP|9811389802935512241</stp>
        <tr r="J2022" s="2"/>
      </tp>
      <tp t="s">
        <v>#N/A N/A</v>
        <stp/>
        <stp>BDP|5472253180374121635</stp>
        <tr r="T1614" s="2"/>
      </tp>
      <tp t="s">
        <v>#N/A N/A</v>
        <stp/>
        <stp>BDP|7638600834197553847</stp>
        <tr r="K1557" s="2"/>
      </tp>
      <tp t="s">
        <v>#N/A N/A</v>
        <stp/>
        <stp>BDP|2222076410296409825</stp>
        <tr r="M2138" s="2"/>
      </tp>
      <tp t="s">
        <v>#N/A N/A</v>
        <stp/>
        <stp>BDP|3411110833588431414</stp>
        <tr r="R1025" s="2"/>
      </tp>
      <tp t="s">
        <v>#N/A N/A</v>
        <stp/>
        <stp>BDP|7027828031757080606</stp>
        <tr r="C162" s="2"/>
      </tp>
      <tp t="s">
        <v>#N/A N/A</v>
        <stp/>
        <stp>BDP|6266856804145641666</stp>
        <tr r="P1391" s="2"/>
      </tp>
      <tp t="s">
        <v>#N/A N/A</v>
        <stp/>
        <stp>BDP|6567236334678657271</stp>
        <tr r="T1566" s="2"/>
      </tp>
      <tp t="s">
        <v>#N/A N/A</v>
        <stp/>
        <stp>BDP|4552142027369271371</stp>
        <tr r="M232" s="2"/>
      </tp>
      <tp t="s">
        <v>#N/A N/A</v>
        <stp/>
        <stp>BDP|7775321536088060202</stp>
        <tr r="J921" s="2"/>
      </tp>
      <tp t="s">
        <v>#N/A N/A</v>
        <stp/>
        <stp>BDP|9706421914822626349</stp>
        <tr r="T463" s="2"/>
      </tp>
      <tp t="s">
        <v>#N/A N/A</v>
        <stp/>
        <stp>BDP|2513382199954193166</stp>
        <tr r="P676" s="2"/>
      </tp>
      <tp t="s">
        <v>#N/A N/A</v>
        <stp/>
        <stp>BDP|1712115465568300334</stp>
        <tr r="S487" s="2"/>
      </tp>
      <tp t="s">
        <v>#N/A N/A</v>
        <stp/>
        <stp>BDP|8083079451250161040</stp>
        <tr r="O1362" s="2"/>
      </tp>
      <tp t="s">
        <v>#N/A N/A</v>
        <stp/>
        <stp>BDP|3815137881794048390</stp>
        <tr r="F158" s="2"/>
      </tp>
      <tp t="s">
        <v>#N/A N/A</v>
        <stp/>
        <stp>BDP|7551925402307161471</stp>
        <tr r="T1886" s="2"/>
      </tp>
      <tp t="s">
        <v>#N/A N/A</v>
        <stp/>
        <stp>BDP|2183511616668523309</stp>
        <tr r="Q1010" s="2"/>
      </tp>
      <tp t="s">
        <v>#N/A N/A</v>
        <stp/>
        <stp>BDP|3601040306219343742</stp>
        <tr r="H1052" s="2"/>
      </tp>
      <tp t="s">
        <v>#N/A N/A</v>
        <stp/>
        <stp>BDP|9131464122161176375</stp>
        <tr r="D1798" s="2"/>
      </tp>
      <tp t="s">
        <v>#N/A N/A</v>
        <stp/>
        <stp>BDP|6744850517653416127</stp>
        <tr r="D554" s="2"/>
      </tp>
      <tp t="s">
        <v>#N/A N/A</v>
        <stp/>
        <stp>BDP|5355232395850230348</stp>
        <tr r="P349" s="2"/>
      </tp>
      <tp t="s">
        <v>#N/A N/A</v>
        <stp/>
        <stp>BDP|6315629546849647020</stp>
        <tr r="T2258" s="2"/>
      </tp>
      <tp t="s">
        <v>#N/A N/A</v>
        <stp/>
        <stp>BDP|8727588282791802969</stp>
        <tr r="M856" s="2"/>
      </tp>
      <tp t="s">
        <v>#N/A N/A</v>
        <stp/>
        <stp>BDP|4309907103132065237</stp>
        <tr r="G1213" s="2"/>
      </tp>
      <tp t="s">
        <v>#N/A N/A</v>
        <stp/>
        <stp>BDP|7379101281630473350</stp>
        <tr r="H1828" s="2"/>
      </tp>
      <tp t="s">
        <v>#N/A N/A</v>
        <stp/>
        <stp>BDP|1753300562799449020</stp>
        <tr r="D626" s="2"/>
      </tp>
      <tp t="s">
        <v>#N/A N/A</v>
        <stp/>
        <stp>BDP|9663519960746792137</stp>
        <tr r="N1160" s="2"/>
      </tp>
      <tp t="s">
        <v>#N/A N/A</v>
        <stp/>
        <stp>BDP|8919505420422832025</stp>
        <tr r="S1411" s="2"/>
      </tp>
      <tp t="s">
        <v>#N/A N/A</v>
        <stp/>
        <stp>BDP|4648987726991043387</stp>
        <tr r="G1506" s="2"/>
      </tp>
      <tp t="s">
        <v>#N/A N/A</v>
        <stp/>
        <stp>BDP|7598925437096935696</stp>
        <tr r="D1229" s="2"/>
      </tp>
      <tp t="s">
        <v>#N/A N/A</v>
        <stp/>
        <stp>BDP|8481369563562292234</stp>
        <tr r="T492" s="2"/>
      </tp>
      <tp t="s">
        <v>#N/A N/A</v>
        <stp/>
        <stp>BDP|4378799126298962453</stp>
        <tr r="C442" s="2"/>
      </tp>
      <tp t="s">
        <v>#N/A N/A</v>
        <stp/>
        <stp>BDP|8415131765837552574</stp>
        <tr r="N135" s="2"/>
      </tp>
      <tp t="s">
        <v>#N/A N/A</v>
        <stp/>
        <stp>BDP|8789225670708729820</stp>
        <tr r="P1435" s="2"/>
      </tp>
      <tp t="s">
        <v>#N/A N/A</v>
        <stp/>
        <stp>BDP|2718985469000796015</stp>
        <tr r="M1100" s="2"/>
      </tp>
      <tp t="s">
        <v>#N/A N/A</v>
        <stp/>
        <stp>BDP|2352386029019507778</stp>
        <tr r="C147" s="2"/>
      </tp>
      <tp t="s">
        <v>#N/A N/A</v>
        <stp/>
        <stp>BDP|1459032996903275632</stp>
        <tr r="D77" s="2"/>
      </tp>
      <tp t="s">
        <v>#N/A N/A</v>
        <stp/>
        <stp>BDP|5281257272479392469</stp>
        <tr r="E1654" s="2"/>
      </tp>
      <tp t="s">
        <v>#N/A N/A</v>
        <stp/>
        <stp>BDP|3601810476024480553</stp>
        <tr r="D56" s="2"/>
      </tp>
      <tp t="s">
        <v>#N/A N/A</v>
        <stp/>
        <stp>BDP|4034861507252823399</stp>
        <tr r="Q3" s="2"/>
      </tp>
      <tp t="s">
        <v>#N/A N/A</v>
        <stp/>
        <stp>BDP|5005125657564282873</stp>
        <tr r="H1974" s="2"/>
      </tp>
      <tp t="s">
        <v>#N/A N/A</v>
        <stp/>
        <stp>BDP|7705331712759256148</stp>
        <tr r="H1107" s="2"/>
      </tp>
      <tp t="s">
        <v>#N/A N/A</v>
        <stp/>
        <stp>BDS|3229462487874022632</stp>
        <tr r="I140" s="2"/>
      </tp>
      <tp t="s">
        <v>#N/A N/A</v>
        <stp/>
        <stp>BDP|1533970053184091410</stp>
        <tr r="A60" s="2"/>
      </tp>
      <tp t="s">
        <v>#N/A N/A</v>
        <stp/>
        <stp>BDP|3461351720637395822</stp>
        <tr r="Q1252" s="2"/>
      </tp>
      <tp t="s">
        <v>#N/A N/A</v>
        <stp/>
        <stp>BDP|9082457480960581804</stp>
        <tr r="F1240" s="2"/>
      </tp>
      <tp t="s">
        <v>#N/A N/A</v>
        <stp/>
        <stp>BDP|7681776033016412865</stp>
        <tr r="J905" s="2"/>
      </tp>
      <tp t="s">
        <v>#N/A N/A</v>
        <stp/>
        <stp>BDP|9391157051323439334</stp>
        <tr r="D2152" s="2"/>
      </tp>
      <tp t="s">
        <v>#N/A N/A</v>
        <stp/>
        <stp>BDP|2635439252358675613</stp>
        <tr r="S853" s="2"/>
      </tp>
      <tp t="s">
        <v>#N/A N/A</v>
        <stp/>
        <stp>BDP|9048076607886011206</stp>
        <tr r="E1390" s="2"/>
      </tp>
      <tp t="s">
        <v>#N/A N/A</v>
        <stp/>
        <stp>BDP|2662526550928309774</stp>
        <tr r="N683" s="2"/>
      </tp>
      <tp t="s">
        <v>#N/A N/A</v>
        <stp/>
        <stp>BDP|2027762089287876778</stp>
        <tr r="E434" s="2"/>
      </tp>
      <tp t="s">
        <v>#N/A N/A</v>
        <stp/>
        <stp>BDP|5284856945701539576</stp>
        <tr r="R785" s="2"/>
      </tp>
      <tp t="s">
        <v>#N/A N/A</v>
        <stp/>
        <stp>BDP|4268518695247109270</stp>
        <tr r="F413" s="2"/>
      </tp>
      <tp t="s">
        <v>#N/A N/A</v>
        <stp/>
        <stp>BDP|1966379826249976416</stp>
        <tr r="S726" s="2"/>
      </tp>
      <tp t="s">
        <v>#N/A N/A</v>
        <stp/>
        <stp>BDP|9897878878963214855</stp>
        <tr r="A229" s="2"/>
      </tp>
      <tp t="s">
        <v>#N/A N/A</v>
        <stp/>
        <stp>BDP|9085283828020755472</stp>
        <tr r="M1624" s="2"/>
      </tp>
      <tp t="s">
        <v>#N/A N/A</v>
        <stp/>
        <stp>BDS|6110059852077214946</stp>
        <tr r="I1161" s="2"/>
      </tp>
      <tp t="s">
        <v>#N/A N/A</v>
        <stp/>
        <stp>BDP|8366410302784499547</stp>
        <tr r="E1271" s="2"/>
      </tp>
      <tp t="s">
        <v>#N/A N/A</v>
        <stp/>
        <stp>BDS|4682723278308576193</stp>
        <tr r="I47" s="2"/>
      </tp>
      <tp t="s">
        <v>#N/A N/A</v>
        <stp/>
        <stp>BDP|9136776115176682453</stp>
        <tr r="O925" s="2"/>
      </tp>
      <tp t="s">
        <v>#N/A N/A</v>
        <stp/>
        <stp>BDP|4486806164576059101</stp>
        <tr r="J2118" s="2"/>
      </tp>
      <tp t="s">
        <v>#N/A N/A</v>
        <stp/>
        <stp>BDP|7081518670859227134</stp>
        <tr r="A431" s="2"/>
      </tp>
      <tp t="s">
        <v>#N/A N/A</v>
        <stp/>
        <stp>BDP|3091251205474902892</stp>
        <tr r="N1850" s="2"/>
      </tp>
      <tp t="s">
        <v>#N/A N/A</v>
        <stp/>
        <stp>BDP|6900914085212987840</stp>
        <tr r="N490" s="2"/>
      </tp>
      <tp t="s">
        <v>#N/A N/A</v>
        <stp/>
        <stp>BDP|5021974050344632018</stp>
        <tr r="A2193" s="2"/>
      </tp>
      <tp t="s">
        <v>#N/A N/A</v>
        <stp/>
        <stp>BDP|9117569564914094336</stp>
        <tr r="D2201" s="2"/>
      </tp>
      <tp t="s">
        <v>#N/A N/A</v>
        <stp/>
        <stp>BDP|7570537306588026709</stp>
        <tr r="J1742" s="2"/>
      </tp>
      <tp t="s">
        <v>#N/A N/A</v>
        <stp/>
        <stp>BDP|7871991776992000671</stp>
        <tr r="N772" s="2"/>
      </tp>
      <tp t="s">
        <v>#N/A N/A</v>
        <stp/>
        <stp>BDP|8084493239875374735</stp>
        <tr r="N976" s="2"/>
      </tp>
      <tp t="s">
        <v>#N/A N/A</v>
        <stp/>
        <stp>BDP|3006257896381401475</stp>
        <tr r="M279" s="2"/>
      </tp>
      <tp t="s">
        <v>#N/A N/A</v>
        <stp/>
        <stp>BDP|6531942461583452740</stp>
        <tr r="J199" s="2"/>
      </tp>
      <tp t="s">
        <v>#N/A N/A</v>
        <stp/>
        <stp>BDP|9049855576142741945</stp>
        <tr r="Q1063" s="2"/>
      </tp>
      <tp t="s">
        <v>#N/A N/A</v>
        <stp/>
        <stp>BDP|4310432801714723967</stp>
        <tr r="N1074" s="2"/>
      </tp>
      <tp t="s">
        <v>#N/A N/A</v>
        <stp/>
        <stp>BDP|4001372826800388822</stp>
        <tr r="R1279" s="2"/>
      </tp>
      <tp t="s">
        <v>#N/A N/A</v>
        <stp/>
        <stp>BDP|1405115304454351924</stp>
        <tr r="N1908" s="2"/>
      </tp>
      <tp t="s">
        <v>#N/A N/A</v>
        <stp/>
        <stp>BDP|6156645424706820995</stp>
        <tr r="K870" s="2"/>
      </tp>
      <tp t="s">
        <v>#N/A N/A</v>
        <stp/>
        <stp>BDP|2118197012436831921</stp>
        <tr r="P1620" s="2"/>
      </tp>
      <tp t="s">
        <v>#N/A N/A</v>
        <stp/>
        <stp>BDP|5826849049392595601</stp>
        <tr r="Q1869" s="2"/>
      </tp>
      <tp t="s">
        <v>#N/A N/A</v>
        <stp/>
        <stp>BDP|3629224295195669071</stp>
        <tr r="H368" s="2"/>
      </tp>
      <tp t="s">
        <v>#N/A N/A</v>
        <stp/>
        <stp>BDP|8098589076405803264</stp>
        <tr r="R1794" s="2"/>
      </tp>
      <tp t="s">
        <v>#N/A N/A</v>
        <stp/>
        <stp>BDP|8180439033171751366</stp>
        <tr r="S1884" s="2"/>
      </tp>
      <tp t="s">
        <v>#N/A N/A</v>
        <stp/>
        <stp>BDP|9650752920118216914</stp>
        <tr r="F965" s="2"/>
      </tp>
      <tp t="s">
        <v>#N/A N/A</v>
        <stp/>
        <stp>BDP|1736924832510434632</stp>
        <tr r="M1338" s="2"/>
      </tp>
      <tp t="s">
        <v>#N/A N/A</v>
        <stp/>
        <stp>BDP|8070654722418160963</stp>
        <tr r="H579" s="2"/>
      </tp>
      <tp t="s">
        <v>#N/A N/A</v>
        <stp/>
        <stp>BDP|3108124206087419817</stp>
        <tr r="C2042" s="2"/>
      </tp>
      <tp t="s">
        <v>#N/A N/A</v>
        <stp/>
        <stp>BDP|8437855193000702453</stp>
        <tr r="E849" s="2"/>
      </tp>
      <tp t="s">
        <v>#N/A N/A</v>
        <stp/>
        <stp>BDS|1077477790538007973</stp>
        <tr r="I1597" s="2"/>
      </tp>
      <tp t="s">
        <v>#N/A N/A</v>
        <stp/>
        <stp>BDP|8301753140702116470</stp>
        <tr r="R1604" s="2"/>
      </tp>
      <tp t="s">
        <v>#N/A N/A</v>
        <stp/>
        <stp>BDP|2352892518516057022</stp>
        <tr r="M2111" s="2"/>
      </tp>
      <tp t="s">
        <v>#N/A N/A</v>
        <stp/>
        <stp>BDP|4939985753540648542</stp>
        <tr r="D1519" s="2"/>
      </tp>
      <tp t="s">
        <v>#N/A N/A</v>
        <stp/>
        <stp>BDP|3930622287463569396</stp>
        <tr r="G600" s="2"/>
      </tp>
      <tp t="s">
        <v>#N/A N/A</v>
        <stp/>
        <stp>BDP|7916966289379307250</stp>
        <tr r="R1888" s="2"/>
      </tp>
      <tp t="s">
        <v>#N/A N/A</v>
        <stp/>
        <stp>BDP|8248620607273678015</stp>
        <tr r="M339" s="2"/>
      </tp>
      <tp t="s">
        <v>#N/A N/A</v>
        <stp/>
        <stp>BDP|8569747513775470665</stp>
        <tr r="A1395" s="2"/>
      </tp>
      <tp t="s">
        <v>#N/A N/A</v>
        <stp/>
        <stp>BDP|3570945658737123580</stp>
        <tr r="S1552" s="2"/>
      </tp>
      <tp t="s">
        <v>#N/A N/A</v>
        <stp/>
        <stp>BDP|9933812701434125880</stp>
        <tr r="M558" s="2"/>
      </tp>
      <tp t="s">
        <v>#N/A N/A</v>
        <stp/>
        <stp>BDP|2411615362078776704</stp>
        <tr r="F784" s="2"/>
      </tp>
      <tp t="s">
        <v>#N/A N/A</v>
        <stp/>
        <stp>BDP|9564481410505443491</stp>
        <tr r="J779" s="2"/>
      </tp>
      <tp t="s">
        <v>#N/A N/A</v>
        <stp/>
        <stp>BDP|4005892639830949299</stp>
        <tr r="A1326" s="2"/>
      </tp>
      <tp t="s">
        <v>#N/A N/A</v>
        <stp/>
        <stp>BDP|3319894819325050235</stp>
        <tr r="O1463" s="2"/>
      </tp>
      <tp t="s">
        <v>#N/A N/A</v>
        <stp/>
        <stp>BDP|4871117649564329831</stp>
        <tr r="H251" s="2"/>
      </tp>
      <tp t="s">
        <v>#N/A N/A</v>
        <stp/>
        <stp>BDP|8320177071414229775</stp>
        <tr r="T1689" s="2"/>
      </tp>
      <tp t="s">
        <v>#N/A N/A</v>
        <stp/>
        <stp>BDP|7065636402888370429</stp>
        <tr r="O1025" s="2"/>
      </tp>
      <tp t="s">
        <v>#N/A N/A</v>
        <stp/>
        <stp>BDP|6212023745379138644</stp>
        <tr r="T369" s="2"/>
      </tp>
      <tp t="s">
        <v>#N/A N/A</v>
        <stp/>
        <stp>BDP|7712865962490209416</stp>
        <tr r="T458" s="2"/>
      </tp>
      <tp t="s">
        <v>#N/A N/A</v>
        <stp/>
        <stp>BDP|7607551257799288377</stp>
        <tr r="K2040" s="2"/>
      </tp>
      <tp t="s">
        <v>#N/A N/A</v>
        <stp/>
        <stp>BDP|5619167849765910819</stp>
        <tr r="K302" s="2"/>
      </tp>
      <tp t="s">
        <v>#N/A N/A</v>
        <stp/>
        <stp>BDP|4303063914738280025</stp>
        <tr r="P2131" s="2"/>
      </tp>
      <tp t="s">
        <v>#N/A N/A</v>
        <stp/>
        <stp>BDP|5612259554908180771</stp>
        <tr r="M217" s="2"/>
      </tp>
      <tp t="s">
        <v>#N/A N/A</v>
        <stp/>
        <stp>BDP|4113894526632624199</stp>
        <tr r="N1801" s="2"/>
      </tp>
      <tp t="s">
        <v>#N/A N/A</v>
        <stp/>
        <stp>BDS|7685363497857705718</stp>
        <tr r="I899" s="2"/>
      </tp>
      <tp t="s">
        <v>#N/A N/A</v>
        <stp/>
        <stp>BDP|1454455997593056278</stp>
        <tr r="R526" s="2"/>
      </tp>
      <tp t="s">
        <v>#N/A N/A</v>
        <stp/>
        <stp>BDP|2268448501193307857</stp>
        <tr r="O713" s="2"/>
      </tp>
      <tp t="s">
        <v>#N/A N/A</v>
        <stp/>
        <stp>BDP|1465278931428341506</stp>
        <tr r="H1170" s="2"/>
      </tp>
      <tp t="s">
        <v>#N/A N/A</v>
        <stp/>
        <stp>BDP|9815756522203670289</stp>
        <tr r="F462" s="2"/>
      </tp>
      <tp t="s">
        <v>#N/A N/A</v>
        <stp/>
        <stp>BDP|9985600058274293328</stp>
        <tr r="Q1014" s="2"/>
      </tp>
      <tp t="s">
        <v>#N/A N/A</v>
        <stp/>
        <stp>BDP|9963725968605788056</stp>
        <tr r="Q1881" s="2"/>
      </tp>
      <tp t="s">
        <v>#N/A N/A</v>
        <stp/>
        <stp>BDP|5777911539290877268</stp>
        <tr r="S1369" s="2"/>
      </tp>
      <tp t="s">
        <v>#N/A N/A</v>
        <stp/>
        <stp>BDP|8271009476594573607</stp>
        <tr r="P1463" s="2"/>
      </tp>
      <tp t="s">
        <v>#N/A N/A</v>
        <stp/>
        <stp>BDP|6396318582941143106</stp>
        <tr r="Q2065" s="2"/>
      </tp>
      <tp t="s">
        <v>#N/A N/A</v>
        <stp/>
        <stp>BDP|4508348785990723229</stp>
        <tr r="F1758" s="2"/>
      </tp>
      <tp t="s">
        <v>#N/A N/A</v>
        <stp/>
        <stp>BDP|1816848161221404381</stp>
        <tr r="G557" s="2"/>
      </tp>
      <tp t="s">
        <v>#N/A N/A</v>
        <stp/>
        <stp>BDP|4469743780640696670</stp>
        <tr r="T1196" s="2"/>
      </tp>
      <tp t="s">
        <v>#N/A N/A</v>
        <stp/>
        <stp>BDP|8497132867333731161</stp>
        <tr r="D2139" s="2"/>
      </tp>
      <tp t="s">
        <v>#N/A N/A</v>
        <stp/>
        <stp>BDP|8684643942402973582</stp>
        <tr r="Q436" s="2"/>
      </tp>
      <tp t="s">
        <v>#N/A N/A</v>
        <stp/>
        <stp>BDS|2646473686081260248</stp>
        <tr r="I445" s="2"/>
      </tp>
      <tp t="s">
        <v>#N/A N/A</v>
        <stp/>
        <stp>BDP|2064276419695753989</stp>
        <tr r="S1757" s="2"/>
      </tp>
      <tp t="s">
        <v>#N/A N/A</v>
        <stp/>
        <stp>BDP|5751931340140790521</stp>
        <tr r="J534" s="2"/>
      </tp>
      <tp t="s">
        <v>#N/A N/A</v>
        <stp/>
        <stp>BDP|3380526180577524454</stp>
        <tr r="G334" s="2"/>
      </tp>
      <tp t="s">
        <v>#N/A N/A</v>
        <stp/>
        <stp>BDP|8575054837643606508</stp>
        <tr r="E186" s="2"/>
      </tp>
      <tp t="s">
        <v>#N/A N/A</v>
        <stp/>
        <stp>BDP|1017826143242686261</stp>
        <tr r="R887" s="2"/>
      </tp>
      <tp t="s">
        <v>#N/A N/A</v>
        <stp/>
        <stp>BDP|9015578150334313057</stp>
        <tr r="R26" s="2"/>
      </tp>
      <tp t="s">
        <v>#N/A N/A</v>
        <stp/>
        <stp>BDP|4421221405913061820</stp>
        <tr r="E1579" s="2"/>
      </tp>
      <tp t="s">
        <v>#N/A N/A</v>
        <stp/>
        <stp>BDP|4381864080050442904</stp>
        <tr r="F1567" s="2"/>
      </tp>
      <tp t="s">
        <v>#N/A N/A</v>
        <stp/>
        <stp>BDP|9558156945943063240</stp>
        <tr r="M1506" s="2"/>
      </tp>
      <tp t="s">
        <v>#N/A N/A</v>
        <stp/>
        <stp>BDP|9827755140590588796</stp>
        <tr r="S1282" s="2"/>
      </tp>
      <tp t="s">
        <v>#N/A N/A</v>
        <stp/>
        <stp>BDS|3576051743012402869</stp>
        <tr r="I429" s="2"/>
      </tp>
      <tp t="s">
        <v>#N/A N/A</v>
        <stp/>
        <stp>BDP|7342181714798666288</stp>
        <tr r="R659" s="2"/>
      </tp>
      <tp t="s">
        <v>#N/A N/A</v>
        <stp/>
        <stp>BDP|4926401379382856899</stp>
        <tr r="D1613" s="2"/>
      </tp>
      <tp t="s">
        <v>#N/A N/A</v>
        <stp/>
        <stp>BDP|3048776930913236947</stp>
        <tr r="F1607" s="2"/>
      </tp>
      <tp t="s">
        <v>#N/A N/A</v>
        <stp/>
        <stp>BDP|2127978110684659316</stp>
        <tr r="R1735" s="2"/>
      </tp>
      <tp t="s">
        <v>#N/A N/A</v>
        <stp/>
        <stp>BDP|1612371724434792933</stp>
        <tr r="Q1248" s="2"/>
      </tp>
      <tp t="s">
        <v>#N/A N/A</v>
        <stp/>
        <stp>BDP|7852109559049106712</stp>
        <tr r="E1199" s="2"/>
      </tp>
      <tp t="s">
        <v>#N/A N/A</v>
        <stp/>
        <stp>BDP|6041877726680039108</stp>
        <tr r="K369" s="2"/>
      </tp>
      <tp t="s">
        <v>#N/A N/A</v>
        <stp/>
        <stp>BDP|1501661024981538935</stp>
        <tr r="E2027" s="2"/>
      </tp>
      <tp t="s">
        <v>#N/A N/A</v>
        <stp/>
        <stp>BDP|3071787184486599783</stp>
        <tr r="Q2258" s="2"/>
      </tp>
      <tp t="s">
        <v>#N/A N/A</v>
        <stp/>
        <stp>BDP|8175307847814231655</stp>
        <tr r="F800" s="2"/>
      </tp>
      <tp t="s">
        <v>#N/A N/A</v>
        <stp/>
        <stp>BDP|5060077997861710066</stp>
        <tr r="Q1650" s="2"/>
      </tp>
      <tp t="s">
        <v>#N/A N/A</v>
        <stp/>
        <stp>BDP|7886008149987640963</stp>
        <tr r="G2210" s="2"/>
      </tp>
      <tp t="s">
        <v>#N/A N/A</v>
        <stp/>
        <stp>BDP|1012360012488331668</stp>
        <tr r="Q728" s="2"/>
      </tp>
      <tp t="s">
        <v>#N/A N/A</v>
        <stp/>
        <stp>BDP|7703463651358544345</stp>
        <tr r="G259" s="2"/>
      </tp>
      <tp t="s">
        <v>#N/A N/A</v>
        <stp/>
        <stp>BDP|3269985713802188492</stp>
        <tr r="A1196" s="2"/>
      </tp>
      <tp t="s">
        <v>#N/A N/A</v>
        <stp/>
        <stp>BDP|9118603980379861386</stp>
        <tr r="O1747" s="2"/>
      </tp>
      <tp t="s">
        <v>#N/A N/A</v>
        <stp/>
        <stp>BDS|6209061074668558440</stp>
        <tr r="I794" s="2"/>
      </tp>
      <tp t="s">
        <v>#N/A N/A</v>
        <stp/>
        <stp>BDP|2317428084410186354</stp>
        <tr r="S1340" s="2"/>
      </tp>
      <tp t="s">
        <v>#N/A N/A</v>
        <stp/>
        <stp>BDP|6629270447005141867</stp>
        <tr r="Q300" s="2"/>
      </tp>
      <tp t="s">
        <v>#N/A N/A</v>
        <stp/>
        <stp>BDP|7131511691203789579</stp>
        <tr r="H1168" s="2"/>
      </tp>
      <tp t="s">
        <v>#N/A N/A</v>
        <stp/>
        <stp>BDP|7896785717204678808</stp>
        <tr r="N1051" s="2"/>
      </tp>
      <tp t="s">
        <v>#N/A N/A</v>
        <stp/>
        <stp>BDP|1353076943279146174</stp>
        <tr r="C2154" s="2"/>
      </tp>
      <tp t="s">
        <v>#N/A N/A</v>
        <stp/>
        <stp>BDP|7925830228665545560</stp>
        <tr r="O1875" s="2"/>
      </tp>
      <tp t="s">
        <v>#N/A N/A</v>
        <stp/>
        <stp>BDP|4875844974025969305</stp>
        <tr r="D1627" s="2"/>
      </tp>
      <tp t="s">
        <v>#N/A N/A</v>
        <stp/>
        <stp>BDP|3927221465368685298</stp>
        <tr r="M1578" s="2"/>
      </tp>
      <tp t="s">
        <v>#N/A N/A</v>
        <stp/>
        <stp>BDP|8072794586393643984</stp>
        <tr r="A1997" s="2"/>
      </tp>
      <tp t="s">
        <v>#N/A N/A</v>
        <stp/>
        <stp>BDP|5398943534837070525</stp>
        <tr r="K567" s="2"/>
      </tp>
      <tp t="s">
        <v>#N/A N/A</v>
        <stp/>
        <stp>BDP|7718666141320943880</stp>
        <tr r="S706" s="2"/>
      </tp>
      <tp t="s">
        <v>#N/A N/A</v>
        <stp/>
        <stp>BDP|4079232802629038200</stp>
        <tr r="O2056" s="2"/>
      </tp>
      <tp t="s">
        <v>#N/A N/A</v>
        <stp/>
        <stp>BDP|2979402413653888938</stp>
        <tr r="S615" s="2"/>
      </tp>
      <tp t="s">
        <v>#N/A N/A</v>
        <stp/>
        <stp>BDS|3736856926072239676</stp>
        <tr r="I162" s="2"/>
      </tp>
      <tp t="s">
        <v>#N/A N/A</v>
        <stp/>
        <stp>BDP|4890815614454938458</stp>
        <tr r="P1266" s="2"/>
      </tp>
      <tp t="s">
        <v>#N/A N/A</v>
        <stp/>
        <stp>BDP|1293434504339741138</stp>
        <tr r="D1899" s="2"/>
      </tp>
      <tp t="s">
        <v>#N/A N/A</v>
        <stp/>
        <stp>BDP|9763704527116772766</stp>
        <tr r="H995" s="2"/>
      </tp>
      <tp t="s">
        <v>#N/A N/A</v>
        <stp/>
        <stp>BDP|8563766236118360975</stp>
        <tr r="M954" s="2"/>
      </tp>
      <tp t="s">
        <v>#N/A N/A</v>
        <stp/>
        <stp>BDP|4055438771623413978</stp>
        <tr r="H1167" s="2"/>
      </tp>
      <tp t="s">
        <v>#N/A N/A</v>
        <stp/>
        <stp>BDP|7024892779296677377</stp>
        <tr r="N2121" s="2"/>
      </tp>
      <tp t="s">
        <v>#N/A N/A</v>
        <stp/>
        <stp>BDP|1468856505524366061</stp>
        <tr r="R857" s="2"/>
      </tp>
      <tp t="s">
        <v>#N/A N/A</v>
        <stp/>
        <stp>BDS|4523886540595905050</stp>
        <tr r="I268" s="2"/>
      </tp>
      <tp t="s">
        <v>#N/A N/A</v>
        <stp/>
        <stp>BDP|2171851614243748562</stp>
        <tr r="P1947" s="2"/>
      </tp>
      <tp t="s">
        <v>#N/A N/A</v>
        <stp/>
        <stp>BDP|6363337500440036813</stp>
        <tr r="O1684" s="2"/>
      </tp>
      <tp t="s">
        <v>#N/A N/A</v>
        <stp/>
        <stp>BDP|1785758295352777011</stp>
        <tr r="M131" s="2"/>
      </tp>
      <tp t="s">
        <v>#N/A N/A</v>
        <stp/>
        <stp>BDP|4575407192207754312</stp>
        <tr r="J1228" s="2"/>
      </tp>
      <tp t="s">
        <v>#N/A N/A</v>
        <stp/>
        <stp>BDP|6347137599054146792</stp>
        <tr r="K1838" s="2"/>
      </tp>
      <tp t="s">
        <v>#N/A N/A</v>
        <stp/>
        <stp>BDP|6379152869455738997</stp>
        <tr r="O2014" s="2"/>
      </tp>
      <tp t="s">
        <v>#N/A N/A</v>
        <stp/>
        <stp>BDP|8451407884070362921</stp>
        <tr r="H576" s="2"/>
      </tp>
      <tp t="s">
        <v>#N/A N/A</v>
        <stp/>
        <stp>BDP|5868771271471622994</stp>
        <tr r="N2126" s="2"/>
      </tp>
      <tp t="s">
        <v>#N/A N/A</v>
        <stp/>
        <stp>BDP|8378156222667408113</stp>
        <tr r="T2247" s="2"/>
      </tp>
      <tp t="s">
        <v>#N/A N/A</v>
        <stp/>
        <stp>BDP|9617791473641461594</stp>
        <tr r="E1747" s="2"/>
      </tp>
      <tp t="s">
        <v>#N/A N/A</v>
        <stp/>
        <stp>BDP|3451108652539183364</stp>
        <tr r="S246" s="2"/>
      </tp>
      <tp t="s">
        <v>#N/A N/A</v>
        <stp/>
        <stp>BDP|6945211090368021890</stp>
        <tr r="D315" s="2"/>
      </tp>
      <tp t="s">
        <v>#N/A N/A</v>
        <stp/>
        <stp>BDP|2140638290576686655</stp>
        <tr r="J71" s="2"/>
      </tp>
      <tp t="s">
        <v>#N/A N/A</v>
        <stp/>
        <stp>BDP|3351450863849303579</stp>
        <tr r="F1479" s="2"/>
      </tp>
      <tp t="s">
        <v>#N/A N/A</v>
        <stp/>
        <stp>BDP|8624222566097150621</stp>
        <tr r="Q1459" s="2"/>
      </tp>
      <tp t="s">
        <v>#N/A N/A</v>
        <stp/>
        <stp>BDP|2691543264595431938</stp>
        <tr r="O1591" s="2"/>
      </tp>
      <tp t="s">
        <v>#N/A N/A</v>
        <stp/>
        <stp>BDP|7393950016440522248</stp>
        <tr r="N853" s="2"/>
      </tp>
      <tp t="s">
        <v>#N/A N/A</v>
        <stp/>
        <stp>BDP|6124117466799529527</stp>
        <tr r="H2242" s="2"/>
      </tp>
      <tp t="s">
        <v>#N/A N/A</v>
        <stp/>
        <stp>BDP|6169834617175538717</stp>
        <tr r="N452" s="2"/>
      </tp>
      <tp t="s">
        <v>#N/A N/A</v>
        <stp/>
        <stp>BDP|7721763260838563358</stp>
        <tr r="A553" s="2"/>
      </tp>
      <tp t="s">
        <v>#N/A N/A</v>
        <stp/>
        <stp>BDP|5835410189690731461</stp>
        <tr r="N602" s="2"/>
      </tp>
      <tp t="s">
        <v>#N/A N/A</v>
        <stp/>
        <stp>BDP|2926897362862328308</stp>
        <tr r="S1207" s="2"/>
      </tp>
      <tp t="s">
        <v>#N/A N/A</v>
        <stp/>
        <stp>BDS|7944278958999370447</stp>
        <tr r="I1498" s="2"/>
      </tp>
      <tp t="s">
        <v>#N/A N/A</v>
        <stp/>
        <stp>BDP|1696778646869573638</stp>
        <tr r="Q540" s="2"/>
      </tp>
      <tp t="s">
        <v>#N/A N/A</v>
        <stp/>
        <stp>BDP|3601882609136121077</stp>
        <tr r="S90" s="2"/>
      </tp>
      <tp t="s">
        <v>#N/A N/A</v>
        <stp/>
        <stp>BDP|1979765838930755818</stp>
        <tr r="T2187" s="2"/>
      </tp>
      <tp t="s">
        <v>#N/A N/A</v>
        <stp/>
        <stp>BDP|6541310255009453447</stp>
        <tr r="N365" s="2"/>
      </tp>
      <tp t="s">
        <v>#N/A N/A</v>
        <stp/>
        <stp>BDS|1073350095312218430</stp>
        <tr r="I1911" s="2"/>
      </tp>
      <tp t="s">
        <v>#N/A N/A</v>
        <stp/>
        <stp>BDP|5495604641763711942</stp>
        <tr r="M1657" s="2"/>
      </tp>
      <tp t="s">
        <v>#N/A N/A</v>
        <stp/>
        <stp>BDP|7397081301263507993</stp>
        <tr r="G1967" s="2"/>
      </tp>
      <tp t="s">
        <v>#N/A N/A</v>
        <stp/>
        <stp>BDP|8334811596427584377</stp>
        <tr r="O1192" s="2"/>
      </tp>
      <tp t="s">
        <v>#N/A N/A</v>
        <stp/>
        <stp>BDP|4627918167130146676</stp>
        <tr r="F1987" s="2"/>
      </tp>
      <tp t="s">
        <v>#N/A N/A</v>
        <stp/>
        <stp>BDP|7663868089263700984</stp>
        <tr r="E1447" s="2"/>
      </tp>
      <tp t="s">
        <v>#N/A N/A</v>
        <stp/>
        <stp>BDP|8995780387569655361</stp>
        <tr r="J891" s="2"/>
      </tp>
      <tp t="s">
        <v>#N/A N/A</v>
        <stp/>
        <stp>BDP|2099195666309009197</stp>
        <tr r="N1541" s="2"/>
      </tp>
      <tp t="s">
        <v>#N/A N/A</v>
        <stp/>
        <stp>BDP|8515081642317094692</stp>
        <tr r="R689" s="2"/>
      </tp>
      <tp t="s">
        <v>#N/A N/A</v>
        <stp/>
        <stp>BDP|8640401000837213624</stp>
        <tr r="J581" s="2"/>
      </tp>
      <tp t="s">
        <v>#N/A N/A</v>
        <stp/>
        <stp>BDP|2760967142856547405</stp>
        <tr r="C1711" s="2"/>
      </tp>
      <tp t="s">
        <v>#N/A N/A</v>
        <stp/>
        <stp>BDP|5189753954149308352</stp>
        <tr r="Q1601" s="2"/>
      </tp>
      <tp t="s">
        <v>#N/A N/A</v>
        <stp/>
        <stp>BDP|2646060374890735857</stp>
        <tr r="S1141" s="2"/>
      </tp>
      <tp t="s">
        <v>#N/A N/A</v>
        <stp/>
        <stp>BDP|7301968070093641754</stp>
        <tr r="T1104" s="2"/>
      </tp>
      <tp t="s">
        <v>#N/A N/A</v>
        <stp/>
        <stp>BDP|8140761847350794617</stp>
        <tr r="E1374" s="2"/>
      </tp>
      <tp t="s">
        <v>#N/A N/A</v>
        <stp/>
        <stp>BDP|1092961138301049787</stp>
        <tr r="P451" s="2"/>
      </tp>
      <tp t="s">
        <v>#N/A N/A</v>
        <stp/>
        <stp>BDP|8344629610404414633</stp>
        <tr r="Q1916" s="2"/>
      </tp>
      <tp t="s">
        <v>#N/A N/A</v>
        <stp/>
        <stp>BDP|9954579341212960703</stp>
        <tr r="P1051" s="2"/>
      </tp>
      <tp t="s">
        <v>#N/A N/A</v>
        <stp/>
        <stp>BDP|3288664116288301175</stp>
        <tr r="Q257" s="2"/>
      </tp>
      <tp t="s">
        <v>#N/A N/A</v>
        <stp/>
        <stp>BDP|4303371362819920590</stp>
        <tr r="H100" s="2"/>
      </tp>
      <tp t="s">
        <v>#N/A N/A</v>
        <stp/>
        <stp>BDP|8721168433680375770</stp>
        <tr r="O2149" s="2"/>
      </tp>
      <tp t="s">
        <v>#N/A N/A</v>
        <stp/>
        <stp>BDP|9147905992224106048</stp>
        <tr r="T1865" s="2"/>
      </tp>
      <tp t="s">
        <v>#N/A N/A</v>
        <stp/>
        <stp>BDP|3369811263397369749</stp>
        <tr r="D1100" s="2"/>
      </tp>
      <tp t="s">
        <v>#N/A N/A</v>
        <stp/>
        <stp>BDP|1394149306528672518</stp>
        <tr r="G1222" s="2"/>
      </tp>
      <tp t="s">
        <v>#N/A N/A</v>
        <stp/>
        <stp>BDP|8768277301852472534</stp>
        <tr r="M1904" s="2"/>
      </tp>
      <tp t="s">
        <v>#N/A N/A</v>
        <stp/>
        <stp>BDP|7989201551674701995</stp>
        <tr r="P2127" s="2"/>
      </tp>
      <tp t="s">
        <v>#N/A N/A</v>
        <stp/>
        <stp>BDP|5426602738579202488</stp>
        <tr r="K2087" s="2"/>
      </tp>
      <tp t="s">
        <v>#N/A N/A</v>
        <stp/>
        <stp>BDP|9376227473070290164</stp>
        <tr r="E765" s="2"/>
      </tp>
      <tp t="s">
        <v>#N/A N/A</v>
        <stp/>
        <stp>BDS|1200813707855671142</stp>
        <tr r="I1352" s="2"/>
      </tp>
      <tp t="s">
        <v>#N/A N/A</v>
        <stp/>
        <stp>BDP|9339675039847362685</stp>
        <tr r="Q347" s="2"/>
      </tp>
      <tp t="s">
        <v>#N/A N/A</v>
        <stp/>
        <stp>BDP|4086431224499325622</stp>
        <tr r="H505" s="2"/>
      </tp>
      <tp t="s">
        <v>#N/A N/A</v>
        <stp/>
        <stp>BDP|9286337058336800470</stp>
        <tr r="Q645" s="2"/>
      </tp>
      <tp t="s">
        <v>#N/A N/A</v>
        <stp/>
        <stp>BDP|8157919282300734430</stp>
        <tr r="N1840" s="2"/>
      </tp>
      <tp t="s">
        <v>#N/A N/A</v>
        <stp/>
        <stp>BDP|2768754455995116806</stp>
        <tr r="G1064" s="2"/>
      </tp>
      <tp t="s">
        <v>#N/A N/A</v>
        <stp/>
        <stp>BDP|6053250415831147975</stp>
        <tr r="H1479" s="2"/>
      </tp>
      <tp t="s">
        <v>#N/A N/A</v>
        <stp/>
        <stp>BDP|3588962376736004631</stp>
        <tr r="C439" s="2"/>
      </tp>
      <tp t="s">
        <v>#N/A N/A</v>
        <stp/>
        <stp>BDP|4429525885775383167</stp>
        <tr r="A678" s="2"/>
      </tp>
      <tp t="s">
        <v>#N/A N/A</v>
        <stp/>
        <stp>BDP|7877562546103792892</stp>
        <tr r="G931" s="2"/>
      </tp>
      <tp t="s">
        <v>#N/A N/A</v>
        <stp/>
        <stp>BDP|9842387572780483003</stp>
        <tr r="C710" s="2"/>
      </tp>
      <tp t="s">
        <v>#N/A N/A</v>
        <stp/>
        <stp>BDP|8438036443390411169</stp>
        <tr r="E483" s="2"/>
      </tp>
      <tp t="s">
        <v>#N/A N/A</v>
        <stp/>
        <stp>BDP|7171541406627082856</stp>
        <tr r="S414" s="2"/>
      </tp>
      <tp t="s">
        <v>#N/A N/A</v>
        <stp/>
        <stp>BDP|4961790302338127659</stp>
        <tr r="K1454" s="2"/>
      </tp>
      <tp t="s">
        <v>#N/A N/A</v>
        <stp/>
        <stp>BDP|3005196827324038988</stp>
        <tr r="M1476" s="2"/>
      </tp>
      <tp t="s">
        <v>#N/A N/A</v>
        <stp/>
        <stp>BDP|1122720436840613855</stp>
        <tr r="O613" s="2"/>
      </tp>
      <tp t="s">
        <v>#N/A N/A</v>
        <stp/>
        <stp>BDP|8797767932095015451</stp>
        <tr r="Q1357" s="2"/>
      </tp>
      <tp t="s">
        <v>#N/A N/A</v>
        <stp/>
        <stp>BDP|7700805545240314677</stp>
        <tr r="G325" s="2"/>
      </tp>
      <tp t="s">
        <v>#N/A N/A</v>
        <stp/>
        <stp>BDP|4670834930764339606</stp>
        <tr r="O398" s="2"/>
      </tp>
      <tp t="s">
        <v>#N/A N/A</v>
        <stp/>
        <stp>BDP|5449360052496446825</stp>
        <tr r="C1175" s="2"/>
      </tp>
      <tp t="s">
        <v>#N/A N/A</v>
        <stp/>
        <stp>BDP|6039039182495480637</stp>
        <tr r="F1797" s="2"/>
      </tp>
      <tp t="s">
        <v>#N/A N/A</v>
        <stp/>
        <stp>BDP|4073104036008251327</stp>
        <tr r="Q1456" s="2"/>
      </tp>
      <tp t="s">
        <v>#N/A N/A</v>
        <stp/>
        <stp>BDP|8970302507425185398</stp>
        <tr r="S370" s="2"/>
      </tp>
      <tp t="s">
        <v>#N/A N/A</v>
        <stp/>
        <stp>BDP|1802281725138568467</stp>
        <tr r="P798" s="2"/>
      </tp>
      <tp t="s">
        <v>#N/A N/A</v>
        <stp/>
        <stp>BDP|7065972440635446256</stp>
        <tr r="C322" s="2"/>
      </tp>
      <tp t="s">
        <v>#N/A N/A</v>
        <stp/>
        <stp>BDP|9661695552706934127</stp>
        <tr r="A2197" s="2"/>
      </tp>
      <tp t="s">
        <v>#N/A N/A</v>
        <stp/>
        <stp>BDP|7443550583652552517</stp>
        <tr r="H937" s="2"/>
      </tp>
      <tp t="s">
        <v>#N/A N/A</v>
        <stp/>
        <stp>BDP|3941062696583637490</stp>
        <tr r="K2248" s="2"/>
      </tp>
      <tp t="s">
        <v>#N/A N/A</v>
        <stp/>
        <stp>BDP|6170136326801088921</stp>
        <tr r="P669" s="2"/>
      </tp>
      <tp t="s">
        <v>#N/A N/A</v>
        <stp/>
        <stp>BDP|8482245252626296461</stp>
        <tr r="F1384" s="2"/>
      </tp>
      <tp t="s">
        <v>#N/A N/A</v>
        <stp/>
        <stp>BDP|8060752666626781229</stp>
        <tr r="M400" s="2"/>
      </tp>
      <tp t="s">
        <v>#N/A N/A</v>
        <stp/>
        <stp>BDP|8387769106167156546</stp>
        <tr r="T1822" s="2"/>
      </tp>
      <tp t="s">
        <v>#N/A N/A</v>
        <stp/>
        <stp>BDP|4644045982298213941</stp>
        <tr r="N131" s="2"/>
      </tp>
      <tp t="s">
        <v>#N/A N/A</v>
        <stp/>
        <stp>BDP|5055675038555907806</stp>
        <tr r="K1848" s="2"/>
      </tp>
      <tp t="s">
        <v>#N/A N/A</v>
        <stp/>
        <stp>BDP|9798944902908263551</stp>
        <tr r="N395" s="2"/>
      </tp>
      <tp t="s">
        <v>#N/A N/A</v>
        <stp/>
        <stp>BDP|7832669939628680777</stp>
        <tr r="R2027" s="2"/>
      </tp>
      <tp t="s">
        <v>#N/A N/A</v>
        <stp/>
        <stp>BDP|2763622588337851630</stp>
        <tr r="R845" s="2"/>
      </tp>
      <tp t="s">
        <v>#N/A N/A</v>
        <stp/>
        <stp>BDP|3421877302877380147</stp>
        <tr r="D1509" s="2"/>
      </tp>
      <tp t="s">
        <v>#N/A N/A</v>
        <stp/>
        <stp>BDP|9724536714432075265</stp>
        <tr r="T501" s="2"/>
      </tp>
      <tp t="s">
        <v>#N/A N/A</v>
        <stp/>
        <stp>BDP|5144943005316014767</stp>
        <tr r="E513" s="2"/>
      </tp>
      <tp t="s">
        <v>#N/A N/A</v>
        <stp/>
        <stp>BDP|4964258522980065983</stp>
        <tr r="H1785" s="2"/>
      </tp>
      <tp t="s">
        <v>#N/A N/A</v>
        <stp/>
        <stp>BDP|9475120667585536623</stp>
        <tr r="K325" s="2"/>
      </tp>
      <tp t="s">
        <v>#N/A N/A</v>
        <stp/>
        <stp>BDP|3425730490108855893</stp>
        <tr r="T999" s="2"/>
      </tp>
      <tp t="s">
        <v>#N/A N/A</v>
        <stp/>
        <stp>BDP|8872567995778908142</stp>
        <tr r="H530" s="2"/>
      </tp>
      <tp t="s">
        <v>#N/A N/A</v>
        <stp/>
        <stp>BDP|9182051930832762552</stp>
        <tr r="P779" s="2"/>
      </tp>
      <tp t="s">
        <v>#N/A N/A</v>
        <stp/>
        <stp>BDP|8248747354774749334</stp>
        <tr r="T1921" s="2"/>
      </tp>
      <tp t="s">
        <v>#N/A N/A</v>
        <stp/>
        <stp>BDP|8905909792944568182</stp>
        <tr r="K2188" s="2"/>
      </tp>
      <tp t="s">
        <v>#N/A N/A</v>
        <stp/>
        <stp>BDP|9223802725558089619</stp>
        <tr r="G1138" s="2"/>
      </tp>
      <tp t="s">
        <v>#N/A N/A</v>
        <stp/>
        <stp>BDS|6713292432183916934</stp>
        <tr r="I552" s="2"/>
      </tp>
      <tp t="s">
        <v>#N/A N/A</v>
        <stp/>
        <stp>BDP|2329517022380386859</stp>
        <tr r="P1471" s="2"/>
      </tp>
      <tp t="s">
        <v>#N/A N/A</v>
        <stp/>
        <stp>BDP|2106232247021658850</stp>
        <tr r="C2152" s="2"/>
      </tp>
      <tp t="s">
        <v>#N/A N/A</v>
        <stp/>
        <stp>BDP|2869812463324597599</stp>
        <tr r="M1747" s="2"/>
      </tp>
      <tp t="s">
        <v>#N/A N/A</v>
        <stp/>
        <stp>BDP|3816904168198207943</stp>
        <tr r="M903" s="2"/>
      </tp>
      <tp t="s">
        <v>#N/A N/A</v>
        <stp/>
        <stp>BDP|5149402156591378823</stp>
        <tr r="T11" s="2"/>
      </tp>
      <tp t="s">
        <v>#N/A N/A</v>
        <stp/>
        <stp>BDP|8911762273824298185</stp>
        <tr r="S1504" s="2"/>
      </tp>
      <tp t="s">
        <v>#N/A N/A</v>
        <stp/>
        <stp>BDP|1537988171532392091</stp>
        <tr r="D980" s="2"/>
      </tp>
      <tp t="s">
        <v>#N/A N/A</v>
        <stp/>
        <stp>BDP|8673072245598459963</stp>
        <tr r="N1348" s="2"/>
      </tp>
      <tp t="s">
        <v>#N/A N/A</v>
        <stp/>
        <stp>BDP|6961597097784667376</stp>
        <tr r="C759" s="2"/>
      </tp>
      <tp t="s">
        <v>#N/A N/A</v>
        <stp/>
        <stp>BDP|8753062306681626475</stp>
        <tr r="J2096" s="2"/>
      </tp>
      <tp t="s">
        <v>#N/A N/A</v>
        <stp/>
        <stp>BDP|6902193956239647663</stp>
        <tr r="O2131" s="2"/>
      </tp>
      <tp t="s">
        <v>#N/A N/A</v>
        <stp/>
        <stp>BDP|8792460815912064220</stp>
        <tr r="C757" s="2"/>
      </tp>
      <tp t="s">
        <v>#N/A N/A</v>
        <stp/>
        <stp>BDP|6386291081348973954</stp>
        <tr r="H571" s="2"/>
      </tp>
      <tp t="s">
        <v>#N/A N/A</v>
        <stp/>
        <stp>BDS|6839747921147865929</stp>
        <tr r="I1103" s="2"/>
      </tp>
      <tp t="s">
        <v>#N/A N/A</v>
        <stp/>
        <stp>BDP|2846080197961112715</stp>
        <tr r="M167" s="2"/>
      </tp>
      <tp t="s">
        <v>#N/A N/A</v>
        <stp/>
        <stp>BDP|5451500860159090234</stp>
        <tr r="E2130" s="2"/>
      </tp>
      <tp t="s">
        <v>#N/A N/A</v>
        <stp/>
        <stp>BDP|9919629052871713698</stp>
        <tr r="F416" s="2"/>
      </tp>
      <tp t="s">
        <v>#N/A N/A</v>
        <stp/>
        <stp>BDP|2588863615035619372</stp>
        <tr r="P2044" s="2"/>
      </tp>
      <tp t="s">
        <v>#N/A N/A</v>
        <stp/>
        <stp>BDP|3075117650973192978</stp>
        <tr r="N598" s="2"/>
      </tp>
      <tp t="s">
        <v>#N/A N/A</v>
        <stp/>
        <stp>BDP|3299838656094415748</stp>
        <tr r="H1428" s="2"/>
      </tp>
      <tp t="s">
        <v>#N/A N/A</v>
        <stp/>
        <stp>BDP|3356179776761458916</stp>
        <tr r="C696" s="2"/>
      </tp>
      <tp t="s">
        <v>#N/A N/A</v>
        <stp/>
        <stp>BDP|5281802606865299513</stp>
        <tr r="M937" s="2"/>
      </tp>
      <tp t="s">
        <v>#N/A N/A</v>
        <stp/>
        <stp>BDP|2644072831119594526</stp>
        <tr r="T1345" s="2"/>
      </tp>
      <tp t="s">
        <v>#N/A N/A</v>
        <stp/>
        <stp>BDP|6796786519344873991</stp>
        <tr r="F1091" s="2"/>
      </tp>
      <tp t="s">
        <v>#N/A N/A</v>
        <stp/>
        <stp>BDP|3586444958766609981</stp>
        <tr r="Q1829" s="2"/>
      </tp>
      <tp t="s">
        <v>#N/A N/A</v>
        <stp/>
        <stp>BDP|1209998252746747691</stp>
        <tr r="S1312" s="2"/>
      </tp>
      <tp t="s">
        <v>#N/A N/A</v>
        <stp/>
        <stp>BDP|6846522430265813858</stp>
        <tr r="N1184" s="2"/>
      </tp>
      <tp t="s">
        <v>#N/A N/A</v>
        <stp/>
        <stp>BDP|7231922840051058678</stp>
        <tr r="K1798" s="2"/>
      </tp>
      <tp t="s">
        <v>#N/A N/A</v>
        <stp/>
        <stp>BDP|6754022082140185312</stp>
        <tr r="J1491" s="2"/>
      </tp>
      <tp t="s">
        <v>#N/A N/A</v>
        <stp/>
        <stp>BDP|1456455701959417134</stp>
        <tr r="E1435" s="2"/>
      </tp>
      <tp t="s">
        <v>#N/A N/A</v>
        <stp/>
        <stp>BDP|4727532561409736358</stp>
        <tr r="P772" s="2"/>
      </tp>
      <tp t="s">
        <v>#N/A N/A</v>
        <stp/>
        <stp>BDP|8694434107780738126</stp>
        <tr r="F1198" s="2"/>
      </tp>
      <tp t="s">
        <v>#N/A N/A</v>
        <stp/>
        <stp>BDS|7805997112820436200</stp>
        <tr r="I1594" s="2"/>
      </tp>
      <tp t="s">
        <v>#N/A N/A</v>
        <stp/>
        <stp>BDP|9565184666133943058</stp>
        <tr r="P1179" s="2"/>
      </tp>
      <tp t="s">
        <v>#N/A N/A</v>
        <stp/>
        <stp>BDP|8541041510817158377</stp>
        <tr r="O960" s="2"/>
      </tp>
      <tp t="s">
        <v>#N/A N/A</v>
        <stp/>
        <stp>BDP|1434855686308628469</stp>
        <tr r="T1343" s="2"/>
      </tp>
      <tp t="s">
        <v>#N/A N/A</v>
        <stp/>
        <stp>BDP|1793134358971903925</stp>
        <tr r="A1869" s="2"/>
      </tp>
      <tp t="s">
        <v>#N/A N/A</v>
        <stp/>
        <stp>BDP|2136300232749255660</stp>
        <tr r="F2239" s="2"/>
      </tp>
      <tp t="s">
        <v>#N/A N/A</v>
        <stp/>
        <stp>BDP|9108641073311869495</stp>
        <tr r="A882" s="2"/>
      </tp>
      <tp t="s">
        <v>#N/A N/A</v>
        <stp/>
        <stp>BDP|7722877775044473163</stp>
        <tr r="K532" s="2"/>
      </tp>
      <tp t="s">
        <v>#N/A N/A</v>
        <stp/>
        <stp>BDP|9946985917635100906</stp>
        <tr r="D1763" s="2"/>
      </tp>
      <tp t="s">
        <v>#N/A N/A</v>
        <stp/>
        <stp>BDP|1128056489563387798</stp>
        <tr r="D1342" s="2"/>
      </tp>
      <tp t="s">
        <v>#N/A N/A</v>
        <stp/>
        <stp>BDP|9034922818335966945</stp>
        <tr r="H163" s="2"/>
      </tp>
      <tp t="s">
        <v>#N/A N/A</v>
        <stp/>
        <stp>BDP|8289468803180912191</stp>
        <tr r="E934" s="2"/>
      </tp>
      <tp t="s">
        <v>#N/A N/A</v>
        <stp/>
        <stp>BDP|7626400404387346965</stp>
        <tr r="Q2234" s="2"/>
      </tp>
      <tp t="s">
        <v>#N/A N/A</v>
        <stp/>
        <stp>BDP|2867486964254165924</stp>
        <tr r="S1493" s="2"/>
      </tp>
      <tp t="s">
        <v>#N/A N/A</v>
        <stp/>
        <stp>BDP|8438619023008737969</stp>
        <tr r="P1686" s="2"/>
      </tp>
      <tp t="s">
        <v>#N/A N/A</v>
        <stp/>
        <stp>BDS|1801292305298572664</stp>
        <tr r="I1196" s="2"/>
      </tp>
      <tp t="s">
        <v>#N/A N/A</v>
        <stp/>
        <stp>BDP|7058531138339871540</stp>
        <tr r="H1866" s="2"/>
      </tp>
      <tp t="s">
        <v>#N/A N/A</v>
        <stp/>
        <stp>BDP|8007943991187582279</stp>
        <tr r="O394" s="2"/>
      </tp>
      <tp t="s">
        <v>#N/A N/A</v>
        <stp/>
        <stp>BDP|2240586028181428912</stp>
        <tr r="H241" s="2"/>
      </tp>
      <tp t="s">
        <v>#N/A N/A</v>
        <stp/>
        <stp>BDP|7463527083243344414</stp>
        <tr r="M1278" s="2"/>
      </tp>
      <tp t="s">
        <v>#N/A N/A</v>
        <stp/>
        <stp>BDP|8590363888557580994</stp>
        <tr r="M316" s="2"/>
      </tp>
      <tp t="s">
        <v>#N/A N/A</v>
        <stp/>
        <stp>BDP|3146692099391344052</stp>
        <tr r="A917" s="2"/>
      </tp>
      <tp t="s">
        <v>#N/A N/A</v>
        <stp/>
        <stp>BDP|6813708042851832950</stp>
        <tr r="D1258" s="2"/>
      </tp>
      <tp t="s">
        <v>#N/A N/A</v>
        <stp/>
        <stp>BDP|9019608329371898161</stp>
        <tr r="D1148" s="2"/>
      </tp>
      <tp t="s">
        <v>#N/A N/A</v>
        <stp/>
        <stp>BDP|2706362991115763007</stp>
        <tr r="M444" s="2"/>
      </tp>
      <tp t="s">
        <v>#N/A N/A</v>
        <stp/>
        <stp>BDP|5559165060919437608</stp>
        <tr r="G1659" s="2"/>
      </tp>
      <tp t="s">
        <v>#N/A N/A</v>
        <stp/>
        <stp>BDS|6367909761165779128</stp>
        <tr r="I117" s="2"/>
      </tp>
      <tp t="s">
        <v>#N/A N/A</v>
        <stp/>
        <stp>BDP|8383103069237547588</stp>
        <tr r="R1797" s="2"/>
      </tp>
      <tp t="s">
        <v>#N/A N/A</v>
        <stp/>
        <stp>BDP|9818686941455424324</stp>
        <tr r="H2029" s="2"/>
      </tp>
      <tp t="s">
        <v>#N/A N/A</v>
        <stp/>
        <stp>BDP|6605068214939515365</stp>
        <tr r="Q1605" s="2"/>
      </tp>
      <tp t="s">
        <v>#N/A N/A</v>
        <stp/>
        <stp>BDP|3216773096351044141</stp>
        <tr r="G54" s="2"/>
      </tp>
      <tp t="s">
        <v>#N/A N/A</v>
        <stp/>
        <stp>BDP|9094848099320316597</stp>
        <tr r="M2126" s="2"/>
      </tp>
      <tp t="s">
        <v>#N/A N/A</v>
        <stp/>
        <stp>BDP|3798901771214183406</stp>
        <tr r="S1191" s="2"/>
      </tp>
      <tp t="s">
        <v>#N/A N/A</v>
        <stp/>
        <stp>BDP|4317652930139173501</stp>
        <tr r="J736" s="2"/>
      </tp>
      <tp t="s">
        <v>#N/A N/A</v>
        <stp/>
        <stp>BDP|8743554665497774177</stp>
        <tr r="S329" s="2"/>
      </tp>
      <tp t="s">
        <v>#N/A N/A</v>
        <stp/>
        <stp>BDP|9532473775590806781</stp>
        <tr r="S1195" s="2"/>
      </tp>
      <tp t="s">
        <v>#N/A N/A</v>
        <stp/>
        <stp>BDP|2710835934977788302</stp>
        <tr r="Q1655" s="2"/>
      </tp>
      <tp t="s">
        <v>#N/A N/A</v>
        <stp/>
        <stp>BDP|3626888032856850330</stp>
        <tr r="D298" s="2"/>
      </tp>
      <tp t="s">
        <v>#N/A N/A</v>
        <stp/>
        <stp>BDP|1538408855759421438</stp>
        <tr r="G678" s="2"/>
      </tp>
      <tp t="s">
        <v>#N/A N/A</v>
        <stp/>
        <stp>BDP|2463373134848922799</stp>
        <tr r="D810" s="2"/>
      </tp>
      <tp t="s">
        <v>#N/A N/A</v>
        <stp/>
        <stp>BDP|4932137275859894603</stp>
        <tr r="N1444" s="2"/>
      </tp>
      <tp t="s">
        <v>#N/A N/A</v>
        <stp/>
        <stp>BDP|5127954423135592658</stp>
        <tr r="S770" s="2"/>
      </tp>
      <tp t="s">
        <v>#N/A N/A</v>
        <stp/>
        <stp>BDP|6285107981372036049</stp>
        <tr r="M749" s="2"/>
      </tp>
      <tp t="s">
        <v>#N/A N/A</v>
        <stp/>
        <stp>BDP|6981901979905245052</stp>
        <tr r="H1025" s="2"/>
      </tp>
      <tp t="s">
        <v>#N/A N/A</v>
        <stp/>
        <stp>BDP|5467835403196042630</stp>
        <tr r="O1431" s="2"/>
      </tp>
      <tp t="s">
        <v>#N/A N/A</v>
        <stp/>
        <stp>BDP|5634486298267680246</stp>
        <tr r="H1579" s="2"/>
      </tp>
      <tp t="s">
        <v>#N/A N/A</v>
        <stp/>
        <stp>BDP|8570002553266088626</stp>
        <tr r="P744" s="2"/>
      </tp>
      <tp t="s">
        <v>#N/A N/A</v>
        <stp/>
        <stp>BDP|6398624631688272664</stp>
        <tr r="Q950" s="2"/>
      </tp>
      <tp t="s">
        <v>#N/A N/A</v>
        <stp/>
        <stp>BDP|8392022615052575654</stp>
        <tr r="D270" s="2"/>
      </tp>
      <tp t="s">
        <v>#N/A N/A</v>
        <stp/>
        <stp>BDS|8413605318854910616</stp>
        <tr r="I677" s="2"/>
      </tp>
      <tp t="s">
        <v>#N/A N/A</v>
        <stp/>
        <stp>BDP|8908982501049128558</stp>
        <tr r="P1482" s="2"/>
      </tp>
      <tp t="s">
        <v>#N/A N/A</v>
        <stp/>
        <stp>BDP|1521419380310171017</stp>
        <tr r="J648" s="2"/>
      </tp>
      <tp t="s">
        <v>#N/A N/A</v>
        <stp/>
        <stp>BDP|3165144791872426440</stp>
        <tr r="R1798" s="2"/>
      </tp>
      <tp t="s">
        <v>#N/A N/A</v>
        <stp/>
        <stp>BDP|8095811893046695209</stp>
        <tr r="G2181" s="2"/>
      </tp>
      <tp t="s">
        <v>#N/A N/A</v>
        <stp/>
        <stp>BDP|6035429004129348617</stp>
        <tr r="R2129" s="2"/>
      </tp>
      <tp t="s">
        <v>#N/A N/A</v>
        <stp/>
        <stp>BDP|6293038320891519803</stp>
        <tr r="G1910" s="2"/>
      </tp>
      <tp t="s">
        <v>#N/A N/A</v>
        <stp/>
        <stp>BDP|9980187794115125907</stp>
        <tr r="K2194" s="2"/>
      </tp>
      <tp t="s">
        <v>#N/A N/A</v>
        <stp/>
        <stp>BDP|8208528405241576146</stp>
        <tr r="R2146" s="2"/>
      </tp>
      <tp t="s">
        <v>#N/A N/A</v>
        <stp/>
        <stp>BDP|1277885776600969319</stp>
        <tr r="E1284" s="2"/>
      </tp>
      <tp t="s">
        <v>#N/A N/A</v>
        <stp/>
        <stp>BDP|9012022653998386969</stp>
        <tr r="O27" s="2"/>
      </tp>
      <tp t="s">
        <v>#N/A N/A</v>
        <stp/>
        <stp>BDP|7855712081961574493</stp>
        <tr r="P638" s="2"/>
      </tp>
      <tp t="s">
        <v>#N/A N/A</v>
        <stp/>
        <stp>BDP|9595169637530580650</stp>
        <tr r="R557" s="2"/>
      </tp>
      <tp t="s">
        <v>#N/A N/A</v>
        <stp/>
        <stp>BDP|3069988096329989738</stp>
        <tr r="G1362" s="2"/>
      </tp>
      <tp t="s">
        <v>#N/A N/A</v>
        <stp/>
        <stp>BDP|8822169149722053234</stp>
        <tr r="D370" s="2"/>
      </tp>
      <tp t="s">
        <v>#N/A N/A</v>
        <stp/>
        <stp>BDP|2582113524309173553</stp>
        <tr r="A2094" s="2"/>
      </tp>
      <tp t="s">
        <v>#N/A N/A</v>
        <stp/>
        <stp>BDS|5355775414009261769</stp>
        <tr r="I2140" s="2"/>
      </tp>
      <tp t="s">
        <v>#N/A N/A</v>
        <stp/>
        <stp>BDP|9446153203133626608</stp>
        <tr r="T1078" s="2"/>
      </tp>
      <tp t="s">
        <v>#N/A N/A</v>
        <stp/>
        <stp>BDP|6839025277275900908</stp>
        <tr r="F2156" s="2"/>
      </tp>
      <tp t="s">
        <v>#N/A N/A</v>
        <stp/>
        <stp>BDP|4712897013767859718</stp>
        <tr r="P1040" s="2"/>
      </tp>
      <tp t="s">
        <v>#N/A N/A</v>
        <stp/>
        <stp>BDP|1680241884930585674</stp>
        <tr r="P314" s="2"/>
      </tp>
      <tp t="s">
        <v>#N/A N/A</v>
        <stp/>
        <stp>BDP|4357850477881594708</stp>
        <tr r="E650" s="2"/>
      </tp>
      <tp t="s">
        <v>#N/A N/A</v>
        <stp/>
        <stp>BDP|4627738903439662744</stp>
        <tr r="M506" s="2"/>
      </tp>
      <tp t="s">
        <v>#N/A N/A</v>
        <stp/>
        <stp>BDP|2002667893713393325</stp>
        <tr r="N539" s="2"/>
      </tp>
      <tp t="s">
        <v>#N/A N/A</v>
        <stp/>
        <stp>BDP|8649585518913129235</stp>
        <tr r="D966" s="2"/>
      </tp>
      <tp t="s">
        <v>#N/A N/A</v>
        <stp/>
        <stp>BDP|1282633620109124147</stp>
        <tr r="T250" s="2"/>
      </tp>
      <tp t="s">
        <v>#N/A N/A</v>
        <stp/>
        <stp>BDP|2264100961331729909</stp>
        <tr r="H713" s="2"/>
      </tp>
      <tp t="s">
        <v>#N/A N/A</v>
        <stp/>
        <stp>BDP|9642401161740644658</stp>
        <tr r="C1249" s="2"/>
      </tp>
      <tp t="s">
        <v>#N/A N/A</v>
        <stp/>
        <stp>BDP|3953537566949029487</stp>
        <tr r="K2110" s="2"/>
      </tp>
      <tp t="s">
        <v>#N/A N/A</v>
        <stp/>
        <stp>BDP|5550979720186614502</stp>
        <tr r="F1528" s="2"/>
      </tp>
      <tp t="s">
        <v>#N/A N/A</v>
        <stp/>
        <stp>BDP|8420373173339157856</stp>
        <tr r="E418" s="2"/>
      </tp>
      <tp t="s">
        <v>#N/A N/A</v>
        <stp/>
        <stp>BDP|4224573109469821506</stp>
        <tr r="P925" s="2"/>
      </tp>
      <tp t="s">
        <v>#N/A N/A</v>
        <stp/>
        <stp>BDP|6569851532185127575</stp>
        <tr r="H275" s="2"/>
      </tp>
      <tp t="s">
        <v>#N/A N/A</v>
        <stp/>
        <stp>BDP|6597078628521979872</stp>
        <tr r="F905" s="2"/>
      </tp>
      <tp t="s">
        <v>#N/A N/A</v>
        <stp/>
        <stp>BDP|2447207652650260803</stp>
        <tr r="S1872" s="2"/>
      </tp>
      <tp t="s">
        <v>#N/A N/A</v>
        <stp/>
        <stp>BDP|5900440488292149606</stp>
        <tr r="T790" s="2"/>
      </tp>
      <tp t="s">
        <v>#N/A N/A</v>
        <stp/>
        <stp>BDP|7777322402520693959</stp>
        <tr r="R1374" s="2"/>
      </tp>
      <tp t="s">
        <v>#N/A N/A</v>
        <stp/>
        <stp>BDP|4442998958251873499</stp>
        <tr r="M2199" s="2"/>
      </tp>
      <tp t="s">
        <v>#N/A N/A</v>
        <stp/>
        <stp>BDP|3390342453919601161</stp>
        <tr r="H76" s="2"/>
      </tp>
      <tp t="s">
        <v>#N/A N/A</v>
        <stp/>
        <stp>BDP|5251594618749226557</stp>
        <tr r="N2190" s="2"/>
      </tp>
      <tp t="s">
        <v>#N/A N/A</v>
        <stp/>
        <stp>BDP|6752841726148967980</stp>
        <tr r="G102" s="2"/>
      </tp>
      <tp t="s">
        <v>#N/A N/A</v>
        <stp/>
        <stp>BDP|6768462904636335922</stp>
        <tr r="K1751" s="2"/>
      </tp>
      <tp t="s">
        <v>#N/A N/A</v>
        <stp/>
        <stp>BDP|6544392898787339631</stp>
        <tr r="J1139" s="2"/>
      </tp>
      <tp t="s">
        <v>#N/A N/A</v>
        <stp/>
        <stp>BDP|9224230822226210252</stp>
        <tr r="G292" s="2"/>
      </tp>
      <tp t="s">
        <v>#N/A N/A</v>
        <stp/>
        <stp>BDP|2341018960968124174</stp>
        <tr r="A788" s="2"/>
      </tp>
      <tp t="s">
        <v>#N/A N/A</v>
        <stp/>
        <stp>BDP|1281449791974787542</stp>
        <tr r="N1713" s="2"/>
      </tp>
      <tp t="s">
        <v>#N/A N/A</v>
        <stp/>
        <stp>BDP|9826013829442427405</stp>
        <tr r="K1300" s="2"/>
      </tp>
      <tp t="s">
        <v>#N/A N/A</v>
        <stp/>
        <stp>BDS|9384021746817009730</stp>
        <tr r="I1043" s="2"/>
      </tp>
      <tp t="s">
        <v>#N/A N/A</v>
        <stp/>
        <stp>BDP|9204056310324795149</stp>
        <tr r="Q797" s="2"/>
      </tp>
      <tp t="s">
        <v>#N/A N/A</v>
        <stp/>
        <stp>BDP|6766161244838086612</stp>
        <tr r="J919" s="2"/>
      </tp>
      <tp t="s">
        <v>#N/A N/A</v>
        <stp/>
        <stp>BDP|1978886850779474814</stp>
        <tr r="S1072" s="2"/>
      </tp>
      <tp t="s">
        <v>#N/A N/A</v>
        <stp/>
        <stp>BDP|7969572688756529174</stp>
        <tr r="A1170" s="2"/>
      </tp>
      <tp t="s">
        <v>#N/A N/A</v>
        <stp/>
        <stp>BDP|8064815800168177540</stp>
        <tr r="S101" s="2"/>
      </tp>
      <tp t="s">
        <v>#N/A N/A</v>
        <stp/>
        <stp>BDP|2541939770707789657</stp>
        <tr r="F805" s="2"/>
      </tp>
      <tp t="s">
        <v>#N/A N/A</v>
        <stp/>
        <stp>BDP|3780004365229186172</stp>
        <tr r="M1593" s="2"/>
      </tp>
      <tp t="s">
        <v>#N/A N/A</v>
        <stp/>
        <stp>BDP|7577711997666669212</stp>
        <tr r="D1702" s="2"/>
      </tp>
      <tp t="s">
        <v>#N/A N/A</v>
        <stp/>
        <stp>BDS|4961505681726407283</stp>
        <tr r="I1273" s="2"/>
      </tp>
      <tp t="s">
        <v>#N/A N/A</v>
        <stp/>
        <stp>BDS|8851841030458029685</stp>
        <tr r="I772" s="2"/>
      </tp>
      <tp t="s">
        <v>#N/A N/A</v>
        <stp/>
        <stp>BDP|5194641302507608959</stp>
        <tr r="C221" s="2"/>
      </tp>
      <tp t="s">
        <v>#N/A N/A</v>
        <stp/>
        <stp>BDP|8631556378087782089</stp>
        <tr r="A1920" s="2"/>
      </tp>
      <tp t="s">
        <v>#N/A N/A</v>
        <stp/>
        <stp>BDP|1104130404429777454</stp>
        <tr r="E101" s="2"/>
      </tp>
      <tp t="s">
        <v>#N/A N/A</v>
        <stp/>
        <stp>BDP|1320967465154746737</stp>
        <tr r="E464" s="2"/>
      </tp>
      <tp t="s">
        <v>#N/A N/A</v>
        <stp/>
        <stp>BDP|6764382205328853065</stp>
        <tr r="E1129" s="2"/>
      </tp>
      <tp t="s">
        <v>#N/A N/A</v>
        <stp/>
        <stp>BDP|8332976894532544713</stp>
        <tr r="T771" s="2"/>
      </tp>
      <tp t="s">
        <v>#N/A N/A</v>
        <stp/>
        <stp>BDP|7787814150942217502</stp>
        <tr r="N801" s="2"/>
      </tp>
      <tp t="s">
        <v>#N/A N/A</v>
        <stp/>
        <stp>BDS|5645864732761072265</stp>
        <tr r="I548" s="2"/>
      </tp>
      <tp t="s">
        <v>#N/A N/A</v>
        <stp/>
        <stp>BDP|2156012524048147515</stp>
        <tr r="T1816" s="2"/>
      </tp>
      <tp t="s">
        <v>#N/A N/A</v>
        <stp/>
        <stp>BDP|3842126977410966806</stp>
        <tr r="H313" s="2"/>
      </tp>
      <tp t="s">
        <v>#N/A N/A</v>
        <stp/>
        <stp>BDP|5605162172359059762</stp>
        <tr r="K1136" s="2"/>
      </tp>
      <tp t="s">
        <v>#N/A N/A</v>
        <stp/>
        <stp>BDP|8362389652495955648</stp>
        <tr r="N1090" s="2"/>
      </tp>
      <tp t="s">
        <v>#N/A N/A</v>
        <stp/>
        <stp>BDP|7229057593316488557</stp>
        <tr r="H1766" s="2"/>
      </tp>
      <tp t="s">
        <v>#N/A N/A</v>
        <stp/>
        <stp>BDP|7660859765713126723</stp>
        <tr r="O1004" s="2"/>
      </tp>
      <tp t="s">
        <v>#N/A N/A</v>
        <stp/>
        <stp>BDP|9918399886967197821</stp>
        <tr r="J542" s="2"/>
      </tp>
      <tp t="s">
        <v>#N/A N/A</v>
        <stp/>
        <stp>BDP|5898900505518975912</stp>
        <tr r="D922" s="2"/>
      </tp>
      <tp t="s">
        <v>#N/A N/A</v>
        <stp/>
        <stp>BDP|6695906333604650564</stp>
        <tr r="J195" s="2"/>
      </tp>
      <tp t="s">
        <v>#N/A N/A</v>
        <stp/>
        <stp>BDP|6552819718974093694</stp>
        <tr r="J1741" s="2"/>
      </tp>
      <tp t="s">
        <v>#N/A N/A</v>
        <stp/>
        <stp>BDP|7584001467754616817</stp>
        <tr r="K497" s="2"/>
      </tp>
      <tp t="s">
        <v>#N/A N/A</v>
        <stp/>
        <stp>BDP|8655328971446585759</stp>
        <tr r="N542" s="2"/>
      </tp>
      <tp t="s">
        <v>#N/A N/A</v>
        <stp/>
        <stp>BDP|9442277575954146525</stp>
        <tr r="O541" s="2"/>
      </tp>
      <tp t="s">
        <v>#N/A N/A</v>
        <stp/>
        <stp>BDP|2383143493711559642</stp>
        <tr r="O1057" s="2"/>
      </tp>
      <tp t="s">
        <v>#N/A N/A</v>
        <stp/>
        <stp>BDP|2844449735781441985</stp>
        <tr r="F18" s="2"/>
      </tp>
      <tp t="s">
        <v>#N/A N/A</v>
        <stp/>
        <stp>BDS|2102918814687238035</stp>
        <tr r="I1346" s="2"/>
      </tp>
      <tp t="s">
        <v>#N/A N/A</v>
        <stp/>
        <stp>BDP|3300698778037359847</stp>
        <tr r="A242" s="2"/>
      </tp>
      <tp t="s">
        <v>#N/A N/A</v>
        <stp/>
        <stp>BDP|8934136927910029683</stp>
        <tr r="J887" s="2"/>
      </tp>
      <tp t="s">
        <v>#N/A N/A</v>
        <stp/>
        <stp>BDP|6983294402689218056</stp>
        <tr r="T29" s="2"/>
      </tp>
      <tp t="s">
        <v>#N/A N/A</v>
        <stp/>
        <stp>BDP|2139008974170045803</stp>
        <tr r="J1600" s="2"/>
      </tp>
      <tp t="s">
        <v>#N/A N/A</v>
        <stp/>
        <stp>BDP|8420319901720226633</stp>
        <tr r="G1565" s="2"/>
      </tp>
      <tp t="s">
        <v>#N/A N/A</v>
        <stp/>
        <stp>BDP|3984389394281671569</stp>
        <tr r="M2027" s="2"/>
      </tp>
      <tp t="s">
        <v>#N/A N/A</v>
        <stp/>
        <stp>BDP|9735491949546097223</stp>
        <tr r="N1662" s="2"/>
      </tp>
      <tp t="s">
        <v>#N/A N/A</v>
        <stp/>
        <stp>BDP|6856982438829938841</stp>
        <tr r="N889" s="2"/>
      </tp>
      <tp t="s">
        <v>#N/A N/A</v>
        <stp/>
        <stp>BDP|9697062602795701101</stp>
        <tr r="R469" s="2"/>
      </tp>
      <tp t="s">
        <v>#N/A N/A</v>
        <stp/>
        <stp>BDP|5397958517554493401</stp>
        <tr r="K470" s="2"/>
      </tp>
      <tp t="s">
        <v>#N/A N/A</v>
        <stp/>
        <stp>BDP|8483280486618971765</stp>
        <tr r="E1812" s="2"/>
      </tp>
      <tp t="s">
        <v>#N/A N/A</v>
        <stp/>
        <stp>BDP|5273901547305206029</stp>
        <tr r="G967" s="2"/>
      </tp>
      <tp t="s">
        <v>#N/A N/A</v>
        <stp/>
        <stp>BDP|4836023559935371951</stp>
        <tr r="D1742" s="2"/>
      </tp>
      <tp t="s">
        <v>#N/A N/A</v>
        <stp/>
        <stp>BDP|5430153184897554652</stp>
        <tr r="F1835" s="2"/>
      </tp>
      <tp t="s">
        <v>#N/A N/A</v>
        <stp/>
        <stp>BDP|8300270945164186756</stp>
        <tr r="M1821" s="2"/>
      </tp>
      <tp t="s">
        <v>#N/A N/A</v>
        <stp/>
        <stp>BDP|4789727702116005821</stp>
        <tr r="A1794" s="2"/>
      </tp>
      <tp t="s">
        <v>#N/A N/A</v>
        <stp/>
        <stp>BDP|8438560376333863499</stp>
        <tr r="F856" s="2"/>
      </tp>
      <tp t="s">
        <v>#N/A N/A</v>
        <stp/>
        <stp>BDP|1855866038997178023</stp>
        <tr r="H1406" s="2"/>
      </tp>
      <tp t="s">
        <v>#N/A N/A</v>
        <stp/>
        <stp>BDP|4006728065550470864</stp>
        <tr r="P440" s="2"/>
      </tp>
      <tp t="s">
        <v>#N/A N/A</v>
        <stp/>
        <stp>BDP|1296542887002051340</stp>
        <tr r="P109" s="2"/>
      </tp>
      <tp t="s">
        <v>#N/A N/A</v>
        <stp/>
        <stp>BDP|6636415990505455368</stp>
        <tr r="H1195" s="2"/>
      </tp>
      <tp t="s">
        <v>#N/A N/A</v>
        <stp/>
        <stp>BDP|8781870281345480002</stp>
        <tr r="M1594" s="2"/>
      </tp>
      <tp t="s">
        <v>#N/A N/A</v>
        <stp/>
        <stp>BDP|6187474480054196324</stp>
        <tr r="G1552" s="2"/>
      </tp>
      <tp t="s">
        <v>#N/A N/A</v>
        <stp/>
        <stp>BDP|8080648035838213868</stp>
        <tr r="R1053" s="2"/>
      </tp>
      <tp t="s">
        <v>#N/A N/A</v>
        <stp/>
        <stp>BDP|9209250075992711309</stp>
        <tr r="D2177" s="2"/>
      </tp>
      <tp t="s">
        <v>#N/A N/A</v>
        <stp/>
        <stp>BDP|4935812471787844143</stp>
        <tr r="C427" s="2"/>
      </tp>
      <tp t="s">
        <v>#N/A N/A</v>
        <stp/>
        <stp>BDP|8566631336225038557</stp>
        <tr r="G202" s="2"/>
      </tp>
      <tp t="s">
        <v>#N/A N/A</v>
        <stp/>
        <stp>BDP|9412343920066437310</stp>
        <tr r="S656" s="2"/>
      </tp>
      <tp t="s">
        <v>#N/A N/A</v>
        <stp/>
        <stp>BDP|3124637721158643200</stp>
        <tr r="R549" s="2"/>
      </tp>
      <tp t="s">
        <v>#N/A N/A</v>
        <stp/>
        <stp>BDP|9612168853976091669</stp>
        <tr r="J803" s="2"/>
      </tp>
      <tp t="s">
        <v>#N/A N/A</v>
        <stp/>
        <stp>BDP|8804302059556649523</stp>
        <tr r="H253" s="2"/>
      </tp>
      <tp t="s">
        <v>#N/A N/A</v>
        <stp/>
        <stp>BDP|3191832612585464218</stp>
        <tr r="C777" s="2"/>
      </tp>
      <tp t="s">
        <v>#N/A N/A</v>
        <stp/>
        <stp>BDP|3617657784026036626</stp>
        <tr r="C991" s="2"/>
      </tp>
      <tp t="s">
        <v>#N/A N/A</v>
        <stp/>
        <stp>BDP|4602612760141225802</stp>
        <tr r="E992" s="2"/>
      </tp>
      <tp t="s">
        <v>#N/A N/A</v>
        <stp/>
        <stp>BDP|2306205794160130434</stp>
        <tr r="N402" s="2"/>
      </tp>
      <tp t="s">
        <v>#N/A N/A</v>
        <stp/>
        <stp>BDP|7090004338919852052</stp>
        <tr r="O490" s="2"/>
      </tp>
      <tp t="s">
        <v>#N/A N/A</v>
        <stp/>
        <stp>BDP|2698239573649451370</stp>
        <tr r="Q1732" s="2"/>
      </tp>
      <tp t="s">
        <v>#N/A N/A</v>
        <stp/>
        <stp>BDP|9924396156110250212</stp>
        <tr r="M226" s="2"/>
      </tp>
      <tp t="s">
        <v>#N/A N/A</v>
        <stp/>
        <stp>BDP|3142632302760542807</stp>
        <tr r="C922" s="2"/>
      </tp>
      <tp t="s">
        <v>#N/A N/A</v>
        <stp/>
        <stp>BDP|7550917442247447076</stp>
        <tr r="K2195" s="2"/>
      </tp>
      <tp t="s">
        <v>#N/A N/A</v>
        <stp/>
        <stp>BDP|6688271770788696625</stp>
        <tr r="Q1964" s="2"/>
      </tp>
      <tp t="s">
        <v>#N/A N/A</v>
        <stp/>
        <stp>BDP|9468093731784156385</stp>
        <tr r="F584" s="2"/>
      </tp>
      <tp t="s">
        <v>#N/A N/A</v>
        <stp/>
        <stp>BDP|6857636824389904632</stp>
        <tr r="A2" s="2"/>
      </tp>
      <tp t="s">
        <v>#N/A N/A</v>
        <stp/>
        <stp>BDP|5434114762588474767</stp>
        <tr r="J1340" s="2"/>
      </tp>
      <tp t="s">
        <v>#N/A N/A</v>
        <stp/>
        <stp>BDP|2171366734786268945</stp>
        <tr r="A44" s="2"/>
      </tp>
      <tp t="s">
        <v>#N/A N/A</v>
        <stp/>
        <stp>BDP|9363691026402941202</stp>
        <tr r="K197" s="2"/>
      </tp>
      <tp t="s">
        <v>#N/A N/A</v>
        <stp/>
        <stp>BDP|6694670967663633859</stp>
        <tr r="F1584" s="2"/>
      </tp>
      <tp t="s">
        <v>#N/A N/A</v>
        <stp/>
        <stp>BDP|1609111326417251865</stp>
        <tr r="O1236" s="2"/>
      </tp>
      <tp t="s">
        <v>#N/A N/A</v>
        <stp/>
        <stp>BDP|2434890328700470547</stp>
        <tr r="K2225" s="2"/>
      </tp>
      <tp t="s">
        <v>#N/A N/A</v>
        <stp/>
        <stp>BDP|9604432234213007044</stp>
        <tr r="Q2256" s="2"/>
      </tp>
      <tp t="s">
        <v>#N/A N/A</v>
        <stp/>
        <stp>BDP|9996204768639657929</stp>
        <tr r="P849" s="2"/>
      </tp>
      <tp t="s">
        <v>#N/A N/A</v>
        <stp/>
        <stp>BDP|3159984732504738090</stp>
        <tr r="C1680" s="2"/>
      </tp>
      <tp t="s">
        <v>#N/A N/A</v>
        <stp/>
        <stp>BDP|4717398990034995727</stp>
        <tr r="T32" s="2"/>
      </tp>
      <tp t="s">
        <v>#N/A N/A</v>
        <stp/>
        <stp>BDP|4130960055435138063</stp>
        <tr r="T1230" s="2"/>
      </tp>
      <tp t="s">
        <v>#N/A N/A</v>
        <stp/>
        <stp>BDP|4661000660088784749</stp>
        <tr r="T526" s="2"/>
      </tp>
      <tp t="s">
        <v>#N/A N/A</v>
        <stp/>
        <stp>BDP|6033878846871608625</stp>
        <tr r="E1901" s="2"/>
      </tp>
      <tp t="s">
        <v>#N/A N/A</v>
        <stp/>
        <stp>BDP|8835398361571797121</stp>
        <tr r="F1569" s="2"/>
      </tp>
      <tp t="s">
        <v>#N/A N/A</v>
        <stp/>
        <stp>BDS|1437968763942025145</stp>
        <tr r="I332" s="2"/>
      </tp>
      <tp t="s">
        <v>#N/A N/A</v>
        <stp/>
        <stp>BDP|4958617389355163251</stp>
        <tr r="E1576" s="2"/>
      </tp>
      <tp t="s">
        <v>#N/A N/A</v>
        <stp/>
        <stp>BDS|8938725143777534187</stp>
        <tr r="I1947" s="2"/>
      </tp>
      <tp t="s">
        <v>#N/A N/A</v>
        <stp/>
        <stp>BDP|1918925669288980817</stp>
        <tr r="T2146" s="2"/>
      </tp>
      <tp t="s">
        <v>#N/A N/A</v>
        <stp/>
        <stp>BDP|2967165265633790875</stp>
        <tr r="M895" s="2"/>
      </tp>
      <tp t="s">
        <v>#N/A N/A</v>
        <stp/>
        <stp>BDP|3954448610469728102</stp>
        <tr r="P50" s="2"/>
      </tp>
      <tp t="s">
        <v>#N/A N/A</v>
        <stp/>
        <stp>BDP|6960560082911439435</stp>
        <tr r="P1373" s="2"/>
      </tp>
      <tp t="s">
        <v>#N/A N/A</v>
        <stp/>
        <stp>BDP|3943564681588394875</stp>
        <tr r="S950" s="2"/>
      </tp>
      <tp t="s">
        <v>#N/A N/A</v>
        <stp/>
        <stp>BDP|1482757593267048681</stp>
        <tr r="E2077" s="2"/>
      </tp>
      <tp t="s">
        <v>#N/A N/A</v>
        <stp/>
        <stp>BDP|4524549934689703586</stp>
        <tr r="E984" s="2"/>
      </tp>
      <tp t="s">
        <v>#N/A N/A</v>
        <stp/>
        <stp>BDP|5786822249317753017</stp>
        <tr r="C1452" s="2"/>
      </tp>
      <tp t="s">
        <v>#N/A N/A</v>
        <stp/>
        <stp>BDP|8458534638902100243</stp>
        <tr r="K13" s="2"/>
      </tp>
      <tp t="s">
        <v>#N/A N/A</v>
        <stp/>
        <stp>BDP|2804373603228798713</stp>
        <tr r="J1750" s="2"/>
      </tp>
      <tp t="s">
        <v>#N/A N/A</v>
        <stp/>
        <stp>BDP|6605241488206118419</stp>
        <tr r="K1294" s="2"/>
      </tp>
      <tp t="s">
        <v>#N/A N/A</v>
        <stp/>
        <stp>BDP|1741630307630987900</stp>
        <tr r="H1466" s="2"/>
      </tp>
      <tp t="s">
        <v>#N/A N/A</v>
        <stp/>
        <stp>BDP|9694606313760866073</stp>
        <tr r="D1136" s="2"/>
      </tp>
      <tp t="s">
        <v>#N/A N/A</v>
        <stp/>
        <stp>BDP|9262272246050896110</stp>
        <tr r="O1963" s="2"/>
      </tp>
      <tp t="s">
        <v>#N/A N/A</v>
        <stp/>
        <stp>BDP|6515898173990090754</stp>
        <tr r="T2097" s="2"/>
      </tp>
      <tp t="s">
        <v>#N/A N/A</v>
        <stp/>
        <stp>BDP|7415082192396756638</stp>
        <tr r="M370" s="2"/>
      </tp>
      <tp t="s">
        <v>#N/A N/A</v>
        <stp/>
        <stp>BDP|6006758178018341040</stp>
        <tr r="K1107" s="2"/>
      </tp>
      <tp t="s">
        <v>#N/A N/A</v>
        <stp/>
        <stp>BDP|2702507278526093857</stp>
        <tr r="T1968" s="2"/>
      </tp>
      <tp t="s">
        <v>#N/A N/A</v>
        <stp/>
        <stp>BDP|8964745745936703355</stp>
        <tr r="E1007" s="2"/>
      </tp>
      <tp t="s">
        <v>#N/A N/A</v>
        <stp/>
        <stp>BDP|2679581789153597281</stp>
        <tr r="T858" s="2"/>
      </tp>
      <tp t="s">
        <v>#N/A N/A</v>
        <stp/>
        <stp>BDP|3771919858624423505</stp>
        <tr r="Q726" s="2"/>
      </tp>
      <tp t="s">
        <v>#N/A N/A</v>
        <stp/>
        <stp>BDP|4858920892132528879</stp>
        <tr r="K2003" s="2"/>
      </tp>
      <tp t="s">
        <v>#N/A N/A</v>
        <stp/>
        <stp>BDP|3339567984719357988</stp>
        <tr r="N1033" s="2"/>
      </tp>
      <tp t="s">
        <v>#N/A N/A</v>
        <stp/>
        <stp>BDP|5411618681317978273</stp>
        <tr r="P820" s="2"/>
      </tp>
      <tp t="s">
        <v>#N/A N/A</v>
        <stp/>
        <stp>BDP|8919848465438352019</stp>
        <tr r="R1667" s="2"/>
      </tp>
      <tp t="s">
        <v>#N/A N/A</v>
        <stp/>
        <stp>BDP|3288543425923037990</stp>
        <tr r="T1046" s="2"/>
      </tp>
      <tp t="s">
        <v>#N/A N/A</v>
        <stp/>
        <stp>BDP|6739061357619562493</stp>
        <tr r="E1076" s="2"/>
      </tp>
      <tp t="s">
        <v>#N/A N/A</v>
        <stp/>
        <stp>BDP|9066784811269013830</stp>
        <tr r="F1956" s="2"/>
      </tp>
      <tp t="s">
        <v>#N/A N/A</v>
        <stp/>
        <stp>BDP|4901302059738805425</stp>
        <tr r="Q852" s="2"/>
      </tp>
      <tp t="s">
        <v>#N/A N/A</v>
        <stp/>
        <stp>BDP|2803831880205337920</stp>
        <tr r="H1802" s="2"/>
      </tp>
      <tp t="s">
        <v>#N/A N/A</v>
        <stp/>
        <stp>BDP|3819278481980738733</stp>
        <tr r="Q1144" s="2"/>
      </tp>
      <tp t="s">
        <v>#N/A N/A</v>
        <stp/>
        <stp>BDP|1309926652957160489</stp>
        <tr r="C1506" s="2"/>
      </tp>
      <tp t="s">
        <v>#N/A N/A</v>
        <stp/>
        <stp>BDP|3984934142357194735</stp>
        <tr r="R1956" s="2"/>
      </tp>
      <tp t="s">
        <v>#N/A N/A</v>
        <stp/>
        <stp>BDP|4459625279542119947</stp>
        <tr r="R419" s="2"/>
      </tp>
      <tp t="s">
        <v>#N/A N/A</v>
        <stp/>
        <stp>BDP|9310663489200564935</stp>
        <tr r="S1788" s="2"/>
      </tp>
      <tp t="s">
        <v>#N/A N/A</v>
        <stp/>
        <stp>BDP|1658853938484105001</stp>
        <tr r="H1231" s="2"/>
      </tp>
      <tp t="s">
        <v>#N/A N/A</v>
        <stp/>
        <stp>BDP|3366724478254038930</stp>
        <tr r="C1652" s="2"/>
      </tp>
      <tp t="s">
        <v>#N/A N/A</v>
        <stp/>
        <stp>BDP|6495415620887650992</stp>
        <tr r="J1011" s="2"/>
      </tp>
      <tp t="s">
        <v>#N/A N/A</v>
        <stp/>
        <stp>BDP|4772294159358531581</stp>
        <tr r="F876" s="2"/>
      </tp>
      <tp t="s">
        <v>#N/A N/A</v>
        <stp/>
        <stp>BDP|2886145856459628169</stp>
        <tr r="T1763" s="2"/>
      </tp>
      <tp t="s">
        <v>#N/A N/A</v>
        <stp/>
        <stp>BDP|6521425526819298794</stp>
        <tr r="S242" s="2"/>
      </tp>
      <tp t="s">
        <v>#N/A N/A</v>
        <stp/>
        <stp>BDP|3876286345632661994</stp>
        <tr r="D1847" s="2"/>
      </tp>
      <tp t="s">
        <v>#N/A N/A</v>
        <stp/>
        <stp>BDP|2152147937316178893</stp>
        <tr r="H1617" s="2"/>
      </tp>
      <tp t="s">
        <v>#N/A N/A</v>
        <stp/>
        <stp>BDP|1221251306354854930</stp>
        <tr r="E1373" s="2"/>
      </tp>
      <tp t="s">
        <v>#N/A N/A</v>
        <stp/>
        <stp>BDP|3377460753615902954</stp>
        <tr r="S111" s="2"/>
      </tp>
      <tp t="s">
        <v>#N/A N/A</v>
        <stp/>
        <stp>BDP|6344989558444896015</stp>
        <tr r="J834" s="2"/>
      </tp>
      <tp t="s">
        <v>#N/A N/A</v>
        <stp/>
        <stp>BDP|5319881311547412541</stp>
        <tr r="E1833" s="2"/>
      </tp>
      <tp t="s">
        <v>#N/A N/A</v>
        <stp/>
        <stp>BDP|7669896140602474714</stp>
        <tr r="T589" s="2"/>
      </tp>
      <tp t="s">
        <v>#N/A N/A</v>
        <stp/>
        <stp>BDP|4686273981229857929</stp>
        <tr r="S376" s="2"/>
      </tp>
      <tp t="s">
        <v>#N/A N/A</v>
        <stp/>
        <stp>BDP|7258616372288306085</stp>
        <tr r="O812" s="2"/>
      </tp>
      <tp t="s">
        <v>#N/A N/A</v>
        <stp/>
        <stp>BDS|8888466826977565776</stp>
        <tr r="I1703" s="2"/>
      </tp>
      <tp t="s">
        <v>#N/A N/A</v>
        <stp/>
        <stp>BDP|9208381736737510033</stp>
        <tr r="H947" s="2"/>
      </tp>
      <tp t="s">
        <v>#N/A N/A</v>
        <stp/>
        <stp>BDP|6329191611628935082</stp>
        <tr r="D1004" s="2"/>
      </tp>
      <tp t="s">
        <v>#N/A N/A</v>
        <stp/>
        <stp>BDP|3203566429049467337</stp>
        <tr r="R855" s="2"/>
      </tp>
      <tp t="s">
        <v>#N/A N/A</v>
        <stp/>
        <stp>BDP|5129269376569212798</stp>
        <tr r="K919" s="2"/>
      </tp>
      <tp t="s">
        <v>#N/A N/A</v>
        <stp/>
        <stp>BDP|1560985536385727065</stp>
        <tr r="T224" s="2"/>
      </tp>
      <tp t="s">
        <v>#N/A N/A</v>
        <stp/>
        <stp>BDP|6907381576578865454</stp>
        <tr r="P403" s="2"/>
      </tp>
      <tp t="s">
        <v>#N/A N/A</v>
        <stp/>
        <stp>BDP|5144030678585178910</stp>
        <tr r="F1465" s="2"/>
      </tp>
      <tp t="s">
        <v>#N/A N/A</v>
        <stp/>
        <stp>BDP|4659014246118369680</stp>
        <tr r="R2104" s="2"/>
      </tp>
      <tp t="s">
        <v>#N/A N/A</v>
        <stp/>
        <stp>BDP|6982299399962278119</stp>
        <tr r="D1940" s="2"/>
      </tp>
      <tp t="s">
        <v>#N/A N/A</v>
        <stp/>
        <stp>BDP|8499651939427343401</stp>
        <tr r="A996" s="2"/>
      </tp>
      <tp t="s">
        <v>#N/A N/A</v>
        <stp/>
        <stp>BDP|2867828764087150542</stp>
        <tr r="S620" s="2"/>
      </tp>
      <tp t="s">
        <v>#N/A N/A</v>
        <stp/>
        <stp>BDS|4295390820463853882</stp>
        <tr r="I1394" s="2"/>
      </tp>
      <tp t="s">
        <v>#N/A N/A</v>
        <stp/>
        <stp>BDP|5039466541658933359</stp>
        <tr r="F824" s="2"/>
      </tp>
      <tp t="s">
        <v>#N/A N/A</v>
        <stp/>
        <stp>BDP|7032623835015481981</stp>
        <tr r="K87" s="2"/>
      </tp>
      <tp t="s">
        <v>#N/A N/A</v>
        <stp/>
        <stp>BDP|8727589556713216505</stp>
        <tr r="O1109" s="2"/>
      </tp>
      <tp t="s">
        <v>#N/A N/A</v>
        <stp/>
        <stp>BDP|6323872683309527199</stp>
        <tr r="A477" s="2"/>
      </tp>
      <tp t="s">
        <v>#N/A N/A</v>
        <stp/>
        <stp>BDP|1484135612489709691</stp>
        <tr r="K1972" s="2"/>
      </tp>
      <tp t="s">
        <v>#N/A N/A</v>
        <stp/>
        <stp>BDP|1183851007191012681</stp>
        <tr r="K336" s="2"/>
      </tp>
      <tp t="s">
        <v>#N/A N/A</v>
        <stp/>
        <stp>BDP|8852869459983447889</stp>
        <tr r="N1663" s="2"/>
      </tp>
      <tp t="s">
        <v>#N/A N/A</v>
        <stp/>
        <stp>BDP|3807564029282964858</stp>
        <tr r="D205" s="2"/>
      </tp>
      <tp t="s">
        <v>#N/A N/A</v>
        <stp/>
        <stp>BDP|2783313173768663081</stp>
        <tr r="Q2001" s="2"/>
      </tp>
      <tp t="s">
        <v>#N/A N/A</v>
        <stp/>
        <stp>BDP|9681573517644920744</stp>
        <tr r="P1066" s="2"/>
      </tp>
      <tp t="s">
        <v>#N/A N/A</v>
        <stp/>
        <stp>BDP|9285735185611894979</stp>
        <tr r="O1906" s="2"/>
      </tp>
      <tp t="s">
        <v>#N/A N/A</v>
        <stp/>
        <stp>BDP|3489920008087423311</stp>
        <tr r="N965" s="2"/>
      </tp>
      <tp t="s">
        <v>#N/A N/A</v>
        <stp/>
        <stp>BDP|5389591116257309841</stp>
        <tr r="Q2205" s="2"/>
      </tp>
      <tp t="s">
        <v>#N/A N/A</v>
        <stp/>
        <stp>BDP|5792721232738800745</stp>
        <tr r="H1220" s="2"/>
      </tp>
      <tp t="s">
        <v>#N/A N/A</v>
        <stp/>
        <stp>BDP|9726241761901902200</stp>
        <tr r="N1427" s="2"/>
      </tp>
      <tp t="s">
        <v>#N/A N/A</v>
        <stp/>
        <stp>BDP|7505081822642095944</stp>
        <tr r="T81" s="2"/>
      </tp>
      <tp t="s">
        <v>#N/A N/A</v>
        <stp/>
        <stp>BDP|1283444614069982309</stp>
        <tr r="T1247" s="2"/>
      </tp>
      <tp t="s">
        <v>#N/A N/A</v>
        <stp/>
        <stp>BDP|7097521292993843638</stp>
        <tr r="K958" s="2"/>
      </tp>
      <tp t="s">
        <v>#N/A N/A</v>
        <stp/>
        <stp>BDP|1445474583586803538</stp>
        <tr r="M1618" s="2"/>
      </tp>
      <tp t="s">
        <v>#N/A N/A</v>
        <stp/>
        <stp>BDP|1680400929649179055</stp>
        <tr r="K1151" s="2"/>
      </tp>
      <tp t="s">
        <v>#N/A N/A</v>
        <stp/>
        <stp>BDP|1765812432101881571</stp>
        <tr r="R1227" s="2"/>
      </tp>
      <tp t="s">
        <v>#N/A N/A</v>
        <stp/>
        <stp>BDP|5882711596511166456</stp>
        <tr r="C776" s="2"/>
      </tp>
      <tp t="s">
        <v>#N/A N/A</v>
        <stp/>
        <stp>BDP|9039024527486969379</stp>
        <tr r="P1505" s="2"/>
      </tp>
      <tp t="s">
        <v>#N/A N/A</v>
        <stp/>
        <stp>BDP|4442587788802874573</stp>
        <tr r="S1841" s="2"/>
      </tp>
      <tp t="s">
        <v>#N/A N/A</v>
        <stp/>
        <stp>BDP|5347908360501049582</stp>
        <tr r="S764" s="2"/>
      </tp>
      <tp t="s">
        <v>#N/A N/A</v>
        <stp/>
        <stp>BDP|6226051521153588985</stp>
        <tr r="Q1697" s="2"/>
      </tp>
      <tp t="s">
        <v>#N/A N/A</v>
        <stp/>
        <stp>BDP|7710016685910163196</stp>
        <tr r="A675" s="2"/>
      </tp>
      <tp t="s">
        <v>#N/A N/A</v>
        <stp/>
        <stp>BDP|3419921367736982431</stp>
        <tr r="D181" s="2"/>
      </tp>
      <tp t="s">
        <v>#N/A N/A</v>
        <stp/>
        <stp>BDP|8889947574440289812</stp>
        <tr r="N840" s="2"/>
      </tp>
      <tp t="s">
        <v>#N/A N/A</v>
        <stp/>
        <stp>BDP|9637471849512400576</stp>
        <tr r="Q966" s="2"/>
      </tp>
      <tp t="s">
        <v>#N/A N/A</v>
        <stp/>
        <stp>BDP|9872139562597526778</stp>
        <tr r="A2115" s="2"/>
      </tp>
      <tp t="s">
        <v>#N/A N/A</v>
        <stp/>
        <stp>BDS|5313133055009729692</stp>
        <tr r="I1584" s="2"/>
      </tp>
      <tp t="s">
        <v>#N/A N/A</v>
        <stp/>
        <stp>BDP|1731005672691818961</stp>
        <tr r="J1851" s="2"/>
      </tp>
      <tp t="s">
        <v>#N/A N/A</v>
        <stp/>
        <stp>BDP|9952222873697635552</stp>
        <tr r="N1696" s="2"/>
      </tp>
      <tp t="s">
        <v>#N/A N/A</v>
        <stp/>
        <stp>BDP|9957079783817516835</stp>
        <tr r="S2052" s="2"/>
      </tp>
      <tp t="s">
        <v>#N/A N/A</v>
        <stp/>
        <stp>BDP|9610524409522750016</stp>
        <tr r="K403" s="2"/>
      </tp>
      <tp t="s">
        <v>#N/A N/A</v>
        <stp/>
        <stp>BDP|1457815581659767683</stp>
        <tr r="C1528" s="2"/>
      </tp>
      <tp t="s">
        <v>#N/A N/A</v>
        <stp/>
        <stp>BDP|7875590651841297895</stp>
        <tr r="S1961" s="2"/>
      </tp>
      <tp t="s">
        <v>#N/A N/A</v>
        <stp/>
        <stp>BDP|9123001521620977521</stp>
        <tr r="J1640" s="2"/>
      </tp>
      <tp t="s">
        <v>#N/A N/A</v>
        <stp/>
        <stp>BDP|6759760316608455685</stp>
        <tr r="J176" s="2"/>
      </tp>
      <tp t="s">
        <v>#N/A N/A</v>
        <stp/>
        <stp>BDP|6680751296232715498</stp>
        <tr r="Q705" s="2"/>
      </tp>
      <tp t="s">
        <v>#N/A N/A</v>
        <stp/>
        <stp>BDP|8035551561544621197</stp>
        <tr r="N1002" s="2"/>
      </tp>
      <tp t="s">
        <v>#N/A N/A</v>
        <stp/>
        <stp>BDP|9147348028350780615</stp>
        <tr r="D1594" s="2"/>
      </tp>
      <tp t="s">
        <v>#N/A N/A</v>
        <stp/>
        <stp>BDP|6621239078959257445</stp>
        <tr r="D1571" s="2"/>
      </tp>
      <tp t="s">
        <v>#N/A N/A</v>
        <stp/>
        <stp>BDP|5258132777074815954</stp>
        <tr r="A1602" s="2"/>
      </tp>
      <tp t="s">
        <v>#N/A N/A</v>
        <stp/>
        <stp>BDP|1973911757201325273</stp>
        <tr r="J1387" s="2"/>
      </tp>
      <tp t="s">
        <v>#N/A N/A</v>
        <stp/>
        <stp>BDP|5304096585382118151</stp>
        <tr r="O435" s="2"/>
      </tp>
      <tp t="s">
        <v>#N/A N/A</v>
        <stp/>
        <stp>BDP|1441944075164814565</stp>
        <tr r="D111" s="2"/>
      </tp>
      <tp t="s">
        <v>#N/A N/A</v>
        <stp/>
        <stp>BDP|8918481400514270687</stp>
        <tr r="D615" s="2"/>
      </tp>
      <tp t="s">
        <v>#N/A N/A</v>
        <stp/>
        <stp>BDP|5267774618788490529</stp>
        <tr r="M1807" s="2"/>
      </tp>
      <tp t="s">
        <v>#N/A N/A</v>
        <stp/>
        <stp>BDP|1113608097576893651</stp>
        <tr r="K2203" s="2"/>
      </tp>
      <tp t="s">
        <v>#N/A N/A</v>
        <stp/>
        <stp>BDP|5230523222668054497</stp>
        <tr r="K2096" s="2"/>
      </tp>
      <tp t="s">
        <v>#N/A N/A</v>
        <stp/>
        <stp>BDP|7376465028609036663</stp>
        <tr r="M1318" s="2"/>
      </tp>
      <tp t="s">
        <v>#N/A N/A</v>
        <stp/>
        <stp>BDP|7254765399337628005</stp>
        <tr r="K1106" s="2"/>
      </tp>
      <tp t="s">
        <v>#N/A N/A</v>
        <stp/>
        <stp>BDP|1588985252956004540</stp>
        <tr r="G654" s="2"/>
      </tp>
      <tp t="s">
        <v>#N/A N/A</v>
        <stp/>
        <stp>BDP|8308127860363962235</stp>
        <tr r="N437" s="2"/>
      </tp>
      <tp t="s">
        <v>#N/A N/A</v>
        <stp/>
        <stp>BDP|1930384016605865840</stp>
        <tr r="O1910" s="2"/>
      </tp>
      <tp t="s">
        <v>#N/A N/A</v>
        <stp/>
        <stp>BDP|6610959848033297626</stp>
        <tr r="M1236" s="2"/>
      </tp>
      <tp t="s">
        <v>#N/A N/A</v>
        <stp/>
        <stp>BDP|9607553879897092214</stp>
        <tr r="J1323" s="2"/>
      </tp>
      <tp t="s">
        <v>#N/A N/A</v>
        <stp/>
        <stp>BDP|9477190069756963660</stp>
        <tr r="D1674" s="2"/>
      </tp>
      <tp t="s">
        <v>#N/A N/A</v>
        <stp/>
        <stp>BDP|3751989360275087740</stp>
        <tr r="M987" s="2"/>
      </tp>
      <tp t="s">
        <v>#N/A N/A</v>
        <stp/>
        <stp>BDP|5133696801844383913</stp>
        <tr r="G621" s="2"/>
      </tp>
      <tp t="s">
        <v>#N/A N/A</v>
        <stp/>
        <stp>BDP|8768991282607347043</stp>
        <tr r="A974" s="2"/>
      </tp>
      <tp t="s">
        <v>#N/A N/A</v>
        <stp/>
        <stp>BDP|6119934374120840656</stp>
        <tr r="Q2142" s="2"/>
      </tp>
      <tp t="s">
        <v>#N/A N/A</v>
        <stp/>
        <stp>BDP|6823067740794477813</stp>
        <tr r="M1722" s="2"/>
      </tp>
      <tp t="s">
        <v>#N/A N/A</v>
        <stp/>
        <stp>BDP|6685015086846945608</stp>
        <tr r="F224" s="2"/>
      </tp>
      <tp t="s">
        <v>#N/A N/A</v>
        <stp/>
        <stp>BDP|7688912841922996673</stp>
        <tr r="A1182" s="2"/>
      </tp>
      <tp t="s">
        <v>#N/A N/A</v>
        <stp/>
        <stp>BDP|8045006264573485386</stp>
        <tr r="A469" s="2"/>
      </tp>
      <tp t="s">
        <v>#N/A N/A</v>
        <stp/>
        <stp>BDP|4094920660573949631</stp>
        <tr r="D1803" s="2"/>
      </tp>
      <tp t="s">
        <v>#N/A N/A</v>
        <stp/>
        <stp>BDP|5051957950090828759</stp>
        <tr r="E139" s="2"/>
      </tp>
      <tp t="s">
        <v>#N/A N/A</v>
        <stp/>
        <stp>BDP|8997848543102518838</stp>
        <tr r="G389" s="2"/>
      </tp>
      <tp t="s">
        <v>#N/A N/A</v>
        <stp/>
        <stp>BDP|4627738361418507396</stp>
        <tr r="O2134" s="2"/>
      </tp>
      <tp t="s">
        <v>#N/A N/A</v>
        <stp/>
        <stp>BDP|4579883264866925286</stp>
        <tr r="P1123" s="2"/>
      </tp>
      <tp t="s">
        <v>#N/A N/A</v>
        <stp/>
        <stp>BDP|6908697300179188795</stp>
        <tr r="J1868" s="2"/>
      </tp>
      <tp t="s">
        <v>#N/A N/A</v>
        <stp/>
        <stp>BDP|7944229293711520353</stp>
        <tr r="E93" s="2"/>
      </tp>
      <tp t="s">
        <v>#N/A N/A</v>
        <stp/>
        <stp>BDS|6694194099424782498</stp>
        <tr r="I1921" s="2"/>
      </tp>
      <tp t="s">
        <v>#N/A N/A</v>
        <stp/>
        <stp>BDS|5960558997995396207</stp>
        <tr r="I163" s="2"/>
      </tp>
      <tp t="s">
        <v>#N/A N/A</v>
        <stp/>
        <stp>BDP|8982255081009166546</stp>
        <tr r="H508" s="2"/>
      </tp>
      <tp t="s">
        <v>#N/A N/A</v>
        <stp/>
        <stp>BDP|8791365301546143390</stp>
        <tr r="N2029" s="2"/>
      </tp>
      <tp t="s">
        <v>#N/A N/A</v>
        <stp/>
        <stp>BDP|2673427529832576802</stp>
        <tr r="J713" s="2"/>
      </tp>
      <tp t="s">
        <v>#N/A N/A</v>
        <stp/>
        <stp>BDP|3498484574039461746</stp>
        <tr r="K1998" s="2"/>
      </tp>
      <tp t="s">
        <v>#N/A N/A</v>
        <stp/>
        <stp>BDP|6987479649759890173</stp>
        <tr r="O199" s="2"/>
      </tp>
      <tp t="s">
        <v>#N/A N/A</v>
        <stp/>
        <stp>BDP|5267140399853261054</stp>
        <tr r="T656" s="2"/>
      </tp>
      <tp t="s">
        <v>#N/A N/A</v>
        <stp/>
        <stp>BDP|2937828573561047206</stp>
        <tr r="N2042" s="2"/>
      </tp>
      <tp t="s">
        <v>#N/A N/A</v>
        <stp/>
        <stp>BDP|5926420923795615868</stp>
        <tr r="T1220" s="2"/>
      </tp>
      <tp t="s">
        <v>#N/A N/A</v>
        <stp/>
        <stp>BDS|7780496737646970880</stp>
        <tr r="I2149" s="2"/>
      </tp>
      <tp t="s">
        <v>#N/A N/A</v>
        <stp/>
        <stp>BDP|7998484381015084089</stp>
        <tr r="C1648" s="2"/>
      </tp>
      <tp t="s">
        <v>#N/A N/A</v>
        <stp/>
        <stp>BDP|4559611154668167198</stp>
        <tr r="D1765" s="2"/>
      </tp>
      <tp t="s">
        <v>#N/A N/A</v>
        <stp/>
        <stp>BDP|3280256502669809654</stp>
        <tr r="Q269" s="2"/>
      </tp>
      <tp t="s">
        <v>#N/A N/A</v>
        <stp/>
        <stp>BDP|4306069551858583796</stp>
        <tr r="E461" s="2"/>
      </tp>
      <tp t="s">
        <v>#N/A N/A</v>
        <stp/>
        <stp>BDP|5395895243430601777</stp>
        <tr r="O1255" s="2"/>
      </tp>
      <tp t="s">
        <v>#N/A N/A</v>
        <stp/>
        <stp>BDP|6285166543718601596</stp>
        <tr r="N644" s="2"/>
      </tp>
      <tp t="s">
        <v>#N/A N/A</v>
        <stp/>
        <stp>BDP|9389742538544274757</stp>
        <tr r="F794" s="2"/>
      </tp>
      <tp t="s">
        <v>#N/A N/A</v>
        <stp/>
        <stp>BDS|8985644821104156654</stp>
        <tr r="I39" s="2"/>
      </tp>
      <tp t="s">
        <v>#N/A N/A</v>
        <stp/>
        <stp>BDS|8533901261501824848</stp>
        <tr r="I1172" s="2"/>
      </tp>
      <tp t="s">
        <v>#N/A N/A</v>
        <stp/>
        <stp>BDP|1769426706888805336</stp>
        <tr r="M2065" s="2"/>
      </tp>
      <tp t="s">
        <v>#N/A N/A</v>
        <stp/>
        <stp>BDP|5283789130709264601</stp>
        <tr r="Q1886" s="2"/>
      </tp>
      <tp t="s">
        <v>#N/A N/A</v>
        <stp/>
        <stp>BDP|7224385689665952725</stp>
        <tr r="E1131" s="2"/>
      </tp>
      <tp t="s">
        <v>#N/A N/A</v>
        <stp/>
        <stp>BDP|7486759091537114094</stp>
        <tr r="F1487" s="2"/>
      </tp>
      <tp t="s">
        <v>#N/A N/A</v>
        <stp/>
        <stp>BDP|7426423134727248983</stp>
        <tr r="E661" s="2"/>
      </tp>
      <tp t="s">
        <v>#N/A N/A</v>
        <stp/>
        <stp>BDP|1015891565618057943</stp>
        <tr r="G157" s="2"/>
      </tp>
      <tp t="s">
        <v>#N/A N/A</v>
        <stp/>
        <stp>BDP|1640522781130463291</stp>
        <tr r="G359" s="2"/>
      </tp>
      <tp t="s">
        <v>#N/A N/A</v>
        <stp/>
        <stp>BDP|9961225302625053013</stp>
        <tr r="A2230" s="2"/>
      </tp>
      <tp t="s">
        <v>#N/A N/A</v>
        <stp/>
        <stp>BDP|7864040160249007646</stp>
        <tr r="H544" s="2"/>
      </tp>
      <tp t="s">
        <v>#N/A N/A</v>
        <stp/>
        <stp>BDP|8737706127360012385</stp>
        <tr r="F1378" s="2"/>
      </tp>
      <tp t="s">
        <v>#N/A N/A</v>
        <stp/>
        <stp>BDP|1879425756886115859</stp>
        <tr r="M1126" s="2"/>
      </tp>
      <tp t="s">
        <v>#N/A N/A</v>
        <stp/>
        <stp>BDP|2950240990720306760</stp>
        <tr r="A1065" s="2"/>
      </tp>
      <tp t="s">
        <v>#N/A N/A</v>
        <stp/>
        <stp>BDP|7058523139049673653</stp>
        <tr r="G2179" s="2"/>
      </tp>
      <tp t="s">
        <v>#N/A N/A</v>
        <stp/>
        <stp>BDP|6780588374228539263</stp>
        <tr r="C1098" s="2"/>
      </tp>
      <tp t="s">
        <v>#N/A N/A</v>
        <stp/>
        <stp>BDP|1069994236281369444</stp>
        <tr r="N2191" s="2"/>
      </tp>
      <tp t="s">
        <v>#N/A N/A</v>
        <stp/>
        <stp>BDP|3285269073588908061</stp>
        <tr r="A1975" s="2"/>
      </tp>
      <tp t="s">
        <v>#N/A N/A</v>
        <stp/>
        <stp>BDP|4865217192559024833</stp>
        <tr r="N1437" s="2"/>
      </tp>
      <tp t="s">
        <v>#N/A N/A</v>
        <stp/>
        <stp>BDP|6259509793302831619</stp>
        <tr r="J167" s="2"/>
      </tp>
      <tp t="s">
        <v>#N/A N/A</v>
        <stp/>
        <stp>BDP|8310191359514248694</stp>
        <tr r="H671" s="2"/>
      </tp>
      <tp t="s">
        <v>#N/A N/A</v>
        <stp/>
        <stp>BDP|9689889827199052410</stp>
        <tr r="T1475" s="2"/>
      </tp>
      <tp t="s">
        <v>#N/A N/A</v>
        <stp/>
        <stp>BDP|9046496530914489456</stp>
        <tr r="D1713" s="2"/>
      </tp>
      <tp t="s">
        <v>#N/A N/A</v>
        <stp/>
        <stp>BDP|2034235461250381898</stp>
        <tr r="R1663" s="2"/>
      </tp>
      <tp t="s">
        <v>#N/A N/A</v>
        <stp/>
        <stp>BDP|6271589325548692716</stp>
        <tr r="E994" s="2"/>
      </tp>
      <tp t="s">
        <v>#N/A N/A</v>
        <stp/>
        <stp>BDP|8675019706671841718</stp>
        <tr r="J87" s="2"/>
      </tp>
      <tp t="s">
        <v>#N/A N/A</v>
        <stp/>
        <stp>BDP|4111916024061562095</stp>
        <tr r="Q869" s="2"/>
      </tp>
      <tp t="s">
        <v>#N/A N/A</v>
        <stp/>
        <stp>BDP|9540245376421884379</stp>
        <tr r="F1180" s="2"/>
      </tp>
      <tp t="s">
        <v>#N/A N/A</v>
        <stp/>
        <stp>BDP|1052964732165462082</stp>
        <tr r="J287" s="2"/>
      </tp>
      <tp t="s">
        <v>#N/A N/A</v>
        <stp/>
        <stp>BDP|6440181661129075657</stp>
        <tr r="R684" s="2"/>
      </tp>
      <tp t="s">
        <v>#N/A N/A</v>
        <stp/>
        <stp>BDP|9479101735185065095</stp>
        <tr r="P1287" s="2"/>
      </tp>
      <tp t="s">
        <v>#N/A N/A</v>
        <stp/>
        <stp>BDP|7878286395303877151</stp>
        <tr r="S1985" s="2"/>
      </tp>
      <tp t="s">
        <v>#N/A N/A</v>
        <stp/>
        <stp>BDP|7112417391861838519</stp>
        <tr r="Q192" s="2"/>
      </tp>
      <tp t="s">
        <v>#N/A N/A</v>
        <stp/>
        <stp>BDP|8216319463963143092</stp>
        <tr r="C1665" s="2"/>
      </tp>
      <tp t="s">
        <v>#N/A N/A</v>
        <stp/>
        <stp>BDP|9987031230314094024</stp>
        <tr r="S65" s="2"/>
      </tp>
      <tp t="s">
        <v>#N/A N/A</v>
        <stp/>
        <stp>BDP|6538599002965432827</stp>
        <tr r="G691" s="2"/>
      </tp>
      <tp t="s">
        <v>#N/A N/A</v>
        <stp/>
        <stp>BDP|3512577409581636957</stp>
        <tr r="R1023" s="2"/>
      </tp>
      <tp t="s">
        <v>#N/A N/A</v>
        <stp/>
        <stp>BDP|5809273841185321857</stp>
        <tr r="Q652" s="2"/>
      </tp>
      <tp t="s">
        <v>#N/A N/A</v>
        <stp/>
        <stp>BDP|7910514431007931880</stp>
        <tr r="Q2088" s="2"/>
      </tp>
      <tp t="s">
        <v>#N/A N/A</v>
        <stp/>
        <stp>BDP|7766476650750817800</stp>
        <tr r="M667" s="2"/>
      </tp>
      <tp t="s">
        <v>#N/A N/A</v>
        <stp/>
        <stp>BDP|5978579825898234413</stp>
        <tr r="C1612" s="2"/>
      </tp>
      <tp t="s">
        <v>#N/A N/A</v>
        <stp/>
        <stp>BDP|9867834473450719871</stp>
        <tr r="K1196" s="2"/>
      </tp>
      <tp t="s">
        <v>#N/A N/A</v>
        <stp/>
        <stp>BDP|5797814210127606595</stp>
        <tr r="H674" s="2"/>
      </tp>
      <tp t="s">
        <v>#N/A N/A</v>
        <stp/>
        <stp>BDP|9083295616723616702</stp>
        <tr r="P1750" s="2"/>
      </tp>
      <tp t="s">
        <v>#N/A N/A</v>
        <stp/>
        <stp>BDP|7372242607333192887</stp>
        <tr r="E215" s="2"/>
      </tp>
      <tp t="s">
        <v>#N/A N/A</v>
        <stp/>
        <stp>BDP|7829021052915516943</stp>
        <tr r="E1034" s="2"/>
      </tp>
      <tp t="s">
        <v>#N/A N/A</v>
        <stp/>
        <stp>BDP|7095820208604502564</stp>
        <tr r="E969" s="2"/>
      </tp>
      <tp t="s">
        <v>#N/A N/A</v>
        <stp/>
        <stp>BDP|1203907820552818638</stp>
        <tr r="D1479" s="2"/>
      </tp>
      <tp t="s">
        <v>#N/A N/A</v>
        <stp/>
        <stp>BDP|1850801442522137129</stp>
        <tr r="H526" s="2"/>
      </tp>
      <tp t="s">
        <v>#N/A N/A</v>
        <stp/>
        <stp>BDP|4125947463700890570</stp>
        <tr r="M1830" s="2"/>
      </tp>
      <tp t="s">
        <v>#N/A N/A</v>
        <stp/>
        <stp>BDP|5898536697076458110</stp>
        <tr r="R1738" s="2"/>
      </tp>
      <tp t="s">
        <v>#N/A N/A</v>
        <stp/>
        <stp>BDP|8707039665527821704</stp>
        <tr r="R1935" s="2"/>
      </tp>
      <tp t="s">
        <v>#N/A N/A</v>
        <stp/>
        <stp>BDP|8129451611894935752</stp>
        <tr r="P202" s="2"/>
      </tp>
      <tp t="s">
        <v>#N/A N/A</v>
        <stp/>
        <stp>BDP|2866965554672098236</stp>
        <tr r="N1518" s="2"/>
      </tp>
      <tp t="s">
        <v>#N/A N/A</v>
        <stp/>
        <stp>BDP|1691310555738239197</stp>
        <tr r="E1837" s="2"/>
      </tp>
      <tp t="s">
        <v>#N/A N/A</v>
        <stp/>
        <stp>BDP|3952871257074611468</stp>
        <tr r="J1881" s="2"/>
      </tp>
      <tp t="s">
        <v>#N/A N/A</v>
        <stp/>
        <stp>BDP|2783313189644505330</stp>
        <tr r="D560" s="2"/>
      </tp>
      <tp t="s">
        <v>#N/A N/A</v>
        <stp/>
        <stp>BDP|9895762927500711272</stp>
        <tr r="Q770" s="2"/>
      </tp>
      <tp t="s">
        <v>#N/A N/A</v>
        <stp/>
        <stp>BDP|7132748814817982816</stp>
        <tr r="K2170" s="2"/>
      </tp>
      <tp t="s">
        <v>#N/A N/A</v>
        <stp/>
        <stp>BDP|9287115029265470174</stp>
        <tr r="H798" s="2"/>
      </tp>
      <tp t="s">
        <v>#N/A N/A</v>
        <stp/>
        <stp>BDP|4682919091872957860</stp>
        <tr r="N1276" s="2"/>
      </tp>
      <tp t="s">
        <v>#N/A N/A</v>
        <stp/>
        <stp>BDP|7350919193149017080</stp>
        <tr r="R2198" s="2"/>
      </tp>
      <tp t="s">
        <v>#N/A N/A</v>
        <stp/>
        <stp>BDP|5517922265994376081</stp>
        <tr r="Q1378" s="2"/>
      </tp>
      <tp t="s">
        <v>#N/A N/A</v>
        <stp/>
        <stp>BDP|7868984023762991033</stp>
        <tr r="O1348" s="2"/>
      </tp>
      <tp t="s">
        <v>#N/A N/A</v>
        <stp/>
        <stp>BDP|9533332829446685002</stp>
        <tr r="R252" s="2"/>
      </tp>
      <tp t="s">
        <v>#N/A N/A</v>
        <stp/>
        <stp>BDP|7282295752319901790</stp>
        <tr r="J1118" s="2"/>
      </tp>
      <tp t="s">
        <v>#N/A N/A</v>
        <stp/>
        <stp>BDP|3891314904219686729</stp>
        <tr r="E388" s="2"/>
      </tp>
      <tp t="s">
        <v>#N/A N/A</v>
        <stp/>
        <stp>BDP|8579822824705388994</stp>
        <tr r="M2131" s="2"/>
      </tp>
      <tp t="s">
        <v>#N/A N/A</v>
        <stp/>
        <stp>BDP|5958769894086094324</stp>
        <tr r="K597" s="2"/>
      </tp>
      <tp t="s">
        <v>#N/A N/A</v>
        <stp/>
        <stp>BDP|3602890115763332704</stp>
        <tr r="C236" s="2"/>
      </tp>
      <tp t="s">
        <v>#N/A N/A</v>
        <stp/>
        <stp>BDP|3699351363949169187</stp>
        <tr r="H1697" s="2"/>
      </tp>
      <tp t="s">
        <v>#N/A N/A</v>
        <stp/>
        <stp>BDP|1243334897414810175</stp>
        <tr r="G922" s="2"/>
      </tp>
      <tp t="s">
        <v>#N/A N/A</v>
        <stp/>
        <stp>BDP|5058216218040051805</stp>
        <tr r="G2192" s="2"/>
      </tp>
      <tp t="s">
        <v>#N/A N/A</v>
        <stp/>
        <stp>BDP|2908903053780308007</stp>
        <tr r="A1434" s="2"/>
      </tp>
      <tp t="s">
        <v>#N/A N/A</v>
        <stp/>
        <stp>BDP|8698818006426170891</stp>
        <tr r="D1223" s="2"/>
      </tp>
      <tp t="s">
        <v>#N/A N/A</v>
        <stp/>
        <stp>BDP|8519190472585004576</stp>
        <tr r="J1327" s="2"/>
      </tp>
      <tp t="s">
        <v>#N/A N/A</v>
        <stp/>
        <stp>BDP|8616782862350258777</stp>
        <tr r="H476" s="2"/>
      </tp>
      <tp t="s">
        <v>#N/A N/A</v>
        <stp/>
        <stp>BDP|6051993816000525036</stp>
        <tr r="J1974" s="2"/>
      </tp>
      <tp t="s">
        <v>#N/A N/A</v>
        <stp/>
        <stp>BDP|9487678178814539279</stp>
        <tr r="R884" s="2"/>
      </tp>
      <tp t="s">
        <v>#N/A N/A</v>
        <stp/>
        <stp>BDP|2638991506134976196</stp>
        <tr r="C1571" s="2"/>
      </tp>
      <tp t="s">
        <v>#N/A N/A</v>
        <stp/>
        <stp>BDP|2402352489755498258</stp>
        <tr r="G1472" s="2"/>
      </tp>
      <tp t="s">
        <v>#N/A N/A</v>
        <stp/>
        <stp>BDS|6192967959216181263</stp>
        <tr r="I2226" s="2"/>
      </tp>
      <tp t="s">
        <v>#N/A N/A</v>
        <stp/>
        <stp>BDP|9609414225048933920</stp>
        <tr r="N813" s="2"/>
      </tp>
      <tp t="s">
        <v>#N/A N/A</v>
        <stp/>
        <stp>BDP|1250354949491279955</stp>
        <tr r="K1369" s="2"/>
      </tp>
      <tp t="s">
        <v>#N/A N/A</v>
        <stp/>
        <stp>BDP|9821709376823404435</stp>
        <tr r="M39" s="2"/>
      </tp>
      <tp t="s">
        <v>#N/A N/A</v>
        <stp/>
        <stp>BDP|5433886572036472234</stp>
        <tr r="J2194" s="2"/>
      </tp>
      <tp t="s">
        <v>#N/A N/A</v>
        <stp/>
        <stp>BDP|3806825086725716825</stp>
        <tr r="M1310" s="2"/>
      </tp>
      <tp t="s">
        <v>#N/A N/A</v>
        <stp/>
        <stp>BDP|2233985735482001464</stp>
        <tr r="O519" s="2"/>
      </tp>
      <tp t="s">
        <v>#N/A N/A</v>
        <stp/>
        <stp>BDP|5130831150213929524</stp>
        <tr r="K1480" s="2"/>
      </tp>
      <tp t="s">
        <v>#N/A N/A</v>
        <stp/>
        <stp>BDP|6706078563407945941</stp>
        <tr r="S2128" s="2"/>
      </tp>
      <tp t="s">
        <v>#N/A N/A</v>
        <stp/>
        <stp>BDP|9689469338286534639</stp>
        <tr r="T256" s="2"/>
      </tp>
      <tp t="s">
        <v>#N/A N/A</v>
        <stp/>
        <stp>BDP|4493263758418314576</stp>
        <tr r="Q692" s="2"/>
      </tp>
      <tp t="s">
        <v>#N/A N/A</v>
        <stp/>
        <stp>BDP|9938613002073291260</stp>
        <tr r="J597" s="2"/>
      </tp>
      <tp t="s">
        <v>#N/A N/A</v>
        <stp/>
        <stp>BDP|1943944102317329128</stp>
        <tr r="S631" s="2"/>
      </tp>
      <tp t="s">
        <v>#N/A N/A</v>
        <stp/>
        <stp>BDP|2760159770452469884</stp>
        <tr r="S83" s="2"/>
      </tp>
      <tp t="s">
        <v>#N/A N/A</v>
        <stp/>
        <stp>BDP|5676704188390215428</stp>
        <tr r="D137" s="2"/>
      </tp>
      <tp t="s">
        <v>#N/A N/A</v>
        <stp/>
        <stp>BDP|9888626983769000071</stp>
        <tr r="F1525" s="2"/>
      </tp>
      <tp t="s">
        <v>#N/A N/A</v>
        <stp/>
        <stp>BDP|3211458058655634974</stp>
        <tr r="T994" s="2"/>
      </tp>
      <tp t="s">
        <v>#N/A N/A</v>
        <stp/>
        <stp>BDS|4937340742355585843</stp>
        <tr r="I260" s="2"/>
      </tp>
      <tp t="s">
        <v>#N/A N/A</v>
        <stp/>
        <stp>BDP|6893862191280724963</stp>
        <tr r="S137" s="2"/>
      </tp>
      <tp t="s">
        <v>#N/A N/A</v>
        <stp/>
        <stp>BDP|7145559964818643289</stp>
        <tr r="R1657" s="2"/>
      </tp>
      <tp t="s">
        <v>#N/A N/A</v>
        <stp/>
        <stp>BDP|8310070528891266507</stp>
        <tr r="G1271" s="2"/>
      </tp>
      <tp t="s">
        <v>#N/A N/A</v>
        <stp/>
        <stp>BDP|2800043782170984491</stp>
        <tr r="J612" s="2"/>
      </tp>
      <tp t="s">
        <v>#N/A N/A</v>
        <stp/>
        <stp>BDP|1610568699666045570</stp>
        <tr r="C2176" s="2"/>
      </tp>
      <tp t="s">
        <v>#N/A N/A</v>
        <stp/>
        <stp>BDP|2383198231868332660</stp>
        <tr r="R1971" s="2"/>
      </tp>
      <tp t="s">
        <v>#N/A N/A</v>
        <stp/>
        <stp>BDS|1804877374211750128</stp>
        <tr r="I2159" s="2"/>
      </tp>
      <tp t="s">
        <v>#N/A N/A</v>
        <stp/>
        <stp>BDP|2236146784970916556</stp>
        <tr r="F760" s="2"/>
      </tp>
      <tp t="s">
        <v>#N/A N/A</v>
        <stp/>
        <stp>BDP|8729653763024926268</stp>
        <tr r="K1233" s="2"/>
      </tp>
      <tp t="s">
        <v>#N/A N/A</v>
        <stp/>
        <stp>BDP|6557792496312386476</stp>
        <tr r="T1716" s="2"/>
      </tp>
      <tp t="s">
        <v>#N/A N/A</v>
        <stp/>
        <stp>BDP|1403498622558723165</stp>
        <tr r="A870" s="2"/>
      </tp>
      <tp t="s">
        <v>#N/A N/A</v>
        <stp/>
        <stp>BDP|3716182504419492513</stp>
        <tr r="E1005" s="2"/>
      </tp>
      <tp t="s">
        <v>#N/A N/A</v>
        <stp/>
        <stp>BDP|4793274218519201045</stp>
        <tr r="P2188" s="2"/>
      </tp>
      <tp t="s">
        <v>#N/A N/A</v>
        <stp/>
        <stp>BDP|9199792785398504065</stp>
        <tr r="A694" s="2"/>
      </tp>
      <tp t="s">
        <v>#N/A N/A</v>
        <stp/>
        <stp>BDP|4977834645151091717</stp>
        <tr r="O751" s="2"/>
      </tp>
      <tp t="s">
        <v>#N/A N/A</v>
        <stp/>
        <stp>BDP|5151207008929355042</stp>
        <tr r="R1064" s="2"/>
      </tp>
      <tp t="s">
        <v>#N/A N/A</v>
        <stp/>
        <stp>BDP|4235649894853999657</stp>
        <tr r="F1715" s="2"/>
      </tp>
      <tp t="s">
        <v>#N/A N/A</v>
        <stp/>
        <stp>BDP|4375099663799734506</stp>
        <tr r="E738" s="2"/>
      </tp>
      <tp t="s">
        <v>#N/A N/A</v>
        <stp/>
        <stp>BDP|4952101650028522629</stp>
        <tr r="J1524" s="2"/>
      </tp>
      <tp t="s">
        <v>#N/A N/A</v>
        <stp/>
        <stp>BDP|1142666009081498844</stp>
        <tr r="O170" s="2"/>
      </tp>
      <tp t="s">
        <v>#N/A N/A</v>
        <stp/>
        <stp>BDP|7381064789588021924</stp>
        <tr r="N1045" s="2"/>
      </tp>
      <tp t="s">
        <v>#N/A N/A</v>
        <stp/>
        <stp>BDP|6009919258742027673</stp>
        <tr r="R455" s="2"/>
      </tp>
      <tp t="s">
        <v>#N/A N/A</v>
        <stp/>
        <stp>BDP|6869980730805835762</stp>
        <tr r="S1898" s="2"/>
      </tp>
      <tp t="s">
        <v>#N/A N/A</v>
        <stp/>
        <stp>BDP|1283951650941806211</stp>
        <tr r="S330" s="2"/>
      </tp>
      <tp t="s">
        <v>#N/A N/A</v>
        <stp/>
        <stp>BDP|8583012711037980023</stp>
        <tr r="S731" s="2"/>
      </tp>
      <tp t="s">
        <v>#N/A N/A</v>
        <stp/>
        <stp>BDP|9133410488758561333</stp>
        <tr r="C1421" s="2"/>
      </tp>
      <tp t="s">
        <v>#N/A N/A</v>
        <stp/>
        <stp>BDP|9043608252180887444</stp>
        <tr r="H1512" s="2"/>
      </tp>
      <tp t="s">
        <v>#N/A N/A</v>
        <stp/>
        <stp>BDP|4053633984536156287</stp>
        <tr r="P2211" s="2"/>
      </tp>
      <tp t="s">
        <v>#N/A N/A</v>
        <stp/>
        <stp>BDP|9578687186551735827</stp>
        <tr r="G460" s="2"/>
      </tp>
      <tp t="s">
        <v>#N/A N/A</v>
        <stp/>
        <stp>BDP|4183522898903260574</stp>
        <tr r="R476" s="2"/>
      </tp>
      <tp t="s">
        <v>#N/A N/A</v>
        <stp/>
        <stp>BDP|7652987309465041592</stp>
        <tr r="E1501" s="2"/>
      </tp>
      <tp t="s">
        <v>#N/A N/A</v>
        <stp/>
        <stp>BDP|5238681459028440096</stp>
        <tr r="M1091" s="2"/>
      </tp>
      <tp t="s">
        <v>#N/A N/A</v>
        <stp/>
        <stp>BDP|8062399141336399755</stp>
        <tr r="M1247" s="2"/>
      </tp>
      <tp t="s">
        <v>#N/A N/A</v>
        <stp/>
        <stp>BDP|9715486253771039723</stp>
        <tr r="F432" s="2"/>
      </tp>
      <tp t="s">
        <v>#N/A N/A</v>
        <stp/>
        <stp>BDP|5908408612218295673</stp>
        <tr r="J2003" s="2"/>
      </tp>
      <tp t="s">
        <v>#N/A N/A</v>
        <stp/>
        <stp>BDP|1485657696913864313</stp>
        <tr r="P2079" s="2"/>
      </tp>
      <tp t="s">
        <v>#N/A N/A</v>
        <stp/>
        <stp>BDP|4869935926354545567</stp>
        <tr r="D1301" s="2"/>
      </tp>
      <tp t="s">
        <v>#N/A N/A</v>
        <stp/>
        <stp>BDP|5900293012671876941</stp>
        <tr r="Q1007" s="2"/>
      </tp>
      <tp t="s">
        <v>#N/A N/A</v>
        <stp/>
        <stp>BDP|5838806800546067565</stp>
        <tr r="R839" s="2"/>
      </tp>
      <tp t="s">
        <v>#N/A N/A</v>
        <stp/>
        <stp>BDS|5244503688895265369</stp>
        <tr r="I1441" s="2"/>
      </tp>
      <tp t="s">
        <v>#N/A N/A</v>
        <stp/>
        <stp>BDP|7799939797271540885</stp>
        <tr r="T1892" s="2"/>
      </tp>
      <tp t="s">
        <v>#N/A N/A</v>
        <stp/>
        <stp>BDP|4306283404029807191</stp>
        <tr r="A1029" s="2"/>
      </tp>
      <tp t="s">
        <v>#N/A N/A</v>
        <stp/>
        <stp>BDS|6939850415639419835</stp>
        <tr r="I9" s="2"/>
      </tp>
      <tp t="s">
        <v>#N/A N/A</v>
        <stp/>
        <stp>BDP|6926052183886493653</stp>
        <tr r="H2012" s="2"/>
      </tp>
      <tp t="s">
        <v>#N/A N/A</v>
        <stp/>
        <stp>BDP|4853210975039154632</stp>
        <tr r="A239" s="2"/>
      </tp>
      <tp t="s">
        <v>#N/A N/A</v>
        <stp/>
        <stp>BDP|4358485611778450700</stp>
        <tr r="N753" s="2"/>
      </tp>
      <tp t="s">
        <v>#N/A N/A</v>
        <stp/>
        <stp>BDP|3435346371418804174</stp>
        <tr r="E1105" s="2"/>
      </tp>
      <tp t="s">
        <v>#N/A N/A</v>
        <stp/>
        <stp>BDP|4341033607559001397</stp>
        <tr r="H295" s="2"/>
      </tp>
      <tp t="s">
        <v>#N/A N/A</v>
        <stp/>
        <stp>BDP|6185446435119693683</stp>
        <tr r="G566" s="2"/>
      </tp>
      <tp t="s">
        <v>#N/A N/A</v>
        <stp/>
        <stp>BDP|1078899528344984160</stp>
        <tr r="O1948" s="2"/>
      </tp>
      <tp t="s">
        <v>#N/A N/A</v>
        <stp/>
        <stp>BDP|7402893927454643726</stp>
        <tr r="J1203" s="2"/>
      </tp>
      <tp t="s">
        <v>#N/A N/A</v>
        <stp/>
        <stp>BDP|9650170063116565696</stp>
        <tr r="M1522" s="2"/>
      </tp>
      <tp t="s">
        <v>#N/A N/A</v>
        <stp/>
        <stp>BDP|1911815116742013406</stp>
        <tr r="P281" s="2"/>
      </tp>
      <tp t="s">
        <v>#N/A N/A</v>
        <stp/>
        <stp>BDP|4121514192060441686</stp>
        <tr r="G88" s="2"/>
      </tp>
      <tp t="s">
        <v>#N/A N/A</v>
        <stp/>
        <stp>BDP|7724380793712173136</stp>
        <tr r="Q1778" s="2"/>
      </tp>
      <tp t="s">
        <v>#N/A N/A</v>
        <stp/>
        <stp>BDP|8755330758823482361</stp>
        <tr r="F1663" s="2"/>
      </tp>
      <tp t="s">
        <v>#N/A N/A</v>
        <stp/>
        <stp>BDP|9016903869109002177</stp>
        <tr r="G1131" s="2"/>
      </tp>
      <tp t="s">
        <v>#N/A N/A</v>
        <stp/>
        <stp>BDP|5076925333624898579</stp>
        <tr r="D374" s="2"/>
      </tp>
      <tp t="s">
        <v>#N/A N/A</v>
        <stp/>
        <stp>BDS|8311268274135987664</stp>
        <tr r="I2082" s="2"/>
      </tp>
      <tp t="s">
        <v>#N/A N/A</v>
        <stp/>
        <stp>BDP|6897727437844347805</stp>
        <tr r="D2243" s="2"/>
      </tp>
      <tp t="s">
        <v>#N/A N/A</v>
        <stp/>
        <stp>BDP|9507570235649922803</stp>
        <tr r="H1575" s="2"/>
      </tp>
      <tp t="s">
        <v>#N/A N/A</v>
        <stp/>
        <stp>BDP|2758350036588258482</stp>
        <tr r="M261" s="2"/>
      </tp>
      <tp t="s">
        <v>#N/A N/A</v>
        <stp/>
        <stp>BDP|9431237739420114617</stp>
        <tr r="C860" s="2"/>
      </tp>
      <tp t="s">
        <v>#N/A N/A</v>
        <stp/>
        <stp>BDP|4549484127479442506</stp>
        <tr r="K368" s="2"/>
      </tp>
      <tp t="s">
        <v>#N/A N/A</v>
        <stp/>
        <stp>BDP|3509378499464023358</stp>
        <tr r="D98" s="2"/>
      </tp>
      <tp t="s">
        <v>#N/A N/A</v>
        <stp/>
        <stp>BDP|6714902216822953277</stp>
        <tr r="F1579" s="2"/>
      </tp>
      <tp t="s">
        <v>#N/A N/A</v>
        <stp/>
        <stp>BDP|5885493595395239392</stp>
        <tr r="C714" s="2"/>
      </tp>
      <tp t="s">
        <v>#N/A N/A</v>
        <stp/>
        <stp>BDP|8912148272711152112</stp>
        <tr r="A295" s="2"/>
      </tp>
      <tp t="s">
        <v>#N/A N/A</v>
        <stp/>
        <stp>BDP|2464262832388991566</stp>
        <tr r="O1744" s="2"/>
      </tp>
      <tp t="s">
        <v>#N/A N/A</v>
        <stp/>
        <stp>BDP|8459698450682623742</stp>
        <tr r="R1801" s="2"/>
      </tp>
      <tp t="s">
        <v>#N/A N/A</v>
        <stp/>
        <stp>BDP|8719170971671680184</stp>
        <tr r="M1456" s="2"/>
      </tp>
      <tp t="s">
        <v>#N/A N/A</v>
        <stp/>
        <stp>BDP|3032565988952710265</stp>
        <tr r="K2050" s="2"/>
      </tp>
      <tp t="s">
        <v>#N/A N/A</v>
        <stp/>
        <stp>BDP|9699500158443054413</stp>
        <tr r="N1701" s="2"/>
      </tp>
      <tp t="s">
        <v>#N/A N/A</v>
        <stp/>
        <stp>BDP|6684432588482160633</stp>
        <tr r="E626" s="2"/>
      </tp>
      <tp t="s">
        <v>#N/A N/A</v>
        <stp/>
        <stp>BDP|2994674056246105965</stp>
        <tr r="S831" s="2"/>
      </tp>
      <tp t="s">
        <v>#N/A N/A</v>
        <stp/>
        <stp>BDP|3453376174610995916</stp>
        <tr r="O1146" s="2"/>
      </tp>
      <tp t="s">
        <v>#N/A N/A</v>
        <stp/>
        <stp>BDP|8493186213945743378</stp>
        <tr r="K1876" s="2"/>
      </tp>
      <tp t="s">
        <v>#N/A N/A</v>
        <stp/>
        <stp>BDP|8791604678162070501</stp>
        <tr r="H2177" s="2"/>
      </tp>
      <tp t="s">
        <v>#N/A N/A</v>
        <stp/>
        <stp>BDP|2379999702452047774</stp>
        <tr r="S288" s="2"/>
      </tp>
      <tp t="s">
        <v>#N/A N/A</v>
        <stp/>
        <stp>BDP|8064324578995276776</stp>
        <tr r="G2214" s="2"/>
      </tp>
      <tp t="s">
        <v>#N/A N/A</v>
        <stp/>
        <stp>BDP|7340962168283196537</stp>
        <tr r="A1956" s="2"/>
      </tp>
      <tp t="s">
        <v>#N/A N/A</v>
        <stp/>
        <stp>BDP|8423189892239511742</stp>
        <tr r="K911" s="2"/>
      </tp>
      <tp t="s">
        <v>#N/A N/A</v>
        <stp/>
        <stp>BDP|7708401549299361028</stp>
        <tr r="C929" s="2"/>
      </tp>
      <tp t="s">
        <v>#N/A N/A</v>
        <stp/>
        <stp>BDP|8810010661967516724</stp>
        <tr r="E1218" s="2"/>
      </tp>
      <tp t="s">
        <v>#N/A N/A</v>
        <stp/>
        <stp>BDP|1571625030529834309</stp>
        <tr r="P2241" s="2"/>
      </tp>
      <tp t="s">
        <v>#N/A N/A</v>
        <stp/>
        <stp>BDP|4380506970939598193</stp>
        <tr r="M1210" s="2"/>
      </tp>
      <tp t="s">
        <v>#N/A N/A</v>
        <stp/>
        <stp>BDP|5980608859221989967</stp>
        <tr r="G1549" s="2"/>
      </tp>
      <tp t="s">
        <v>#N/A N/A</v>
        <stp/>
        <stp>BDP|8919071730676181303</stp>
        <tr r="O1678" s="2"/>
      </tp>
      <tp t="s">
        <v>#N/A N/A</v>
        <stp/>
        <stp>BDP|7918654685554792314</stp>
        <tr r="D500" s="2"/>
      </tp>
      <tp t="s">
        <v>#N/A N/A</v>
        <stp/>
        <stp>BDP|4030730289387783224</stp>
        <tr r="R1634" s="2"/>
      </tp>
      <tp t="s">
        <v>#N/A N/A</v>
        <stp/>
        <stp>BDP|8494547507615909614</stp>
        <tr r="A613" s="2"/>
      </tp>
      <tp t="s">
        <v>#N/A N/A</v>
        <stp/>
        <stp>BDP|3216400018639597101</stp>
        <tr r="C516" s="2"/>
      </tp>
      <tp t="s">
        <v>#N/A N/A</v>
        <stp/>
        <stp>BDP|3649998805881291572</stp>
        <tr r="J2124" s="2"/>
      </tp>
      <tp t="s">
        <v>#N/A N/A</v>
        <stp/>
        <stp>BDP|5733197378095891812</stp>
        <tr r="E1844" s="2"/>
      </tp>
      <tp t="s">
        <v>#N/A N/A</v>
        <stp/>
        <stp>BDP|7696115861796915804</stp>
        <tr r="K1599" s="2"/>
      </tp>
      <tp t="s">
        <v>#N/A N/A</v>
        <stp/>
        <stp>BDP|9033101549726289443</stp>
        <tr r="F2250" s="2"/>
      </tp>
      <tp t="s">
        <v>#N/A N/A</v>
        <stp/>
        <stp>BDP|9211593321016257676</stp>
        <tr r="S2085" s="2"/>
      </tp>
      <tp t="s">
        <v>#N/A N/A</v>
        <stp/>
        <stp>BDP|2303764572429021582</stp>
        <tr r="G2116" s="2"/>
      </tp>
      <tp t="s">
        <v>#N/A N/A</v>
        <stp/>
        <stp>BDP|7550330128340136805</stp>
        <tr r="F1983" s="2"/>
      </tp>
      <tp t="s">
        <v>#N/A N/A</v>
        <stp/>
        <stp>BDP|8678256939265277277</stp>
        <tr r="T470" s="2"/>
      </tp>
      <tp t="s">
        <v>#N/A N/A</v>
        <stp/>
        <stp>BDP|9930926530734795938</stp>
        <tr r="H2231" s="2"/>
      </tp>
      <tp t="s">
        <v>#N/A N/A</v>
        <stp/>
        <stp>BDP|9112094464999076838</stp>
        <tr r="O1384" s="2"/>
      </tp>
      <tp t="s">
        <v>#N/A N/A</v>
        <stp/>
        <stp>BDP|3622543927042275885</stp>
        <tr r="A426" s="2"/>
      </tp>
      <tp t="s">
        <v>#N/A N/A</v>
        <stp/>
        <stp>BDP|8120334471206541492</stp>
        <tr r="T1617" s="2"/>
      </tp>
      <tp t="s">
        <v>#N/A N/A</v>
        <stp/>
        <stp>BDP|8708226842501137192</stp>
        <tr r="S1549" s="2"/>
      </tp>
      <tp t="s">
        <v>#N/A N/A</v>
        <stp/>
        <stp>BDP|7379003300359433086</stp>
        <tr r="M33" s="2"/>
      </tp>
      <tp t="s">
        <v>#N/A N/A</v>
        <stp/>
        <stp>BDP|8798842793606776188</stp>
        <tr r="D2131" s="2"/>
      </tp>
      <tp t="s">
        <v>#N/A N/A</v>
        <stp/>
        <stp>BDP|4668808388953738961</stp>
        <tr r="G1699" s="2"/>
      </tp>
      <tp t="s">
        <v>#N/A N/A</v>
        <stp/>
        <stp>BDP|9072677107521657095</stp>
        <tr r="A2161" s="2"/>
      </tp>
      <tp t="s">
        <v>#N/A N/A</v>
        <stp/>
        <stp>BDP|9585067848532179158</stp>
        <tr r="S1851" s="2"/>
      </tp>
      <tp t="s">
        <v>#N/A N/A</v>
        <stp/>
        <stp>BDP|8516940310668912673</stp>
        <tr r="T604" s="2"/>
      </tp>
      <tp t="s">
        <v>#N/A N/A</v>
        <stp/>
        <stp>BDP|4628980791648513250</stp>
        <tr r="K1647" s="2"/>
      </tp>
      <tp t="s">
        <v>#N/A N/A</v>
        <stp/>
        <stp>BDS|8088053647900416295</stp>
        <tr r="I1707" s="2"/>
      </tp>
      <tp t="s">
        <v>#N/A N/A</v>
        <stp/>
        <stp>BDS|4075597235244029836</stp>
        <tr r="I673" s="2"/>
      </tp>
      <tp t="s">
        <v>#N/A N/A</v>
        <stp/>
        <stp>BDP|7166898850260119469</stp>
        <tr r="E1976" s="2"/>
      </tp>
      <tp t="s">
        <v>#N/A N/A</v>
        <stp/>
        <stp>BDP|9537442838177306754</stp>
        <tr r="T37" s="2"/>
      </tp>
      <tp t="s">
        <v>#N/A N/A</v>
        <stp/>
        <stp>BDP|1386258838007735967</stp>
        <tr r="S1323" s="2"/>
      </tp>
      <tp t="s">
        <v>#N/A N/A</v>
        <stp/>
        <stp>BDP|1026265150779864111</stp>
        <tr r="A296" s="2"/>
      </tp>
      <tp t="s">
        <v>#N/A N/A</v>
        <stp/>
        <stp>BDP|5201931050234704394</stp>
        <tr r="O632" s="2"/>
      </tp>
      <tp t="s">
        <v>#N/A N/A</v>
        <stp/>
        <stp>BDP|3454433098033534352</stp>
        <tr r="C49" s="2"/>
      </tp>
      <tp t="s">
        <v>#N/A N/A</v>
        <stp/>
        <stp>BDP|4255798884323281621</stp>
        <tr r="G1853" s="2"/>
      </tp>
      <tp t="s">
        <v>#N/A N/A</v>
        <stp/>
        <stp>BDP|2024917749292440334</stp>
        <tr r="R2249" s="2"/>
      </tp>
      <tp t="s">
        <v>#N/A N/A</v>
        <stp/>
        <stp>BDP|9506373066870944229</stp>
        <tr r="K318" s="2"/>
      </tp>
      <tp t="s">
        <v>#N/A N/A</v>
        <stp/>
        <stp>BDP|3391302358993559811</stp>
        <tr r="F1868" s="2"/>
      </tp>
      <tp t="s">
        <v>#N/A N/A</v>
        <stp/>
        <stp>BDP|8770435038160224117</stp>
        <tr r="F123" s="2"/>
      </tp>
      <tp t="s">
        <v>#N/A N/A</v>
        <stp/>
        <stp>BDP|3114688963318128571</stp>
        <tr r="S1063" s="2"/>
      </tp>
      <tp t="s">
        <v>#N/A N/A</v>
        <stp/>
        <stp>BDP|9152795184378592053</stp>
        <tr r="D244" s="2"/>
      </tp>
      <tp t="s">
        <v>#N/A N/A</v>
        <stp/>
        <stp>BDP|5974920566780995480</stp>
        <tr r="P125" s="2"/>
      </tp>
      <tp t="s">
        <v>#N/A N/A</v>
        <stp/>
        <stp>BDP|3759831928995771273</stp>
        <tr r="N216" s="2"/>
      </tp>
      <tp t="s">
        <v>#N/A N/A</v>
        <stp/>
        <stp>BDP|8188141339040717471</stp>
        <tr r="K484" s="2"/>
      </tp>
      <tp t="s">
        <v>#N/A N/A</v>
        <stp/>
        <stp>BDS|6518315834928947052</stp>
        <tr r="I1548" s="2"/>
      </tp>
      <tp t="s">
        <v>#N/A N/A</v>
        <stp/>
        <stp>BDP|3562452659248386466</stp>
        <tr r="D790" s="2"/>
      </tp>
      <tp t="s">
        <v>#N/A N/A</v>
        <stp/>
        <stp>BDS|6865508231458662637</stp>
        <tr r="I753" s="2"/>
      </tp>
      <tp t="s">
        <v>#N/A N/A</v>
        <stp/>
        <stp>BDP|8940519917040263213</stp>
        <tr r="G918" s="2"/>
      </tp>
      <tp t="s">
        <v>#N/A N/A</v>
        <stp/>
        <stp>BDP|7208382596815625660</stp>
        <tr r="G1673" s="2"/>
      </tp>
      <tp t="s">
        <v>#N/A N/A</v>
        <stp/>
        <stp>BDP|1440498797775475727</stp>
        <tr r="Q127" s="2"/>
      </tp>
      <tp t="s">
        <v>#N/A N/A</v>
        <stp/>
        <stp>BDP|2301608268064415832</stp>
        <tr r="P52" s="2"/>
      </tp>
      <tp t="s">
        <v>#N/A N/A</v>
        <stp/>
        <stp>BDP|1844322883794428018</stp>
        <tr r="F2107" s="2"/>
      </tp>
      <tp t="s">
        <v>#N/A N/A</v>
        <stp/>
        <stp>BDP|2008343764981409881</stp>
        <tr r="P802" s="2"/>
      </tp>
      <tp t="s">
        <v>#N/A N/A</v>
        <stp/>
        <stp>BDP|4038111674225883913</stp>
        <tr r="J447" s="2"/>
      </tp>
      <tp t="s">
        <v>#N/A N/A</v>
        <stp/>
        <stp>BDP|7362390891235081677</stp>
        <tr r="A2173" s="2"/>
      </tp>
      <tp t="s">
        <v>#N/A N/A</v>
        <stp/>
        <stp>BDP|3256404381977969665</stp>
        <tr r="D1217" s="2"/>
      </tp>
      <tp t="s">
        <v>#N/A N/A</v>
        <stp/>
        <stp>BDP|9929106598166471999</stp>
        <tr r="K1236" s="2"/>
      </tp>
      <tp t="s">
        <v>#N/A N/A</v>
        <stp/>
        <stp>BDP|5993169118762842939</stp>
        <tr r="H1562" s="2"/>
      </tp>
      <tp t="s">
        <v>#N/A N/A</v>
        <stp/>
        <stp>BDP|9139221652903849355</stp>
        <tr r="K886" s="2"/>
      </tp>
      <tp t="s">
        <v>#N/A N/A</v>
        <stp/>
        <stp>BDP|5269864765310828559</stp>
        <tr r="C1370" s="2"/>
      </tp>
      <tp t="s">
        <v>#N/A N/A</v>
        <stp/>
        <stp>BDP|9852176175985775417</stp>
        <tr r="S1055" s="2"/>
      </tp>
      <tp t="s">
        <v>#N/A N/A</v>
        <stp/>
        <stp>BDP|8908225342880430013</stp>
        <tr r="G1194" s="2"/>
      </tp>
      <tp t="s">
        <v>#N/A N/A</v>
        <stp/>
        <stp>BDP|9635108065844969468</stp>
        <tr r="F2073" s="2"/>
      </tp>
      <tp t="s">
        <v>#N/A N/A</v>
        <stp/>
        <stp>BDP|4861934053897572110</stp>
        <tr r="E1097" s="2"/>
      </tp>
      <tp t="s">
        <v>#N/A N/A</v>
        <stp/>
        <stp>BDP|5516330947894430896</stp>
        <tr r="P15" s="2"/>
      </tp>
      <tp t="s">
        <v>#N/A N/A</v>
        <stp/>
        <stp>BDP|8543217383044372888</stp>
        <tr r="T1142" s="2"/>
      </tp>
      <tp t="s">
        <v>#N/A N/A</v>
        <stp/>
        <stp>BDP|5793590274719632001</stp>
        <tr r="K547" s="2"/>
      </tp>
      <tp t="s">
        <v>#N/A N/A</v>
        <stp/>
        <stp>BDP|5938539833014752923</stp>
        <tr r="M127" s="2"/>
      </tp>
      <tp t="s">
        <v>#N/A N/A</v>
        <stp/>
        <stp>BDP|1879993102924600291</stp>
        <tr r="C2210" s="2"/>
      </tp>
      <tp t="s">
        <v>#N/A N/A</v>
        <stp/>
        <stp>BDP|7095063887334965540</stp>
        <tr r="J143" s="2"/>
      </tp>
      <tp t="s">
        <v>#N/A N/A</v>
        <stp/>
        <stp>BDP|4046342863228309785</stp>
        <tr r="H2191" s="2"/>
      </tp>
      <tp t="s">
        <v>#N/A N/A</v>
        <stp/>
        <stp>BDP|1373741660906293897</stp>
        <tr r="D183" s="2"/>
      </tp>
      <tp t="s">
        <v>#N/A N/A</v>
        <stp/>
        <stp>BDP|8379589655804659242</stp>
        <tr r="S160" s="2"/>
      </tp>
      <tp t="s">
        <v>#N/A N/A</v>
        <stp/>
        <stp>BDP|1017071226048502581</stp>
        <tr r="P24" s="2"/>
      </tp>
      <tp t="s">
        <v>#N/A N/A</v>
        <stp/>
        <stp>BDP|7618512133309167697</stp>
        <tr r="P619" s="2"/>
      </tp>
      <tp t="s">
        <v>#N/A N/A</v>
        <stp/>
        <stp>BDP|2998474599855307484</stp>
        <tr r="D1497" s="2"/>
      </tp>
      <tp t="s">
        <v>#N/A N/A</v>
        <stp/>
        <stp>BDP|1931742864526702825</stp>
        <tr r="Q526" s="2"/>
      </tp>
      <tp t="s">
        <v>#N/A N/A</v>
        <stp/>
        <stp>BDP|3637316409889141738</stp>
        <tr r="D399" s="2"/>
      </tp>
      <tp t="s">
        <v>#N/A N/A</v>
        <stp/>
        <stp>BDP|2502974101872654799</stp>
        <tr r="M1202" s="2"/>
      </tp>
      <tp t="s">
        <v>#N/A N/A</v>
        <stp/>
        <stp>BDP|3349585795874405569</stp>
        <tr r="Q581" s="2"/>
      </tp>
      <tp t="s">
        <v>#N/A N/A</v>
        <stp/>
        <stp>BDP|9061815056559318387</stp>
        <tr r="H1727" s="2"/>
      </tp>
      <tp t="s">
        <v>#N/A N/A</v>
        <stp/>
        <stp>BDP|5428054785065926614</stp>
        <tr r="E716" s="2"/>
      </tp>
      <tp t="s">
        <v>#N/A N/A</v>
        <stp/>
        <stp>BDP|8667440926352804205</stp>
        <tr r="R1109" s="2"/>
      </tp>
      <tp t="s">
        <v>#N/A N/A</v>
        <stp/>
        <stp>BDP|8933371554555152571</stp>
        <tr r="N1720" s="2"/>
      </tp>
      <tp t="s">
        <v>#N/A N/A</v>
        <stp/>
        <stp>BDP|2307044488880299416</stp>
        <tr r="G1363" s="2"/>
      </tp>
      <tp t="s">
        <v>#N/A N/A</v>
        <stp/>
        <stp>BDP|8283124244103193097</stp>
        <tr r="S2192" s="2"/>
      </tp>
      <tp t="s">
        <v>#N/A N/A</v>
        <stp/>
        <stp>BDP|9228146240135855723</stp>
        <tr r="Q1590" s="2"/>
      </tp>
      <tp t="s">
        <v>#N/A N/A</v>
        <stp/>
        <stp>BDP|1870852603901588677</stp>
        <tr r="N132" s="2"/>
      </tp>
      <tp t="s">
        <v>#N/A N/A</v>
        <stp/>
        <stp>BDP|9885712203939401921</stp>
        <tr r="C1831" s="2"/>
      </tp>
      <tp t="s">
        <v>#N/A N/A</v>
        <stp/>
        <stp>BDP|9492385347677780700</stp>
        <tr r="F1318" s="2"/>
      </tp>
      <tp t="s">
        <v>#N/A N/A</v>
        <stp/>
        <stp>BDP|5416236030802341889</stp>
        <tr r="J2016" s="2"/>
      </tp>
      <tp t="s">
        <v>#N/A N/A</v>
        <stp/>
        <stp>BDP|3808465554798556435</stp>
        <tr r="C418" s="2"/>
      </tp>
      <tp t="s">
        <v>#N/A N/A</v>
        <stp/>
        <stp>BDP|4636480105468453630</stp>
        <tr r="Q94" s="2"/>
      </tp>
      <tp t="s">
        <v>#N/A N/A</v>
        <stp/>
        <stp>BDP|9485043003810739782</stp>
        <tr r="R1593" s="2"/>
      </tp>
      <tp t="s">
        <v>#N/A N/A</v>
        <stp/>
        <stp>BDP|7064394194593673072</stp>
        <tr r="G1612" s="2"/>
      </tp>
      <tp t="s">
        <v>#N/A N/A</v>
        <stp/>
        <stp>BDP|9338927757643268881</stp>
        <tr r="C1548" s="2"/>
      </tp>
      <tp t="s">
        <v>#N/A N/A</v>
        <stp/>
        <stp>BDP|4281511189454409328</stp>
        <tr r="O2069" s="2"/>
      </tp>
      <tp t="s">
        <v>#N/A N/A</v>
        <stp/>
        <stp>BDP|5525815636078961875</stp>
        <tr r="D443" s="2"/>
      </tp>
      <tp t="s">
        <v>#N/A N/A</v>
        <stp/>
        <stp>BDP|6654193391353193338</stp>
        <tr r="C809" s="2"/>
      </tp>
      <tp t="s">
        <v>#N/A N/A</v>
        <stp/>
        <stp>BDP|8944547014087471510</stp>
        <tr r="M764" s="2"/>
      </tp>
      <tp t="s">
        <v>#N/A N/A</v>
        <stp/>
        <stp>BDP|3670694350758409670</stp>
        <tr r="G89" s="2"/>
      </tp>
      <tp t="s">
        <v>#N/A N/A</v>
        <stp/>
        <stp>BDP|2903869304796430239</stp>
        <tr r="P1192" s="2"/>
      </tp>
      <tp t="s">
        <v>#N/A N/A</v>
        <stp/>
        <stp>BDP|9177230940121728093</stp>
        <tr r="N1322" s="2"/>
      </tp>
      <tp t="s">
        <v>#N/A N/A</v>
        <stp/>
        <stp>BDP|1752496491853456179</stp>
        <tr r="G1253" s="2"/>
      </tp>
      <tp t="s">
        <v>#N/A N/A</v>
        <stp/>
        <stp>BDP|8918552220692476345</stp>
        <tr r="G549" s="2"/>
      </tp>
      <tp t="s">
        <v>#N/A N/A</v>
        <stp/>
        <stp>BDP|6915822761315405327</stp>
        <tr r="H1516" s="2"/>
      </tp>
      <tp t="s">
        <v>#N/A N/A</v>
        <stp/>
        <stp>BDP|1328437820749438087</stp>
        <tr r="Q69" s="2"/>
      </tp>
      <tp t="s">
        <v>#N/A N/A</v>
        <stp/>
        <stp>BDP|2070236293270428787</stp>
        <tr r="M1217" s="2"/>
      </tp>
      <tp t="s">
        <v>#N/A N/A</v>
        <stp/>
        <stp>BDP|8469094777993389255</stp>
        <tr r="G1566" s="2"/>
      </tp>
      <tp t="s">
        <v>#N/A N/A</v>
        <stp/>
        <stp>BDP|2374066772622229993</stp>
        <tr r="Q2000" s="2"/>
      </tp>
      <tp t="s">
        <v>#N/A N/A</v>
        <stp/>
        <stp>BDP|1972974347686713422</stp>
        <tr r="A425" s="2"/>
      </tp>
      <tp t="s">
        <v>#N/A N/A</v>
        <stp/>
        <stp>BDP|8900119744122932182</stp>
        <tr r="C917" s="2"/>
      </tp>
      <tp t="s">
        <v>#N/A N/A</v>
        <stp/>
        <stp>BDP|9384951809236300812</stp>
        <tr r="F471" s="2"/>
      </tp>
      <tp t="s">
        <v>#N/A N/A</v>
        <stp/>
        <stp>BDP|4610726523956918936</stp>
        <tr r="R1701" s="2"/>
      </tp>
      <tp t="s">
        <v>#N/A N/A</v>
        <stp/>
        <stp>BDP|2885658720389033109</stp>
        <tr r="H584" s="2"/>
      </tp>
      <tp t="s">
        <v>#N/A N/A</v>
        <stp/>
        <stp>BDP|6264020449125288966</stp>
        <tr r="T1018" s="2"/>
      </tp>
      <tp t="s">
        <v>#N/A N/A</v>
        <stp/>
        <stp>BDP|5090959404963510190</stp>
        <tr r="F1308" s="2"/>
      </tp>
      <tp t="s">
        <v>#N/A N/A</v>
        <stp/>
        <stp>BDP|3209991464155681740</stp>
        <tr r="H1269" s="2"/>
      </tp>
      <tp t="s">
        <v>#N/A N/A</v>
        <stp/>
        <stp>BDS|2257685369864629881</stp>
        <tr r="I1215" s="2"/>
      </tp>
      <tp t="s">
        <v>#N/A N/A</v>
        <stp/>
        <stp>BDP|2661081374103597824</stp>
        <tr r="M1326" s="2"/>
      </tp>
      <tp t="s">
        <v>#N/A N/A</v>
        <stp/>
        <stp>BDS|3930479283530324135</stp>
        <tr r="I2048" s="2"/>
      </tp>
      <tp t="s">
        <v>#N/A N/A</v>
        <stp/>
        <stp>BDS|2548972378825208756</stp>
        <tr r="I173" s="2"/>
      </tp>
      <tp t="s">
        <v>#N/A N/A</v>
        <stp/>
        <stp>BDP|4185596171639062144</stp>
        <tr r="T295" s="2"/>
      </tp>
      <tp t="s">
        <v>#N/A N/A</v>
        <stp/>
        <stp>BDS|7617730399067914089</stp>
        <tr r="I1672" s="2"/>
      </tp>
      <tp t="s">
        <v>#N/A N/A</v>
        <stp/>
        <stp>BDP|8359018128133351743</stp>
        <tr r="E235" s="2"/>
      </tp>
      <tp t="s">
        <v>#N/A N/A</v>
        <stp/>
        <stp>BDP|1775640309778656118</stp>
        <tr r="P1757" s="2"/>
      </tp>
      <tp t="s">
        <v>#N/A N/A</v>
        <stp/>
        <stp>BDP|1783404511639372380</stp>
        <tr r="R487" s="2"/>
      </tp>
      <tp t="s">
        <v>#N/A N/A</v>
        <stp/>
        <stp>BDP|7780818590668282092</stp>
        <tr r="A304" s="2"/>
      </tp>
      <tp t="s">
        <v>#N/A N/A</v>
        <stp/>
        <stp>BDP|1696781190801699055</stp>
        <tr r="O1844" s="2"/>
      </tp>
      <tp t="s">
        <v>#N/A N/A</v>
        <stp/>
        <stp>BDP|7861140322662391806</stp>
        <tr r="O1346" s="2"/>
      </tp>
      <tp t="s">
        <v>#N/A N/A</v>
        <stp/>
        <stp>BDP|5356841376924841046</stp>
        <tr r="K696" s="2"/>
      </tp>
      <tp t="s">
        <v>#N/A N/A</v>
        <stp/>
        <stp>BDP|5479809964462857750</stp>
        <tr r="O1512" s="2"/>
      </tp>
      <tp t="s">
        <v>#N/A N/A</v>
        <stp/>
        <stp>BDP|9798995082166952087</stp>
        <tr r="D2019" s="2"/>
      </tp>
      <tp t="s">
        <v>#N/A N/A</v>
        <stp/>
        <stp>BDP|5127786281843363764</stp>
        <tr r="H1355" s="2"/>
      </tp>
      <tp t="s">
        <v>#N/A N/A</v>
        <stp/>
        <stp>BDP|1830113144882334835</stp>
        <tr r="R83" s="2"/>
      </tp>
      <tp t="s">
        <v>#N/A N/A</v>
        <stp/>
        <stp>BDP|6254908693491435984</stp>
        <tr r="F893" s="2"/>
      </tp>
      <tp t="s">
        <v>#N/A N/A</v>
        <stp/>
        <stp>BDP|3722732977038790597</stp>
        <tr r="M1063" s="2"/>
      </tp>
      <tp t="s">
        <v>#N/A N/A</v>
        <stp/>
        <stp>BDP|6413210497081948264</stp>
        <tr r="O2060" s="2"/>
      </tp>
      <tp t="s">
        <v>#N/A N/A</v>
        <stp/>
        <stp>BDP|6205631206019217781</stp>
        <tr r="C895" s="2"/>
      </tp>
      <tp t="s">
        <v>#N/A N/A</v>
        <stp/>
        <stp>BDP|8508105348426525552</stp>
        <tr r="C1424" s="2"/>
      </tp>
      <tp t="s">
        <v>#N/A N/A</v>
        <stp/>
        <stp>BDP|7133892460687215077</stp>
        <tr r="A1312" s="2"/>
      </tp>
      <tp t="s">
        <v>#N/A N/A</v>
        <stp/>
        <stp>BDP|7284571291964975107</stp>
        <tr r="J2212" s="2"/>
      </tp>
      <tp t="s">
        <v>#N/A N/A</v>
        <stp/>
        <stp>BDP|4822674481412156627</stp>
        <tr r="J1818" s="2"/>
      </tp>
      <tp t="s">
        <v>#N/A N/A</v>
        <stp/>
        <stp>BDP|8386874513056287984</stp>
        <tr r="F732" s="2"/>
      </tp>
      <tp t="s">
        <v>#N/A N/A</v>
        <stp/>
        <stp>BDP|3588958062331953366</stp>
        <tr r="S2244" s="2"/>
      </tp>
      <tp t="s">
        <v>#N/A N/A</v>
        <stp/>
        <stp>BDP|2809365073749826180</stp>
        <tr r="M461" s="2"/>
      </tp>
      <tp t="s">
        <v>#N/A N/A</v>
        <stp/>
        <stp>BDP|7167282803409179264</stp>
        <tr r="O1306" s="2"/>
      </tp>
      <tp t="s">
        <v>#N/A N/A</v>
        <stp/>
        <stp>BDP|7387381891005789602</stp>
        <tr r="N788" s="2"/>
      </tp>
      <tp t="s">
        <v>#N/A N/A</v>
        <stp/>
        <stp>BDP|8129687787100717846</stp>
        <tr r="T799" s="2"/>
      </tp>
      <tp t="s">
        <v>#N/A N/A</v>
        <stp/>
        <stp>BDP|1679029516898733687</stp>
        <tr r="M1497" s="2"/>
      </tp>
      <tp t="s">
        <v>#N/A N/A</v>
        <stp/>
        <stp>BDP|1341071928515748866</stp>
        <tr r="R12" s="2"/>
      </tp>
      <tp t="s">
        <v>#N/A N/A</v>
        <stp/>
        <stp>BDP|1341489512403728939</stp>
        <tr r="R1449" s="2"/>
      </tp>
      <tp t="s">
        <v>#N/A N/A</v>
        <stp/>
        <stp>BDP|1529180292466745150</stp>
        <tr r="F297" s="2"/>
      </tp>
      <tp t="s">
        <v>#N/A N/A</v>
        <stp/>
        <stp>BDP|1310655106649941043</stp>
        <tr r="J18" s="2"/>
      </tp>
      <tp t="s">
        <v>#N/A N/A</v>
        <stp/>
        <stp>BDS|5895954636714285544</stp>
        <tr r="I160" s="2"/>
      </tp>
      <tp t="s">
        <v>#N/A N/A</v>
        <stp/>
        <stp>BDP|3701799254368799706</stp>
        <tr r="J1166" s="2"/>
      </tp>
      <tp t="s">
        <v>#N/A N/A</v>
        <stp/>
        <stp>BDP|8292080819275780296</stp>
        <tr r="J1965" s="2"/>
      </tp>
      <tp t="s">
        <v>#N/A N/A</v>
        <stp/>
        <stp>BDP|5947461341458018335</stp>
        <tr r="O782" s="2"/>
      </tp>
      <tp t="s">
        <v>#N/A N/A</v>
        <stp/>
        <stp>BDP|5446790844538527016</stp>
        <tr r="S1834" s="2"/>
      </tp>
      <tp t="s">
        <v>#N/A N/A</v>
        <stp/>
        <stp>BDP|2135870259624793558</stp>
        <tr r="P1331" s="2"/>
      </tp>
      <tp t="s">
        <v>#N/A N/A</v>
        <stp/>
        <stp>BDP|3412409593439993931</stp>
        <tr r="D162" s="2"/>
      </tp>
      <tp t="s">
        <v>#N/A N/A</v>
        <stp/>
        <stp>BDP|4028826921797829766</stp>
        <tr r="G1563" s="2"/>
      </tp>
      <tp t="s">
        <v>#N/A N/A</v>
        <stp/>
        <stp>BDP|2601094004115153977</stp>
        <tr r="J20" s="2"/>
      </tp>
      <tp t="s">
        <v>#N/A N/A</v>
        <stp/>
        <stp>BDP|9815073911000503665</stp>
        <tr r="Q224" s="2"/>
      </tp>
      <tp t="s">
        <v>#N/A N/A</v>
        <stp/>
        <stp>BDP|5050200988699127847</stp>
        <tr r="P2237" s="2"/>
      </tp>
      <tp t="s">
        <v>#N/A N/A</v>
        <stp/>
        <stp>BDP|8460840784232848416</stp>
        <tr r="M745" s="2"/>
      </tp>
      <tp t="s">
        <v>#N/A N/A</v>
        <stp/>
        <stp>BDS|9661395881309651550</stp>
        <tr r="I868" s="2"/>
      </tp>
      <tp t="s">
        <v>#N/A N/A</v>
        <stp/>
        <stp>BDP|8988653448710137489</stp>
        <tr r="P883" s="2"/>
      </tp>
      <tp t="s">
        <v>#N/A N/A</v>
        <stp/>
        <stp>BDP|7474930720287830520</stp>
        <tr r="H661" s="2"/>
      </tp>
      <tp t="s">
        <v>#N/A N/A</v>
        <stp/>
        <stp>BDP|7843614262040901909</stp>
        <tr r="R2202" s="2"/>
      </tp>
      <tp t="s">
        <v>#N/A N/A</v>
        <stp/>
        <stp>BDS|1376843000121182647</stp>
        <tr r="I65" s="2"/>
      </tp>
      <tp t="s">
        <v>#N/A N/A</v>
        <stp/>
        <stp>BDP|6707479185090038473</stp>
        <tr r="P33" s="2"/>
      </tp>
      <tp t="s">
        <v>#N/A N/A</v>
        <stp/>
        <stp>BDP|7365701180873660570</stp>
        <tr r="F1517" s="2"/>
      </tp>
      <tp t="s">
        <v>#N/A N/A</v>
        <stp/>
        <stp>BDP|6519919636995307739</stp>
        <tr r="P1961" s="2"/>
      </tp>
      <tp t="s">
        <v>#N/A N/A</v>
        <stp/>
        <stp>BDP|4352555854809779377</stp>
        <tr r="C1714" s="2"/>
      </tp>
      <tp t="s">
        <v>#N/A N/A</v>
        <stp/>
        <stp>BDP|8037174483549794613</stp>
        <tr r="J1857" s="2"/>
      </tp>
      <tp t="s">
        <v>#N/A N/A</v>
        <stp/>
        <stp>BDP|8565315767090035318</stp>
        <tr r="S1635" s="2"/>
      </tp>
      <tp t="s">
        <v>#N/A N/A</v>
        <stp/>
        <stp>BDP|8524574434293086344</stp>
        <tr r="N2079" s="2"/>
      </tp>
      <tp t="s">
        <v>#N/A N/A</v>
        <stp/>
        <stp>BDP|7671919403154716415</stp>
        <tr r="D525" s="2"/>
      </tp>
      <tp t="s">
        <v>#N/A N/A</v>
        <stp/>
        <stp>BDP|9261288518455490148</stp>
        <tr r="M2159" s="2"/>
      </tp>
      <tp t="s">
        <v>#N/A N/A</v>
        <stp/>
        <stp>BDP|1850939925475500193</stp>
        <tr r="O1207" s="2"/>
      </tp>
      <tp t="s">
        <v>#N/A N/A</v>
        <stp/>
        <stp>BDP|7480097034342912827</stp>
        <tr r="C94" s="2"/>
      </tp>
      <tp t="s">
        <v>#N/A N/A</v>
        <stp/>
        <stp>BDP|3624162389031927528</stp>
        <tr r="O448" s="2"/>
      </tp>
      <tp t="s">
        <v>#N/A N/A</v>
        <stp/>
        <stp>BDP|1068739007301120974</stp>
        <tr r="K794" s="2"/>
      </tp>
      <tp t="s">
        <v>#N/A N/A</v>
        <stp/>
        <stp>BDP|1629460384361325259</stp>
        <tr r="R322" s="2"/>
      </tp>
      <tp t="s">
        <v>#N/A N/A</v>
        <stp/>
        <stp>BDP|7120535897981556426</stp>
        <tr r="C324" s="2"/>
      </tp>
      <tp t="s">
        <v>#N/A N/A</v>
        <stp/>
        <stp>BDS|2574849105131475526</stp>
        <tr r="I1289" s="2"/>
      </tp>
      <tp t="s">
        <v>#N/A N/A</v>
        <stp/>
        <stp>BDP|9264039903542046503</stp>
        <tr r="A250" s="2"/>
      </tp>
      <tp t="s">
        <v>#N/A N/A</v>
        <stp/>
        <stp>BDP|9160017822864016105</stp>
        <tr r="R1828" s="2"/>
      </tp>
      <tp t="s">
        <v>#N/A N/A</v>
        <stp/>
        <stp>BDP|3008119750828396105</stp>
        <tr r="T1309" s="2"/>
      </tp>
      <tp t="s">
        <v>#N/A N/A</v>
        <stp/>
        <stp>BDP|9332492264450595590</stp>
        <tr r="J46" s="2"/>
      </tp>
      <tp t="s">
        <v>#N/A N/A</v>
        <stp/>
        <stp>BDP|5835271497149376998</stp>
        <tr r="E1971" s="2"/>
      </tp>
      <tp t="s">
        <v>#N/A N/A</v>
        <stp/>
        <stp>BDP|8604108537692311603</stp>
        <tr r="J1538" s="2"/>
      </tp>
      <tp t="s">
        <v>#N/A N/A</v>
        <stp/>
        <stp>BDP|2983178273863953962</stp>
        <tr r="K1083" s="2"/>
      </tp>
      <tp t="s">
        <v>#N/A N/A</v>
        <stp/>
        <stp>BDP|8815143478771293143</stp>
        <tr r="O557" s="2"/>
      </tp>
      <tp t="s">
        <v>#N/A N/A</v>
        <stp/>
        <stp>BDP|2613989379003626135</stp>
        <tr r="E1203" s="2"/>
      </tp>
      <tp t="s">
        <v>#N/A N/A</v>
        <stp/>
        <stp>BDP|1316938575764565527</stp>
        <tr r="O1313" s="2"/>
      </tp>
      <tp t="s">
        <v>#N/A N/A</v>
        <stp/>
        <stp>BDP|4927392173877041913</stp>
        <tr r="A127" s="2"/>
      </tp>
      <tp t="s">
        <v>#N/A N/A</v>
        <stp/>
        <stp>BDP|6685101581516671734</stp>
        <tr r="F1696" s="2"/>
      </tp>
      <tp t="s">
        <v>#N/A N/A</v>
        <stp/>
        <stp>BDP|2012884343852147286</stp>
        <tr r="O1882" s="2"/>
      </tp>
      <tp t="s">
        <v>#N/A N/A</v>
        <stp/>
        <stp>BDP|5050462256689782356</stp>
        <tr r="A503" s="2"/>
      </tp>
      <tp t="s">
        <v>#N/A N/A</v>
        <stp/>
        <stp>BDS|7841229341299103683</stp>
        <tr r="I950" s="2"/>
      </tp>
      <tp t="s">
        <v>#N/A N/A</v>
        <stp/>
        <stp>BDP|1617700780930143052</stp>
        <tr r="T668" s="2"/>
      </tp>
      <tp t="s">
        <v>#N/A N/A</v>
        <stp/>
        <stp>BDP|6370163726269811299</stp>
        <tr r="J746" s="2"/>
      </tp>
      <tp t="s">
        <v>#N/A N/A</v>
        <stp/>
        <stp>BDS|1314197249192193803</stp>
        <tr r="I55" s="2"/>
      </tp>
      <tp t="s">
        <v>#N/A N/A</v>
        <stp/>
        <stp>BDP|3481677590081861397</stp>
        <tr r="J1711" s="2"/>
      </tp>
      <tp t="s">
        <v>#N/A N/A</v>
        <stp/>
        <stp>BDP|9356705924364754628</stp>
        <tr r="F31" s="2"/>
      </tp>
      <tp t="s">
        <v>#N/A N/A</v>
        <stp/>
        <stp>BDP|9253373995769486467</stp>
        <tr r="T2166" s="2"/>
      </tp>
      <tp t="s">
        <v>#N/A N/A</v>
        <stp/>
        <stp>BDP|5201962460236362257</stp>
        <tr r="H1278" s="2"/>
      </tp>
      <tp t="s">
        <v>#N/A N/A</v>
        <stp/>
        <stp>BDP|7342960513550636123</stp>
        <tr r="P487" s="2"/>
      </tp>
      <tp t="s">
        <v>#N/A N/A</v>
        <stp/>
        <stp>BDP|9634209014717945398</stp>
        <tr r="R2159" s="2"/>
      </tp>
      <tp t="s">
        <v>#N/A N/A</v>
        <stp/>
        <stp>BDP|3356626953688756671</stp>
        <tr r="S652" s="2"/>
      </tp>
      <tp t="s">
        <v>#N/A N/A</v>
        <stp/>
        <stp>BDP|8211040775121648075</stp>
        <tr r="J1877" s="2"/>
      </tp>
      <tp t="s">
        <v>#N/A N/A</v>
        <stp/>
        <stp>BDP|9209606324241065243</stp>
        <tr r="P1083" s="2"/>
      </tp>
      <tp t="s">
        <v>#N/A N/A</v>
        <stp/>
        <stp>BDP|4355726172172166804</stp>
        <tr r="F862" s="2"/>
      </tp>
      <tp t="s">
        <v>#N/A N/A</v>
        <stp/>
        <stp>BDP|8317168651813530132</stp>
        <tr r="C1343" s="2"/>
      </tp>
      <tp t="s">
        <v>#N/A N/A</v>
        <stp/>
        <stp>BDP|4368143816442437872</stp>
        <tr r="S302" s="2"/>
      </tp>
      <tp t="s">
        <v>#N/A N/A</v>
        <stp/>
        <stp>BDP|2704276797196056152</stp>
        <tr r="A657" s="2"/>
      </tp>
      <tp t="s">
        <v>#N/A N/A</v>
        <stp/>
        <stp>BDP|5706382276417259893</stp>
        <tr r="M403" s="2"/>
      </tp>
      <tp t="s">
        <v>#N/A N/A</v>
        <stp/>
        <stp>BDP|6628467121269300707</stp>
        <tr r="H334" s="2"/>
      </tp>
      <tp t="s">
        <v>#N/A N/A</v>
        <stp/>
        <stp>BDP|1717594983626634490</stp>
        <tr r="J2200" s="2"/>
      </tp>
      <tp t="s">
        <v>#N/A N/A</v>
        <stp/>
        <stp>BDP|2027538983666452769</stp>
        <tr r="S941" s="2"/>
      </tp>
      <tp t="s">
        <v>#N/A N/A</v>
        <stp/>
        <stp>BDS|7037206423618438153</stp>
        <tr r="I483" s="2"/>
      </tp>
      <tp t="s">
        <v>#N/A N/A</v>
        <stp/>
        <stp>BDP|5115021976008379444</stp>
        <tr r="P1294" s="2"/>
      </tp>
      <tp t="s">
        <v>#N/A N/A</v>
        <stp/>
        <stp>BDP|1803947993128425797</stp>
        <tr r="S1196" s="2"/>
      </tp>
      <tp t="s">
        <v>#N/A N/A</v>
        <stp/>
        <stp>BDP|9832295534590776607</stp>
        <tr r="A1863" s="2"/>
      </tp>
      <tp t="s">
        <v>#N/A N/A</v>
        <stp/>
        <stp>BDP|7693708470491017847</stp>
        <tr r="A621" s="2"/>
      </tp>
      <tp t="s">
        <v>#N/A N/A</v>
        <stp/>
        <stp>BDP|2648647757577463833</stp>
        <tr r="J1153" s="2"/>
      </tp>
      <tp t="s">
        <v>#N/A N/A</v>
        <stp/>
        <stp>BDP|6614356610022476852</stp>
        <tr r="G1350" s="2"/>
      </tp>
      <tp t="s">
        <v>#N/A N/A</v>
        <stp/>
        <stp>BDP|2543812413362319766</stp>
        <tr r="D581" s="2"/>
      </tp>
      <tp t="s">
        <v>#N/A N/A</v>
        <stp/>
        <stp>BDP|9575636651732678633</stp>
        <tr r="K363" s="2"/>
      </tp>
      <tp t="s">
        <v>#N/A N/A</v>
        <stp/>
        <stp>BDP|8746773676994383274</stp>
        <tr r="A1519" s="2"/>
      </tp>
      <tp t="s">
        <v>#N/A N/A</v>
        <stp/>
        <stp>BDP|2011423496091509037</stp>
        <tr r="T1329" s="2"/>
      </tp>
      <tp t="s">
        <v>#N/A N/A</v>
        <stp/>
        <stp>BDP|4225850823214139476</stp>
        <tr r="K615" s="2"/>
      </tp>
      <tp t="s">
        <v>#N/A N/A</v>
        <stp/>
        <stp>BDP|8201191109031566652</stp>
        <tr r="J1813" s="2"/>
      </tp>
      <tp t="s">
        <v>#N/A N/A</v>
        <stp/>
        <stp>BDP|4170832727077596729</stp>
        <tr r="G748" s="2"/>
      </tp>
      <tp t="s">
        <v>#N/A N/A</v>
        <stp/>
        <stp>BDP|2587900179697988573</stp>
        <tr r="Q2138" s="2"/>
      </tp>
      <tp t="s">
        <v>#N/A N/A</v>
        <stp/>
        <stp>BDP|8533250368520932230</stp>
        <tr r="S1181" s="2"/>
      </tp>
      <tp t="s">
        <v>#N/A N/A</v>
        <stp/>
        <stp>BDP|6525529365348688365</stp>
        <tr r="N947" s="2"/>
      </tp>
      <tp t="s">
        <v>#N/A N/A</v>
        <stp/>
        <stp>BDP|8541752331600258210</stp>
        <tr r="C1180" s="2"/>
      </tp>
      <tp t="s">
        <v>#N/A N/A</v>
        <stp/>
        <stp>BDP|8450356538723875537</stp>
        <tr r="R361" s="2"/>
      </tp>
      <tp t="s">
        <v>#N/A N/A</v>
        <stp/>
        <stp>BDP|8233022282167959991</stp>
        <tr r="J2122" s="2"/>
      </tp>
      <tp t="s">
        <v>#N/A N/A</v>
        <stp/>
        <stp>BDP|9074972792114734300</stp>
        <tr r="C1963" s="2"/>
      </tp>
      <tp t="s">
        <v>#N/A N/A</v>
        <stp/>
        <stp>BDP|9138741329527808560</stp>
        <tr r="P818" s="2"/>
      </tp>
      <tp t="s">
        <v>#N/A N/A</v>
        <stp/>
        <stp>BDP|1205848175976160600</stp>
        <tr r="R30" s="2"/>
      </tp>
      <tp t="s">
        <v>#N/A N/A</v>
        <stp/>
        <stp>BDP|7766535436216820984</stp>
        <tr r="O2185" s="2"/>
      </tp>
      <tp t="s">
        <v>#N/A N/A</v>
        <stp/>
        <stp>BDS|5525973073891540469</stp>
        <tr r="I1788" s="2"/>
      </tp>
      <tp t="s">
        <v>#N/A N/A</v>
        <stp/>
        <stp>BDS|2637242052382620944</stp>
        <tr r="I1129" s="2"/>
      </tp>
      <tp t="s">
        <v>#N/A N/A</v>
        <stp/>
        <stp>BDS|9287960283502702428</stp>
        <tr r="I1713" s="2"/>
      </tp>
      <tp t="s">
        <v>#N/A N/A</v>
        <stp/>
        <stp>BDP|4372806511053300037</stp>
        <tr r="P282" s="2"/>
      </tp>
      <tp t="s">
        <v>#N/A N/A</v>
        <stp/>
        <stp>BDP|6223410168052904804</stp>
        <tr r="K2217" s="2"/>
      </tp>
      <tp t="s">
        <v>#N/A N/A</v>
        <stp/>
        <stp>BDP|9071275157332210206</stp>
        <tr r="K219" s="2"/>
      </tp>
      <tp t="s">
        <v>#N/A N/A</v>
        <stp/>
        <stp>BDP|5204035871315011921</stp>
        <tr r="P507" s="2"/>
      </tp>
      <tp t="s">
        <v>#N/A N/A</v>
        <stp/>
        <stp>BDP|2432914873255436700</stp>
        <tr r="D1498" s="2"/>
      </tp>
      <tp t="s">
        <v>#N/A N/A</v>
        <stp/>
        <stp>BDP|8737569298783349990</stp>
        <tr r="O414" s="2"/>
      </tp>
      <tp t="s">
        <v>#N/A N/A</v>
        <stp/>
        <stp>BDP|2057933447945757403</stp>
        <tr r="H53" s="2"/>
      </tp>
      <tp t="s">
        <v>#N/A N/A</v>
        <stp/>
        <stp>BDP|4996948725985864437</stp>
        <tr r="Q2140" s="2"/>
      </tp>
      <tp t="s">
        <v>#N/A N/A</v>
        <stp/>
        <stp>BDP|5406543743293895981</stp>
        <tr r="S1304" s="2"/>
      </tp>
      <tp t="s">
        <v>#N/A N/A</v>
        <stp/>
        <stp>BDP|2308248191223744427</stp>
        <tr r="N1157" s="2"/>
      </tp>
      <tp t="s">
        <v>#N/A N/A</v>
        <stp/>
        <stp>BDP|9159253783325644828</stp>
        <tr r="S162" s="2"/>
      </tp>
      <tp t="s">
        <v>#N/A N/A</v>
        <stp/>
        <stp>BDS|1032772501771158949</stp>
        <tr r="I381" s="2"/>
      </tp>
      <tp t="s">
        <v>#N/A N/A</v>
        <stp/>
        <stp>BDP|4197437794286451110</stp>
        <tr r="D1764" s="2"/>
      </tp>
      <tp t="s">
        <v>#N/A N/A</v>
        <stp/>
        <stp>BDP|3405468274347517902</stp>
        <tr r="A1726" s="2"/>
      </tp>
      <tp t="s">
        <v>#N/A N/A</v>
        <stp/>
        <stp>BDP|8346124085558294754</stp>
        <tr r="H2" s="2"/>
      </tp>
      <tp t="s">
        <v>#N/A N/A</v>
        <stp/>
        <stp>BDP|2842489794951283054</stp>
        <tr r="T859" s="2"/>
      </tp>
      <tp t="s">
        <v>#N/A N/A</v>
        <stp/>
        <stp>BDP|6696824769251667781</stp>
        <tr r="J2076" s="2"/>
      </tp>
      <tp t="s">
        <v>#N/A N/A</v>
        <stp/>
        <stp>BDP|2747818210394721125</stp>
        <tr r="D2005" s="2"/>
      </tp>
      <tp t="s">
        <v>#N/A N/A</v>
        <stp/>
        <stp>BDP|7687954626956659408</stp>
        <tr r="R308" s="2"/>
      </tp>
      <tp t="s">
        <v>#N/A N/A</v>
        <stp/>
        <stp>BDP|7509636966291396805</stp>
        <tr r="G1073" s="2"/>
      </tp>
      <tp t="s">
        <v>#N/A N/A</v>
        <stp/>
        <stp>BDS|1670022671661399951</stp>
        <tr r="I1772" s="2"/>
      </tp>
      <tp t="s">
        <v>#N/A N/A</v>
        <stp/>
        <stp>BDP|3098083273143904913</stp>
        <tr r="C79" s="2"/>
      </tp>
      <tp t="s">
        <v>#N/A N/A</v>
        <stp/>
        <stp>BDP|9578997582135815358</stp>
        <tr r="D688" s="2"/>
      </tp>
      <tp t="s">
        <v>#N/A N/A</v>
        <stp/>
        <stp>BDP|5925078397501932337</stp>
        <tr r="M1949" s="2"/>
      </tp>
      <tp t="s">
        <v>#N/A N/A</v>
        <stp/>
        <stp>BDP|1873350590556696380</stp>
        <tr r="A1739" s="2"/>
      </tp>
      <tp t="s">
        <v>#N/A N/A</v>
        <stp/>
        <stp>BDP|6821993110218412869</stp>
        <tr r="O1532" s="2"/>
      </tp>
      <tp t="s">
        <v>#N/A N/A</v>
        <stp/>
        <stp>BDP|1032733290296581751</stp>
        <tr r="K1639" s="2"/>
      </tp>
      <tp t="s">
        <v>#N/A N/A</v>
        <stp/>
        <stp>BDP|3099871905360334522</stp>
        <tr r="T1648" s="2"/>
      </tp>
      <tp t="s">
        <v>#N/A N/A</v>
        <stp/>
        <stp>BDP|3563020895642133609</stp>
        <tr r="R1991" s="2"/>
      </tp>
      <tp t="s">
        <v>#N/A N/A</v>
        <stp/>
        <stp>BDP|3533370980826775066</stp>
        <tr r="S1760" s="2"/>
      </tp>
      <tp t="s">
        <v>#N/A N/A</v>
        <stp/>
        <stp>BDP|5489731296946680342</stp>
        <tr r="J13" s="2"/>
      </tp>
      <tp t="s">
        <v>#N/A N/A</v>
        <stp/>
        <stp>BDP|9849564799969567215</stp>
        <tr r="P858" s="2"/>
      </tp>
      <tp t="s">
        <v>#N/A N/A</v>
        <stp/>
        <stp>BDP|6256944717398393811</stp>
        <tr r="O363" s="2"/>
      </tp>
      <tp t="s">
        <v>#N/A N/A</v>
        <stp/>
        <stp>BDP|8988826672719319095</stp>
        <tr r="O1799" s="2"/>
      </tp>
      <tp t="s">
        <v>#N/A N/A</v>
        <stp/>
        <stp>BDP|4030239496701364056</stp>
        <tr r="N992" s="2"/>
      </tp>
      <tp t="s">
        <v>#N/A N/A</v>
        <stp/>
        <stp>BDP|8866617738810730357</stp>
        <tr r="Q855" s="2"/>
      </tp>
      <tp t="s">
        <v>#N/A N/A</v>
        <stp/>
        <stp>BDP|9211227760860542367</stp>
        <tr r="R521" s="2"/>
      </tp>
      <tp t="s">
        <v>#N/A N/A</v>
        <stp/>
        <stp>BDP|4352859075100608560</stp>
        <tr r="D1219" s="2"/>
      </tp>
      <tp t="s">
        <v>#N/A N/A</v>
        <stp/>
        <stp>BDP|7065974969997561181</stp>
        <tr r="R1623" s="2"/>
      </tp>
      <tp t="s">
        <v>#N/A N/A</v>
        <stp/>
        <stp>BDP|1087502074014661910</stp>
        <tr r="H1548" s="2"/>
      </tp>
      <tp t="s">
        <v>#N/A N/A</v>
        <stp/>
        <stp>BDP|1108810133606228228</stp>
        <tr r="S636" s="2"/>
      </tp>
      <tp t="s">
        <v>#N/A N/A</v>
        <stp/>
        <stp>BDP|1155920605277786123</stp>
        <tr r="O421" s="2"/>
      </tp>
      <tp t="s">
        <v>#N/A N/A</v>
        <stp/>
        <stp>BDP|1330303141671124908</stp>
        <tr r="H448" s="2"/>
      </tp>
      <tp t="s">
        <v>#N/A N/A</v>
        <stp/>
        <stp>BDP|9612585489039687320</stp>
        <tr r="H1654" s="2"/>
      </tp>
      <tp t="s">
        <v>#N/A N/A</v>
        <stp/>
        <stp>BDP|7903663116958204686</stp>
        <tr r="E1911" s="2"/>
      </tp>
      <tp t="s">
        <v>#N/A N/A</v>
        <stp/>
        <stp>BDS|7647567728157948929</stp>
        <tr r="I217" s="2"/>
      </tp>
      <tp t="s">
        <v>#N/A N/A</v>
        <stp/>
        <stp>BDP|5280093305178430396</stp>
        <tr r="P237" s="2"/>
      </tp>
      <tp t="s">
        <v>#N/A N/A</v>
        <stp/>
        <stp>BDP|9008604991248491060</stp>
        <tr r="S1723" s="2"/>
      </tp>
      <tp t="s">
        <v>#N/A N/A</v>
        <stp/>
        <stp>BDP|2301365694905666345</stp>
        <tr r="M2234" s="2"/>
      </tp>
      <tp t="s">
        <v>#N/A N/A</v>
        <stp/>
        <stp>BDP|8775611945466088205</stp>
        <tr r="Q432" s="2"/>
      </tp>
      <tp t="s">
        <v>#N/A N/A</v>
        <stp/>
        <stp>BDP|4664329438178824273</stp>
        <tr r="T2197" s="2"/>
      </tp>
      <tp t="s">
        <v>#N/A N/A</v>
        <stp/>
        <stp>BDP|1399835615544717217</stp>
        <tr r="P279" s="2"/>
      </tp>
      <tp t="s">
        <v>#N/A N/A</v>
        <stp/>
        <stp>BDP|5327059374518485458</stp>
        <tr r="T1028" s="2"/>
      </tp>
      <tp t="s">
        <v>#N/A N/A</v>
        <stp/>
        <stp>BDP|7991810831406242487</stp>
        <tr r="R2067" s="2"/>
      </tp>
      <tp t="s">
        <v>#N/A N/A</v>
        <stp/>
        <stp>BDP|5891519975881784881</stp>
        <tr r="O868" s="2"/>
      </tp>
      <tp t="s">
        <v>#N/A N/A</v>
        <stp/>
        <stp>BDP|8546611759210775591</stp>
        <tr r="Q946" s="2"/>
      </tp>
      <tp t="s">
        <v>#N/A N/A</v>
        <stp/>
        <stp>BDP|1493202693861213563</stp>
        <tr r="J2211" s="2"/>
      </tp>
      <tp t="s">
        <v>#N/A N/A</v>
        <stp/>
        <stp>BDP|9844539761573886711</stp>
        <tr r="O865" s="2"/>
      </tp>
      <tp t="s">
        <v>#N/A N/A</v>
        <stp/>
        <stp>BDP|8325117811774176214</stp>
        <tr r="D2156" s="2"/>
      </tp>
      <tp t="s">
        <v>#N/A N/A</v>
        <stp/>
        <stp>BDP|7123446310838643408</stp>
        <tr r="K58" s="2"/>
      </tp>
      <tp t="s">
        <v>#N/A N/A</v>
        <stp/>
        <stp>BDP|7986830759895278127</stp>
        <tr r="R1903" s="2"/>
      </tp>
      <tp t="s">
        <v>#N/A N/A</v>
        <stp/>
        <stp>BDP|4465260464966685837</stp>
        <tr r="A533" s="2"/>
      </tp>
      <tp t="s">
        <v>#N/A N/A</v>
        <stp/>
        <stp>BDP|1617426117688257224</stp>
        <tr r="S1710" s="2"/>
      </tp>
      <tp t="s">
        <v>#N/A N/A</v>
        <stp/>
        <stp>BDP|9643067977224321473</stp>
        <tr r="J1241" s="2"/>
      </tp>
      <tp t="s">
        <v>#N/A N/A</v>
        <stp/>
        <stp>BDP|1015621899547023787</stp>
        <tr r="J760" s="2"/>
      </tp>
      <tp t="s">
        <v>#N/A N/A</v>
        <stp/>
        <stp>BDP|4515979649991191698</stp>
        <tr r="Q1636" s="2"/>
      </tp>
      <tp t="s">
        <v>#N/A N/A</v>
        <stp/>
        <stp>BDP|6391653675481648869</stp>
        <tr r="D932" s="2"/>
      </tp>
      <tp t="s">
        <v>#N/A N/A</v>
        <stp/>
        <stp>BDP|5356640016454743856</stp>
        <tr r="P1288" s="2"/>
      </tp>
      <tp t="s">
        <v>#N/A N/A</v>
        <stp/>
        <stp>BDP|8360591471371833504</stp>
        <tr r="N406" s="2"/>
      </tp>
      <tp t="s">
        <v>#N/A N/A</v>
        <stp/>
        <stp>BDP|7336422352751611964</stp>
        <tr r="S2227" s="2"/>
      </tp>
      <tp t="s">
        <v>#N/A N/A</v>
        <stp/>
        <stp>BDP|8316299445301410189</stp>
        <tr r="J1348" s="2"/>
      </tp>
      <tp t="s">
        <v>#N/A N/A</v>
        <stp/>
        <stp>BDP|8223043850322355164</stp>
        <tr r="P852" s="2"/>
      </tp>
      <tp t="s">
        <v>#N/A N/A</v>
        <stp/>
        <stp>BDP|1412872875375772524</stp>
        <tr r="O1671" s="2"/>
      </tp>
      <tp t="s">
        <v>#N/A N/A</v>
        <stp/>
        <stp>BDP|1912831680048935701</stp>
        <tr r="R1746" s="2"/>
      </tp>
      <tp t="s">
        <v>#N/A N/A</v>
        <stp/>
        <stp>BDP|4371551074728261035</stp>
        <tr r="N934" s="2"/>
      </tp>
      <tp t="s">
        <v>#N/A N/A</v>
        <stp/>
        <stp>BDP|9795065309946370180</stp>
        <tr r="D1025" s="2"/>
      </tp>
      <tp t="s">
        <v>#N/A N/A</v>
        <stp/>
        <stp>BDP|9624149585356438809</stp>
        <tr r="F1891" s="2"/>
      </tp>
      <tp t="s">
        <v>#N/A N/A</v>
        <stp/>
        <stp>BDP|7294186728358869298</stp>
        <tr r="O920" s="2"/>
      </tp>
      <tp t="s">
        <v>#N/A N/A</v>
        <stp/>
        <stp>BDP|8498382492429486595</stp>
        <tr r="A312" s="2"/>
      </tp>
      <tp t="s">
        <v>#N/A N/A</v>
        <stp/>
        <stp>BDP|8469366230790409655</stp>
        <tr r="T1559" s="2"/>
      </tp>
      <tp t="s">
        <v>#N/A N/A</v>
        <stp/>
        <stp>BDP|8481211706815952191</stp>
        <tr r="R908" s="2"/>
      </tp>
      <tp t="s">
        <v>#N/A N/A</v>
        <stp/>
        <stp>BDP|1470269743680089925</stp>
        <tr r="F533" s="2"/>
      </tp>
      <tp t="s">
        <v>#N/A N/A</v>
        <stp/>
        <stp>BDP|7386829476242246462</stp>
        <tr r="M1446" s="2"/>
      </tp>
      <tp t="s">
        <v>#N/A N/A</v>
        <stp/>
        <stp>BDP|9422687319142434222</stp>
        <tr r="R1386" s="2"/>
      </tp>
      <tp t="s">
        <v>#N/A N/A</v>
        <stp/>
        <stp>BDP|3681292898816205067</stp>
        <tr r="R204" s="2"/>
      </tp>
      <tp t="s">
        <v>#N/A N/A</v>
        <stp/>
        <stp>BDP|9753774898630317983</stp>
        <tr r="A1890" s="2"/>
      </tp>
      <tp t="s">
        <v>#N/A N/A</v>
        <stp/>
        <stp>BDP|5792652881470724578</stp>
        <tr r="M47" s="2"/>
      </tp>
      <tp t="s">
        <v>#N/A N/A</v>
        <stp/>
        <stp>BDP|9153598407870499289</stp>
        <tr r="R200" s="2"/>
      </tp>
      <tp t="s">
        <v>#N/A N/A</v>
        <stp/>
        <stp>BDP|9691625816852355224</stp>
        <tr r="K1859" s="2"/>
      </tp>
      <tp t="s">
        <v>#N/A N/A</v>
        <stp/>
        <stp>BDP|2050800202217034313</stp>
        <tr r="M1677" s="2"/>
      </tp>
      <tp t="s">
        <v>#N/A N/A</v>
        <stp/>
        <stp>BDP|8571848546642167858</stp>
        <tr r="F797" s="2"/>
      </tp>
      <tp t="s">
        <v>#N/A N/A</v>
        <stp/>
        <stp>BDP|8853651963010807653</stp>
        <tr r="A2239" s="2"/>
      </tp>
      <tp t="s">
        <v>#N/A N/A</v>
        <stp/>
        <stp>BDS|9921104567988830858</stp>
        <tr r="I1853" s="2"/>
      </tp>
      <tp t="s">
        <v>#N/A N/A</v>
        <stp/>
        <stp>BDP|5016512379490345984</stp>
        <tr r="K685" s="2"/>
      </tp>
      <tp t="s">
        <v>#N/A N/A</v>
        <stp/>
        <stp>BDP|2311851822336230057</stp>
        <tr r="S2115" s="2"/>
      </tp>
      <tp t="s">
        <v>#N/A N/A</v>
        <stp/>
        <stp>BDP|3149832507510536537</stp>
        <tr r="K2017" s="2"/>
      </tp>
      <tp t="s">
        <v>#N/A N/A</v>
        <stp/>
        <stp>BDS|1739245585206779326</stp>
        <tr r="I967" s="2"/>
      </tp>
      <tp t="s">
        <v>#N/A N/A</v>
        <stp/>
        <stp>BDP|6575140178377914933</stp>
        <tr r="M1549" s="2"/>
      </tp>
      <tp t="s">
        <v>#N/A N/A</v>
        <stp/>
        <stp>BDP|9615301080464714823</stp>
        <tr r="T1803" s="2"/>
      </tp>
      <tp t="s">
        <v>#N/A N/A</v>
        <stp/>
        <stp>BDP|2261970304140314510</stp>
        <tr r="D1021" s="2"/>
      </tp>
      <tp t="s">
        <v>#N/A N/A</v>
        <stp/>
        <stp>BDS|4251545198607549187</stp>
        <tr r="I307" s="2"/>
      </tp>
      <tp t="s">
        <v>#N/A N/A</v>
        <stp/>
        <stp>BDP|9128874098725540383</stp>
        <tr r="A540" s="2"/>
      </tp>
      <tp t="s">
        <v>#N/A N/A</v>
        <stp/>
        <stp>BDP|2144557010130683823</stp>
        <tr r="C1784" s="2"/>
      </tp>
      <tp t="s">
        <v>#N/A N/A</v>
        <stp/>
        <stp>BDP|4088391179397177914</stp>
        <tr r="N530" s="2"/>
      </tp>
      <tp t="s">
        <v>#N/A N/A</v>
        <stp/>
        <stp>BDP|8090753674843825599</stp>
        <tr r="T889" s="2"/>
      </tp>
      <tp t="s">
        <v>#N/A N/A</v>
        <stp/>
        <stp>BDP|6624998806209821813</stp>
        <tr r="M523" s="2"/>
      </tp>
      <tp t="s">
        <v>#N/A N/A</v>
        <stp/>
        <stp>BDP|9591384289264315876</stp>
        <tr r="T244" s="2"/>
      </tp>
      <tp t="s">
        <v>#N/A N/A</v>
        <stp/>
        <stp>BDP|5495643510165645967</stp>
        <tr r="A56" s="2"/>
      </tp>
      <tp t="s">
        <v>#N/A N/A</v>
        <stp/>
        <stp>BDP|7035636446838511304</stp>
        <tr r="T760" s="2"/>
      </tp>
      <tp t="s">
        <v>#N/A N/A</v>
        <stp/>
        <stp>BDP|6564950641595693072</stp>
        <tr r="R1547" s="2"/>
      </tp>
      <tp t="s">
        <v>#N/A N/A</v>
        <stp/>
        <stp>BDP|7894789986071792711</stp>
        <tr r="F367" s="2"/>
      </tp>
      <tp t="s">
        <v>#N/A N/A</v>
        <stp/>
        <stp>BDP|6683914255782360615</stp>
        <tr r="S1419" s="2"/>
      </tp>
      <tp t="s">
        <v>#N/A N/A</v>
        <stp/>
        <stp>BDP|5727491206858945714</stp>
        <tr r="A1315" s="2"/>
      </tp>
      <tp t="s">
        <v>#N/A N/A</v>
        <stp/>
        <stp>BDP|8434586368613486600</stp>
        <tr r="C1523" s="2"/>
      </tp>
      <tp t="s">
        <v>#N/A N/A</v>
        <stp/>
        <stp>BDP|5581216543539295459</stp>
        <tr r="C1269" s="2"/>
      </tp>
      <tp t="s">
        <v>#N/A N/A</v>
        <stp/>
        <stp>BDP|8410940398375196390</stp>
        <tr r="D1408" s="2"/>
      </tp>
      <tp t="s">
        <v>#N/A N/A</v>
        <stp/>
        <stp>BDP|8644348679261816334</stp>
        <tr r="R1511" s="2"/>
      </tp>
      <tp t="s">
        <v>#N/A N/A</v>
        <stp/>
        <stp>BDP|2369085951109203089</stp>
        <tr r="N1452" s="2"/>
      </tp>
      <tp t="s">
        <v>#N/A N/A</v>
        <stp/>
        <stp>BDP|4282483347918503289</stp>
        <tr r="Q2038" s="2"/>
      </tp>
      <tp t="s">
        <v>#N/A N/A</v>
        <stp/>
        <stp>BDP|8337760961645679229</stp>
        <tr r="H471" s="2"/>
      </tp>
      <tp t="s">
        <v>#N/A N/A</v>
        <stp/>
        <stp>BDP|6623803951823514623</stp>
        <tr r="O1619" s="2"/>
      </tp>
      <tp t="s">
        <v>#N/A N/A</v>
        <stp/>
        <stp>BDP|5094143317398721340</stp>
        <tr r="M1307" s="2"/>
      </tp>
      <tp t="s">
        <v>#N/A N/A</v>
        <stp/>
        <stp>BDP|6710940900355583461</stp>
        <tr r="T2051" s="2"/>
      </tp>
      <tp t="s">
        <v>#N/A N/A</v>
        <stp/>
        <stp>BDP|7587135589232848270</stp>
        <tr r="G1985" s="2"/>
      </tp>
      <tp t="s">
        <v>#N/A N/A</v>
        <stp/>
        <stp>BDP|9305564120884215476</stp>
        <tr r="D245" s="2"/>
      </tp>
      <tp t="s">
        <v>#N/A N/A</v>
        <stp/>
        <stp>BDP|7225738392463717445</stp>
        <tr r="G704" s="2"/>
      </tp>
      <tp t="s">
        <v>#N/A N/A</v>
        <stp/>
        <stp>BDS|9512247572772018039</stp>
        <tr r="I1381" s="2"/>
      </tp>
      <tp t="s">
        <v>#N/A N/A</v>
        <stp/>
        <stp>BDP|9217424181719060219</stp>
        <tr r="S535" s="2"/>
      </tp>
      <tp t="s">
        <v>#N/A N/A</v>
        <stp/>
        <stp>BDP|1489753273596300913</stp>
        <tr r="F2002" s="2"/>
      </tp>
      <tp t="s">
        <v>#N/A N/A</v>
        <stp/>
        <stp>BDP|9718084531782869669</stp>
        <tr r="N109" s="2"/>
      </tp>
      <tp t="s">
        <v>#N/A N/A</v>
        <stp/>
        <stp>BDP|6104920002099953888</stp>
        <tr r="T460" s="2"/>
      </tp>
      <tp t="s">
        <v>#N/A N/A</v>
        <stp/>
        <stp>BDP|7747094787654131589</stp>
        <tr r="S1381" s="2"/>
      </tp>
      <tp t="s">
        <v>#N/A N/A</v>
        <stp/>
        <stp>BDP|2172864426631000719</stp>
        <tr r="M1683" s="2"/>
      </tp>
      <tp t="s">
        <v>#N/A N/A</v>
        <stp/>
        <stp>BDP|9151374204914347010</stp>
        <tr r="K1197" s="2"/>
      </tp>
      <tp t="s">
        <v>#N/A N/A</v>
        <stp/>
        <stp>BDP|5189142928299579183</stp>
        <tr r="A1298" s="2"/>
      </tp>
      <tp t="s">
        <v>#N/A N/A</v>
        <stp/>
        <stp>BDP|9282818575829236147</stp>
        <tr r="D1689" s="2"/>
      </tp>
      <tp t="s">
        <v>#N/A N/A</v>
        <stp/>
        <stp>BDP|2723598598426651604</stp>
        <tr r="A238" s="2"/>
      </tp>
      <tp t="s">
        <v>#N/A N/A</v>
        <stp/>
        <stp>BDP|5558989409643449101</stp>
        <tr r="J386" s="2"/>
      </tp>
      <tp t="s">
        <v>#N/A N/A</v>
        <stp/>
        <stp>BDP|7787813615474447474</stp>
        <tr r="J1676" s="2"/>
      </tp>
      <tp t="s">
        <v>#N/A N/A</v>
        <stp/>
        <stp>BDP|2075435056754733929</stp>
        <tr r="C1335" s="2"/>
      </tp>
      <tp t="s">
        <v>#N/A N/A</v>
        <stp/>
        <stp>BDP|2209832533807715054</stp>
        <tr r="A270" s="2"/>
      </tp>
      <tp t="s">
        <v>#N/A N/A</v>
        <stp/>
        <stp>BDP|7756847943983153610</stp>
        <tr r="G1784" s="2"/>
      </tp>
      <tp t="s">
        <v>#N/A N/A</v>
        <stp/>
        <stp>BDP|6639844447651385567</stp>
        <tr r="E1292" s="2"/>
      </tp>
      <tp t="s">
        <v>#N/A N/A</v>
        <stp/>
        <stp>BDP|2502012992922067763</stp>
        <tr r="S2150" s="2"/>
      </tp>
      <tp t="s">
        <v>#N/A N/A</v>
        <stp/>
        <stp>BDP|9576366409491224589</stp>
        <tr r="E237" s="2"/>
      </tp>
      <tp t="s">
        <v>#N/A N/A</v>
        <stp/>
        <stp>BDP|1854922565000741082</stp>
        <tr r="K617" s="2"/>
      </tp>
      <tp t="s">
        <v>#N/A N/A</v>
        <stp/>
        <stp>BDP|2326550576099016702</stp>
        <tr r="E555" s="2"/>
      </tp>
      <tp t="s">
        <v>#N/A N/A</v>
        <stp/>
        <stp>BDP|4176438840518130238</stp>
        <tr r="G34" s="2"/>
      </tp>
      <tp t="s">
        <v>#N/A N/A</v>
        <stp/>
        <stp>BDP|7822270776998135489</stp>
        <tr r="Q1738" s="2"/>
      </tp>
      <tp t="s">
        <v>#N/A N/A</v>
        <stp/>
        <stp>BDP|5009845764164063103</stp>
        <tr r="T97" s="2"/>
      </tp>
      <tp t="s">
        <v>#N/A N/A</v>
        <stp/>
        <stp>BDP|2125762237069335133</stp>
        <tr r="C915" s="2"/>
      </tp>
      <tp t="s">
        <v>#N/A N/A</v>
        <stp/>
        <stp>BDP|7608643591591740742</stp>
        <tr r="F1257" s="2"/>
      </tp>
      <tp t="s">
        <v>#N/A N/A</v>
        <stp/>
        <stp>BDP|8225677786201106927</stp>
        <tr r="N961" s="2"/>
      </tp>
      <tp t="s">
        <v>#N/A N/A</v>
        <stp/>
        <stp>BDP|5315724256268447133</stp>
        <tr r="T2035" s="2"/>
      </tp>
      <tp t="s">
        <v>#N/A N/A</v>
        <stp/>
        <stp>BDP|1930939045846959467</stp>
        <tr r="J492" s="2"/>
      </tp>
      <tp t="s">
        <v>#N/A N/A</v>
        <stp/>
        <stp>BDP|3612864640682924391</stp>
        <tr r="R1857" s="2"/>
      </tp>
      <tp t="s">
        <v>#N/A N/A</v>
        <stp/>
        <stp>BDS|1704467503072014926</stp>
        <tr r="I629" s="2"/>
      </tp>
      <tp t="s">
        <v>#N/A N/A</v>
        <stp/>
        <stp>BDP|1020957642732069077</stp>
        <tr r="F1042" s="2"/>
      </tp>
      <tp t="s">
        <v>#N/A N/A</v>
        <stp/>
        <stp>BDP|5002137194492585128</stp>
        <tr r="R1412" s="2"/>
      </tp>
      <tp t="s">
        <v>#N/A N/A</v>
        <stp/>
        <stp>BDP|1259226151971004919</stp>
        <tr r="H721" s="2"/>
      </tp>
      <tp t="s">
        <v>#N/A N/A</v>
        <stp/>
        <stp>BDP|7842896919622872200</stp>
        <tr r="R1140" s="2"/>
      </tp>
      <tp t="s">
        <v>#N/A N/A</v>
        <stp/>
        <stp>BDP|6870362335641212990</stp>
        <tr r="S13" s="2"/>
      </tp>
      <tp t="s">
        <v>#N/A N/A</v>
        <stp/>
        <stp>BDP|3355546707039997198</stp>
        <tr r="S1855" s="2"/>
      </tp>
      <tp t="s">
        <v>#N/A N/A</v>
        <stp/>
        <stp>BDP|4717329765237312839</stp>
        <tr r="F2158" s="2"/>
      </tp>
      <tp t="s">
        <v>#N/A N/A</v>
        <stp/>
        <stp>BDP|3002500828678102294</stp>
        <tr r="T1665" s="2"/>
      </tp>
      <tp t="s">
        <v>#N/A N/A</v>
        <stp/>
        <stp>BDP|7224360848818802648</stp>
        <tr r="J601" s="2"/>
      </tp>
      <tp t="s">
        <v>#N/A N/A</v>
        <stp/>
        <stp>BDP|1409768663076290833</stp>
        <tr r="M2044" s="2"/>
      </tp>
      <tp t="s">
        <v>#N/A N/A</v>
        <stp/>
        <stp>BDP|9405174355635150672</stp>
        <tr r="T1676" s="2"/>
      </tp>
      <tp t="s">
        <v>#N/A N/A</v>
        <stp/>
        <stp>BDP|6921311349858787766</stp>
        <tr r="F165" s="2"/>
      </tp>
      <tp t="s">
        <v>#N/A N/A</v>
        <stp/>
        <stp>BDP|3222923254701471004</stp>
        <tr r="R707" s="2"/>
      </tp>
      <tp t="s">
        <v>#N/A N/A</v>
        <stp/>
        <stp>BDP|8458120973713042353</stp>
        <tr r="G651" s="2"/>
      </tp>
      <tp t="s">
        <v>#N/A N/A</v>
        <stp/>
        <stp>BDP|7145255716743335910</stp>
        <tr r="N566" s="2"/>
      </tp>
      <tp t="s">
        <v>#N/A N/A</v>
        <stp/>
        <stp>BDP|8248576427873278208</stp>
        <tr r="O1706" s="2"/>
      </tp>
      <tp t="s">
        <v>#N/A N/A</v>
        <stp/>
        <stp>BDP|1629026384550713775</stp>
        <tr r="M2220" s="2"/>
      </tp>
      <tp t="s">
        <v>#N/A N/A</v>
        <stp/>
        <stp>BDP|1087957807326410068</stp>
        <tr r="Q1568" s="2"/>
      </tp>
      <tp t="s">
        <v>#N/A N/A</v>
        <stp/>
        <stp>BDP|7667775805817790937</stp>
        <tr r="S1380" s="2"/>
      </tp>
      <tp t="s">
        <v>#N/A N/A</v>
        <stp/>
        <stp>BDP|7424105599204578587</stp>
        <tr r="P871" s="2"/>
      </tp>
      <tp t="s">
        <v>#N/A N/A</v>
        <stp/>
        <stp>BDP|8809916882316229192</stp>
        <tr r="M831" s="2"/>
      </tp>
      <tp t="s">
        <v>#N/A N/A</v>
        <stp/>
        <stp>BDP|5812658570773494993</stp>
        <tr r="S1351" s="2"/>
      </tp>
      <tp t="s">
        <v>#N/A N/A</v>
        <stp/>
        <stp>BDP|9663225613157356343</stp>
        <tr r="G2234" s="2"/>
      </tp>
      <tp t="s">
        <v>#N/A N/A</v>
        <stp/>
        <stp>BDP|4066758095932517652</stp>
        <tr r="M1694" s="2"/>
      </tp>
      <tp t="s">
        <v>#N/A N/A</v>
        <stp/>
        <stp>BDP|5731365094541706027</stp>
        <tr r="D891" s="2"/>
      </tp>
      <tp t="s">
        <v>#N/A N/A</v>
        <stp/>
        <stp>BDS|5164183486447657593</stp>
        <tr r="I1086" s="2"/>
      </tp>
      <tp t="s">
        <v>#N/A N/A</v>
        <stp/>
        <stp>BDP|7619405530426112875</stp>
        <tr r="G1725" s="2"/>
      </tp>
      <tp t="s">
        <v>#N/A N/A</v>
        <stp/>
        <stp>BDP|7869966739353665011</stp>
        <tr r="E170" s="2"/>
      </tp>
      <tp t="s">
        <v>#N/A N/A</v>
        <stp/>
        <stp>BDP|8425793416762959227</stp>
        <tr r="M210" s="2"/>
      </tp>
      <tp t="s">
        <v>#N/A N/A</v>
        <stp/>
        <stp>BDP|9273763802206171675</stp>
        <tr r="M1301" s="2"/>
      </tp>
      <tp t="s">
        <v>#N/A N/A</v>
        <stp/>
        <stp>BDP|9999675238313730118</stp>
        <tr r="C1167" s="2"/>
      </tp>
      <tp t="s">
        <v>#N/A N/A</v>
        <stp/>
        <stp>BDP|8128015971646371721</stp>
        <tr r="J1734" s="2"/>
      </tp>
      <tp t="s">
        <v>#N/A N/A</v>
        <stp/>
        <stp>BDP|1744493859228228650</stp>
        <tr r="A353" s="2"/>
      </tp>
      <tp t="s">
        <v>#N/A N/A</v>
        <stp/>
        <stp>BDP|4430942380558675364</stp>
        <tr r="C1986" s="2"/>
      </tp>
      <tp t="s">
        <v>#N/A N/A</v>
        <stp/>
        <stp>BDP|8739116448601730297</stp>
        <tr r="N1913" s="2"/>
      </tp>
      <tp t="s">
        <v>#N/A N/A</v>
        <stp/>
        <stp>BDP|4340330301950091912</stp>
        <tr r="N370" s="2"/>
      </tp>
      <tp t="s">
        <v>#N/A N/A</v>
        <stp/>
        <stp>BDP|8670436302675028773</stp>
        <tr r="S510" s="2"/>
      </tp>
      <tp t="s">
        <v>#N/A N/A</v>
        <stp/>
        <stp>BDP|2583882871407862451</stp>
        <tr r="S2206" s="2"/>
      </tp>
      <tp t="s">
        <v>#N/A N/A</v>
        <stp/>
        <stp>BDP|7173091779877768971</stp>
        <tr r="P1634" s="2"/>
      </tp>
      <tp t="s">
        <v>#N/A N/A</v>
        <stp/>
        <stp>BDP|1371951812003298477</stp>
        <tr r="K1727" s="2"/>
      </tp>
      <tp t="s">
        <v>#N/A N/A</v>
        <stp/>
        <stp>BDP|9880495020426983799</stp>
        <tr r="G791" s="2"/>
      </tp>
      <tp t="s">
        <v>#N/A N/A</v>
        <stp/>
        <stp>BDP|5795230891594348473</stp>
        <tr r="N2257" s="2"/>
      </tp>
      <tp t="s">
        <v>#N/A N/A</v>
        <stp/>
        <stp>BDP|4836749969499140250</stp>
        <tr r="O943" s="2"/>
      </tp>
      <tp t="s">
        <v>#N/A N/A</v>
        <stp/>
        <stp>BDP|9093349562927434530</stp>
        <tr r="P36" s="2"/>
      </tp>
      <tp t="s">
        <v>#N/A N/A</v>
        <stp/>
        <stp>BDP|9739720156954334113</stp>
        <tr r="O1117" s="2"/>
      </tp>
      <tp t="s">
        <v>#N/A N/A</v>
        <stp/>
        <stp>BDP|3436941235280688725</stp>
        <tr r="J1543" s="2"/>
      </tp>
      <tp t="s">
        <v>#N/A N/A</v>
        <stp/>
        <stp>BDP|9917951594721025698</stp>
        <tr r="T554" s="2"/>
      </tp>
      <tp t="s">
        <v>#N/A N/A</v>
        <stp/>
        <stp>BDP|1732782639862223956</stp>
        <tr r="N1894" s="2"/>
      </tp>
      <tp t="s">
        <v>#N/A N/A</v>
        <stp/>
        <stp>BDP|5188385191221019093</stp>
        <tr r="R1843" s="2"/>
      </tp>
      <tp t="s">
        <v>#N/A N/A</v>
        <stp/>
        <stp>BDP|3254826000927229235</stp>
        <tr r="A221" s="2"/>
      </tp>
      <tp t="s">
        <v>#N/A N/A</v>
        <stp/>
        <stp>BDP|5600189174314279990</stp>
        <tr r="A1092" s="2"/>
      </tp>
      <tp t="s">
        <v>#N/A N/A</v>
        <stp/>
        <stp>BDP|9041796410198877909</stp>
        <tr r="J362" s="2"/>
      </tp>
      <tp t="s">
        <v>#N/A N/A</v>
        <stp/>
        <stp>BDP|3575034325609512678</stp>
        <tr r="N1823" s="2"/>
      </tp>
      <tp t="s">
        <v>#N/A N/A</v>
        <stp/>
        <stp>BDP|8962491487429565339</stp>
        <tr r="D23" s="2"/>
      </tp>
      <tp t="s">
        <v>#N/A N/A</v>
        <stp/>
        <stp>BDP|5183804675354749027</stp>
        <tr r="G1997" s="2"/>
      </tp>
      <tp t="s">
        <v>#N/A N/A</v>
        <stp/>
        <stp>BDP|2674188154860984820</stp>
        <tr r="Q239" s="2"/>
      </tp>
      <tp t="s">
        <v>#N/A N/A</v>
        <stp/>
        <stp>BDP|4562276456909574401</stp>
        <tr r="D231" s="2"/>
      </tp>
      <tp t="s">
        <v>#N/A N/A</v>
        <stp/>
        <stp>BDP|2958289825038410412</stp>
        <tr r="N692" s="2"/>
      </tp>
      <tp t="s">
        <v>#N/A N/A</v>
        <stp/>
        <stp>BDP|7783643535654310843</stp>
        <tr r="M1958" s="2"/>
      </tp>
      <tp t="s">
        <v>#N/A N/A</v>
        <stp/>
        <stp>BDP|6306602776809650021</stp>
        <tr r="E76" s="2"/>
      </tp>
      <tp t="s">
        <v>#N/A N/A</v>
        <stp/>
        <stp>BDP|1475082096875221391</stp>
        <tr r="G927" s="2"/>
      </tp>
      <tp t="s">
        <v>#N/A N/A</v>
        <stp/>
        <stp>BDP|4617831105024230632</stp>
        <tr r="P1311" s="2"/>
      </tp>
      <tp t="s">
        <v>#N/A N/A</v>
        <stp/>
        <stp>BDP|2238600597584278760</stp>
        <tr r="C499" s="2"/>
      </tp>
      <tp t="s">
        <v>#N/A N/A</v>
        <stp/>
        <stp>BDP|6517586059758160046</stp>
        <tr r="D899" s="2"/>
      </tp>
      <tp t="s">
        <v>#N/A N/A</v>
        <stp/>
        <stp>BDP|1057272151029239154</stp>
        <tr r="P691" s="2"/>
      </tp>
      <tp t="s">
        <v>#N/A N/A</v>
        <stp/>
        <stp>BDP|3498247720345396824</stp>
        <tr r="G70" s="2"/>
      </tp>
      <tp t="s">
        <v>#N/A N/A</v>
        <stp/>
        <stp>BDP|8762524343394085379</stp>
        <tr r="G1677" s="2"/>
      </tp>
      <tp t="s">
        <v>#N/A N/A</v>
        <stp/>
        <stp>BDP|3241103805064477820</stp>
        <tr r="T692" s="2"/>
      </tp>
      <tp t="s">
        <v>#N/A N/A</v>
        <stp/>
        <stp>BDP|8460866992795239234</stp>
        <tr r="N269" s="2"/>
      </tp>
      <tp t="s">
        <v>#N/A N/A</v>
        <stp/>
        <stp>BDP|4148946322793238246</stp>
        <tr r="H97" s="2"/>
      </tp>
      <tp t="s">
        <v>#N/A N/A</v>
        <stp/>
        <stp>BDP|4880801678956858395</stp>
        <tr r="O1059" s="2"/>
      </tp>
      <tp t="s">
        <v>#N/A N/A</v>
        <stp/>
        <stp>BDP|9981521834281895061</stp>
        <tr r="S700" s="2"/>
      </tp>
      <tp t="s">
        <v>#N/A N/A</v>
        <stp/>
        <stp>BDP|7112237129821896824</stp>
        <tr r="E2158" s="2"/>
      </tp>
      <tp t="s">
        <v>#N/A N/A</v>
        <stp/>
        <stp>BDP|1818494723389256010</stp>
        <tr r="K1632" s="2"/>
      </tp>
      <tp t="s">
        <v>#N/A N/A</v>
        <stp/>
        <stp>BDP|8870451344264824205</stp>
        <tr r="P1589" s="2"/>
      </tp>
      <tp t="s">
        <v>#N/A N/A</v>
        <stp/>
        <stp>BDP|4558492888434430213</stp>
        <tr r="O2233" s="2"/>
      </tp>
      <tp t="s">
        <v>#N/A N/A</v>
        <stp/>
        <stp>BDP|1647965502763558560</stp>
        <tr r="M1148" s="2"/>
      </tp>
      <tp t="s">
        <v>#N/A N/A</v>
        <stp/>
        <stp>BDP|3235591090599360892</stp>
        <tr r="F1566" s="2"/>
      </tp>
      <tp t="s">
        <v>#N/A N/A</v>
        <stp/>
        <stp>BDP|5920869098389425329</stp>
        <tr r="E1380" s="2"/>
      </tp>
      <tp t="s">
        <v>#N/A N/A</v>
        <stp/>
        <stp>BDP|2061048771899117254</stp>
        <tr r="K1722" s="2"/>
      </tp>
      <tp t="s">
        <v>#N/A N/A</v>
        <stp/>
        <stp>BDP|6252637837909202458</stp>
        <tr r="D2001" s="2"/>
      </tp>
      <tp t="s">
        <v>#N/A N/A</v>
        <stp/>
        <stp>BDP|3406674577108268470</stp>
        <tr r="T1428" s="2"/>
      </tp>
      <tp t="s">
        <v>#N/A N/A</v>
        <stp/>
        <stp>BDP|6406224627869482146</stp>
        <tr r="N2189" s="2"/>
      </tp>
      <tp t="s">
        <v>#N/A N/A</v>
        <stp/>
        <stp>BDP|9321157272434055556</stp>
        <tr r="A954" s="2"/>
      </tp>
      <tp t="s">
        <v>#N/A N/A</v>
        <stp/>
        <stp>BDP|3679343994551269655</stp>
        <tr r="F494" s="2"/>
      </tp>
      <tp t="s">
        <v>#N/A N/A</v>
        <stp/>
        <stp>BDP|9341693105904624589</stp>
        <tr r="E1221" s="2"/>
      </tp>
      <tp t="s">
        <v>#N/A N/A</v>
        <stp/>
        <stp>BDP|4668150872724537857</stp>
        <tr r="S1423" s="2"/>
      </tp>
      <tp t="s">
        <v>#N/A N/A</v>
        <stp/>
        <stp>BDS|4614665237627324856</stp>
        <tr r="I566" s="2"/>
      </tp>
      <tp t="s">
        <v>#N/A N/A</v>
        <stp/>
        <stp>BDP|1640615687940054119</stp>
        <tr r="K1505" s="2"/>
      </tp>
      <tp t="s">
        <v>#N/A N/A</v>
        <stp/>
        <stp>BDP|8196157573357280741</stp>
        <tr r="N2143" s="2"/>
      </tp>
      <tp t="s">
        <v>#N/A N/A</v>
        <stp/>
        <stp>BDP|3762850529216964136</stp>
        <tr r="O258" s="2"/>
      </tp>
      <tp t="s">
        <v>#N/A N/A</v>
        <stp/>
        <stp>BDP|5708169695004540709</stp>
        <tr r="S2195" s="2"/>
      </tp>
      <tp t="s">
        <v>#N/A N/A</v>
        <stp/>
        <stp>BDP|1258075791821485714</stp>
        <tr r="N1630" s="2"/>
      </tp>
      <tp t="s">
        <v>#N/A N/A</v>
        <stp/>
        <stp>BDP|3924732378898786544</stp>
        <tr r="S985" s="2"/>
      </tp>
      <tp t="s">
        <v>#N/A N/A</v>
        <stp/>
        <stp>BDP|7026406063739513275</stp>
        <tr r="F1941" s="2"/>
      </tp>
      <tp t="s">
        <v>#N/A N/A</v>
        <stp/>
        <stp>BDP|8133461720477374756</stp>
        <tr r="N1962" s="2"/>
      </tp>
      <tp t="s">
        <v>#N/A N/A</v>
        <stp/>
        <stp>BDP|4516883557033313484</stp>
        <tr r="F2082" s="2"/>
      </tp>
      <tp t="s">
        <v>#N/A N/A</v>
        <stp/>
        <stp>BDP|2589711495953874180</stp>
        <tr r="Q1695" s="2"/>
      </tp>
      <tp t="s">
        <v>#N/A N/A</v>
        <stp/>
        <stp>BDP|3233713884265251740</stp>
        <tr r="T676" s="2"/>
      </tp>
      <tp t="s">
        <v>#N/A N/A</v>
        <stp/>
        <stp>BDP|3345611946859285672</stp>
        <tr r="G734" s="2"/>
      </tp>
      <tp t="s">
        <v>#N/A N/A</v>
        <stp/>
        <stp>BDP|9107563451090623716</stp>
        <tr r="D1578" s="2"/>
      </tp>
      <tp t="s">
        <v>#N/A N/A</v>
        <stp/>
        <stp>BDP|9428224651253040367</stp>
        <tr r="E823" s="2"/>
      </tp>
      <tp t="s">
        <v>#N/A N/A</v>
        <stp/>
        <stp>BDP|3247956656346331734</stp>
        <tr r="D259" s="2"/>
      </tp>
      <tp t="s">
        <v>#N/A N/A</v>
        <stp/>
        <stp>BDP|8106181758703214121</stp>
        <tr r="T713" s="2"/>
      </tp>
      <tp t="s">
        <v>#N/A N/A</v>
        <stp/>
        <stp>BDP|8133093058702086119</stp>
        <tr r="F232" s="2"/>
      </tp>
      <tp t="s">
        <v>#N/A N/A</v>
        <stp/>
        <stp>BDP|9518187328631058543</stp>
        <tr r="O2025" s="2"/>
      </tp>
      <tp t="s">
        <v>#N/A N/A</v>
        <stp/>
        <stp>BDP|9921413028310151101</stp>
        <tr r="D393" s="2"/>
      </tp>
      <tp t="s">
        <v>#N/A N/A</v>
        <stp/>
        <stp>BDP|2073051489847401398</stp>
        <tr r="A1175" s="2"/>
      </tp>
      <tp t="s">
        <v>#N/A N/A</v>
        <stp/>
        <stp>BDP|5745935612580036371</stp>
        <tr r="N248" s="2"/>
      </tp>
      <tp t="s">
        <v>#N/A N/A</v>
        <stp/>
        <stp>BDP|2315715197330019240</stp>
        <tr r="K222" s="2"/>
      </tp>
      <tp t="s">
        <v>#N/A N/A</v>
        <stp/>
        <stp>BDP|9356544008461768395</stp>
        <tr r="D159" s="2"/>
      </tp>
      <tp t="s">
        <v>#N/A N/A</v>
        <stp/>
        <stp>BDS|9633419935846604628</stp>
        <tr r="I855" s="2"/>
      </tp>
      <tp t="s">
        <v>#N/A N/A</v>
        <stp/>
        <stp>BDP|2087315136589425553</stp>
        <tr r="T557" s="2"/>
      </tp>
      <tp t="s">
        <v>#N/A N/A</v>
        <stp/>
        <stp>BDP|5157788253578934153</stp>
        <tr r="P5" s="2"/>
      </tp>
      <tp t="s">
        <v>#N/A N/A</v>
        <stp/>
        <stp>BDP|2385138692625676129</stp>
        <tr r="E373" s="2"/>
      </tp>
      <tp t="s">
        <v>#N/A N/A</v>
        <stp/>
        <stp>BDP|3968897131402059478</stp>
        <tr r="A1234" s="2"/>
      </tp>
      <tp t="s">
        <v>#N/A N/A</v>
        <stp/>
        <stp>BDP|7104848097350621821</stp>
        <tr r="R979" s="2"/>
      </tp>
      <tp t="s">
        <v>#N/A N/A</v>
        <stp/>
        <stp>BDP|8492469263131693510</stp>
        <tr r="N2211" s="2"/>
      </tp>
      <tp t="s">
        <v>#N/A N/A</v>
        <stp/>
        <stp>BDP|8895197766224861592</stp>
        <tr r="M1793" s="2"/>
      </tp>
      <tp t="s">
        <v>#N/A N/A</v>
        <stp/>
        <stp>BDP|9491861350972216868</stp>
        <tr r="Q915" s="2"/>
      </tp>
      <tp t="s">
        <v>#N/A N/A</v>
        <stp/>
        <stp>BDP|8692975324384563961</stp>
        <tr r="O2080" s="2"/>
      </tp>
      <tp t="s">
        <v>#N/A N/A</v>
        <stp/>
        <stp>BDP|5264820425966167722</stp>
        <tr r="A2042" s="2"/>
      </tp>
      <tp t="s">
        <v>#N/A N/A</v>
        <stp/>
        <stp>BDP|1155233867839166223</stp>
        <tr r="F580" s="2"/>
      </tp>
      <tp t="s">
        <v>#N/A N/A</v>
        <stp/>
        <stp>BDP|1236170911356036929</stp>
        <tr r="J1644" s="2"/>
      </tp>
      <tp t="s">
        <v>#N/A N/A</v>
        <stp/>
        <stp>BDS|6304253883420273219</stp>
        <tr r="I1518" s="2"/>
      </tp>
      <tp t="s">
        <v>#N/A N/A</v>
        <stp/>
        <stp>BDP|7458815412877632771</stp>
        <tr r="H206" s="2"/>
      </tp>
      <tp t="s">
        <v>#N/A N/A</v>
        <stp/>
        <stp>BDP|5836009088327254441</stp>
        <tr r="Q1677" s="2"/>
      </tp>
      <tp t="s">
        <v>#N/A N/A</v>
        <stp/>
        <stp>BDP|7299845572374109232</stp>
        <tr r="E683" s="2"/>
      </tp>
      <tp t="s">
        <v>#N/A N/A</v>
        <stp/>
        <stp>BDP|1009648284860155178</stp>
        <tr r="S1014" s="2"/>
      </tp>
      <tp t="s">
        <v>#N/A N/A</v>
        <stp/>
        <stp>BDP|3209184581293533789</stp>
        <tr r="A2205" s="2"/>
      </tp>
      <tp t="s">
        <v>#N/A N/A</v>
        <stp/>
        <stp>BDP|4063203497134615579</stp>
        <tr r="P382" s="2"/>
      </tp>
      <tp t="s">
        <v>#N/A N/A</v>
        <stp/>
        <stp>BDP|8778053270627269668</stp>
        <tr r="T510" s="2"/>
      </tp>
      <tp t="s">
        <v>#N/A N/A</v>
        <stp/>
        <stp>BDP|1053994596789925608</stp>
        <tr r="R615" s="2"/>
      </tp>
      <tp t="s">
        <v>#N/A N/A</v>
        <stp/>
        <stp>BDP|6841587286735437048</stp>
        <tr r="J132" s="2"/>
      </tp>
      <tp t="s">
        <v>#N/A N/A</v>
        <stp/>
        <stp>BDP|3110220004976515947</stp>
        <tr r="H1150" s="2"/>
      </tp>
      <tp t="s">
        <v>#N/A N/A</v>
        <stp/>
        <stp>BDP|1697011290871961788</stp>
        <tr r="M1320" s="2"/>
      </tp>
      <tp t="s">
        <v>#N/A N/A</v>
        <stp/>
        <stp>BDP|1957586341118428621</stp>
        <tr r="O2189" s="2"/>
      </tp>
      <tp t="s">
        <v>#N/A N/A</v>
        <stp/>
        <stp>BDP|9738472276175235122</stp>
        <tr r="T785" s="2"/>
      </tp>
      <tp t="s">
        <v>#N/A N/A</v>
        <stp/>
        <stp>BDP|7853744995365615292</stp>
        <tr r="S1158" s="2"/>
      </tp>
      <tp t="s">
        <v>#N/A N/A</v>
        <stp/>
        <stp>BDS|2403273046178661257</stp>
        <tr r="I990" s="2"/>
      </tp>
      <tp t="s">
        <v>#N/A N/A</v>
        <stp/>
        <stp>BDP|6313821025031651345</stp>
        <tr r="Q2008" s="2"/>
      </tp>
      <tp t="s">
        <v>#N/A N/A</v>
        <stp/>
        <stp>BDP|8096338798304570885</stp>
        <tr r="P1846" s="2"/>
      </tp>
      <tp t="s">
        <v>#N/A N/A</v>
        <stp/>
        <stp>BDP|8627090558526501547</stp>
        <tr r="D1925" s="2"/>
      </tp>
      <tp t="s">
        <v>#N/A N/A</v>
        <stp/>
        <stp>BDP|4987685528847705985</stp>
        <tr r="O1220" s="2"/>
      </tp>
      <tp t="s">
        <v>#N/A N/A</v>
        <stp/>
        <stp>BDP|9115465239146900615</stp>
        <tr r="K2122" s="2"/>
      </tp>
      <tp t="s">
        <v>#N/A N/A</v>
        <stp/>
        <stp>BDP|1454445017429758361</stp>
        <tr r="H1204" s="2"/>
      </tp>
      <tp t="s">
        <v>#N/A N/A</v>
        <stp/>
        <stp>BDP|8708712707066511723</stp>
        <tr r="D1551" s="2"/>
      </tp>
      <tp t="s">
        <v>#N/A N/A</v>
        <stp/>
        <stp>BDP|5543118853247584846</stp>
        <tr r="D871" s="2"/>
      </tp>
      <tp t="s">
        <v>#N/A N/A</v>
        <stp/>
        <stp>BDP|3439904644424278447</stp>
        <tr r="A1961" s="2"/>
      </tp>
      <tp t="s">
        <v>#N/A N/A</v>
        <stp/>
        <stp>BDP|1011426393742075074</stp>
        <tr r="A1532" s="2"/>
      </tp>
      <tp t="s">
        <v>#N/A N/A</v>
        <stp/>
        <stp>BDP|6824617788993466539</stp>
        <tr r="S1573" s="2"/>
      </tp>
      <tp t="s">
        <v>#N/A N/A</v>
        <stp/>
        <stp>BDP|3129966738436934100</stp>
        <tr r="O1665" s="2"/>
      </tp>
      <tp t="s">
        <v>#N/A N/A</v>
        <stp/>
        <stp>BDP|8926682953226147355</stp>
        <tr r="T1268" s="2"/>
      </tp>
      <tp t="s">
        <v>#N/A N/A</v>
        <stp/>
        <stp>BDP|9774921547703204963</stp>
        <tr r="J494" s="2"/>
      </tp>
      <tp t="s">
        <v>#N/A N/A</v>
        <stp/>
        <stp>BDP|9936111243623821154</stp>
        <tr r="J235" s="2"/>
      </tp>
      <tp t="s">
        <v>#N/A N/A</v>
        <stp/>
        <stp>BDP|1320345491044250120</stp>
        <tr r="F1480" s="2"/>
      </tp>
      <tp t="s">
        <v>#N/A N/A</v>
        <stp/>
        <stp>BDP|9142456263036362326</stp>
        <tr r="G781" s="2"/>
      </tp>
      <tp t="s">
        <v>#N/A N/A</v>
        <stp/>
        <stp>BDP|3651294840703014895</stp>
        <tr r="D1346" s="2"/>
      </tp>
      <tp t="s">
        <v>#N/A N/A</v>
        <stp/>
        <stp>BDP|4576982067114583199</stp>
        <tr r="R794" s="2"/>
      </tp>
      <tp t="s">
        <v>#N/A N/A</v>
        <stp/>
        <stp>BDP|5617922181262425876</stp>
        <tr r="M142" s="2"/>
      </tp>
      <tp t="s">
        <v>#N/A N/A</v>
        <stp/>
        <stp>BDP|2057616572419644436</stp>
        <tr r="M305" s="2"/>
      </tp>
      <tp t="s">
        <v>#N/A N/A</v>
        <stp/>
        <stp>BDP|8844389933803601530</stp>
        <tr r="N2003" s="2"/>
      </tp>
      <tp t="s">
        <v>#N/A N/A</v>
        <stp/>
        <stp>BDP|3950511310359609082</stp>
        <tr r="G851" s="2"/>
      </tp>
      <tp t="s">
        <v>#N/A N/A</v>
        <stp/>
        <stp>BDP|6384446596910649516</stp>
        <tr r="Q1210" s="2"/>
      </tp>
      <tp t="s">
        <v>#N/A N/A</v>
        <stp/>
        <stp>BDP|8377618089839955146</stp>
        <tr r="K1314" s="2"/>
      </tp>
      <tp t="s">
        <v>#N/A N/A</v>
        <stp/>
        <stp>BDP|2971911609043611613</stp>
        <tr r="K1685" s="2"/>
      </tp>
      <tp t="s">
        <v>#N/A N/A</v>
        <stp/>
        <stp>BDP|5958384081519021962</stp>
        <tr r="T232" s="2"/>
      </tp>
      <tp t="s">
        <v>#N/A N/A</v>
        <stp/>
        <stp>BDP|9442744407753868395</stp>
        <tr r="H633" s="2"/>
      </tp>
      <tp t="s">
        <v>#N/A N/A</v>
        <stp/>
        <stp>BDP|9231245191028147405</stp>
        <tr r="P921" s="2"/>
      </tp>
      <tp t="s">
        <v>#N/A N/A</v>
        <stp/>
        <stp>BDS|6818916740682652790</stp>
        <tr r="I1191" s="2"/>
      </tp>
      <tp t="s">
        <v>#N/A N/A</v>
        <stp/>
        <stp>BDP|3633954616230566564</stp>
        <tr r="M1856" s="2"/>
      </tp>
      <tp t="s">
        <v>#N/A N/A</v>
        <stp/>
        <stp>BDP|9490036773329539978</stp>
        <tr r="F170" s="2"/>
      </tp>
      <tp t="s">
        <v>#N/A N/A</v>
        <stp/>
        <stp>BDP|9419344454749400865</stp>
        <tr r="C172" s="2"/>
      </tp>
      <tp t="s">
        <v>#N/A N/A</v>
        <stp/>
        <stp>BDP|9434023284077734835</stp>
        <tr r="F414" s="2"/>
      </tp>
      <tp t="s">
        <v>#N/A N/A</v>
        <stp/>
        <stp>BDP|5727630375628328240</stp>
        <tr r="C2153" s="2"/>
      </tp>
      <tp t="s">
        <v>#N/A N/A</v>
        <stp/>
        <stp>BDP|6206967262547338037</stp>
        <tr r="A964" s="2"/>
      </tp>
      <tp t="s">
        <v>#N/A N/A</v>
        <stp/>
        <stp>BDP|2030579824072254979</stp>
        <tr r="E2258" s="2"/>
      </tp>
      <tp t="s">
        <v>#N/A N/A</v>
        <stp/>
        <stp>BDS|7763241791816214474</stp>
        <tr r="I75" s="2"/>
      </tp>
      <tp t="s">
        <v>#N/A N/A</v>
        <stp/>
        <stp>BDP|5417930021599552948</stp>
        <tr r="R168" s="2"/>
      </tp>
      <tp t="s">
        <v>#N/A N/A</v>
        <stp/>
        <stp>BDP|6786487355800961949</stp>
        <tr r="A1203" s="2"/>
      </tp>
      <tp t="s">
        <v>#N/A N/A</v>
        <stp/>
        <stp>BDP|8708240310143689621</stp>
        <tr r="J1828" s="2"/>
      </tp>
      <tp t="s">
        <v>#N/A N/A</v>
        <stp/>
        <stp>BDP|4948020326130346899</stp>
        <tr r="T40" s="2"/>
      </tp>
      <tp t="s">
        <v>#N/A N/A</v>
        <stp/>
        <stp>BDP|6052186890011695192</stp>
        <tr r="G2138" s="2"/>
      </tp>
      <tp t="s">
        <v>#N/A N/A</v>
        <stp/>
        <stp>BDP|1017329128059954746</stp>
        <tr r="H773" s="2"/>
      </tp>
      <tp t="s">
        <v>#N/A N/A</v>
        <stp/>
        <stp>BDP|3103841003172933788</stp>
        <tr r="R749" s="2"/>
      </tp>
      <tp t="s">
        <v>#N/A N/A</v>
        <stp/>
        <stp>BDP|8583632750902704768</stp>
        <tr r="N1625" s="2"/>
      </tp>
      <tp t="s">
        <v>#N/A N/A</v>
        <stp/>
        <stp>BDP|3401527258965854810</stp>
        <tr r="H72" s="2"/>
      </tp>
      <tp t="s">
        <v>#N/A N/A</v>
        <stp/>
        <stp>BDP|5882602597530907414</stp>
        <tr r="N1230" s="2"/>
      </tp>
      <tp t="s">
        <v>#N/A N/A</v>
        <stp/>
        <stp>BDP|7891830750456820244</stp>
        <tr r="T1227" s="2"/>
      </tp>
      <tp t="s">
        <v>#N/A N/A</v>
        <stp/>
        <stp>BDP|8469962269980554992</stp>
        <tr r="C1857" s="2"/>
      </tp>
      <tp t="s">
        <v>#N/A N/A</v>
        <stp/>
        <stp>BDP|9334675361410216709</stp>
        <tr r="T1001" s="2"/>
      </tp>
      <tp t="s">
        <v>#N/A N/A</v>
        <stp/>
        <stp>BDP|3394367167540362867</stp>
        <tr r="R931" s="2"/>
      </tp>
      <tp t="s">
        <v>#N/A N/A</v>
        <stp/>
        <stp>BDP|3981489406430579958</stp>
        <tr r="K196" s="2"/>
      </tp>
      <tp t="s">
        <v>#N/A N/A</v>
        <stp/>
        <stp>BDP|8073568095339208366</stp>
        <tr r="D990" s="2"/>
      </tp>
      <tp t="s">
        <v>#N/A N/A</v>
        <stp/>
        <stp>BDS|6583251680747605510</stp>
        <tr r="I674" s="2"/>
      </tp>
      <tp t="s">
        <v>#N/A N/A</v>
        <stp/>
        <stp>BDP|1143524481330362268</stp>
        <tr r="N2234" s="2"/>
      </tp>
      <tp t="s">
        <v>#N/A N/A</v>
        <stp/>
        <stp>BDP|3024236075208123009</stp>
        <tr r="N1227" s="2"/>
      </tp>
      <tp t="s">
        <v>#N/A N/A</v>
        <stp/>
        <stp>BDP|6379193365476852908</stp>
        <tr r="H1200" s="2"/>
      </tp>
      <tp t="s">
        <v>#N/A N/A</v>
        <stp/>
        <stp>BDP|5628797139396589943</stp>
        <tr r="M1099" s="2"/>
      </tp>
      <tp t="s">
        <v>#N/A N/A</v>
        <stp/>
        <stp>BDP|6030126087886401760</stp>
        <tr r="D1969" s="2"/>
      </tp>
      <tp t="s">
        <v>#N/A N/A</v>
        <stp/>
        <stp>BDP|5298878507501607239</stp>
        <tr r="P157" s="2"/>
      </tp>
      <tp t="s">
        <v>#N/A N/A</v>
        <stp/>
        <stp>BDP|4947821819805474617</stp>
        <tr r="P1355" s="2"/>
      </tp>
      <tp t="s">
        <v>#N/A N/A</v>
        <stp/>
        <stp>BDP|4902925723052697390</stp>
        <tr r="N1509" s="2"/>
      </tp>
      <tp t="s">
        <v>#N/A N/A</v>
        <stp/>
        <stp>BDP|4337487849269029358</stp>
        <tr r="H1594" s="2"/>
      </tp>
      <tp t="s">
        <v>#N/A N/A</v>
        <stp/>
        <stp>BDP|6553546562319089244</stp>
        <tr r="A1070" s="2"/>
      </tp>
      <tp t="s">
        <v>#N/A N/A</v>
        <stp/>
        <stp>BDP|9138258606087179240</stp>
        <tr r="T488" s="2"/>
      </tp>
      <tp t="s">
        <v>#N/A N/A</v>
        <stp/>
        <stp>BDP|4706240000078458009</stp>
        <tr r="E531" s="2"/>
      </tp>
      <tp t="s">
        <v>#N/A N/A</v>
        <stp/>
        <stp>BDP|4102094929359684103</stp>
        <tr r="R553" s="2"/>
      </tp>
      <tp t="s">
        <v>#N/A N/A</v>
        <stp/>
        <stp>BDP|9460768642034560027</stp>
        <tr r="J513" s="2"/>
      </tp>
      <tp t="s">
        <v>#N/A N/A</v>
        <stp/>
        <stp>BDP|9552947114617227809</stp>
        <tr r="E889" s="2"/>
      </tp>
      <tp t="s">
        <v>#N/A N/A</v>
        <stp/>
        <stp>BDP|2973307679550797803</stp>
        <tr r="R994" s="2"/>
      </tp>
      <tp t="s">
        <v>#N/A N/A</v>
        <stp/>
        <stp>BDP|5721631617189248569</stp>
        <tr r="Q1470" s="2"/>
      </tp>
      <tp t="s">
        <v>#N/A N/A</v>
        <stp/>
        <stp>BDP|7625061756639580542</stp>
        <tr r="O547" s="2"/>
      </tp>
      <tp t="s">
        <v>#N/A N/A</v>
        <stp/>
        <stp>BDP|9782615537203406120</stp>
        <tr r="P406" s="2"/>
      </tp>
      <tp t="s">
        <v>#N/A N/A</v>
        <stp/>
        <stp>BDP|9694381219750760576</stp>
        <tr r="Q419" s="2"/>
      </tp>
      <tp t="s">
        <v>#N/A N/A</v>
        <stp/>
        <stp>BDP|8376228132996212168</stp>
        <tr r="R1031" s="2"/>
      </tp>
      <tp t="s">
        <v>#N/A N/A</v>
        <stp/>
        <stp>BDP|4199900361971570428</stp>
        <tr r="H921" s="2"/>
      </tp>
      <tp t="s">
        <v>#N/A N/A</v>
        <stp/>
        <stp>BDP|8179041957687763429</stp>
        <tr r="G864" s="2"/>
      </tp>
      <tp t="s">
        <v>#N/A N/A</v>
        <stp/>
        <stp>BDP|4397661621609584768</stp>
        <tr r="S2239" s="2"/>
      </tp>
      <tp t="s">
        <v>#N/A N/A</v>
        <stp/>
        <stp>BDP|8709099044156829454</stp>
        <tr r="K1068" s="2"/>
      </tp>
      <tp t="s">
        <v>#N/A N/A</v>
        <stp/>
        <stp>BDP|7265850142812573777</stp>
        <tr r="R1786" s="2"/>
      </tp>
      <tp t="s">
        <v>#N/A N/A</v>
        <stp/>
        <stp>BDP|8527433156465430238</stp>
        <tr r="T111" s="2"/>
      </tp>
      <tp t="s">
        <v>#N/A N/A</v>
        <stp/>
        <stp>BDP|3920221288047156057</stp>
        <tr r="K412" s="2"/>
      </tp>
      <tp t="s">
        <v>#N/A N/A</v>
        <stp/>
        <stp>BDP|8271691448725256165</stp>
        <tr r="Q289" s="2"/>
      </tp>
      <tp t="s">
        <v>#N/A N/A</v>
        <stp/>
        <stp>BDP|1215136370730266947</stp>
        <tr r="T176" s="2"/>
      </tp>
      <tp t="s">
        <v>#N/A N/A</v>
        <stp/>
        <stp>BDP|8125730104766118705</stp>
        <tr r="N1065" s="2"/>
      </tp>
      <tp t="s">
        <v>#N/A N/A</v>
        <stp/>
        <stp>BDP|8471512856834541218</stp>
        <tr r="Q704" s="2"/>
      </tp>
      <tp t="s">
        <v>#N/A N/A</v>
        <stp/>
        <stp>BDP|3406355289863990564</stp>
        <tr r="A233" s="2"/>
      </tp>
      <tp t="s">
        <v>#N/A N/A</v>
        <stp/>
        <stp>BDP|9242471595429366347</stp>
        <tr r="P1474" s="2"/>
      </tp>
      <tp t="s">
        <v>#N/A N/A</v>
        <stp/>
        <stp>BDP|2803840268001604353</stp>
        <tr r="S372" s="2"/>
      </tp>
      <tp t="s">
        <v>#N/A N/A</v>
        <stp/>
        <stp>BDP|9008145876429623830</stp>
        <tr r="D1203" s="2"/>
      </tp>
      <tp t="s">
        <v>#N/A N/A</v>
        <stp/>
        <stp>BDP|4488266473739233649</stp>
        <tr r="H1405" s="2"/>
      </tp>
      <tp t="s">
        <v>#N/A N/A</v>
        <stp/>
        <stp>BDP|8451917208577868822</stp>
        <tr r="E558" s="2"/>
      </tp>
      <tp t="s">
        <v>#N/A N/A</v>
        <stp/>
        <stp>BDP|1026969459271838209</stp>
        <tr r="P1636" s="2"/>
      </tp>
      <tp t="s">
        <v>#N/A N/A</v>
        <stp/>
        <stp>BDP|2588062923249193763</stp>
        <tr r="S833" s="2"/>
      </tp>
      <tp t="s">
        <v>#N/A N/A</v>
        <stp/>
        <stp>BDP|5434687594617836373</stp>
        <tr r="F1960" s="2"/>
      </tp>
      <tp t="s">
        <v>#N/A N/A</v>
        <stp/>
        <stp>BDP|1461504030818197121</stp>
        <tr r="D1098" s="2"/>
      </tp>
      <tp t="s">
        <v>#N/A N/A</v>
        <stp/>
        <stp>BDP|6337896418539357867</stp>
        <tr r="F330" s="2"/>
      </tp>
      <tp t="s">
        <v>#N/A N/A</v>
        <stp/>
        <stp>BDP|1664503566834673818</stp>
        <tr r="P538" s="2"/>
      </tp>
      <tp t="s">
        <v>#N/A N/A</v>
        <stp/>
        <stp>BDP|4309520179251681998</stp>
        <tr r="Q1537" s="2"/>
      </tp>
      <tp t="s">
        <v>#N/A N/A</v>
        <stp/>
        <stp>BDP|7213130378297972876</stp>
        <tr r="M1763" s="2"/>
      </tp>
      <tp t="s">
        <v>#N/A N/A</v>
        <stp/>
        <stp>BDP|6500212371168260500</stp>
        <tr r="P246" s="2"/>
      </tp>
      <tp t="s">
        <v>#N/A N/A</v>
        <stp/>
        <stp>BDP|4811098877669729468</stp>
        <tr r="O305" s="2"/>
      </tp>
      <tp t="s">
        <v>#N/A N/A</v>
        <stp/>
        <stp>BDP|6623152077266259812</stp>
        <tr r="D1546" s="2"/>
      </tp>
      <tp t="s">
        <v>#N/A N/A</v>
        <stp/>
        <stp>BDP|8414275517445729047</stp>
        <tr r="D1809" s="2"/>
      </tp>
      <tp t="s">
        <v>#N/A N/A</v>
        <stp/>
        <stp>BDP|6729632374501185868</stp>
        <tr r="A1688" s="2"/>
      </tp>
      <tp t="s">
        <v>#N/A N/A</v>
        <stp/>
        <stp>BDP|5161732863448334256</stp>
        <tr r="T1914" s="2"/>
      </tp>
      <tp t="s">
        <v>#N/A N/A</v>
        <stp/>
        <stp>BDP|1121770059719107491</stp>
        <tr r="F1631" s="2"/>
      </tp>
      <tp t="s">
        <v>#N/A N/A</v>
        <stp/>
        <stp>BDP|3723539363428635668</stp>
        <tr r="D1246" s="2"/>
      </tp>
      <tp t="s">
        <v>#N/A N/A</v>
        <stp/>
        <stp>BDP|7601192635268576383</stp>
        <tr r="F32" s="2"/>
      </tp>
      <tp t="s">
        <v>#N/A N/A</v>
        <stp/>
        <stp>BDP|6325051695769005840</stp>
        <tr r="M628" s="2"/>
      </tp>
      <tp t="s">
        <v>#N/A N/A</v>
        <stp/>
        <stp>BDP|3777776623438363077</stp>
        <tr r="O198" s="2"/>
      </tp>
      <tp t="s">
        <v>#N/A N/A</v>
        <stp/>
        <stp>BDP|3988399710248219756</stp>
        <tr r="M199" s="2"/>
      </tp>
      <tp t="s">
        <v>#N/A N/A</v>
        <stp/>
        <stp>BDP|6179439322407274959</stp>
        <tr r="M704" s="2"/>
      </tp>
      <tp t="s">
        <v>#N/A N/A</v>
        <stp/>
        <stp>BDP|9492869521194771932</stp>
        <tr r="J219" s="2"/>
      </tp>
      <tp t="s">
        <v>#N/A N/A</v>
        <stp/>
        <stp>BDP|3750900906550657401</stp>
        <tr r="T62" s="2"/>
      </tp>
      <tp t="s">
        <v>#N/A N/A</v>
        <stp/>
        <stp>BDP|8788019774089530805</stp>
        <tr r="M945" s="2"/>
      </tp>
      <tp t="s">
        <v>#N/A N/A</v>
        <stp/>
        <stp>BDP|6321246111219861297</stp>
        <tr r="H1222" s="2"/>
      </tp>
      <tp t="s">
        <v>#N/A N/A</v>
        <stp/>
        <stp>BDP|4019207492702375361</stp>
        <tr r="S644" s="2"/>
      </tp>
      <tp t="s">
        <v>#N/A N/A</v>
        <stp/>
        <stp>BDP|7550836700098567942</stp>
        <tr r="J814" s="2"/>
      </tp>
      <tp t="s">
        <v>#N/A N/A</v>
        <stp/>
        <stp>BDP|4601094669338291438</stp>
        <tr r="A1521" s="2"/>
      </tp>
      <tp t="s">
        <v>#N/A N/A</v>
        <stp/>
        <stp>BDP|7377600782593259441</stp>
        <tr r="C914" s="2"/>
      </tp>
      <tp t="s">
        <v>#N/A N/A</v>
        <stp/>
        <stp>BDP|6007470617988397546</stp>
        <tr r="F1178" s="2"/>
      </tp>
      <tp t="s">
        <v>#N/A N/A</v>
        <stp/>
        <stp>BDP|1974876009586523150</stp>
        <tr r="G1621" s="2"/>
      </tp>
      <tp t="s">
        <v>#N/A N/A</v>
        <stp/>
        <stp>BDP|8635271589189952560</stp>
        <tr r="R2228" s="2"/>
      </tp>
      <tp t="s">
        <v>#N/A N/A</v>
        <stp/>
        <stp>BDS|9290358867182482002</stp>
        <tr r="I465" s="2"/>
      </tp>
      <tp t="s">
        <v>#N/A N/A</v>
        <stp/>
        <stp>BDP|1812419844276153986</stp>
        <tr r="D72" s="2"/>
      </tp>
      <tp t="s">
        <v>#N/A N/A</v>
        <stp/>
        <stp>BDP|6358992432207952559</stp>
        <tr r="M336" s="2"/>
      </tp>
      <tp t="s">
        <v>#N/A N/A</v>
        <stp/>
        <stp>BDP|5153559437454228953</stp>
        <tr r="S1680" s="2"/>
      </tp>
      <tp t="s">
        <v>#N/A N/A</v>
        <stp/>
        <stp>BDP|8252493045112397496</stp>
        <tr r="J864" s="2"/>
      </tp>
      <tp t="s">
        <v>#N/A N/A</v>
        <stp/>
        <stp>BDP|4066857424034787421</stp>
        <tr r="P929" s="2"/>
      </tp>
      <tp t="s">
        <v>#N/A N/A</v>
        <stp/>
        <stp>BDP|9077786608954712431</stp>
        <tr r="N1478" s="2"/>
      </tp>
      <tp t="s">
        <v>#N/A N/A</v>
        <stp/>
        <stp>BDP|2232563091441197105</stp>
        <tr r="N1654" s="2"/>
      </tp>
      <tp t="s">
        <v>#N/A N/A</v>
        <stp/>
        <stp>BDP|4261426269778467099</stp>
        <tr r="K190" s="2"/>
      </tp>
      <tp t="s">
        <v>#N/A N/A</v>
        <stp/>
        <stp>BDP|6931902873895729393</stp>
        <tr r="P841" s="2"/>
      </tp>
      <tp t="s">
        <v>#N/A N/A</v>
        <stp/>
        <stp>BDP|6280817860471342744</stp>
        <tr r="A1534" s="2"/>
      </tp>
      <tp t="s">
        <v>#N/A N/A</v>
        <stp/>
        <stp>BDP|8339410787042900888</stp>
        <tr r="M1953" s="2"/>
      </tp>
      <tp t="s">
        <v>#N/A N/A</v>
        <stp/>
        <stp>BDP|8683342973583428116</stp>
        <tr r="O921" s="2"/>
      </tp>
      <tp t="s">
        <v>#N/A N/A</v>
        <stp/>
        <stp>BDP|2054878609606827223</stp>
        <tr r="E2053" s="2"/>
      </tp>
      <tp t="s">
        <v>#N/A N/A</v>
        <stp/>
        <stp>BDP|1153034030188528438</stp>
        <tr r="G570" s="2"/>
      </tp>
      <tp t="s">
        <v>#N/A N/A</v>
        <stp/>
        <stp>BDP|4542213090976870784</stp>
        <tr r="D1715" s="2"/>
      </tp>
      <tp t="s">
        <v>#N/A N/A</v>
        <stp/>
        <stp>BDP|4771261791136090743</stp>
        <tr r="P1364" s="2"/>
      </tp>
      <tp t="s">
        <v>#N/A N/A</v>
        <stp/>
        <stp>BDP|9189660943171917495</stp>
        <tr r="D794" s="2"/>
      </tp>
      <tp t="s">
        <v>#N/A N/A</v>
        <stp/>
        <stp>BDP|4582853539573942247</stp>
        <tr r="R1532" s="2"/>
      </tp>
      <tp t="s">
        <v>#N/A N/A</v>
        <stp/>
        <stp>BDP|8896105272220805063</stp>
        <tr r="H918" s="2"/>
      </tp>
      <tp t="s">
        <v>#N/A N/A</v>
        <stp/>
        <stp>BDP|3254138949921882941</stp>
        <tr r="G849" s="2"/>
      </tp>
      <tp t="s">
        <v>#N/A N/A</v>
        <stp/>
        <stp>BDP|5417808156562119470</stp>
        <tr r="G2098" s="2"/>
      </tp>
      <tp t="s">
        <v>#N/A N/A</v>
        <stp/>
        <stp>BDP|5789833225938491916</stp>
        <tr r="G1441" s="2"/>
      </tp>
      <tp t="s">
        <v>#N/A N/A</v>
        <stp/>
        <stp>BDP|5408133171928521575</stp>
        <tr r="E1466" s="2"/>
      </tp>
      <tp t="s">
        <v>#N/A N/A</v>
        <stp/>
        <stp>BDP|7416930417808429906</stp>
        <tr r="H740" s="2"/>
      </tp>
      <tp t="s">
        <v>#N/A N/A</v>
        <stp/>
        <stp>BDP|7888967709329616950</stp>
        <tr r="S828" s="2"/>
      </tp>
      <tp t="s">
        <v>#N/A N/A</v>
        <stp/>
        <stp>BDP|2300161172603595962</stp>
        <tr r="K282" s="2"/>
      </tp>
      <tp t="s">
        <v>#N/A N/A</v>
        <stp/>
        <stp>BDP|3314705407832519851</stp>
        <tr r="E207" s="2"/>
      </tp>
      <tp t="s">
        <v>#N/A N/A</v>
        <stp/>
        <stp>BDP|1105374963793987984</stp>
        <tr r="P106" s="2"/>
      </tp>
      <tp t="s">
        <v>#N/A N/A</v>
        <stp/>
        <stp>BDP|2616963100877531217</stp>
        <tr r="A1574" s="2"/>
      </tp>
      <tp t="s">
        <v>#N/A N/A</v>
        <stp/>
        <stp>BDP|8096954867540156973</stp>
        <tr r="P674" s="2"/>
      </tp>
      <tp t="s">
        <v>#N/A N/A</v>
        <stp/>
        <stp>BDS|2857490477569489665</stp>
        <tr r="I201" s="2"/>
      </tp>
      <tp t="s">
        <v>#N/A N/A</v>
        <stp/>
        <stp>BDP|5580958752517144070</stp>
        <tr r="S692" s="2"/>
      </tp>
      <tp t="s">
        <v>#N/A N/A</v>
        <stp/>
        <stp>BDP|9723303973463761072</stp>
        <tr r="E1532" s="2"/>
      </tp>
      <tp t="s">
        <v>#N/A N/A</v>
        <stp/>
        <stp>BDP|5914725199533678607</stp>
        <tr r="G664" s="2"/>
      </tp>
      <tp t="s">
        <v>#N/A N/A</v>
        <stp/>
        <stp>BDP|2313612457797517844</stp>
        <tr r="K230" s="2"/>
      </tp>
      <tp t="s">
        <v>#N/A N/A</v>
        <stp/>
        <stp>BDP|4662648645628300008</stp>
        <tr r="J1173" s="2"/>
      </tp>
      <tp t="s">
        <v>#N/A N/A</v>
        <stp/>
        <stp>BDP|1994163693411994617</stp>
        <tr r="F1844" s="2"/>
      </tp>
      <tp t="s">
        <v>#N/A N/A</v>
        <stp/>
        <stp>BDP|4518879369092781680</stp>
        <tr r="F1946" s="2"/>
      </tp>
      <tp t="s">
        <v>#N/A N/A</v>
        <stp/>
        <stp>BDP|3955202639298306475</stp>
        <tr r="Q2240" s="2"/>
      </tp>
      <tp t="s">
        <v>#N/A N/A</v>
        <stp/>
        <stp>BDP|4403438393053289420</stp>
        <tr r="S873" s="2"/>
      </tp>
      <tp t="s">
        <v>#N/A N/A</v>
        <stp/>
        <stp>BDS|2287262228309998513</stp>
        <tr r="I978" s="2"/>
      </tp>
      <tp t="s">
        <v>#N/A N/A</v>
        <stp/>
        <stp>BDP|2266181591395864172</stp>
        <tr r="K2255" s="2"/>
      </tp>
      <tp t="s">
        <v>#N/A N/A</v>
        <stp/>
        <stp>BDP|9488063334113084722</stp>
        <tr r="T1844" s="2"/>
      </tp>
      <tp t="s">
        <v>#N/A N/A</v>
        <stp/>
        <stp>BDP|2214268064451359978</stp>
        <tr r="G848" s="2"/>
      </tp>
      <tp t="s">
        <v>#N/A N/A</v>
        <stp/>
        <stp>BDP|2589308360621173801</stp>
        <tr r="G143" s="2"/>
      </tp>
      <tp t="s">
        <v>#N/A N/A</v>
        <stp/>
        <stp>BDP|8917071377393806253</stp>
        <tr r="F1219" s="2"/>
      </tp>
      <tp t="s">
        <v>#N/A N/A</v>
        <stp/>
        <stp>BDP|2434472600680106864</stp>
        <tr r="J84" s="2"/>
      </tp>
      <tp t="s">
        <v>#N/A N/A</v>
        <stp/>
        <stp>BDP|2117196093585600191</stp>
        <tr r="T309" s="2"/>
      </tp>
      <tp t="s">
        <v>#N/A N/A</v>
        <stp/>
        <stp>BDP|6463957880958581103</stp>
        <tr r="M1370" s="2"/>
      </tp>
      <tp t="s">
        <v>#N/A N/A</v>
        <stp/>
        <stp>BDS|8715765161830348778</stp>
        <tr r="I182" s="2"/>
      </tp>
      <tp t="s">
        <v>#N/A N/A</v>
        <stp/>
        <stp>BDP|3971754589241509342</stp>
        <tr r="J1628" s="2"/>
      </tp>
      <tp t="s">
        <v>#N/A N/A</v>
        <stp/>
        <stp>BDP|8262816332919527409</stp>
        <tr r="H705" s="2"/>
      </tp>
      <tp t="s">
        <v>#N/A N/A</v>
        <stp/>
        <stp>BDP|5526250412110532832</stp>
        <tr r="T1011" s="2"/>
      </tp>
      <tp t="s">
        <v>#N/A N/A</v>
        <stp/>
        <stp>BDP|9460420155975084375</stp>
        <tr r="P2254" s="2"/>
      </tp>
      <tp t="s">
        <v>#N/A N/A</v>
        <stp/>
        <stp>BDP|9488775365906066020</stp>
        <tr r="F1300" s="2"/>
      </tp>
      <tp t="s">
        <v>#N/A N/A</v>
        <stp/>
        <stp>BDP|8810151905636974153</stp>
        <tr r="H2002" s="2"/>
      </tp>
      <tp t="s">
        <v>#N/A N/A</v>
        <stp/>
        <stp>BDP|1625962167334028433</stp>
        <tr r="G933" s="2"/>
      </tp>
      <tp t="s">
        <v>#N/A N/A</v>
        <stp/>
        <stp>BDP|3743997175265933667</stp>
        <tr r="E1419" s="2"/>
      </tp>
      <tp t="s">
        <v>#N/A N/A</v>
        <stp/>
        <stp>BDP|8288193467721099080</stp>
        <tr r="M314" s="2"/>
      </tp>
      <tp t="s">
        <v>#N/A N/A</v>
        <stp/>
        <stp>BDP|3351203889720836767</stp>
        <tr r="G1513" s="2"/>
      </tp>
      <tp t="s">
        <v>#N/A N/A</v>
        <stp/>
        <stp>BDP|3522741907433750957</stp>
        <tr r="Q1182" s="2"/>
      </tp>
      <tp t="s">
        <v>#N/A N/A</v>
        <stp/>
        <stp>BDP|5791278406529753055</stp>
        <tr r="G38" s="2"/>
      </tp>
      <tp t="s">
        <v>#N/A N/A</v>
        <stp/>
        <stp>BDP|9877555050606953105</stp>
        <tr r="G984" s="2"/>
      </tp>
      <tp t="s">
        <v>#N/A N/A</v>
        <stp/>
        <stp>BDS|7220436105019034400</stp>
        <tr r="I2229" s="2"/>
      </tp>
      <tp t="s">
        <v>#N/A N/A</v>
        <stp/>
        <stp>BDP|4600863164723325732</stp>
        <tr r="H2120" s="2"/>
      </tp>
      <tp t="s">
        <v>#N/A N/A</v>
        <stp/>
        <stp>BDP|4746192514922837868</stp>
        <tr r="P671" s="2"/>
      </tp>
      <tp t="s">
        <v>#N/A N/A</v>
        <stp/>
        <stp>BDP|8511036714271226643</stp>
        <tr r="P1872" s="2"/>
      </tp>
      <tp t="s">
        <v>#N/A N/A</v>
        <stp/>
        <stp>BDP|2617847131822386542</stp>
        <tr r="F597" s="2"/>
      </tp>
      <tp t="s">
        <v>#N/A N/A</v>
        <stp/>
        <stp>BDP|2586388492570388689</stp>
        <tr r="G134" s="2"/>
      </tp>
      <tp t="s">
        <v>#N/A N/A</v>
        <stp/>
        <stp>BDP|9483741997969212015</stp>
        <tr r="F1352" s="2"/>
      </tp>
      <tp t="s">
        <v>#N/A N/A</v>
        <stp/>
        <stp>BDP|9635135167190433020</stp>
        <tr r="E1637" s="2"/>
      </tp>
      <tp t="s">
        <v>#N/A N/A</v>
        <stp/>
        <stp>BDP|3362211297051115701</stp>
        <tr r="N736" s="2"/>
      </tp>
      <tp t="s">
        <v>#N/A N/A</v>
        <stp/>
        <stp>BDP|7401824393610723867</stp>
        <tr r="O268" s="2"/>
      </tp>
      <tp t="s">
        <v>#N/A N/A</v>
        <stp/>
        <stp>BDP|4951181599872592092</stp>
        <tr r="M160" s="2"/>
      </tp>
      <tp t="s">
        <v>#N/A N/A</v>
        <stp/>
        <stp>BDP|7735246366905427859</stp>
        <tr r="E1047" s="2"/>
      </tp>
      <tp t="s">
        <v>#N/A N/A</v>
        <stp/>
        <stp>BDP|9288468979662984609</stp>
        <tr r="Q760" s="2"/>
      </tp>
      <tp t="s">
        <v>#N/A N/A</v>
        <stp/>
        <stp>BDP|1619319995876310357</stp>
        <tr r="M1192" s="2"/>
      </tp>
      <tp t="s">
        <v>#N/A N/A</v>
        <stp/>
        <stp>BDP|1481959705043262521</stp>
        <tr r="G512" s="2"/>
      </tp>
      <tp t="s">
        <v>#N/A N/A</v>
        <stp/>
        <stp>BDP|8654632116262163365</stp>
        <tr r="C1976" s="2"/>
      </tp>
      <tp t="s">
        <v>#N/A N/A</v>
        <stp/>
        <stp>BDP|4797729195753419700</stp>
        <tr r="C1111" s="2"/>
      </tp>
      <tp t="s">
        <v>#N/A N/A</v>
        <stp/>
        <stp>BDP|9357897079850548828</stp>
        <tr r="T1694" s="2"/>
      </tp>
      <tp t="s">
        <v>#N/A N/A</v>
        <stp/>
        <stp>BDP|7544867466117637068</stp>
        <tr r="F1355" s="2"/>
      </tp>
      <tp t="s">
        <v>#N/A N/A</v>
        <stp/>
        <stp>BDP|5781926790993078809</stp>
        <tr r="P836" s="2"/>
      </tp>
      <tp t="s">
        <v>#N/A N/A</v>
        <stp/>
        <stp>BDP|2050258712358145732</stp>
        <tr r="J709" s="2"/>
      </tp>
      <tp t="s">
        <v>#N/A N/A</v>
        <stp/>
        <stp>BDP|6601346284913372000</stp>
        <tr r="D1589" s="2"/>
      </tp>
      <tp t="s">
        <v>#N/A N/A</v>
        <stp/>
        <stp>BDP|4316978190389241336</stp>
        <tr r="R656" s="2"/>
      </tp>
      <tp t="s">
        <v>#N/A N/A</v>
        <stp/>
        <stp>BDP|4470849926160127025</stp>
        <tr r="S1322" s="2"/>
      </tp>
      <tp t="s">
        <v>#N/A N/A</v>
        <stp/>
        <stp>BDP|5294727006684055835</stp>
        <tr r="R1085" s="2"/>
      </tp>
      <tp t="s">
        <v>#N/A N/A</v>
        <stp/>
        <stp>BDP|1892890643394369747</stp>
        <tr r="K2038" s="2"/>
      </tp>
      <tp t="s">
        <v>#N/A N/A</v>
        <stp/>
        <stp>BDP|4057772983091953489</stp>
        <tr r="A33" s="2"/>
      </tp>
      <tp t="s">
        <v>#N/A N/A</v>
        <stp/>
        <stp>BDP|3562596786055622599</stp>
        <tr r="S2254" s="2"/>
      </tp>
      <tp t="s">
        <v>#N/A N/A</v>
        <stp/>
        <stp>BDP|2842603683103858168</stp>
        <tr r="G956" s="2"/>
      </tp>
      <tp t="s">
        <v>#N/A N/A</v>
        <stp/>
        <stp>BDP|4696959549937718083</stp>
        <tr r="Q267" s="2"/>
      </tp>
      <tp t="s">
        <v>#N/A N/A</v>
        <stp/>
        <stp>BDP|5586637464608740307</stp>
        <tr r="N1992" s="2"/>
      </tp>
      <tp t="s">
        <v>#N/A N/A</v>
        <stp/>
        <stp>BDP|6534010483994250405</stp>
        <tr r="P1371" s="2"/>
      </tp>
      <tp t="s">
        <v>#N/A N/A</v>
        <stp/>
        <stp>BDP|8295632067742438475</stp>
        <tr r="J49" s="2"/>
      </tp>
      <tp t="s">
        <v>#N/A N/A</v>
        <stp/>
        <stp>BDP|8050209246303319304</stp>
        <tr r="K421" s="2"/>
      </tp>
      <tp t="s">
        <v>#N/A N/A</v>
        <stp/>
        <stp>BDP|6386941317355365561</stp>
        <tr r="Q2106" s="2"/>
      </tp>
      <tp t="s">
        <v>#N/A N/A</v>
        <stp/>
        <stp>BDP|3442147688674994041</stp>
        <tr r="O645" s="2"/>
      </tp>
      <tp t="s">
        <v>#N/A N/A</v>
        <stp/>
        <stp>BDP|7404888718801890194</stp>
        <tr r="Q298" s="2"/>
      </tp>
      <tp t="s">
        <v>#N/A N/A</v>
        <stp/>
        <stp>BDP|1550339392096034312</stp>
        <tr r="Q1283" s="2"/>
      </tp>
      <tp t="s">
        <v>#N/A N/A</v>
        <stp/>
        <stp>BDP|1422365048739894175</stp>
        <tr r="R2257" s="2"/>
      </tp>
      <tp t="s">
        <v>#N/A N/A</v>
        <stp/>
        <stp>BDP|1622285515835774994</stp>
        <tr r="R1344" s="2"/>
      </tp>
      <tp t="s">
        <v>#N/A N/A</v>
        <stp/>
        <stp>BDP|5858867464413621698</stp>
        <tr r="Q1999" s="2"/>
      </tp>
      <tp t="s">
        <v>#N/A N/A</v>
        <stp/>
        <stp>BDP|3489209490243473558</stp>
        <tr r="Q1759" s="2"/>
      </tp>
      <tp t="s">
        <v>#N/A N/A</v>
        <stp/>
        <stp>BDP|7780367920000215861</stp>
        <tr r="F565" s="2"/>
      </tp>
      <tp t="s">
        <v>#N/A N/A</v>
        <stp/>
        <stp>BDP|8310640040234754058</stp>
        <tr r="D324" s="2"/>
      </tp>
      <tp t="s">
        <v>#N/A N/A</v>
        <stp/>
        <stp>BDP|2745062063113085971</stp>
        <tr r="N1557" s="2"/>
      </tp>
      <tp t="s">
        <v>#N/A N/A</v>
        <stp/>
        <stp>BDP|5629369766119340700</stp>
        <tr r="G1859" s="2"/>
      </tp>
      <tp t="s">
        <v>#N/A N/A</v>
        <stp/>
        <stp>BDP|5222923493712423925</stp>
        <tr r="R1491" s="2"/>
      </tp>
      <tp t="s">
        <v>#N/A N/A</v>
        <stp/>
        <stp>BDP|9078860965511700813</stp>
        <tr r="M735" s="2"/>
      </tp>
      <tp t="s">
        <v>#N/A N/A</v>
        <stp/>
        <stp>BDP|3475911668470875204</stp>
        <tr r="K622" s="2"/>
      </tp>
      <tp t="s">
        <v>#N/A N/A</v>
        <stp/>
        <stp>BDP|9898006240984440793</stp>
        <tr r="R544" s="2"/>
      </tp>
      <tp t="s">
        <v>#N/A N/A</v>
        <stp/>
        <stp>BDP|3001845701101449441</stp>
        <tr r="G104" s="2"/>
      </tp>
      <tp t="s">
        <v>#N/A N/A</v>
        <stp/>
        <stp>BDP|8587476808224652698</stp>
        <tr r="F1781" s="2"/>
      </tp>
      <tp t="s">
        <v>#N/A N/A</v>
        <stp/>
        <stp>BDS|2850088014734393920</stp>
        <tr r="I1626" s="2"/>
      </tp>
      <tp t="s">
        <v>#N/A N/A</v>
        <stp/>
        <stp>BDP|1050528287354196617</stp>
        <tr r="S1765" s="2"/>
      </tp>
      <tp t="s">
        <v>#N/A N/A</v>
        <stp/>
        <stp>BDP|6771507564453510835</stp>
        <tr r="D729" s="2"/>
      </tp>
      <tp t="s">
        <v>#N/A N/A</v>
        <stp/>
        <stp>BDP|5268480431475637981</stp>
        <tr r="R777" s="2"/>
      </tp>
      <tp t="s">
        <v>#N/A N/A</v>
        <stp/>
        <stp>BDP|8954946745002596989</stp>
        <tr r="J407" s="2"/>
      </tp>
      <tp t="s">
        <v>#N/A N/A</v>
        <stp/>
        <stp>BDP|7664946109546677681</stp>
        <tr r="K1264" s="2"/>
      </tp>
      <tp t="s">
        <v>#N/A N/A</v>
        <stp/>
        <stp>BDP|8730154078015950561</stp>
        <tr r="D74" s="2"/>
      </tp>
      <tp t="s">
        <v>#N/A N/A</v>
        <stp/>
        <stp>BDP|2246740897760555215</stp>
        <tr r="E2056" s="2"/>
      </tp>
      <tp t="s">
        <v>#N/A N/A</v>
        <stp/>
        <stp>BDP|7676407602609711465</stp>
        <tr r="N984" s="2"/>
      </tp>
      <tp t="s">
        <v>#N/A N/A</v>
        <stp/>
        <stp>BDP|2282475026973776911</stp>
        <tr r="G1850" s="2"/>
      </tp>
      <tp t="s">
        <v>#N/A N/A</v>
        <stp/>
        <stp>BDP|8578788561702031599</stp>
        <tr r="Q1766" s="2"/>
      </tp>
      <tp t="s">
        <v>#N/A N/A</v>
        <stp/>
        <stp>BDP|4797705213938569441</stp>
        <tr r="K2112" s="2"/>
      </tp>
      <tp t="s">
        <v>#N/A N/A</v>
        <stp/>
        <stp>BDP|2373435147498623446</stp>
        <tr r="J615" s="2"/>
      </tp>
      <tp t="s">
        <v>#N/A N/A</v>
        <stp/>
        <stp>BDP|4721927139902098297</stp>
        <tr r="J2053" s="2"/>
      </tp>
      <tp t="s">
        <v>#N/A N/A</v>
        <stp/>
        <stp>BDP|7119966830587071427</stp>
        <tr r="H1362" s="2"/>
      </tp>
      <tp t="s">
        <v>#N/A N/A</v>
        <stp/>
        <stp>BDP|9253102912271056652</stp>
        <tr r="D1139" s="2"/>
      </tp>
      <tp t="s">
        <v>#N/A N/A</v>
        <stp/>
        <stp>BDP|7857990954452369732</stp>
        <tr r="E1706" s="2"/>
      </tp>
      <tp t="s">
        <v>#N/A N/A</v>
        <stp/>
        <stp>BDP|5483127274565474838</stp>
        <tr r="G328" s="2"/>
      </tp>
      <tp t="s">
        <v>#N/A N/A</v>
        <stp/>
        <stp>BDP|6290417992934525110</stp>
        <tr r="J1312" s="2"/>
      </tp>
      <tp t="s">
        <v>#N/A N/A</v>
        <stp/>
        <stp>BDP|8092048617033563433</stp>
        <tr r="S412" s="2"/>
      </tp>
      <tp t="s">
        <v>#N/A N/A</v>
        <stp/>
        <stp>BDP|6971861749954096032</stp>
        <tr r="A1333" s="2"/>
      </tp>
      <tp t="s">
        <v>#N/A N/A</v>
        <stp/>
        <stp>BDP|1730712963318969690</stp>
        <tr r="N1420" s="2"/>
      </tp>
      <tp t="s">
        <v>#N/A N/A</v>
        <stp/>
        <stp>BDP|9641712603273861396</stp>
        <tr r="S1119" s="2"/>
      </tp>
      <tp t="s">
        <v>#N/A N/A</v>
        <stp/>
        <stp>BDP|4013029947998278622</stp>
        <tr r="K2025" s="2"/>
      </tp>
      <tp t="s">
        <v>#N/A N/A</v>
        <stp/>
        <stp>BDS|4364312028689838275</stp>
        <tr r="I1458" s="2"/>
      </tp>
      <tp t="s">
        <v>#N/A N/A</v>
        <stp/>
        <stp>BDP|4935898672512385741</stp>
        <tr r="T2007" s="2"/>
      </tp>
      <tp t="s">
        <v>#N/A N/A</v>
        <stp/>
        <stp>BDP|2185483113938836176</stp>
        <tr r="R1718" s="2"/>
      </tp>
      <tp t="s">
        <v>#N/A N/A</v>
        <stp/>
        <stp>BDP|6830485798535945040</stp>
        <tr r="H230" s="2"/>
      </tp>
      <tp t="s">
        <v>#N/A N/A</v>
        <stp/>
        <stp>BDP|8340653208305850536</stp>
        <tr r="T2238" s="2"/>
      </tp>
      <tp t="s">
        <v>#N/A N/A</v>
        <stp/>
        <stp>BDP|2352480398703342251</stp>
        <tr r="T1664" s="2"/>
      </tp>
      <tp t="s">
        <v>#N/A N/A</v>
        <stp/>
        <stp>BDP|9357214877756802481</stp>
        <tr r="C210" s="2"/>
      </tp>
      <tp t="s">
        <v>#N/A N/A</v>
        <stp/>
        <stp>BDP|1418650122609023262</stp>
        <tr r="J300" s="2"/>
      </tp>
      <tp t="s">
        <v>#N/A N/A</v>
        <stp/>
        <stp>BDP|8277651177044646334</stp>
        <tr r="H743" s="2"/>
      </tp>
      <tp t="s">
        <v>#N/A N/A</v>
        <stp/>
        <stp>BDP|4827771985407718280</stp>
        <tr r="E807" s="2"/>
      </tp>
      <tp t="s">
        <v>#N/A N/A</v>
        <stp/>
        <stp>BDP|7040874900769189839</stp>
        <tr r="O480" s="2"/>
      </tp>
      <tp t="s">
        <v>#N/A N/A</v>
        <stp/>
        <stp>BDP|9165656051856777279</stp>
        <tr r="T1055" s="2"/>
      </tp>
      <tp t="s">
        <v>#N/A N/A</v>
        <stp/>
        <stp>BDP|6248491689684147061</stp>
        <tr r="M2030" s="2"/>
      </tp>
      <tp t="s">
        <v>#N/A N/A</v>
        <stp/>
        <stp>BDP|2544938503042136719</stp>
        <tr r="C582" s="2"/>
      </tp>
      <tp t="s">
        <v>#N/A N/A</v>
        <stp/>
        <stp>BDP|5618609696784598000</stp>
        <tr r="N1066" s="2"/>
      </tp>
      <tp t="s">
        <v>#N/A N/A</v>
        <stp/>
        <stp>BDP|2005231145658719240</stp>
        <tr r="Q701" s="2"/>
      </tp>
      <tp t="s">
        <v>#N/A N/A</v>
        <stp/>
        <stp>BDP|8649384617602598766</stp>
        <tr r="S729" s="2"/>
      </tp>
      <tp t="s">
        <v>#N/A N/A</v>
        <stp/>
        <stp>BDP|6128180693689186815</stp>
        <tr r="E1118" s="2"/>
      </tp>
      <tp t="s">
        <v>#N/A N/A</v>
        <stp/>
        <stp>BDP|8207371139195580231</stp>
        <tr r="Q952" s="2"/>
      </tp>
      <tp t="s">
        <v>#N/A N/A</v>
        <stp/>
        <stp>BDP|9785653631017018493</stp>
        <tr r="S1095" s="2"/>
      </tp>
      <tp t="s">
        <v>#N/A N/A</v>
        <stp/>
        <stp>BDP|5368239099397775643</stp>
        <tr r="N1848" s="2"/>
      </tp>
      <tp t="s">
        <v>#N/A N/A</v>
        <stp/>
        <stp>BDP|8757798614546832783</stp>
        <tr r="K487" s="2"/>
      </tp>
      <tp t="s">
        <v>#N/A N/A</v>
        <stp/>
        <stp>BDP|3145388094274752203</stp>
        <tr r="K959" s="2"/>
      </tp>
      <tp t="s">
        <v>#N/A N/A</v>
        <stp/>
        <stp>BDP|8797743016438704986</stp>
        <tr r="R124" s="2"/>
      </tp>
      <tp t="s">
        <v>#N/A N/A</v>
        <stp/>
        <stp>BDP|8248581843716406079</stp>
        <tr r="Q1812" s="2"/>
      </tp>
      <tp t="s">
        <v>#N/A N/A</v>
        <stp/>
        <stp>BDP|8062962039468025559</stp>
        <tr r="K645" s="2"/>
      </tp>
      <tp t="s">
        <v>#N/A N/A</v>
        <stp/>
        <stp>BDP|3935511492816342635</stp>
        <tr r="M1589" s="2"/>
      </tp>
      <tp t="s">
        <v>#N/A N/A</v>
        <stp/>
        <stp>BDP|1593142584197991069</stp>
        <tr r="O2203" s="2"/>
      </tp>
      <tp t="s">
        <v>#N/A N/A</v>
        <stp/>
        <stp>BDP|4352998394613574811</stp>
        <tr r="F585" s="2"/>
      </tp>
      <tp t="s">
        <v>#N/A N/A</v>
        <stp/>
        <stp>BDP|4767957025842526286</stp>
        <tr r="R1707" s="2"/>
      </tp>
      <tp t="s">
        <v>#N/A N/A</v>
        <stp/>
        <stp>BDP|2498017783002438780</stp>
        <tr r="N2134" s="2"/>
      </tp>
      <tp t="s">
        <v>#N/A N/A</v>
        <stp/>
        <stp>BDP|2865533782420247018</stp>
        <tr r="K285" s="2"/>
      </tp>
      <tp t="s">
        <v>#N/A N/A</v>
        <stp/>
        <stp>BDP|3594564231613146992</stp>
        <tr r="E1692" s="2"/>
      </tp>
      <tp t="s">
        <v>#N/A N/A</v>
        <stp/>
        <stp>BDP|2440239160378905143</stp>
        <tr r="M868" s="2"/>
      </tp>
      <tp t="s">
        <v>#N/A N/A</v>
        <stp/>
        <stp>BDS|3043485850398451569</stp>
        <tr r="I1986" s="2"/>
      </tp>
      <tp t="s">
        <v>#N/A N/A</v>
        <stp/>
        <stp>BDP|2111087720798543768</stp>
        <tr r="J462" s="2"/>
      </tp>
      <tp t="s">
        <v>#N/A N/A</v>
        <stp/>
        <stp>BDP|7172857317890126187</stp>
        <tr r="J342" s="2"/>
      </tp>
      <tp t="s">
        <v>#N/A N/A</v>
        <stp/>
        <stp>BDP|9054300055380924069</stp>
        <tr r="M1090" s="2"/>
      </tp>
      <tp t="s">
        <v>#N/A N/A</v>
        <stp/>
        <stp>BDP|1930140476028573048</stp>
        <tr r="M2028" s="2"/>
      </tp>
      <tp t="s">
        <v>#N/A N/A</v>
        <stp/>
        <stp>BDP|9081315519104131033</stp>
        <tr r="H1249" s="2"/>
      </tp>
      <tp t="s">
        <v>#N/A N/A</v>
        <stp/>
        <stp>BDP|4249869378962481620</stp>
        <tr r="F1015" s="2"/>
      </tp>
      <tp t="s">
        <v>#N/A N/A</v>
        <stp/>
        <stp>BDP|5219068011149843270</stp>
        <tr r="M2158" s="2"/>
      </tp>
      <tp t="s">
        <v>#N/A N/A</v>
        <stp/>
        <stp>BDP|1633100658238081246</stp>
        <tr r="H2164" s="2"/>
      </tp>
      <tp t="s">
        <v>#N/A N/A</v>
        <stp/>
        <stp>BDP|1754543699874064607</stp>
        <tr r="P2020" s="2"/>
      </tp>
      <tp t="s">
        <v>#N/A N/A</v>
        <stp/>
        <stp>BDP|6181999680129388117</stp>
        <tr r="J1152" s="2"/>
      </tp>
      <tp t="s">
        <v>#N/A N/A</v>
        <stp/>
        <stp>BDP|9204328859432670254</stp>
        <tr r="F199" s="2"/>
      </tp>
      <tp t="s">
        <v>#N/A N/A</v>
        <stp/>
        <stp>BDP|3774081117159304419</stp>
        <tr r="M223" s="2"/>
      </tp>
      <tp t="s">
        <v>#N/A N/A</v>
        <stp/>
        <stp>BDP|2351440354454960809</stp>
        <tr r="T861" s="2"/>
      </tp>
      <tp t="s">
        <v>#N/A N/A</v>
        <stp/>
        <stp>BDP|8095369042524680483</stp>
        <tr r="Q829" s="2"/>
      </tp>
      <tp t="s">
        <v>#N/A N/A</v>
        <stp/>
        <stp>BDP|1972279382035660106</stp>
        <tr r="M938" s="2"/>
      </tp>
      <tp t="s">
        <v>#N/A N/A</v>
        <stp/>
        <stp>BDP|6465071286939858875</stp>
        <tr r="F280" s="2"/>
      </tp>
      <tp t="s">
        <v>#N/A N/A</v>
        <stp/>
        <stp>BDP|5472656388484531068</stp>
        <tr r="H2119" s="2"/>
      </tp>
      <tp t="s">
        <v>#N/A N/A</v>
        <stp/>
        <stp>BDP|4568203709459636003</stp>
        <tr r="G1075" s="2"/>
      </tp>
      <tp t="s">
        <v>#N/A N/A</v>
        <stp/>
        <stp>BDP|2946525982259257917</stp>
        <tr r="K2204" s="2"/>
      </tp>
      <tp t="s">
        <v>#N/A N/A</v>
        <stp/>
        <stp>BDP|9659560275910694494</stp>
        <tr r="E686" s="2"/>
      </tp>
      <tp t="s">
        <v>#N/A N/A</v>
        <stp/>
        <stp>BDP|5452552396522560484</stp>
        <tr r="O1292" s="2"/>
      </tp>
      <tp t="s">
        <v>#N/A N/A</v>
        <stp/>
        <stp>BDP|2958208605346395957</stp>
        <tr r="Q1882" s="2"/>
      </tp>
      <tp t="s">
        <v>#N/A N/A</v>
        <stp/>
        <stp>BDS|4887291590892303282</stp>
        <tr r="I375" s="2"/>
      </tp>
      <tp t="s">
        <v>#N/A N/A</v>
        <stp/>
        <stp>BDP|9109612191740909926</stp>
        <tr r="M2235" s="2"/>
      </tp>
      <tp t="s">
        <v>#N/A N/A</v>
        <stp/>
        <stp>BDP|5593293504830695848</stp>
        <tr r="Q314" s="2"/>
      </tp>
      <tp t="s">
        <v>#N/A N/A</v>
        <stp/>
        <stp>BDP|2616533949205131970</stp>
        <tr r="H644" s="2"/>
      </tp>
      <tp t="s">
        <v>#N/A N/A</v>
        <stp/>
        <stp>BDP|1725672418650673943</stp>
        <tr r="M1244" s="2"/>
      </tp>
      <tp t="s">
        <v>#N/A N/A</v>
        <stp/>
        <stp>BDP|1127829776214933568</stp>
        <tr r="P1312" s="2"/>
      </tp>
      <tp t="s">
        <v>#N/A N/A</v>
        <stp/>
        <stp>BDP|6737956049926487256</stp>
        <tr r="D1211" s="2"/>
      </tp>
      <tp t="s">
        <v>#N/A N/A</v>
        <stp/>
        <stp>BDS|8826523873905084031</stp>
        <tr r="I2215" s="2"/>
      </tp>
      <tp t="s">
        <v>#N/A N/A</v>
        <stp/>
        <stp>BDP|9963539813221572368</stp>
        <tr r="F1249" s="2"/>
      </tp>
      <tp t="s">
        <v>#N/A N/A</v>
        <stp/>
        <stp>BDP|5378044288047778521</stp>
        <tr r="A1427" s="2"/>
      </tp>
      <tp t="s">
        <v>#N/A N/A</v>
        <stp/>
        <stp>BDP|2000881725126579122</stp>
        <tr r="E1994" s="2"/>
      </tp>
      <tp t="s">
        <v>#N/A N/A</v>
        <stp/>
        <stp>BDP|6973311473188413553</stp>
        <tr r="C2162" s="2"/>
      </tp>
      <tp t="s">
        <v>#N/A N/A</v>
        <stp/>
        <stp>BDS|8119317117135855054</stp>
        <tr r="I675" s="2"/>
      </tp>
      <tp t="s">
        <v>#N/A N/A</v>
        <stp/>
        <stp>BDP|5677288323712482834</stp>
        <tr r="S1992" s="2"/>
      </tp>
      <tp t="s">
        <v>#N/A N/A</v>
        <stp/>
        <stp>BDP|5282264297126093790</stp>
        <tr r="R433" s="2"/>
      </tp>
      <tp t="s">
        <v>#N/A N/A</v>
        <stp/>
        <stp>BDP|9737131189726338942</stp>
        <tr r="D177" s="2"/>
      </tp>
      <tp t="s">
        <v>#N/A N/A</v>
        <stp/>
        <stp>BDP|8476418068912459737</stp>
        <tr r="T302" s="2"/>
      </tp>
      <tp t="s">
        <v>#N/A N/A</v>
        <stp/>
        <stp>BDS|6347695471718602072</stp>
        <tr r="I1149" s="2"/>
      </tp>
      <tp t="s">
        <v>#N/A N/A</v>
        <stp/>
        <stp>BDP|9805020475878387967</stp>
        <tr r="C404" s="2"/>
      </tp>
      <tp t="s">
        <v>#N/A N/A</v>
        <stp/>
        <stp>BDP|1072968119971048755</stp>
        <tr r="E457" s="2"/>
      </tp>
      <tp t="s">
        <v>#N/A N/A</v>
        <stp/>
        <stp>BDP|5826835316005449634</stp>
        <tr r="J230" s="2"/>
      </tp>
      <tp t="s">
        <v>#N/A N/A</v>
        <stp/>
        <stp>BDP|1011935312782921426</stp>
        <tr r="A1512" s="2"/>
      </tp>
      <tp t="s">
        <v>#N/A N/A</v>
        <stp/>
        <stp>BDP|6464222349329705621</stp>
        <tr r="J1333" s="2"/>
      </tp>
      <tp t="s">
        <v>#N/A N/A</v>
        <stp/>
        <stp>BDS|5072345109219662013</stp>
        <tr r="I921" s="2"/>
      </tp>
      <tp t="s">
        <v>#N/A N/A</v>
        <stp/>
        <stp>BDP|7347565956251809915</stp>
        <tr r="P1384" s="2"/>
      </tp>
      <tp t="s">
        <v>#N/A N/A</v>
        <stp/>
        <stp>BDS|3041425330529952214</stp>
        <tr r="I695" s="2"/>
      </tp>
      <tp t="s">
        <v>#N/A N/A</v>
        <stp/>
        <stp>BDP|2025761882932943078</stp>
        <tr r="F2060" s="2"/>
      </tp>
      <tp t="s">
        <v>#N/A N/A</v>
        <stp/>
        <stp>BDP|2561892860147423421</stp>
        <tr r="K558" s="2"/>
      </tp>
      <tp t="s">
        <v>#N/A N/A</v>
        <stp/>
        <stp>BDP|6916498589221173435</stp>
        <tr r="A36" s="2"/>
      </tp>
      <tp t="s">
        <v>#N/A N/A</v>
        <stp/>
        <stp>BDP|4854811930890164032</stp>
        <tr r="Q58" s="2"/>
      </tp>
      <tp t="s">
        <v>#N/A N/A</v>
        <stp/>
        <stp>BDP|3801531090382528258</stp>
        <tr r="D1420" s="2"/>
      </tp>
      <tp t="s">
        <v>#N/A N/A</v>
        <stp/>
        <stp>BDP|5997358463739373679</stp>
        <tr r="P709" s="2"/>
      </tp>
      <tp t="s">
        <v>#N/A N/A</v>
        <stp/>
        <stp>BDP|9599691905151068127</stp>
        <tr r="S338" s="2"/>
      </tp>
      <tp t="s">
        <v>#N/A N/A</v>
        <stp/>
        <stp>BDS|8680189829057523398</stp>
        <tr r="I1645" s="2"/>
      </tp>
      <tp t="s">
        <v>#N/A N/A</v>
        <stp/>
        <stp>BDP|3831859578470637386</stp>
        <tr r="H1806" s="2"/>
      </tp>
      <tp t="s">
        <v>#N/A N/A</v>
        <stp/>
        <stp>BDP|8594214013937962359</stp>
        <tr r="A1628" s="2"/>
      </tp>
      <tp t="s">
        <v>#N/A N/A</v>
        <stp/>
        <stp>BDP|2654058351401871915</stp>
        <tr r="C66" s="2"/>
      </tp>
      <tp t="s">
        <v>#N/A N/A</v>
        <stp/>
        <stp>BDP|9473328749703102253</stp>
        <tr r="K2169" s="2"/>
      </tp>
      <tp t="s">
        <v>#N/A N/A</v>
        <stp/>
        <stp>BDP|8800876376928171033</stp>
        <tr r="O2102" s="2"/>
      </tp>
      <tp t="s">
        <v>#N/A N/A</v>
        <stp/>
        <stp>BDP|9264494996923211841</stp>
        <tr r="R1625" s="2"/>
      </tp>
      <tp t="s">
        <v>#N/A N/A</v>
        <stp/>
        <stp>BDP|4249072888017099464</stp>
        <tr r="P230" s="2"/>
      </tp>
      <tp t="s">
        <v>#N/A N/A</v>
        <stp/>
        <stp>BDP|4186680396226350275</stp>
        <tr r="F172" s="2"/>
      </tp>
      <tp t="s">
        <v>#N/A N/A</v>
        <stp/>
        <stp>BDP|7821935671853040511</stp>
        <tr r="G1495" s="2"/>
      </tp>
      <tp t="s">
        <v>#N/A N/A</v>
        <stp/>
        <stp>BDP|9361074970960796188</stp>
        <tr r="K858" s="2"/>
      </tp>
      <tp t="s">
        <v>#N/A N/A</v>
        <stp/>
        <stp>BDP|7695191000099006042</stp>
        <tr r="S773" s="2"/>
      </tp>
      <tp t="s">
        <v>#N/A N/A</v>
        <stp/>
        <stp>BDP|7166778683460853762</stp>
        <tr r="N795" s="2"/>
      </tp>
      <tp t="s">
        <v>#N/A N/A</v>
        <stp/>
        <stp>BDP|6520379899553245027</stp>
        <tr r="G981" s="2"/>
      </tp>
      <tp t="s">
        <v>#N/A N/A</v>
        <stp/>
        <stp>BDP|7839971264340297725</stp>
        <tr r="M1810" s="2"/>
      </tp>
      <tp t="s">
        <v>#N/A N/A</v>
        <stp/>
        <stp>BDP|2575694785116198536</stp>
        <tr r="H1046" s="2"/>
      </tp>
      <tp t="s">
        <v>#N/A N/A</v>
        <stp/>
        <stp>BDP|9875798798568020024</stp>
        <tr r="J1507" s="2"/>
      </tp>
      <tp t="s">
        <v>#N/A N/A</v>
        <stp/>
        <stp>BDP|2083662031441522990</stp>
        <tr r="M2201" s="2"/>
      </tp>
      <tp t="s">
        <v>#N/A N/A</v>
        <stp/>
        <stp>BDP|8160716096280998947</stp>
        <tr r="K690" s="2"/>
      </tp>
      <tp t="s">
        <v>#N/A N/A</v>
        <stp/>
        <stp>BDP|7565781255942340806</stp>
        <tr r="F448" s="2"/>
      </tp>
      <tp t="s">
        <v>#N/A N/A</v>
        <stp/>
        <stp>BDP|6579959224635614795</stp>
        <tr r="O626" s="2"/>
      </tp>
      <tp t="s">
        <v>#N/A N/A</v>
        <stp/>
        <stp>BDP|6570593426638454658</stp>
        <tr r="K725" s="2"/>
      </tp>
      <tp t="s">
        <v>#N/A N/A</v>
        <stp/>
        <stp>BDP|1135364711898517481</stp>
        <tr r="P594" s="2"/>
      </tp>
      <tp t="s">
        <v>#N/A N/A</v>
        <stp/>
        <stp>BDP|3514819347390134097</stp>
        <tr r="K218" s="2"/>
      </tp>
      <tp t="s">
        <v>#N/A N/A</v>
        <stp/>
        <stp>BDS|1864146176070144809</stp>
        <tr r="I1292" s="2"/>
      </tp>
      <tp t="s">
        <v>#N/A N/A</v>
        <stp/>
        <stp>BDP|7761855312978852931</stp>
        <tr r="N2197" s="2"/>
      </tp>
      <tp t="s">
        <v>#N/A N/A</v>
        <stp/>
        <stp>BDP|2149194470968764341</stp>
        <tr r="G2094" s="2"/>
      </tp>
      <tp t="s">
        <v>#N/A N/A</v>
        <stp/>
        <stp>BDP|6737440436289772798</stp>
        <tr r="O1729" s="2"/>
      </tp>
      <tp t="s">
        <v>#N/A N/A</v>
        <stp/>
        <stp>BDP|8647390612105466022</stp>
        <tr r="T1119" s="2"/>
      </tp>
      <tp t="s">
        <v>#N/A N/A</v>
        <stp/>
        <stp>BDP|9164093924896353249</stp>
        <tr r="K536" s="2"/>
      </tp>
      <tp t="s">
        <v>#N/A N/A</v>
        <stp/>
        <stp>BDP|3943246432515317877</stp>
        <tr r="E162" s="2"/>
      </tp>
      <tp t="s">
        <v>#N/A N/A</v>
        <stp/>
        <stp>BDP|6661933246600070485</stp>
        <tr r="M1874" s="2"/>
      </tp>
      <tp t="s">
        <v>#N/A N/A</v>
        <stp/>
        <stp>BDP|9300210709407354330</stp>
        <tr r="C2009" s="2"/>
      </tp>
      <tp t="s">
        <v>#N/A N/A</v>
        <stp/>
        <stp>BDP|3987237868870811817</stp>
        <tr r="N1604" s="2"/>
      </tp>
      <tp t="s">
        <v>#N/A N/A</v>
        <stp/>
        <stp>BDP|3920544490867198776</stp>
        <tr r="K29" s="2"/>
      </tp>
      <tp t="s">
        <v>#N/A N/A</v>
        <stp/>
        <stp>BDP|8612769572812017591</stp>
        <tr r="M1959" s="2"/>
      </tp>
      <tp t="s">
        <v>#N/A N/A</v>
        <stp/>
        <stp>BDP|6831073458625575991</stp>
        <tr r="O1486" s="2"/>
      </tp>
      <tp t="s">
        <v>#N/A N/A</v>
        <stp/>
        <stp>BDP|6860770982866472029</stp>
        <tr r="Q693" s="2"/>
      </tp>
      <tp t="s">
        <v>#N/A N/A</v>
        <stp/>
        <stp>BDP|4948982072410878506</stp>
        <tr r="C245" s="2"/>
      </tp>
      <tp t="s">
        <v>#N/A N/A</v>
        <stp/>
        <stp>BDP|2602531759365541825</stp>
        <tr r="A1854" s="2"/>
      </tp>
      <tp t="s">
        <v>#N/A N/A</v>
        <stp/>
        <stp>BDP|2140611458628075637</stp>
        <tr r="N2106" s="2"/>
      </tp>
      <tp t="s">
        <v>#N/A N/A</v>
        <stp/>
        <stp>BDP|9152456059395216242</stp>
        <tr r="T1084" s="2"/>
      </tp>
      <tp t="s">
        <v>#N/A N/A</v>
        <stp/>
        <stp>BDP|6734103828539651323</stp>
        <tr r="K1870" s="2"/>
      </tp>
      <tp t="s">
        <v>#N/A N/A</v>
        <stp/>
        <stp>BDP|8670355827281607792</stp>
        <tr r="S772" s="2"/>
      </tp>
      <tp t="s">
        <v>#N/A N/A</v>
        <stp/>
        <stp>BDP|3517796410198705204</stp>
        <tr r="F2174" s="2"/>
      </tp>
      <tp t="s">
        <v>#N/A N/A</v>
        <stp/>
        <stp>BDS|6697176978537737858</stp>
        <tr r="I482" s="2"/>
      </tp>
      <tp t="s">
        <v>#N/A N/A</v>
        <stp/>
        <stp>BDP|8412710128517766517</stp>
        <tr r="H88" s="2"/>
      </tp>
      <tp t="s">
        <v>#N/A N/A</v>
        <stp/>
        <stp>BDP|7631985947043629641</stp>
        <tr r="A843" s="2"/>
      </tp>
      <tp t="s">
        <v>#N/A N/A</v>
        <stp/>
        <stp>BDP|3808143758381621997</stp>
        <tr r="M418" s="2"/>
      </tp>
      <tp t="s">
        <v>#N/A N/A</v>
        <stp/>
        <stp>BDP|4154931259487858081</stp>
        <tr r="T2134" s="2"/>
      </tp>
      <tp t="s">
        <v>#N/A N/A</v>
        <stp/>
        <stp>BDP|7064006396433892259</stp>
        <tr r="O668" s="2"/>
      </tp>
      <tp t="s">
        <v>#N/A N/A</v>
        <stp/>
        <stp>BDP|1793666855929927460</stp>
        <tr r="T674" s="2"/>
      </tp>
      <tp t="s">
        <v>#N/A N/A</v>
        <stp/>
        <stp>BDP|9716461306787923551</stp>
        <tr r="D1797" s="2"/>
      </tp>
      <tp t="s">
        <v>#N/A N/A</v>
        <stp/>
        <stp>BDP|3302844966755364791</stp>
        <tr r="C554" s="2"/>
      </tp>
      <tp t="s">
        <v>#N/A N/A</v>
        <stp/>
        <stp>BDP|7228497790226199319</stp>
        <tr r="E157" s="2"/>
      </tp>
      <tp t="s">
        <v>#N/A N/A</v>
        <stp/>
        <stp>BDP|6328253892377662593</stp>
        <tr r="C455" s="2"/>
      </tp>
      <tp t="s">
        <v>#N/A N/A</v>
        <stp/>
        <stp>BDP|1119443660515949974</stp>
        <tr r="K2128" s="2"/>
      </tp>
      <tp t="s">
        <v>#N/A N/A</v>
        <stp/>
        <stp>BDP|6653108448675181944</stp>
        <tr r="G1192" s="2"/>
      </tp>
      <tp t="s">
        <v>#N/A N/A</v>
        <stp/>
        <stp>BDP|8238205772565910725</stp>
        <tr r="H55" s="2"/>
      </tp>
      <tp t="s">
        <v>#N/A N/A</v>
        <stp/>
        <stp>BDP|6435564197310762594</stp>
        <tr r="T101" s="2"/>
      </tp>
      <tp t="s">
        <v>#N/A N/A</v>
        <stp/>
        <stp>BDP|8908809416638088641</stp>
        <tr r="P622" s="2"/>
      </tp>
      <tp t="s">
        <v>#N/A N/A</v>
        <stp/>
        <stp>BDP|3464366729175744873</stp>
        <tr r="D975" s="2"/>
      </tp>
      <tp t="s">
        <v>#N/A N/A</v>
        <stp/>
        <stp>BDP|8665390147261203112</stp>
        <tr r="Q2128" s="2"/>
      </tp>
      <tp t="s">
        <v>#N/A N/A</v>
        <stp/>
        <stp>BDP|7036134686229821861</stp>
        <tr r="T354" s="2"/>
      </tp>
      <tp t="s">
        <v>#N/A N/A</v>
        <stp/>
        <stp>BDP|1278360381523841660</stp>
        <tr r="N2136" s="2"/>
      </tp>
      <tp t="s">
        <v>#N/A N/A</v>
        <stp/>
        <stp>BDP|7622961112084811414</stp>
        <tr r="S812" s="2"/>
      </tp>
      <tp t="s">
        <v>#N/A N/A</v>
        <stp/>
        <stp>BDS|8898434670845230123</stp>
        <tr r="I702" s="2"/>
      </tp>
      <tp t="s">
        <v>#N/A N/A</v>
        <stp/>
        <stp>BDP|5330864719356239551</stp>
        <tr r="K1334" s="2"/>
      </tp>
      <tp t="s">
        <v>#N/A N/A</v>
        <stp/>
        <stp>BDP|7836878162806291073</stp>
        <tr r="T1905" s="2"/>
      </tp>
      <tp t="s">
        <v>#N/A N/A</v>
        <stp/>
        <stp>BDP|6064884036210584231</stp>
        <tr r="J956" s="2"/>
      </tp>
      <tp t="s">
        <v>#N/A N/A</v>
        <stp/>
        <stp>BDP|8806258846080305101</stp>
        <tr r="G1520" s="2"/>
      </tp>
      <tp t="s">
        <v>#N/A N/A</v>
        <stp/>
        <stp>BDP|5390519244199985270</stp>
        <tr r="P425" s="2"/>
      </tp>
      <tp t="s">
        <v>#N/A N/A</v>
        <stp/>
        <stp>BDP|6863956101039207968</stp>
        <tr r="F1495" s="2"/>
      </tp>
      <tp t="s">
        <v>#N/A N/A</v>
        <stp/>
        <stp>BDP|3196940349174621522</stp>
        <tr r="S859" s="2"/>
      </tp>
      <tp t="s">
        <v>#N/A N/A</v>
        <stp/>
        <stp>BDP|3713079325047418991</stp>
        <tr r="G485" s="2"/>
      </tp>
      <tp t="s">
        <v>#N/A N/A</v>
        <stp/>
        <stp>BDP|9810460837802624373</stp>
        <tr r="P293" s="2"/>
      </tp>
      <tp t="s">
        <v>#N/A N/A</v>
        <stp/>
        <stp>BDP|3356787145156014969</stp>
        <tr r="O688" s="2"/>
      </tp>
      <tp t="s">
        <v>#N/A N/A</v>
        <stp/>
        <stp>BDP|8035955277059258088</stp>
        <tr r="A1156" s="2"/>
      </tp>
      <tp t="s">
        <v>#N/A N/A</v>
        <stp/>
        <stp>BDP|9240039038127658272</stp>
        <tr r="H909" s="2"/>
      </tp>
      <tp t="s">
        <v>#N/A N/A</v>
        <stp/>
        <stp>BDP|8649014937764854008</stp>
        <tr r="G272" s="2"/>
      </tp>
      <tp t="s">
        <v>#N/A N/A</v>
        <stp/>
        <stp>BDP|9492285252029621804</stp>
        <tr r="N1954" s="2"/>
      </tp>
      <tp t="s">
        <v>#N/A N/A</v>
        <stp/>
        <stp>BDP|4000692458991092998</stp>
        <tr r="A1860" s="2"/>
      </tp>
      <tp t="s">
        <v>#N/A N/A</v>
        <stp/>
        <stp>BDP|8312599855620637717</stp>
        <tr r="M313" s="2"/>
      </tp>
      <tp t="s">
        <v>#N/A N/A</v>
        <stp/>
        <stp>BDP|7634776688901469650</stp>
        <tr r="J7" s="2"/>
      </tp>
      <tp t="s">
        <v>#N/A N/A</v>
        <stp/>
        <stp>BDP|3141229038408671553</stp>
        <tr r="T46" s="2"/>
      </tp>
      <tp t="s">
        <v>#N/A N/A</v>
        <stp/>
        <stp>BDP|5106522452643808919</stp>
        <tr r="T1206" s="2"/>
      </tp>
      <tp t="s">
        <v>#N/A N/A</v>
        <stp/>
        <stp>BDP|2782215022548810545</stp>
        <tr r="J1839" s="2"/>
      </tp>
      <tp t="s">
        <v>#N/A N/A</v>
        <stp/>
        <stp>BDP|4202931192458918328</stp>
        <tr r="M1175" s="2"/>
      </tp>
      <tp t="s">
        <v>#N/A N/A</v>
        <stp/>
        <stp>BDP|8821109949641175386</stp>
        <tr r="G329" s="2"/>
      </tp>
      <tp t="s">
        <v>#N/A N/A</v>
        <stp/>
        <stp>BDP|2464998109374918050</stp>
        <tr r="N1398" s="2"/>
      </tp>
      <tp t="s">
        <v>#N/A N/A</v>
        <stp/>
        <stp>BDP|2317773917228864339</stp>
        <tr r="T1523" s="2"/>
      </tp>
      <tp t="s">
        <v>#N/A N/A</v>
        <stp/>
        <stp>BDP|2645093712078113448</stp>
        <tr r="J310" s="2"/>
      </tp>
      <tp t="s">
        <v>#N/A N/A</v>
        <stp/>
        <stp>BDP|6392198197647306669</stp>
        <tr r="O686" s="2"/>
      </tp>
      <tp t="s">
        <v>#N/A N/A</v>
        <stp/>
        <stp>BDP|3968418767059696719</stp>
        <tr r="D941" s="2"/>
      </tp>
      <tp t="s">
        <v>#N/A N/A</v>
        <stp/>
        <stp>BDP|4966325642518525445</stp>
        <tr r="S961" s="2"/>
      </tp>
      <tp t="s">
        <v>#N/A N/A</v>
        <stp/>
        <stp>BDP|9171222032103835416</stp>
        <tr r="Q622" s="2"/>
      </tp>
      <tp t="s">
        <v>#N/A N/A</v>
        <stp/>
        <stp>BDP|4204874978517191349</stp>
        <tr r="F327" s="2"/>
      </tp>
      <tp t="s">
        <v>#N/A N/A</v>
        <stp/>
        <stp>BDP|2965401141094947992</stp>
        <tr r="M15" s="2"/>
      </tp>
      <tp t="s">
        <v>#N/A N/A</v>
        <stp/>
        <stp>BDP|6859696907816637988</stp>
        <tr r="F1783" s="2"/>
      </tp>
      <tp t="s">
        <v>#N/A N/A</v>
        <stp/>
        <stp>BDP|4849549042279379358</stp>
        <tr r="H114" s="2"/>
      </tp>
      <tp t="s">
        <v>#N/A N/A</v>
        <stp/>
        <stp>BDP|1996356886886716356</stp>
        <tr r="J4" s="2"/>
      </tp>
      <tp t="s">
        <v>#N/A N/A</v>
        <stp/>
        <stp>BDP|3705612089946631418</stp>
        <tr r="Q2116" s="2"/>
      </tp>
      <tp t="s">
        <v>#N/A N/A</v>
        <stp/>
        <stp>BDP|6988668719119997778</stp>
        <tr r="T989" s="2"/>
      </tp>
      <tp t="s">
        <v>#N/A N/A</v>
        <stp/>
        <stp>BDP|8018945702239870762</stp>
        <tr r="E597" s="2"/>
      </tp>
      <tp t="s">
        <v>#N/A N/A</v>
        <stp/>
        <stp>BDP|4735837808563345076</stp>
        <tr r="D20" s="2"/>
      </tp>
      <tp t="s">
        <v>#N/A N/A</v>
        <stp/>
        <stp>BDP|8476017738497616336</stp>
        <tr r="F690" s="2"/>
      </tp>
      <tp t="s">
        <v>#N/A N/A</v>
        <stp/>
        <stp>BDP|8458700198468645126</stp>
        <tr r="F1880" s="2"/>
      </tp>
      <tp t="s">
        <v>#N/A N/A</v>
        <stp/>
        <stp>BDP|1334636700340960812</stp>
        <tr r="C1318" s="2"/>
      </tp>
      <tp t="s">
        <v>#N/A N/A</v>
        <stp/>
        <stp>BDP|9789144011282990435</stp>
        <tr r="A1347" s="2"/>
      </tp>
      <tp t="s">
        <v>#N/A N/A</v>
        <stp/>
        <stp>BDP|9134739775813691599</stp>
        <tr r="H321" s="2"/>
      </tp>
      <tp t="s">
        <v>#N/A N/A</v>
        <stp/>
        <stp>BDP|2366943713494904153</stp>
        <tr r="O1781" s="2"/>
      </tp>
      <tp t="s">
        <v>#N/A N/A</v>
        <stp/>
        <stp>BDP|5479448913387993827</stp>
        <tr r="P2017" s="2"/>
      </tp>
      <tp t="s">
        <v>#N/A N/A</v>
        <stp/>
        <stp>BDP|1827987484907585891</stp>
        <tr r="H1922" s="2"/>
      </tp>
      <tp t="s">
        <v>#N/A N/A</v>
        <stp/>
        <stp>BDP|2566099296005182132</stp>
        <tr r="P1160" s="2"/>
      </tp>
      <tp t="s">
        <v>#N/A N/A</v>
        <stp/>
        <stp>BDP|4763488232795659939</stp>
        <tr r="M848" s="2"/>
      </tp>
      <tp t="s">
        <v>#N/A N/A</v>
        <stp/>
        <stp>BDP|2813225261038702140</stp>
        <tr r="A2163" s="2"/>
      </tp>
      <tp t="s">
        <v>#N/A N/A</v>
        <stp/>
        <stp>BDP|6575944598639862097</stp>
        <tr r="O88" s="2"/>
      </tp>
      <tp t="s">
        <v>#N/A N/A</v>
        <stp/>
        <stp>BDP|2584909052514837573</stp>
        <tr r="P66" s="2"/>
      </tp>
      <tp t="s">
        <v>#N/A N/A</v>
        <stp/>
        <stp>BDP|8579197256216226504</stp>
        <tr r="F1753" s="2"/>
      </tp>
      <tp t="s">
        <v>#N/A N/A</v>
        <stp/>
        <stp>BDP|1147989540982027112</stp>
        <tr r="E577" s="2"/>
      </tp>
      <tp t="s">
        <v>#N/A N/A</v>
        <stp/>
        <stp>BDP|8148670103759802857</stp>
        <tr r="K1768" s="2"/>
      </tp>
      <tp t="s">
        <v>#N/A N/A</v>
        <stp/>
        <stp>BDP|8804063901220731706</stp>
        <tr r="Q574" s="2"/>
      </tp>
      <tp t="s">
        <v>#N/A N/A</v>
        <stp/>
        <stp>BDP|1234980105141229654</stp>
        <tr r="N2164" s="2"/>
      </tp>
      <tp t="s">
        <v>#N/A N/A</v>
        <stp/>
        <stp>BDP|1516953734583931750</stp>
        <tr r="D524" s="2"/>
      </tp>
      <tp t="s">
        <v>#N/A N/A</v>
        <stp/>
        <stp>BDP|1870550561808611529</stp>
        <tr r="E419" s="2"/>
      </tp>
      <tp t="s">
        <v>#N/A N/A</v>
        <stp/>
        <stp>BDP|7903110221122557943</stp>
        <tr r="Q1351" s="2"/>
      </tp>
      <tp t="s">
        <v>#N/A N/A</v>
        <stp/>
        <stp>BDP|5516888062492430639</stp>
        <tr r="E1794" s="2"/>
      </tp>
      <tp t="s">
        <v>#N/A N/A</v>
        <stp/>
        <stp>BDP|8262474108482442115</stp>
        <tr r="H1518" s="2"/>
      </tp>
      <tp t="s">
        <v>#N/A N/A</v>
        <stp/>
        <stp>BDP|3765657109723654955</stp>
        <tr r="M1749" s="2"/>
      </tp>
      <tp t="s">
        <v>#N/A N/A</v>
        <stp/>
        <stp>BDP|9704663802893846339</stp>
        <tr r="C1580" s="2"/>
      </tp>
      <tp t="s">
        <v>#N/A N/A</v>
        <stp/>
        <stp>BDP|9804037232401475452</stp>
        <tr r="N1830" s="2"/>
      </tp>
      <tp t="s">
        <v>#N/A N/A</v>
        <stp/>
        <stp>BDP|9594889082627279157</stp>
        <tr r="J226" s="2"/>
      </tp>
      <tp t="s">
        <v>#N/A N/A</v>
        <stp/>
        <stp>BDP|5445089604468570247</stp>
        <tr r="A693" s="2"/>
      </tp>
      <tp t="s">
        <v>#N/A N/A</v>
        <stp/>
        <stp>BDP|8877671227162766168</stp>
        <tr r="F928" s="2"/>
      </tp>
      <tp t="s">
        <v>#N/A N/A</v>
        <stp/>
        <stp>BDP|6007580611125913899</stp>
        <tr r="C110" s="2"/>
      </tp>
      <tp t="s">
        <v>#N/A N/A</v>
        <stp/>
        <stp>BDP|8736091670402583227</stp>
        <tr r="Q180" s="2"/>
      </tp>
      <tp t="s">
        <v>#N/A N/A</v>
        <stp/>
        <stp>BDP|8421790346886416262</stp>
        <tr r="H1022" s="2"/>
      </tp>
      <tp t="s">
        <v>#N/A N/A</v>
        <stp/>
        <stp>BDP|2286130043198394089</stp>
        <tr r="M1655" s="2"/>
      </tp>
      <tp t="s">
        <v>#N/A N/A</v>
        <stp/>
        <stp>BDP|1481006407457264984</stp>
        <tr r="Q420" s="2"/>
      </tp>
      <tp t="s">
        <v>#N/A N/A</v>
        <stp/>
        <stp>BDP|6975155913930339950</stp>
        <tr r="Q2192" s="2"/>
      </tp>
      <tp t="s">
        <v>#N/A N/A</v>
        <stp/>
        <stp>BDP|3238228881357875107</stp>
        <tr r="R1996" s="2"/>
      </tp>
      <tp t="s">
        <v>#N/A N/A</v>
        <stp/>
        <stp>BDP|2215285023945722877</stp>
        <tr r="Q1323" s="2"/>
      </tp>
      <tp t="s">
        <v>#N/A N/A</v>
        <stp/>
        <stp>BDP|7092094397995055479</stp>
        <tr r="D507" s="2"/>
      </tp>
      <tp t="s">
        <v>#N/A N/A</v>
        <stp/>
        <stp>BDP|5908958179563440781</stp>
        <tr r="N1646" s="2"/>
      </tp>
      <tp t="s">
        <v>#N/A N/A</v>
        <stp/>
        <stp>BDP|6685582485812596670</stp>
        <tr r="E588" s="2"/>
      </tp>
      <tp t="s">
        <v>#N/A N/A</v>
        <stp/>
        <stp>BDP|2259034491691943508</stp>
        <tr r="K2129" s="2"/>
      </tp>
      <tp t="s">
        <v>#N/A N/A</v>
        <stp/>
        <stp>BDP|2774289244498542375</stp>
        <tr r="E1023" s="2"/>
      </tp>
      <tp t="s">
        <v>#N/A N/A</v>
        <stp/>
        <stp>BDP|5818044214583284832</stp>
        <tr r="A1752" s="2"/>
      </tp>
      <tp t="s">
        <v>#N/A N/A</v>
        <stp/>
        <stp>BDP|6002299285636512504</stp>
        <tr r="S1495" s="2"/>
      </tp>
      <tp t="s">
        <v>#N/A N/A</v>
        <stp/>
        <stp>BDS|8876733430761488262</stp>
        <tr r="I643" s="2"/>
      </tp>
      <tp t="s">
        <v>#N/A N/A</v>
        <stp/>
        <stp>BDP|9937570918956715481</stp>
        <tr r="M169" s="2"/>
      </tp>
      <tp t="s">
        <v>#N/A N/A</v>
        <stp/>
        <stp>BDP|1865276511864470932</stp>
        <tr r="R1572" s="2"/>
      </tp>
      <tp t="s">
        <v>#N/A N/A</v>
        <stp/>
        <stp>BDP|8986081474681909152</stp>
        <tr r="S1819" s="2"/>
      </tp>
      <tp t="s">
        <v>#N/A N/A</v>
        <stp/>
        <stp>BDP|8104598308381842312</stp>
        <tr r="F2031" s="2"/>
      </tp>
      <tp t="s">
        <v>#N/A N/A</v>
        <stp/>
        <stp>BDS|6390033480280951103</stp>
        <tr r="I2143" s="2"/>
      </tp>
      <tp t="s">
        <v>#N/A N/A</v>
        <stp/>
        <stp>BDP|5147201258639379439</stp>
        <tr r="C580" s="2"/>
      </tp>
      <tp t="s">
        <v>#N/A N/A</v>
        <stp/>
        <stp>BDP|5042476982671487781</stp>
        <tr r="P2038" s="2"/>
      </tp>
      <tp t="s">
        <v>#N/A N/A</v>
        <stp/>
        <stp>BDP|2472256454679993352</stp>
        <tr r="N709" s="2"/>
      </tp>
      <tp t="s">
        <v>#N/A N/A</v>
        <stp/>
        <stp>BDP|6622852009762497372</stp>
        <tr r="C6" s="2"/>
      </tp>
      <tp t="s">
        <v>#N/A N/A</v>
        <stp/>
        <stp>BDP|8033003767636634789</stp>
        <tr r="E2137" s="2"/>
      </tp>
      <tp t="s">
        <v>#N/A N/A</v>
        <stp/>
        <stp>BDP|5983723680816398316</stp>
        <tr r="O828" s="2"/>
      </tp>
      <tp t="s">
        <v>#N/A N/A</v>
        <stp/>
        <stp>BDP|3028947641016992750</stp>
        <tr r="A633" s="2"/>
      </tp>
      <tp t="s">
        <v>#N/A N/A</v>
        <stp/>
        <stp>BDP|9810472989808947263</stp>
        <tr r="D1834" s="2"/>
      </tp>
      <tp t="s">
        <v>#N/A N/A</v>
        <stp/>
        <stp>BDP|5043202099881029003</stp>
        <tr r="N375" s="2"/>
      </tp>
      <tp t="s">
        <v>#N/A N/A</v>
        <stp/>
        <stp>BDP|8185353420171425797</stp>
        <tr r="K1435" s="2"/>
      </tp>
      <tp t="s">
        <v>#N/A N/A</v>
        <stp/>
        <stp>BDP|3575388833514015874</stp>
        <tr r="T1915" s="2"/>
      </tp>
      <tp t="s">
        <v>#N/A N/A</v>
        <stp/>
        <stp>BDP|8383188749825346782</stp>
        <tr r="H1041" s="2"/>
      </tp>
      <tp t="s">
        <v>#N/A N/A</v>
        <stp/>
        <stp>BDP|1630429390106431596</stp>
        <tr r="Q64" s="2"/>
      </tp>
      <tp t="s">
        <v>#N/A N/A</v>
        <stp/>
        <stp>BDP|1126701489780286132</stp>
        <tr r="C866" s="2"/>
      </tp>
      <tp t="s">
        <v>#N/A N/A</v>
        <stp/>
        <stp>BDP|8167854608068023751</stp>
        <tr r="J282" s="2"/>
      </tp>
      <tp t="s">
        <v>#N/A N/A</v>
        <stp/>
        <stp>BDP|1326853868944598420</stp>
        <tr r="H1607" s="2"/>
      </tp>
      <tp t="s">
        <v>#N/A N/A</v>
        <stp/>
        <stp>BDP|9353399536823607535</stp>
        <tr r="F1409" s="2"/>
      </tp>
      <tp t="s">
        <v>#N/A N/A</v>
        <stp/>
        <stp>BDS|6932070220252432931</stp>
        <tr r="I1079" s="2"/>
      </tp>
      <tp t="s">
        <v>#N/A N/A</v>
        <stp/>
        <stp>BDP|5336039888881675375</stp>
        <tr r="E708" s="2"/>
      </tp>
      <tp t="s">
        <v>#N/A N/A</v>
        <stp/>
        <stp>BDP|8915345130696754137</stp>
        <tr r="F1992" s="2"/>
      </tp>
      <tp t="s">
        <v>#N/A N/A</v>
        <stp/>
        <stp>BDP|9577225216037003281</stp>
        <tr r="S1761" s="2"/>
      </tp>
      <tp t="s">
        <v>#N/A N/A</v>
        <stp/>
        <stp>BDP|2588839901474855163</stp>
        <tr r="S2212" s="2"/>
      </tp>
      <tp t="s">
        <v>#N/A N/A</v>
        <stp/>
        <stp>BDP|7214447148638008073</stp>
        <tr r="C1884" s="2"/>
      </tp>
      <tp t="s">
        <v>#N/A N/A</v>
        <stp/>
        <stp>BDP|6891788974880835958</stp>
        <tr r="S1325" s="2"/>
      </tp>
      <tp t="s">
        <v>#N/A N/A</v>
        <stp/>
        <stp>BDP|3048939959651085131</stp>
        <tr r="S340" s="2"/>
      </tp>
      <tp t="s">
        <v>#N/A N/A</v>
        <stp/>
        <stp>BDP|3539380961689716026</stp>
        <tr r="N829" s="2"/>
      </tp>
      <tp t="s">
        <v>#N/A N/A</v>
        <stp/>
        <stp>BDP|3579815548464033457</stp>
        <tr r="M2189" s="2"/>
      </tp>
      <tp t="s">
        <v>#N/A N/A</v>
        <stp/>
        <stp>BDP|4542845912556843425</stp>
        <tr r="N48" s="2"/>
      </tp>
      <tp t="s">
        <v>#N/A N/A</v>
        <stp/>
        <stp>BDP|9778901158128226240</stp>
        <tr r="T387" s="2"/>
      </tp>
      <tp t="s">
        <v>#N/A N/A</v>
        <stp/>
        <stp>BDP|2048191494054429103</stp>
        <tr r="D61" s="2"/>
      </tp>
      <tp t="s">
        <v>#N/A N/A</v>
        <stp/>
        <stp>BDP|6869421883407733274</stp>
        <tr r="C521" s="2"/>
      </tp>
      <tp t="s">
        <v>#N/A N/A</v>
        <stp/>
        <stp>BDP|9459230746417050780</stp>
        <tr r="J1406" s="2"/>
      </tp>
      <tp t="s">
        <v>#N/A N/A</v>
        <stp/>
        <stp>BDP|7203400082210838415</stp>
        <tr r="F16" s="2"/>
      </tp>
      <tp t="s">
        <v>#N/A N/A</v>
        <stp/>
        <stp>BDP|1700599521179049068</stp>
        <tr r="K1292" s="2"/>
      </tp>
      <tp t="s">
        <v>#N/A N/A</v>
        <stp/>
        <stp>BDP|8885938495103344442</stp>
        <tr r="H1976" s="2"/>
      </tp>
      <tp t="s">
        <v>#N/A N/A</v>
        <stp/>
        <stp>BDP|5615260255575966855</stp>
        <tr r="E1855" s="2"/>
      </tp>
      <tp t="s">
        <v>#N/A N/A</v>
        <stp/>
        <stp>BDP|7330926511822881212</stp>
        <tr r="O901" s="2"/>
      </tp>
      <tp t="s">
        <v>#N/A N/A</v>
        <stp/>
        <stp>BDP|9179571310015699798</stp>
        <tr r="A375" s="2"/>
      </tp>
      <tp t="s">
        <v>#N/A N/A</v>
        <stp/>
        <stp>BDP|2600587028473847971</stp>
        <tr r="C824" s="2"/>
      </tp>
      <tp t="s">
        <v>#N/A N/A</v>
        <stp/>
        <stp>BDP|6842331771504719947</stp>
        <tr r="O1736" s="2"/>
      </tp>
      <tp t="s">
        <v>#N/A N/A</v>
        <stp/>
        <stp>BDP|8401349952706910729</stp>
        <tr r="C2243" s="2"/>
      </tp>
      <tp t="s">
        <v>#N/A N/A</v>
        <stp/>
        <stp>BDP|1390455985015808755</stp>
        <tr r="G2003" s="2"/>
      </tp>
      <tp t="s">
        <v>#N/A N/A</v>
        <stp/>
        <stp>BDP|7400532412829844536</stp>
        <tr r="F2238" s="2"/>
      </tp>
      <tp t="s">
        <v>#N/A N/A</v>
        <stp/>
        <stp>BDP|8327431460952844766</stp>
        <tr r="D775" s="2"/>
      </tp>
      <tp t="s">
        <v>#N/A N/A</v>
        <stp/>
        <stp>BDP|2914629887484552772</stp>
        <tr r="K1295" s="2"/>
      </tp>
      <tp t="s">
        <v>#N/A N/A</v>
        <stp/>
        <stp>BDP|6860409176722153816</stp>
        <tr r="M1702" s="2"/>
      </tp>
      <tp t="s">
        <v>#N/A N/A</v>
        <stp/>
        <stp>BDP|7591569089965477005</stp>
        <tr r="G291" s="2"/>
      </tp>
      <tp t="s">
        <v>#N/A N/A</v>
        <stp/>
        <stp>BDP|8725089135215554117</stp>
        <tr r="Q2111" s="2"/>
      </tp>
      <tp t="s">
        <v>#N/A N/A</v>
        <stp/>
        <stp>BDP|5204918439271546114</stp>
        <tr r="T608" s="2"/>
      </tp>
      <tp t="s">
        <v>#N/A N/A</v>
        <stp/>
        <stp>BDP|1409944679518743808</stp>
        <tr r="F793" s="2"/>
      </tp>
      <tp t="s">
        <v>#N/A N/A</v>
        <stp/>
        <stp>BDP|4363824971901875561</stp>
        <tr r="O1733" s="2"/>
      </tp>
      <tp t="s">
        <v>#N/A N/A</v>
        <stp/>
        <stp>BDP|3223984860047627429</stp>
        <tr r="S2051" s="2"/>
      </tp>
      <tp t="s">
        <v>#N/A N/A</v>
        <stp/>
        <stp>BDS|1795941259667619521</stp>
        <tr r="I1515" s="2"/>
      </tp>
      <tp t="s">
        <v>#N/A N/A</v>
        <stp/>
        <stp>BDP|9696933557638836243</stp>
        <tr r="T1525" s="2"/>
      </tp>
      <tp t="s">
        <v>#N/A N/A</v>
        <stp/>
        <stp>BDP|5809350493708235828</stp>
        <tr r="O1940" s="2"/>
      </tp>
      <tp t="s">
        <v>#N/A N/A</v>
        <stp/>
        <stp>BDP|2561090460319080222</stp>
        <tr r="R1624" s="2"/>
      </tp>
      <tp t="s">
        <v>#N/A N/A</v>
        <stp/>
        <stp>BDP|8727494570721075509</stp>
        <tr r="S1781" s="2"/>
      </tp>
      <tp t="s">
        <v>#N/A N/A</v>
        <stp/>
        <stp>BDP|9982330545413031210</stp>
        <tr r="C894" s="2"/>
      </tp>
      <tp t="s">
        <v>#N/A N/A</v>
        <stp/>
        <stp>BDP|5891418155079575279</stp>
        <tr r="P2209" s="2"/>
      </tp>
      <tp t="s">
        <v>#N/A N/A</v>
        <stp/>
        <stp>BDP|4575775683462798680</stp>
        <tr r="J1490" s="2"/>
      </tp>
      <tp t="s">
        <v>#N/A N/A</v>
        <stp/>
        <stp>BDP|8610679475080962631</stp>
        <tr r="T2069" s="2"/>
      </tp>
      <tp t="s">
        <v>#N/A N/A</v>
        <stp/>
        <stp>BDP|4234238982453803250</stp>
        <tr r="N1813" s="2"/>
      </tp>
      <tp t="s">
        <v>#N/A N/A</v>
        <stp/>
        <stp>BDP|3636257003939931770</stp>
        <tr r="Q494" s="2"/>
      </tp>
      <tp t="s">
        <v>#N/A N/A</v>
        <stp/>
        <stp>BDP|5130664440770087896</stp>
        <tr r="H752" s="2"/>
      </tp>
      <tp t="s">
        <v>#N/A N/A</v>
        <stp/>
        <stp>BDP|4173679067659960260</stp>
        <tr r="D459" s="2"/>
      </tp>
      <tp t="s">
        <v>#N/A N/A</v>
        <stp/>
        <stp>BDP|5740629062938925208</stp>
        <tr r="F1293" s="2"/>
      </tp>
      <tp t="s">
        <v>#N/A N/A</v>
        <stp/>
        <stp>BDP|8024829291333809556</stp>
        <tr r="H1481" s="2"/>
      </tp>
      <tp t="s">
        <v>#N/A N/A</v>
        <stp/>
        <stp>BDP|4249069226358596199</stp>
        <tr r="H182" s="2"/>
      </tp>
      <tp t="s">
        <v>#N/A N/A</v>
        <stp/>
        <stp>BDP|6940636486193149436</stp>
        <tr r="M240" s="2"/>
      </tp>
      <tp t="s">
        <v>#N/A N/A</v>
        <stp/>
        <stp>BDP|1342008409937604924</stp>
        <tr r="P155" s="2"/>
      </tp>
      <tp t="s">
        <v>#N/A N/A</v>
        <stp/>
        <stp>BDP|5718861538754249552</stp>
        <tr r="C1063" s="2"/>
      </tp>
      <tp t="s">
        <v>#N/A N/A</v>
        <stp/>
        <stp>BDP|1393816488219455709</stp>
        <tr r="E167" s="2"/>
      </tp>
      <tp t="s">
        <v>#N/A N/A</v>
        <stp/>
        <stp>BDP|2949760047167626906</stp>
        <tr r="F812" s="2"/>
      </tp>
      <tp t="s">
        <v>#N/A N/A</v>
        <stp/>
        <stp>BDP|9471396406154405110</stp>
        <tr r="M1239" s="2"/>
      </tp>
      <tp t="s">
        <v>#N/A N/A</v>
        <stp/>
        <stp>BDP|9576554917983991103</stp>
        <tr r="K1975" s="2"/>
      </tp>
      <tp t="s">
        <v>#N/A N/A</v>
        <stp/>
        <stp>BDP|5664218981341949119</stp>
        <tr r="P1629" s="2"/>
      </tp>
      <tp t="s">
        <v>#N/A N/A</v>
        <stp/>
        <stp>BDS|6485140919948120160</stp>
        <tr r="I557" s="2"/>
      </tp>
      <tp t="s">
        <v>#N/A N/A</v>
        <stp/>
        <stp>BDP|4934287253844862849</stp>
        <tr r="M894" s="2"/>
      </tp>
      <tp t="s">
        <v>#N/A N/A</v>
        <stp/>
        <stp>BDP|2429953335220859725</stp>
        <tr r="Q1469" s="2"/>
      </tp>
      <tp t="s">
        <v>#N/A N/A</v>
        <stp/>
        <stp>BDP|3932854536364342373</stp>
        <tr r="S768" s="2"/>
      </tp>
      <tp t="s">
        <v>#N/A N/A</v>
        <stp/>
        <stp>BDP|9328480063055193178</stp>
        <tr r="F79" s="2"/>
      </tp>
      <tp t="s">
        <v>#N/A N/A</v>
        <stp/>
        <stp>BDP|3505175718415646927</stp>
        <tr r="R1148" s="2"/>
      </tp>
      <tp t="s">
        <v>#N/A N/A</v>
        <stp/>
        <stp>BDP|4160573212418244787</stp>
        <tr r="G2076" s="2"/>
      </tp>
      <tp t="s">
        <v>#N/A N/A</v>
        <stp/>
        <stp>BDP|7033850129000712250</stp>
        <tr r="E1278" s="2"/>
      </tp>
      <tp t="s">
        <v>#N/A N/A</v>
        <stp/>
        <stp>BDP|3165642215709996278</stp>
        <tr r="T742" s="2"/>
      </tp>
      <tp t="s">
        <v>#N/A N/A</v>
        <stp/>
        <stp>BDP|5434140098611109377</stp>
        <tr r="N435" s="2"/>
      </tp>
      <tp t="s">
        <v>#N/A N/A</v>
        <stp/>
        <stp>BDP|1177858079226213719</stp>
        <tr r="N953" s="2"/>
      </tp>
      <tp t="s">
        <v>#N/A N/A</v>
        <stp/>
        <stp>BDP|8477053148882389141</stp>
        <tr r="R1255" s="2"/>
      </tp>
      <tp t="s">
        <v>#N/A N/A</v>
        <stp/>
        <stp>BDP|8963308761734356659</stp>
        <tr r="K1271" s="2"/>
      </tp>
      <tp t="s">
        <v>#N/A N/A</v>
        <stp/>
        <stp>BDP|4165169214818944346</stp>
        <tr r="O831" s="2"/>
      </tp>
      <tp t="s">
        <v>#N/A N/A</v>
        <stp/>
        <stp>BDP|2954876017097033375</stp>
        <tr r="G1378" s="2"/>
      </tp>
      <tp t="s">
        <v>#N/A N/A</v>
        <stp/>
        <stp>BDP|8450880140792377910</stp>
        <tr r="E728" s="2"/>
      </tp>
      <tp t="s">
        <v>#N/A N/A</v>
        <stp/>
        <stp>BDP|7468110198751334107</stp>
        <tr r="O858" s="2"/>
      </tp>
      <tp t="s">
        <v>#N/A N/A</v>
        <stp/>
        <stp>BDP|6798260824708825138</stp>
        <tr r="H1546" s="2"/>
      </tp>
      <tp t="s">
        <v>#N/A N/A</v>
        <stp/>
        <stp>BDP|5956123808628516385</stp>
        <tr r="A876" s="2"/>
      </tp>
      <tp t="s">
        <v>#N/A N/A</v>
        <stp/>
        <stp>BDP|6867200590424326657</stp>
        <tr r="J314" s="2"/>
      </tp>
      <tp t="s">
        <v>#N/A N/A</v>
        <stp/>
        <stp>BDP|1721284188551039597</stp>
        <tr r="R858" s="2"/>
      </tp>
      <tp t="s">
        <v>#N/A N/A</v>
        <stp/>
        <stp>BDP|7106348106082488996</stp>
        <tr r="C127" s="2"/>
      </tp>
      <tp t="s">
        <v>#N/A N/A</v>
        <stp/>
        <stp>BDP|1933270046260735814</stp>
        <tr r="M31" s="2"/>
      </tp>
      <tp t="s">
        <v>#N/A N/A</v>
        <stp/>
        <stp>BDP|5622830598972341909</stp>
        <tr r="R1180" s="2"/>
      </tp>
      <tp t="s">
        <v>#N/A N/A</v>
        <stp/>
        <stp>BDP|5184291916488671173</stp>
        <tr r="G515" s="2"/>
      </tp>
      <tp t="s">
        <v>#N/A N/A</v>
        <stp/>
        <stp>BDP|3871357262850031902</stp>
        <tr r="G2207" s="2"/>
      </tp>
      <tp t="s">
        <v>#N/A N/A</v>
        <stp/>
        <stp>BDS|7475299024118663003</stp>
        <tr r="I29" s="2"/>
      </tp>
      <tp t="s">
        <v>#N/A N/A</v>
        <stp/>
        <stp>BDP|1642782887208797914</stp>
        <tr r="S1342" s="2"/>
      </tp>
      <tp t="s">
        <v>#N/A N/A</v>
        <stp/>
        <stp>BDP|3402098360583464962</stp>
        <tr r="E485" s="2"/>
      </tp>
      <tp t="s">
        <v>#N/A N/A</v>
        <stp/>
        <stp>BDP|8111319251775903477</stp>
        <tr r="M1365" s="2"/>
      </tp>
      <tp t="s">
        <v>#N/A N/A</v>
        <stp/>
        <stp>BDP|5985243032543553853</stp>
        <tr r="C1389" s="2"/>
      </tp>
      <tp t="s">
        <v>#N/A N/A</v>
        <stp/>
        <stp>BDP|1522851308945036371</stp>
        <tr r="S1511" s="2"/>
      </tp>
      <tp t="s">
        <v>#N/A N/A</v>
        <stp/>
        <stp>BDP|6756405287936764387</stp>
        <tr r="R797" s="2"/>
      </tp>
      <tp t="s">
        <v>#N/A N/A</v>
        <stp/>
        <stp>BDP|8267036814673984536</stp>
        <tr r="R2052" s="2"/>
      </tp>
      <tp t="s">
        <v>#N/A N/A</v>
        <stp/>
        <stp>BDP|8152524909946387468</stp>
        <tr r="F1743" s="2"/>
      </tp>
      <tp t="s">
        <v>#N/A N/A</v>
        <stp/>
        <stp>BDP|1264383162568634318</stp>
        <tr r="R1304" s="2"/>
      </tp>
      <tp t="s">
        <v>#N/A N/A</v>
        <stp/>
        <stp>BDP|9441384539801962734</stp>
        <tr r="E379" s="2"/>
      </tp>
      <tp t="s">
        <v>#N/A N/A</v>
        <stp/>
        <stp>BDP|1030478936478722197</stp>
        <tr r="S1177" s="2"/>
      </tp>
      <tp t="s">
        <v>#N/A N/A</v>
        <stp/>
        <stp>BDP|9140305369074180764</stp>
        <tr r="M2225" s="2"/>
      </tp>
      <tp t="s">
        <v>#N/A N/A</v>
        <stp/>
        <stp>BDP|3150221720955910951</stp>
        <tr r="P1141" s="2"/>
      </tp>
      <tp t="s">
        <v>#N/A N/A</v>
        <stp/>
        <stp>BDP|1144119797471947710</stp>
        <tr r="J264" s="2"/>
      </tp>
      <tp t="s">
        <v>#N/A N/A</v>
        <stp/>
        <stp>BDP|7016919111102738287</stp>
        <tr r="Q1602" s="2"/>
      </tp>
      <tp t="s">
        <v>#N/A N/A</v>
        <stp/>
        <stp>BDP|1115952715392797495</stp>
        <tr r="T1601" s="2"/>
      </tp>
      <tp t="s">
        <v>#N/A N/A</v>
        <stp/>
        <stp>BDP|9116069038896444348</stp>
        <tr r="R234" s="2"/>
      </tp>
      <tp t="s">
        <v>#N/A N/A</v>
        <stp/>
        <stp>BDP|4160432973961853967</stp>
        <tr r="K1431" s="2"/>
      </tp>
      <tp t="s">
        <v>#N/A N/A</v>
        <stp/>
        <stp>BDP|2923833345832117316</stp>
        <tr r="R238" s="2"/>
      </tp>
      <tp t="s">
        <v>#N/A N/A</v>
        <stp/>
        <stp>BDP|3342258591334833302</stp>
        <tr r="H377" s="2"/>
      </tp>
      <tp t="s">
        <v>#N/A N/A</v>
        <stp/>
        <stp>BDP|3297207153532709995</stp>
        <tr r="H1620" s="2"/>
      </tp>
      <tp t="s">
        <v>#N/A N/A</v>
        <stp/>
        <stp>BDS|3641384746499796200</stp>
        <tr r="I896" s="2"/>
      </tp>
      <tp t="s">
        <v>#N/A N/A</v>
        <stp/>
        <stp>BDP|2158843228985367218</stp>
        <tr r="K1619" s="2"/>
      </tp>
      <tp t="s">
        <v>#N/A N/A</v>
        <stp/>
        <stp>BDP|4111221658054425803</stp>
        <tr r="N866" s="2"/>
      </tp>
      <tp t="s">
        <v>#N/A N/A</v>
        <stp/>
        <stp>BDP|5840333819610999849</stp>
        <tr r="K1734" s="2"/>
      </tp>
      <tp t="s">
        <v>#N/A N/A</v>
        <stp/>
        <stp>BDS|3483937907826858370</stp>
        <tr r="I1120" s="2"/>
      </tp>
      <tp t="s">
        <v>#N/A N/A</v>
        <stp/>
        <stp>BDP|2212083091907533319</stp>
        <tr r="H34" s="2"/>
      </tp>
      <tp t="s">
        <v>#N/A N/A</v>
        <stp/>
        <stp>BDP|8389226890945957973</stp>
        <tr r="G2193" s="2"/>
      </tp>
      <tp t="s">
        <v>#N/A N/A</v>
        <stp/>
        <stp>BDP|8229483328348812952</stp>
        <tr r="G11" s="2"/>
      </tp>
      <tp t="s">
        <v>#N/A N/A</v>
        <stp/>
        <stp>BDP|8197698391089463126</stp>
        <tr r="A273" s="2"/>
      </tp>
      <tp t="s">
        <v>#N/A N/A</v>
        <stp/>
        <stp>BDP|5021954574976974278</stp>
        <tr r="S295" s="2"/>
      </tp>
      <tp t="s">
        <v>#N/A N/A</v>
        <stp/>
        <stp>BDP|6740216728790039916</stp>
        <tr r="H433" s="2"/>
      </tp>
      <tp t="s">
        <v>#N/A N/A</v>
        <stp/>
        <stp>BDP|1192468307609941363</stp>
        <tr r="C2051" s="2"/>
      </tp>
      <tp t="s">
        <v>#N/A N/A</v>
        <stp/>
        <stp>BDP|5332461397235962246</stp>
        <tr r="H300" s="2"/>
      </tp>
      <tp t="s">
        <v>#N/A N/A</v>
        <stp/>
        <stp>BDP|4583655540498712188</stp>
        <tr r="P1026" s="2"/>
      </tp>
      <tp t="s">
        <v>#N/A N/A</v>
        <stp/>
        <stp>BDP|2130922219107478217</stp>
        <tr r="E1239" s="2"/>
      </tp>
      <tp t="s">
        <v>#N/A N/A</v>
        <stp/>
        <stp>BDP|1416944040107627495</stp>
        <tr r="E1025" s="2"/>
      </tp>
      <tp t="s">
        <v>#N/A N/A</v>
        <stp/>
        <stp>BDP|2129584364319068720</stp>
        <tr r="R507" s="2"/>
      </tp>
      <tp t="s">
        <v>#N/A N/A</v>
        <stp/>
        <stp>BDP|3039177140578168195</stp>
        <tr r="R1441" s="2"/>
      </tp>
      <tp t="s">
        <v>#N/A N/A</v>
        <stp/>
        <stp>BDP|1767190321485156815</stp>
        <tr r="F1052" s="2"/>
      </tp>
      <tp t="s">
        <v>#N/A N/A</v>
        <stp/>
        <stp>BDP|1589007889431392707</stp>
        <tr r="T1520" s="2"/>
      </tp>
      <tp t="s">
        <v>#N/A N/A</v>
        <stp/>
        <stp>BDP|7120838746904854032</stp>
        <tr r="G2105" s="2"/>
      </tp>
      <tp t="s">
        <v>#N/A N/A</v>
        <stp/>
        <stp>BDP|9954732765752115515</stp>
        <tr r="P393" s="2"/>
      </tp>
      <tp t="s">
        <v>#N/A N/A</v>
        <stp/>
        <stp>BDP|9895038271195312465</stp>
        <tr r="T1719" s="2"/>
      </tp>
      <tp t="s">
        <v>#N/A N/A</v>
        <stp/>
        <stp>BDP|6318964959984511169</stp>
        <tr r="F1951" s="2"/>
      </tp>
      <tp t="s">
        <v>#N/A N/A</v>
        <stp/>
        <stp>BDP|9445985520494271916</stp>
        <tr r="E1808" s="2"/>
      </tp>
      <tp t="s">
        <v>#N/A N/A</v>
        <stp/>
        <stp>BDP|1605024699503256403</stp>
        <tr r="D2120" s="2"/>
      </tp>
      <tp t="s">
        <v>#N/A N/A</v>
        <stp/>
        <stp>BDP|6276476196223502794</stp>
        <tr r="H636" s="2"/>
      </tp>
      <tp t="s">
        <v>#N/A N/A</v>
        <stp/>
        <stp>BDP|6460431388083008600</stp>
        <tr r="E1442" s="2"/>
      </tp>
      <tp t="s">
        <v>#N/A N/A</v>
        <stp/>
        <stp>BDP|2593846235671268798</stp>
        <tr r="K1071" s="2"/>
      </tp>
      <tp t="s">
        <v>#N/A N/A</v>
        <stp/>
        <stp>BDP|6718252123411746894</stp>
        <tr r="S147" s="2"/>
      </tp>
      <tp t="s">
        <v>#N/A N/A</v>
        <stp/>
        <stp>BDP|9876833795791242630</stp>
        <tr r="Q1788" s="2"/>
      </tp>
      <tp t="s">
        <v>#N/A N/A</v>
        <stp/>
        <stp>BDP|6902514387577850382</stp>
        <tr r="O2251" s="2"/>
      </tp>
      <tp t="s">
        <v>#N/A N/A</v>
        <stp/>
        <stp>BDP|5442565464838875118</stp>
        <tr r="M655" s="2"/>
      </tp>
      <tp t="s">
        <v>#N/A N/A</v>
        <stp/>
        <stp>BDP|9103905594254833222</stp>
        <tr r="H931" s="2"/>
      </tp>
      <tp t="s">
        <v>#N/A N/A</v>
        <stp/>
        <stp>BDP|5740796555441100950</stp>
        <tr r="H131" s="2"/>
      </tp>
      <tp t="s">
        <v>#N/A N/A</v>
        <stp/>
        <stp>BDS|3833024422466003876</stp>
        <tr r="I1198" s="2"/>
      </tp>
      <tp t="s">
        <v>#N/A N/A</v>
        <stp/>
        <stp>BDP|8098578931703982208</stp>
        <tr r="H1953" s="2"/>
      </tp>
      <tp t="s">
        <v>#N/A N/A</v>
        <stp/>
        <stp>BDP|9279634901764645496</stp>
        <tr r="S1530" s="2"/>
      </tp>
      <tp t="s">
        <v>#N/A N/A</v>
        <stp/>
        <stp>BDP|8128121677355356483</stp>
        <tr r="T1179" s="2"/>
      </tp>
      <tp t="s">
        <v>#N/A N/A</v>
        <stp/>
        <stp>BDP|9635479390889846260</stp>
        <tr r="F1799" s="2"/>
      </tp>
      <tp t="s">
        <v>#N/A N/A</v>
        <stp/>
        <stp>BDP|3846904307317394203</stp>
        <tr r="D2192" s="2"/>
      </tp>
      <tp t="s">
        <v>#N/A N/A</v>
        <stp/>
        <stp>BDP|2837779787021523311</stp>
        <tr r="S1547" s="2"/>
      </tp>
      <tp t="s">
        <v>#N/A N/A</v>
        <stp/>
        <stp>BDP|3559005792445248099</stp>
        <tr r="K471" s="2"/>
      </tp>
      <tp t="s">
        <v>#N/A N/A</v>
        <stp/>
        <stp>BDP|3873316154008000218</stp>
        <tr r="G1103" s="2"/>
      </tp>
      <tp t="s">
        <v>#N/A N/A</v>
        <stp/>
        <stp>BDP|9666162343475600699</stp>
        <tr r="K1094" s="2"/>
      </tp>
      <tp t="s">
        <v>#N/A N/A</v>
        <stp/>
        <stp>BDP|6008884337073058139</stp>
        <tr r="F863" s="2"/>
      </tp>
      <tp t="s">
        <v>#N/A N/A</v>
        <stp/>
        <stp>BDS|6340842148362080736</stp>
        <tr r="I360" s="2"/>
      </tp>
      <tp t="s">
        <v>#N/A N/A</v>
        <stp/>
        <stp>BDP|5513678286505800104</stp>
        <tr r="H600" s="2"/>
      </tp>
      <tp t="s">
        <v>#N/A N/A</v>
        <stp/>
        <stp>BDP|7545915859437992384</stp>
        <tr r="H738" s="2"/>
      </tp>
      <tp t="s">
        <v>#N/A N/A</v>
        <stp/>
        <stp>BDP|3027183841260696932</stp>
        <tr r="A1017" s="2"/>
      </tp>
      <tp t="s">
        <v>#N/A N/A</v>
        <stp/>
        <stp>BDP|1193045592406872134</stp>
        <tr r="E1163" s="2"/>
      </tp>
      <tp t="s">
        <v>#N/A N/A</v>
        <stp/>
        <stp>BDP|7980611060219184158</stp>
        <tr r="E1026" s="2"/>
      </tp>
      <tp t="s">
        <v>#N/A N/A</v>
        <stp/>
        <stp>BDP|7711916844597690280</stp>
        <tr r="E1908" s="2"/>
      </tp>
      <tp t="s">
        <v>#N/A N/A</v>
        <stp/>
        <stp>BDP|4159759612869265489</stp>
        <tr r="E1054" s="2"/>
      </tp>
      <tp t="s">
        <v>#N/A N/A</v>
        <stp/>
        <stp>BDP|1589349058049020158</stp>
        <tr r="K722" s="2"/>
      </tp>
      <tp t="s">
        <v>#N/A N/A</v>
        <stp/>
        <stp>BDP|9543397405612668738</stp>
        <tr r="F1957" s="2"/>
      </tp>
      <tp t="s">
        <v>#N/A N/A</v>
        <stp/>
        <stp>BDP|8959306201927096348</stp>
        <tr r="A200" s="2"/>
      </tp>
      <tp t="s">
        <v>#N/A N/A</v>
        <stp/>
        <stp>BDP|1620236696005662098</stp>
        <tr r="Q1508" s="2"/>
      </tp>
      <tp t="s">
        <v>#N/A N/A</v>
        <stp/>
        <stp>BDP|9228845778999553071</stp>
        <tr r="E1568" s="2"/>
      </tp>
      <tp t="s">
        <v>#N/A N/A</v>
        <stp/>
        <stp>BDP|9745315701066998322</stp>
        <tr r="A147" s="2"/>
      </tp>
      <tp t="s">
        <v>#N/A N/A</v>
        <stp/>
        <stp>BDP|3642953683889526497</stp>
        <tr r="T1094" s="2"/>
      </tp>
      <tp t="s">
        <v>#N/A N/A</v>
        <stp/>
        <stp>BDP|2830014663918622301</stp>
        <tr r="J907" s="2"/>
      </tp>
      <tp t="s">
        <v>#N/A N/A</v>
        <stp/>
        <stp>BDP|2575789311212101911</stp>
        <tr r="J436" s="2"/>
      </tp>
      <tp t="s">
        <v>#N/A N/A</v>
        <stp/>
        <stp>BDP|8240158168315670555</stp>
        <tr r="J1199" s="2"/>
      </tp>
      <tp t="s">
        <v>#N/A N/A</v>
        <stp/>
        <stp>BDP|4096936726611101184</stp>
        <tr r="R1292" s="2"/>
      </tp>
      <tp t="s">
        <v>#N/A N/A</v>
        <stp/>
        <stp>BDP|8303118478686766715</stp>
        <tr r="S1793" s="2"/>
      </tp>
      <tp t="s">
        <v>#N/A N/A</v>
        <stp/>
        <stp>BDP|9977414825803566340</stp>
        <tr r="F2144" s="2"/>
      </tp>
      <tp t="s">
        <v>#N/A N/A</v>
        <stp/>
        <stp>BDP|7571118874698969653</stp>
        <tr r="J1859" s="2"/>
      </tp>
      <tp t="s">
        <v>#N/A N/A</v>
        <stp/>
        <stp>BDP|5021228686539963916</stp>
        <tr r="T660" s="2"/>
      </tp>
      <tp t="s">
        <v>#N/A N/A</v>
        <stp/>
        <stp>BDP|2264033860812527980</stp>
        <tr r="P1829" s="2"/>
      </tp>
      <tp t="s">
        <v>#N/A N/A</v>
        <stp/>
        <stp>BDP|8160513104874812602</stp>
        <tr r="F2179" s="2"/>
      </tp>
      <tp t="s">
        <v>#N/A N/A</v>
        <stp/>
        <stp>BDP|8595708455271983455</stp>
        <tr r="M2024" s="2"/>
      </tp>
      <tp t="s">
        <v>#N/A N/A</v>
        <stp/>
        <stp>BDP|9888797707145939433</stp>
        <tr r="F1283" s="2"/>
      </tp>
      <tp t="s">
        <v>#N/A N/A</v>
        <stp/>
        <stp>BDP|5935918026012638346</stp>
        <tr r="P1027" s="2"/>
      </tp>
      <tp t="s">
        <v>#N/A N/A</v>
        <stp/>
        <stp>BDP|9059581836523566376</stp>
        <tr r="M1103" s="2"/>
      </tp>
      <tp t="s">
        <v>#N/A N/A</v>
        <stp/>
        <stp>BDP|6322255311513970924</stp>
        <tr r="C1979" s="2"/>
      </tp>
      <tp t="s">
        <v>#N/A N/A</v>
        <stp/>
        <stp>BDP|6681310386165596781</stp>
        <tr r="P1919" s="2"/>
      </tp>
      <tp t="s">
        <v>#N/A N/A</v>
        <stp/>
        <stp>BDP|3536447376499350684</stp>
        <tr r="M1699" s="2"/>
      </tp>
      <tp t="s">
        <v>#N/A N/A</v>
        <stp/>
        <stp>BDP|4407737595086944372</stp>
        <tr r="N1031" s="2"/>
      </tp>
      <tp t="s">
        <v>#N/A N/A</v>
        <stp/>
        <stp>BDP|7029294592622135162</stp>
        <tr r="D1283" s="2"/>
      </tp>
      <tp t="s">
        <v>#N/A N/A</v>
        <stp/>
        <stp>BDP|8939761674907024078</stp>
        <tr r="J991" s="2"/>
      </tp>
      <tp t="s">
        <v>#N/A N/A</v>
        <stp/>
        <stp>BDP|5895856361771896581</stp>
        <tr r="R1925" s="2"/>
      </tp>
      <tp t="s">
        <v>#N/A N/A</v>
        <stp/>
        <stp>BDP|9082589397153194929</stp>
        <tr r="D737" s="2"/>
      </tp>
      <tp t="s">
        <v>#N/A N/A</v>
        <stp/>
        <stp>BDS|6100575173759944205</stp>
        <tr r="I801" s="2"/>
      </tp>
      <tp t="s">
        <v>#N/A N/A</v>
        <stp/>
        <stp>BDP|1561000957112658982</stp>
        <tr r="M564" s="2"/>
      </tp>
      <tp t="s">
        <v>#N/A N/A</v>
        <stp/>
        <stp>BDS|9973205963061063367</stp>
        <tr r="I908" s="2"/>
      </tp>
      <tp t="s">
        <v>#N/A N/A</v>
        <stp/>
        <stp>BDP|1219452370725340880</stp>
        <tr r="P1058" s="2"/>
      </tp>
      <tp t="s">
        <v>#N/A N/A</v>
        <stp/>
        <stp>BDP|6787230090991024383</stp>
        <tr r="K730" s="2"/>
      </tp>
      <tp t="s">
        <v>#N/A N/A</v>
        <stp/>
        <stp>BDP|2497315240888946200</stp>
        <tr r="T1828" s="2"/>
      </tp>
      <tp t="s">
        <v>#N/A N/A</v>
        <stp/>
        <stp>BDP|6341054901650966920</stp>
        <tr r="P1142" s="2"/>
      </tp>
      <tp t="s">
        <v>#N/A N/A</v>
        <stp/>
        <stp>BDP|6523428117349494583</stp>
        <tr r="A752" s="2"/>
      </tp>
      <tp t="s">
        <v>#N/A N/A</v>
        <stp/>
        <stp>BDP|4126113795777175482</stp>
        <tr r="H204" s="2"/>
      </tp>
      <tp t="s">
        <v>#N/A N/A</v>
        <stp/>
        <stp>BDP|5670836619485643662</stp>
        <tr r="H1185" s="2"/>
      </tp>
      <tp t="s">
        <v>#N/A N/A</v>
        <stp/>
        <stp>BDP|7728804738730121320</stp>
        <tr r="R2079" s="2"/>
      </tp>
      <tp t="s">
        <v>#N/A N/A</v>
        <stp/>
        <stp>BDS|2109707351508811743</stp>
        <tr r="I2129" s="2"/>
      </tp>
      <tp t="s">
        <v>#N/A N/A</v>
        <stp/>
        <stp>BDP|7176894598131575897</stp>
        <tr r="T2088" s="2"/>
      </tp>
      <tp t="s">
        <v>#N/A N/A</v>
        <stp/>
        <stp>BDP|7820979170450094634</stp>
        <tr r="P935" s="2"/>
      </tp>
      <tp t="s">
        <v>#N/A N/A</v>
        <stp/>
        <stp>BDP|5144241962977979929</stp>
        <tr r="S923" s="2"/>
      </tp>
      <tp t="s">
        <v>#N/A N/A</v>
        <stp/>
        <stp>BDP|3320526393272669282</stp>
        <tr r="N832" s="2"/>
      </tp>
      <tp t="s">
        <v>#N/A N/A</v>
        <stp/>
        <stp>BDP|9639454152454597388</stp>
        <tr r="O820" s="2"/>
      </tp>
      <tp t="s">
        <v>#N/A N/A</v>
        <stp/>
        <stp>BDP|8237677489098089109</stp>
        <tr r="F321" s="2"/>
      </tp>
      <tp t="s">
        <v>#N/A N/A</v>
        <stp/>
        <stp>BDP|5071791084886785363</stp>
        <tr r="T2064" s="2"/>
      </tp>
      <tp t="s">
        <v>#N/A N/A</v>
        <stp/>
        <stp>BDP|6436880101708633973</stp>
        <tr r="K153" s="2"/>
      </tp>
      <tp t="s">
        <v>#N/A N/A</v>
        <stp/>
        <stp>BDP|3527248711026862948</stp>
        <tr r="S2030" s="2"/>
      </tp>
      <tp t="s">
        <v>#N/A N/A</v>
        <stp/>
        <stp>BDP|2566572087818916809</stp>
        <tr r="N2081" s="2"/>
      </tp>
      <tp t="s">
        <v>#N/A N/A</v>
        <stp/>
        <stp>BDP|1151443668665758961</stp>
        <tr r="G1669" s="2"/>
      </tp>
      <tp t="s">
        <v>#N/A N/A</v>
        <stp/>
        <stp>BDP|7224612852988464398</stp>
        <tr r="E1838" s="2"/>
      </tp>
      <tp t="s">
        <v>#N/A N/A</v>
        <stp/>
        <stp>BDP|1790500481732396190</stp>
        <tr r="H469" s="2"/>
      </tp>
      <tp t="s">
        <v>#N/A N/A</v>
        <stp/>
        <stp>BDP|1830869925422609619</stp>
        <tr r="C123" s="2"/>
      </tp>
      <tp t="s">
        <v>#N/A N/A</v>
        <stp/>
        <stp>BDP|6099983362816239046</stp>
        <tr r="G428" s="2"/>
      </tp>
      <tp t="s">
        <v>#N/A N/A</v>
        <stp/>
        <stp>BDP|6920018658724887842</stp>
        <tr r="K438" s="2"/>
      </tp>
      <tp t="s">
        <v>#N/A N/A</v>
        <stp/>
        <stp>BDP|4177642625797866843</stp>
        <tr r="G56" s="2"/>
      </tp>
      <tp t="s">
        <v>#N/A N/A</v>
        <stp/>
        <stp>BDP|6926512796602649745</stp>
        <tr r="C2138" s="2"/>
      </tp>
      <tp t="s">
        <v>#N/A N/A</v>
        <stp/>
        <stp>BDP|2954575908479910132</stp>
        <tr r="C735" s="2"/>
      </tp>
      <tp t="s">
        <v>#N/A N/A</v>
        <stp/>
        <stp>BDP|6924719993726094172</stp>
        <tr r="H170" s="2"/>
      </tp>
      <tp t="s">
        <v>#N/A N/A</v>
        <stp/>
        <stp>BDP|7858835808179821975</stp>
        <tr r="J788" s="2"/>
      </tp>
      <tp t="s">
        <v>#N/A N/A</v>
        <stp/>
        <stp>BDP|2975899872297924578</stp>
        <tr r="H68" s="2"/>
      </tp>
      <tp t="s">
        <v>#N/A N/A</v>
        <stp/>
        <stp>BDP|6808343995813783025</stp>
        <tr r="N31" s="2"/>
      </tp>
      <tp t="s">
        <v>#N/A N/A</v>
        <stp/>
        <stp>BDP|1544194092765767348</stp>
        <tr r="C790" s="2"/>
      </tp>
      <tp t="s">
        <v>#N/A N/A</v>
        <stp/>
        <stp>BDP|3402892576382583130</stp>
        <tr r="T573" s="2"/>
      </tp>
      <tp t="s">
        <v>#N/A N/A</v>
        <stp/>
        <stp>BDP|7886579214929439522</stp>
        <tr r="O1271" s="2"/>
      </tp>
      <tp t="s">
        <v>#N/A N/A</v>
        <stp/>
        <stp>BDP|3271742227689991053</stp>
        <tr r="E1313" s="2"/>
      </tp>
      <tp t="s">
        <v>#N/A N/A</v>
        <stp/>
        <stp>BDP|9766778870850971648</stp>
        <tr r="J1127" s="2"/>
      </tp>
      <tp t="s">
        <v>#N/A N/A</v>
        <stp/>
        <stp>BDS|8107261713933073794</stp>
        <tr r="I2228" s="2"/>
      </tp>
      <tp t="s">
        <v>#N/A N/A</v>
        <stp/>
        <stp>BDP|2452763899186260549</stp>
        <tr r="K1529" s="2"/>
      </tp>
      <tp t="s">
        <v>#N/A N/A</v>
        <stp/>
        <stp>BDP|1917076840048486277</stp>
        <tr r="S550" s="2"/>
      </tp>
      <tp t="s">
        <v>#N/A N/A</v>
        <stp/>
        <stp>BDP|3215859275687716487</stp>
        <tr r="Q386" s="2"/>
      </tp>
      <tp t="s">
        <v>#N/A N/A</v>
        <stp/>
        <stp>BDP|2037789612893022878</stp>
        <tr r="P74" s="2"/>
      </tp>
      <tp t="s">
        <v>#N/A N/A</v>
        <stp/>
        <stp>BDP|4692134608642710871</stp>
        <tr r="A1136" s="2"/>
      </tp>
      <tp t="s">
        <v>#N/A N/A</v>
        <stp/>
        <stp>BDP|3518449685237035792</stp>
        <tr r="C1557" s="2"/>
      </tp>
      <tp t="s">
        <v>#N/A N/A</v>
        <stp/>
        <stp>BDP|3260170529109443659</stp>
        <tr r="K818" s="2"/>
      </tp>
      <tp t="s">
        <v>#N/A N/A</v>
        <stp/>
        <stp>BDP|3547117537108982670</stp>
        <tr r="E524" s="2"/>
      </tp>
      <tp t="s">
        <v>#N/A N/A</v>
        <stp/>
        <stp>BDP|4544369648734160876</stp>
        <tr r="R1184" s="2"/>
      </tp>
      <tp t="s">
        <v>#N/A N/A</v>
        <stp/>
        <stp>BDP|5969526987062927588</stp>
        <tr r="P464" s="2"/>
      </tp>
      <tp t="s">
        <v>#N/A N/A</v>
        <stp/>
        <stp>BDP|2069134698827740214</stp>
        <tr r="E1095" s="2"/>
      </tp>
      <tp t="s">
        <v>#N/A N/A</v>
        <stp/>
        <stp>BDP|5835776434867238944</stp>
        <tr r="D1710" s="2"/>
      </tp>
      <tp t="s">
        <v>#N/A N/A</v>
        <stp/>
        <stp>BDP|1861578287612029150</stp>
        <tr r="K542" s="2"/>
      </tp>
      <tp t="s">
        <v>#N/A N/A</v>
        <stp/>
        <stp>BDP|5720199484987579428</stp>
        <tr r="M2205" s="2"/>
      </tp>
      <tp t="s">
        <v>#N/A N/A</v>
        <stp/>
        <stp>BDP|7409105405070509998</stp>
        <tr r="N1308" s="2"/>
      </tp>
      <tp t="s">
        <v>#N/A N/A</v>
        <stp/>
        <stp>BDP|2387797680450408237</stp>
        <tr r="J1411" s="2"/>
      </tp>
      <tp t="s">
        <v>#N/A N/A</v>
        <stp/>
        <stp>BDP|4910900712032388155</stp>
        <tr r="M1774" s="2"/>
      </tp>
      <tp t="s">
        <v>#N/A N/A</v>
        <stp/>
        <stp>BDP|1821807160315189542</stp>
        <tr r="S723" s="2"/>
      </tp>
      <tp t="s">
        <v>#N/A N/A</v>
        <stp/>
        <stp>BDP|4742342848308392453</stp>
        <tr r="F1345" s="2"/>
      </tp>
      <tp t="s">
        <v>#N/A N/A</v>
        <stp/>
        <stp>BDP|1571867508677498120</stp>
        <tr r="P1014" s="2"/>
      </tp>
      <tp t="s">
        <v>#N/A N/A</v>
        <stp/>
        <stp>BDS|3645725237039795195</stp>
        <tr r="I1002" s="2"/>
      </tp>
      <tp t="s">
        <v>#N/A N/A</v>
        <stp/>
        <stp>BDP|5218274698577896687</stp>
        <tr r="N1943" s="2"/>
      </tp>
      <tp t="s">
        <v>#N/A N/A</v>
        <stp/>
        <stp>BDP|8982165264921317154</stp>
        <tr r="E1276" s="2"/>
      </tp>
      <tp t="s">
        <v>#N/A N/A</v>
        <stp/>
        <stp>BDP|1698666196917208697</stp>
        <tr r="G1617" s="2"/>
      </tp>
      <tp t="s">
        <v>#N/A N/A</v>
        <stp/>
        <stp>BDP|5903037567455262924</stp>
        <tr r="J2188" s="2"/>
      </tp>
      <tp t="s">
        <v>#N/A N/A</v>
        <stp/>
        <stp>BDP|2337488666899764674</stp>
        <tr r="H812" s="2"/>
      </tp>
      <tp t="s">
        <v>#N/A N/A</v>
        <stp/>
        <stp>BDP|4931258678897043996</stp>
        <tr r="K605" s="2"/>
      </tp>
      <tp t="s">
        <v>#N/A N/A</v>
        <stp/>
        <stp>BDP|3367292811596189978</stp>
        <tr r="M819" s="2"/>
      </tp>
      <tp t="s">
        <v>#N/A N/A</v>
        <stp/>
        <stp>BDP|9939100005313337422</stp>
        <tr r="D1504" s="2"/>
      </tp>
      <tp t="s">
        <v>#N/A N/A</v>
        <stp/>
        <stp>BDP|2213599317188982180</stp>
        <tr r="Q718" s="2"/>
      </tp>
      <tp t="s">
        <v>#N/A N/A</v>
        <stp/>
        <stp>BDP|7928433063308308272</stp>
        <tr r="S2083" s="2"/>
      </tp>
      <tp t="s">
        <v>#N/A N/A</v>
        <stp/>
        <stp>BDP|6945997695201881809</stp>
        <tr r="D506" s="2"/>
      </tp>
      <tp t="s">
        <v>#N/A N/A</v>
        <stp/>
        <stp>BDP|5609340409578216144</stp>
        <tr r="N1921" s="2"/>
      </tp>
      <tp t="s">
        <v>#N/A N/A</v>
        <stp/>
        <stp>BDP|7437034019950368908</stp>
        <tr r="M989" s="2"/>
      </tp>
      <tp t="s">
        <v>#N/A N/A</v>
        <stp/>
        <stp>BDP|9004955829055862893</stp>
        <tr r="Q1787" s="2"/>
      </tp>
      <tp t="s">
        <v>#N/A N/A</v>
        <stp/>
        <stp>BDP|8118604850454445086</stp>
        <tr r="T583" s="2"/>
      </tp>
      <tp t="s">
        <v>#N/A N/A</v>
        <stp/>
        <stp>BDP|1951016280192526403</stp>
        <tr r="E466" s="2"/>
      </tp>
      <tp t="s">
        <v>#N/A N/A</v>
        <stp/>
        <stp>BDP|6066616701869829659</stp>
        <tr r="P11" s="2"/>
      </tp>
      <tp t="s">
        <v>#N/A N/A</v>
        <stp/>
        <stp>BDS|9009806704069131785</stp>
        <tr r="I329" s="2"/>
      </tp>
      <tp t="s">
        <v>#N/A N/A</v>
        <stp/>
        <stp>BDP|3776429998751131019</stp>
        <tr r="G792" s="2"/>
      </tp>
      <tp t="s">
        <v>#N/A N/A</v>
        <stp/>
        <stp>BDP|1918798195494196496</stp>
        <tr r="N1787" s="2"/>
      </tp>
      <tp t="s">
        <v>#N/A N/A</v>
        <stp/>
        <stp>BDP|3858693868978056448</stp>
        <tr r="S112" s="2"/>
      </tp>
      <tp t="s">
        <v>#N/A N/A</v>
        <stp/>
        <stp>BDP|5810515192121660701</stp>
        <tr r="G457" s="2"/>
      </tp>
      <tp t="s">
        <v>#N/A N/A</v>
        <stp/>
        <stp>BDP|8321035262972888374</stp>
        <tr r="H960" s="2"/>
      </tp>
      <tp t="s">
        <v>#N/A N/A</v>
        <stp/>
        <stp>BDP|8057751262780378691</stp>
        <tr r="C312" s="2"/>
      </tp>
      <tp t="s">
        <v>#N/A N/A</v>
        <stp/>
        <stp>BDP|4640158419908204350</stp>
        <tr r="J279" s="2"/>
      </tp>
      <tp t="s">
        <v>#N/A N/A</v>
        <stp/>
        <stp>BDP|6862736254759735251</stp>
        <tr r="Q973" s="2"/>
      </tp>
      <tp t="s">
        <v>#N/A N/A</v>
        <stp/>
        <stp>BDP|9096872472831051883</stp>
        <tr r="H2040" s="2"/>
      </tp>
      <tp t="s">
        <v>#N/A N/A</v>
        <stp/>
        <stp>BDP|5464161789492379151</stp>
        <tr r="A2017" s="2"/>
      </tp>
      <tp t="s">
        <v>#N/A N/A</v>
        <stp/>
        <stp>BDP|4398084356876158814</stp>
        <tr r="S1847" s="2"/>
      </tp>
      <tp t="s">
        <v>#N/A N/A</v>
        <stp/>
        <stp>BDP|1402294276919191270</stp>
        <tr r="T1277" s="2"/>
      </tp>
      <tp t="s">
        <v>#N/A N/A</v>
        <stp/>
        <stp>BDP|6796329780243974111</stp>
        <tr r="J1548" s="2"/>
      </tp>
      <tp t="s">
        <v>#N/A N/A</v>
        <stp/>
        <stp>BDP|1406219603374946829</stp>
        <tr r="G429" s="2"/>
      </tp>
      <tp t="s">
        <v>#N/A N/A</v>
        <stp/>
        <stp>BDP|9812257047378237851</stp>
        <tr r="G923" s="2"/>
      </tp>
      <tp t="s">
        <v>#N/A N/A</v>
        <stp/>
        <stp>BDP|9003075019087104022</stp>
        <tr r="H1983" s="2"/>
      </tp>
      <tp t="s">
        <v>#N/A N/A</v>
        <stp/>
        <stp>BDP|4821854965001322463</stp>
        <tr r="F1125" s="2"/>
      </tp>
      <tp t="s">
        <v>#N/A N/A</v>
        <stp/>
        <stp>BDP|6858166682583196309</stp>
        <tr r="D1903" s="2"/>
      </tp>
      <tp t="s">
        <v>#N/A N/A</v>
        <stp/>
        <stp>BDP|4283811150767786190</stp>
        <tr r="P247" s="2"/>
      </tp>
      <tp t="s">
        <v>#N/A N/A</v>
        <stp/>
        <stp>BDP|9708907324309823460</stp>
        <tr r="D960" s="2"/>
      </tp>
      <tp t="s">
        <v>#N/A N/A</v>
        <stp/>
        <stp>BDP|8054717938841355286</stp>
        <tr r="K790" s="2"/>
      </tp>
      <tp t="s">
        <v>#N/A N/A</v>
        <stp/>
        <stp>BDP|2300211268821128892</stp>
        <tr r="G2109" s="2"/>
      </tp>
      <tp t="s">
        <v>#N/A N/A</v>
        <stp/>
        <stp>BDP|2785152752209667046</stp>
        <tr r="R158" s="2"/>
      </tp>
      <tp t="s">
        <v>#N/A N/A</v>
        <stp/>
        <stp>BDP|6080909733801771266</stp>
        <tr r="P8" s="2"/>
      </tp>
      <tp t="s">
        <v>#N/A N/A</v>
        <stp/>
        <stp>BDP|9539125050876708426</stp>
        <tr r="C341" s="2"/>
      </tp>
      <tp t="s">
        <v>#N/A N/A</v>
        <stp/>
        <stp>BDP|6794467331768631642</stp>
        <tr r="R2211" s="2"/>
      </tp>
      <tp t="s">
        <v>#N/A N/A</v>
        <stp/>
        <stp>BDP|9696637907794019400</stp>
        <tr r="T2220" s="2"/>
      </tp>
      <tp t="s">
        <v>#N/A N/A</v>
        <stp/>
        <stp>BDP|5964107892664093696</stp>
        <tr r="N51" s="2"/>
      </tp>
      <tp t="s">
        <v>#N/A N/A</v>
        <stp/>
        <stp>BDP|8041460936851039124</stp>
        <tr r="C1733" s="2"/>
      </tp>
      <tp t="s">
        <v>#N/A N/A</v>
        <stp/>
        <stp>BDP|6809682744823291848</stp>
        <tr r="K147" s="2"/>
      </tp>
      <tp t="s">
        <v>#N/A N/A</v>
        <stp/>
        <stp>BDP|4749973168590985430</stp>
        <tr r="M1603" s="2"/>
      </tp>
      <tp t="s">
        <v>#N/A N/A</v>
        <stp/>
        <stp>BDP|7963817636336817549</stp>
        <tr r="R2209" s="2"/>
      </tp>
      <tp t="s">
        <v>#N/A N/A</v>
        <stp/>
        <stp>BDP|5459379317931563939</stp>
        <tr r="S1571" s="2"/>
      </tp>
      <tp t="s">
        <v>#N/A N/A</v>
        <stp/>
        <stp>BDP|4556711697044410158</stp>
        <tr r="M326" s="2"/>
      </tp>
      <tp t="s">
        <v>#N/A N/A</v>
        <stp/>
        <stp>BDP|5527163556956723807</stp>
        <tr r="F239" s="2"/>
      </tp>
      <tp t="s">
        <v>#N/A N/A</v>
        <stp/>
        <stp>BDP|3905302516878407697</stp>
        <tr r="T401" s="2"/>
      </tp>
      <tp t="s">
        <v>#N/A N/A</v>
        <stp/>
        <stp>BDP|5415728197314104027</stp>
        <tr r="G1054" s="2"/>
      </tp>
      <tp t="s">
        <v>#N/A N/A</v>
        <stp/>
        <stp>BDP|1004578420550376967</stp>
        <tr r="R2004" s="2"/>
      </tp>
      <tp t="s">
        <v>#N/A N/A</v>
        <stp/>
        <stp>BDP|1642192688060103749</stp>
        <tr r="E2102" s="2"/>
      </tp>
      <tp t="s">
        <v>#N/A N/A</v>
        <stp/>
        <stp>BDP|9767023383106726839</stp>
        <tr r="J329" s="2"/>
      </tp>
      <tp t="s">
        <v>#N/A N/A</v>
        <stp/>
        <stp>BDP|9490165610666758070</stp>
        <tr r="G2218" s="2"/>
      </tp>
      <tp t="s">
        <v>#N/A N/A</v>
        <stp/>
        <stp>BDP|7275225471774531968</stp>
        <tr r="T2036" s="2"/>
      </tp>
      <tp t="s">
        <v>#N/A N/A</v>
        <stp/>
        <stp>BDP|5834214483060099080</stp>
        <tr r="D356" s="2"/>
      </tp>
      <tp t="s">
        <v>#N/A N/A</v>
        <stp/>
        <stp>BDP|1731476691152346101</stp>
        <tr r="E1220" s="2"/>
      </tp>
      <tp t="s">
        <v>#N/A N/A</v>
        <stp/>
        <stp>BDP|7857807012033163295</stp>
        <tr r="N2255" s="2"/>
      </tp>
      <tp t="s">
        <v>#N/A N/A</v>
        <stp/>
        <stp>BDP|4007412797736012045</stp>
        <tr r="F1673" s="2"/>
      </tp>
      <tp t="s">
        <v>#N/A N/A</v>
        <stp/>
        <stp>BDP|4192867654881242733</stp>
        <tr r="R1216" s="2"/>
      </tp>
      <tp t="s">
        <v>#N/A N/A</v>
        <stp/>
        <stp>BDS|7283395478855342922</stp>
        <tr r="I475" s="2"/>
      </tp>
      <tp t="s">
        <v>#N/A N/A</v>
        <stp/>
        <stp>BDP|7127601583555116317</stp>
        <tr r="K1775" s="2"/>
      </tp>
      <tp t="s">
        <v>#N/A N/A</v>
        <stp/>
        <stp>BDP|9142782718342263213</stp>
        <tr r="O917" s="2"/>
      </tp>
      <tp t="s">
        <v>#N/A N/A</v>
        <stp/>
        <stp>BDP|7173735081925599242</stp>
        <tr r="M383" s="2"/>
      </tp>
      <tp t="s">
        <v>#N/A N/A</v>
        <stp/>
        <stp>BDP|8186611305050189161</stp>
        <tr r="A1339" s="2"/>
      </tp>
      <tp t="s">
        <v>#N/A N/A</v>
        <stp/>
        <stp>BDP|4041954522769024956</stp>
        <tr r="J815" s="2"/>
      </tp>
      <tp t="s">
        <v>#N/A N/A</v>
        <stp/>
        <stp>BDP|8703520896753679873</stp>
        <tr r="O1107" s="2"/>
      </tp>
      <tp t="s">
        <v>#N/A N/A</v>
        <stp/>
        <stp>BDP|8242747614328317932</stp>
        <tr r="Q1124" s="2"/>
      </tp>
      <tp t="s">
        <v>#N/A N/A</v>
        <stp/>
        <stp>BDP|3405302185175721242</stp>
        <tr r="D1544" s="2"/>
      </tp>
      <tp t="s">
        <v>#N/A N/A</v>
        <stp/>
        <stp>BDP|1137948080516049979</stp>
        <tr r="N225" s="2"/>
      </tp>
      <tp t="s">
        <v>#N/A N/A</v>
        <stp/>
        <stp>BDP|2067464799847411799</stp>
        <tr r="G2091" s="2"/>
      </tp>
      <tp t="s">
        <v>#N/A N/A</v>
        <stp/>
        <stp>BDP|5612320126663735876</stp>
        <tr r="E338" s="2"/>
      </tp>
      <tp t="s">
        <v>#N/A N/A</v>
        <stp/>
        <stp>BDP|4814984820290734056</stp>
        <tr r="T125" s="2"/>
      </tp>
      <tp t="s">
        <v>#N/A N/A</v>
        <stp/>
        <stp>BDP|3572642996104709726</stp>
        <tr r="N1728" s="2"/>
      </tp>
      <tp t="s">
        <v>#N/A N/A</v>
        <stp/>
        <stp>BDP|2520924054268458953</stp>
        <tr r="E2060" s="2"/>
      </tp>
      <tp t="s">
        <v>#N/A N/A</v>
        <stp/>
        <stp>BDP|3759175432237730973</stp>
        <tr r="O1546" s="2"/>
      </tp>
      <tp t="s">
        <v>#N/A N/A</v>
        <stp/>
        <stp>BDP|1924902931304292088</stp>
        <tr r="N1487" s="2"/>
      </tp>
      <tp t="s">
        <v>#N/A N/A</v>
        <stp/>
        <stp>BDP|9545374643045458477</stp>
        <tr r="E479" s="2"/>
      </tp>
      <tp t="s">
        <v>#N/A N/A</v>
        <stp/>
        <stp>BDP|4218306805389721124</stp>
        <tr r="E1042" s="2"/>
      </tp>
      <tp t="s">
        <v>#N/A N/A</v>
        <stp/>
        <stp>BDP|7135490683094040095</stp>
        <tr r="S1248" s="2"/>
      </tp>
      <tp t="s">
        <v>#N/A N/A</v>
        <stp/>
        <stp>BDP|8244133060057307702</stp>
        <tr r="G1754" s="2"/>
      </tp>
      <tp t="s">
        <v>#N/A N/A</v>
        <stp/>
        <stp>BDP|9337467183248013242</stp>
        <tr r="D1079" s="2"/>
      </tp>
      <tp t="s">
        <v>#N/A N/A</v>
        <stp/>
        <stp>BDP|3782357972628055029</stp>
        <tr r="A1876" s="2"/>
      </tp>
      <tp t="s">
        <v>#N/A N/A</v>
        <stp/>
        <stp>BDP|8545124929545554195</stp>
        <tr r="M28" s="2"/>
      </tp>
      <tp t="s">
        <v>#N/A N/A</v>
        <stp/>
        <stp>BDP|1521853040493470167</stp>
        <tr r="A237" s="2"/>
      </tp>
      <tp t="s">
        <v>#N/A N/A</v>
        <stp/>
        <stp>BDP|8911584682283668975</stp>
        <tr r="J1479" s="2"/>
      </tp>
      <tp t="s">
        <v>#N/A N/A</v>
        <stp/>
        <stp>BDP|7942191388970285180</stp>
        <tr r="K875" s="2"/>
      </tp>
      <tp t="s">
        <v>#N/A N/A</v>
        <stp/>
        <stp>BDP|9749081929936620229</stp>
        <tr r="S589" s="2"/>
      </tp>
      <tp t="s">
        <v>#N/A N/A</v>
        <stp/>
        <stp>BDP|9120173390668240665</stp>
        <tr r="G352" s="2"/>
      </tp>
      <tp t="s">
        <v>#N/A N/A</v>
        <stp/>
        <stp>BDP|9534561446406676117</stp>
        <tr r="H1966" s="2"/>
      </tp>
      <tp t="s">
        <v>#N/A N/A</v>
        <stp/>
        <stp>BDP|3783918060734207761</stp>
        <tr r="F1077" s="2"/>
      </tp>
      <tp t="s">
        <v>#N/A N/A</v>
        <stp/>
        <stp>BDP|4306137026901381970</stp>
        <tr r="N49" s="2"/>
      </tp>
      <tp t="s">
        <v>#N/A N/A</v>
        <stp/>
        <stp>BDP|3328962847016440742</stp>
        <tr r="H2155" s="2"/>
      </tp>
      <tp t="s">
        <v>#N/A N/A</v>
        <stp/>
        <stp>BDP|7124107829143247886</stp>
        <tr r="A1663" s="2"/>
      </tp>
      <tp t="s">
        <v>#N/A N/A</v>
        <stp/>
        <stp>BDP|8567685847803154698</stp>
        <tr r="C24" s="2"/>
      </tp>
      <tp t="s">
        <v>#N/A N/A</v>
        <stp/>
        <stp>BDP|3517915154094358408</stp>
        <tr r="M2087" s="2"/>
      </tp>
      <tp t="s">
        <v>#N/A N/A</v>
        <stp/>
        <stp>BDP|6309868970740155673</stp>
        <tr r="A265" s="2"/>
      </tp>
      <tp t="s">
        <v>#N/A N/A</v>
        <stp/>
        <stp>BDP|9248385523462857529</stp>
        <tr r="A922" s="2"/>
      </tp>
      <tp t="s">
        <v>#N/A N/A</v>
        <stp/>
        <stp>BDS|9568122641634301768</stp>
        <tr r="I151" s="2"/>
      </tp>
      <tp t="s">
        <v>#N/A N/A</v>
        <stp/>
        <stp>BDP|2128500526059427309</stp>
        <tr r="F1083" s="2"/>
      </tp>
      <tp t="s">
        <v>#N/A N/A</v>
        <stp/>
        <stp>BDS|7675376924350682900</stp>
        <tr r="I2090" s="2"/>
      </tp>
      <tp t="s">
        <v>#N/A N/A</v>
        <stp/>
        <stp>BDP|3409928129080505790</stp>
        <tr r="D405" s="2"/>
      </tp>
      <tp t="s">
        <v>#N/A N/A</v>
        <stp/>
        <stp>BDP|1958252360449689390</stp>
        <tr r="H666" s="2"/>
      </tp>
      <tp t="s">
        <v>#N/A N/A</v>
        <stp/>
        <stp>BDP|6242613501159185605</stp>
        <tr r="F931" s="2"/>
      </tp>
      <tp t="s">
        <v>#N/A N/A</v>
        <stp/>
        <stp>BDP|2351878498375623997</stp>
        <tr r="J2189" s="2"/>
      </tp>
      <tp t="s">
        <v>#N/A N/A</v>
        <stp/>
        <stp>BDP|3122910721140019729</stp>
        <tr r="M1352" s="2"/>
      </tp>
      <tp t="s">
        <v>#N/A N/A</v>
        <stp/>
        <stp>BDP|8413579615224574707</stp>
        <tr r="Q1617" s="2"/>
      </tp>
      <tp t="s">
        <v>#N/A N/A</v>
        <stp/>
        <stp>BDP|3865138381227868210</stp>
        <tr r="M548" s="2"/>
      </tp>
      <tp t="s">
        <v>#N/A N/A</v>
        <stp/>
        <stp>BDP|9123012838115325089</stp>
        <tr r="N977" s="2"/>
      </tp>
      <tp t="s">
        <v>#N/A N/A</v>
        <stp/>
        <stp>BDP|3451943902750035518</stp>
        <tr r="T1175" s="2"/>
      </tp>
      <tp t="s">
        <v>#N/A N/A</v>
        <stp/>
        <stp>BDP|5402807678521692496</stp>
        <tr r="G1733" s="2"/>
      </tp>
      <tp t="s">
        <v>#N/A N/A</v>
        <stp/>
        <stp>BDP|3093514686754616526</stp>
        <tr r="S1227" s="2"/>
      </tp>
      <tp t="s">
        <v>#N/A N/A</v>
        <stp/>
        <stp>BDP|7952648469970610818</stp>
        <tr r="Q2103" s="2"/>
      </tp>
      <tp t="s">
        <v>#N/A N/A</v>
        <stp/>
        <stp>BDP|1820005760990952826</stp>
        <tr r="N779" s="2"/>
      </tp>
      <tp t="s">
        <v>#N/A N/A</v>
        <stp/>
        <stp>BDP|3538973103563397611</stp>
        <tr r="Q779" s="2"/>
      </tp>
      <tp t="s">
        <v>#N/A N/A</v>
        <stp/>
        <stp>BDP|9638590633847722784</stp>
        <tr r="R709" s="2"/>
      </tp>
      <tp t="s">
        <v>#N/A N/A</v>
        <stp/>
        <stp>BDP|3404342276149178149</stp>
        <tr r="M517" s="2"/>
      </tp>
      <tp t="s">
        <v>#N/A N/A</v>
        <stp/>
        <stp>BDP|7113649575878797145</stp>
        <tr r="J912" s="2"/>
      </tp>
      <tp t="s">
        <v>#N/A N/A</v>
        <stp/>
        <stp>BDP|9475487936891042090</stp>
        <tr r="R1470" s="2"/>
      </tp>
      <tp t="s">
        <v>#N/A N/A</v>
        <stp/>
        <stp>BDP|9802256662741481385</stp>
        <tr r="F1323" s="2"/>
      </tp>
      <tp t="s">
        <v>#N/A N/A</v>
        <stp/>
        <stp>BDP|5718020655438091730</stp>
        <tr r="M16" s="2"/>
      </tp>
      <tp t="s">
        <v>#N/A N/A</v>
        <stp/>
        <stp>BDP|9268645225856023405</stp>
        <tr r="N626" s="2"/>
      </tp>
      <tp t="s">
        <v>#N/A N/A</v>
        <stp/>
        <stp>BDP|4077617588814964131</stp>
        <tr r="H319" s="2"/>
      </tp>
      <tp t="s">
        <v>#N/A N/A</v>
        <stp/>
        <stp>BDP|8135282490304396894</stp>
        <tr r="O359" s="2"/>
      </tp>
      <tp t="s">
        <v>#N/A N/A</v>
        <stp/>
        <stp>BDP|1304739341179262401</stp>
        <tr r="Q1228" s="2"/>
      </tp>
      <tp t="s">
        <v>#N/A N/A</v>
        <stp/>
        <stp>BDS|9223524745987720011</stp>
        <tr r="I416" s="2"/>
      </tp>
      <tp t="s">
        <v>#N/A N/A</v>
        <stp/>
        <stp>BDP|4486400010126078870</stp>
        <tr r="S1591" s="2"/>
      </tp>
      <tp t="s">
        <v>#N/A N/A</v>
        <stp/>
        <stp>BDP|8280010724914780138</stp>
        <tr r="O296" s="2"/>
      </tp>
      <tp t="s">
        <v>#N/A N/A</v>
        <stp/>
        <stp>BDP|2450916377223696079</stp>
        <tr r="O418" s="2"/>
      </tp>
      <tp t="s">
        <v>#N/A N/A</v>
        <stp/>
        <stp>BDP|3952671379755736831</stp>
        <tr r="E445" s="2"/>
      </tp>
      <tp t="s">
        <v>#N/A N/A</v>
        <stp/>
        <stp>BDP|3160863417441073437</stp>
        <tr r="G2052" s="2"/>
      </tp>
      <tp t="s">
        <v>#N/A N/A</v>
        <stp/>
        <stp>BDP|7810171002618605186</stp>
        <tr r="S810" s="2"/>
      </tp>
      <tp t="s">
        <v>#N/A N/A</v>
        <stp/>
        <stp>BDP|6027957639534652795</stp>
        <tr r="F1934" s="2"/>
      </tp>
      <tp t="s">
        <v>#N/A N/A</v>
        <stp/>
        <stp>BDP|9797656111280093104</stp>
        <tr r="O1134" s="2"/>
      </tp>
      <tp t="s">
        <v>#N/A N/A</v>
        <stp/>
        <stp>BDP|5363254214058742165</stp>
        <tr r="D1516" s="2"/>
      </tp>
      <tp t="s">
        <v>#N/A N/A</v>
        <stp/>
        <stp>BDP|2929996454696537722</stp>
        <tr r="G1763" s="2"/>
      </tp>
      <tp t="s">
        <v>#N/A N/A</v>
        <stp/>
        <stp>BDP|5121821503633321105</stp>
        <tr r="E961" s="2"/>
      </tp>
      <tp t="s">
        <v>#N/A N/A</v>
        <stp/>
        <stp>BDP|1193532748336137989</stp>
        <tr r="S1454" s="2"/>
      </tp>
      <tp t="s">
        <v>#N/A N/A</v>
        <stp/>
        <stp>BDS|4040517429345981929</stp>
        <tr r="I744" s="2"/>
      </tp>
      <tp t="s">
        <v>#N/A N/A</v>
        <stp/>
        <stp>BDP|6398351965238810489</stp>
        <tr r="F2026" s="2"/>
      </tp>
      <tp t="s">
        <v>#N/A N/A</v>
        <stp/>
        <stp>BDP|1041233161242117806</stp>
        <tr r="N1674" s="2"/>
      </tp>
      <tp t="s">
        <v>#N/A N/A</v>
        <stp/>
        <stp>BDP|7386131458909261594</stp>
        <tr r="J2110" s="2"/>
      </tp>
      <tp t="s">
        <v>#N/A N/A</v>
        <stp/>
        <stp>BDP|4429071955276678834</stp>
        <tr r="D1711" s="2"/>
      </tp>
      <tp t="s">
        <v>#N/A N/A</v>
        <stp/>
        <stp>BDP|5744942341686970185</stp>
        <tr r="O551" s="2"/>
      </tp>
      <tp t="s">
        <v>#N/A N/A</v>
        <stp/>
        <stp>BDP|4068386529779263303</stp>
        <tr r="C898" s="2"/>
      </tp>
      <tp t="s">
        <v>#N/A N/A</v>
        <stp/>
        <stp>BDP|9233431856083798439</stp>
        <tr r="J257" s="2"/>
      </tp>
      <tp t="s">
        <v>#N/A N/A</v>
        <stp/>
        <stp>BDP|3567935149834481586</stp>
        <tr r="P1622" s="2"/>
      </tp>
      <tp t="s">
        <v>#N/A N/A</v>
        <stp/>
        <stp>BDP|4400333992553358256</stp>
        <tr r="E2025" s="2"/>
      </tp>
      <tp t="s">
        <v>#N/A N/A</v>
        <stp/>
        <stp>BDP|6405261509222127994</stp>
        <tr r="T1145" s="2"/>
      </tp>
      <tp t="s">
        <v>#N/A N/A</v>
        <stp/>
        <stp>BDP|8117465460495247061</stp>
        <tr r="P1469" s="2"/>
      </tp>
      <tp t="s">
        <v>#N/A N/A</v>
        <stp/>
        <stp>BDP|8239455547170304702</stp>
        <tr r="T1770" s="2"/>
      </tp>
      <tp t="s">
        <v>#N/A N/A</v>
        <stp/>
        <stp>BDP|2424813710375330155</stp>
        <tr r="D2133" s="2"/>
      </tp>
      <tp t="s">
        <v>#N/A N/A</v>
        <stp/>
        <stp>BDP|4854649212769894556</stp>
        <tr r="T1057" s="2"/>
      </tp>
      <tp t="s">
        <v>#N/A N/A</v>
        <stp/>
        <stp>BDP|2645648255308786633</stp>
        <tr r="P658" s="2"/>
      </tp>
      <tp t="s">
        <v>#N/A N/A</v>
        <stp/>
        <stp>BDP|8501512177443116613</stp>
        <tr r="J598" s="2"/>
      </tp>
      <tp t="s">
        <v>#N/A N/A</v>
        <stp/>
        <stp>BDP|6809320888384166601</stp>
        <tr r="O144" s="2"/>
      </tp>
      <tp t="s">
        <v>#N/A N/A</v>
        <stp/>
        <stp>BDP|3820182964268716307</stp>
        <tr r="J1090" s="2"/>
      </tp>
      <tp t="s">
        <v>#N/A N/A</v>
        <stp/>
        <stp>BDP|2274868550302425239</stp>
        <tr r="C1236" s="2"/>
      </tp>
      <tp t="s">
        <v>#N/A N/A</v>
        <stp/>
        <stp>BDP|7136790098282170421</stp>
        <tr r="M1635" s="2"/>
      </tp>
      <tp t="s">
        <v>#N/A N/A</v>
        <stp/>
        <stp>BDP|4231953376733225603</stp>
        <tr r="A1733" s="2"/>
      </tp>
      <tp t="s">
        <v>#N/A N/A</v>
        <stp/>
        <stp>BDP|3747454990721729063</stp>
        <tr r="O176" s="2"/>
      </tp>
      <tp t="s">
        <v>#N/A N/A</v>
        <stp/>
        <stp>BDP|3133624093031666257</stp>
        <tr r="D12" s="2"/>
      </tp>
      <tp t="s">
        <v>#N/A N/A</v>
        <stp/>
        <stp>BDP|3309595283792275383</stp>
        <tr r="T1693" s="2"/>
      </tp>
      <tp t="s">
        <v>#N/A N/A</v>
        <stp/>
        <stp>BDP|4247266194495113521</stp>
        <tr r="M930" s="2"/>
      </tp>
      <tp t="s">
        <v>#N/A N/A</v>
        <stp/>
        <stp>BDP|9858473513631923264</stp>
        <tr r="F1869" s="2"/>
      </tp>
      <tp t="s">
        <v>#N/A N/A</v>
        <stp/>
        <stp>BDP|3968122888060049506</stp>
        <tr r="K1039" s="2"/>
      </tp>
      <tp t="s">
        <v>#N/A N/A</v>
        <stp/>
        <stp>BDP|8201754042314038062</stp>
        <tr r="A697" s="2"/>
      </tp>
      <tp t="s">
        <v>#N/A N/A</v>
        <stp/>
        <stp>BDS|2697424720403556816</stp>
        <tr r="I1137" s="2"/>
      </tp>
      <tp t="s">
        <v>#N/A N/A</v>
        <stp/>
        <stp>BDP|5681107408683881868</stp>
        <tr r="S2139" s="2"/>
      </tp>
      <tp t="s">
        <v>#N/A N/A</v>
        <stp/>
        <stp>BDP|4184602750289752164</stp>
        <tr r="F2129" s="2"/>
      </tp>
      <tp t="s">
        <v>#N/A N/A</v>
        <stp/>
        <stp>BDP|8689461258865914319</stp>
        <tr r="N615" s="2"/>
      </tp>
      <tp t="s">
        <v>#N/A N/A</v>
        <stp/>
        <stp>BDP|7688928895230586842</stp>
        <tr r="R2121" s="2"/>
      </tp>
      <tp t="s">
        <v>#N/A N/A</v>
        <stp/>
        <stp>BDP|8653369957598746905</stp>
        <tr r="G116" s="2"/>
      </tp>
      <tp t="s">
        <v>#N/A N/A</v>
        <stp/>
        <stp>BDP|7333053784660544079</stp>
        <tr r="C1637" s="2"/>
      </tp>
      <tp t="s">
        <v>#N/A N/A</v>
        <stp/>
        <stp>BDP|5585752902879306419</stp>
        <tr r="P817" s="2"/>
      </tp>
      <tp t="s">
        <v>#N/A N/A</v>
        <stp/>
        <stp>BDP|4481935316142738164</stp>
        <tr r="F411" s="2"/>
      </tp>
      <tp t="s">
        <v>#N/A N/A</v>
        <stp/>
        <stp>BDP|5299185374815793996</stp>
        <tr r="D1472" s="2"/>
      </tp>
      <tp t="s">
        <v>#N/A N/A</v>
        <stp/>
        <stp>BDS|1211928904367344076</stp>
        <tr r="I218" s="2"/>
      </tp>
      <tp t="s">
        <v>#N/A N/A</v>
        <stp/>
        <stp>BDP|4894799980880415453</stp>
        <tr r="O1322" s="2"/>
      </tp>
      <tp t="s">
        <v>#N/A N/A</v>
        <stp/>
        <stp>BDP|9803595028349984804</stp>
        <tr r="E2253" s="2"/>
      </tp>
      <tp t="s">
        <v>#N/A N/A</v>
        <stp/>
        <stp>BDP|9557194572190730099</stp>
        <tr r="D1409" s="2"/>
      </tp>
      <tp t="s">
        <v>#N/A N/A</v>
        <stp/>
        <stp>BDP|2969600489514488746</stp>
        <tr r="P397" s="2"/>
      </tp>
      <tp t="s">
        <v>#N/A N/A</v>
        <stp/>
        <stp>BDP|6913540880905561183</stp>
        <tr r="S67" s="2"/>
      </tp>
      <tp t="s">
        <v>#N/A N/A</v>
        <stp/>
        <stp>BDP|4640611507808190518</stp>
        <tr r="S2200" s="2"/>
      </tp>
      <tp t="s">
        <v>#N/A N/A</v>
        <stp/>
        <stp>BDP|7826550089100498506</stp>
        <tr r="P1705" s="2"/>
      </tp>
      <tp t="s">
        <v>#N/A N/A</v>
        <stp/>
        <stp>BDP|3149968555203705352</stp>
        <tr r="K257" s="2"/>
      </tp>
      <tp t="s">
        <v>#N/A N/A</v>
        <stp/>
        <stp>BDP|8209132524343391764</stp>
        <tr r="K1036" s="2"/>
      </tp>
      <tp t="s">
        <v>#N/A N/A</v>
        <stp/>
        <stp>BDP|7533333751617110968</stp>
        <tr r="H1732" s="2"/>
      </tp>
      <tp t="s">
        <v>#N/A N/A</v>
        <stp/>
        <stp>BDP|5695172441649403642</stp>
        <tr r="Q488" s="2"/>
      </tp>
      <tp t="s">
        <v>#N/A N/A</v>
        <stp/>
        <stp>BDP|3530978791435724942</stp>
        <tr r="J1832" s="2"/>
      </tp>
      <tp t="s">
        <v>#N/A N/A</v>
        <stp/>
        <stp>BDP|3119179761518533321</stp>
        <tr r="D722" s="2"/>
      </tp>
      <tp t="s">
        <v>#N/A N/A</v>
        <stp/>
        <stp>BDP|7318936792469655149</stp>
        <tr r="M885" s="2"/>
      </tp>
      <tp t="s">
        <v>#N/A N/A</v>
        <stp/>
        <stp>BDP|1234961465627998682</stp>
        <tr r="J1135" s="2"/>
      </tp>
      <tp t="s">
        <v>#N/A N/A</v>
        <stp/>
        <stp>BDP|2140443126252490972</stp>
        <tr r="J1834" s="2"/>
      </tp>
      <tp t="s">
        <v>#N/A N/A</v>
        <stp/>
        <stp>BDP|7019669556492933991</stp>
        <tr r="C1259" s="2"/>
      </tp>
      <tp t="s">
        <v>#N/A N/A</v>
        <stp/>
        <stp>BDP|2525765903149796371</stp>
        <tr r="S1261" s="2"/>
      </tp>
      <tp t="s">
        <v>#N/A N/A</v>
        <stp/>
        <stp>BDP|8740217432834248261</stp>
        <tr r="O549" s="2"/>
      </tp>
      <tp t="s">
        <v>#N/A N/A</v>
        <stp/>
        <stp>BDS|5958061359896419920</stp>
        <tr r="I1657" s="2"/>
      </tp>
      <tp t="s">
        <v>#N/A N/A</v>
        <stp/>
        <stp>BDP|8464035515574366211</stp>
        <tr r="C256" s="2"/>
      </tp>
      <tp t="s">
        <v>#N/A N/A</v>
        <stp/>
        <stp>BDP|8092958943093343954</stp>
        <tr r="M197" s="2"/>
      </tp>
      <tp t="s">
        <v>#N/A N/A</v>
        <stp/>
        <stp>BDP|3036718090007825599</stp>
        <tr r="G1045" s="2"/>
      </tp>
      <tp t="s">
        <v>#N/A N/A</v>
        <stp/>
        <stp>BDP|2518344190161400654</stp>
        <tr r="Q1890" s="2"/>
      </tp>
      <tp t="s">
        <v>#N/A N/A</v>
        <stp/>
        <stp>BDP|5791241524698592227</stp>
        <tr r="O2042" s="2"/>
      </tp>
      <tp t="s">
        <v>#N/A N/A</v>
        <stp/>
        <stp>BDP|6518925518917789686</stp>
        <tr r="D130" s="2"/>
      </tp>
      <tp t="s">
        <v>#N/A N/A</v>
        <stp/>
        <stp>BDP|7176004194511003055</stp>
        <tr r="E1680" s="2"/>
      </tp>
      <tp t="s">
        <v>#N/A N/A</v>
        <stp/>
        <stp>BDS|5612862445641670732</stp>
        <tr r="I1824" s="2"/>
      </tp>
      <tp t="s">
        <v>#N/A N/A</v>
        <stp/>
        <stp>BDP|9119422074601314447</stp>
        <tr r="E880" s="2"/>
      </tp>
      <tp t="s">
        <v>#N/A N/A</v>
        <stp/>
        <stp>BDP|1779497168145248947</stp>
        <tr r="O695" s="2"/>
      </tp>
      <tp t="s">
        <v>#N/A N/A</v>
        <stp/>
        <stp>BDP|8656361152157102637</stp>
        <tr r="Q860" s="2"/>
      </tp>
      <tp t="s">
        <v>#N/A N/A</v>
        <stp/>
        <stp>BDP|9981378312665574193</stp>
        <tr r="Q567" s="2"/>
      </tp>
      <tp t="s">
        <v>#N/A N/A</v>
        <stp/>
        <stp>BDP|3141857941395702522</stp>
        <tr r="J846" s="2"/>
      </tp>
      <tp t="s">
        <v>#N/A N/A</v>
        <stp/>
        <stp>BDP|8084637535580405228</stp>
        <tr r="N1008" s="2"/>
      </tp>
      <tp t="s">
        <v>#N/A N/A</v>
        <stp/>
        <stp>BDS|4984121958778565769</stp>
        <tr r="I910" s="2"/>
      </tp>
      <tp t="s">
        <v>#N/A N/A</v>
        <stp/>
        <stp>BDP|7025021964419505735</stp>
        <tr r="G752" s="2"/>
      </tp>
      <tp t="s">
        <v>#N/A N/A</v>
        <stp/>
        <stp>BDS|2734980169483145172</stp>
        <tr r="I1272" s="2"/>
      </tp>
      <tp t="s">
        <v>#N/A N/A</v>
        <stp/>
        <stp>BDP|7958835423542113086</stp>
        <tr r="N1510" s="2"/>
      </tp>
      <tp t="s">
        <v>#N/A N/A</v>
        <stp/>
        <stp>BDP|2749302959313985878</stp>
        <tr r="E197" s="2"/>
      </tp>
      <tp t="s">
        <v>#N/A N/A</v>
        <stp/>
        <stp>BDS|6738330292456011560</stp>
        <tr r="I1821" s="2"/>
      </tp>
      <tp t="s">
        <v>#N/A N/A</v>
        <stp/>
        <stp>BDP|1070850891469111657</stp>
        <tr r="N2039" s="2"/>
      </tp>
      <tp t="s">
        <v>#N/A N/A</v>
        <stp/>
        <stp>BDP|2568583510479965042</stp>
        <tr r="G208" s="2"/>
      </tp>
      <tp t="s">
        <v>#N/A N/A</v>
        <stp/>
        <stp>BDP|6652153345335693908</stp>
        <tr r="T1809" s="2"/>
      </tp>
      <tp t="s">
        <v>#N/A N/A</v>
        <stp/>
        <stp>BDP|6112414091645124105</stp>
        <tr r="G1286" s="2"/>
      </tp>
      <tp t="s">
        <v>#N/A N/A</v>
        <stp/>
        <stp>BDP|5347729789674994116</stp>
        <tr r="K1954" s="2"/>
      </tp>
      <tp t="s">
        <v>#N/A N/A</v>
        <stp/>
        <stp>BDP|9599605591568440109</stp>
        <tr r="G1168" s="2"/>
      </tp>
      <tp t="s">
        <v>#N/A N/A</v>
        <stp/>
        <stp>BDP|2092155114715144808</stp>
        <tr r="Q646" s="2"/>
      </tp>
      <tp t="s">
        <v>#N/A N/A</v>
        <stp/>
        <stp>BDP|3620769700682628968</stp>
        <tr r="O427" s="2"/>
      </tp>
      <tp t="s">
        <v>#N/A N/A</v>
        <stp/>
        <stp>BDP|2155685908692495958</stp>
        <tr r="S1853" s="2"/>
      </tp>
      <tp t="s">
        <v>#N/A N/A</v>
        <stp/>
        <stp>BDP|1642840381368066636</stp>
        <tr r="Q2108" s="2"/>
      </tp>
      <tp t="s">
        <v>#N/A N/A</v>
        <stp/>
        <stp>BDP|1454270085596212246</stp>
        <tr r="Q1031" s="2"/>
      </tp>
      <tp t="s">
        <v>#N/A N/A</v>
        <stp/>
        <stp>BDP|8269394787248943453</stp>
        <tr r="P1998" s="2"/>
      </tp>
      <tp t="s">
        <v>#N/A N/A</v>
        <stp/>
        <stp>BDP|7338075687201074134</stp>
        <tr r="E1452" s="2"/>
      </tp>
      <tp t="s">
        <v>#N/A N/A</v>
        <stp/>
        <stp>BDP|3617051838226839937</stp>
        <tr r="S753" s="2"/>
      </tp>
      <tp t="s">
        <v>#N/A N/A</v>
        <stp/>
        <stp>BDP|6560990489108331062</stp>
        <tr r="E1625" s="2"/>
      </tp>
      <tp t="s">
        <v>#N/A N/A</v>
        <stp/>
        <stp>BDP|4871486580247127017</stp>
        <tr r="A660" s="2"/>
      </tp>
      <tp t="s">
        <v>#N/A N/A</v>
        <stp/>
        <stp>BDS|1689711096026458659</stp>
        <tr r="I362" s="2"/>
      </tp>
      <tp t="s">
        <v>#N/A N/A</v>
        <stp/>
        <stp>BDP|3604136996565336106</stp>
        <tr r="G872" s="2"/>
      </tp>
      <tp t="s">
        <v>#N/A N/A</v>
        <stp/>
        <stp>BDP|5358445954493217813</stp>
        <tr r="J829" s="2"/>
      </tp>
      <tp t="s">
        <v>#N/A N/A</v>
        <stp/>
        <stp>BDP|5458096990484416790</stp>
        <tr r="T1412" s="2"/>
      </tp>
      <tp t="s">
        <v>#N/A N/A</v>
        <stp/>
        <stp>BDP|7560520837406250821</stp>
        <tr r="O6" s="2"/>
      </tp>
      <tp t="s">
        <v>#N/A N/A</v>
        <stp/>
        <stp>BDP|5407234354975506874</stp>
        <tr r="T31" s="2"/>
      </tp>
      <tp t="s">
        <v>#N/A N/A</v>
        <stp/>
        <stp>BDP|9988996636125331945</stp>
        <tr r="G1258" s="2"/>
      </tp>
      <tp t="s">
        <v>#N/A N/A</v>
        <stp/>
        <stp>BDS|6903936978756735148</stp>
        <tr r="I13" s="2"/>
      </tp>
      <tp t="s">
        <v>#N/A N/A</v>
        <stp/>
        <stp>BDP|7864188551425216923</stp>
        <tr r="N332" s="2"/>
      </tp>
      <tp t="s">
        <v>#N/A N/A</v>
        <stp/>
        <stp>BDP|5385501732108984498</stp>
        <tr r="R147" s="2"/>
      </tp>
      <tp t="s">
        <v>#N/A N/A</v>
        <stp/>
        <stp>BDP|4566590585915945313</stp>
        <tr r="G1003" s="2"/>
      </tp>
      <tp t="s">
        <v>#N/A N/A</v>
        <stp/>
        <stp>BDP|4989344813869887074</stp>
        <tr r="P1703" s="2"/>
      </tp>
      <tp t="s">
        <v>#N/A N/A</v>
        <stp/>
        <stp>BDP|5216261861759575718</stp>
        <tr r="K961" s="2"/>
      </tp>
      <tp t="s">
        <v>#N/A N/A</v>
        <stp/>
        <stp>BDP|2438228645759022226</stp>
        <tr r="N883" s="2"/>
      </tp>
      <tp t="s">
        <v>#N/A N/A</v>
        <stp/>
        <stp>BDP|3140068311194663913</stp>
        <tr r="E491" s="2"/>
      </tp>
      <tp t="s">
        <v>#N/A N/A</v>
        <stp/>
        <stp>BDP|3085827717612198758</stp>
        <tr r="O1251" s="2"/>
      </tp>
      <tp t="s">
        <v>#N/A N/A</v>
        <stp/>
        <stp>BDP|8435422228333802279</stp>
        <tr r="C270" s="2"/>
      </tp>
      <tp t="s">
        <v>#N/A N/A</v>
        <stp/>
        <stp>BDP|1699157643473225833</stp>
        <tr r="O1649" s="2"/>
      </tp>
      <tp t="s">
        <v>#N/A N/A</v>
        <stp/>
        <stp>BDP|9300234171433627068</stp>
        <tr r="P2151" s="2"/>
      </tp>
      <tp t="s">
        <v>#N/A N/A</v>
        <stp/>
        <stp>BDP|1782420733518625115</stp>
        <tr r="P855" s="2"/>
      </tp>
      <tp t="s">
        <v>#N/A N/A</v>
        <stp/>
        <stp>BDS|2307605891705584763</stp>
        <tr r="I842" s="2"/>
      </tp>
      <tp t="s">
        <v>#N/A N/A</v>
        <stp/>
        <stp>BDP|4186907854512559512</stp>
        <tr r="P1401" s="2"/>
      </tp>
      <tp t="s">
        <v>#N/A N/A</v>
        <stp/>
        <stp>BDP|2092982759178155912</stp>
        <tr r="Q851" s="2"/>
      </tp>
      <tp t="s">
        <v>#N/A N/A</v>
        <stp/>
        <stp>BDP|5384456217788417745</stp>
        <tr r="P662" s="2"/>
      </tp>
      <tp t="s">
        <v>#N/A N/A</v>
        <stp/>
        <stp>BDP|8840410786759698287</stp>
        <tr r="Q66" s="2"/>
      </tp>
      <tp t="s">
        <v>#N/A N/A</v>
        <stp/>
        <stp>BDP|1174989090167142997</stp>
        <tr r="E1140" s="2"/>
      </tp>
      <tp t="s">
        <v>#N/A N/A</v>
        <stp/>
        <stp>BDP|3966622701442258899</stp>
        <tr r="K248" s="2"/>
      </tp>
      <tp t="s">
        <v>#N/A N/A</v>
        <stp/>
        <stp>BDP|1293674188084425483</stp>
        <tr r="N2179" s="2"/>
      </tp>
      <tp t="s">
        <v>#N/A N/A</v>
        <stp/>
        <stp>BDP|1926954651777588595</stp>
        <tr r="Q1752" s="2"/>
      </tp>
      <tp t="s">
        <v>#N/A N/A</v>
        <stp/>
        <stp>BDP|1286404041007733950</stp>
        <tr r="T396" s="2"/>
      </tp>
      <tp t="s">
        <v>#N/A N/A</v>
        <stp/>
        <stp>BDP|4646279606849631009</stp>
        <tr r="P82" s="2"/>
      </tp>
      <tp t="s">
        <v>#N/A N/A</v>
        <stp/>
        <stp>BDP|3361538282349329800</stp>
        <tr r="S1088" s="2"/>
      </tp>
      <tp t="s">
        <v>#N/A N/A</v>
        <stp/>
        <stp>BDP|9193560203140260370</stp>
        <tr r="F505" s="2"/>
      </tp>
      <tp t="s">
        <v>#N/A N/A</v>
        <stp/>
        <stp>BDS|5781077039011826800</stp>
        <tr r="I1017" s="2"/>
      </tp>
      <tp t="s">
        <v>#N/A N/A</v>
        <stp/>
        <stp>BDP|6327105402919085108</stp>
        <tr r="N1354" s="2"/>
      </tp>
      <tp t="s">
        <v>#N/A N/A</v>
        <stp/>
        <stp>BDP|9440773931995547764</stp>
        <tr r="P1834" s="2"/>
      </tp>
      <tp t="s">
        <v>#N/A N/A</v>
        <stp/>
        <stp>BDP|1332236165868729231</stp>
        <tr r="D823" s="2"/>
      </tp>
      <tp t="s">
        <v>#N/A N/A</v>
        <stp/>
        <stp>BDP|4589591785456807003</stp>
        <tr r="P2089" s="2"/>
      </tp>
      <tp t="s">
        <v>#N/A N/A</v>
        <stp/>
        <stp>BDP|3024948885038442540</stp>
        <tr r="F2067" s="2"/>
      </tp>
      <tp t="s">
        <v>#N/A N/A</v>
        <stp/>
        <stp>BDP|8263998998216145136</stp>
        <tr r="J1678" s="2"/>
      </tp>
      <tp t="s">
        <v>#N/A N/A</v>
        <stp/>
        <stp>BDP|9937843309919301768</stp>
        <tr r="M536" s="2"/>
      </tp>
      <tp t="s">
        <v>#N/A N/A</v>
        <stp/>
        <stp>BDP|9737325425042200537</stp>
        <tr r="J2032" s="2"/>
      </tp>
      <tp t="s">
        <v>#N/A N/A</v>
        <stp/>
        <stp>BDP|7436320511529011366</stp>
        <tr r="F1910" s="2"/>
      </tp>
      <tp t="s">
        <v>#N/A N/A</v>
        <stp/>
        <stp>BDP|9078990909356674972</stp>
        <tr r="Q987" s="2"/>
      </tp>
      <tp t="s">
        <v>#N/A N/A</v>
        <stp/>
        <stp>BDP|8493620495448550079</stp>
        <tr r="S2112" s="2"/>
      </tp>
      <tp t="s">
        <v>#N/A N/A</v>
        <stp/>
        <stp>BDP|1037421836351621832</stp>
        <tr r="T2132" s="2"/>
      </tp>
      <tp t="s">
        <v>#N/A N/A</v>
        <stp/>
        <stp>BDP|3757264514137617821</stp>
        <tr r="Q2122" s="2"/>
      </tp>
      <tp t="s">
        <v>#N/A N/A</v>
        <stp/>
        <stp>BDP|8298620128066818518</stp>
        <tr r="O1720" s="2"/>
      </tp>
      <tp t="s">
        <v>#N/A N/A</v>
        <stp/>
        <stp>BDS|8883966294231872638</stp>
        <tr r="I635" s="2"/>
      </tp>
      <tp t="s">
        <v>#N/A N/A</v>
        <stp/>
        <stp>BDP|2105603678228103491</stp>
        <tr r="A2061" s="2"/>
      </tp>
      <tp t="s">
        <v>#N/A N/A</v>
        <stp/>
        <stp>BDP|6143571165998358219</stp>
        <tr r="R1705" s="2"/>
      </tp>
      <tp t="s">
        <v>#N/A N/A</v>
        <stp/>
        <stp>BDP|2718804275862682055</stp>
        <tr r="J1119" s="2"/>
      </tp>
      <tp t="s">
        <v>#N/A N/A</v>
        <stp/>
        <stp>BDS|4352827631224158406</stp>
        <tr r="I2058" s="2"/>
      </tp>
      <tp t="s">
        <v>#N/A N/A</v>
        <stp/>
        <stp>BDP|5039737082576831382</stp>
        <tr r="E1809" s="2"/>
      </tp>
      <tp t="s">
        <v>#N/A N/A</v>
        <stp/>
        <stp>BDP|4212924825774557417</stp>
        <tr r="T787" s="2"/>
      </tp>
      <tp t="s">
        <v>#N/A N/A</v>
        <stp/>
        <stp>BDP|6818474380131863462</stp>
        <tr r="O249" s="2"/>
      </tp>
      <tp t="s">
        <v>#N/A N/A</v>
        <stp/>
        <stp>BDP|3791815766807000517</stp>
        <tr r="N1239" s="2"/>
      </tp>
      <tp t="s">
        <v>#N/A N/A</v>
        <stp/>
        <stp>BDP|8170452616122064031</stp>
        <tr r="E952" s="2"/>
      </tp>
      <tp t="s">
        <v>#N/A N/A</v>
        <stp/>
        <stp>BDP|6866498222418088721</stp>
        <tr r="M135" s="2"/>
      </tp>
      <tp t="s">
        <v>#N/A N/A</v>
        <stp/>
        <stp>BDP|6791028704341049805</stp>
        <tr r="N2011" s="2"/>
      </tp>
      <tp t="s">
        <v>#N/A N/A</v>
        <stp/>
        <stp>BDP|5902559507227984831</stp>
        <tr r="A1774" s="2"/>
      </tp>
      <tp t="s">
        <v>#N/A N/A</v>
        <stp/>
        <stp>BDP|2325894573440807200</stp>
        <tr r="R69" s="2"/>
      </tp>
      <tp t="s">
        <v>#N/A N/A</v>
        <stp/>
        <stp>BDP|5348121541667606871</stp>
        <tr r="O127" s="2"/>
      </tp>
      <tp t="s">
        <v>#N/A N/A</v>
        <stp/>
        <stp>BDP|1478445406063083978</stp>
        <tr r="E2117" s="2"/>
      </tp>
      <tp t="s">
        <v>#N/A N/A</v>
        <stp/>
        <stp>BDP|1661632870148764731</stp>
        <tr r="H559" s="2"/>
      </tp>
      <tp t="s">
        <v>#N/A N/A</v>
        <stp/>
        <stp>BDP|6796979417769660804</stp>
        <tr r="N2038" s="2"/>
      </tp>
      <tp t="s">
        <v>#N/A N/A</v>
        <stp/>
        <stp>BDP|6296819655001355540</stp>
        <tr r="K1377" s="2"/>
      </tp>
      <tp t="s">
        <v>#N/A N/A</v>
        <stp/>
        <stp>BDP|1424984089149337670</stp>
        <tr r="M2181" s="2"/>
      </tp>
      <tp t="s">
        <v>#N/A N/A</v>
        <stp/>
        <stp>BDP|9532186786897881821</stp>
        <tr r="D182" s="2"/>
      </tp>
      <tp t="s">
        <v>#N/A N/A</v>
        <stp/>
        <stp>BDP|4414963058342815537</stp>
        <tr r="J44" s="2"/>
      </tp>
      <tp t="s">
        <v>#N/A N/A</v>
        <stp/>
        <stp>BDP|6332615403226723971</stp>
        <tr r="O1932" s="2"/>
      </tp>
      <tp t="s">
        <v>#N/A N/A</v>
        <stp/>
        <stp>BDP|6927062491025860571</stp>
        <tr r="M1499" s="2"/>
      </tp>
      <tp t="s">
        <v>#N/A N/A</v>
        <stp/>
        <stp>BDP|7667627115468161714</stp>
        <tr r="D2161" s="2"/>
      </tp>
      <tp t="s">
        <v>#N/A N/A</v>
        <stp/>
        <stp>BDP|9804736688430021926</stp>
        <tr r="O1158" s="2"/>
      </tp>
      <tp t="s">
        <v>#N/A N/A</v>
        <stp/>
        <stp>BDP|8707845476269237162</stp>
        <tr r="M332" s="2"/>
      </tp>
      <tp t="s">
        <v>#N/A N/A</v>
        <stp/>
        <stp>BDP|4554418923855274844</stp>
        <tr r="K1254" s="2"/>
      </tp>
      <tp t="s">
        <v>#N/A N/A</v>
        <stp/>
        <stp>BDP|2658919309444871079</stp>
        <tr r="Q292" s="2"/>
      </tp>
      <tp t="s">
        <v>#N/A N/A</v>
        <stp/>
        <stp>BDP|9678393589315257854</stp>
        <tr r="O356" s="2"/>
      </tp>
      <tp t="s">
        <v>#N/A N/A</v>
        <stp/>
        <stp>BDP|2168127946909206111</stp>
        <tr r="P816" s="2"/>
      </tp>
      <tp t="s">
        <v>#N/A N/A</v>
        <stp/>
        <stp>BDP|5000785477282182886</stp>
        <tr r="Q244" s="2"/>
      </tp>
      <tp t="s">
        <v>#N/A N/A</v>
        <stp/>
        <stp>BDP|5789892389978533249</stp>
        <tr r="A985" s="2"/>
      </tp>
      <tp t="s">
        <v>#N/A N/A</v>
        <stp/>
        <stp>BDS|5755911567197397246</stp>
        <tr r="I1010" s="2"/>
      </tp>
      <tp t="s">
        <v>#N/A N/A</v>
        <stp/>
        <stp>BDP|1520682511988922132</stp>
        <tr r="N629" s="2"/>
      </tp>
      <tp t="s">
        <v>#N/A N/A</v>
        <stp/>
        <stp>BDP|8400561322837715710</stp>
        <tr r="K1629" s="2"/>
      </tp>
      <tp t="s">
        <v>#N/A N/A</v>
        <stp/>
        <stp>BDP|4777808019817078588</stp>
        <tr r="D1454" s="2"/>
      </tp>
      <tp t="s">
        <v>#N/A N/A</v>
        <stp/>
        <stp>BDP|9323631699068811179</stp>
        <tr r="K1504" s="2"/>
      </tp>
      <tp t="s">
        <v>#N/A N/A</v>
        <stp/>
        <stp>BDP|2731368443543102955</stp>
        <tr r="H276" s="2"/>
      </tp>
      <tp t="s">
        <v>#N/A N/A</v>
        <stp/>
        <stp>BDP|2974908949475742514</stp>
        <tr r="K936" s="2"/>
      </tp>
      <tp t="s">
        <v>#N/A N/A</v>
        <stp/>
        <stp>BDP|8692100528626161293</stp>
        <tr r="D1671" s="2"/>
      </tp>
      <tp t="s">
        <v>#N/A N/A</v>
        <stp/>
        <stp>BDP|5497804592189129214</stp>
        <tr r="T779" s="2"/>
      </tp>
      <tp t="s">
        <v>#N/A N/A</v>
        <stp/>
        <stp>BDP|8074332511102002749</stp>
        <tr r="O2112" s="2"/>
      </tp>
      <tp t="s">
        <v>#N/A N/A</v>
        <stp/>
        <stp>BDP|4585701253298556153</stp>
        <tr r="S1826" s="2"/>
      </tp>
      <tp t="s">
        <v>#N/A N/A</v>
        <stp/>
        <stp>BDP|6695674607137905890</stp>
        <tr r="J501" s="2"/>
      </tp>
      <tp t="s">
        <v>#N/A N/A</v>
        <stp/>
        <stp>BDP|6484846115203778347</stp>
        <tr r="H1089" s="2"/>
      </tp>
      <tp t="s">
        <v>#N/A N/A</v>
        <stp/>
        <stp>BDP|6433729690143275423</stp>
        <tr r="T596" s="2"/>
      </tp>
      <tp t="s">
        <v>#N/A N/A</v>
        <stp/>
        <stp>BDP|8370783389341010949</stp>
        <tr r="T680" s="2"/>
      </tp>
      <tp t="s">
        <v>#N/A N/A</v>
        <stp/>
        <stp>BDP|8852539776734211195</stp>
        <tr r="Q1547" s="2"/>
      </tp>
      <tp t="s">
        <v>#N/A N/A</v>
        <stp/>
        <stp>BDP|6278138973187218860</stp>
        <tr r="S145" s="2"/>
      </tp>
      <tp t="s">
        <v>#N/A N/A</v>
        <stp/>
        <stp>BDP|8199633534394336635</stp>
        <tr r="E1281" s="2"/>
      </tp>
      <tp t="s">
        <v>#N/A N/A</v>
        <stp/>
        <stp>BDP|6080969086181780917</stp>
        <tr r="R1614" s="2"/>
      </tp>
      <tp t="s">
        <v>#N/A N/A</v>
        <stp/>
        <stp>BDP|9371100864030713169</stp>
        <tr r="F1760" s="2"/>
      </tp>
      <tp t="s">
        <v>#N/A N/A</v>
        <stp/>
        <stp>BDP|2430640255936144820</stp>
        <tr r="S199" s="2"/>
      </tp>
      <tp t="s">
        <v>#N/A N/A</v>
        <stp/>
        <stp>BDP|2104029890760150445</stp>
        <tr r="P1890" s="2"/>
      </tp>
      <tp t="s">
        <v>#N/A N/A</v>
        <stp/>
        <stp>BDP|8609630659804315097</stp>
        <tr r="G168" s="2"/>
      </tp>
      <tp t="s">
        <v>#N/A N/A</v>
        <stp/>
        <stp>BDP|2230929917187024218</stp>
        <tr r="J14" s="2"/>
      </tp>
      <tp t="s">
        <v>#N/A N/A</v>
        <stp/>
        <stp>BDP|3061248794563533439</stp>
        <tr r="A1075" s="2"/>
      </tp>
      <tp t="s">
        <v>#N/A N/A</v>
        <stp/>
        <stp>BDP|6345984309399331971</stp>
        <tr r="R1115" s="2"/>
      </tp>
      <tp t="s">
        <v>#N/A N/A</v>
        <stp/>
        <stp>BDP|4538825297872394856</stp>
        <tr r="D185" s="2"/>
      </tp>
      <tp t="s">
        <v>#N/A N/A</v>
        <stp/>
        <stp>BDP|2672755800832082853</stp>
        <tr r="P229" s="2"/>
      </tp>
      <tp t="s">
        <v>#N/A N/A</v>
        <stp/>
        <stp>BDP|7621307094631174354</stp>
        <tr r="S1471" s="2"/>
      </tp>
      <tp t="s">
        <v>#N/A N/A</v>
        <stp/>
        <stp>BDP|7966838218107362679</stp>
        <tr r="K1944" s="2"/>
      </tp>
      <tp t="s">
        <v>#N/A N/A</v>
        <stp/>
        <stp>BDP|1678975671390780019</stp>
        <tr r="R62" s="2"/>
      </tp>
      <tp t="s">
        <v>#N/A N/A</v>
        <stp/>
        <stp>BDP|4657678513679495502</stp>
        <tr r="E1881" s="2"/>
      </tp>
      <tp t="s">
        <v>#N/A N/A</v>
        <stp/>
        <stp>BDP|1787086098235797265</stp>
        <tr r="D903" s="2"/>
      </tp>
      <tp t="s">
        <v>#N/A N/A</v>
        <stp/>
        <stp>BDP|5398228754779777441</stp>
        <tr r="J1451" s="2"/>
      </tp>
      <tp t="s">
        <v>#N/A N/A</v>
        <stp/>
        <stp>BDS|7396101804549482056</stp>
        <tr r="I460" s="2"/>
      </tp>
      <tp t="s">
        <v>#N/A N/A</v>
        <stp/>
        <stp>BDP|1295912055887207523</stp>
        <tr r="R1571" s="2"/>
      </tp>
      <tp t="s">
        <v>#N/A N/A</v>
        <stp/>
        <stp>BDP|1960528342508796781</stp>
        <tr r="G2064" s="2"/>
      </tp>
      <tp t="s">
        <v>#N/A N/A</v>
        <stp/>
        <stp>BDP|7172800508754932460</stp>
        <tr r="A2039" s="2"/>
      </tp>
      <tp t="s">
        <v>#N/A N/A</v>
        <stp/>
        <stp>BDP|1013255855339415025</stp>
        <tr r="G514" s="2"/>
      </tp>
      <tp t="s">
        <v>#N/A N/A</v>
        <stp/>
        <stp>BDS|4757334851678125525</stp>
        <tr r="I136" s="2"/>
      </tp>
      <tp t="s">
        <v>#N/A N/A</v>
        <stp/>
        <stp>BDS|1461941473797123742</stp>
        <tr r="I1811" s="2"/>
      </tp>
      <tp t="s">
        <v>#N/A N/A</v>
        <stp/>
        <stp>BDP|5219843034554758530</stp>
        <tr r="P963" s="2"/>
      </tp>
      <tp t="s">
        <v>#N/A N/A</v>
        <stp/>
        <stp>BDP|4103878480933503853</stp>
        <tr r="E2248" s="2"/>
      </tp>
      <tp t="s">
        <v>#N/A N/A</v>
        <stp/>
        <stp>BDP|1217454180691280339</stp>
        <tr r="Q417" s="2"/>
      </tp>
      <tp t="s">
        <v>#N/A N/A</v>
        <stp/>
        <stp>BDS|1302443013443251804</stp>
        <tr r="I36" s="2"/>
      </tp>
      <tp t="s">
        <v>#N/A N/A</v>
        <stp/>
        <stp>BDP|9679339369870803323</stp>
        <tr r="M979" s="2"/>
      </tp>
      <tp t="s">
        <v>#N/A N/A</v>
        <stp/>
        <stp>BDP|1648377426556160905</stp>
        <tr r="H2041" s="2"/>
      </tp>
      <tp t="s">
        <v>#N/A N/A</v>
        <stp/>
        <stp>BDP|9150526732784325443</stp>
        <tr r="K1917" s="2"/>
      </tp>
      <tp t="s">
        <v>#N/A N/A</v>
        <stp/>
        <stp>BDP|1870980844193372015</stp>
        <tr r="T2019" s="2"/>
      </tp>
      <tp t="s">
        <v>#N/A N/A</v>
        <stp/>
        <stp>BDP|8636660032725227762</stp>
        <tr r="N1320" s="2"/>
      </tp>
      <tp t="s">
        <v>#N/A N/A</v>
        <stp/>
        <stp>BDP|3704523672696176806</stp>
        <tr r="J1483" s="2"/>
      </tp>
      <tp t="s">
        <v>#N/A N/A</v>
        <stp/>
        <stp>BDP|6617359661999645521</stp>
        <tr r="O1750" s="2"/>
      </tp>
      <tp t="s">
        <v>#N/A N/A</v>
        <stp/>
        <stp>BDP|8369057145767733421</stp>
        <tr r="R1458" s="2"/>
      </tp>
      <tp t="s">
        <v>#N/A N/A</v>
        <stp/>
        <stp>BDP|7598303797813226164</stp>
        <tr r="M381" s="2"/>
      </tp>
      <tp t="s">
        <v>#N/A N/A</v>
        <stp/>
        <stp>BDP|1195803377388685965</stp>
        <tr r="P2240" s="2"/>
      </tp>
      <tp t="s">
        <v>#N/A N/A</v>
        <stp/>
        <stp>BDP|4799873909810715384</stp>
        <tr r="G716" s="2"/>
      </tp>
      <tp t="s">
        <v>#N/A N/A</v>
        <stp/>
        <stp>BDP|3843342680505832227</stp>
        <tr r="M1468" s="2"/>
      </tp>
      <tp t="s">
        <v>#N/A N/A</v>
        <stp/>
        <stp>BDP|9745084071151151093</stp>
        <tr r="T317" s="2"/>
      </tp>
      <tp t="s">
        <v>#N/A N/A</v>
        <stp/>
        <stp>BDP|3049227391771352666</stp>
        <tr r="P1708" s="2"/>
      </tp>
      <tp t="s">
        <v>#N/A N/A</v>
        <stp/>
        <stp>BDP|1237627792653011245</stp>
        <tr r="C2182" s="2"/>
      </tp>
      <tp t="s">
        <v>#N/A N/A</v>
        <stp/>
        <stp>BDP|1645542182313032060</stp>
        <tr r="M1429" s="2"/>
      </tp>
      <tp t="s">
        <v>#N/A N/A</v>
        <stp/>
        <stp>BDP|9196580039278786815</stp>
        <tr r="M599" s="2"/>
      </tp>
      <tp t="s">
        <v>#N/A N/A</v>
        <stp/>
        <stp>BDP|9112081667067932715</stp>
        <tr r="N531" s="2"/>
      </tp>
      <tp t="s">
        <v>#N/A N/A</v>
        <stp/>
        <stp>BDP|8347473374295700113</stp>
        <tr r="P1139" s="2"/>
      </tp>
      <tp t="s">
        <v>#N/A N/A</v>
        <stp/>
        <stp>BDP|7177943035343109171</stp>
        <tr r="E334" s="2"/>
      </tp>
      <tp t="s">
        <v>#N/A N/A</v>
        <stp/>
        <stp>BDP|8521208847794775523</stp>
        <tr r="R918" s="2"/>
      </tp>
      <tp t="s">
        <v>#N/A N/A</v>
        <stp/>
        <stp>BDP|2622439315951233958</stp>
        <tr r="E2038" s="2"/>
      </tp>
      <tp t="s">
        <v>#N/A N/A</v>
        <stp/>
        <stp>BDP|3578662979858513585</stp>
        <tr r="K2031" s="2"/>
      </tp>
      <tp t="s">
        <v>#N/A N/A</v>
        <stp/>
        <stp>BDP|3695902942391782049</stp>
        <tr r="K455" s="2"/>
      </tp>
      <tp t="s">
        <v>#N/A N/A</v>
        <stp/>
        <stp>BDP|6347174085948753815</stp>
        <tr r="D1941" s="2"/>
      </tp>
      <tp t="s">
        <v>#N/A N/A</v>
        <stp/>
        <stp>BDS|9997646410348377991</stp>
        <tr r="I1421" s="2"/>
      </tp>
      <tp t="s">
        <v>#N/A N/A</v>
        <stp/>
        <stp>BDP|2039385799317043068</stp>
        <tr r="Q1860" s="2"/>
      </tp>
      <tp t="s">
        <v>#N/A N/A</v>
        <stp/>
        <stp>BDP|3025741510282790841</stp>
        <tr r="F1234" s="2"/>
      </tp>
      <tp t="s">
        <v>#N/A N/A</v>
        <stp/>
        <stp>BDP|6804987835710205309</stp>
        <tr r="N1659" s="2"/>
      </tp>
      <tp t="s">
        <v>#N/A N/A</v>
        <stp/>
        <stp>BDP|2443717963794748869</stp>
        <tr r="A1004" s="2"/>
      </tp>
      <tp t="s">
        <v>#N/A N/A</v>
        <stp/>
        <stp>BDP|7148968726514626703</stp>
        <tr r="C1897" s="2"/>
      </tp>
      <tp t="s">
        <v>#N/A N/A</v>
        <stp/>
        <stp>BDP|1382656904671408913</stp>
        <tr r="E283" s="2"/>
      </tp>
      <tp t="s">
        <v>#N/A N/A</v>
        <stp/>
        <stp>BDP|5692374477618653675</stp>
        <tr r="S1153" s="2"/>
      </tp>
      <tp t="s">
        <v>#N/A N/A</v>
        <stp/>
        <stp>BDP|9210478353455329224</stp>
        <tr r="S72" s="2"/>
      </tp>
      <tp t="s">
        <v>#N/A N/A</v>
        <stp/>
        <stp>BDP|8591060478476925655</stp>
        <tr r="Q572" s="2"/>
      </tp>
      <tp t="s">
        <v>#N/A N/A</v>
        <stp/>
        <stp>BDP|2698907813443107630</stp>
        <tr r="O1501" s="2"/>
      </tp>
      <tp t="s">
        <v>#N/A N/A</v>
        <stp/>
        <stp>BDP|9679005863516424668</stp>
        <tr r="J1300" s="2"/>
      </tp>
      <tp t="s">
        <v>#N/A N/A</v>
        <stp/>
        <stp>BDP|8973066944097885444</stp>
        <tr r="F1395" s="2"/>
      </tp>
      <tp t="s">
        <v>#N/A N/A</v>
        <stp/>
        <stp>BDP|7716820429520811238</stp>
        <tr r="A361" s="2"/>
      </tp>
      <tp t="s">
        <v>#N/A N/A</v>
        <stp/>
        <stp>BDP|5314627597771184404</stp>
        <tr r="T1296" s="2"/>
      </tp>
      <tp t="s">
        <v>#N/A N/A</v>
        <stp/>
        <stp>BDP|3569556155075744959</stp>
        <tr r="E1491" s="2"/>
      </tp>
      <tp t="s">
        <v>#N/A N/A</v>
        <stp/>
        <stp>BDP|4481611626158424706</stp>
        <tr r="A582" s="2"/>
      </tp>
      <tp t="s">
        <v>#N/A N/A</v>
        <stp/>
        <stp>BDP|1041241313579784474</stp>
        <tr r="E1882" s="2"/>
      </tp>
      <tp t="s">
        <v>#N/A N/A</v>
        <stp/>
        <stp>BDP|8827548692598139380</stp>
        <tr r="C131" s="2"/>
      </tp>
      <tp t="s">
        <v>#N/A N/A</v>
        <stp/>
        <stp>BDP|4146806306903646063</stp>
        <tr r="D589" s="2"/>
      </tp>
      <tp t="s">
        <v>#N/A N/A</v>
        <stp/>
        <stp>BDP|9774520813637180505</stp>
        <tr r="O433" s="2"/>
      </tp>
      <tp t="s">
        <v>#N/A N/A</v>
        <stp/>
        <stp>BDP|7423683717458596793</stp>
        <tr r="N1400" s="2"/>
      </tp>
      <tp t="s">
        <v>#N/A N/A</v>
        <stp/>
        <stp>BDP|5110771190855249133</stp>
        <tr r="T1471" s="2"/>
      </tp>
      <tp t="s">
        <v>#N/A N/A</v>
        <stp/>
        <stp>BDP|3749958018553428795</stp>
        <tr r="J2238" s="2"/>
      </tp>
      <tp t="s">
        <v>#N/A N/A</v>
        <stp/>
        <stp>BDP|3903441205650805879</stp>
        <tr r="Q820" s="2"/>
      </tp>
      <tp t="s">
        <v>#N/A N/A</v>
        <stp/>
        <stp>BDP|1507349777448226231</stp>
        <tr r="E1834" s="2"/>
      </tp>
      <tp t="s">
        <v>#N/A N/A</v>
        <stp/>
        <stp>BDP|2440939573080256316</stp>
        <tr r="Q2238" s="2"/>
      </tp>
      <tp t="s">
        <v>#N/A N/A</v>
        <stp/>
        <stp>BDP|9022160267739298842</stp>
        <tr r="G130" s="2"/>
      </tp>
      <tp t="s">
        <v>#N/A N/A</v>
        <stp/>
        <stp>BDS|4666487345703852841</stp>
        <tr r="I1717" s="2"/>
      </tp>
      <tp t="s">
        <v>#N/A N/A</v>
        <stp/>
        <stp>BDP|7238665326739144544</stp>
        <tr r="K373" s="2"/>
      </tp>
      <tp t="s">
        <v>#N/A N/A</v>
        <stp/>
        <stp>BDP|8707179854467580464</stp>
        <tr r="N544" s="2"/>
      </tp>
      <tp t="s">
        <v>#N/A N/A</v>
        <stp/>
        <stp>BDP|9344421430427318651</stp>
        <tr r="G1547" s="2"/>
      </tp>
      <tp t="s">
        <v>#N/A N/A</v>
        <stp/>
        <stp>BDP|8877778499939967080</stp>
        <tr r="R1114" s="2"/>
      </tp>
      <tp t="s">
        <v>#N/A N/A</v>
        <stp/>
        <stp>BDP|3060896024683358593</stp>
        <tr r="D786" s="2"/>
      </tp>
      <tp t="s">
        <v>#N/A N/A</v>
        <stp/>
        <stp>BDP|6173237617702315816</stp>
        <tr r="F1472" s="2"/>
      </tp>
      <tp t="s">
        <v>#N/A N/A</v>
        <stp/>
        <stp>BDP|1233606901991740938</stp>
        <tr r="O73" s="2"/>
      </tp>
      <tp t="s">
        <v>#N/A N/A</v>
        <stp/>
        <stp>BDP|6411205452166679872</stp>
        <tr r="J96" s="2"/>
      </tp>
      <tp t="s">
        <v>#N/A N/A</v>
        <stp/>
        <stp>BDP|7966895996959290033</stp>
        <tr r="F945" s="2"/>
      </tp>
      <tp t="s">
        <v>#N/A N/A</v>
        <stp/>
        <stp>BDP|6204438696741697565</stp>
        <tr r="C1116" s="2"/>
      </tp>
      <tp t="s">
        <v>#N/A N/A</v>
        <stp/>
        <stp>BDP|6143024990163420300</stp>
        <tr r="H66" s="2"/>
      </tp>
      <tp t="s">
        <v>#N/A N/A</v>
        <stp/>
        <stp>BDP|8919981121515074971</stp>
        <tr r="O783" s="2"/>
      </tp>
      <tp t="s">
        <v>#N/A N/A</v>
        <stp/>
        <stp>BDP|3552477398172408390</stp>
        <tr r="M1051" s="2"/>
      </tp>
      <tp t="s">
        <v>#N/A N/A</v>
        <stp/>
        <stp>BDP|5320944377086634216</stp>
        <tr r="O1629" s="2"/>
      </tp>
      <tp t="s">
        <v>#N/A N/A</v>
        <stp/>
        <stp>BDP|8048396094969881420</stp>
        <tr r="A2083" s="2"/>
      </tp>
      <tp t="s">
        <v>#N/A N/A</v>
        <stp/>
        <stp>BDP|9250117833341104562</stp>
        <tr r="K1982" s="2"/>
      </tp>
      <tp t="s">
        <v>#N/A N/A</v>
        <stp/>
        <stp>BDP|3765677991432505136</stp>
        <tr r="S1767" s="2"/>
      </tp>
      <tp t="s">
        <v>#N/A N/A</v>
        <stp/>
        <stp>BDP|1229547167449018462</stp>
        <tr r="C474" s="2"/>
      </tp>
      <tp t="s">
        <v>#N/A N/A</v>
        <stp/>
        <stp>BDP|2242030649011703886</stp>
        <tr r="C1752" s="2"/>
      </tp>
      <tp t="s">
        <v>#N/A N/A</v>
        <stp/>
        <stp>BDP|9944283252439012840</stp>
        <tr r="Q1792" s="2"/>
      </tp>
      <tp t="s">
        <v>#N/A N/A</v>
        <stp/>
        <stp>BDP|7260069484039147969</stp>
        <tr r="P910" s="2"/>
      </tp>
      <tp t="s">
        <v>#N/A N/A</v>
        <stp/>
        <stp>BDP|8053587572641979441</stp>
        <tr r="E549" s="2"/>
      </tp>
      <tp t="s">
        <v>#N/A N/A</v>
        <stp/>
        <stp>BDP|5109883033258838957</stp>
        <tr r="K1473" s="2"/>
      </tp>
      <tp t="s">
        <v>#N/A N/A</v>
        <stp/>
        <stp>BDP|8932308403551596582</stp>
        <tr r="M1085" s="2"/>
      </tp>
      <tp t="s">
        <v>#N/A N/A</v>
        <stp/>
        <stp>BDP|9201629013603423208</stp>
        <tr r="T2188" s="2"/>
      </tp>
      <tp t="s">
        <v>#N/A N/A</v>
        <stp/>
        <stp>BDP|9152042760997180733</stp>
        <tr r="Q907" s="2"/>
      </tp>
      <tp t="s">
        <v>#N/A N/A</v>
        <stp/>
        <stp>BDP|5375946741111229637</stp>
        <tr r="D824" s="2"/>
      </tp>
      <tp t="s">
        <v>#N/A N/A</v>
        <stp/>
        <stp>BDP|8994533506517395582</stp>
        <tr r="F1531" s="2"/>
      </tp>
      <tp t="s">
        <v>#N/A N/A</v>
        <stp/>
        <stp>BDP|2193654501013181831</stp>
        <tr r="N1583" s="2"/>
      </tp>
      <tp t="s">
        <v>#N/A N/A</v>
        <stp/>
        <stp>BDP|8087169102676237010</stp>
        <tr r="R1098" s="2"/>
      </tp>
      <tp t="s">
        <v>#N/A N/A</v>
        <stp/>
        <stp>BDP|9591493406546997442</stp>
        <tr r="H851" s="2"/>
      </tp>
      <tp t="s">
        <v>#N/A N/A</v>
        <stp/>
        <stp>BDP|4806198797122793164</stp>
        <tr r="S1681" s="2"/>
      </tp>
      <tp t="s">
        <v>#N/A N/A</v>
        <stp/>
        <stp>BDP|7026725445112471945</stp>
        <tr r="A2036" s="2"/>
      </tp>
      <tp t="s">
        <v>#N/A N/A</v>
        <stp/>
        <stp>BDP|1681729563379900696</stp>
        <tr r="D1912" s="2"/>
      </tp>
      <tp t="s">
        <v>#N/A N/A</v>
        <stp/>
        <stp>BDP|6916143599125032434</stp>
        <tr r="R1513" s="2"/>
      </tp>
      <tp t="s">
        <v>#N/A N/A</v>
        <stp/>
        <stp>BDP|6159295038328117066</stp>
        <tr r="K761" s="2"/>
      </tp>
      <tp t="s">
        <v>#N/A N/A</v>
        <stp/>
        <stp>BDP|9735517536193311340</stp>
        <tr r="F790" s="2"/>
      </tp>
      <tp t="s">
        <v>#N/A N/A</v>
        <stp/>
        <stp>BDP|1915924157642969021</stp>
        <tr r="Q2248" s="2"/>
      </tp>
      <tp t="s">
        <v>#N/A N/A</v>
        <stp/>
        <stp>BDP|3339822685068050430</stp>
        <tr r="C383" s="2"/>
      </tp>
      <tp t="s">
        <v>#N/A N/A</v>
        <stp/>
        <stp>BDP|5336310386274219514</stp>
        <tr r="K1338" s="2"/>
      </tp>
      <tp t="s">
        <v>#N/A N/A</v>
        <stp/>
        <stp>BDP|6555546643341140943</stp>
        <tr r="D635" s="2"/>
      </tp>
      <tp t="s">
        <v>#N/A N/A</v>
        <stp/>
        <stp>BDP|7201362266938480514</stp>
        <tr r="M2067" s="2"/>
      </tp>
      <tp t="s">
        <v>#N/A N/A</v>
        <stp/>
        <stp>BDP|8347058777543799317</stp>
        <tr r="J70" s="2"/>
      </tp>
      <tp t="s">
        <v>#N/A N/A</v>
        <stp/>
        <stp>BDP|2657756679104809955</stp>
        <tr r="T157" s="2"/>
      </tp>
      <tp t="s">
        <v>#N/A N/A</v>
        <stp/>
        <stp>BDP|8150544965453705702</stp>
        <tr r="R1934" s="2"/>
      </tp>
      <tp t="s">
        <v>#N/A N/A</v>
        <stp/>
        <stp>BDP|1436475135638201136</stp>
        <tr r="E2196" s="2"/>
      </tp>
      <tp t="s">
        <v>#N/A N/A</v>
        <stp/>
        <stp>BDP|3926430473166972972</stp>
        <tr r="P1735" s="2"/>
      </tp>
      <tp t="s">
        <v>#N/A N/A</v>
        <stp/>
        <stp>BDP|1977590190713326144</stp>
        <tr r="S14" s="2"/>
      </tp>
      <tp t="s">
        <v>#N/A N/A</v>
        <stp/>
        <stp>BDP|2791459689000405186</stp>
        <tr r="E1285" s="2"/>
      </tp>
      <tp t="s">
        <v>#N/A N/A</v>
        <stp/>
        <stp>BDP|8038117441294316641</stp>
        <tr r="F1298" s="2"/>
      </tp>
      <tp t="s">
        <v>#N/A N/A</v>
        <stp/>
        <stp>BDP|3435970343498431932</stp>
        <tr r="Q352" s="2"/>
      </tp>
      <tp t="s">
        <v>#N/A N/A</v>
        <stp/>
        <stp>BDP|7150282650257748897</stp>
        <tr r="G363" s="2"/>
      </tp>
      <tp t="s">
        <v>#N/A N/A</v>
        <stp/>
        <stp>BDP|9197669154967224252</stp>
        <tr r="D1477" s="2"/>
      </tp>
      <tp t="s">
        <v>#N/A N/A</v>
        <stp/>
        <stp>BDP|4993013400208402381</stp>
        <tr r="O1327" s="2"/>
      </tp>
      <tp t="s">
        <v>#N/A N/A</v>
        <stp/>
        <stp>BDP|8476344356225392411</stp>
        <tr r="A1500" s="2"/>
      </tp>
      <tp t="s">
        <v>#N/A N/A</v>
        <stp/>
        <stp>BDP|9920560339501786156</stp>
        <tr r="S633" s="2"/>
      </tp>
      <tp t="s">
        <v>#N/A N/A</v>
        <stp/>
        <stp>BDP|5096301552664035864</stp>
        <tr r="G1180" s="2"/>
      </tp>
      <tp t="s">
        <v>#N/A N/A</v>
        <stp/>
        <stp>BDP|1603141792967653124</stp>
        <tr r="A1578" s="2"/>
      </tp>
      <tp t="s">
        <v>#N/A N/A</v>
        <stp/>
        <stp>BDP|8139677034812176072</stp>
        <tr r="M1545" s="2"/>
      </tp>
      <tp t="s">
        <v>#N/A N/A</v>
        <stp/>
        <stp>BDP|4917204425388974318</stp>
        <tr r="S612" s="2"/>
      </tp>
      <tp t="s">
        <v>#N/A N/A</v>
        <stp/>
        <stp>BDP|7110546626886271951</stp>
        <tr r="H1509" s="2"/>
      </tp>
      <tp t="s">
        <v>#N/A N/A</v>
        <stp/>
        <stp>BDP|2310999819200140567</stp>
        <tr r="J478" s="2"/>
      </tp>
      <tp t="s">
        <v>#N/A N/A</v>
        <stp/>
        <stp>BDP|1708968212793568520</stp>
        <tr r="C494" s="2"/>
      </tp>
      <tp t="s">
        <v>#N/A N/A</v>
        <stp/>
        <stp>BDP|9168864231224413968</stp>
        <tr r="C693" s="2"/>
      </tp>
      <tp t="s">
        <v>#N/A N/A</v>
        <stp/>
        <stp>BDP|1490801814226336171</stp>
        <tr r="S98" s="2"/>
      </tp>
      <tp t="s">
        <v>#N/A N/A</v>
        <stp/>
        <stp>BDP|6232729606487271901</stp>
        <tr r="F722" s="2"/>
      </tp>
      <tp t="s">
        <v>#N/A N/A</v>
        <stp/>
        <stp>BDP|1749496889982776044</stp>
        <tr r="K127" s="2"/>
      </tp>
      <tp t="s">
        <v>#N/A N/A</v>
        <stp/>
        <stp>BDS|8806697881248692127</stp>
        <tr r="I1878" s="2"/>
      </tp>
      <tp t="s">
        <v>#N/A N/A</v>
        <stp/>
        <stp>BDS|5193003199313818043</stp>
        <tr r="I464" s="2"/>
      </tp>
      <tp t="s">
        <v>#N/A N/A</v>
        <stp/>
        <stp>BDP|6866891900691381062</stp>
        <tr r="Q1919" s="2"/>
      </tp>
      <tp t="s">
        <v>#N/A N/A</v>
        <stp/>
        <stp>BDS|7352103351565195972</stp>
        <tr r="I2095" s="2"/>
      </tp>
      <tp t="s">
        <v>#N/A N/A</v>
        <stp/>
        <stp>BDP|7014958529113113092</stp>
        <tr r="G1195" s="2"/>
      </tp>
      <tp t="s">
        <v>#N/A N/A</v>
        <stp/>
        <stp>BDP|4721971046830159635</stp>
        <tr r="D1874" s="2"/>
      </tp>
      <tp t="s">
        <v>#N/A N/A</v>
        <stp/>
        <stp>BDP|2923605135538894001</stp>
        <tr r="F398" s="2"/>
      </tp>
      <tp t="s">
        <v>#N/A N/A</v>
        <stp/>
        <stp>BDP|7306247309038399294</stp>
        <tr r="D2219" s="2"/>
      </tp>
      <tp t="s">
        <v>#N/A N/A</v>
        <stp/>
        <stp>BDP|5892920058561691708</stp>
        <tr r="D943" s="2"/>
      </tp>
      <tp t="s">
        <v>#N/A N/A</v>
        <stp/>
        <stp>BDP|2339348550692334903</stp>
        <tr r="A98" s="2"/>
      </tp>
      <tp t="s">
        <v>#N/A N/A</v>
        <stp/>
        <stp>BDP|6023668300898094726</stp>
        <tr r="E599" s="2"/>
      </tp>
      <tp t="s">
        <v>#N/A N/A</v>
        <stp/>
        <stp>BDP|7589930596368552013</stp>
        <tr r="P1286" s="2"/>
      </tp>
      <tp t="s">
        <v>#N/A N/A</v>
        <stp/>
        <stp>BDP|3764759836418762071</stp>
        <tr r="M785" s="2"/>
      </tp>
      <tp t="s">
        <v>#N/A N/A</v>
        <stp/>
        <stp>BDP|5397372306201230845</stp>
        <tr r="S1629" s="2"/>
      </tp>
      <tp t="s">
        <v>#N/A N/A</v>
        <stp/>
        <stp>BDP|5582847255437557051</stp>
        <tr r="M721" s="2"/>
      </tp>
      <tp t="s">
        <v>#N/A N/A</v>
        <stp/>
        <stp>BDP|4581134685386738403</stp>
        <tr r="M1840" s="2"/>
      </tp>
      <tp t="s">
        <v>#N/A N/A</v>
        <stp/>
        <stp>BDP|6434519893951689445</stp>
        <tr r="P58" s="2"/>
      </tp>
      <tp t="s">
        <v>#N/A N/A</v>
        <stp/>
        <stp>BDP|6634399506768456296</stp>
        <tr r="J38" s="2"/>
      </tp>
      <tp t="s">
        <v>#N/A N/A</v>
        <stp/>
        <stp>BDP|3097342675721040959</stp>
        <tr r="C2190" s="2"/>
      </tp>
      <tp t="s">
        <v>#N/A N/A</v>
        <stp/>
        <stp>BDP|6379062453928582475</stp>
        <tr r="D2194" s="2"/>
      </tp>
      <tp t="s">
        <v>#N/A N/A</v>
        <stp/>
        <stp>BDP|2709360631145393879</stp>
        <tr r="T2198" s="2"/>
      </tp>
      <tp t="s">
        <v>#N/A N/A</v>
        <stp/>
        <stp>BDP|8495673648824918162</stp>
        <tr r="O1552" s="2"/>
      </tp>
      <tp t="s">
        <v>#N/A N/A</v>
        <stp/>
        <stp>BDS|4018139488233715189</stp>
        <tr r="I1247" s="2"/>
      </tp>
      <tp t="s">
        <v>#N/A N/A</v>
        <stp/>
        <stp>BDP|4347489100656636998</stp>
        <tr r="G58" s="2"/>
      </tp>
      <tp t="s">
        <v>#N/A N/A</v>
        <stp/>
        <stp>BDP|7113217766115103937</stp>
        <tr r="G770" s="2"/>
      </tp>
      <tp t="s">
        <v>#N/A N/A</v>
        <stp/>
        <stp>BDP|6233073016209628110</stp>
        <tr r="H1252" s="2"/>
      </tp>
      <tp t="s">
        <v>#N/A N/A</v>
        <stp/>
        <stp>BDP|4218667374738167254</stp>
        <tr r="K1099" s="2"/>
      </tp>
      <tp t="s">
        <v>#N/A N/A</v>
        <stp/>
        <stp>BDP|5653025120399760176</stp>
        <tr r="M1725" s="2"/>
      </tp>
      <tp t="s">
        <v>#N/A N/A</v>
        <stp/>
        <stp>BDP|9184038529233879776</stp>
        <tr r="H1964" s="2"/>
      </tp>
      <tp t="s">
        <v>#N/A N/A</v>
        <stp/>
        <stp>BDP|5155839333215256479</stp>
        <tr r="K599" s="2"/>
      </tp>
      <tp t="s">
        <v>#N/A N/A</v>
        <stp/>
        <stp>BDP|5997931476676986214</stp>
        <tr r="K1662" s="2"/>
      </tp>
      <tp t="s">
        <v>#N/A N/A</v>
        <stp/>
        <stp>BDP|6438996627363670183</stp>
        <tr r="J2119" s="2"/>
      </tp>
      <tp t="s">
        <v>#N/A N/A</v>
        <stp/>
        <stp>BDP|8291393998264327948</stp>
        <tr r="J645" s="2"/>
      </tp>
      <tp t="s">
        <v>#N/A N/A</v>
        <stp/>
        <stp>BDP|1208430796533067031</stp>
        <tr r="E864" s="2"/>
      </tp>
      <tp t="s">
        <v>#N/A N/A</v>
        <stp/>
        <stp>BDP|4629057424210238911</stp>
        <tr r="R2102" s="2"/>
      </tp>
      <tp t="s">
        <v>#N/A N/A</v>
        <stp/>
        <stp>BDP|2385457693849002912</stp>
        <tr r="H2138" s="2"/>
      </tp>
      <tp t="s">
        <v>#N/A N/A</v>
        <stp/>
        <stp>BDP|2686388180297309197</stp>
        <tr r="C1935" s="2"/>
      </tp>
      <tp t="s">
        <v>#N/A N/A</v>
        <stp/>
        <stp>BDP|1973365829338358711</stp>
        <tr r="S745" s="2"/>
      </tp>
      <tp t="s">
        <v>#N/A N/A</v>
        <stp/>
        <stp>BDP|4334266791571035106</stp>
        <tr r="T871" s="2"/>
      </tp>
      <tp t="s">
        <v>#N/A N/A</v>
        <stp/>
        <stp>BDP|2385053272069472349</stp>
        <tr r="G101" s="2"/>
      </tp>
      <tp t="s">
        <v>#N/A N/A</v>
        <stp/>
        <stp>BDP|9549684128530037213</stp>
        <tr r="R188" s="2"/>
      </tp>
      <tp t="s">
        <v>#N/A N/A</v>
        <stp/>
        <stp>BDP|4829397698129937842</stp>
        <tr r="S2047" s="2"/>
      </tp>
      <tp t="s">
        <v>#N/A N/A</v>
        <stp/>
        <stp>BDP|1975783980005637432</stp>
        <tr r="P1159" s="2"/>
      </tp>
      <tp t="s">
        <v>#N/A N/A</v>
        <stp/>
        <stp>BDP|8882205163815897678</stp>
        <tr r="N172" s="2"/>
      </tp>
      <tp t="s">
        <v>#N/A N/A</v>
        <stp/>
        <stp>BDS|6745470077438213216</stp>
        <tr r="I1540" s="2"/>
      </tp>
      <tp t="s">
        <v>#N/A N/A</v>
        <stp/>
        <stp>BDS|2563031200669541472</stp>
        <tr r="I224" s="2"/>
      </tp>
      <tp t="s">
        <v>#N/A N/A</v>
        <stp/>
        <stp>BDP|4744837123224066533</stp>
        <tr r="T430" s="2"/>
      </tp>
      <tp t="s">
        <v>#N/A N/A</v>
        <stp/>
        <stp>BDS|9210238005592781673</stp>
        <tr r="I1656" s="2"/>
      </tp>
      <tp t="s">
        <v>#N/A N/A</v>
        <stp/>
        <stp>BDP|8748200483219014403</stp>
        <tr r="P300" s="2"/>
      </tp>
      <tp t="s">
        <v>#N/A N/A</v>
        <stp/>
        <stp>BDP|2699350547349487345</stp>
        <tr r="N2090" s="2"/>
      </tp>
      <tp t="s">
        <v>#N/A N/A</v>
        <stp/>
        <stp>BDP|8180124176128688973</stp>
        <tr r="J21" s="2"/>
      </tp>
      <tp t="s">
        <v>#N/A N/A</v>
        <stp/>
        <stp>BDP|9553188472145388582</stp>
        <tr r="M311" s="2"/>
      </tp>
      <tp t="s">
        <v>#N/A N/A</v>
        <stp/>
        <stp>BDP|9542406011422375128</stp>
        <tr r="G1949" s="2"/>
      </tp>
      <tp t="s">
        <v>#N/A N/A</v>
        <stp/>
        <stp>BDP|1229749886009511803</stp>
        <tr r="S1247" s="2"/>
      </tp>
      <tp t="s">
        <v>#N/A N/A</v>
        <stp/>
        <stp>BDP|7030929952296401211</stp>
        <tr r="H2254" s="2"/>
      </tp>
      <tp t="s">
        <v>#N/A N/A</v>
        <stp/>
        <stp>BDP|1217333334918366634</stp>
        <tr r="K2226" s="2"/>
      </tp>
      <tp t="s">
        <v>#N/A N/A</v>
        <stp/>
        <stp>BDP|1647415336298693123</stp>
        <tr r="P1499" s="2"/>
      </tp>
      <tp t="s">
        <v>#N/A N/A</v>
        <stp/>
        <stp>BDP|2409918735286476115</stp>
        <tr r="G1157" s="2"/>
      </tp>
      <tp t="s">
        <v>#N/A N/A</v>
        <stp/>
        <stp>BDP|7983450828717838994</stp>
        <tr r="C288" s="2"/>
      </tp>
      <tp t="s">
        <v>#N/A N/A</v>
        <stp/>
        <stp>BDP|7953247753689985624</stp>
        <tr r="A76" s="2"/>
      </tp>
      <tp t="s">
        <v>#N/A N/A</v>
        <stp/>
        <stp>BDP|9506334661814218705</stp>
        <tr r="K1389" s="2"/>
      </tp>
      <tp t="s">
        <v>#N/A N/A</v>
        <stp/>
        <stp>BDP|7083807161167322177</stp>
        <tr r="G300" s="2"/>
      </tp>
      <tp t="s">
        <v>#N/A N/A</v>
        <stp/>
        <stp>BDP|3597619412632757948</stp>
        <tr r="D220" s="2"/>
      </tp>
      <tp t="s">
        <v>#N/A N/A</v>
        <stp/>
        <stp>BDP|5648554111017434938</stp>
        <tr r="T911" s="2"/>
      </tp>
      <tp t="s">
        <v>#N/A N/A</v>
        <stp/>
        <stp>BDP|8618420150010225638</stp>
        <tr r="A437" s="2"/>
      </tp>
      <tp t="s">
        <v>#N/A N/A</v>
        <stp/>
        <stp>BDS|4392341137062133942</stp>
        <tr r="I361" s="2"/>
      </tp>
      <tp t="s">
        <v>#N/A N/A</v>
        <stp/>
        <stp>BDP|1391428191485186647</stp>
        <tr r="G988" s="2"/>
      </tp>
      <tp t="s">
        <v>#N/A N/A</v>
        <stp/>
        <stp>BDP|5505364434713109939</stp>
        <tr r="O1900" s="2"/>
      </tp>
      <tp t="s">
        <v>#N/A N/A</v>
        <stp/>
        <stp>BDP|7922626657913901800</stp>
        <tr r="E229" s="2"/>
      </tp>
      <tp t="s">
        <v>#N/A N/A</v>
        <stp/>
        <stp>BDP|8875051139760797464</stp>
        <tr r="J1221" s="2"/>
      </tp>
      <tp t="s">
        <v>#N/A N/A</v>
        <stp/>
        <stp>BDS|3974729715458320287</stp>
        <tr r="I79" s="2"/>
      </tp>
      <tp t="s">
        <v>#N/A N/A</v>
        <stp/>
        <stp>BDP|2565741092746591535</stp>
        <tr r="J1034" s="2"/>
      </tp>
      <tp t="s">
        <v>#N/A N/A</v>
        <stp/>
        <stp>BDP|6127557471018193310</stp>
        <tr r="M591" s="2"/>
      </tp>
      <tp t="s">
        <v>#N/A N/A</v>
        <stp/>
        <stp>BDP|9357757592858356023</stp>
        <tr r="O1976" s="2"/>
      </tp>
      <tp t="s">
        <v>#N/A N/A</v>
        <stp/>
        <stp>BDP|8157795543801834564</stp>
        <tr r="H363" s="2"/>
      </tp>
      <tp t="s">
        <v>#N/A N/A</v>
        <stp/>
        <stp>BDP|9360054201531511779</stp>
        <tr r="R1762" s="2"/>
      </tp>
      <tp t="s">
        <v>#N/A N/A</v>
        <stp/>
        <stp>BDP|7081330681121249252</stp>
        <tr r="M2043" s="2"/>
      </tp>
      <tp t="s">
        <v>#N/A N/A</v>
        <stp/>
        <stp>BDP|3727968033706572024</stp>
        <tr r="C1227" s="2"/>
      </tp>
      <tp t="s">
        <v>#N/A N/A</v>
        <stp/>
        <stp>BDP|9886347328572617575</stp>
        <tr r="D911" s="2"/>
      </tp>
      <tp t="s">
        <v>#N/A N/A</v>
        <stp/>
        <stp>BDP|7352048857784063952</stp>
        <tr r="K503" s="2"/>
      </tp>
      <tp t="s">
        <v>#N/A N/A</v>
        <stp/>
        <stp>BDP|8988621616758975817</stp>
        <tr r="M1574" s="2"/>
      </tp>
      <tp t="s">
        <v>#N/A N/A</v>
        <stp/>
        <stp>BDP|9297257900444353011</stp>
        <tr r="C575" s="2"/>
      </tp>
      <tp t="s">
        <v>#N/A N/A</v>
        <stp/>
        <stp>BDS|6589778365141455969</stp>
        <tr r="I2203" s="2"/>
      </tp>
      <tp t="s">
        <v>#N/A N/A</v>
        <stp/>
        <stp>BDP|1012983361426907757</stp>
        <tr r="H836" s="2"/>
      </tp>
      <tp t="s">
        <v>#N/A N/A</v>
        <stp/>
        <stp>BDP|4125470666409347063</stp>
        <tr r="T1857" s="2"/>
      </tp>
      <tp t="s">
        <v>#N/A N/A</v>
        <stp/>
        <stp>BDP|3624293369601622954</stp>
        <tr r="P561" s="2"/>
      </tp>
      <tp t="s">
        <v>#N/A N/A</v>
        <stp/>
        <stp>BDP|5153705487752364700</stp>
        <tr r="A677" s="2"/>
      </tp>
      <tp t="s">
        <v>#N/A N/A</v>
        <stp/>
        <stp>BDP|8103783747113812732</stp>
        <tr r="J1470" s="2"/>
      </tp>
      <tp t="s">
        <v>#N/A N/A</v>
        <stp/>
        <stp>BDP|1376506670764245843</stp>
        <tr r="E143" s="2"/>
      </tp>
      <tp t="s">
        <v>#N/A N/A</v>
        <stp/>
        <stp>BDP|5362887009484052671</stp>
        <tr r="P1462" s="2"/>
      </tp>
      <tp t="s">
        <v>#N/A N/A</v>
        <stp/>
        <stp>BDP|1578991826506744387</stp>
        <tr r="S423" s="2"/>
      </tp>
      <tp t="s">
        <v>#N/A N/A</v>
        <stp/>
        <stp>BDP|2354076818204045895</stp>
        <tr r="O485" s="2"/>
      </tp>
      <tp t="s">
        <v>#N/A N/A</v>
        <stp/>
        <stp>BDP|2759636524740568901</stp>
        <tr r="R1121" s="2"/>
      </tp>
      <tp t="s">
        <v>#N/A N/A</v>
        <stp/>
        <stp>BDP|6402846105655467445</stp>
        <tr r="C1165" s="2"/>
      </tp>
      <tp t="s">
        <v>#N/A N/A</v>
        <stp/>
        <stp>BDP|8552919866080263859</stp>
        <tr r="N1661" s="2"/>
      </tp>
      <tp t="s">
        <v>#N/A N/A</v>
        <stp/>
        <stp>BDP|5028886814873869019</stp>
        <tr r="C2033" s="2"/>
      </tp>
      <tp t="s">
        <v>#N/A N/A</v>
        <stp/>
        <stp>BDP|1761462541018403616</stp>
        <tr r="E1650" s="2"/>
      </tp>
      <tp t="s">
        <v>#N/A N/A</v>
        <stp/>
        <stp>BDP|6511374557727026802</stp>
        <tr r="D704" s="2"/>
      </tp>
      <tp t="s">
        <v>#N/A N/A</v>
        <stp/>
        <stp>BDP|7097835691979614016</stp>
        <tr r="H924" s="2"/>
      </tp>
      <tp t="s">
        <v>#N/A N/A</v>
        <stp/>
        <stp>BDP|2177424842569725436</stp>
        <tr r="R1512" s="2"/>
      </tp>
      <tp t="s">
        <v>#N/A N/A</v>
        <stp/>
        <stp>BDP|5873091926620716853</stp>
        <tr r="R87" s="2"/>
      </tp>
      <tp t="s">
        <v>#N/A N/A</v>
        <stp/>
        <stp>BDP|4800904398292370963</stp>
        <tr r="D1113" s="2"/>
      </tp>
      <tp t="s">
        <v>#N/A N/A</v>
        <stp/>
        <stp>BDP|1970206978272395978</stp>
        <tr r="R1886" s="2"/>
      </tp>
      <tp t="s">
        <v>#N/A N/A</v>
        <stp/>
        <stp>BDP|3821973334021837767</stp>
        <tr r="C2084" s="2"/>
      </tp>
      <tp t="s">
        <v>#N/A N/A</v>
        <stp/>
        <stp>BDP|3787136658949015193</stp>
        <tr r="E1813" s="2"/>
      </tp>
      <tp t="s">
        <v>#N/A N/A</v>
        <stp/>
        <stp>BDP|1873814101256855051</stp>
        <tr r="P1282" s="2"/>
      </tp>
      <tp t="s">
        <v>#N/A N/A</v>
        <stp/>
        <stp>BDP|7608368805442018908</stp>
        <tr r="T1754" s="2"/>
      </tp>
      <tp t="s">
        <v>#N/A N/A</v>
        <stp/>
        <stp>BDP|7723295577535449883</stp>
        <tr r="A932" s="2"/>
      </tp>
      <tp t="s">
        <v>#N/A N/A</v>
        <stp/>
        <stp>BDP|3294913381209048479</stp>
        <tr r="Q612" s="2"/>
      </tp>
      <tp t="s">
        <v>#N/A N/A</v>
        <stp/>
        <stp>BDP|8099994110236884942</stp>
        <tr r="F677" s="2"/>
      </tp>
      <tp t="s">
        <v>#N/A N/A</v>
        <stp/>
        <stp>BDP|2074499089978036950</stp>
        <tr r="H2216" s="2"/>
      </tp>
      <tp t="s">
        <v>#N/A N/A</v>
        <stp/>
        <stp>BDP|7884576356441983956</stp>
        <tr r="N848" s="2"/>
      </tp>
      <tp t="s">
        <v>#N/A N/A</v>
        <stp/>
        <stp>BDP|4001340303680766854</stp>
        <tr r="H1653" s="2"/>
      </tp>
      <tp t="s">
        <v>#N/A N/A</v>
        <stp/>
        <stp>BDP|9229832177050610955</stp>
        <tr r="C937" s="2"/>
      </tp>
      <tp t="s">
        <v>#N/A N/A</v>
        <stp/>
        <stp>BDP|1967748928159782273</stp>
        <tr r="H1472" s="2"/>
      </tp>
      <tp t="s">
        <v>#N/A N/A</v>
        <stp/>
        <stp>BDP|5216215281354404430</stp>
        <tr r="O436" s="2"/>
      </tp>
      <tp t="s">
        <v>#N/A N/A</v>
        <stp/>
        <stp>BDP|6024123872396745921</stp>
        <tr r="M1828" s="2"/>
      </tp>
      <tp t="s">
        <v>#N/A N/A</v>
        <stp/>
        <stp>BDP|2602919407301185545</stp>
        <tr r="P1860" s="2"/>
      </tp>
      <tp t="s">
        <v>#N/A N/A</v>
        <stp/>
        <stp>BDP|9782690421635989731</stp>
        <tr r="A1374" s="2"/>
      </tp>
      <tp t="s">
        <v>#N/A N/A</v>
        <stp/>
        <stp>BDP|3007242511887894884</stp>
        <tr r="E1100" s="2"/>
      </tp>
      <tp t="s">
        <v>#N/A N/A</v>
        <stp/>
        <stp>BDP|3050584807190349993</stp>
        <tr r="F80" s="2"/>
      </tp>
      <tp t="s">
        <v>#N/A N/A</v>
        <stp/>
        <stp>BDP|3050656881357024515</stp>
        <tr r="F551" s="2"/>
      </tp>
      <tp t="s">
        <v>#N/A N/A</v>
        <stp/>
        <stp>BDP|1523824192337011802</stp>
        <tr r="F743" s="2"/>
      </tp>
      <tp t="s">
        <v>#N/A N/A</v>
        <stp/>
        <stp>BDP|9146616150831687434</stp>
        <tr r="Q1971" s="2"/>
      </tp>
      <tp t="s">
        <v>#N/A N/A</v>
        <stp/>
        <stp>BDP|7258831708123935350</stp>
        <tr r="S344" s="2"/>
      </tp>
      <tp t="s">
        <v>#N/A N/A</v>
        <stp/>
        <stp>BDP|4291550855599799203</stp>
        <tr r="K110" s="2"/>
      </tp>
      <tp t="s">
        <v>#N/A N/A</v>
        <stp/>
        <stp>BDP|4669174678019857441</stp>
        <tr r="R732" s="2"/>
      </tp>
      <tp t="s">
        <v>#N/A N/A</v>
        <stp/>
        <stp>BDP|1792514233829349137</stp>
        <tr r="J1078" s="2"/>
      </tp>
      <tp t="s">
        <v>#N/A N/A</v>
        <stp/>
        <stp>BDP|7485023680457967050</stp>
        <tr r="P1334" s="2"/>
      </tp>
      <tp t="s">
        <v>#N/A N/A</v>
        <stp/>
        <stp>BDP|6394905781847049889</stp>
        <tr r="S921" s="2"/>
      </tp>
      <tp t="s">
        <v>#N/A N/A</v>
        <stp/>
        <stp>BDS|5392125371088850323</stp>
        <tr r="I57" s="2"/>
      </tp>
      <tp t="s">
        <v>#N/A N/A</v>
        <stp/>
        <stp>BDP|9141967588455268579</stp>
        <tr r="H256" s="2"/>
      </tp>
      <tp t="s">
        <v>#N/A N/A</v>
        <stp/>
        <stp>BDP|1872055307429797074</stp>
        <tr r="J1443" s="2"/>
      </tp>
      <tp t="s">
        <v>#N/A N/A</v>
        <stp/>
        <stp>BDP|9540549530853290497</stp>
        <tr r="D2025" s="2"/>
      </tp>
      <tp t="s">
        <v>#N/A N/A</v>
        <stp/>
        <stp>BDP|9976644366205586442</stp>
        <tr r="N1129" s="2"/>
      </tp>
      <tp t="s">
        <v>#N/A N/A</v>
        <stp/>
        <stp>BDP|7124164071598888141</stp>
        <tr r="G920" s="2"/>
      </tp>
      <tp t="s">
        <v>#N/A N/A</v>
        <stp/>
        <stp>BDP|9984793119144390309</stp>
        <tr r="T646" s="2"/>
      </tp>
      <tp t="s">
        <v>#N/A N/A</v>
        <stp/>
        <stp>BDP|1204945858773688620</stp>
        <tr r="C1588" s="2"/>
      </tp>
      <tp t="s">
        <v>#N/A N/A</v>
        <stp/>
        <stp>BDP|7054261589401799423</stp>
        <tr r="R657" s="2"/>
      </tp>
      <tp t="s">
        <v>#N/A N/A</v>
        <stp/>
        <stp>BDP|9540316899183599820</stp>
        <tr r="Q1498" s="2"/>
      </tp>
      <tp t="s">
        <v>#N/A N/A</v>
        <stp/>
        <stp>BDP|2433949313177806516</stp>
        <tr r="E1804" s="2"/>
      </tp>
      <tp t="s">
        <v>#N/A N/A</v>
        <stp/>
        <stp>BDP|2009109042489941615</stp>
        <tr r="G423" s="2"/>
      </tp>
      <tp t="s">
        <v>#N/A N/A</v>
        <stp/>
        <stp>BDP|8213143424961000287</stp>
        <tr r="H973" s="2"/>
      </tp>
      <tp t="s">
        <v>#N/A N/A</v>
        <stp/>
        <stp>BDP|3974212761876319900</stp>
        <tr r="P1932" s="2"/>
      </tp>
      <tp t="s">
        <v>#N/A N/A</v>
        <stp/>
        <stp>BDP|1673752276941964865</stp>
        <tr r="K863" s="2"/>
      </tp>
      <tp t="s">
        <v>#N/A N/A</v>
        <stp/>
        <stp>BDP|7519583174814214914</stp>
        <tr r="Q1548" s="2"/>
      </tp>
      <tp t="s">
        <v>#N/A N/A</v>
        <stp/>
        <stp>BDP|3473986941863775501</stp>
        <tr r="N1110" s="2"/>
      </tp>
      <tp t="s">
        <v>#N/A N/A</v>
        <stp/>
        <stp>BDP|4326677548186499823</stp>
        <tr r="Q489" s="2"/>
      </tp>
      <tp t="s">
        <v>#N/A N/A</v>
        <stp/>
        <stp>BDP|2010339631898970219</stp>
        <tr r="M1039" s="2"/>
      </tp>
      <tp t="s">
        <v>#N/A N/A</v>
        <stp/>
        <stp>BDP|8456705110795928374</stp>
        <tr r="J1544" s="2"/>
      </tp>
      <tp t="s">
        <v>#N/A N/A</v>
        <stp/>
        <stp>BDP|6622935035300835426</stp>
        <tr r="M912" s="2"/>
      </tp>
      <tp t="s">
        <v>#N/A N/A</v>
        <stp/>
        <stp>BDP|2011280130509242201</stp>
        <tr r="N2080" s="2"/>
      </tp>
      <tp t="s">
        <v>#N/A N/A</v>
        <stp/>
        <stp>BDP|9171902742418145484</stp>
        <tr r="F1701" s="2"/>
      </tp>
      <tp t="s">
        <v>#N/A N/A</v>
        <stp/>
        <stp>BDP|4114266088885171349</stp>
        <tr r="H657" s="2"/>
      </tp>
      <tp t="s">
        <v>#N/A N/A</v>
        <stp/>
        <stp>BDP|7549331597380300586</stp>
        <tr r="F1784" s="2"/>
      </tp>
      <tp t="s">
        <v>#N/A N/A</v>
        <stp/>
        <stp>BDP|6849730572689159727</stp>
        <tr r="N945" s="2"/>
      </tp>
      <tp t="s">
        <v>#N/A N/A</v>
        <stp/>
        <stp>BDP|6815648588216939678</stp>
        <tr r="M722" s="2"/>
      </tp>
      <tp t="s">
        <v>#N/A N/A</v>
        <stp/>
        <stp>BDP|9664998028823432996</stp>
        <tr r="M1253" s="2"/>
      </tp>
      <tp t="s">
        <v>#N/A N/A</v>
        <stp/>
        <stp>BDP|4976173611508417413</stp>
        <tr r="Q675" s="2"/>
      </tp>
      <tp t="s">
        <v>#N/A N/A</v>
        <stp/>
        <stp>BDP|1430763287944627298</stp>
        <tr r="O1485" s="2"/>
      </tp>
      <tp t="s">
        <v>#N/A N/A</v>
        <stp/>
        <stp>BDP|5193090136998008643</stp>
        <tr r="E1359" s="2"/>
      </tp>
      <tp t="s">
        <v>#N/A N/A</v>
        <stp/>
        <stp>BDP|9434001943074486199</stp>
        <tr r="A2024" s="2"/>
      </tp>
      <tp t="s">
        <v>#N/A N/A</v>
        <stp/>
        <stp>BDP|4096481786479599916</stp>
        <tr r="C438" s="2"/>
      </tp>
      <tp t="s">
        <v>#N/A N/A</v>
        <stp/>
        <stp>BDP|5713609059819326770</stp>
        <tr r="C1076" s="2"/>
      </tp>
      <tp t="s">
        <v>#N/A N/A</v>
        <stp/>
        <stp>BDP|7319099146889746216</stp>
        <tr r="K1839" s="2"/>
      </tp>
      <tp t="s">
        <v>#N/A N/A</v>
        <stp/>
        <stp>BDP|8323120068445051231</stp>
        <tr r="E829" s="2"/>
      </tp>
      <tp t="s">
        <v>#N/A N/A</v>
        <stp/>
        <stp>BDP|5063194394192095778</stp>
        <tr r="Q653" s="2"/>
      </tp>
      <tp t="s">
        <v>#N/A N/A</v>
        <stp/>
        <stp>BDP|7400546168488517471</stp>
        <tr r="R262" s="2"/>
      </tp>
      <tp t="s">
        <v>#N/A N/A</v>
        <stp/>
        <stp>BDP|7830437851449543756</stp>
        <tr r="G2048" s="2"/>
      </tp>
      <tp t="s">
        <v>#N/A N/A</v>
        <stp/>
        <stp>BDP|1908947329346926474</stp>
        <tr r="N191" s="2"/>
      </tp>
      <tp t="s">
        <v>#N/A N/A</v>
        <stp/>
        <stp>BDP|6009440717932041998</stp>
        <tr r="M1356" s="2"/>
      </tp>
      <tp t="s">
        <v>#N/A N/A</v>
        <stp/>
        <stp>BDP|9198471450900413085</stp>
        <tr r="O639" s="2"/>
      </tp>
      <tp t="s">
        <v>#N/A N/A</v>
        <stp/>
        <stp>BDP|1812083404381817865</stp>
        <tr r="S1965" s="2"/>
      </tp>
      <tp t="s">
        <v>#N/A N/A</v>
        <stp/>
        <stp>BDP|7323176494310216782</stp>
        <tr r="M729" s="2"/>
      </tp>
      <tp t="s">
        <v>#N/A N/A</v>
        <stp/>
        <stp>BDP|9293504358811791078</stp>
        <tr r="T1427" s="2"/>
      </tp>
      <tp t="s">
        <v>#N/A N/A</v>
        <stp/>
        <stp>BDP|9321627243831118298</stp>
        <tr r="N487" s="2"/>
      </tp>
      <tp t="s">
        <v>#N/A N/A</v>
        <stp/>
        <stp>BDP|4021981753819553949</stp>
        <tr r="T1918" s="2"/>
      </tp>
      <tp t="s">
        <v>#N/A N/A</v>
        <stp/>
        <stp>BDP|2744097467114703845</stp>
        <tr r="D1871" s="2"/>
      </tp>
      <tp t="s">
        <v>#N/A N/A</v>
        <stp/>
        <stp>BDP|9980191514903656283</stp>
        <tr r="C571" s="2"/>
      </tp>
      <tp t="s">
        <v>#N/A N/A</v>
        <stp/>
        <stp>BDP|3862545396713628460</stp>
        <tr r="S1173" s="2"/>
      </tp>
      <tp t="s">
        <v>#N/A N/A</v>
        <stp/>
        <stp>BDP|1615273901632299994</stp>
        <tr r="H958" s="2"/>
      </tp>
      <tp t="s">
        <v>#N/A N/A</v>
        <stp/>
        <stp>BDP|2509427674949108097</stp>
        <tr r="M996" s="2"/>
      </tp>
      <tp t="s">
        <v>#N/A N/A</v>
        <stp/>
        <stp>BDP|1625654697991611797</stp>
        <tr r="E1237" s="2"/>
      </tp>
      <tp t="s">
        <v>#N/A N/A</v>
        <stp/>
        <stp>BDP|8925618461281425162</stp>
        <tr r="F1644" s="2"/>
      </tp>
      <tp t="s">
        <v>#N/A N/A</v>
        <stp/>
        <stp>BDP|6058894364844474426</stp>
        <tr r="O83" s="2"/>
      </tp>
      <tp t="s">
        <v>#N/A N/A</v>
        <stp/>
        <stp>BDP|6698887364820472059</stp>
        <tr r="M1606" s="2"/>
      </tp>
      <tp t="s">
        <v>#N/A N/A</v>
        <stp/>
        <stp>BDP|3004681282866844396</stp>
        <tr r="D777" s="2"/>
      </tp>
      <tp t="s">
        <v>#N/A N/A</v>
        <stp/>
        <stp>BDP|6786984173750594029</stp>
        <tr r="Q753" s="2"/>
      </tp>
      <tp t="s">
        <v>#N/A N/A</v>
        <stp/>
        <stp>BDP|9760691300571714628</stp>
        <tr r="A1085" s="2"/>
      </tp>
      <tp t="s">
        <v>#N/A N/A</v>
        <stp/>
        <stp>BDP|1182874408347773623</stp>
        <tr r="E1053" s="2"/>
      </tp>
      <tp t="s">
        <v>#N/A N/A</v>
        <stp/>
        <stp>BDP|1971403750790281800</stp>
        <tr r="P806" s="2"/>
      </tp>
      <tp t="s">
        <v>#N/A N/A</v>
        <stp/>
        <stp>BDP|1803899708275798459</stp>
        <tr r="M1493" s="2"/>
      </tp>
      <tp t="s">
        <v>#N/A N/A</v>
        <stp/>
        <stp>BDP|5791612885480066383</stp>
        <tr r="A1240" s="2"/>
      </tp>
      <tp t="s">
        <v>#N/A N/A</v>
        <stp/>
        <stp>BDP|9735800709808045155</stp>
        <tr r="R1234" s="2"/>
      </tp>
      <tp t="s">
        <v>#N/A N/A</v>
        <stp/>
        <stp>BDP|4033333049833850897</stp>
        <tr r="P361" s="2"/>
      </tp>
      <tp t="s">
        <v>#N/A N/A</v>
        <stp/>
        <stp>BDP|4191570779007357976</stp>
        <tr r="C784" s="2"/>
      </tp>
      <tp t="s">
        <v>#N/A N/A</v>
        <stp/>
        <stp>BDP|9090034389459635070</stp>
        <tr r="M1582" s="2"/>
      </tp>
      <tp t="s">
        <v>#N/A N/A</v>
        <stp/>
        <stp>BDP|4468688101418595239</stp>
        <tr r="T514" s="2"/>
      </tp>
      <tp t="s">
        <v>#N/A N/A</v>
        <stp/>
        <stp>BDP|9870995038798491366</stp>
        <tr r="J1226" s="2"/>
      </tp>
      <tp t="s">
        <v>#N/A N/A</v>
        <stp/>
        <stp>BDP|7669297393824713002</stp>
        <tr r="E49" s="2"/>
      </tp>
      <tp t="s">
        <v>#N/A N/A</v>
        <stp/>
        <stp>BDP|5522979515641562496</stp>
        <tr r="R1524" s="2"/>
      </tp>
      <tp t="s">
        <v>#N/A N/A</v>
        <stp/>
        <stp>BDP|8766997737982652840</stp>
        <tr r="P1805" s="2"/>
      </tp>
      <tp t="s">
        <v>#N/A N/A</v>
        <stp/>
        <stp>BDP|9758599259186412780</stp>
        <tr r="A177" s="2"/>
      </tp>
      <tp t="s">
        <v>#N/A N/A</v>
        <stp/>
        <stp>BDP|6438293211354483937</stp>
        <tr r="J1516" s="2"/>
      </tp>
      <tp t="s">
        <v>#N/A N/A</v>
        <stp/>
        <stp>BDP|2239028355628740795</stp>
        <tr r="J742" s="2"/>
      </tp>
      <tp t="s">
        <v>#N/A N/A</v>
        <stp/>
        <stp>BDP|3457819160682806766</stp>
        <tr r="E1523" s="2"/>
      </tp>
      <tp t="s">
        <v>#N/A N/A</v>
        <stp/>
        <stp>BDP|3917151884102286015</stp>
        <tr r="F198" s="2"/>
      </tp>
      <tp t="s">
        <v>#N/A N/A</v>
        <stp/>
        <stp>BDP|8998621476650042166</stp>
        <tr r="E1856" s="2"/>
      </tp>
      <tp t="s">
        <v>#N/A N/A</v>
        <stp/>
        <stp>BDP|3592634634166127881</stp>
        <tr r="O10" s="2"/>
      </tp>
      <tp t="s">
        <v>#N/A N/A</v>
        <stp/>
        <stp>BDP|7924085234675960978</stp>
        <tr r="J1240" s="2"/>
      </tp>
      <tp t="s">
        <v>#N/A N/A</v>
        <stp/>
        <stp>BDP|6784499137801646842</stp>
        <tr r="F735" s="2"/>
      </tp>
      <tp t="s">
        <v>#N/A N/A</v>
        <stp/>
        <stp>BDP|4419633548506716839</stp>
        <tr r="S499" s="2"/>
      </tp>
      <tp t="s">
        <v>#N/A N/A</v>
        <stp/>
        <stp>BDP|4695192282341453423</stp>
        <tr r="P1190" s="2"/>
      </tp>
      <tp t="s">
        <v>#N/A N/A</v>
        <stp/>
        <stp>BDP|4827604970825414871</stp>
        <tr r="F1963" s="2"/>
      </tp>
      <tp t="s">
        <v>#N/A N/A</v>
        <stp/>
        <stp>BDP|6667317088327260265</stp>
        <tr r="E1347" s="2"/>
      </tp>
      <tp t="s">
        <v>#N/A N/A</v>
        <stp/>
        <stp>BDP|3342117150108014792</stp>
        <tr r="A2142" s="2"/>
      </tp>
      <tp t="s">
        <v>#N/A N/A</v>
        <stp/>
        <stp>BDP|7518736885260804004</stp>
        <tr r="E408" s="2"/>
      </tp>
      <tp t="s">
        <v>#N/A N/A</v>
        <stp/>
        <stp>BDP|2565815807166062485</stp>
        <tr r="A299" s="2"/>
      </tp>
      <tp t="s">
        <v>#N/A N/A</v>
        <stp/>
        <stp>BDP|5684522442939813552</stp>
        <tr r="D2229" s="2"/>
      </tp>
      <tp t="s">
        <v>#N/A N/A</v>
        <stp/>
        <stp>BDP|5343935049007012720</stp>
        <tr r="M1350" s="2"/>
      </tp>
      <tp t="s">
        <v>#N/A N/A</v>
        <stp/>
        <stp>BDP|7513779663359939738</stp>
        <tr r="F1030" s="2"/>
      </tp>
      <tp t="s">
        <v>#N/A N/A</v>
        <stp/>
        <stp>BDP|7701284732399176770</stp>
        <tr r="K595" s="2"/>
      </tp>
      <tp t="s">
        <v>#N/A N/A</v>
        <stp/>
        <stp>BDP|6005006882671941704</stp>
        <tr r="M608" s="2"/>
      </tp>
      <tp t="s">
        <v>#N/A N/A</v>
        <stp/>
        <stp>BDP|8953764757901730348</stp>
        <tr r="K505" s="2"/>
      </tp>
      <tp t="s">
        <v>#N/A N/A</v>
        <stp/>
        <stp>BDP|2889631246280596831</stp>
        <tr r="E361" s="2"/>
      </tp>
      <tp t="s">
        <v>#N/A N/A</v>
        <stp/>
        <stp>BDP|6841442208333735985</stp>
        <tr r="K899" s="2"/>
      </tp>
      <tp t="s">
        <v>#N/A N/A</v>
        <stp/>
        <stp>BDP|4139514470398816636</stp>
        <tr r="O1613" s="2"/>
      </tp>
      <tp t="s">
        <v>#N/A N/A</v>
        <stp/>
        <stp>BDP|5303276239629301553</stp>
        <tr r="P2057" s="2"/>
      </tp>
      <tp t="s">
        <v>#N/A N/A</v>
        <stp/>
        <stp>BDP|1198408378483320914</stp>
        <tr r="R788" s="2"/>
      </tp>
      <tp t="s">
        <v>#N/A N/A</v>
        <stp/>
        <stp>BDP|6953334088125119082</stp>
        <tr r="A376" s="2"/>
      </tp>
      <tp t="s">
        <v>#N/A N/A</v>
        <stp/>
        <stp>BDP|1998696292861825716</stp>
        <tr r="K491" s="2"/>
      </tp>
      <tp t="s">
        <v>#N/A N/A</v>
        <stp/>
        <stp>BDP|9657977229678447272</stp>
        <tr r="K1020" s="2"/>
      </tp>
      <tp t="s">
        <v>#N/A N/A</v>
        <stp/>
        <stp>BDP|2823862149171453786</stp>
        <tr r="D1849" s="2"/>
      </tp>
      <tp t="s">
        <v>#N/A N/A</v>
        <stp/>
        <stp>BDP|4360600968289071501</stp>
        <tr r="H73" s="2"/>
      </tp>
      <tp t="s">
        <v>#N/A N/A</v>
        <stp/>
        <stp>BDP|9359104631670138386</stp>
        <tr r="P260" s="2"/>
      </tp>
      <tp t="s">
        <v>#N/A N/A</v>
        <stp/>
        <stp>BDP|2566694850620162960</stp>
        <tr r="H1276" s="2"/>
      </tp>
      <tp t="s">
        <v>#N/A N/A</v>
        <stp/>
        <stp>BDP|6479941754767616592</stp>
        <tr r="O1874" s="2"/>
      </tp>
      <tp t="s">
        <v>#N/A N/A</v>
        <stp/>
        <stp>BDP|8645767764497624697</stp>
        <tr r="D682" s="2"/>
      </tp>
      <tp t="s">
        <v>#N/A N/A</v>
        <stp/>
        <stp>BDP|2945833741171631760</stp>
        <tr r="S763" s="2"/>
      </tp>
      <tp t="s">
        <v>#N/A N/A</v>
        <stp/>
        <stp>BDP|9073733511602901507</stp>
        <tr r="E1732" s="2"/>
      </tp>
      <tp t="s">
        <v>#N/A N/A</v>
        <stp/>
        <stp>BDP|9332501268751819381</stp>
        <tr r="T884" s="2"/>
      </tp>
      <tp t="s">
        <v>#N/A N/A</v>
        <stp/>
        <stp>BDP|9438318870860768590</stp>
        <tr r="K1556" s="2"/>
      </tp>
      <tp t="s">
        <v>#N/A N/A</v>
        <stp/>
        <stp>BDP|1108887761476562160</stp>
        <tr r="R970" s="2"/>
      </tp>
      <tp t="s">
        <v>#N/A N/A</v>
        <stp/>
        <stp>BDP|2399410898917678073</stp>
        <tr r="P876" s="2"/>
      </tp>
      <tp t="s">
        <v>#N/A N/A</v>
        <stp/>
        <stp>BDP|7585931317780336799</stp>
        <tr r="O32" s="2"/>
      </tp>
      <tp t="s">
        <v>#N/A N/A</v>
        <stp/>
        <stp>BDP|8806667205956138019</stp>
        <tr r="C1486" s="2"/>
      </tp>
      <tp t="s">
        <v>#N/A N/A</v>
        <stp/>
        <stp>BDP|4364492093944224508</stp>
        <tr r="C1042" s="2"/>
      </tp>
      <tp t="s">
        <v>#N/A N/A</v>
        <stp/>
        <stp>BDP|1600350742019841723</stp>
        <tr r="K773" s="2"/>
      </tp>
      <tp t="s">
        <v>#N/A N/A</v>
        <stp/>
        <stp>BDP|5171399343853350934</stp>
        <tr r="P1252" s="2"/>
      </tp>
      <tp t="s">
        <v>#N/A N/A</v>
        <stp/>
        <stp>BDP|9848737651692100102</stp>
        <tr r="D2107" s="2"/>
      </tp>
      <tp t="s">
        <v>#N/A N/A</v>
        <stp/>
        <stp>BDP|5241705480182162081</stp>
        <tr r="J1349" s="2"/>
      </tp>
      <tp t="s">
        <v>#N/A N/A</v>
        <stp/>
        <stp>BDP|8385033879596912186</stp>
        <tr r="K1494" s="2"/>
      </tp>
      <tp t="s">
        <v>#N/A N/A</v>
        <stp/>
        <stp>BDP|9640304981879699398</stp>
        <tr r="Q253" s="2"/>
      </tp>
      <tp t="s">
        <v>#N/A N/A</v>
        <stp/>
        <stp>BDP|4516072665529660399</stp>
        <tr r="O1596" s="2"/>
      </tp>
      <tp t="s">
        <v>#N/A N/A</v>
        <stp/>
        <stp>BDP|6195682452189404473</stp>
        <tr r="J943" s="2"/>
      </tp>
      <tp t="s">
        <v>#N/A N/A</v>
        <stp/>
        <stp>BDP|2557959938566400640</stp>
        <tr r="E844" s="2"/>
      </tp>
      <tp t="s">
        <v>#N/A N/A</v>
        <stp/>
        <stp>BDP|8261165959394709029</stp>
        <tr r="F1127" s="2"/>
      </tp>
      <tp t="s">
        <v>#N/A N/A</v>
        <stp/>
        <stp>BDP|5748931269254665638</stp>
        <tr r="R976" s="2"/>
      </tp>
      <tp t="s">
        <v>#N/A N/A</v>
        <stp/>
        <stp>BDP|9370262019375281766</stp>
        <tr r="O1655" s="2"/>
      </tp>
      <tp t="s">
        <v>#N/A N/A</v>
        <stp/>
        <stp>BDP|5496810611546935257</stp>
        <tr r="F1486" s="2"/>
      </tp>
      <tp t="s">
        <v>#N/A N/A</v>
        <stp/>
        <stp>BDP|1640413031816913876</stp>
        <tr r="A989" s="2"/>
      </tp>
      <tp t="s">
        <v>#N/A N/A</v>
        <stp/>
        <stp>BDP|2596746670918162288</stp>
        <tr r="T682" s="2"/>
      </tp>
      <tp t="s">
        <v>#N/A N/A</v>
        <stp/>
        <stp>BDP|6910452067965143925</stp>
        <tr r="K1241" s="2"/>
      </tp>
      <tp t="s">
        <v>#N/A N/A</v>
        <stp/>
        <stp>BDP|2205028971124110983</stp>
        <tr r="Q258" s="2"/>
      </tp>
      <tp t="s">
        <v>#N/A N/A</v>
        <stp/>
        <stp>BDP|7659985560875603503</stp>
        <tr r="R779" s="2"/>
      </tp>
      <tp t="s">
        <v>#N/A N/A</v>
        <stp/>
        <stp>BDP|5197744690487828451</stp>
        <tr r="A1214" s="2"/>
      </tp>
      <tp t="s">
        <v>#N/A N/A</v>
        <stp/>
        <stp>BDP|4907971837381405758</stp>
        <tr r="S39" s="2"/>
      </tp>
      <tp t="s">
        <v>#N/A N/A</v>
        <stp/>
        <stp>BDP|8171595408892930713</stp>
        <tr r="M2216" s="2"/>
      </tp>
      <tp t="s">
        <v>#N/A N/A</v>
        <stp/>
        <stp>BDP|6881814270108986988</stp>
        <tr r="R1695" s="2"/>
      </tp>
      <tp t="s">
        <v>#N/A N/A</v>
        <stp/>
        <stp>BDP|8564702616600973628</stp>
        <tr r="E184" s="2"/>
      </tp>
      <tp t="s">
        <v>#N/A N/A</v>
        <stp/>
        <stp>BDP|2831856443994637202</stp>
        <tr r="S189" s="2"/>
      </tp>
      <tp t="s">
        <v>#N/A N/A</v>
        <stp/>
        <stp>BDP|2685455689395751357</stp>
        <tr r="T609" s="2"/>
      </tp>
      <tp t="s">
        <v>#N/A N/A</v>
        <stp/>
        <stp>BDP|6074113239014027809</stp>
        <tr r="H1702" s="2"/>
      </tp>
      <tp t="s">
        <v>#N/A N/A</v>
        <stp/>
        <stp>BDP|6689875408905528348</stp>
        <tr r="Q2104" s="2"/>
      </tp>
      <tp t="s">
        <v>#N/A N/A</v>
        <stp/>
        <stp>BDP|3978954412633323059</stp>
        <tr r="J425" s="2"/>
      </tp>
      <tp t="s">
        <v>#N/A N/A</v>
        <stp/>
        <stp>BDP|8141489557074728511</stp>
        <tr r="E1538" s="2"/>
      </tp>
      <tp t="s">
        <v>#N/A N/A</v>
        <stp/>
        <stp>BDP|6826062390355036261</stp>
        <tr r="A309" s="2"/>
      </tp>
      <tp t="s">
        <v>#N/A N/A</v>
        <stp/>
        <stp>BDP|1968722360789604152</stp>
        <tr r="O689" s="2"/>
      </tp>
      <tp t="s">
        <v>#N/A N/A</v>
        <stp/>
        <stp>BDP|3325627759081930997</stp>
        <tr r="D1483" s="2"/>
      </tp>
      <tp t="s">
        <v>#N/A N/A</v>
        <stp/>
        <stp>BDP|9606717389548036661</stp>
        <tr r="O2127" s="2"/>
      </tp>
      <tp t="s">
        <v>#N/A N/A</v>
        <stp/>
        <stp>BDP|8463868908858117037</stp>
        <tr r="K349" s="2"/>
      </tp>
      <tp t="s">
        <v>#N/A N/A</v>
        <stp/>
        <stp>BDP|1200434197545620180</stp>
        <tr r="H167" s="2"/>
      </tp>
      <tp t="s">
        <v>#N/A N/A</v>
        <stp/>
        <stp>BDP|9964813820568626361</stp>
        <tr r="A1795" s="2"/>
      </tp>
      <tp t="s">
        <v>#N/A N/A</v>
        <stp/>
        <stp>BDP|8969204822772258213</stp>
        <tr r="J1471" s="2"/>
      </tp>
      <tp t="s">
        <v>#N/A N/A</v>
        <stp/>
        <stp>BDP|6303660124393914901</stp>
        <tr r="A1957" s="2"/>
      </tp>
      <tp t="s">
        <v>#N/A N/A</v>
        <stp/>
        <stp>BDS|1007123051845389883</stp>
        <tr r="I1115" s="2"/>
      </tp>
      <tp t="s">
        <v>#N/A N/A</v>
        <stp/>
        <stp>BDP|9653575418060972585</stp>
        <tr r="R371" s="2"/>
      </tp>
      <tp t="s">
        <v>#N/A N/A</v>
        <stp/>
        <stp>BDP|5858923326544333272</stp>
        <tr r="J133" s="2"/>
      </tp>
      <tp t="s">
        <v>#N/A N/A</v>
        <stp/>
        <stp>BDP|2355855349262228452</stp>
        <tr r="E920" s="2"/>
      </tp>
      <tp t="s">
        <v>#N/A N/A</v>
        <stp/>
        <stp>BDS|6859090286354868276</stp>
        <tr r="I210" s="2"/>
      </tp>
      <tp t="s">
        <v>#N/A N/A</v>
        <stp/>
        <stp>BDP|1084021643754029999</stp>
        <tr r="C1023" s="2"/>
      </tp>
      <tp t="s">
        <v>#N/A N/A</v>
        <stp/>
        <stp>BDP|7657522093795971662</stp>
        <tr r="D2204" s="2"/>
      </tp>
      <tp t="s">
        <v>#N/A N/A</v>
        <stp/>
        <stp>BDP|7037527313572148980</stp>
        <tr r="D1482" s="2"/>
      </tp>
      <tp t="s">
        <v>#N/A N/A</v>
        <stp/>
        <stp>BDP|9153690830326552256</stp>
        <tr r="M386" s="2"/>
      </tp>
      <tp t="s">
        <v>#N/A N/A</v>
        <stp/>
        <stp>BDS|5517936589455103964</stp>
        <tr r="I1477" s="2"/>
      </tp>
      <tp t="s">
        <v>#N/A N/A</v>
        <stp/>
        <stp>BDP|1112665327095051885</stp>
        <tr r="P1851" s="2"/>
      </tp>
      <tp t="s">
        <v>#N/A N/A</v>
        <stp/>
        <stp>BDP|2824300000429223023</stp>
        <tr r="P1786" s="2"/>
      </tp>
      <tp t="s">
        <v>#N/A N/A</v>
        <stp/>
        <stp>BDP|2058324393184150482</stp>
        <tr r="S1600" s="2"/>
      </tp>
      <tp t="s">
        <v>#N/A N/A</v>
        <stp/>
        <stp>BDP|9471971942199152585</stp>
        <tr r="T484" s="2"/>
      </tp>
      <tp t="s">
        <v>#N/A N/A</v>
        <stp/>
        <stp>BDP|2900416300266539850</stp>
        <tr r="M680" s="2"/>
      </tp>
      <tp t="s">
        <v>#N/A N/A</v>
        <stp/>
        <stp>BDP|7568042710066025891</stp>
        <tr r="G523" s="2"/>
      </tp>
      <tp t="s">
        <v>#N/A N/A</v>
        <stp/>
        <stp>BDP|8299498843389124917</stp>
        <tr r="D958" s="2"/>
      </tp>
      <tp t="s">
        <v>#N/A N/A</v>
        <stp/>
        <stp>BDP|9166266828165551423</stp>
        <tr r="D1356" s="2"/>
      </tp>
      <tp t="s">
        <v>#N/A N/A</v>
        <stp/>
        <stp>BDP|3647042384467938476</stp>
        <tr r="H808" s="2"/>
      </tp>
      <tp t="s">
        <v>#N/A N/A</v>
        <stp/>
        <stp>BDP|2845203149399908502</stp>
        <tr r="P2246" s="2"/>
      </tp>
      <tp t="s">
        <v>#N/A N/A</v>
        <stp/>
        <stp>BDP|7669084900466114971</stp>
        <tr r="K2238" s="2"/>
      </tp>
      <tp t="s">
        <v>#N/A N/A</v>
        <stp/>
        <stp>BDP|1811770542343338967</stp>
        <tr r="P2229" s="2"/>
      </tp>
      <tp t="s">
        <v>#N/A N/A</v>
        <stp/>
        <stp>BDP|3266575518808633721</stp>
        <tr r="F753" s="2"/>
      </tp>
      <tp t="s">
        <v>#N/A N/A</v>
        <stp/>
        <stp>BDS|1890171871416638914</stp>
        <tr r="I1330" s="2"/>
      </tp>
      <tp t="s">
        <v>#N/A N/A</v>
        <stp/>
        <stp>BDP|1914964628504899661</stp>
        <tr r="N77" s="2"/>
      </tp>
      <tp t="s">
        <v>#N/A N/A</v>
        <stp/>
        <stp>BDP|6301993130816566266</stp>
        <tr r="C168" s="2"/>
      </tp>
      <tp t="s">
        <v>#N/A N/A</v>
        <stp/>
        <stp>BDP|9594395462125320144</stp>
        <tr r="J2193" s="2"/>
      </tp>
      <tp t="s">
        <v>#N/A N/A</v>
        <stp/>
        <stp>BDP|7987880159787677573</stp>
        <tr r="C2165" s="2"/>
      </tp>
      <tp t="s">
        <v>#N/A N/A</v>
        <stp/>
        <stp>BDP|1200343279408046569</stp>
        <tr r="H1530" s="2"/>
      </tp>
      <tp t="s">
        <v>#N/A N/A</v>
        <stp/>
        <stp>BDP|7603189521744756816</stp>
        <tr r="P557" s="2"/>
      </tp>
      <tp t="s">
        <v>#N/A N/A</v>
        <stp/>
        <stp>BDP|4753877650074074598</stp>
        <tr r="D215" s="2"/>
      </tp>
      <tp t="s">
        <v>#N/A N/A</v>
        <stp/>
        <stp>BDP|8845762207067827089</stp>
        <tr r="G575" s="2"/>
      </tp>
      <tp t="s">
        <v>#N/A N/A</v>
        <stp/>
        <stp>BDP|8860940587730488164</stp>
        <tr r="M994" s="2"/>
      </tp>
      <tp t="s">
        <v>#N/A N/A</v>
        <stp/>
        <stp>BDP|8332538854044414497</stp>
        <tr r="K1179" s="2"/>
      </tp>
      <tp t="s">
        <v>#N/A N/A</v>
        <stp/>
        <stp>BDP|8707229089043038957</stp>
        <tr r="R1838" s="2"/>
      </tp>
      <tp t="s">
        <v>#N/A N/A</v>
        <stp/>
        <stp>BDP|3249500619297434869</stp>
        <tr r="M837" s="2"/>
      </tp>
      <tp t="s">
        <v>#N/A N/A</v>
        <stp/>
        <stp>BDP|2789903149185233255</stp>
        <tr r="N2167" s="2"/>
      </tp>
      <tp t="s">
        <v>#N/A N/A</v>
        <stp/>
        <stp>BDP|4467811555853814212</stp>
        <tr r="K1284" s="2"/>
      </tp>
      <tp t="s">
        <v>#N/A N/A</v>
        <stp/>
        <stp>BDP|2921145826880094929</stp>
        <tr r="N285" s="2"/>
      </tp>
      <tp t="s">
        <v>#N/A N/A</v>
        <stp/>
        <stp>BDP|8300678676452945327</stp>
        <tr r="O1687" s="2"/>
      </tp>
      <tp t="s">
        <v>#N/A N/A</v>
        <stp/>
        <stp>BDP|2973543358999419383</stp>
        <tr r="K290" s="2"/>
      </tp>
      <tp t="s">
        <v>#N/A N/A</v>
        <stp/>
        <stp>BDP|5628949379556443565</stp>
        <tr r="E787" s="2"/>
      </tp>
      <tp t="s">
        <v>#N/A N/A</v>
        <stp/>
        <stp>BDP|4854692819318083313</stp>
        <tr r="O222" s="2"/>
      </tp>
      <tp t="s">
        <v>#N/A N/A</v>
        <stp/>
        <stp>BDP|1249274881676513589</stp>
        <tr r="C1786" s="2"/>
      </tp>
      <tp t="s">
        <v>#N/A N/A</v>
        <stp/>
        <stp>BDP|4696752734141672983</stp>
        <tr r="H1395" s="2"/>
      </tp>
      <tp t="s">
        <v>#N/A N/A</v>
        <stp/>
        <stp>BDP|7138334658371089832</stp>
        <tr r="R353" s="2"/>
      </tp>
      <tp t="s">
        <v>#N/A N/A</v>
        <stp/>
        <stp>BDP|3670177869255642978</stp>
        <tr r="O454" s="2"/>
      </tp>
      <tp t="s">
        <v>#N/A N/A</v>
        <stp/>
        <stp>BDP|2690874225192820250</stp>
        <tr r="H82" s="2"/>
      </tp>
      <tp t="s">
        <v>#N/A N/A</v>
        <stp/>
        <stp>BDP|1962812830614007613</stp>
        <tr r="N2210" s="2"/>
      </tp>
      <tp t="s">
        <v>#N/A N/A</v>
        <stp/>
        <stp>BDP|4319636104563413992</stp>
        <tr r="K28" s="2"/>
      </tp>
      <tp t="s">
        <v>#N/A N/A</v>
        <stp/>
        <stp>BDP|3075866605947984430</stp>
        <tr r="T2170" s="2"/>
      </tp>
      <tp t="s">
        <v>#N/A N/A</v>
        <stp/>
        <stp>BDP|5957448471146249878</stp>
        <tr r="K1799" s="2"/>
      </tp>
      <tp t="s">
        <v>#N/A N/A</v>
        <stp/>
        <stp>BDP|6659207062083971946</stp>
        <tr r="N572" s="2"/>
      </tp>
      <tp t="s">
        <v>#N/A N/A</v>
        <stp/>
        <stp>BDP|4406852228043201521</stp>
        <tr r="K768" s="2"/>
      </tp>
      <tp t="s">
        <v>#N/A N/A</v>
        <stp/>
        <stp>BDP|6494998261196651736</stp>
        <tr r="H282" s="2"/>
      </tp>
      <tp t="s">
        <v>#N/A N/A</v>
        <stp/>
        <stp>BDP|6236717283029172881</stp>
        <tr r="T1513" s="2"/>
      </tp>
      <tp t="s">
        <v>#N/A N/A</v>
        <stp/>
        <stp>BDP|9013502365945494781</stp>
        <tr r="E2008" s="2"/>
      </tp>
      <tp t="s">
        <v>#N/A N/A</v>
        <stp/>
        <stp>BDP|9314264769417762225</stp>
        <tr r="C408" s="2"/>
      </tp>
      <tp t="s">
        <v>#N/A N/A</v>
        <stp/>
        <stp>BDP|3264835971763851713</stp>
        <tr r="S1354" s="2"/>
      </tp>
      <tp t="s">
        <v>#N/A N/A</v>
        <stp/>
        <stp>BDP|2402870172737022280</stp>
        <tr r="G1160" s="2"/>
      </tp>
      <tp t="s">
        <v>#N/A N/A</v>
        <stp/>
        <stp>BDP|4020632394670637380</stp>
        <tr r="O494" s="2"/>
      </tp>
      <tp t="s">
        <v>#N/A N/A</v>
        <stp/>
        <stp>BDP|3225496441283425871</stp>
        <tr r="S1126" s="2"/>
      </tp>
      <tp t="s">
        <v>#N/A N/A</v>
        <stp/>
        <stp>BDP|4748085157049622076</stp>
        <tr r="T1141" s="2"/>
      </tp>
      <tp t="s">
        <v>#N/A N/A</v>
        <stp/>
        <stp>BDP|8187070248830149461</stp>
        <tr r="C1475" s="2"/>
      </tp>
      <tp t="s">
        <v>#N/A N/A</v>
        <stp/>
        <stp>BDP|9446878691979938923</stp>
        <tr r="O1063" s="2"/>
      </tp>
      <tp t="s">
        <v>#N/A N/A</v>
        <stp/>
        <stp>BDP|2915672882227304364</stp>
        <tr r="K931" s="2"/>
      </tp>
      <tp t="s">
        <v>#N/A N/A</v>
        <stp/>
        <stp>BDP|3162567127209967501</stp>
        <tr r="K346" s="2"/>
      </tp>
      <tp t="s">
        <v>#N/A N/A</v>
        <stp/>
        <stp>BDP|3882598190264948312</stp>
        <tr r="J938" s="2"/>
      </tp>
      <tp t="s">
        <v>#N/A N/A</v>
        <stp/>
        <stp>BDP|2365017824008973062</stp>
        <tr r="D855" s="2"/>
      </tp>
      <tp t="s">
        <v>#N/A N/A</v>
        <stp/>
        <stp>BDP|2800241974229905687</stp>
        <tr r="O110" s="2"/>
      </tp>
      <tp t="s">
        <v>#N/A N/A</v>
        <stp/>
        <stp>BDP|5910038766602388963</stp>
        <tr r="C420" s="2"/>
      </tp>
      <tp t="s">
        <v>#N/A N/A</v>
        <stp/>
        <stp>BDP|3671303691425970470</stp>
        <tr r="Q551" s="2"/>
      </tp>
      <tp t="s">
        <v>#N/A N/A</v>
        <stp/>
        <stp>BDP|1616660286440867774</stp>
        <tr r="C1888" s="2"/>
      </tp>
      <tp t="s">
        <v>#N/A N/A</v>
        <stp/>
        <stp>BDP|6417206505319112592</stp>
        <tr r="H643" s="2"/>
      </tp>
      <tp t="s">
        <v>#N/A N/A</v>
        <stp/>
        <stp>BDP|7353642029538409335</stp>
        <tr r="N862" s="2"/>
      </tp>
      <tp t="s">
        <v>#N/A N/A</v>
        <stp/>
        <stp>BDP|4640134355710829812</stp>
        <tr r="F95" s="2"/>
      </tp>
      <tp t="s">
        <v>#N/A N/A</v>
        <stp/>
        <stp>BDP|9474520304020959424</stp>
        <tr r="S780" s="2"/>
      </tp>
      <tp t="s">
        <v>#N/A N/A</v>
        <stp/>
        <stp>BDP|5467950858600121114</stp>
        <tr r="R396" s="2"/>
      </tp>
      <tp t="s">
        <v>#N/A N/A</v>
        <stp/>
        <stp>BDP|7020504098985606679</stp>
        <tr r="A823" s="2"/>
      </tp>
      <tp t="s">
        <v>#N/A N/A</v>
        <stp/>
        <stp>BDP|4609474180395898508</stp>
        <tr r="P1612" s="2"/>
      </tp>
      <tp t="s">
        <v>#N/A N/A</v>
        <stp/>
        <stp>BDP|8169552526051850637</stp>
        <tr r="M359" s="2"/>
      </tp>
      <tp t="s">
        <v>#N/A N/A</v>
        <stp/>
        <stp>BDP|5150573518850446943</stp>
        <tr r="F855" s="2"/>
      </tp>
      <tp t="s">
        <v>#N/A N/A</v>
        <stp/>
        <stp>BDP|5382913890284845945</stp>
        <tr r="R2258" s="2"/>
      </tp>
      <tp t="s">
        <v>#N/A N/A</v>
        <stp/>
        <stp>BDP|4225894251903777230</stp>
        <tr r="A1353" s="2"/>
      </tp>
      <tp t="s">
        <v>#N/A N/A</v>
        <stp/>
        <stp>BDP|3302121232021813858</stp>
        <tr r="G1657" s="2"/>
      </tp>
      <tp t="s">
        <v>#N/A N/A</v>
        <stp/>
        <stp>BDP|3893653353361567957</stp>
        <tr r="P1351" s="2"/>
      </tp>
      <tp t="s">
        <v>#N/A N/A</v>
        <stp/>
        <stp>BDP|4901229502227228951</stp>
        <tr r="T641" s="2"/>
      </tp>
      <tp t="s">
        <v>#N/A N/A</v>
        <stp/>
        <stp>BDP|1929532787213637759</stp>
        <tr r="C1553" s="2"/>
      </tp>
      <tp t="s">
        <v>#N/A N/A</v>
        <stp/>
        <stp>BDP|5975751982976053402</stp>
        <tr r="J2093" s="2"/>
      </tp>
      <tp t="s">
        <v>#N/A N/A</v>
        <stp/>
        <stp>BDP|5469109285936971269</stp>
        <tr r="J433" s="2"/>
      </tp>
      <tp t="s">
        <v>#N/A N/A</v>
        <stp/>
        <stp>BDP|8075336736814399488</stp>
        <tr r="M584" s="2"/>
      </tp>
      <tp t="s">
        <v>#N/A N/A</v>
        <stp/>
        <stp>BDP|4134837643583781381</stp>
        <tr r="R1519" s="2"/>
      </tp>
      <tp t="s">
        <v>#N/A N/A</v>
        <stp/>
        <stp>BDP|9220010579292488403</stp>
        <tr r="P19" s="2"/>
      </tp>
      <tp t="s">
        <v>#N/A N/A</v>
        <stp/>
        <stp>BDP|4754729998502360004</stp>
        <tr r="N990" s="2"/>
      </tp>
      <tp t="s">
        <v>#N/A N/A</v>
        <stp/>
        <stp>BDP|2518025550908107786</stp>
        <tr r="E1216" s="2"/>
      </tp>
      <tp t="s">
        <v>#N/A N/A</v>
        <stp/>
        <stp>BDP|5051679879509924591</stp>
        <tr r="M1153" s="2"/>
      </tp>
      <tp t="s">
        <v>#N/A N/A</v>
        <stp/>
        <stp>BDP|6433899013257348036</stp>
        <tr r="P1442" s="2"/>
      </tp>
      <tp t="s">
        <v>#N/A N/A</v>
        <stp/>
        <stp>BDP|8022961198486541659</stp>
        <tr r="H630" s="2"/>
      </tp>
      <tp t="s">
        <v>#N/A N/A</v>
        <stp/>
        <stp>BDP|3792287093282782259</stp>
        <tr r="F228" s="2"/>
      </tp>
      <tp t="s">
        <v>#N/A N/A</v>
        <stp/>
        <stp>BDP|5339539939613428833</stp>
        <tr r="O2201" s="2"/>
      </tp>
      <tp t="s">
        <v>#N/A N/A</v>
        <stp/>
        <stp>BDP|2693255843854902878</stp>
        <tr r="F951" s="2"/>
      </tp>
      <tp t="s">
        <v>#N/A N/A</v>
        <stp/>
        <stp>BDP|4345996227487034039</stp>
        <tr r="R1730" s="2"/>
      </tp>
      <tp t="s">
        <v>#N/A N/A</v>
        <stp/>
        <stp>BDP|9843634773847274740</stp>
        <tr r="J31" s="2"/>
      </tp>
      <tp t="s">
        <v>#N/A N/A</v>
        <stp/>
        <stp>BDP|7192125245062971814</stp>
        <tr r="D264" s="2"/>
      </tp>
      <tp t="s">
        <v>#N/A N/A</v>
        <stp/>
        <stp>BDP|7775064929375387857</stp>
        <tr r="K798" s="2"/>
      </tp>
      <tp t="s">
        <v>#N/A N/A</v>
        <stp/>
        <stp>BDP|7728951338877555211</stp>
        <tr r="S2152" s="2"/>
      </tp>
      <tp t="s">
        <v>#N/A N/A</v>
        <stp/>
        <stp>BDP|2946883588862532822</stp>
        <tr r="H1839" s="2"/>
      </tp>
      <tp t="s">
        <v>#N/A N/A</v>
        <stp/>
        <stp>BDP|7604109231474863915</stp>
        <tr r="J1713" s="2"/>
      </tp>
      <tp t="s">
        <v>#N/A N/A</v>
        <stp/>
        <stp>BDP|8478735251122087085</stp>
        <tr r="T1262" s="2"/>
      </tp>
      <tp t="s">
        <v>#N/A N/A</v>
        <stp/>
        <stp>BDP|4739409632502906921</stp>
        <tr r="H335" s="2"/>
      </tp>
      <tp t="s">
        <v>#N/A N/A</v>
        <stp/>
        <stp>BDP|5018676151556956819</stp>
        <tr r="T2249" s="2"/>
      </tp>
      <tp t="s">
        <v>#N/A N/A</v>
        <stp/>
        <stp>BDP|8155583551954391457</stp>
        <tr r="P1616" s="2"/>
      </tp>
      <tp t="s">
        <v>#N/A N/A</v>
        <stp/>
        <stp>BDP|2216987003490708302</stp>
        <tr r="M697" s="2"/>
      </tp>
      <tp t="s">
        <v>#N/A N/A</v>
        <stp/>
        <stp>BDP|8266264628636674643</stp>
        <tr r="A2180" s="2"/>
      </tp>
      <tp t="s">
        <v>#N/A N/A</v>
        <stp/>
        <stp>BDP|5703094210645409942</stp>
        <tr r="Q948" s="2"/>
      </tp>
      <tp t="s">
        <v>#N/A N/A</v>
        <stp/>
        <stp>BDP|3438714324706711881</stp>
        <tr r="N877" s="2"/>
      </tp>
      <tp t="s">
        <v>#N/A N/A</v>
        <stp/>
        <stp>BDP|4012204999355454233</stp>
        <tr r="P1924" s="2"/>
      </tp>
      <tp t="s">
        <v>#N/A N/A</v>
        <stp/>
        <stp>BDP|6362912517176925024</stp>
        <tr r="Q1117" s="2"/>
      </tp>
      <tp t="s">
        <v>#N/A N/A</v>
        <stp/>
        <stp>BDP|3956769416475584823</stp>
        <tr r="T1679" s="2"/>
      </tp>
      <tp t="s">
        <v>#N/A N/A</v>
        <stp/>
        <stp>BDP|4789181216398081471</stp>
        <tr r="M1991" s="2"/>
      </tp>
      <tp t="s">
        <v>#N/A N/A</v>
        <stp/>
        <stp>BDP|5409881547855036459</stp>
        <tr r="T151" s="2"/>
      </tp>
      <tp t="s">
        <v>#N/A N/A</v>
        <stp/>
        <stp>BDP|9690360187922158886</stp>
        <tr r="R1503" s="2"/>
      </tp>
      <tp t="s">
        <v>#N/A N/A</v>
        <stp/>
        <stp>BDP|4959923022415279257</stp>
        <tr r="J1468" s="2"/>
      </tp>
      <tp t="s">
        <v>#N/A N/A</v>
        <stp/>
        <stp>BDP|1340373689473619150</stp>
        <tr r="N859" s="2"/>
      </tp>
      <tp t="s">
        <v>#N/A N/A</v>
        <stp/>
        <stp>BDP|4836838512287683213</stp>
        <tr r="D1630" s="2"/>
      </tp>
      <tp t="s">
        <v>#N/A N/A</v>
        <stp/>
        <stp>BDS|8877130906113744243</stp>
        <tr r="I649" s="2"/>
      </tp>
      <tp t="s">
        <v>#N/A N/A</v>
        <stp/>
        <stp>BDS|4493406476818432782</stp>
        <tr r="I1055" s="2"/>
      </tp>
      <tp t="s">
        <v>#N/A N/A</v>
        <stp/>
        <stp>BDP|2820232590308510907</stp>
        <tr r="E1537" s="2"/>
      </tp>
      <tp t="s">
        <v>#N/A N/A</v>
        <stp/>
        <stp>BDP|5490915351707264688</stp>
        <tr r="R745" s="2"/>
      </tp>
      <tp t="s">
        <v>#N/A N/A</v>
        <stp/>
        <stp>BDP|6260859963431286186</stp>
        <tr r="Q1450" s="2"/>
      </tp>
      <tp t="s">
        <v>#N/A N/A</v>
        <stp/>
        <stp>BDP|6797228647588501091</stp>
        <tr r="H400" s="2"/>
      </tp>
      <tp t="s">
        <v>#N/A N/A</v>
        <stp/>
        <stp>BDP|2161808653815503292</stp>
        <tr r="K1010" s="2"/>
      </tp>
      <tp t="s">
        <v>#N/A N/A</v>
        <stp/>
        <stp>BDP|8405647809226689019</stp>
        <tr r="K234" s="2"/>
      </tp>
      <tp t="s">
        <v>#N/A N/A</v>
        <stp/>
        <stp>BDP|5820435436403133924</stp>
        <tr r="R1708" s="2"/>
      </tp>
      <tp t="s">
        <v>#N/A N/A</v>
        <stp/>
        <stp>BDP|4912627983023019163</stp>
        <tr r="J1955" s="2"/>
      </tp>
      <tp t="s">
        <v>#N/A N/A</v>
        <stp/>
        <stp>BDP|5854714173075443801</stp>
        <tr r="K2232" s="2"/>
      </tp>
      <tp t="s">
        <v>#N/A N/A</v>
        <stp/>
        <stp>BDP|1844585988796147276</stp>
        <tr r="D929" s="2"/>
      </tp>
      <tp t="s">
        <v>#N/A N/A</v>
        <stp/>
        <stp>BDP|9959110938832610188</stp>
        <tr r="R1808" s="2"/>
      </tp>
      <tp t="s">
        <v>#N/A N/A</v>
        <stp/>
        <stp>BDP|7205866865322637392</stp>
        <tr r="O756" s="2"/>
      </tp>
      <tp t="s">
        <v>#N/A N/A</v>
        <stp/>
        <stp>BDP|9910197429893195163</stp>
        <tr r="G1731" s="2"/>
      </tp>
      <tp t="s">
        <v>#N/A N/A</v>
        <stp/>
        <stp>BDP|9508979382652624289</stp>
        <tr r="T2081" s="2"/>
      </tp>
      <tp t="s">
        <v>#N/A N/A</v>
        <stp/>
        <stp>BDP|4795168017785956917</stp>
        <tr r="J1448" s="2"/>
      </tp>
      <tp t="s">
        <v>#N/A N/A</v>
        <stp/>
        <stp>BDP|7189539065399940501</stp>
        <tr r="O441" s="2"/>
      </tp>
      <tp t="s">
        <v>#N/A N/A</v>
        <stp/>
        <stp>BDP|9307217061996982341</stp>
        <tr r="P914" s="2"/>
      </tp>
      <tp t="s">
        <v>#N/A N/A</v>
        <stp/>
        <stp>BDP|9312094644112408743</stp>
        <tr r="Q1616" s="2"/>
      </tp>
      <tp t="s">
        <v>#N/A N/A</v>
        <stp/>
        <stp>BDP|7965488284076914529</stp>
        <tr r="O2044" s="2"/>
      </tp>
      <tp t="s">
        <v>#N/A N/A</v>
        <stp/>
        <stp>BDP|1897670625869101457</stp>
        <tr r="M2218" s="2"/>
      </tp>
      <tp t="s">
        <v>#N/A N/A</v>
        <stp/>
        <stp>BDP|6154654297239424897</stp>
        <tr r="T708" s="2"/>
      </tp>
      <tp t="s">
        <v>#N/A N/A</v>
        <stp/>
        <stp>BDP|4539027216009978465</stp>
        <tr r="R2241" s="2"/>
      </tp>
      <tp t="s">
        <v>#N/A N/A</v>
        <stp/>
        <stp>BDP|7039681597713010312</stp>
        <tr r="O1698" s="2"/>
      </tp>
      <tp t="s">
        <v>#N/A N/A</v>
        <stp/>
        <stp>BDS|1045569848328624069</stp>
        <tr r="I570" s="2"/>
      </tp>
      <tp t="s">
        <v>#N/A N/A</v>
        <stp/>
        <stp>BDP|3485775380124911054</stp>
        <tr r="A955" s="2"/>
      </tp>
      <tp t="s">
        <v>#N/A N/A</v>
        <stp/>
        <stp>BDP|6883526137011340913</stp>
        <tr r="H1301" s="2"/>
      </tp>
      <tp t="s">
        <v>#N/A N/A</v>
        <stp/>
        <stp>BDP|2962230254284286934</stp>
        <tr r="E589" s="2"/>
      </tp>
      <tp t="s">
        <v>#N/A N/A</v>
        <stp/>
        <stp>BDP|5181493573538758633</stp>
        <tr r="J2" s="2"/>
      </tp>
      <tp t="s">
        <v>#N/A N/A</v>
        <stp/>
        <stp>BDP|9680301415526549590</stp>
        <tr r="N357" s="2"/>
      </tp>
      <tp t="s">
        <v>#N/A N/A</v>
        <stp/>
        <stp>BDP|2754589977570483839</stp>
        <tr r="K1730" s="2"/>
      </tp>
      <tp t="s">
        <v>#N/A N/A</v>
        <stp/>
        <stp>BDP|8351124806675894406</stp>
        <tr r="R1661" s="2"/>
      </tp>
      <tp t="s">
        <v>#N/A N/A</v>
        <stp/>
        <stp>BDP|6280072665531752981</stp>
        <tr r="G712" s="2"/>
      </tp>
      <tp t="s">
        <v>#N/A N/A</v>
        <stp/>
        <stp>BDP|4387029381853802772</stp>
        <tr r="D838" s="2"/>
      </tp>
      <tp t="s">
        <v>#N/A N/A</v>
        <stp/>
        <stp>BDP|6945853524413492731</stp>
        <tr r="K3" s="2"/>
      </tp>
      <tp t="s">
        <v>#N/A N/A</v>
        <stp/>
        <stp>BDP|6906839074421179001</stp>
        <tr r="P708" s="2"/>
      </tp>
      <tp t="s">
        <v>#N/A N/A</v>
        <stp/>
        <stp>BDP|8158171372636895030</stp>
        <tr r="E1626" s="2"/>
      </tp>
      <tp t="s">
        <v>#N/A N/A</v>
        <stp/>
        <stp>BDP|9985055503282016305</stp>
        <tr r="H279" s="2"/>
      </tp>
      <tp t="s">
        <v>#N/A N/A</v>
        <stp/>
        <stp>BDP|9166378849142115415</stp>
        <tr r="K267" s="2"/>
      </tp>
      <tp t="s">
        <v>#N/A N/A</v>
        <stp/>
        <stp>BDP|8987790342977923449</stp>
        <tr r="A319" s="2"/>
      </tp>
      <tp t="s">
        <v>#N/A N/A</v>
        <stp/>
        <stp>BDP|2617210316241891860</stp>
        <tr r="S446" s="2"/>
      </tp>
      <tp t="s">
        <v>#N/A N/A</v>
        <stp/>
        <stp>BDP|4628934839034089234</stp>
        <tr r="R524" s="2"/>
      </tp>
      <tp t="s">
        <v>#N/A N/A</v>
        <stp/>
        <stp>BDP|2406238559479503441</stp>
        <tr r="T1440" s="2"/>
      </tp>
      <tp t="s">
        <v>#N/A N/A</v>
        <stp/>
        <stp>BDP|8518480345260782006</stp>
        <tr r="O2174" s="2"/>
      </tp>
      <tp t="s">
        <v>#N/A N/A</v>
        <stp/>
        <stp>BDP|7976206407269293436</stp>
        <tr r="T187" s="2"/>
      </tp>
      <tp t="s">
        <v>#N/A N/A</v>
        <stp/>
        <stp>BDP|3873448030329750545</stp>
        <tr r="F1785" s="2"/>
      </tp>
      <tp t="s">
        <v>#N/A N/A</v>
        <stp/>
        <stp>BDP|7960348264023551937</stp>
        <tr r="F955" s="2"/>
      </tp>
      <tp t="s">
        <v>#N/A N/A</v>
        <stp/>
        <stp>BDP|4896639135148691174</stp>
        <tr r="P1720" s="2"/>
      </tp>
      <tp t="s">
        <v>#N/A N/A</v>
        <stp/>
        <stp>BDP|6971828133071458436</stp>
        <tr r="A286" s="2"/>
      </tp>
      <tp t="s">
        <v>#N/A N/A</v>
        <stp/>
        <stp>BDP|6150873964817928743</stp>
        <tr r="F601" s="2"/>
      </tp>
      <tp t="s">
        <v>#N/A N/A</v>
        <stp/>
        <stp>BDP|9200238007974974709</stp>
        <tr r="O2177" s="2"/>
      </tp>
      <tp t="s">
        <v>#N/A N/A</v>
        <stp/>
        <stp>BDS|6371770086447568689</stp>
        <tr r="I957" s="2"/>
      </tp>
      <tp t="s">
        <v>#N/A N/A</v>
        <stp/>
        <stp>BDP|9893833896477054724</stp>
        <tr r="H876" s="2"/>
      </tp>
      <tp t="s">
        <v>#N/A N/A</v>
        <stp/>
        <stp>BDP|6999863128100932417</stp>
        <tr r="O120" s="2"/>
      </tp>
      <tp t="s">
        <v>#N/A N/A</v>
        <stp/>
        <stp>BDP|9325400408033783634</stp>
        <tr r="A949" s="2"/>
      </tp>
      <tp t="s">
        <v>#N/A N/A</v>
        <stp/>
        <stp>BDP|3927543519079200690</stp>
        <tr r="K941" s="2"/>
      </tp>
      <tp t="s">
        <v>#N/A N/A</v>
        <stp/>
        <stp>BDP|4609624232468138182</stp>
        <tr r="Q1037" s="2"/>
      </tp>
      <tp t="s">
        <v>#N/A N/A</v>
        <stp/>
        <stp>BDP|9530407659060017034</stp>
        <tr r="O1811" s="2"/>
      </tp>
      <tp t="s">
        <v>#N/A N/A</v>
        <stp/>
        <stp>BDP|1349573751189374090</stp>
        <tr r="Q734" s="2"/>
      </tp>
      <tp t="s">
        <v>#N/A N/A</v>
        <stp/>
        <stp>BDP|7662303948310136804</stp>
        <tr r="M145" s="2"/>
      </tp>
      <tp t="s">
        <v>#N/A N/A</v>
        <stp/>
        <stp>BDP|1771933068161239717</stp>
        <tr r="G1308" s="2"/>
      </tp>
      <tp t="s">
        <v>#N/A N/A</v>
        <stp/>
        <stp>BDP|6762106698357829180</stp>
        <tr r="P829" s="2"/>
      </tp>
      <tp t="s">
        <v>#N/A N/A</v>
        <stp/>
        <stp>BDP|8759447205180844417</stp>
        <tr r="N1904" s="2"/>
      </tp>
      <tp t="s">
        <v>#N/A N/A</v>
        <stp/>
        <stp>BDP|9474095586570406907</stp>
        <tr r="K1301" s="2"/>
      </tp>
      <tp t="s">
        <v>#N/A N/A</v>
        <stp/>
        <stp>BDP|3946982048031344752</stp>
        <tr r="E33" s="2"/>
      </tp>
      <tp t="s">
        <v>#N/A N/A</v>
        <stp/>
        <stp>BDP|4837112655471477972</stp>
        <tr r="F1640" s="2"/>
      </tp>
      <tp t="s">
        <v>#N/A N/A</v>
        <stp/>
        <stp>BDP|8364773308646210112</stp>
        <tr r="G2085" s="2"/>
      </tp>
      <tp t="s">
        <v>#N/A N/A</v>
        <stp/>
        <stp>BDP|5852206632918429418</stp>
        <tr r="S1131" s="2"/>
      </tp>
      <tp t="s">
        <v>#N/A N/A</v>
        <stp/>
        <stp>BDP|5988200462058292161</stp>
        <tr r="A1123" s="2"/>
      </tp>
      <tp t="s">
        <v>#N/A N/A</v>
        <stp/>
        <stp>BDP|8665681754176610534</stp>
        <tr r="N599" s="2"/>
      </tp>
      <tp t="s">
        <v>#N/A N/A</v>
        <stp/>
        <stp>BDS|7461094167498055153</stp>
        <tr r="I536" s="2"/>
      </tp>
      <tp t="s">
        <v>#N/A N/A</v>
        <stp/>
        <stp>BDP|2835851738904396590</stp>
        <tr r="E1620" s="2"/>
      </tp>
      <tp t="s">
        <v>#N/A N/A</v>
        <stp/>
        <stp>BDP|6224392528167951856</stp>
        <tr r="R1001" s="2"/>
      </tp>
      <tp t="s">
        <v>#N/A N/A</v>
        <stp/>
        <stp>BDP|5531822677671777382</stp>
        <tr r="C1326" s="2"/>
      </tp>
      <tp t="s">
        <v>#N/A N/A</v>
        <stp/>
        <stp>BDP|6909830600383205571</stp>
        <tr r="S293" s="2"/>
      </tp>
      <tp t="s">
        <v>#N/A N/A</v>
        <stp/>
        <stp>BDP|5344800927697397089</stp>
        <tr r="F344" s="2"/>
      </tp>
      <tp t="s">
        <v>#N/A N/A</v>
        <stp/>
        <stp>BDP|2972039903508306259</stp>
        <tr r="F371" s="2"/>
      </tp>
      <tp t="s">
        <v>#N/A N/A</v>
        <stp/>
        <stp>BDP|2249082767489479567</stp>
        <tr r="M1480" s="2"/>
      </tp>
      <tp t="s">
        <v>#N/A N/A</v>
        <stp/>
        <stp>BDP|2713655745531972913</stp>
        <tr r="C889" s="2"/>
      </tp>
      <tp t="s">
        <v>#N/A N/A</v>
        <stp/>
        <stp>BDP|4353447518610372936</stp>
        <tr r="O1912" s="2"/>
      </tp>
      <tp t="s">
        <v>#N/A N/A</v>
        <stp/>
        <stp>BDP|5286906600005531188</stp>
        <tr r="O795" s="2"/>
      </tp>
      <tp t="s">
        <v>#N/A N/A</v>
        <stp/>
        <stp>BDP|4505718328181740848</stp>
        <tr r="Q189" s="2"/>
      </tp>
      <tp t="s">
        <v>#N/A N/A</v>
        <stp/>
        <stp>BDP|8108312328302104364</stp>
        <tr r="N376" s="2"/>
      </tp>
      <tp t="s">
        <v>#N/A N/A</v>
        <stp/>
        <stp>BDP|1083414154959989139</stp>
        <tr r="G2151" s="2"/>
      </tp>
      <tp t="s">
        <v>#N/A N/A</v>
        <stp/>
        <stp>BDP|4435490697153759223</stp>
        <tr r="G1390" s="2"/>
      </tp>
      <tp t="s">
        <v>#N/A N/A</v>
        <stp/>
        <stp>BDP|8948612892388127743</stp>
        <tr r="E1107" s="2"/>
      </tp>
      <tp t="s">
        <v>#N/A N/A</v>
        <stp/>
        <stp>BDP|3793156305089931318</stp>
        <tr r="C2092" s="2"/>
      </tp>
      <tp t="s">
        <v>#N/A N/A</v>
        <stp/>
        <stp>BDP|3205755617765920867</stp>
        <tr r="C753" s="2"/>
      </tp>
      <tp t="s">
        <v>#N/A N/A</v>
        <stp/>
        <stp>BDP|3804586474420267993</stp>
        <tr r="K2257" s="2"/>
      </tp>
      <tp t="s">
        <v>#N/A N/A</v>
        <stp/>
        <stp>BDP|3313784767559503367</stp>
        <tr r="O878" s="2"/>
      </tp>
      <tp t="s">
        <v>#N/A N/A</v>
        <stp/>
        <stp>BDP|7878274081447454254</stp>
        <tr r="E659" s="2"/>
      </tp>
      <tp t="s">
        <v>#N/A N/A</v>
        <stp/>
        <stp>BDP|3555849352803782585</stp>
        <tr r="S193" s="2"/>
      </tp>
      <tp t="s">
        <v>#N/A N/A</v>
        <stp/>
        <stp>BDP|8585998937918579227</stp>
        <tr r="S629" s="2"/>
      </tp>
      <tp t="s">
        <v>#N/A N/A</v>
        <stp/>
        <stp>BDP|8386395110687339551</stp>
        <tr r="T312" s="2"/>
      </tp>
      <tp t="s">
        <v>#N/A N/A</v>
        <stp/>
        <stp>BDP|4958638093112224177</stp>
        <tr r="T1110" s="2"/>
      </tp>
      <tp t="s">
        <v>#N/A N/A</v>
        <stp/>
        <stp>BDP|4755870433881651691</stp>
        <tr r="C2100" s="2"/>
      </tp>
      <tp t="s">
        <v>#N/A N/A</v>
        <stp/>
        <stp>BDP|6973640882551025139</stp>
        <tr r="F1975" s="2"/>
      </tp>
      <tp t="s">
        <v>#N/A N/A</v>
        <stp/>
        <stp>BDP|2526090252979067625</stp>
        <tr r="F2212" s="2"/>
      </tp>
      <tp t="s">
        <v>#N/A N/A</v>
        <stp/>
        <stp>BDP|1330453545861865876</stp>
        <tr r="N1030" s="2"/>
      </tp>
      <tp t="s">
        <v>#N/A N/A</v>
        <stp/>
        <stp>BDP|5462305436329996471</stp>
        <tr r="N1607" s="2"/>
      </tp>
      <tp t="s">
        <v>#N/A N/A</v>
        <stp/>
        <stp>BDP|1413933808507197726</stp>
        <tr r="E1727" s="2"/>
      </tp>
      <tp t="s">
        <v>#N/A N/A</v>
        <stp/>
        <stp>BDP|8765797195517584927</stp>
        <tr r="A1184" s="2"/>
      </tp>
      <tp t="s">
        <v>#N/A N/A</v>
        <stp/>
        <stp>BDP|9875149932623142037</stp>
        <tr r="K540" s="2"/>
      </tp>
      <tp t="s">
        <v>#N/A N/A</v>
        <stp/>
        <stp>BDP|6441487589415998705</stp>
        <tr r="A1784" s="2"/>
      </tp>
      <tp t="s">
        <v>#N/A N/A</v>
        <stp/>
        <stp>BDP|9476254518993167147</stp>
        <tr r="M2000" s="2"/>
      </tp>
      <tp t="s">
        <v>#N/A N/A</v>
        <stp/>
        <stp>BDP|9081755297617828862</stp>
        <tr r="A1171" s="2"/>
      </tp>
      <tp t="s">
        <v>#N/A N/A</v>
        <stp/>
        <stp>BDP|2557731743819935005</stp>
        <tr r="O426" s="2"/>
      </tp>
      <tp t="s">
        <v>#N/A N/A</v>
        <stp/>
        <stp>BDP|5326752639860642956</stp>
        <tr r="O685" s="2"/>
      </tp>
      <tp t="s">
        <v>#N/A N/A</v>
        <stp/>
        <stp>BDP|8620028738485029606</stp>
        <tr r="N1788" s="2"/>
      </tp>
      <tp t="s">
        <v>#N/A N/A</v>
        <stp/>
        <stp>BDP|6832537242548583703</stp>
        <tr r="Q405" s="2"/>
      </tp>
      <tp t="s">
        <v>#N/A N/A</v>
        <stp/>
        <stp>BDP|9305553258302737359</stp>
        <tr r="C558" s="2"/>
      </tp>
      <tp t="s">
        <v>#N/A N/A</v>
        <stp/>
        <stp>BDP|3041491003328051769</stp>
        <tr r="N561" s="2"/>
      </tp>
      <tp t="s">
        <v>#N/A N/A</v>
        <stp/>
        <stp>BDP|7935115271971479812</stp>
        <tr r="S1046" s="2"/>
      </tp>
      <tp t="s">
        <v>#N/A N/A</v>
        <stp/>
        <stp>BDP|5832159760613891998</stp>
        <tr r="M331" s="2"/>
      </tp>
      <tp t="s">
        <v>#N/A N/A</v>
        <stp/>
        <stp>BDP|6839329883734784128</stp>
        <tr r="D475" s="2"/>
      </tp>
      <tp t="s">
        <v>#N/A N/A</v>
        <stp/>
        <stp>BDP|7196498659299986746</stp>
        <tr r="R775" s="2"/>
      </tp>
      <tp t="s">
        <v>#N/A N/A</v>
        <stp/>
        <stp>BDP|3270337916859215095</stp>
        <tr r="K797" s="2"/>
      </tp>
      <tp t="s">
        <v>#N/A N/A</v>
        <stp/>
        <stp>BDP|4013651280927159580</stp>
        <tr r="N189" s="2"/>
      </tp>
      <tp t="s">
        <v>#N/A N/A</v>
        <stp/>
        <stp>BDP|6254105319988468630</stp>
        <tr r="S884" s="2"/>
      </tp>
      <tp t="s">
        <v>#N/A N/A</v>
        <stp/>
        <stp>BDP|1444600384822866545</stp>
        <tr r="J551" s="2"/>
      </tp>
      <tp t="s">
        <v>#N/A N/A</v>
        <stp/>
        <stp>BDP|2681433186371658792</stp>
        <tr r="O1785" s="2"/>
      </tp>
      <tp t="s">
        <v>#N/A N/A</v>
        <stp/>
        <stp>BDP|2867198759097680929</stp>
        <tr r="G353" s="2"/>
      </tp>
      <tp t="s">
        <v>#N/A N/A</v>
        <stp/>
        <stp>BDP|3597481822515567864</stp>
        <tr r="F1322" s="2"/>
      </tp>
      <tp t="s">
        <v>#N/A N/A</v>
        <stp/>
        <stp>BDP|5378599399703922264</stp>
        <tr r="P212" s="2"/>
      </tp>
      <tp t="s">
        <v>#N/A N/A</v>
        <stp/>
        <stp>BDP|8981787838147287379</stp>
        <tr r="J1753" s="2"/>
      </tp>
      <tp t="s">
        <v>#N/A N/A</v>
        <stp/>
        <stp>BDP|8711198009136879730</stp>
        <tr r="S180" s="2"/>
      </tp>
      <tp t="s">
        <v>#N/A N/A</v>
        <stp/>
        <stp>BDP|5751112592947948214</stp>
        <tr r="G2241" s="2"/>
      </tp>
      <tp t="s">
        <v>#N/A N/A</v>
        <stp/>
        <stp>BDP|3561428788494744340</stp>
        <tr r="C378" s="2"/>
      </tp>
      <tp t="s">
        <v>#N/A N/A</v>
        <stp/>
        <stp>BDP|6604786386730540114</stp>
        <tr r="F207" s="2"/>
      </tp>
      <tp t="s">
        <v>#N/A N/A</v>
        <stp/>
        <stp>BDP|4179154505529830454</stp>
        <tr r="J1129" s="2"/>
      </tp>
      <tp t="s">
        <v>#N/A N/A</v>
        <stp/>
        <stp>BDP|6443617833219800220</stp>
        <tr r="R1989" s="2"/>
      </tp>
      <tp t="s">
        <v>#N/A N/A</v>
        <stp/>
        <stp>BDP|6962344952008039031</stp>
        <tr r="E2050" s="2"/>
      </tp>
      <tp t="s">
        <v>#N/A N/A</v>
        <stp/>
        <stp>BDP|3681953428613266358</stp>
        <tr r="R1122" s="2"/>
      </tp>
      <tp t="s">
        <v>#N/A N/A</v>
        <stp/>
        <stp>BDP|3978816525995297432</stp>
        <tr r="T2157" s="2"/>
      </tp>
      <tp t="s">
        <v>#N/A N/A</v>
        <stp/>
        <stp>BDP|9219767298236257922</stp>
        <tr r="R1944" s="2"/>
      </tp>
      <tp t="s">
        <v>#N/A N/A</v>
        <stp/>
        <stp>BDP|1683664527349283495</stp>
        <tr r="M298" s="2"/>
      </tp>
      <tp t="s">
        <v>#N/A N/A</v>
        <stp/>
        <stp>BDP|2543503219759927790</stp>
        <tr r="C281" s="2"/>
      </tp>
      <tp t="s">
        <v>#N/A N/A</v>
        <stp/>
        <stp>BDP|9481656653642682085</stp>
        <tr r="S166" s="2"/>
      </tp>
      <tp t="s">
        <v>#N/A N/A</v>
        <stp/>
        <stp>BDP|9235695265300665146</stp>
        <tr r="C861" s="2"/>
      </tp>
      <tp t="s">
        <v>#N/A N/A</v>
        <stp/>
        <stp>BDP|3257817969263206645</stp>
        <tr r="F1264" s="2"/>
      </tp>
      <tp t="s">
        <v>#N/A N/A</v>
        <stp/>
        <stp>BDP|6034460466954464888</stp>
        <tr r="C1922" s="2"/>
      </tp>
      <tp t="s">
        <v>#N/A N/A</v>
        <stp/>
        <stp>BDP|9503611806280920775</stp>
        <tr r="R290" s="2"/>
      </tp>
      <tp t="s">
        <v>#N/A N/A</v>
        <stp/>
        <stp>BDP|6799680104900042870</stp>
        <tr r="Q1807" s="2"/>
      </tp>
      <tp t="s">
        <v>#N/A N/A</v>
        <stp/>
        <stp>BDP|7038082585650472754</stp>
        <tr r="R2028" s="2"/>
      </tp>
      <tp t="s">
        <v>#N/A N/A</v>
        <stp/>
        <stp>BDP|4454215589862862489</stp>
        <tr r="S1624" s="2"/>
      </tp>
      <tp t="s">
        <v>#N/A N/A</v>
        <stp/>
        <stp>BDP|4751003392234026191</stp>
        <tr r="S964" s="2"/>
      </tp>
      <tp t="s">
        <v>#N/A N/A</v>
        <stp/>
        <stp>BDP|4280617797877886409</stp>
        <tr r="M1612" s="2"/>
      </tp>
      <tp t="s">
        <v>#N/A N/A</v>
        <stp/>
        <stp>BDP|5542410937499961360</stp>
        <tr r="C201" s="2"/>
      </tp>
      <tp t="s">
        <v>#N/A N/A</v>
        <stp/>
        <stp>BDP|5893139474303704845</stp>
        <tr r="A1638" s="2"/>
      </tp>
      <tp t="s">
        <v>#N/A N/A</v>
        <stp/>
        <stp>BDP|8617686357164141744</stp>
        <tr r="O2126" s="2"/>
      </tp>
      <tp t="s">
        <v>#N/A N/A</v>
        <stp/>
        <stp>BDP|7129681823498495328</stp>
        <tr r="R1281" s="2"/>
      </tp>
      <tp t="s">
        <v>#N/A N/A</v>
        <stp/>
        <stp>BDP|6399433994716838508</stp>
        <tr r="F1611" s="2"/>
      </tp>
      <tp t="s">
        <v>#N/A N/A</v>
        <stp/>
        <stp>BDP|2460995340152933598</stp>
        <tr r="R180" s="2"/>
      </tp>
      <tp t="s">
        <v>#N/A N/A</v>
        <stp/>
        <stp>BDP|8010894297848741940</stp>
        <tr r="J280" s="2"/>
      </tp>
      <tp t="s">
        <v>#N/A N/A</v>
        <stp/>
        <stp>BDS|5944325521904760804</stp>
        <tr r="I1650" s="2"/>
      </tp>
      <tp t="s">
        <v>#N/A N/A</v>
        <stp/>
        <stp>BDP|3045869271867382394</stp>
        <tr r="N123" s="2"/>
      </tp>
      <tp t="s">
        <v>#N/A N/A</v>
        <stp/>
        <stp>BDP|6813900131921404500</stp>
        <tr r="S2163" s="2"/>
      </tp>
      <tp t="s">
        <v>#N/A N/A</v>
        <stp/>
        <stp>BDP|5182555699063257220</stp>
        <tr r="Q899" s="2"/>
      </tp>
      <tp t="s">
        <v>#N/A N/A</v>
        <stp/>
        <stp>BDP|5415345127908363493</stp>
        <tr r="J635" s="2"/>
      </tp>
      <tp t="s">
        <v>#N/A N/A</v>
        <stp/>
        <stp>BDP|6333268128267250927</stp>
        <tr r="G449" s="2"/>
      </tp>
      <tp t="s">
        <v>#N/A N/A</v>
        <stp/>
        <stp>BDP|1614144028619318349</stp>
        <tr r="K1387" s="2"/>
      </tp>
      <tp t="s">
        <v>#N/A N/A</v>
        <stp/>
        <stp>BDP|9039434898928115475</stp>
        <tr r="M1880" s="2"/>
      </tp>
      <tp t="s">
        <v>#N/A N/A</v>
        <stp/>
        <stp>BDP|9498442655183107390</stp>
        <tr r="R655" s="2"/>
      </tp>
      <tp t="s">
        <v>#N/A N/A</v>
        <stp/>
        <stp>BDP|8925137886969323024</stp>
        <tr r="O806" s="2"/>
      </tp>
      <tp t="s">
        <v>#N/A N/A</v>
        <stp/>
        <stp>BDP|1797763531455816852</stp>
        <tr r="O2202" s="2"/>
      </tp>
      <tp t="s">
        <v>#N/A N/A</v>
        <stp/>
        <stp>BDS|9178136762967508186</stp>
        <tr r="I309" s="2"/>
      </tp>
      <tp t="s">
        <v>#N/A N/A</v>
        <stp/>
        <stp>BDP|9276445946970506186</stp>
        <tr r="H1363" s="2"/>
      </tp>
      <tp t="s">
        <v>#N/A N/A</v>
        <stp/>
        <stp>BDP|9345540871023391080</stp>
        <tr r="D10" s="2"/>
      </tp>
      <tp t="s">
        <v>#N/A N/A</v>
        <stp/>
        <stp>BDP|2820708188220549581</stp>
        <tr r="O1056" s="2"/>
      </tp>
      <tp t="s">
        <v>#N/A N/A</v>
        <stp/>
        <stp>BDP|8682006107308952854</stp>
        <tr r="A559" s="2"/>
      </tp>
      <tp t="s">
        <v>#N/A N/A</v>
        <stp/>
        <stp>BDP|2029885130654784525</stp>
        <tr r="M651" s="2"/>
      </tp>
      <tp t="s">
        <v>#N/A N/A</v>
        <stp/>
        <stp>BDS|9149501124441849709</stp>
        <tr r="I477" s="2"/>
      </tp>
      <tp t="s">
        <v>#N/A N/A</v>
        <stp/>
        <stp>BDP|4301156218438340409</stp>
        <tr r="N368" s="2"/>
      </tp>
      <tp t="s">
        <v>#N/A N/A</v>
        <stp/>
        <stp>BDP|5420392981105969388</stp>
        <tr r="N624" s="2"/>
      </tp>
      <tp t="s">
        <v>#N/A N/A</v>
        <stp/>
        <stp>BDS|9890950526063020967</stp>
        <tr r="I607" s="2"/>
      </tp>
      <tp t="s">
        <v>#N/A N/A</v>
        <stp/>
        <stp>BDP|2271851806847475586</stp>
        <tr r="H606" s="2"/>
      </tp>
      <tp t="s">
        <v>#N/A N/A</v>
        <stp/>
        <stp>BDP|1826977043704346028</stp>
        <tr r="D1419" s="2"/>
      </tp>
      <tp t="s">
        <v>#N/A N/A</v>
        <stp/>
        <stp>BDP|5700888436214235267</stp>
        <tr r="T1469" s="2"/>
      </tp>
      <tp t="s">
        <v>#N/A N/A</v>
        <stp/>
        <stp>BDP|3115389890932277368</stp>
        <tr r="D25" s="2"/>
      </tp>
      <tp t="s">
        <v>#N/A N/A</v>
        <stp/>
        <stp>BDP|4647459398140569134</stp>
        <tr r="K832" s="2"/>
      </tp>
      <tp t="s">
        <v>#N/A N/A</v>
        <stp/>
        <stp>BDP|7803149521979625563</stp>
        <tr r="D884" s="2"/>
      </tp>
      <tp t="s">
        <v>#N/A N/A</v>
        <stp/>
        <stp>BDP|6861887096668352783</stp>
        <tr r="Q277" s="2"/>
      </tp>
      <tp t="s">
        <v>#N/A N/A</v>
        <stp/>
        <stp>BDP|3185849514585508795</stp>
        <tr r="K392" s="2"/>
      </tp>
      <tp t="s">
        <v>#N/A N/A</v>
        <stp/>
        <stp>BDP|5405794967179268552</stp>
        <tr r="G1056" s="2"/>
      </tp>
      <tp t="s">
        <v>#N/A N/A</v>
        <stp/>
        <stp>BDP|6603058288346139079</stp>
        <tr r="C2050" s="2"/>
      </tp>
      <tp t="s">
        <v>#N/A N/A</v>
        <stp/>
        <stp>BDP|8957202993002610917</stp>
        <tr r="G395" s="2"/>
      </tp>
      <tp t="s">
        <v>#N/A N/A</v>
        <stp/>
        <stp>BDP|5020114800328940450</stp>
        <tr r="T1840" s="2"/>
      </tp>
      <tp t="s">
        <v>#N/A N/A</v>
        <stp/>
        <stp>BDP|2495813008761796374</stp>
        <tr r="G2137" s="2"/>
      </tp>
      <tp t="s">
        <v>#N/A N/A</v>
        <stp/>
        <stp>BDP|6336363793027286398</stp>
        <tr r="C743" s="2"/>
      </tp>
      <tp t="s">
        <v>#N/A N/A</v>
        <stp/>
        <stp>BDP|7587998335013312671</stp>
        <tr r="T1864" s="2"/>
      </tp>
      <tp t="s">
        <v>#N/A N/A</v>
        <stp/>
        <stp>BDP|2765223067736977865</stp>
        <tr r="G2059" s="2"/>
      </tp>
      <tp t="s">
        <v>#N/A N/A</v>
        <stp/>
        <stp>BDP|6376288644020046828</stp>
        <tr r="C2111" s="2"/>
      </tp>
      <tp t="s">
        <v>#N/A N/A</v>
        <stp/>
        <stp>BDP|6846687033632910977</stp>
        <tr r="H628" s="2"/>
      </tp>
      <tp t="s">
        <v>#N/A N/A</v>
        <stp/>
        <stp>BDP|8343802087062802215</stp>
        <tr r="T340" s="2"/>
      </tp>
      <tp t="s">
        <v>#N/A N/A</v>
        <stp/>
        <stp>BDP|8571480715497058254</stp>
        <tr r="D531" s="2"/>
      </tp>
      <tp t="s">
        <v>#N/A N/A</v>
        <stp/>
        <stp>BDP|8904108463481093677</stp>
        <tr r="D2205" s="2"/>
      </tp>
      <tp t="s">
        <v>#N/A N/A</v>
        <stp/>
        <stp>BDP|9443843895561948113</stp>
        <tr r="J913" s="2"/>
      </tp>
      <tp t="s">
        <v>#N/A N/A</v>
        <stp/>
        <stp>BDP|6141593202488349342</stp>
        <tr r="N1189" s="2"/>
      </tp>
      <tp t="s">
        <v>#N/A N/A</v>
        <stp/>
        <stp>BDP|7871625477176561850</stp>
        <tr r="K885" s="2"/>
      </tp>
      <tp t="s">
        <v>#N/A N/A</v>
        <stp/>
        <stp>BDP|4702640843717874955</stp>
        <tr r="H1885" s="2"/>
      </tp>
      <tp t="s">
        <v>#N/A N/A</v>
        <stp/>
        <stp>BDP|5878047690707545346</stp>
        <tr r="Q2123" s="2"/>
      </tp>
      <tp t="s">
        <v>#N/A N/A</v>
        <stp/>
        <stp>BDP|4429562830569642395</stp>
        <tr r="J2042" s="2"/>
      </tp>
      <tp t="s">
        <v>#N/A N/A</v>
        <stp/>
        <stp>BDP|2295995781862622912</stp>
        <tr r="M530" s="2"/>
      </tp>
      <tp t="s">
        <v>#N/A N/A</v>
        <stp/>
        <stp>BDP|1668927868416366027</stp>
        <tr r="J1572" s="2"/>
      </tp>
      <tp t="s">
        <v>#N/A N/A</v>
        <stp/>
        <stp>BDP|4827470083466019613</stp>
        <tr r="E733" s="2"/>
      </tp>
      <tp t="s">
        <v>#N/A N/A</v>
        <stp/>
        <stp>BDP|8502880600371629965</stp>
        <tr r="H410" s="2"/>
      </tp>
      <tp t="s">
        <v>#N/A N/A</v>
        <stp/>
        <stp>BDP|8654144470721959767</stp>
        <tr r="G1239" s="2"/>
      </tp>
      <tp t="s">
        <v>#N/A N/A</v>
        <stp/>
        <stp>BDP|8596511889904659963</stp>
        <tr r="F2169" s="2"/>
      </tp>
      <tp t="s">
        <v>#N/A N/A</v>
        <stp/>
        <stp>BDP|3188719363969782397</stp>
        <tr r="E1147" s="2"/>
      </tp>
      <tp t="s">
        <v>#N/A N/A</v>
        <stp/>
        <stp>BDP|3630722592637219291</stp>
        <tr r="H1292" s="2"/>
      </tp>
      <tp t="s">
        <v>#N/A N/A</v>
        <stp/>
        <stp>BDP|3197861705244853779</stp>
        <tr r="H2039" s="2"/>
      </tp>
      <tp t="s">
        <v>#N/A N/A</v>
        <stp/>
        <stp>BDS|8429817254428529596</stp>
        <tr r="I1210" s="2"/>
      </tp>
      <tp t="s">
        <v>#N/A N/A</v>
        <stp/>
        <stp>BDP|6033399282214492127</stp>
        <tr r="T2043" s="2"/>
      </tp>
      <tp t="s">
        <v>#N/A N/A</v>
        <stp/>
        <stp>BDP|3504034080055795634</stp>
        <tr r="E742" s="2"/>
      </tp>
      <tp t="s">
        <v>#N/A N/A</v>
        <stp/>
        <stp>BDP|5525208089014865365</stp>
        <tr r="P1675" s="2"/>
      </tp>
      <tp t="s">
        <v>#N/A N/A</v>
        <stp/>
        <stp>BDP|7988886400033756442</stp>
        <tr r="P593" s="2"/>
      </tp>
      <tp t="s">
        <v>#N/A N/A</v>
        <stp/>
        <stp>BDP|5275519784982271279</stp>
        <tr r="Q388" s="2"/>
      </tp>
      <tp t="s">
        <v>#N/A N/A</v>
        <stp/>
        <stp>BDP|6787132565410667950</stp>
        <tr r="K727" s="2"/>
      </tp>
      <tp t="s">
        <v>#N/A N/A</v>
        <stp/>
        <stp>BDP|1136227723351466869</stp>
        <tr r="J510" s="2"/>
      </tp>
      <tp t="s">
        <v>#N/A N/A</v>
        <stp/>
        <stp>BDP|6125596745688798783</stp>
        <tr r="G1206" s="2"/>
      </tp>
      <tp t="s">
        <v>#N/A N/A</v>
        <stp/>
        <stp>BDP|3640423582602489501</stp>
        <tr r="K1744" s="2"/>
      </tp>
      <tp t="s">
        <v>#N/A N/A</v>
        <stp/>
        <stp>BDP|2075741150640209848</stp>
        <tr r="C865" s="2"/>
      </tp>
      <tp t="s">
        <v>#N/A N/A</v>
        <stp/>
        <stp>BDP|3326203691601857189</stp>
        <tr r="K654" s="2"/>
      </tp>
      <tp t="s">
        <v>#N/A N/A</v>
        <stp/>
        <stp>BDP|4196867652203773200</stp>
        <tr r="Q1039" s="2"/>
      </tp>
      <tp t="s">
        <v>#N/A N/A</v>
        <stp/>
        <stp>BDP|8258588979192504047</stp>
        <tr r="G2097" s="2"/>
      </tp>
      <tp t="s">
        <v>#N/A N/A</v>
        <stp/>
        <stp>BDP|2937162129989147057</stp>
        <tr r="R1381" s="2"/>
      </tp>
      <tp t="s">
        <v>#N/A N/A</v>
        <stp/>
        <stp>BDP|2901986102161843299</stp>
        <tr r="F1358" s="2"/>
      </tp>
      <tp t="s">
        <v>#N/A N/A</v>
        <stp/>
        <stp>BDP|1756349177319416424</stp>
        <tr r="E805" s="2"/>
      </tp>
      <tp t="s">
        <v>#N/A N/A</v>
        <stp/>
        <stp>BDS|3127888359174723250</stp>
        <tr r="I2091" s="2"/>
      </tp>
      <tp t="s">
        <v>#N/A N/A</v>
        <stp/>
        <stp>BDP|7130068604059909681</stp>
        <tr r="E526" s="2"/>
      </tp>
      <tp t="s">
        <v>#N/A N/A</v>
        <stp/>
        <stp>BDP|4972503555079805569</stp>
        <tr r="Q1300" s="2"/>
      </tp>
      <tp t="s">
        <v>#N/A N/A</v>
        <stp/>
        <stp>BDP|4754850322876517071</stp>
        <tr r="A135" s="2"/>
      </tp>
      <tp t="s">
        <v>#N/A N/A</v>
        <stp/>
        <stp>BDP|4572758951988631658</stp>
        <tr r="C540" s="2"/>
      </tp>
      <tp t="s">
        <v>#N/A N/A</v>
        <stp/>
        <stp>BDP|6923243607659822508</stp>
        <tr r="F866" s="2"/>
      </tp>
      <tp t="s">
        <v>#N/A N/A</v>
        <stp/>
        <stp>BDP|8036297918117512469</stp>
        <tr r="C503" s="2"/>
      </tp>
      <tp t="s">
        <v>#N/A N/A</v>
        <stp/>
        <stp>BDP|8431338359703508591</stp>
        <tr r="O542" s="2"/>
      </tp>
      <tp t="s">
        <v>#N/A N/A</v>
        <stp/>
        <stp>BDP|3888602004249608484</stp>
        <tr r="D644" s="2"/>
      </tp>
      <tp t="s">
        <v>#N/A N/A</v>
        <stp/>
        <stp>BDP|8944852138909267245</stp>
        <tr r="Q2150" s="2"/>
      </tp>
      <tp t="s">
        <v>#N/A N/A</v>
        <stp/>
        <stp>BDP|8463817767646699862</stp>
        <tr r="S1355" s="2"/>
      </tp>
      <tp t="s">
        <v>#N/A N/A</v>
        <stp/>
        <stp>BDP|3067040985837467474</stp>
        <tr r="A1678" s="2"/>
      </tp>
      <tp t="s">
        <v>#N/A N/A</v>
        <stp/>
        <stp>BDP|3096936696383623812</stp>
        <tr r="A27" s="2"/>
      </tp>
      <tp t="s">
        <v>#N/A N/A</v>
        <stp/>
        <stp>BDP|1516775262949126130</stp>
        <tr r="C2026" s="2"/>
      </tp>
      <tp t="s">
        <v>#N/A N/A</v>
        <stp/>
        <stp>BDP|3430842439826226694</stp>
        <tr r="S1368" s="2"/>
      </tp>
      <tp t="s">
        <v>#N/A N/A</v>
        <stp/>
        <stp>BDP|9149628203484321315</stp>
        <tr r="A1436" s="2"/>
      </tp>
      <tp t="s">
        <v>#N/A N/A</v>
        <stp/>
        <stp>BDP|3738059500068876382</stp>
        <tr r="N6" s="2"/>
      </tp>
      <tp t="s">
        <v>#N/A N/A</v>
        <stp/>
        <stp>BDP|2430258222183172902</stp>
        <tr r="J540" s="2"/>
      </tp>
      <tp t="s">
        <v>#N/A N/A</v>
        <stp/>
        <stp>BDP|3689807025624212537</stp>
        <tr r="R1916" s="2"/>
      </tp>
      <tp t="s">
        <v>#N/A N/A</v>
        <stp/>
        <stp>BDP|1560769831004723972</stp>
        <tr r="G1217" s="2"/>
      </tp>
      <tp t="s">
        <v>#N/A N/A</v>
        <stp/>
        <stp>BDP|8771164024525413639</stp>
        <tr r="S75" s="2"/>
      </tp>
      <tp t="s">
        <v>#N/A N/A</v>
        <stp/>
        <stp>BDP|9890342809124718605</stp>
        <tr r="T1389" s="2"/>
      </tp>
      <tp t="s">
        <v>#N/A N/A</v>
        <stp/>
        <stp>BDP|8720324855974117230</stp>
        <tr r="A1595" s="2"/>
      </tp>
      <tp t="s">
        <v>#N/A N/A</v>
        <stp/>
        <stp>BDP|6932686108529366187</stp>
        <tr r="O856" s="2"/>
      </tp>
      <tp t="s">
        <v>#N/A N/A</v>
        <stp/>
        <stp>BDP|5910577363646729883</stp>
        <tr r="C651" s="2"/>
      </tp>
      <tp t="s">
        <v>#N/A N/A</v>
        <stp/>
        <stp>BDP|6693266986415220168</stp>
        <tr r="P1528" s="2"/>
      </tp>
      <tp t="s">
        <v>#N/A N/A</v>
        <stp/>
        <stp>BDP|2527468495802715533</stp>
        <tr r="R1941" s="2"/>
      </tp>
      <tp t="s">
        <v>#N/A N/A</v>
        <stp/>
        <stp>BDP|3331945507092132035</stp>
        <tr r="Q1750" s="2"/>
      </tp>
      <tp t="s">
        <v>#N/A N/A</v>
        <stp/>
        <stp>BDP|6374357822256452927</stp>
        <tr r="Q2249" s="2"/>
      </tp>
      <tp t="s">
        <v>#N/A N/A</v>
        <stp/>
        <stp>BDP|8605510995535764973</stp>
        <tr r="G699" s="2"/>
      </tp>
      <tp t="s">
        <v>#N/A N/A</v>
        <stp/>
        <stp>BDP|8402423650917392670</stp>
        <tr r="E814" s="2"/>
      </tp>
      <tp t="s">
        <v>#N/A N/A</v>
        <stp/>
        <stp>BDP|9166017415185309543</stp>
        <tr r="P1676" s="2"/>
      </tp>
      <tp t="s">
        <v>#N/A N/A</v>
        <stp/>
        <stp>BDP|8217043847946595261</stp>
        <tr r="N2000" s="2"/>
      </tp>
      <tp t="s">
        <v>#N/A N/A</v>
        <stp/>
        <stp>BDP|4769721719952944879</stp>
        <tr r="P1881" s="2"/>
      </tp>
      <tp t="s">
        <v>#N/A N/A</v>
        <stp/>
        <stp>BDP|5420763502543509977</stp>
        <tr r="G714" s="2"/>
      </tp>
      <tp t="s">
        <v>#N/A N/A</v>
        <stp/>
        <stp>BDP|5456853991645211902</stp>
        <tr r="Q2222" s="2"/>
      </tp>
      <tp t="s">
        <v>#N/A N/A</v>
        <stp/>
        <stp>BDP|3800823754240927651</stp>
        <tr r="A2037" s="2"/>
      </tp>
      <tp t="s">
        <v>#N/A N/A</v>
        <stp/>
        <stp>BDP|5545689571305681984</stp>
        <tr r="G746" s="2"/>
      </tp>
      <tp t="s">
        <v>#N/A N/A</v>
        <stp/>
        <stp>BDP|5007371075619624067</stp>
        <tr r="D396" s="2"/>
      </tp>
      <tp t="s">
        <v>#N/A N/A</v>
        <stp/>
        <stp>BDP|7374610219160102884</stp>
        <tr r="E509" s="2"/>
      </tp>
      <tp t="s">
        <v>#N/A N/A</v>
        <stp/>
        <stp>BDP|7768226804324060937</stp>
        <tr r="O1876" s="2"/>
      </tp>
      <tp t="s">
        <v>#N/A N/A</v>
        <stp/>
        <stp>BDP|9074635026825694011</stp>
        <tr r="T574" s="2"/>
      </tp>
      <tp t="s">
        <v>#N/A N/A</v>
        <stp/>
        <stp>BDP|6265056736254153922</stp>
        <tr r="K2205" s="2"/>
      </tp>
      <tp t="s">
        <v>#N/A N/A</v>
        <stp/>
        <stp>BDP|7270388711968917502</stp>
        <tr r="P1559" s="2"/>
      </tp>
      <tp t="s">
        <v>#N/A N/A</v>
        <stp/>
        <stp>BDP|4668371788344255394</stp>
        <tr r="F1374" s="2"/>
      </tp>
      <tp t="s">
        <v>#N/A N/A</v>
        <stp/>
        <stp>BDP|4933546886021801010</stp>
        <tr r="A1322" s="2"/>
      </tp>
      <tp t="s">
        <v>#N/A N/A</v>
        <stp/>
        <stp>BDP|1764813211082134243</stp>
        <tr r="A612" s="2"/>
      </tp>
      <tp t="s">
        <v>#N/A N/A</v>
        <stp/>
        <stp>BDP|7177550793986093552</stp>
        <tr r="O1863" s="2"/>
      </tp>
      <tp t="s">
        <v>#N/A N/A</v>
        <stp/>
        <stp>BDP|8934730379398705865</stp>
        <tr r="R1744" s="2"/>
      </tp>
      <tp t="s">
        <v>#N/A N/A</v>
        <stp/>
        <stp>BDP|3729513651292162941</stp>
        <tr r="K1457" s="2"/>
      </tp>
      <tp t="s">
        <v>#N/A N/A</v>
        <stp/>
        <stp>BDP|1740043192759562962</stp>
        <tr r="E1854" s="2"/>
      </tp>
      <tp t="s">
        <v>#N/A N/A</v>
        <stp/>
        <stp>BDP|5374473188618905976</stp>
        <tr r="C1341" s="2"/>
      </tp>
      <tp t="s">
        <v>#N/A N/A</v>
        <stp/>
        <stp>BDP|6907779479578696631</stp>
        <tr r="K845" s="2"/>
      </tp>
      <tp t="s">
        <v>#N/A N/A</v>
        <stp/>
        <stp>BDP|8234350950536747026</stp>
        <tr r="S1737" s="2"/>
      </tp>
      <tp t="s">
        <v>#N/A N/A</v>
        <stp/>
        <stp>BDS|9194436540657492644</stp>
        <tr r="I818" s="2"/>
      </tp>
      <tp t="s">
        <v>#N/A N/A</v>
        <stp/>
        <stp>BDP|2736726786275831093</stp>
        <tr r="N2243" s="2"/>
      </tp>
      <tp t="s">
        <v>#N/A N/A</v>
        <stp/>
        <stp>BDP|8320774022171205460</stp>
        <tr r="S1361" s="2"/>
      </tp>
      <tp t="s">
        <v>#N/A N/A</v>
        <stp/>
        <stp>BDP|8052375097583139931</stp>
        <tr r="D294" s="2"/>
      </tp>
      <tp t="s">
        <v>#N/A N/A</v>
        <stp/>
        <stp>BDP|3308402887276749113</stp>
        <tr r="H689" s="2"/>
      </tp>
      <tp t="s">
        <v>#N/A N/A</v>
        <stp/>
        <stp>BDP|9573560361593716174</stp>
        <tr r="P343" s="2"/>
      </tp>
      <tp t="s">
        <v>#N/A N/A</v>
        <stp/>
        <stp>BDP|1338555670543370873</stp>
        <tr r="T588" s="2"/>
      </tp>
      <tp t="s">
        <v>#N/A N/A</v>
        <stp/>
        <stp>BDP|6937987025185304052</stp>
        <tr r="S911" s="2"/>
      </tp>
      <tp t="s">
        <v>#N/A N/A</v>
        <stp/>
        <stp>BDP|3488849716895082747</stp>
        <tr r="M1811" s="2"/>
      </tp>
      <tp t="s">
        <v>#N/A N/A</v>
        <stp/>
        <stp>BDP|9865807413708945004</stp>
        <tr r="R1778" s="2"/>
      </tp>
      <tp t="s">
        <v>#N/A N/A</v>
        <stp/>
        <stp>BDP|4440643270249360415</stp>
        <tr r="F641" s="2"/>
      </tp>
      <tp t="s">
        <v>#N/A N/A</v>
        <stp/>
        <stp>BDS|4692893748517427718</stp>
        <tr r="I1250" s="2"/>
      </tp>
      <tp t="s">
        <v>#N/A N/A</v>
        <stp/>
        <stp>BDP|7269150066601543962</stp>
        <tr r="G416" s="2"/>
      </tp>
      <tp t="s">
        <v>#N/A N/A</v>
        <stp/>
        <stp>BDP|6552825177781410060</stp>
        <tr r="M237" s="2"/>
      </tp>
      <tp t="s">
        <v>#N/A N/A</v>
        <stp/>
        <stp>BDP|8806385981298599377</stp>
        <tr r="P965" s="2"/>
      </tp>
      <tp t="s">
        <v>#N/A N/A</v>
        <stp/>
        <stp>BDP|7647976250065089623</stp>
        <tr r="T2236" s="2"/>
      </tp>
      <tp t="s">
        <v>#N/A N/A</v>
        <stp/>
        <stp>BDS|4753192376033848939</stp>
        <tr r="I2111" s="2"/>
      </tp>
      <tp t="s">
        <v>#N/A N/A</v>
        <stp/>
        <stp>BDP|6513557288874923724</stp>
        <tr r="O149" s="2"/>
      </tp>
      <tp t="s">
        <v>#N/A N/A</v>
        <stp/>
        <stp>BDP|2723347877949169762</stp>
        <tr r="O294" s="2"/>
      </tp>
      <tp t="s">
        <v>#N/A N/A</v>
        <stp/>
        <stp>BDP|2313806592833009824</stp>
        <tr r="Q496" s="2"/>
      </tp>
      <tp t="s">
        <v>#N/A N/A</v>
        <stp/>
        <stp>BDP|6127631790793765269</stp>
        <tr r="R45" s="2"/>
      </tp>
      <tp t="s">
        <v>#N/A N/A</v>
        <stp/>
        <stp>BDP|2988145880453618083</stp>
        <tr r="N1694" s="2"/>
      </tp>
      <tp t="s">
        <v>#N/A N/A</v>
        <stp/>
        <stp>BDP|8372407666812001062</stp>
        <tr r="E1746" s="2"/>
      </tp>
      <tp t="s">
        <v>#N/A N/A</v>
        <stp/>
        <stp>BDP|1898000186688972942</stp>
        <tr r="T2168" s="2"/>
      </tp>
      <tp t="s">
        <v>#N/A N/A</v>
        <stp/>
        <stp>BDP|3386253694869518948</stp>
        <tr r="A749" s="2"/>
      </tp>
      <tp t="s">
        <v>#N/A N/A</v>
        <stp/>
        <stp>BDP|3998904729064367401</stp>
        <tr r="A2145" s="2"/>
      </tp>
      <tp t="s">
        <v>#N/A N/A</v>
        <stp/>
        <stp>BDP|9544720086278048628</stp>
        <tr r="O1855" s="2"/>
      </tp>
      <tp t="s">
        <v>#N/A N/A</v>
        <stp/>
        <stp>BDP|8500893749848343452</stp>
        <tr r="J1764" s="2"/>
      </tp>
      <tp t="s">
        <v>#N/A N/A</v>
        <stp/>
        <stp>BDP|3990186160665555971</stp>
        <tr r="G532" s="2"/>
      </tp>
      <tp t="s">
        <v>#N/A N/A</v>
        <stp/>
        <stp>BDS|2769822744550289607</stp>
        <tr r="I1974" s="2"/>
      </tp>
      <tp t="s">
        <v>#N/A N/A</v>
        <stp/>
        <stp>BDP|7294842611975578318</stp>
        <tr r="T745" s="2"/>
      </tp>
      <tp t="s">
        <v>#N/A N/A</v>
        <stp/>
        <stp>BDS|5501338137084017927</stp>
        <tr r="I261" s="2"/>
      </tp>
      <tp t="s">
        <v>#N/A N/A</v>
        <stp/>
        <stp>BDP|5387625184565319654</stp>
        <tr r="T2090" s="2"/>
      </tp>
      <tp t="s">
        <v>#N/A N/A</v>
        <stp/>
        <stp>BDP|7412125406197185920</stp>
        <tr r="R787" s="2"/>
      </tp>
      <tp t="s">
        <v>#N/A N/A</v>
        <stp/>
        <stp>BDP|2430448180172561460</stp>
        <tr r="S1562" s="2"/>
      </tp>
      <tp t="s">
        <v>#N/A N/A</v>
        <stp/>
        <stp>BDP|9284562241196123675</stp>
        <tr r="N835" s="2"/>
      </tp>
      <tp t="s">
        <v>#N/A N/A</v>
        <stp/>
        <stp>BDP|1188234375219355577</stp>
        <tr r="S420" s="2"/>
      </tp>
      <tp t="s">
        <v>#N/A N/A</v>
        <stp/>
        <stp>BDP|2143222234459290264</stp>
        <tr r="A577" s="2"/>
      </tp>
      <tp t="s">
        <v>#N/A N/A</v>
        <stp/>
        <stp>BDP|9535146327902173044</stp>
        <tr r="F1674" s="2"/>
      </tp>
      <tp t="s">
        <v>#N/A N/A</v>
        <stp/>
        <stp>BDP|5376968765396575464</stp>
        <tr r="E1803" s="2"/>
      </tp>
      <tp t="s">
        <v>#N/A N/A</v>
        <stp/>
        <stp>BDP|3870111994917600480</stp>
        <tr r="N1945" s="2"/>
      </tp>
      <tp t="s">
        <v>#N/A N/A</v>
        <stp/>
        <stp>BDP|1745800564944370334</stp>
        <tr r="J1652" s="2"/>
      </tp>
      <tp t="s">
        <v>#N/A N/A</v>
        <stp/>
        <stp>BDP|7485815837942227638</stp>
        <tr r="S2018" s="2"/>
      </tp>
      <tp t="s">
        <v>#N/A N/A</v>
        <stp/>
        <stp>BDP|8764576812654616079</stp>
        <tr r="F161" s="2"/>
      </tp>
      <tp t="s">
        <v>#N/A N/A</v>
        <stp/>
        <stp>BDP|5414726736091693850</stp>
        <tr r="F994" s="2"/>
      </tp>
      <tp t="s">
        <v>#N/A N/A</v>
        <stp/>
        <stp>BDP|6676416501132067857</stp>
        <tr r="K834" s="2"/>
      </tp>
      <tp t="s">
        <v>#N/A N/A</v>
        <stp/>
        <stp>BDP|9859287830993320308</stp>
        <tr r="O1972" s="2"/>
      </tp>
      <tp t="s">
        <v>#N/A N/A</v>
        <stp/>
        <stp>BDP|8918312134992925268</stp>
        <tr r="Q29" s="2"/>
      </tp>
      <tp t="s">
        <v>#N/A N/A</v>
        <stp/>
        <stp>BDP|7419104890276546123</stp>
        <tr r="R878" s="2"/>
      </tp>
      <tp t="s">
        <v>#N/A N/A</v>
        <stp/>
        <stp>BDP|1310817815115738534</stp>
        <tr r="M1336" s="2"/>
      </tp>
      <tp t="s">
        <v>#N/A N/A</v>
        <stp/>
        <stp>BDP|8141547441700068172</stp>
        <tr r="N180" s="2"/>
      </tp>
      <tp t="s">
        <v>#N/A N/A</v>
        <stp/>
        <stp>BDP|2883818567502449691</stp>
        <tr r="T57" s="2"/>
      </tp>
      <tp t="s">
        <v>#N/A N/A</v>
        <stp/>
        <stp>BDP|4842804268792163021</stp>
        <tr r="H1035" s="2"/>
      </tp>
      <tp t="s">
        <v>#N/A N/A</v>
        <stp/>
        <stp>BDP|3808217183654171585</stp>
        <tr r="M1000" s="2"/>
      </tp>
      <tp t="s">
        <v>#N/A N/A</v>
        <stp/>
        <stp>BDP|8460541814352414636</stp>
        <tr r="A833" s="2"/>
      </tp>
      <tp t="s">
        <v>#N/A N/A</v>
        <stp/>
        <stp>BDS|9921644169624618511</stp>
        <tr r="I894" s="2"/>
      </tp>
      <tp t="s">
        <v>#N/A N/A</v>
        <stp/>
        <stp>BDS|4286592195873527381</stp>
        <tr r="I2241" s="2"/>
      </tp>
      <tp t="s">
        <v>#N/A N/A</v>
        <stp/>
        <stp>BDP|5710627532788143057</stp>
        <tr r="N1192" s="2"/>
      </tp>
      <tp t="s">
        <v>#N/A N/A</v>
        <stp/>
        <stp>BDP|8747288348996414006</stp>
        <tr r="T606" s="2"/>
      </tp>
      <tp t="s">
        <v>#N/A N/A</v>
        <stp/>
        <stp>BDP|5632862266250256373</stp>
        <tr r="K1027" s="2"/>
      </tp>
      <tp t="s">
        <v>#N/A N/A</v>
        <stp/>
        <stp>BDP|5069103726657256973</stp>
        <tr r="J2099" s="2"/>
      </tp>
      <tp t="s">
        <v>#N/A N/A</v>
        <stp/>
        <stp>BDP|8307802155625709821</stp>
        <tr r="D328" s="2"/>
      </tp>
      <tp t="s">
        <v>#N/A N/A</v>
        <stp/>
        <stp>BDP|3851266880661551085</stp>
        <tr r="H1675" s="2"/>
      </tp>
      <tp t="s">
        <v>#N/A N/A</v>
        <stp/>
        <stp>BDP|3495806809142887162</stp>
        <tr r="H391" s="2"/>
      </tp>
      <tp t="s">
        <v>#N/A N/A</v>
        <stp/>
        <stp>BDP|7058523601162107813</stp>
        <tr r="J692" s="2"/>
      </tp>
      <tp t="s">
        <v>#N/A N/A</v>
        <stp/>
        <stp>BDP|2152527325635459815</stp>
        <tr r="E2074" s="2"/>
      </tp>
      <tp t="s">
        <v>#N/A N/A</v>
        <stp/>
        <stp>BDP|2119859384798387200</stp>
        <tr r="C1164" s="2"/>
      </tp>
      <tp t="s">
        <v>#N/A N/A</v>
        <stp/>
        <stp>BDS|2643244588330030094</stp>
        <tr r="I1905" s="2"/>
      </tp>
      <tp t="s">
        <v>#N/A N/A</v>
        <stp/>
        <stp>BDP|3465134885793342126</stp>
        <tr r="Q1464" s="2"/>
      </tp>
      <tp t="s">
        <v>#N/A N/A</v>
        <stp/>
        <stp>BDP|7736637086235614470</stp>
        <tr r="T2205" s="2"/>
      </tp>
      <tp t="s">
        <v>#N/A N/A</v>
        <stp/>
        <stp>BDP|2938253599730421122</stp>
        <tr r="A460" s="2"/>
      </tp>
      <tp t="s">
        <v>#N/A N/A</v>
        <stp/>
        <stp>BDP|4579987394035873920</stp>
        <tr r="R122" s="2"/>
      </tp>
      <tp t="s">
        <v>#N/A N/A</v>
        <stp/>
        <stp>BDP|6646197465400116980</stp>
        <tr r="D805" s="2"/>
      </tp>
      <tp t="s">
        <v>#N/A N/A</v>
        <stp/>
        <stp>BDP|3820600489400677547</stp>
        <tr r="D1828" s="2"/>
      </tp>
      <tp t="s">
        <v>#N/A N/A</v>
        <stp/>
        <stp>BDS|4970765597722288098</stp>
        <tr r="I781" s="2"/>
      </tp>
      <tp t="s">
        <v>#N/A N/A</v>
        <stp/>
        <stp>BDP|2337718037776404815</stp>
        <tr r="Q975" s="2"/>
      </tp>
      <tp t="s">
        <v>#N/A N/A</v>
        <stp/>
        <stp>BDP|2088256896603165227</stp>
        <tr r="F886" s="2"/>
      </tp>
      <tp t="s">
        <v>#N/A N/A</v>
        <stp/>
        <stp>BDP|5604663146146537938</stp>
        <tr r="D493" s="2"/>
      </tp>
      <tp t="s">
        <v>#N/A N/A</v>
        <stp/>
        <stp>BDP|2799874204750403203</stp>
        <tr r="G27" s="2"/>
      </tp>
      <tp t="s">
        <v>#N/A N/A</v>
        <stp/>
        <stp>BDP|7592925535954649148</stp>
        <tr r="E183" s="2"/>
      </tp>
      <tp t="s">
        <v>#N/A N/A</v>
        <stp/>
        <stp>BDP|3930704371048063389</stp>
        <tr r="R1463" s="2"/>
      </tp>
      <tp t="s">
        <v>#N/A N/A</v>
        <stp/>
        <stp>BDP|6692057316079674631</stp>
        <tr r="P1531" s="2"/>
      </tp>
      <tp t="s">
        <v>#N/A N/A</v>
        <stp/>
        <stp>BDP|5249641992897530516</stp>
        <tr r="K35" s="2"/>
      </tp>
      <tp t="s">
        <v>#N/A N/A</v>
        <stp/>
        <stp>BDP|4344956252116014649</stp>
        <tr r="G1098" s="2"/>
      </tp>
      <tp t="s">
        <v>#N/A N/A</v>
        <stp/>
        <stp>BDP|4988964019905099166</stp>
        <tr r="C105" s="2"/>
      </tp>
      <tp t="s">
        <v>#N/A N/A</v>
        <stp/>
        <stp>BDP|2466046947248299651</stp>
        <tr r="S253" s="2"/>
      </tp>
      <tp t="s">
        <v>#N/A N/A</v>
        <stp/>
        <stp>BDP|4034901902137692240</stp>
        <tr r="H943" s="2"/>
      </tp>
      <tp t="s">
        <v>#N/A N/A</v>
        <stp/>
        <stp>BDP|4194954442296425727</stp>
        <tr r="O666" s="2"/>
      </tp>
      <tp t="s">
        <v>#N/A N/A</v>
        <stp/>
        <stp>BDP|5114969866565006717</stp>
        <tr r="P1587" s="2"/>
      </tp>
      <tp t="s">
        <v>#N/A N/A</v>
        <stp/>
        <stp>BDP|9986764706356073095</stp>
        <tr r="C1575" s="2"/>
      </tp>
      <tp t="s">
        <v>#N/A N/A</v>
        <stp/>
        <stp>BDP|4424839858157869671</stp>
        <tr r="C44" s="2"/>
      </tp>
      <tp t="s">
        <v>#N/A N/A</v>
        <stp/>
        <stp>BDP|1654515208035954968</stp>
        <tr r="K1812" s="2"/>
      </tp>
      <tp t="s">
        <v>#N/A N/A</v>
        <stp/>
        <stp>BDP|2791522944769937282</stp>
        <tr r="O2133" s="2"/>
      </tp>
      <tp t="s">
        <v>#N/A N/A</v>
        <stp/>
        <stp>BDP|2372007763975337936</stp>
        <tr r="G1780" s="2"/>
      </tp>
      <tp t="s">
        <v>#N/A N/A</v>
        <stp/>
        <stp>BDP|8394845433519574212</stp>
        <tr r="S2233" s="2"/>
      </tp>
      <tp t="s">
        <v>#N/A N/A</v>
        <stp/>
        <stp>BDP|8962489148421811116</stp>
        <tr r="S425" s="2"/>
      </tp>
      <tp t="s">
        <v>#N/A N/A</v>
        <stp/>
        <stp>BDS|8500734467913145206</stp>
        <tr r="I497" s="2"/>
      </tp>
      <tp t="s">
        <v>#N/A N/A</v>
        <stp/>
        <stp>BDP|5188577395649003835</stp>
        <tr r="P2162" s="2"/>
      </tp>
      <tp t="s">
        <v>#N/A N/A</v>
        <stp/>
        <stp>BDP|6838548630161544992</stp>
        <tr r="T1421" s="2"/>
      </tp>
      <tp t="s">
        <v>#N/A N/A</v>
        <stp/>
        <stp>BDP|9121921809710207888</stp>
        <tr r="K1965" s="2"/>
      </tp>
      <tp t="s">
        <v>#N/A N/A</v>
        <stp/>
        <stp>BDP|6224534767578080564</stp>
        <tr r="N192" s="2"/>
      </tp>
      <tp t="s">
        <v>#N/A N/A</v>
        <stp/>
        <stp>BDP|3123314618310193992</stp>
        <tr r="D470" s="2"/>
      </tp>
      <tp t="s">
        <v>#N/A N/A</v>
        <stp/>
        <stp>BDP|3553361492964856596</stp>
        <tr r="F146" s="2"/>
      </tp>
      <tp t="s">
        <v>#N/A N/A</v>
        <stp/>
        <stp>BDP|6392742185612205303</stp>
        <tr r="K393" s="2"/>
      </tp>
      <tp t="s">
        <v>#N/A N/A</v>
        <stp/>
        <stp>BDP|9267700075856035773</stp>
        <tr r="A2244" s="2"/>
      </tp>
      <tp t="s">
        <v>#N/A N/A</v>
        <stp/>
        <stp>BDP|6401798181683447284</stp>
        <tr r="F1356" s="2"/>
      </tp>
      <tp t="s">
        <v>#N/A N/A</v>
        <stp/>
        <stp>BDP|8508009015450047107</stp>
        <tr r="H1273" s="2"/>
      </tp>
      <tp t="s">
        <v>#N/A N/A</v>
        <stp/>
        <stp>BDP|1962482783675146037</stp>
        <tr r="H2073" s="2"/>
      </tp>
      <tp t="s">
        <v>#N/A N/A</v>
        <stp/>
        <stp>BDP|6524651300820881882</stp>
        <tr r="O1224" s="2"/>
      </tp>
      <tp t="s">
        <v>#N/A N/A</v>
        <stp/>
        <stp>BDP|5184592299808634970</stp>
        <tr r="S1810" s="2"/>
      </tp>
      <tp t="s">
        <v>#N/A N/A</v>
        <stp/>
        <stp>BDP|7513973253190265334</stp>
        <tr r="J997" s="2"/>
      </tp>
      <tp t="s">
        <v>#N/A N/A</v>
        <stp/>
        <stp>BDP|6722242366823219978</stp>
        <tr r="M357" s="2"/>
      </tp>
      <tp t="s">
        <v>#N/A N/A</v>
        <stp/>
        <stp>BDP|2470672930266669951</stp>
        <tr r="F1357" s="2"/>
      </tp>
      <tp t="s">
        <v>#N/A N/A</v>
        <stp/>
        <stp>BDP|9737589548930367045</stp>
        <tr r="M499" s="2"/>
      </tp>
      <tp t="s">
        <v>#N/A N/A</v>
        <stp/>
        <stp>BDP|4172386799460354630</stp>
        <tr r="Q1249" s="2"/>
      </tp>
      <tp t="s">
        <v>#N/A N/A</v>
        <stp/>
        <stp>BDP|1344537316539554433</stp>
        <tr r="M264" s="2"/>
      </tp>
      <tp t="s">
        <v>#N/A N/A</v>
        <stp/>
        <stp>BDP|7716701093710247163</stp>
        <tr r="H359" s="2"/>
      </tp>
      <tp t="s">
        <v>#N/A N/A</v>
        <stp/>
        <stp>BDP|9470565058020322190</stp>
        <tr r="N1925" s="2"/>
      </tp>
      <tp t="s">
        <v>#N/A N/A</v>
        <stp/>
        <stp>BDS|6963847847694842620</stp>
        <tr r="I743" s="2"/>
      </tp>
      <tp t="s">
        <v>#N/A N/A</v>
        <stp/>
        <stp>BDP|5765667751197394939</stp>
        <tr r="J582" s="2"/>
      </tp>
      <tp t="s">
        <v>#N/A N/A</v>
        <stp/>
        <stp>BDP|3416703096845407069</stp>
        <tr r="C1443" s="2"/>
      </tp>
      <tp t="s">
        <v>#N/A N/A</v>
        <stp/>
        <stp>BDP|4938250524639118597</stp>
        <tr r="H285" s="2"/>
      </tp>
      <tp t="s">
        <v>#N/A N/A</v>
        <stp/>
        <stp>BDP|8442048630524838789</stp>
        <tr r="Q954" s="2"/>
      </tp>
      <tp t="s">
        <v>#N/A N/A</v>
        <stp/>
        <stp>BDP|8893483645416245678</stp>
        <tr r="N1289" s="2"/>
      </tp>
      <tp t="s">
        <v>#N/A N/A</v>
        <stp/>
        <stp>BDP|6068474768518702485</stp>
        <tr r="J1350" s="2"/>
      </tp>
      <tp t="s">
        <v>#N/A N/A</v>
        <stp/>
        <stp>BDP|9835353620788836856</stp>
        <tr r="T638" s="2"/>
      </tp>
      <tp t="s">
        <v>#N/A N/A</v>
        <stp/>
        <stp>BDP|4040359313957348952</stp>
        <tr r="K271" s="2"/>
      </tp>
      <tp t="s">
        <v>#N/A N/A</v>
        <stp/>
        <stp>BDP|6720665098408830915</stp>
        <tr r="Q801" s="2"/>
      </tp>
      <tp t="s">
        <v>#N/A N/A</v>
        <stp/>
        <stp>BDP|1039993928941087314</stp>
        <tr r="O2059" s="2"/>
      </tp>
      <tp t="s">
        <v>#N/A N/A</v>
        <stp/>
        <stp>BDP|3164070507783704864</stp>
        <tr r="P1515" s="2"/>
      </tp>
      <tp t="s">
        <v>#N/A N/A</v>
        <stp/>
        <stp>BDP|2682656917149337479</stp>
        <tr r="R1643" s="2"/>
      </tp>
      <tp t="s">
        <v>#N/A N/A</v>
        <stp/>
        <stp>BDP|7604874147054039762</stp>
        <tr r="K1468" s="2"/>
      </tp>
      <tp t="s">
        <v>#N/A N/A</v>
        <stp/>
        <stp>BDP|3614990968444668017</stp>
        <tr r="F511" s="2"/>
      </tp>
      <tp t="s">
        <v>#N/A N/A</v>
        <stp/>
        <stp>BDP|9064709525527282376</stp>
        <tr r="C448" s="2"/>
      </tp>
      <tp t="s">
        <v>#N/A N/A</v>
        <stp/>
        <stp>BDP|6667037783671719712</stp>
        <tr r="K128" s="2"/>
      </tp>
      <tp t="s">
        <v>#N/A N/A</v>
        <stp/>
        <stp>BDP|9447724767493946384</stp>
        <tr r="K1678" s="2"/>
      </tp>
      <tp t="s">
        <v>#N/A N/A</v>
        <stp/>
        <stp>BDP|2589877803212789061</stp>
        <tr r="D441" s="2"/>
      </tp>
      <tp t="s">
        <v>#N/A N/A</v>
        <stp/>
        <stp>BDP|8008915287137572637</stp>
        <tr r="P110" s="2"/>
      </tp>
      <tp t="s">
        <v>#N/A N/A</v>
        <stp/>
        <stp>BDS|3645950471733207607</stp>
        <tr r="I2145" s="2"/>
      </tp>
      <tp t="s">
        <v>#N/A N/A</v>
        <stp/>
        <stp>BDP|8202641103754181249</stp>
        <tr r="E1506" s="2"/>
      </tp>
      <tp t="s">
        <v>#N/A N/A</v>
        <stp/>
        <stp>BDP|7263570827400137836</stp>
        <tr r="R357" s="2"/>
      </tp>
      <tp t="s">
        <v>#N/A N/A</v>
        <stp/>
        <stp>BDP|5029792673295808825</stp>
        <tr r="F2090" s="2"/>
      </tp>
      <tp t="s">
        <v>#N/A N/A</v>
        <stp/>
        <stp>BDP|4234815818166843334</stp>
        <tr r="N1575" s="2"/>
      </tp>
      <tp t="s">
        <v>#N/A N/A</v>
        <stp/>
        <stp>BDP|6709061984411018753</stp>
        <tr r="K1994" s="2"/>
      </tp>
      <tp t="s">
        <v>#N/A N/A</v>
        <stp/>
        <stp>BDP|4650155791911667549</stp>
        <tr r="P454" s="2"/>
      </tp>
      <tp t="s">
        <v>#N/A N/A</v>
        <stp/>
        <stp>BDP|7630213095226023226</stp>
        <tr r="R750" s="2"/>
      </tp>
      <tp t="s">
        <v>#N/A N/A</v>
        <stp/>
        <stp>BDP|9369358187338934288</stp>
        <tr r="N1549" s="2"/>
      </tp>
      <tp t="s">
        <v>#N/A N/A</v>
        <stp/>
        <stp>BDP|3817741582046907269</stp>
        <tr r="G1865" s="2"/>
      </tp>
      <tp t="s">
        <v>#N/A N/A</v>
        <stp/>
        <stp>BDS|2280597297911999745</stp>
        <tr r="I1393" s="2"/>
      </tp>
      <tp t="s">
        <v>#N/A N/A</v>
        <stp/>
        <stp>BDP|4290886401173907736</stp>
        <tr r="H2161" s="2"/>
      </tp>
      <tp t="s">
        <v>#N/A N/A</v>
        <stp/>
        <stp>BDS|6070176621915152866</stp>
        <tr r="I1107" s="2"/>
      </tp>
      <tp t="s">
        <v>#N/A N/A</v>
        <stp/>
        <stp>BDP|2139933425925370456</stp>
        <tr r="C2172" s="2"/>
      </tp>
      <tp t="s">
        <v>#N/A N/A</v>
        <stp/>
        <stp>BDP|2038928051030441667</stp>
        <tr r="T1854" s="2"/>
      </tp>
      <tp t="s">
        <v>#N/A N/A</v>
        <stp/>
        <stp>BDP|8661318436595358535</stp>
        <tr r="G1122" s="2"/>
      </tp>
      <tp t="s">
        <v>#N/A N/A</v>
        <stp/>
        <stp>BDP|1312811710922221210</stp>
        <tr r="D340" s="2"/>
      </tp>
      <tp t="s">
        <v>#N/A N/A</v>
        <stp/>
        <stp>BDP|5457169402708824492</stp>
        <tr r="F837" s="2"/>
      </tp>
      <tp t="s">
        <v>#N/A N/A</v>
        <stp/>
        <stp>BDS|5199563194393006221</stp>
        <tr r="I1598" s="2"/>
      </tp>
      <tp t="s">
        <v>#N/A N/A</v>
        <stp/>
        <stp>BDP|3118428954722112874</stp>
        <tr r="F1828" s="2"/>
      </tp>
      <tp t="s">
        <v>#N/A N/A</v>
        <stp/>
        <stp>BDP|4096225045188423224</stp>
        <tr r="S1178" s="2"/>
      </tp>
      <tp t="s">
        <v>#N/A N/A</v>
        <stp/>
        <stp>BDP|6259970534956672260</stp>
        <tr r="A38" s="2"/>
      </tp>
      <tp t="s">
        <v>#N/A N/A</v>
        <stp/>
        <stp>BDS|8225775324714684161</stp>
        <tr r="I1335" s="2"/>
      </tp>
      <tp t="s">
        <v>#N/A N/A</v>
        <stp/>
        <stp>BDP|4143069402339300572</stp>
        <tr r="J142" s="2"/>
      </tp>
      <tp t="s">
        <v>#N/A N/A</v>
        <stp/>
        <stp>BDS|7221959475229270811</stp>
        <tr r="I17" s="2"/>
      </tp>
      <tp t="s">
        <v>#N/A N/A</v>
        <stp/>
        <stp>BDP|6181369389176684394</stp>
        <tr r="E1524" s="2"/>
      </tp>
      <tp t="s">
        <v>#N/A N/A</v>
        <stp/>
        <stp>BDP|9401710241022353069</stp>
        <tr r="D629" s="2"/>
      </tp>
      <tp t="s">
        <v>#N/A N/A</v>
        <stp/>
        <stp>BDP|4381290912427914801</stp>
        <tr r="J1689" s="2"/>
      </tp>
      <tp t="s">
        <v>#N/A N/A</v>
        <stp/>
        <stp>BDP|5414870212960767471</stp>
        <tr r="S896" s="2"/>
      </tp>
      <tp t="s">
        <v>#N/A N/A</v>
        <stp/>
        <stp>BDP|7661614475917765942</stp>
        <tr r="E1645" s="2"/>
      </tp>
      <tp t="s">
        <v>#N/A N/A</v>
        <stp/>
        <stp>BDP|9975927088080271008</stp>
        <tr r="F2122" s="2"/>
      </tp>
      <tp t="s">
        <v>#N/A N/A</v>
        <stp/>
        <stp>BDP|6428995645994169787</stp>
        <tr r="Q2017" s="2"/>
      </tp>
      <tp t="s">
        <v>#N/A N/A</v>
        <stp/>
        <stp>BDP|8526781213872608494</stp>
        <tr r="O1256" s="2"/>
      </tp>
      <tp t="s">
        <v>#N/A N/A</v>
        <stp/>
        <stp>BDP|9158798893129970635</stp>
        <tr r="F835" s="2"/>
      </tp>
      <tp t="s">
        <v>#N/A N/A</v>
        <stp/>
        <stp>BDP|3100516377358067162</stp>
        <tr r="Q1578" s="2"/>
      </tp>
      <tp t="s">
        <v>#N/A N/A</v>
        <stp/>
        <stp>BDP|3476517984596817085</stp>
        <tr r="S778" s="2"/>
      </tp>
      <tp t="s">
        <v>#N/A N/A</v>
        <stp/>
        <stp>BDP|1721513700034299859</stp>
        <tr r="P795" s="2"/>
      </tp>
      <tp t="s">
        <v>#N/A N/A</v>
        <stp/>
        <stp>BDP|5146088282206279388</stp>
        <tr r="J980" s="2"/>
      </tp>
      <tp t="s">
        <v>#N/A N/A</v>
        <stp/>
        <stp>BDP|8862782076333168360</stp>
        <tr r="S648" s="2"/>
      </tp>
      <tp t="s">
        <v>#N/A N/A</v>
        <stp/>
        <stp>BDP|9474047900587220637</stp>
        <tr r="G370" s="2"/>
      </tp>
      <tp t="s">
        <v>#N/A N/A</v>
        <stp/>
        <stp>BDP|9480770845817609510</stp>
        <tr r="H326" s="2"/>
      </tp>
      <tp t="s">
        <v>#N/A N/A</v>
        <stp/>
        <stp>BDP|2131862341591762702</stp>
        <tr r="R2207" s="2"/>
      </tp>
      <tp t="s">
        <v>#N/A N/A</v>
        <stp/>
        <stp>BDP|6729905575613397308</stp>
        <tr r="D820" s="2"/>
      </tp>
      <tp t="s">
        <v>#N/A N/A</v>
        <stp/>
        <stp>BDP|4026986904751531480</stp>
        <tr r="T1923" s="2"/>
      </tp>
      <tp t="s">
        <v>#N/A N/A</v>
        <stp/>
        <stp>BDP|1098808046064268154</stp>
        <tr r="Q1776" s="2"/>
      </tp>
      <tp t="s">
        <v>#N/A N/A</v>
        <stp/>
        <stp>BDP|3326364547458517460</stp>
        <tr r="P280" s="2"/>
      </tp>
      <tp t="s">
        <v>#N/A N/A</v>
        <stp/>
        <stp>BDP|5773163143768665056</stp>
        <tr r="F2234" s="2"/>
      </tp>
      <tp t="s">
        <v>#N/A N/A</v>
        <stp/>
        <stp>BDP|4780026488746492283</stp>
        <tr r="M1118" s="2"/>
      </tp>
      <tp t="s">
        <v>#N/A N/A</v>
        <stp/>
        <stp>BDP|9169192609791949194</stp>
        <tr r="A1828" s="2"/>
      </tp>
      <tp t="s">
        <v>#N/A N/A</v>
        <stp/>
        <stp>BDP|6822175752658415282</stp>
        <tr r="C2208" s="2"/>
      </tp>
      <tp t="s">
        <v>#N/A N/A</v>
        <stp/>
        <stp>BDP|2086838864550419426</stp>
        <tr r="N314" s="2"/>
      </tp>
      <tp t="s">
        <v>#N/A N/A</v>
        <stp/>
        <stp>BDP|5756875042747538666</stp>
        <tr r="Q1251" s="2"/>
      </tp>
      <tp t="s">
        <v>#N/A N/A</v>
        <stp/>
        <stp>BDP|8125317400545413654</stp>
        <tr r="D276" s="2"/>
      </tp>
      <tp t="s">
        <v>#N/A N/A</v>
        <stp/>
        <stp>BDP|1868526401454375896</stp>
        <tr r="T162" s="2"/>
      </tp>
      <tp t="s">
        <v>#N/A N/A</v>
        <stp/>
        <stp>BDP|8348057611675510431</stp>
        <tr r="G1081" s="2"/>
      </tp>
      <tp t="s">
        <v>#N/A N/A</v>
        <stp/>
        <stp>BDP|1088151494676791773</stp>
        <tr r="M1584" s="2"/>
      </tp>
      <tp t="s">
        <v>#N/A N/A</v>
        <stp/>
        <stp>BDP|5341680080505375692</stp>
        <tr r="O1702" s="2"/>
      </tp>
      <tp t="s">
        <v>#N/A N/A</v>
        <stp/>
        <stp>BDP|7690523827591532978</stp>
        <tr r="H799" s="2"/>
      </tp>
      <tp t="s">
        <v>#N/A N/A</v>
        <stp/>
        <stp>BDP|9423664013192469445</stp>
        <tr r="T1739" s="2"/>
      </tp>
      <tp t="s">
        <v>#N/A N/A</v>
        <stp/>
        <stp>BDP|6306734940634210937</stp>
        <tr r="O1804" s="2"/>
      </tp>
      <tp t="s">
        <v>#N/A N/A</v>
        <stp/>
        <stp>BDP|9438458347212446339</stp>
        <tr r="R1970" s="2"/>
      </tp>
      <tp t="s">
        <v>#N/A N/A</v>
        <stp/>
        <stp>BDP|2551730736357041915</stp>
        <tr r="C774" s="2"/>
      </tp>
      <tp t="s">
        <v>#N/A N/A</v>
        <stp/>
        <stp>BDP|1519470002704264937</stp>
        <tr r="N2115" s="2"/>
      </tp>
      <tp t="s">
        <v>#N/A N/A</v>
        <stp/>
        <stp>BDP|5331826232543639544</stp>
        <tr r="P41" s="2"/>
      </tp>
      <tp t="s">
        <v>#N/A N/A</v>
        <stp/>
        <stp>BDP|7161494152566228892</stp>
        <tr r="D1204" s="2"/>
      </tp>
      <tp t="s">
        <v>#N/A N/A</v>
        <stp/>
        <stp>BDP|4423538060937446821</stp>
        <tr r="N268" s="2"/>
      </tp>
      <tp t="s">
        <v>#N/A N/A</v>
        <stp/>
        <stp>BDP|6551400801063179944</stp>
        <tr r="F1522" s="2"/>
      </tp>
      <tp t="s">
        <v>#N/A N/A</v>
        <stp/>
        <stp>BDP|7425683275436125891</stp>
        <tr r="C940" s="2"/>
      </tp>
      <tp t="s">
        <v>#N/A N/A</v>
        <stp/>
        <stp>BDP|6846130959733702945</stp>
        <tr r="K744" s="2"/>
      </tp>
      <tp t="s">
        <v>#N/A N/A</v>
        <stp/>
        <stp>BDP|4782036494257666203</stp>
        <tr r="H998" s="2"/>
      </tp>
      <tp t="s">
        <v>#N/A N/A</v>
        <stp/>
        <stp>BDP|5767217720928437542</stp>
        <tr r="M1743" s="2"/>
      </tp>
      <tp t="s">
        <v>#N/A N/A</v>
        <stp/>
        <stp>BDP|6862432382453612198</stp>
        <tr r="J1797" s="2"/>
      </tp>
      <tp t="s">
        <v>#N/A N/A</v>
        <stp/>
        <stp>BDP|7289314487520568476</stp>
        <tr r="G1858" s="2"/>
      </tp>
      <tp t="s">
        <v>#N/A N/A</v>
        <stp/>
        <stp>BDP|8175729673357306754</stp>
        <tr r="J1195" s="2"/>
      </tp>
      <tp t="s">
        <v>#N/A N/A</v>
        <stp/>
        <stp>BDP|8705160135631296306</stp>
        <tr r="Q1850" s="2"/>
      </tp>
      <tp t="s">
        <v>#N/A N/A</v>
        <stp/>
        <stp>BDP|8852000421591803379</stp>
        <tr r="N1310" s="2"/>
      </tp>
      <tp t="s">
        <v>#N/A N/A</v>
        <stp/>
        <stp>BDP|3824987875804617155</stp>
        <tr r="Q676" s="2"/>
      </tp>
      <tp t="s">
        <v>#N/A N/A</v>
        <stp/>
        <stp>BDP|5575636822711397816</stp>
        <tr r="O51" s="2"/>
      </tp>
      <tp t="s">
        <v>#N/A N/A</v>
        <stp/>
        <stp>BDP|8487946411439426130</stp>
        <tr r="M1261" s="2"/>
      </tp>
      <tp t="s">
        <v>#N/A N/A</v>
        <stp/>
        <stp>BDP|6451482538409083023</stp>
        <tr r="J974" s="2"/>
      </tp>
      <tp t="s">
        <v>#N/A N/A</v>
        <stp/>
        <stp>BDP|2714252816149729058</stp>
        <tr r="G1581" s="2"/>
      </tp>
      <tp t="s">
        <v>#N/A N/A</v>
        <stp/>
        <stp>BDP|7561332385813172743</stp>
        <tr r="S2048" s="2"/>
      </tp>
      <tp t="s">
        <v>#N/A N/A</v>
        <stp/>
        <stp>BDP|2360453692810468763</stp>
        <tr r="D479" s="2"/>
      </tp>
      <tp t="s">
        <v>#N/A N/A</v>
        <stp/>
        <stp>BDP|1040423887977214217</stp>
        <tr r="R182" s="2"/>
      </tp>
      <tp t="s">
        <v>#N/A N/A</v>
        <stp/>
        <stp>BDP|8013847312920539954</stp>
        <tr r="J490" s="2"/>
      </tp>
      <tp t="s">
        <v>#N/A N/A</v>
        <stp/>
        <stp>BDP|3134800795043283900</stp>
        <tr r="O1759" s="2"/>
      </tp>
      <tp t="s">
        <v>#N/A N/A</v>
        <stp/>
        <stp>BDP|4113657542346374839</stp>
        <tr r="Q1261" s="2"/>
      </tp>
      <tp t="s">
        <v>#N/A N/A</v>
        <stp/>
        <stp>BDP|1511340556877040816</stp>
        <tr r="A1047" s="2"/>
      </tp>
      <tp t="s">
        <v>#N/A N/A</v>
        <stp/>
        <stp>BDP|4041829243683354345</stp>
        <tr r="M1294" s="2"/>
      </tp>
      <tp t="s">
        <v>#N/A N/A</v>
        <stp/>
        <stp>BDP|8045500357831331125</stp>
        <tr r="Q465" s="2"/>
      </tp>
      <tp t="s">
        <v>#N/A N/A</v>
        <stp/>
        <stp>BDP|5958675403228819339</stp>
        <tr r="Q340" s="2"/>
      </tp>
      <tp t="s">
        <v>#N/A N/A</v>
        <stp/>
        <stp>BDP|9685022220641513277</stp>
        <tr r="K787" s="2"/>
      </tp>
      <tp t="s">
        <v>#N/A N/A</v>
        <stp/>
        <stp>BDP|6742127719468990634</stp>
        <tr r="P2128" s="2"/>
      </tp>
      <tp t="s">
        <v>#N/A N/A</v>
        <stp/>
        <stp>BDP|3096980008111469324</stp>
        <tr r="P120" s="2"/>
      </tp>
      <tp t="s">
        <v>#N/A N/A</v>
        <stp/>
        <stp>BDP|8242087418824521514</stp>
        <tr r="E1431" s="2"/>
      </tp>
      <tp t="s">
        <v>#N/A N/A</v>
        <stp/>
        <stp>BDP|6065920435967027310</stp>
        <tr r="S2134" s="2"/>
      </tp>
      <tp t="s">
        <v>#N/A N/A</v>
        <stp/>
        <stp>BDP|8233738183366374972</stp>
        <tr r="P108" s="2"/>
      </tp>
      <tp t="s">
        <v>#N/A N/A</v>
        <stp/>
        <stp>BDP|6313885228160215479</stp>
        <tr r="S1160" s="2"/>
      </tp>
      <tp t="s">
        <v>#N/A N/A</v>
        <stp/>
        <stp>BDP|7207428942239400607</stp>
        <tr r="P1946" s="2"/>
      </tp>
      <tp t="s">
        <v>#N/A N/A</v>
        <stp/>
        <stp>BDP|8673223234785292447</stp>
        <tr r="K822" s="2"/>
      </tp>
      <tp t="s">
        <v>#N/A N/A</v>
        <stp/>
        <stp>BDP|9590906868417202996</stp>
        <tr r="G219" s="2"/>
      </tp>
      <tp t="s">
        <v>#N/A N/A</v>
        <stp/>
        <stp>BDP|5287115101168354475</stp>
        <tr r="N2014" s="2"/>
      </tp>
      <tp t="s">
        <v>#N/A N/A</v>
        <stp/>
        <stp>BDP|9744017362062177538</stp>
        <tr r="Q2129" s="2"/>
      </tp>
      <tp t="s">
        <v>#N/A N/A</v>
        <stp/>
        <stp>BDS|1286712087662061425</stp>
        <tr r="I1740" s="2"/>
      </tp>
      <tp t="s">
        <v>#N/A N/A</v>
        <stp/>
        <stp>BDP|4814855954827794689</stp>
        <tr r="M3" s="2"/>
      </tp>
      <tp t="s">
        <v>#N/A N/A</v>
        <stp/>
        <stp>BDP|3420443341428533329</stp>
        <tr r="E1502" s="2"/>
      </tp>
      <tp t="s">
        <v>#N/A N/A</v>
        <stp/>
        <stp>BDP|4305971206601584410</stp>
        <tr r="H1959" s="2"/>
      </tp>
      <tp t="s">
        <v>#N/A N/A</v>
        <stp/>
        <stp>BDP|9588218281923355803</stp>
        <tr r="A872" s="2"/>
      </tp>
      <tp t="s">
        <v>#N/A N/A</v>
        <stp/>
        <stp>BDP|3435335804978674037</stp>
        <tr r="C1878" s="2"/>
      </tp>
      <tp t="s">
        <v>#N/A N/A</v>
        <stp/>
        <stp>BDP|1918033531889806354</stp>
        <tr r="E151" s="2"/>
      </tp>
      <tp t="s">
        <v>#N/A N/A</v>
        <stp/>
        <stp>BDP|4387041677583366854</stp>
        <tr r="P752" s="2"/>
      </tp>
      <tp t="s">
        <v>#N/A N/A</v>
        <stp/>
        <stp>BDP|6289444386244401620</stp>
        <tr r="O1179" s="2"/>
      </tp>
      <tp t="s">
        <v>#N/A N/A</v>
        <stp/>
        <stp>BDP|6791823090697767844</stp>
        <tr r="O779" s="2"/>
      </tp>
      <tp t="s">
        <v>#N/A N/A</v>
        <stp/>
        <stp>BDP|7557148844999466373</stp>
        <tr r="O1868" s="2"/>
      </tp>
      <tp t="s">
        <v>#N/A N/A</v>
        <stp/>
        <stp>BDP|8461192649733518673</stp>
        <tr r="P185" s="2"/>
      </tp>
      <tp t="s">
        <v>#N/A N/A</v>
        <stp/>
        <stp>BDP|8270459452942139325</stp>
        <tr r="K907" s="2"/>
      </tp>
      <tp t="s">
        <v>#N/A N/A</v>
        <stp/>
        <stp>BDP|1774945123913390152</stp>
        <tr r="D498" s="2"/>
      </tp>
      <tp t="s">
        <v>#N/A N/A</v>
        <stp/>
        <stp>BDP|1052187632338521393</stp>
        <tr r="G1919" s="2"/>
      </tp>
      <tp t="s">
        <v>#N/A N/A</v>
        <stp/>
        <stp>BDP|1663683494313868540</stp>
        <tr r="P572" s="2"/>
      </tp>
      <tp t="s">
        <v>#N/A N/A</v>
        <stp/>
        <stp>BDP|1328059892686743659</stp>
        <tr r="O1981" s="2"/>
      </tp>
      <tp t="s">
        <v>#N/A N/A</v>
        <stp/>
        <stp>BDP|2961980803327270462</stp>
        <tr r="H1928" s="2"/>
      </tp>
      <tp t="s">
        <v>#N/A N/A</v>
        <stp/>
        <stp>BDP|1675476958419749182</stp>
        <tr r="F450" s="2"/>
      </tp>
      <tp t="s">
        <v>#N/A N/A</v>
        <stp/>
        <stp>BDP|5215883664470800305</stp>
        <tr r="P55" s="2"/>
      </tp>
      <tp t="s">
        <v>#N/A N/A</v>
        <stp/>
        <stp>BDP|2522940197063213920</stp>
        <tr r="T1200" s="2"/>
      </tp>
      <tp t="s">
        <v>#N/A N/A</v>
        <stp/>
        <stp>BDP|1370746642548655252</stp>
        <tr r="S315" s="2"/>
      </tp>
      <tp t="s">
        <v>#N/A N/A</v>
        <stp/>
        <stp>BDP|6473439521538804088</stp>
        <tr r="A1757" s="2"/>
      </tp>
      <tp t="s">
        <v>#N/A N/A</v>
        <stp/>
        <stp>BDP|8731063855826699342</stp>
        <tr r="A1314" s="2"/>
      </tp>
      <tp t="s">
        <v>#N/A N/A</v>
        <stp/>
        <stp>BDP|1868246464919994473</stp>
        <tr r="G103" s="2"/>
      </tp>
      <tp t="s">
        <v>#N/A N/A</v>
        <stp/>
        <stp>BDP|9516373321387277775</stp>
        <tr r="E481" s="2"/>
      </tp>
      <tp t="s">
        <v>#N/A N/A</v>
        <stp/>
        <stp>BDP|3465156753659146650</stp>
        <tr r="R1882" s="2"/>
      </tp>
      <tp t="s">
        <v>#N/A N/A</v>
        <stp/>
        <stp>BDP|3117510781736269052</stp>
        <tr r="E869" s="2"/>
      </tp>
      <tp t="s">
        <v>#N/A N/A</v>
        <stp/>
        <stp>BDP|9741541576130530362</stp>
        <tr r="N1581" s="2"/>
      </tp>
      <tp t="s">
        <v>#N/A N/A</v>
        <stp/>
        <stp>BDP|9722466438016767087</stp>
        <tr r="J646" s="2"/>
      </tp>
      <tp t="s">
        <v>#N/A N/A</v>
        <stp/>
        <stp>BDP|4662107529576953904</stp>
        <tr r="P2105" s="2"/>
      </tp>
      <tp t="s">
        <v>#N/A N/A</v>
        <stp/>
        <stp>BDP|1203920823510396269</stp>
        <tr r="Q956" s="2"/>
      </tp>
      <tp t="s">
        <v>#N/A N/A</v>
        <stp/>
        <stp>BDP|1824683778691940976</stp>
        <tr r="S87" s="2"/>
      </tp>
      <tp t="s">
        <v>#N/A N/A</v>
        <stp/>
        <stp>BDP|3251827325081331004</stp>
        <tr r="R639" s="2"/>
      </tp>
      <tp t="s">
        <v>#N/A N/A</v>
        <stp/>
        <stp>BDP|7651318439836195998</stp>
        <tr r="K1866" s="2"/>
      </tp>
      <tp t="s">
        <v>#N/A N/A</v>
        <stp/>
        <stp>BDP|6505505023838883182</stp>
        <tr r="D1685" s="2"/>
      </tp>
      <tp t="s">
        <v>#N/A N/A</v>
        <stp/>
        <stp>BDP|3175573665821087953</stp>
        <tr r="C1044" s="2"/>
      </tp>
      <tp t="s">
        <v>#N/A N/A</v>
        <stp/>
        <stp>BDP|6169318507994389928</stp>
        <tr r="K453" s="2"/>
      </tp>
      <tp t="s">
        <v>#N/A N/A</v>
        <stp/>
        <stp>BDP|7050260255821389962</stp>
        <tr r="E1317" s="2"/>
      </tp>
      <tp t="s">
        <v>#N/A N/A</v>
        <stp/>
        <stp>BDS|9732931683374267432</stp>
        <tr r="I1603" s="2"/>
      </tp>
      <tp t="s">
        <v>#N/A N/A</v>
        <stp/>
        <stp>BDS|3203367190049200802</stp>
        <tr r="I283" s="2"/>
      </tp>
      <tp t="s">
        <v>#N/A N/A</v>
        <stp/>
        <stp>BDP|4822853137652526593</stp>
        <tr r="G1321" s="2"/>
      </tp>
      <tp t="s">
        <v>#N/A N/A</v>
        <stp/>
        <stp>BDP|2966148196863443194</stp>
        <tr r="F2036" s="2"/>
      </tp>
      <tp t="s">
        <v>#N/A N/A</v>
        <stp/>
        <stp>BDP|5491848365762046134</stp>
        <tr r="Q2081" s="2"/>
      </tp>
      <tp t="s">
        <v>#N/A N/A</v>
        <stp/>
        <stp>BDP|2741515840758276327</stp>
        <tr r="K261" s="2"/>
      </tp>
      <tp t="s">
        <v>#N/A N/A</v>
        <stp/>
        <stp>BDP|5753885939031662760</stp>
        <tr r="J893" s="2"/>
      </tp>
      <tp t="s">
        <v>#N/A N/A</v>
        <stp/>
        <stp>BDP|2514959848093946465</stp>
        <tr r="G66" s="2"/>
      </tp>
      <tp t="s">
        <v>#N/A N/A</v>
        <stp/>
        <stp>BDP|7707914878138893915</stp>
        <tr r="S802" s="2"/>
      </tp>
      <tp t="s">
        <v>#N/A N/A</v>
        <stp/>
        <stp>BDP|1460109033692581958</stp>
        <tr r="N562" s="2"/>
      </tp>
      <tp t="s">
        <v>#N/A N/A</v>
        <stp/>
        <stp>BDP|7846962098176288936</stp>
        <tr r="C811" s="2"/>
      </tp>
      <tp t="s">
        <v>#N/A N/A</v>
        <stp/>
        <stp>BDP|6276953895007045959</stp>
        <tr r="Q217" s="2"/>
      </tp>
      <tp t="s">
        <v>#N/A N/A</v>
        <stp/>
        <stp>BDP|9744566406002737679</stp>
        <tr r="H1682" s="2"/>
      </tp>
      <tp t="s">
        <v>#N/A N/A</v>
        <stp/>
        <stp>BDP|4528948013410459413</stp>
        <tr r="R2142" s="2"/>
      </tp>
      <tp t="s">
        <v>#N/A N/A</v>
        <stp/>
        <stp>BDP|8913683581777450938</stp>
        <tr r="E1449" s="2"/>
      </tp>
      <tp t="s">
        <v>#N/A N/A</v>
        <stp/>
        <stp>BDP|1632272382823191058</stp>
        <tr r="M275" s="2"/>
      </tp>
      <tp t="s">
        <v>#N/A N/A</v>
        <stp/>
        <stp>BDP|9832322582428772289</stp>
        <tr r="A1368" s="2"/>
      </tp>
      <tp t="s">
        <v>#N/A N/A</v>
        <stp/>
        <stp>BDP|4268570871037792944</stp>
        <tr r="F1798" s="2"/>
      </tp>
      <tp t="s">
        <v>#N/A N/A</v>
        <stp/>
        <stp>BDP|7013909502620259670</stp>
        <tr r="Q1959" s="2"/>
      </tp>
      <tp t="s">
        <v>#N/A N/A</v>
        <stp/>
        <stp>BDP|8612518836446740012</stp>
        <tr r="R654" s="2"/>
      </tp>
      <tp t="s">
        <v>#N/A N/A</v>
        <stp/>
        <stp>BDP|3734547682585795313</stp>
        <tr r="A1431" s="2"/>
      </tp>
      <tp t="s">
        <v>#N/A N/A</v>
        <stp/>
        <stp>BDP|6281802471384249567</stp>
        <tr r="R316" s="2"/>
      </tp>
      <tp t="s">
        <v>#N/A N/A</v>
        <stp/>
        <stp>BDP|1457720945833778930</stp>
        <tr r="A1423" s="2"/>
      </tp>
      <tp t="s">
        <v>#N/A N/A</v>
        <stp/>
        <stp>BDP|5204230286960830780</stp>
        <tr r="G2237" s="2"/>
      </tp>
      <tp t="s">
        <v>#N/A N/A</v>
        <stp/>
        <stp>BDP|8102600807357581141</stp>
        <tr r="T1966" s="2"/>
      </tp>
      <tp t="s">
        <v>#N/A N/A</v>
        <stp/>
        <stp>BDP|4958486886061599150</stp>
        <tr r="F461" s="2"/>
      </tp>
      <tp t="s">
        <v>#N/A N/A</v>
        <stp/>
        <stp>BDP|6164187423678988545</stp>
        <tr r="Q1680" s="2"/>
      </tp>
      <tp t="s">
        <v>#N/A N/A</v>
        <stp/>
        <stp>BDP|4337623257787784865</stp>
        <tr r="Q604" s="2"/>
      </tp>
      <tp t="s">
        <v>#N/A N/A</v>
        <stp/>
        <stp>BDP|2624157095816378427</stp>
        <tr r="F7" s="2"/>
      </tp>
      <tp t="s">
        <v>#N/A N/A</v>
        <stp/>
        <stp>BDP|6098831012061213644</stp>
        <tr r="M248" s="2"/>
      </tp>
      <tp t="s">
        <v>#N/A N/A</v>
        <stp/>
        <stp>BDP|9309124424852737052</stp>
        <tr r="D171" s="2"/>
      </tp>
      <tp t="s">
        <v>#N/A N/A</v>
        <stp/>
        <stp>BDP|9485037836563364151</stp>
        <tr r="D766" s="2"/>
      </tp>
      <tp t="s">
        <v>#N/A N/A</v>
        <stp/>
        <stp>BDP|5092479469176855918</stp>
        <tr r="O2181" s="2"/>
      </tp>
      <tp t="s">
        <v>#N/A N/A</v>
        <stp/>
        <stp>BDP|5796357635205497849</stp>
        <tr r="E1137" s="2"/>
      </tp>
      <tp t="s">
        <v>#N/A N/A</v>
        <stp/>
        <stp>BDP|5999781778308859562</stp>
        <tr r="F25" s="2"/>
      </tp>
      <tp t="s">
        <v>#N/A N/A</v>
        <stp/>
        <stp>BDP|4093472834232461903</stp>
        <tr r="C1447" s="2"/>
      </tp>
      <tp t="s">
        <v>#N/A N/A</v>
        <stp/>
        <stp>BDP|7974800457902009092</stp>
        <tr r="N637" s="2"/>
      </tp>
      <tp t="s">
        <v>#N/A N/A</v>
        <stp/>
        <stp>BDP|2650371067936337921</stp>
        <tr r="D748" s="2"/>
      </tp>
      <tp t="s">
        <v>#N/A N/A</v>
        <stp/>
        <stp>BDP|8010643675738430929</stp>
        <tr r="D2011" s="2"/>
      </tp>
      <tp t="s">
        <v>#N/A N/A</v>
        <stp/>
        <stp>BDP|4376607287734391601</stp>
        <tr r="A889" s="2"/>
      </tp>
      <tp t="s">
        <v>#N/A N/A</v>
        <stp/>
        <stp>BDP|9686636123015296038</stp>
        <tr r="T826" s="2"/>
      </tp>
      <tp t="s">
        <v>#N/A N/A</v>
        <stp/>
        <stp>BDP|9301518347731673147</stp>
        <tr r="A1335" s="2"/>
      </tp>
      <tp t="s">
        <v>#N/A N/A</v>
        <stp/>
        <stp>BDP|2606556387797374009</stp>
        <tr r="N354" s="2"/>
      </tp>
      <tp t="s">
        <v>#N/A N/A</v>
        <stp/>
        <stp>BDP|3230148416249729204</stp>
        <tr r="J171" s="2"/>
      </tp>
      <tp t="s">
        <v>#N/A N/A</v>
        <stp/>
        <stp>BDP|8258600450746342569</stp>
        <tr r="G376" s="2"/>
      </tp>
      <tp t="s">
        <v>#N/A N/A</v>
        <stp/>
        <stp>BDP|7027137246622652848</stp>
        <tr r="C1564" s="2"/>
      </tp>
      <tp t="s">
        <v>#N/A N/A</v>
        <stp/>
        <stp>BDP|6660876144192568079</stp>
        <tr r="G837" s="2"/>
      </tp>
      <tp t="s">
        <v>#N/A N/A</v>
        <stp/>
        <stp>BDP|7604366497591948499</stp>
        <tr r="A1189" s="2"/>
      </tp>
      <tp t="s">
        <v>#N/A N/A</v>
        <stp/>
        <stp>BDP|8243671150147388412</stp>
        <tr r="P1667" s="2"/>
      </tp>
      <tp t="s">
        <v>#N/A N/A</v>
        <stp/>
        <stp>BDP|7740610471227399931</stp>
        <tr r="T747" s="2"/>
      </tp>
      <tp t="s">
        <v>#N/A N/A</v>
        <stp/>
        <stp>BDP|5361436547508372533</stp>
        <tr r="S1499" s="2"/>
      </tp>
      <tp t="s">
        <v>#N/A N/A</v>
        <stp/>
        <stp>BDP|6878213777202878910</stp>
        <tr r="H732" s="2"/>
      </tp>
      <tp t="s">
        <v>#N/A N/A</v>
        <stp/>
        <stp>BDP|1762767153548537306</stp>
        <tr r="N2026" s="2"/>
      </tp>
      <tp t="s">
        <v>#N/A N/A</v>
        <stp/>
        <stp>BDP|3989398953828381571</stp>
        <tr r="G221" s="2"/>
      </tp>
      <tp t="s">
        <v>#N/A N/A</v>
        <stp/>
        <stp>BDP|8001577196369609505</stp>
        <tr r="D1131" s="2"/>
      </tp>
      <tp t="s">
        <v>#N/A N/A</v>
        <stp/>
        <stp>BDP|7544732712109058033</stp>
        <tr r="J1535" s="2"/>
      </tp>
      <tp t="s">
        <v>#N/A N/A</v>
        <stp/>
        <stp>BDP|9596807862489692663</stp>
        <tr r="R1483" s="2"/>
      </tp>
      <tp t="s">
        <v>#N/A N/A</v>
        <stp/>
        <stp>BDP|2140416459439957273</stp>
        <tr r="P306" s="2"/>
      </tp>
      <tp t="s">
        <v>#N/A N/A</v>
        <stp/>
        <stp>BDP|8674332757300370661</stp>
        <tr r="F1276" s="2"/>
      </tp>
      <tp t="s">
        <v>#N/A N/A</v>
        <stp/>
        <stp>BDP|1088501473919638220</stp>
        <tr r="P1927" s="2"/>
      </tp>
      <tp t="s">
        <v>#N/A N/A</v>
        <stp/>
        <stp>BDP|7186932637816587379</stp>
        <tr r="J1132" s="2"/>
      </tp>
      <tp t="s">
        <v>#N/A N/A</v>
        <stp/>
        <stp>BDS|9434541111624107174</stp>
        <tr r="I653" s="2"/>
      </tp>
      <tp t="s">
        <v>#N/A N/A</v>
        <stp/>
        <stp>BDP|7495411437660199844</stp>
        <tr r="D1616" s="2"/>
      </tp>
      <tp t="s">
        <v>#N/A N/A</v>
        <stp/>
        <stp>BDP|9110662055523674133</stp>
        <tr r="C504" s="2"/>
      </tp>
      <tp t="s">
        <v>#N/A N/A</v>
        <stp/>
        <stp>BDP|3281868063540065501</stp>
        <tr r="E1910" s="2"/>
      </tp>
      <tp t="s">
        <v>#N/A N/A</v>
        <stp/>
        <stp>BDS|9236936240425774917</stp>
        <tr r="I1053" s="2"/>
      </tp>
      <tp t="s">
        <v>#N/A N/A</v>
        <stp/>
        <stp>BDP|3304504032075620804</stp>
        <tr r="K142" s="2"/>
      </tp>
      <tp t="s">
        <v>#N/A N/A</v>
        <stp/>
        <stp>BDP|1025143699372328392</stp>
        <tr r="N1214" s="2"/>
      </tp>
      <tp t="s">
        <v>#N/A N/A</v>
        <stp/>
        <stp>BDP|3485965834935735465</stp>
        <tr r="O477" s="2"/>
      </tp>
      <tp t="s">
        <v>#N/A N/A</v>
        <stp/>
        <stp>BDP|2721838222805063511</stp>
        <tr r="A1257" s="2"/>
      </tp>
      <tp t="s">
        <v>#N/A N/A</v>
        <stp/>
        <stp>BDP|2570452591001797619</stp>
        <tr r="J1210" s="2"/>
      </tp>
      <tp t="s">
        <v>#N/A N/A</v>
        <stp/>
        <stp>BDP|4811311208346228944</stp>
        <tr r="E2099" s="2"/>
      </tp>
      <tp t="s">
        <v>#N/A N/A</v>
        <stp/>
        <stp>BDP|9242663897239631723</stp>
        <tr r="N309" s="2"/>
      </tp>
      <tp t="s">
        <v>#N/A N/A</v>
        <stp/>
        <stp>BDP|5525266330949586511</stp>
        <tr r="F726" s="2"/>
      </tp>
      <tp t="s">
        <v>#N/A N/A</v>
        <stp/>
        <stp>BDP|8445188333563151198</stp>
        <tr r="C2060" s="2"/>
      </tp>
      <tp t="s">
        <v>#N/A N/A</v>
        <stp/>
        <stp>BDP|3285864136327199742</stp>
        <tr r="C1822" s="2"/>
      </tp>
      <tp t="s">
        <v>#N/A N/A</v>
        <stp/>
        <stp>BDP|9601941957785039821</stp>
        <tr r="R691" s="2"/>
      </tp>
      <tp t="s">
        <v>#N/A N/A</v>
        <stp/>
        <stp>BDP|1399222750328187674</stp>
        <tr r="F1013" s="2"/>
      </tp>
      <tp t="s">
        <v>#N/A N/A</v>
        <stp/>
        <stp>BDP|4085813647552590240</stp>
        <tr r="E330" s="2"/>
      </tp>
      <tp t="s">
        <v>#N/A N/A</v>
        <stp/>
        <stp>BDP|7315614393147413722</stp>
        <tr r="J2228" s="2"/>
      </tp>
      <tp t="s">
        <v>#N/A N/A</v>
        <stp/>
        <stp>BDP|9330218005842305134</stp>
        <tr r="S1800" s="2"/>
      </tp>
      <tp t="s">
        <v>#N/A N/A</v>
        <stp/>
        <stp>BDP|1521014483700246122</stp>
        <tr r="G711" s="2"/>
      </tp>
      <tp t="s">
        <v>#N/A N/A</v>
        <stp/>
        <stp>BDP|2189122130938377073</stp>
        <tr r="J888" s="2"/>
      </tp>
      <tp t="s">
        <v>#N/A N/A</v>
        <stp/>
        <stp>BDP|1344923193790056952</stp>
        <tr r="S1424" s="2"/>
      </tp>
      <tp t="s">
        <v>#N/A N/A</v>
        <stp/>
        <stp>BDP|7646984583586831821</stp>
        <tr r="E600" s="2"/>
      </tp>
      <tp t="s">
        <v>#N/A N/A</v>
        <stp/>
        <stp>BDP|8661082619730042101</stp>
        <tr r="O614" s="2"/>
      </tp>
      <tp t="s">
        <v>#N/A N/A</v>
        <stp/>
        <stp>BDS|2931614076369139282</stp>
        <tr r="I1570" s="2"/>
      </tp>
      <tp t="s">
        <v>#N/A N/A</v>
        <stp/>
        <stp>BDP|7891987509947628183</stp>
        <tr r="K2012" s="2"/>
      </tp>
      <tp t="s">
        <v>#N/A N/A</v>
        <stp/>
        <stp>BDP|5974046511069883500</stp>
        <tr r="O1291" s="2"/>
      </tp>
      <tp t="s">
        <v>#N/A N/A</v>
        <stp/>
        <stp>BDP|7889195855759747277</stp>
        <tr r="M1160" s="2"/>
      </tp>
      <tp t="s">
        <v>#N/A N/A</v>
        <stp/>
        <stp>BDP|9532338103204430653</stp>
        <tr r="O2105" s="2"/>
      </tp>
      <tp t="s">
        <v>#N/A N/A</v>
        <stp/>
        <stp>BDP|4664999000795260097</stp>
        <tr r="G1484" s="2"/>
      </tp>
      <tp t="s">
        <v>#N/A N/A</v>
        <stp/>
        <stp>BDP|3023225916909744173</stp>
        <tr r="M2257" s="2"/>
      </tp>
      <tp t="s">
        <v>#N/A N/A</v>
        <stp/>
        <stp>BDP|2213525304539118619</stp>
        <tr r="K1512" s="2"/>
      </tp>
      <tp t="s">
        <v>#N/A N/A</v>
        <stp/>
        <stp>BDP|8042664362995158514</stp>
        <tr r="T920" s="2"/>
      </tp>
      <tp t="s">
        <v>#N/A N/A</v>
        <stp/>
        <stp>BDP|9950806624959942206</stp>
        <tr r="S428" s="2"/>
      </tp>
      <tp t="s">
        <v>#N/A N/A</v>
        <stp/>
        <stp>BDP|5688769427909170127</stp>
        <tr r="F1681" s="2"/>
      </tp>
      <tp t="s">
        <v>#N/A N/A</v>
        <stp/>
        <stp>BDP|5833204208158288766</stp>
        <tr r="R1302" s="2"/>
      </tp>
      <tp t="s">
        <v>#N/A N/A</v>
        <stp/>
        <stp>BDP|8835434140407929769</stp>
        <tr r="G1676" s="2"/>
      </tp>
      <tp t="s">
        <v>#N/A N/A</v>
        <stp/>
        <stp>BDP|8754498211182246790</stp>
        <tr r="J1007" s="2"/>
      </tp>
      <tp t="s">
        <v>#N/A N/A</v>
        <stp/>
        <stp>BDP|3289318809241882961</stp>
        <tr r="P1978" s="2"/>
      </tp>
      <tp t="s">
        <v>#N/A N/A</v>
        <stp/>
        <stp>BDP|6911974001941907627</stp>
        <tr r="D1170" s="2"/>
      </tp>
      <tp t="s">
        <v>#N/A N/A</v>
        <stp/>
        <stp>BDP|8936476529887537165</stp>
        <tr r="D2048" s="2"/>
      </tp>
      <tp t="s">
        <v>#N/A N/A</v>
        <stp/>
        <stp>BDP|5103832958913672387</stp>
        <tr r="A1243" s="2"/>
      </tp>
      <tp t="s">
        <v>#N/A N/A</v>
        <stp/>
        <stp>BDP|4314687145356975838</stp>
        <tr r="O521" s="2"/>
      </tp>
      <tp t="s">
        <v>#N/A N/A</v>
        <stp/>
        <stp>BDP|7202718783862032249</stp>
        <tr r="S748" s="2"/>
      </tp>
      <tp t="s">
        <v>#N/A N/A</v>
        <stp/>
        <stp>BDP|3471415945822079947</stp>
        <tr r="H1917" s="2"/>
      </tp>
      <tp t="s">
        <v>#N/A N/A</v>
        <stp/>
        <stp>BDP|6245576346986543925</stp>
        <tr r="O1336" s="2"/>
      </tp>
      <tp t="s">
        <v>#N/A N/A</v>
        <stp/>
        <stp>BDP|2299137410493125945</stp>
        <tr r="E2041" s="2"/>
      </tp>
      <tp t="s">
        <v>#N/A N/A</v>
        <stp/>
        <stp>BDP|3756978670754409107</stp>
        <tr r="R261" s="2"/>
      </tp>
      <tp t="s">
        <v>#N/A N/A</v>
        <stp/>
        <stp>BDP|9987987870167546807</stp>
        <tr r="K2132" s="2"/>
      </tp>
      <tp t="s">
        <v>#N/A N/A</v>
        <stp/>
        <stp>BDP|6885116358409332365</stp>
        <tr r="R107" s="2"/>
      </tp>
      <tp t="s">
        <v>#N/A N/A</v>
        <stp/>
        <stp>BDP|5283356685286658005</stp>
        <tr r="S184" s="2"/>
      </tp>
      <tp t="s">
        <v>#N/A N/A</v>
        <stp/>
        <stp>BDP|3208387638622580935</stp>
        <tr r="C428" s="2"/>
      </tp>
      <tp t="s">
        <v>#N/A N/A</v>
        <stp/>
        <stp>BDP|5965752500548970219</stp>
        <tr r="A16" s="2"/>
      </tp>
      <tp t="s">
        <v>#N/A N/A</v>
        <stp/>
        <stp>BDP|8082635924097506362</stp>
        <tr r="M919" s="2"/>
      </tp>
      <tp t="s">
        <v>#N/A N/A</v>
        <stp/>
        <stp>BDP|8732031684510404808</stp>
        <tr r="E1325" s="2"/>
      </tp>
      <tp t="s">
        <v>#N/A N/A</v>
        <stp/>
        <stp>BDP|9460929537259278275</stp>
        <tr r="N1114" s="2"/>
      </tp>
      <tp t="s">
        <v>#N/A N/A</v>
        <stp/>
        <stp>BDP|8615209811732208111</stp>
        <tr r="A1702" s="2"/>
      </tp>
      <tp t="s">
        <v>#N/A N/A</v>
        <stp/>
        <stp>BDP|4880957116257877374</stp>
        <tr r="G717" s="2"/>
      </tp>
      <tp t="s">
        <v>#N/A N/A</v>
        <stp/>
        <stp>BDP|7695017542348919382</stp>
        <tr r="F872" s="2"/>
      </tp>
      <tp t="s">
        <v>#N/A N/A</v>
        <stp/>
        <stp>BDP|1565068939308633280</stp>
        <tr r="A1721" s="2"/>
      </tp>
      <tp t="s">
        <v>#N/A N/A</v>
        <stp/>
        <stp>BDP|8845987205640929989</stp>
        <tr r="K970" s="2"/>
      </tp>
      <tp t="s">
        <v>#N/A N/A</v>
        <stp/>
        <stp>BDP|6005716694623544345</stp>
        <tr r="Q596" s="2"/>
      </tp>
      <tp t="s">
        <v>#N/A N/A</v>
        <stp/>
        <stp>BDP|9895228875331238590</stp>
        <tr r="A948" s="2"/>
      </tp>
      <tp t="s">
        <v>#N/A N/A</v>
        <stp/>
        <stp>BDP|9525057799568494098</stp>
        <tr r="J536" s="2"/>
      </tp>
      <tp t="s">
        <v>#N/A N/A</v>
        <stp/>
        <stp>BDP|3313462697693316555</stp>
        <tr r="F691" s="2"/>
      </tp>
      <tp t="s">
        <v>#N/A N/A</v>
        <stp/>
        <stp>BDP|4685588480171885029</stp>
        <tr r="O1280" s="2"/>
      </tp>
      <tp t="s">
        <v>#N/A N/A</v>
        <stp/>
        <stp>BDP|8098453533881779655</stp>
        <tr r="P477" s="2"/>
      </tp>
      <tp t="s">
        <v>#N/A N/A</v>
        <stp/>
        <stp>BDP|9101474536992040449</stp>
        <tr r="S1243" s="2"/>
      </tp>
      <tp t="s">
        <v>#N/A N/A</v>
        <stp/>
        <stp>BDS|4719844250718357944</stp>
        <tr r="I68" s="2"/>
      </tp>
      <tp t="s">
        <v>#N/A N/A</v>
        <stp/>
        <stp>BDP|2404882421364949405</stp>
        <tr r="N993" s="2"/>
      </tp>
      <tp t="s">
        <v>#N/A N/A</v>
        <stp/>
        <stp>BDP|3999681675933976996</stp>
        <tr r="G1528" s="2"/>
      </tp>
      <tp t="s">
        <v>#N/A N/A</v>
        <stp/>
        <stp>BDP|2516294899756810793</stp>
        <tr r="H1330" s="2"/>
      </tp>
      <tp t="s">
        <v>#N/A N/A</v>
        <stp/>
        <stp>BDP|1343152536339203266</stp>
        <tr r="C858" s="2"/>
      </tp>
      <tp t="s">
        <v>#N/A N/A</v>
        <stp/>
        <stp>BDS|7402412582167447477</stp>
        <tr r="I359" s="2"/>
      </tp>
      <tp t="s">
        <v>#N/A N/A</v>
        <stp/>
        <stp>BDP|8907454548467103713</stp>
        <tr r="M2099" s="2"/>
      </tp>
      <tp t="s">
        <v>#N/A N/A</v>
        <stp/>
        <stp>BDP|9980414964946824504</stp>
        <tr r="O2205" s="2"/>
      </tp>
      <tp t="s">
        <v>#N/A N/A</v>
        <stp/>
        <stp>BDP|3255793343658830041</stp>
        <tr r="H1827" s="2"/>
      </tp>
      <tp t="s">
        <v>#N/A N/A</v>
        <stp/>
        <stp>BDP|2011365821713600851</stp>
        <tr r="A1936" s="2"/>
      </tp>
      <tp t="s">
        <v>#N/A N/A</v>
        <stp/>
        <stp>BDP|4920894445225922583</stp>
        <tr r="M1555" s="2"/>
      </tp>
      <tp t="s">
        <v>#N/A N/A</v>
        <stp/>
        <stp>BDP|4149034633108449710</stp>
        <tr r="E1526" s="2"/>
      </tp>
      <tp t="s">
        <v>#N/A N/A</v>
        <stp/>
        <stp>BDP|2307673560603112911</stp>
        <tr r="O2031" s="2"/>
      </tp>
      <tp t="s">
        <v>#N/A N/A</v>
        <stp/>
        <stp>BDS|8173731463210667134</stp>
        <tr r="I2131" s="2"/>
      </tp>
      <tp t="s">
        <v>#N/A N/A</v>
        <stp/>
        <stp>BDP|5404369535109743449</stp>
        <tr r="E2037" s="2"/>
      </tp>
      <tp t="s">
        <v>#N/A N/A</v>
        <stp/>
        <stp>BDP|5682254180151114669</stp>
        <tr r="T239" s="2"/>
      </tp>
      <tp t="s">
        <v>#N/A N/A</v>
        <stp/>
        <stp>BDP|3688969167786252216</stp>
        <tr r="O1670" s="2"/>
      </tp>
      <tp t="s">
        <v>#N/A N/A</v>
        <stp/>
        <stp>BDP|5514976152381534012</stp>
        <tr r="E1842" s="2"/>
      </tp>
      <tp t="s">
        <v>#N/A N/A</v>
        <stp/>
        <stp>BDP|1501051151139137547</stp>
        <tr r="Q1137" s="2"/>
      </tp>
      <tp t="s">
        <v>#N/A N/A</v>
        <stp/>
        <stp>BDP|5588406530093580942</stp>
        <tr r="F1401" s="2"/>
      </tp>
      <tp t="s">
        <v>#N/A N/A</v>
        <stp/>
        <stp>BDS|1141041597370063067</stp>
        <tr r="I424" s="2"/>
      </tp>
      <tp t="s">
        <v>#N/A N/A</v>
        <stp/>
        <stp>BDP|5585447682617250658</stp>
        <tr r="O395" s="2"/>
      </tp>
      <tp t="s">
        <v>#N/A N/A</v>
        <stp/>
        <stp>BDP|8091059949433845704</stp>
        <tr r="T1732" s="2"/>
      </tp>
      <tp t="s">
        <v>#N/A N/A</v>
        <stp/>
        <stp>BDP|7048753184536450613</stp>
        <tr r="J488" s="2"/>
      </tp>
      <tp t="s">
        <v>#N/A N/A</v>
        <stp/>
        <stp>BDP|2396221390440595102</stp>
        <tr r="G1777" s="2"/>
      </tp>
      <tp t="s">
        <v>#N/A N/A</v>
        <stp/>
        <stp>BDP|9136465963294442747</stp>
        <tr r="O1270" s="2"/>
      </tp>
      <tp t="s">
        <v>#N/A N/A</v>
        <stp/>
        <stp>BDP|2541308476046181863</stp>
        <tr r="K1524" s="2"/>
      </tp>
      <tp t="s">
        <v>#N/A N/A</v>
        <stp/>
        <stp>BDP|5142766014009363243</stp>
        <tr r="M71" s="2"/>
      </tp>
      <tp t="s">
        <v>#N/A N/A</v>
        <stp/>
        <stp>BDP|9502652298016510894</stp>
        <tr r="R913" s="2"/>
      </tp>
      <tp t="s">
        <v>#N/A N/A</v>
        <stp/>
        <stp>BDS|8111578007897416214</stp>
        <tr r="I2178" s="2"/>
      </tp>
      <tp t="s">
        <v>#N/A N/A</v>
        <stp/>
        <stp>BDP|6533800162539368907</stp>
        <tr r="M171" s="2"/>
      </tp>
      <tp t="s">
        <v>#N/A N/A</v>
        <stp/>
        <stp>BDP|5951853143134294598</stp>
        <tr r="T1123" s="2"/>
      </tp>
      <tp t="s">
        <v>#N/A N/A</v>
        <stp/>
        <stp>BDS|4133965544654674512</stp>
        <tr r="I1883" s="2"/>
      </tp>
      <tp t="s">
        <v>#N/A N/A</v>
        <stp/>
        <stp>BDP|1428290988245147602</stp>
        <tr r="P2144" s="2"/>
      </tp>
      <tp t="s">
        <v>#N/A N/A</v>
        <stp/>
        <stp>BDP|5070658621878353134</stp>
        <tr r="G1503" s="2"/>
      </tp>
      <tp t="s">
        <v>#N/A N/A</v>
        <stp/>
        <stp>BDP|9337431324551364628</stp>
        <tr r="S1352" s="2"/>
      </tp>
      <tp t="s">
        <v>#N/A N/A</v>
        <stp/>
        <stp>BDP|3109574486534418219</stp>
        <tr r="F1598" s="2"/>
      </tp>
      <tp t="s">
        <v>#N/A N/A</v>
        <stp/>
        <stp>BDP|8386491326752852412</stp>
        <tr r="R1619" s="2"/>
      </tp>
      <tp t="s">
        <v>#N/A N/A</v>
        <stp/>
        <stp>BDP|3869754565848835250</stp>
        <tr r="J1006" s="2"/>
      </tp>
      <tp t="s">
        <v>#N/A N/A</v>
        <stp/>
        <stp>BDP|3087541138418938507</stp>
        <tr r="Q1392" s="2"/>
      </tp>
      <tp t="s">
        <v>#N/A N/A</v>
        <stp/>
        <stp>BDP|1671868505660582159</stp>
        <tr r="K636" s="2"/>
      </tp>
      <tp t="s">
        <v>#N/A N/A</v>
        <stp/>
        <stp>BDS|4365805187554240839</stp>
        <tr r="I1643" s="2"/>
      </tp>
      <tp t="s">
        <v>#N/A N/A</v>
        <stp/>
        <stp>BDP|5910258989437267023</stp>
        <tr r="J1894" s="2"/>
      </tp>
      <tp t="s">
        <v>#N/A N/A</v>
        <stp/>
        <stp>BDP|6635967952116787405</stp>
        <tr r="D1939" s="2"/>
      </tp>
      <tp t="s">
        <v>#N/A N/A</v>
        <stp/>
        <stp>BDP|6100737031133254948</stp>
        <tr r="D1049" s="2"/>
      </tp>
      <tp t="s">
        <v>#N/A N/A</v>
        <stp/>
        <stp>BDP|6248979635744729023</stp>
        <tr r="H1007" s="2"/>
      </tp>
      <tp t="s">
        <v>#N/A N/A</v>
        <stp/>
        <stp>BDP|4723041955571181825</stp>
        <tr r="P102" s="2"/>
      </tp>
      <tp t="s">
        <v>#N/A N/A</v>
        <stp/>
        <stp>BDP|8899675018654140335</stp>
        <tr r="M270" s="2"/>
      </tp>
      <tp t="s">
        <v>#N/A N/A</v>
        <stp/>
        <stp>BDP|6949099529434520890</stp>
        <tr r="C1103" s="2"/>
      </tp>
      <tp t="s">
        <v>#N/A N/A</v>
        <stp/>
        <stp>BDP|7454107277948304151</stp>
        <tr r="P994" s="2"/>
      </tp>
      <tp t="s">
        <v>#N/A N/A</v>
        <stp/>
        <stp>BDP|4878198937809189725</stp>
        <tr r="E1228" s="2"/>
      </tp>
      <tp t="s">
        <v>#N/A N/A</v>
        <stp/>
        <stp>BDP|3568228387599716827</stp>
        <tr r="R1725" s="2"/>
      </tp>
      <tp t="s">
        <v>#N/A N/A</v>
        <stp/>
        <stp>BDP|1560867583700295972</stp>
        <tr r="E1820" s="2"/>
      </tp>
      <tp t="s">
        <v>#N/A N/A</v>
        <stp/>
        <stp>BDP|2404518073259110126</stp>
        <tr r="E1009" s="2"/>
      </tp>
      <tp t="s">
        <v>#N/A N/A</v>
        <stp/>
        <stp>BDP|8998913371687810940</stp>
        <tr r="T2137" s="2"/>
      </tp>
      <tp t="s">
        <v>#N/A N/A</v>
        <stp/>
        <stp>BDP|9374802787963189209</stp>
        <tr r="K1019" s="2"/>
      </tp>
      <tp t="s">
        <v>#N/A N/A</v>
        <stp/>
        <stp>BDP|7643769063648109676</stp>
        <tr r="D1047" s="2"/>
      </tp>
      <tp t="s">
        <v>#N/A N/A</v>
        <stp/>
        <stp>BDP|7266009885651573673</stp>
        <tr r="P697" s="2"/>
      </tp>
      <tp t="s">
        <v>#N/A N/A</v>
        <stp/>
        <stp>BDP|2340207229419627399</stp>
        <tr r="O334" s="2"/>
      </tp>
      <tp t="s">
        <v>#N/A N/A</v>
        <stp/>
        <stp>BDP|1100954762716661059</stp>
        <tr r="A1450" s="2"/>
      </tp>
      <tp t="s">
        <v>#N/A N/A</v>
        <stp/>
        <stp>BDP|5688364248682855853</stp>
        <tr r="J185" s="2"/>
      </tp>
      <tp t="s">
        <v>#N/A N/A</v>
        <stp/>
        <stp>BDP|8432019650702415740</stp>
        <tr r="J420" s="2"/>
      </tp>
      <tp t="s">
        <v>#N/A N/A</v>
        <stp/>
        <stp>BDP|5691450131212707804</stp>
        <tr r="S88" s="2"/>
      </tp>
      <tp t="s">
        <v>#N/A N/A</v>
        <stp/>
        <stp>BDP|9879283671990600422</stp>
        <tr r="N385" s="2"/>
      </tp>
      <tp t="s">
        <v>#N/A N/A</v>
        <stp/>
        <stp>BDP|9293675683276773946</stp>
        <tr r="P1225" s="2"/>
      </tp>
      <tp t="s">
        <v>#N/A N/A</v>
        <stp/>
        <stp>BDP|1005965343354381031</stp>
        <tr r="A625" s="2"/>
      </tp>
      <tp t="s">
        <v>#N/A N/A</v>
        <stp/>
        <stp>BDP|3217933764931331537</stp>
        <tr r="M1527" s="2"/>
      </tp>
      <tp t="s">
        <v>#N/A N/A</v>
        <stp/>
        <stp>BDP|1779188188374122431</stp>
        <tr r="Q2239" s="2"/>
      </tp>
      <tp t="s">
        <v>#N/A N/A</v>
        <stp/>
        <stp>BDP|3363352027872629821</stp>
        <tr r="S1194" s="2"/>
      </tp>
      <tp t="s">
        <v>#N/A N/A</v>
        <stp/>
        <stp>BDP|3650452352408255268</stp>
        <tr r="O1238" s="2"/>
      </tp>
      <tp t="s">
        <v>#N/A N/A</v>
        <stp/>
        <stp>BDP|2878885032617089672</stp>
        <tr r="P589" s="2"/>
      </tp>
      <tp t="s">
        <v>#N/A N/A</v>
        <stp/>
        <stp>BDP|4930486114841069805</stp>
        <tr r="R177" s="2"/>
      </tp>
      <tp t="s">
        <v>#N/A N/A</v>
        <stp/>
        <stp>BDP|8947532345441344097</stp>
        <tr r="J1564" s="2"/>
      </tp>
      <tp t="s">
        <v>#N/A N/A</v>
        <stp/>
        <stp>BDP|6203816161711384148</stp>
        <tr r="K2039" s="2"/>
      </tp>
      <tp t="s">
        <v>#N/A N/A</v>
        <stp/>
        <stp>BDP|9085615730157347379</stp>
        <tr r="D1433" s="2"/>
      </tp>
      <tp t="s">
        <v>#N/A N/A</v>
        <stp/>
        <stp>BDP|3072417266281419862</stp>
        <tr r="A1964" s="2"/>
      </tp>
      <tp t="s">
        <v>#N/A N/A</v>
        <stp/>
        <stp>BDP|5025228845788659349</stp>
        <tr r="G2227" s="2"/>
      </tp>
      <tp t="s">
        <v>#N/A N/A</v>
        <stp/>
        <stp>BDP|9259466454310083059</stp>
        <tr r="S1674" s="2"/>
      </tp>
      <tp t="s">
        <v>#N/A N/A</v>
        <stp/>
        <stp>BDP|5628980649432074220</stp>
        <tr r="C187" s="2"/>
      </tp>
      <tp t="s">
        <v>#N/A N/A</v>
        <stp/>
        <stp>BDP|9227003349434755190</stp>
        <tr r="F1489" s="2"/>
      </tp>
      <tp t="s">
        <v>#N/A N/A</v>
        <stp/>
        <stp>BDS|1316958795229781010</stp>
        <tr r="I2217" s="2"/>
      </tp>
      <tp t="s">
        <v>#N/A N/A</v>
        <stp/>
        <stp>BDS|5854065390787863332</stp>
        <tr r="I1181" s="2"/>
      </tp>
      <tp t="s">
        <v>#N/A N/A</v>
        <stp/>
        <stp>BDP|5447426785396494728</stp>
        <tr r="H669" s="2"/>
      </tp>
      <tp t="s">
        <v>#N/A N/A</v>
        <stp/>
        <stp>BDP|9604670777417144723</stp>
        <tr r="R417" s="2"/>
      </tp>
      <tp t="s">
        <v>#N/A N/A</v>
        <stp/>
        <stp>BDP|7122924525507787348</stp>
        <tr r="P521" s="2"/>
      </tp>
      <tp t="s">
        <v>#N/A N/A</v>
        <stp/>
        <stp>BDP|7730212562539644273</stp>
        <tr r="J1332" s="2"/>
      </tp>
      <tp t="s">
        <v>#N/A N/A</v>
        <stp/>
        <stp>BDP|1114274780496149526</stp>
        <tr r="F2100" s="2"/>
      </tp>
      <tp t="s">
        <v>#N/A N/A</v>
        <stp/>
        <stp>BDP|6628607088031905126</stp>
        <tr r="H888" s="2"/>
      </tp>
      <tp t="s">
        <v>#N/A N/A</v>
        <stp/>
        <stp>BDP|9631493725673740480</stp>
        <tr r="R888" s="2"/>
      </tp>
      <tp t="s">
        <v>#N/A N/A</v>
        <stp/>
        <stp>BDP|6997598903259119270</stp>
        <tr r="F713" s="2"/>
      </tp>
      <tp t="s">
        <v>#N/A N/A</v>
        <stp/>
        <stp>BDP|2231699526118808609</stp>
        <tr r="Q743" s="2"/>
      </tp>
      <tp t="s">
        <v>#N/A N/A</v>
        <stp/>
        <stp>BDS|2054782849088172156</stp>
        <tr r="I1852" s="2"/>
      </tp>
      <tp t="s">
        <v>#N/A N/A</v>
        <stp/>
        <stp>BDP|2749606782456468245</stp>
        <tr r="G1170" s="2"/>
      </tp>
      <tp t="s">
        <v>#N/A N/A</v>
        <stp/>
        <stp>BDP|8009956164678673722</stp>
        <tr r="J725" s="2"/>
      </tp>
      <tp t="s">
        <v>#N/A N/A</v>
        <stp/>
        <stp>BDP|1038374598620937337</stp>
        <tr r="F2116" s="2"/>
      </tp>
      <tp t="s">
        <v>#N/A N/A</v>
        <stp/>
        <stp>BDP|1534563606605157917</stp>
        <tr r="F1886" s="2"/>
      </tp>
      <tp t="s">
        <v>#N/A N/A</v>
        <stp/>
        <stp>BDP|8702626903264258215</stp>
        <tr r="N1551" s="2"/>
      </tp>
      <tp t="s">
        <v>#N/A N/A</v>
        <stp/>
        <stp>BDP|2724250996036608776</stp>
        <tr r="C1526" s="2"/>
      </tp>
      <tp t="s">
        <v>#N/A N/A</v>
        <stp/>
        <stp>BDP|3627401911099710756</stp>
        <tr r="D1776" s="2"/>
      </tp>
      <tp t="s">
        <v>#N/A N/A</v>
        <stp/>
        <stp>BDP|6066785623439662285</stp>
        <tr r="A29" s="2"/>
      </tp>
      <tp t="s">
        <v>#N/A N/A</v>
        <stp/>
        <stp>BDP|7341105000759149776</stp>
        <tr r="E1865" s="2"/>
      </tp>
      <tp t="s">
        <v>#N/A N/A</v>
        <stp/>
        <stp>BDP|7048995736416247385</stp>
        <tr r="C1608" s="2"/>
      </tp>
      <tp t="s">
        <v>#N/A N/A</v>
        <stp/>
        <stp>BDP|7942892465892135319</stp>
        <tr r="N1578" s="2"/>
      </tp>
      <tp t="s">
        <v>#N/A N/A</v>
        <stp/>
        <stp>BDP|5637627614579213377</stp>
        <tr r="M948" s="2"/>
      </tp>
      <tp t="s">
        <v>#N/A N/A</v>
        <stp/>
        <stp>BDP|6605433433658663154</stp>
        <tr r="E1471" s="2"/>
      </tp>
      <tp t="s">
        <v>#N/A N/A</v>
        <stp/>
        <stp>BDP|5693134766609544338</stp>
        <tr r="D1599" s="2"/>
      </tp>
      <tp t="s">
        <v>#N/A N/A</v>
        <stp/>
        <stp>BDP|4666836944276410604</stp>
        <tr r="O2146" s="2"/>
      </tp>
      <tp t="s">
        <v>#N/A N/A</v>
        <stp/>
        <stp>BDP|3629975319132830152</stp>
        <tr r="E1264" s="2"/>
      </tp>
      <tp t="s">
        <v>#N/A N/A</v>
        <stp/>
        <stp>BDP|1471907741252317635</stp>
        <tr r="Q467" s="2"/>
      </tp>
      <tp t="s">
        <v>#N/A N/A</v>
        <stp/>
        <stp>BDS|3584046505813955886</stp>
        <tr r="I644" s="2"/>
      </tp>
      <tp t="s">
        <v>#N/A N/A</v>
        <stp/>
        <stp>BDP|3572544022919544538</stp>
        <tr r="K1220" s="2"/>
      </tp>
      <tp t="s">
        <v>#N/A N/A</v>
        <stp/>
        <stp>BDP|3489829831137473761</stp>
        <tr r="P607" s="2"/>
      </tp>
      <tp t="s">
        <v>#N/A N/A</v>
        <stp/>
        <stp>BDP|4164348986912522533</stp>
        <tr r="K2221" s="2"/>
      </tp>
      <tp t="s">
        <v>#N/A N/A</v>
        <stp/>
        <stp>BDP|2019445785372393478</stp>
        <tr r="P755" s="2"/>
      </tp>
      <tp t="s">
        <v>#N/A N/A</v>
        <stp/>
        <stp>BDP|7635194230944576800</stp>
        <tr r="A1557" s="2"/>
      </tp>
      <tp t="s">
        <v>#N/A N/A</v>
        <stp/>
        <stp>BDP|6239261657921827910</stp>
        <tr r="N1185" s="2"/>
      </tp>
      <tp t="s">
        <v>#N/A N/A</v>
        <stp/>
        <stp>BDP|3060449787767182188</stp>
        <tr r="A288" s="2"/>
      </tp>
      <tp t="s">
        <v>#N/A N/A</v>
        <stp/>
        <stp>BDP|9196077442842875669</stp>
        <tr r="M2229" s="2"/>
      </tp>
      <tp t="s">
        <v>#N/A N/A</v>
        <stp/>
        <stp>BDP|4480384671100413937</stp>
        <tr r="K821" s="2"/>
      </tp>
      <tp t="s">
        <v>#N/A N/A</v>
        <stp/>
        <stp>BDP|9357507864110598381</stp>
        <tr r="G788" s="2"/>
      </tp>
      <tp t="s">
        <v>#N/A N/A</v>
        <stp/>
        <stp>BDP|4513808121513914476</stp>
        <tr r="J422" s="2"/>
      </tp>
      <tp t="s">
        <v>#N/A N/A</v>
        <stp/>
        <stp>BDP|9314203208972796069</stp>
        <tr r="R592" s="2"/>
      </tp>
      <tp t="s">
        <v>#N/A N/A</v>
        <stp/>
        <stp>BDP|9013692472578690974</stp>
        <tr r="G518" s="2"/>
      </tp>
      <tp t="s">
        <v>#N/A N/A</v>
        <stp/>
        <stp>BDP|6318578335109309083</stp>
        <tr r="H1585" s="2"/>
      </tp>
      <tp t="s">
        <v>#N/A N/A</v>
        <stp/>
        <stp>BDP|7234476997941917216</stp>
        <tr r="P250" s="2"/>
      </tp>
      <tp t="s">
        <v>#N/A N/A</v>
        <stp/>
        <stp>BDP|4546414321993848877</stp>
        <tr r="H1655" s="2"/>
      </tp>
      <tp t="s">
        <v>#N/A N/A</v>
        <stp/>
        <stp>BDP|8595783371261464024</stp>
        <tr r="N1506" s="2"/>
      </tp>
      <tp t="s">
        <v>#N/A N/A</v>
        <stp/>
        <stp>BDP|4901495211930937825</stp>
        <tr r="C740" s="2"/>
      </tp>
      <tp t="s">
        <v>#N/A N/A</v>
        <stp/>
        <stp>BDP|9680793167206211702</stp>
        <tr r="K2054" s="2"/>
      </tp>
      <tp t="s">
        <v>#N/A N/A</v>
        <stp/>
        <stp>BDP|1410838782190673895</stp>
        <tr r="F1932" s="2"/>
      </tp>
      <tp t="s">
        <v>#N/A N/A</v>
        <stp/>
        <stp>BDP|6705877956842470082</stp>
        <tr r="Q1502" s="2"/>
      </tp>
      <tp t="s">
        <v>#N/A N/A</v>
        <stp/>
        <stp>BDP|2336591309826136884</stp>
        <tr r="T918" s="2"/>
      </tp>
      <tp t="s">
        <v>#N/A N/A</v>
        <stp/>
        <stp>BDP|9651808240535432986</stp>
        <tr r="E769" s="2"/>
      </tp>
      <tp t="s">
        <v>#N/A N/A</v>
        <stp/>
        <stp>BDP|5110714873725877918</stp>
        <tr r="S1384" s="2"/>
      </tp>
      <tp t="s">
        <v>#N/A N/A</v>
        <stp/>
        <stp>BDP|4192217757883833958</stp>
        <tr r="N1704" s="2"/>
      </tp>
      <tp t="s">
        <v>#N/A N/A</v>
        <stp/>
        <stp>BDP|8966752730376321359</stp>
        <tr r="S400" s="2"/>
      </tp>
      <tp t="s">
        <v>#N/A N/A</v>
        <stp/>
        <stp>BDP|7160063010956536983</stp>
        <tr r="S518" s="2"/>
      </tp>
      <tp t="s">
        <v>#N/A N/A</v>
        <stp/>
        <stp>BDP|1955313225290115969</stp>
        <tr r="K648" s="2"/>
      </tp>
      <tp t="s">
        <v>#N/A N/A</v>
        <stp/>
        <stp>BDP|1881900203564032511</stp>
        <tr r="M2094" s="2"/>
      </tp>
      <tp t="s">
        <v>#N/A N/A</v>
        <stp/>
        <stp>BDP|1176092721673246918</stp>
        <tr r="G593" s="2"/>
      </tp>
      <tp t="s">
        <v>#N/A N/A</v>
        <stp/>
        <stp>BDP|4650965528615504379</stp>
        <tr r="S824" s="2"/>
      </tp>
      <tp t="s">
        <v>#N/A N/A</v>
        <stp/>
        <stp>BDP|8423369648745221321</stp>
        <tr r="C166" s="2"/>
      </tp>
      <tp t="s">
        <v>#N/A N/A</v>
        <stp/>
        <stp>BDP|9413401118217143279</stp>
        <tr r="R768" s="2"/>
      </tp>
      <tp t="s">
        <v>#N/A N/A</v>
        <stp/>
        <stp>BDP|8223574471915614681</stp>
        <tr r="T1536" s="2"/>
      </tp>
      <tp t="s">
        <v>#N/A N/A</v>
        <stp/>
        <stp>BDP|7249528397516968440</stp>
        <tr r="M1272" s="2"/>
      </tp>
      <tp t="s">
        <v>#N/A N/A</v>
        <stp/>
        <stp>BDP|2596693591486501221</stp>
        <tr r="G2047" s="2"/>
      </tp>
      <tp t="s">
        <v>#N/A N/A</v>
        <stp/>
        <stp>BDP|6054750089839471924</stp>
        <tr r="S1379" s="2"/>
      </tp>
      <tp t="s">
        <v>#N/A N/A</v>
        <stp/>
        <stp>BDP|1224571177408092280</stp>
        <tr r="Q394" s="2"/>
      </tp>
      <tp t="s">
        <v>#N/A N/A</v>
        <stp/>
        <stp>BDP|2592838062133663688</stp>
        <tr r="S1787" s="2"/>
      </tp>
      <tp t="s">
        <v>#N/A N/A</v>
        <stp/>
        <stp>BDP|3909423758428810318</stp>
        <tr r="T1985" s="2"/>
      </tp>
      <tp t="s">
        <v>#N/A N/A</v>
        <stp/>
        <stp>BDP|1671653571650154996</stp>
        <tr r="O732" s="2"/>
      </tp>
      <tp t="s">
        <v>#N/A N/A</v>
        <stp/>
        <stp>BDP|1868628886936125074</stp>
        <tr r="D306" s="2"/>
      </tp>
      <tp t="s">
        <v>#N/A N/A</v>
        <stp/>
        <stp>BDP|5540388795941234707</stp>
        <tr r="A967" s="2"/>
      </tp>
      <tp t="s">
        <v>#N/A N/A</v>
        <stp/>
        <stp>BDP|3706757978199854382</stp>
        <tr r="S1984" s="2"/>
      </tp>
      <tp t="s">
        <v>#N/A N/A</v>
        <stp/>
        <stp>BDP|8400682143684059751</stp>
        <tr r="O2252" s="2"/>
      </tp>
      <tp t="s">
        <v>#N/A N/A</v>
        <stp/>
        <stp>BDP|6488961249215598742</stp>
        <tr r="S2056" s="2"/>
      </tp>
      <tp t="s">
        <v>#N/A N/A</v>
        <stp/>
        <stp>BDP|5420086787586263237</stp>
        <tr r="D2096" s="2"/>
      </tp>
      <tp t="s">
        <v>#N/A N/A</v>
        <stp/>
        <stp>BDP|9749747079081878184</stp>
        <tr r="A944" s="2"/>
      </tp>
      <tp t="s">
        <v>#N/A N/A</v>
        <stp/>
        <stp>BDP|9971324017040271247</stp>
        <tr r="T2245" s="2"/>
      </tp>
      <tp t="s">
        <v>#N/A N/A</v>
        <stp/>
        <stp>BDP|9600194752604532022</stp>
        <tr r="H1861" s="2"/>
      </tp>
      <tp t="s">
        <v>#N/A N/A</v>
        <stp/>
        <stp>BDP|9827132505874590512</stp>
        <tr r="S327" s="2"/>
      </tp>
      <tp t="s">
        <v>#N/A N/A</v>
        <stp/>
        <stp>BDP|8305401152825891533</stp>
        <tr r="F538" s="2"/>
      </tp>
      <tp t="s">
        <v>#N/A N/A</v>
        <stp/>
        <stp>BDP|8541302029970788014</stp>
        <tr r="O1898" s="2"/>
      </tp>
      <tp t="s">
        <v>#N/A N/A</v>
        <stp/>
        <stp>BDP|1923053895472676351</stp>
        <tr r="R1286" s="2"/>
      </tp>
      <tp t="s">
        <v>#N/A N/A</v>
        <stp/>
        <stp>BDP|8862567564642036006</stp>
        <tr r="O277" s="2"/>
      </tp>
      <tp t="s">
        <v>#N/A N/A</v>
        <stp/>
        <stp>BDP|5345061798501515423</stp>
        <tr r="P1901" s="2"/>
      </tp>
      <tp t="s">
        <v>#N/A N/A</v>
        <stp/>
        <stp>BDP|9745212137073942220</stp>
        <tr r="A1806" s="2"/>
      </tp>
      <tp t="s">
        <v>#N/A N/A</v>
        <stp/>
        <stp>BDP|1458239558348646739</stp>
        <tr r="E614" s="2"/>
      </tp>
      <tp t="s">
        <v>#N/A N/A</v>
        <stp/>
        <stp>BDP|6447188747423296934</stp>
        <tr r="N774" s="2"/>
      </tp>
      <tp t="s">
        <v>#N/A N/A</v>
        <stp/>
        <stp>BDP|3036146702419936257</stp>
        <tr r="D714" s="2"/>
      </tp>
      <tp t="s">
        <v>#N/A N/A</v>
        <stp/>
        <stp>BDP|3122074550229453684</stp>
        <tr r="P545" s="2"/>
      </tp>
      <tp t="s">
        <v>#N/A N/A</v>
        <stp/>
        <stp>BDP|8906765333267512233</stp>
        <tr r="M1928" s="2"/>
      </tp>
      <tp t="s">
        <v>#N/A N/A</v>
        <stp/>
        <stp>BDP|6281124509109287710</stp>
        <tr r="K1190" s="2"/>
      </tp>
      <tp t="s">
        <v>#N/A N/A</v>
        <stp/>
        <stp>BDP|6958737380866483647</stp>
        <tr r="Q1875" s="2"/>
      </tp>
      <tp t="s">
        <v>#N/A N/A</v>
        <stp/>
        <stp>BDP|6071886172185531556</stp>
        <tr r="Q570" s="2"/>
      </tp>
      <tp t="s">
        <v>#N/A N/A</v>
        <stp/>
        <stp>BDP|6785896526563463669</stp>
        <tr r="P592" s="2"/>
      </tp>
      <tp t="s">
        <v>#N/A N/A</v>
        <stp/>
        <stp>BDP|8095410438837210114</stp>
        <tr r="A1205" s="2"/>
      </tp>
      <tp t="s">
        <v>#N/A N/A</v>
        <stp/>
        <stp>BDP|5917034699350928500</stp>
        <tr r="J1048" s="2"/>
      </tp>
      <tp t="s">
        <v>#N/A N/A</v>
        <stp/>
        <stp>BDP|3070285487686597609</stp>
        <tr r="Q2206" s="2"/>
      </tp>
      <tp t="s">
        <v>#N/A N/A</v>
        <stp/>
        <stp>BDP|7108330353680384889</stp>
        <tr r="F861" s="2"/>
      </tp>
      <tp t="s">
        <v>#N/A N/A</v>
        <stp/>
        <stp>BDP|8166109515146906779</stp>
        <tr r="J367" s="2"/>
      </tp>
      <tp t="s">
        <v>#N/A N/A</v>
        <stp/>
        <stp>BDP|5868313602028052717</stp>
        <tr r="F721" s="2"/>
      </tp>
      <tp t="s">
        <v>#N/A N/A</v>
        <stp/>
        <stp>BDP|5667793985347073406</stp>
        <tr r="P198" s="2"/>
      </tp>
      <tp t="s">
        <v>#N/A N/A</v>
        <stp/>
        <stp>BDP|5478495626253171900</stp>
        <tr r="P367" s="2"/>
      </tp>
      <tp t="s">
        <v>#N/A N/A</v>
        <stp/>
        <stp>BDP|6891679818760529883</stp>
        <tr r="R88" s="2"/>
      </tp>
      <tp t="s">
        <v>#N/A N/A</v>
        <stp/>
        <stp>BDP|7795882168149981944</stp>
        <tr r="R1083" s="2"/>
      </tp>
      <tp t="s">
        <v>#N/A N/A</v>
        <stp/>
        <stp>BDP|2381388121992575858</stp>
        <tr r="S2066" s="2"/>
      </tp>
      <tp t="s">
        <v>#N/A N/A</v>
        <stp/>
        <stp>BDP|8677046693589205192</stp>
        <tr r="C1264" s="2"/>
      </tp>
      <tp t="s">
        <v>#N/A N/A</v>
        <stp/>
        <stp>BDP|8978194014729806862</stp>
        <tr r="F1752" s="2"/>
      </tp>
      <tp t="s">
        <v>#N/A N/A</v>
        <stp/>
        <stp>BDP|6074190095002739512</stp>
        <tr r="A499" s="2"/>
      </tp>
      <tp t="s">
        <v>#N/A N/A</v>
        <stp/>
        <stp>BDP|4641980679144818752</stp>
        <tr r="E1139" s="2"/>
      </tp>
      <tp t="s">
        <v>#N/A N/A</v>
        <stp/>
        <stp>BDP|7125873508454482214</stp>
        <tr r="C193" s="2"/>
      </tp>
      <tp t="s">
        <v>#N/A N/A</v>
        <stp/>
        <stp>BDP|9488554811505391189</stp>
        <tr r="G453" s="2"/>
      </tp>
      <tp t="s">
        <v>#N/A N/A</v>
        <stp/>
        <stp>BDP|7141999952162177003</stp>
        <tr r="R1840" s="2"/>
      </tp>
      <tp t="s">
        <v>#N/A N/A</v>
        <stp/>
        <stp>BDP|4133982041674157429</stp>
        <tr r="N931" s="2"/>
      </tp>
      <tp t="s">
        <v>#N/A N/A</v>
        <stp/>
        <stp>BDP|7656965049143592072</stp>
        <tr r="O1128" s="2"/>
      </tp>
      <tp t="s">
        <v>#N/A N/A</v>
        <stp/>
        <stp>BDP|3407978763386975326</stp>
        <tr r="G552" s="2"/>
      </tp>
      <tp t="s">
        <v>#N/A N/A</v>
        <stp/>
        <stp>BDP|9355134731886272484</stp>
        <tr r="Q2130" s="2"/>
      </tp>
      <tp t="s">
        <v>#N/A N/A</v>
        <stp/>
        <stp>BDP|3481190892624202664</stp>
        <tr r="C327" s="2"/>
      </tp>
      <tp t="s">
        <v>#N/A N/A</v>
        <stp/>
        <stp>BDP|1411812209832166260</stp>
        <tr r="M437" s="2"/>
      </tp>
      <tp t="s">
        <v>#N/A N/A</v>
        <stp/>
        <stp>BDP|3238284476717693814</stp>
        <tr r="O1297" s="2"/>
      </tp>
      <tp t="s">
        <v>#N/A N/A</v>
        <stp/>
        <stp>BDP|8755962931958811332</stp>
        <tr r="R1070" s="2"/>
      </tp>
      <tp t="s">
        <v>#N/A N/A</v>
        <stp/>
        <stp>BDP|3944240777687572849</stp>
        <tr r="H585" s="2"/>
      </tp>
      <tp t="s">
        <v>#N/A N/A</v>
        <stp/>
        <stp>BDP|2310937447927450185</stp>
        <tr r="D1380" s="2"/>
      </tp>
      <tp t="s">
        <v>#N/A N/A</v>
        <stp/>
        <stp>BDP|3938527366589284046</stp>
        <tr r="O761" s="2"/>
      </tp>
      <tp t="s">
        <v>#N/A N/A</v>
        <stp/>
        <stp>BDP|1301918737951683386</stp>
        <tr r="D1815" s="2"/>
      </tp>
      <tp t="s">
        <v>#N/A N/A</v>
        <stp/>
        <stp>BDP|8741841310819873105</stp>
        <tr r="Q534" s="2"/>
      </tp>
      <tp t="s">
        <v>#N/A N/A</v>
        <stp/>
        <stp>BDP|9172909037193479997</stp>
        <tr r="J1336" s="2"/>
      </tp>
      <tp t="s">
        <v>#N/A N/A</v>
        <stp/>
        <stp>BDP|4046063446999956024</stp>
        <tr r="E2035" s="2"/>
      </tp>
      <tp t="s">
        <v>#N/A N/A</v>
        <stp/>
        <stp>BDP|2856577865989308124</stp>
        <tr r="N2205" s="2"/>
      </tp>
      <tp t="s">
        <v>#N/A N/A</v>
        <stp/>
        <stp>BDP|5222111478013089904</stp>
        <tr r="M620" s="2"/>
      </tp>
      <tp t="s">
        <v>#N/A N/A</v>
        <stp/>
        <stp>BDP|8808291339330086035</stp>
        <tr r="Q627" s="2"/>
      </tp>
      <tp t="s">
        <v>#N/A N/A</v>
        <stp/>
        <stp>BDP|5345813945291990152</stp>
        <tr r="J2074" s="2"/>
      </tp>
      <tp t="s">
        <v>#N/A N/A</v>
        <stp/>
        <stp>BDP|8657674902784880300</stp>
        <tr r="C2048" s="2"/>
      </tp>
      <tp t="s">
        <v>#N/A N/A</v>
        <stp/>
        <stp>BDP|2615855864354494180</stp>
        <tr r="O457" s="2"/>
      </tp>
      <tp t="s">
        <v>#N/A N/A</v>
        <stp/>
        <stp>BDP|2084293140385457863</stp>
        <tr r="O460" s="2"/>
      </tp>
      <tp t="s">
        <v>#N/A N/A</v>
        <stp/>
        <stp>BDP|6365175931905888863</stp>
        <tr r="P2106" s="2"/>
      </tp>
      <tp t="s">
        <v>#N/A N/A</v>
        <stp/>
        <stp>BDP|9672878385446793683</stp>
        <tr r="N1727" s="2"/>
      </tp>
      <tp t="s">
        <v>#N/A N/A</v>
        <stp/>
        <stp>BDP|5269570550565628980</stp>
        <tr r="P1150" s="2"/>
      </tp>
      <tp t="s">
        <v>#N/A N/A</v>
        <stp/>
        <stp>BDP|3113464211267439895</stp>
        <tr r="J347" s="2"/>
      </tp>
      <tp t="s">
        <v>#N/A N/A</v>
        <stp/>
        <stp>BDS|5837510566628029745</stp>
        <tr r="I44" s="2"/>
      </tp>
      <tp t="s">
        <v>#N/A N/A</v>
        <stp/>
        <stp>BDP|7011145042403445894</stp>
        <tr r="R2253" s="2"/>
      </tp>
      <tp t="s">
        <v>#N/A N/A</v>
        <stp/>
        <stp>BDP|8415890357169035513</stp>
        <tr r="S1581" s="2"/>
      </tp>
      <tp t="s">
        <v>#N/A N/A</v>
        <stp/>
        <stp>BDP|2897592387810863655</stp>
        <tr r="O1964" s="2"/>
      </tp>
      <tp t="s">
        <v>#N/A N/A</v>
        <stp/>
        <stp>BDP|2914974331928189954</stp>
        <tr r="O999" s="2"/>
      </tp>
      <tp t="s">
        <v>#N/A N/A</v>
        <stp/>
        <stp>BDP|9002146126797916400</stp>
        <tr r="P1491" s="2"/>
      </tp>
      <tp t="s">
        <v>#N/A N/A</v>
        <stp/>
        <stp>BDP|8050108506659584980</stp>
        <tr r="C1407" s="2"/>
      </tp>
      <tp t="s">
        <v>#N/A N/A</v>
        <stp/>
        <stp>BDP|2432636506124248983</stp>
        <tr r="H663" s="2"/>
      </tp>
      <tp t="s">
        <v>#N/A N/A</v>
        <stp/>
        <stp>BDP|4760843928020756773</stp>
        <tr r="G59" s="2"/>
      </tp>
      <tp t="s">
        <v>#N/A N/A</v>
        <stp/>
        <stp>BDP|6339412089967381433</stp>
        <tr r="Q1947" s="2"/>
      </tp>
      <tp t="s">
        <v>#N/A N/A</v>
        <stp/>
        <stp>BDP|9514684233711029453</stp>
        <tr r="H14" s="2"/>
      </tp>
      <tp t="s">
        <v>#N/A N/A</v>
        <stp/>
        <stp>BDP|1407625663718805060</stp>
        <tr r="D2069" s="2"/>
      </tp>
      <tp t="s">
        <v>#N/A N/A</v>
        <stp/>
        <stp>BDP|4104080306939591412</stp>
        <tr r="F464" s="2"/>
      </tp>
      <tp t="s">
        <v>#N/A N/A</v>
        <stp/>
        <stp>BDP|9626289307901483368</stp>
        <tr r="N2256" s="2"/>
      </tp>
      <tp t="s">
        <v>#N/A N/A</v>
        <stp/>
        <stp>BDP|5855219156172674928</stp>
        <tr r="Q548" s="2"/>
      </tp>
      <tp t="s">
        <v>#N/A N/A</v>
        <stp/>
        <stp>BDP|2680958655366491198</stp>
        <tr r="G1396" s="2"/>
      </tp>
      <tp t="s">
        <v>#N/A N/A</v>
        <stp/>
        <stp>BDP|3765616095455151093</stp>
        <tr r="F1439" s="2"/>
      </tp>
      <tp t="s">
        <v>#N/A N/A</v>
        <stp/>
        <stp>BDP|6369182947778255254</stp>
        <tr r="E1472" s="2"/>
      </tp>
      <tp t="s">
        <v>#N/A N/A</v>
        <stp/>
        <stp>BDP|9849043510332014377</stp>
        <tr r="G555" s="2"/>
      </tp>
      <tp t="s">
        <v>#N/A N/A</v>
        <stp/>
        <stp>BDP|5802823603101355512</stp>
        <tr r="E1291" s="2"/>
      </tp>
      <tp t="s">
        <v>#N/A N/A</v>
        <stp/>
        <stp>BDP|1116885703370364024</stp>
        <tr r="E1849" s="2"/>
      </tp>
      <tp t="s">
        <v>#N/A N/A</v>
        <stp/>
        <stp>BDP|5891912415020178469</stp>
        <tr r="T681" s="2"/>
      </tp>
      <tp t="s">
        <v>#N/A N/A</v>
        <stp/>
        <stp>BDP|2530222624002068983</stp>
        <tr r="Q2229" s="2"/>
      </tp>
      <tp t="s">
        <v>#N/A N/A</v>
        <stp/>
        <stp>BDP|2397450488837249071</stp>
        <tr r="K259" s="2"/>
      </tp>
      <tp t="s">
        <v>#N/A N/A</v>
        <stp/>
        <stp>BDP|7235618289196277639</stp>
        <tr r="M1394" s="2"/>
      </tp>
      <tp t="s">
        <v>#N/A N/A</v>
        <stp/>
        <stp>BDP|7708000069050557801</stp>
        <tr r="N732" s="2"/>
      </tp>
      <tp t="s">
        <v>#N/A N/A</v>
        <stp/>
        <stp>BDP|2567407397242853411</stp>
        <tr r="R1841" s="2"/>
      </tp>
      <tp t="s">
        <v>#N/A N/A</v>
        <stp/>
        <stp>BDP|9328198660900073713</stp>
        <tr r="J678" s="2"/>
      </tp>
      <tp t="s">
        <v>#N/A N/A</v>
        <stp/>
        <stp>BDP|4901843757378852893</stp>
        <tr r="G1640" s="2"/>
      </tp>
      <tp t="s">
        <v>#N/A N/A</v>
        <stp/>
        <stp>BDP|6957047016228608666</stp>
        <tr r="J2253" s="2"/>
      </tp>
      <tp t="s">
        <v>#N/A N/A</v>
        <stp/>
        <stp>BDP|7319661505221828909</stp>
        <tr r="E690" s="2"/>
      </tp>
      <tp t="s">
        <v>#N/A N/A</v>
        <stp/>
        <stp>BDS|1744448715724760997</stp>
        <tr r="I2122" s="2"/>
      </tp>
      <tp t="s">
        <v>#N/A N/A</v>
        <stp/>
        <stp>BDP|3933822085939443325</stp>
        <tr r="T1498" s="2"/>
      </tp>
      <tp t="s">
        <v>#N/A N/A</v>
        <stp/>
        <stp>BDP|8982460473182142055</stp>
        <tr r="H645" s="2"/>
      </tp>
      <tp t="s">
        <v>#N/A N/A</v>
        <stp/>
        <stp>BDP|3416672058078404178</stp>
        <tr r="E1019" s="2"/>
      </tp>
      <tp t="s">
        <v>#N/A N/A</v>
        <stp/>
        <stp>BDP|7693041284631723797</stp>
        <tr r="K1701" s="2"/>
      </tp>
      <tp t="s">
        <v>#N/A N/A</v>
        <stp/>
        <stp>BDP|1818675565099398116</stp>
        <tr r="O1065" s="2"/>
      </tp>
      <tp t="s">
        <v>#N/A N/A</v>
        <stp/>
        <stp>BDP|3506322122829578286</stp>
        <tr r="F694" s="2"/>
      </tp>
      <tp t="s">
        <v>#N/A N/A</v>
        <stp/>
        <stp>BDP|1421341844768894746</stp>
        <tr r="G2256" s="2"/>
      </tp>
      <tp t="s">
        <v>#N/A N/A</v>
        <stp/>
        <stp>BDP|5785282861731406927</stp>
        <tr r="N1716" s="2"/>
      </tp>
      <tp t="s">
        <v>#N/A N/A</v>
        <stp/>
        <stp>BDP|8234017353724060088</stp>
        <tr r="Q682" s="2"/>
      </tp>
      <tp t="s">
        <v>#N/A N/A</v>
        <stp/>
        <stp>BDP|6642301289860605410</stp>
        <tr r="K872" s="2"/>
      </tp>
      <tp t="s">
        <v>#N/A N/A</v>
        <stp/>
        <stp>BDP|9760938055154949806</stp>
        <tr r="T1637" s="2"/>
      </tp>
      <tp t="s">
        <v>#N/A N/A</v>
        <stp/>
        <stp>BDP|9878278318065774685</stp>
        <tr r="A1426" s="2"/>
      </tp>
      <tp t="s">
        <v>#N/A N/A</v>
        <stp/>
        <stp>BDP|2640122849016383863</stp>
        <tr r="J1962" s="2"/>
      </tp>
      <tp t="s">
        <v>#N/A N/A</v>
        <stp/>
        <stp>BDP|5513742302192292996</stp>
        <tr r="O115" s="2"/>
      </tp>
      <tp t="s">
        <v>#N/A N/A</v>
        <stp/>
        <stp>BDP|9822080519300857198</stp>
        <tr r="N2052" s="2"/>
      </tp>
      <tp t="s">
        <v>#N/A N/A</v>
        <stp/>
        <stp>BDS|3993889402900358283</stp>
        <tr r="I1030" s="2"/>
      </tp>
      <tp t="s">
        <v>#N/A N/A</v>
        <stp/>
        <stp>BDP|4290289676841551912</stp>
        <tr r="O696" s="2"/>
      </tp>
      <tp t="s">
        <v>#N/A N/A</v>
        <stp/>
        <stp>BDP|4161981321966118010</stp>
        <tr r="F1993" s="2"/>
      </tp>
      <tp t="s">
        <v>#N/A N/A</v>
        <stp/>
        <stp>BDP|5931324797930529613</stp>
        <tr r="R1329" s="2"/>
      </tp>
      <tp t="s">
        <v>#N/A N/A</v>
        <stp/>
        <stp>BDP|4472116137976360990</stp>
        <tr r="C1352" s="2"/>
      </tp>
      <tp t="s">
        <v>#N/A N/A</v>
        <stp/>
        <stp>BDS|8740710696818172796</stp>
        <tr r="I1433" s="2"/>
      </tp>
      <tp t="s">
        <v>#N/A N/A</v>
        <stp/>
        <stp>BDP|8596356483579333387</stp>
        <tr r="E1400" s="2"/>
      </tp>
      <tp t="s">
        <v>#N/A N/A</v>
        <stp/>
        <stp>BDP|6324597183343401158</stp>
        <tr r="Q1614" s="2"/>
      </tp>
      <tp t="s">
        <v>#N/A N/A</v>
        <stp/>
        <stp>BDP|6950178265471764941</stp>
        <tr r="E1288" s="2"/>
      </tp>
      <tp t="s">
        <v>#N/A N/A</v>
        <stp/>
        <stp>BDS|3278915992148145285</stp>
        <tr r="I1902" s="2"/>
      </tp>
      <tp t="s">
        <v>#N/A N/A</v>
        <stp/>
        <stp>BDP|3668203238329771210</stp>
        <tr r="R1443" s="2"/>
      </tp>
      <tp t="s">
        <v>#N/A N/A</v>
        <stp/>
        <stp>BDP|5860230772549568044</stp>
        <tr r="Q1472" s="2"/>
      </tp>
      <tp t="s">
        <v>#N/A N/A</v>
        <stp/>
        <stp>BDP|8614293192418301266</stp>
        <tr r="G10" s="2"/>
      </tp>
      <tp t="s">
        <v>#N/A N/A</v>
        <stp/>
        <stp>BDP|8111499944024598511</stp>
        <tr r="O1610" s="2"/>
      </tp>
      <tp t="s">
        <v>#N/A N/A</v>
        <stp/>
        <stp>BDP|6486339589162766616</stp>
        <tr r="G2175" s="2"/>
      </tp>
      <tp t="s">
        <v>#N/A N/A</v>
        <stp/>
        <stp>BDP|8467931492457475694</stp>
        <tr r="R927" s="2"/>
      </tp>
      <tp t="s">
        <v>#N/A N/A</v>
        <stp/>
        <stp>BDP|1529895737374469771</stp>
        <tr r="E1988" s="2"/>
      </tp>
      <tp t="s">
        <v>#N/A N/A</v>
        <stp/>
        <stp>BDP|5859752040609274675</stp>
        <tr r="P814" s="2"/>
      </tp>
      <tp t="s">
        <v>#N/A N/A</v>
        <stp/>
        <stp>BDP|4273632901939996216</stp>
        <tr r="E48" s="2"/>
      </tp>
      <tp t="s">
        <v>#N/A N/A</v>
        <stp/>
        <stp>BDP|9320505642864840519</stp>
        <tr r="A891" s="2"/>
      </tp>
      <tp t="s">
        <v>#N/A N/A</v>
        <stp/>
        <stp>BDP|3851908480998421344</stp>
        <tr r="G347" s="2"/>
      </tp>
      <tp t="s">
        <v>#N/A N/A</v>
        <stp/>
        <stp>BDS|9312720761699933815</stp>
        <tr r="I1312" s="2"/>
      </tp>
      <tp t="s">
        <v>#N/A N/A</v>
        <stp/>
        <stp>BDP|3014679239219166679</stp>
        <tr r="A2215" s="2"/>
      </tp>
      <tp t="s">
        <v>#N/A N/A</v>
        <stp/>
        <stp>BDP|3701849366995939146</stp>
        <tr r="T1956" s="2"/>
      </tp>
      <tp t="s">
        <v>#N/A N/A</v>
        <stp/>
        <stp>BDP|1778004683552926251</stp>
        <tr r="C8" s="2"/>
      </tp>
      <tp t="s">
        <v>#N/A N/A</v>
        <stp/>
        <stp>BDP|3628788811935729904</stp>
        <tr r="R586" s="2"/>
      </tp>
      <tp t="s">
        <v>#N/A N/A</v>
        <stp/>
        <stp>BDP|5519596775476723864</stp>
        <tr r="D739" s="2"/>
      </tp>
      <tp t="s">
        <v>#N/A N/A</v>
        <stp/>
        <stp>BDP|5783484825979489369</stp>
        <tr r="Q772" s="2"/>
      </tp>
      <tp t="s">
        <v>#N/A N/A</v>
        <stp/>
        <stp>BDP|3975045796075517667</stp>
        <tr r="S1541" s="2"/>
      </tp>
      <tp t="s">
        <v>#N/A N/A</v>
        <stp/>
        <stp>BDP|2904867636896185603</stp>
        <tr r="K300" s="2"/>
      </tp>
      <tp t="s">
        <v>#N/A N/A</v>
        <stp/>
        <stp>BDP|7365787419718366097</stp>
        <tr r="N2212" s="2"/>
      </tp>
      <tp t="s">
        <v>#N/A N/A</v>
        <stp/>
        <stp>BDP|4815795330639065093</stp>
        <tr r="T1310" s="2"/>
      </tp>
      <tp t="s">
        <v>#N/A N/A</v>
        <stp/>
        <stp>BDP|8179093145893720629</stp>
        <tr r="J1933" s="2"/>
      </tp>
      <tp t="s">
        <v>#N/A N/A</v>
        <stp/>
        <stp>BDP|4648836922361775681</stp>
        <tr r="J196" s="2"/>
      </tp>
      <tp t="s">
        <v>#N/A N/A</v>
        <stp/>
        <stp>BDP|2055043081401526287</stp>
        <tr r="T1367" s="2"/>
      </tp>
      <tp t="s">
        <v>#N/A N/A</v>
        <stp/>
        <stp>BDP|1884071850525283853</stp>
        <tr r="G469" s="2"/>
      </tp>
      <tp t="s">
        <v>#N/A N/A</v>
        <stp/>
        <stp>BDP|1389597685703177668</stp>
        <tr r="Q309" s="2"/>
      </tp>
      <tp t="s">
        <v>#N/A N/A</v>
        <stp/>
        <stp>BDP|4494006487931892439</stp>
        <tr r="K1201" s="2"/>
      </tp>
      <tp t="s">
        <v>#N/A N/A</v>
        <stp/>
        <stp>BDP|6057811452034269694</stp>
        <tr r="G604" s="2"/>
      </tp>
      <tp t="s">
        <v>#N/A N/A</v>
        <stp/>
        <stp>BDP|6049260389261416431</stp>
        <tr r="K1572" s="2"/>
      </tp>
      <tp t="s">
        <v>#N/A N/A</v>
        <stp/>
        <stp>BDP|2554272984146980767</stp>
        <tr r="H1949" s="2"/>
      </tp>
      <tp t="s">
        <v>#N/A N/A</v>
        <stp/>
        <stp>BDP|4222688912628473252</stp>
        <tr r="A829" s="2"/>
      </tp>
      <tp t="s">
        <v>#N/A N/A</v>
        <stp/>
        <stp>BDP|1591450295483950651</stp>
        <tr r="M820" s="2"/>
      </tp>
      <tp t="s">
        <v>#N/A N/A</v>
        <stp/>
        <stp>BDP|7642782796344847499</stp>
        <tr r="G1601" s="2"/>
      </tp>
      <tp t="s">
        <v>#N/A N/A</v>
        <stp/>
        <stp>BDP|2465451089221558648</stp>
        <tr r="R1442" s="2"/>
      </tp>
      <tp t="s">
        <v>#N/A N/A</v>
        <stp/>
        <stp>BDP|9031248155105918213</stp>
        <tr r="Q1666" s="2"/>
      </tp>
      <tp t="s">
        <v>#N/A N/A</v>
        <stp/>
        <stp>BDP|1815023173867277826</stp>
        <tr r="M58" s="2"/>
      </tp>
      <tp t="s">
        <v>#N/A N/A</v>
        <stp/>
        <stp>BDP|5585064749078653052</stp>
        <tr r="T1715" s="2"/>
      </tp>
      <tp t="s">
        <v>#N/A N/A</v>
        <stp/>
        <stp>BDP|2995845544234763373</stp>
        <tr r="P1864" s="2"/>
      </tp>
      <tp t="s">
        <v>#N/A N/A</v>
        <stp/>
        <stp>BDP|6175616925889854247</stp>
        <tr r="N1153" s="2"/>
      </tp>
      <tp t="s">
        <v>#N/A N/A</v>
        <stp/>
        <stp>BDP|3724207151448890573</stp>
        <tr r="F203" s="2"/>
      </tp>
      <tp t="s">
        <v>#N/A N/A</v>
        <stp/>
        <stp>BDP|2967989889529971386</stp>
        <tr r="C1928" s="2"/>
      </tp>
      <tp t="s">
        <v>#N/A N/A</v>
        <stp/>
        <stp>BDP|4600224589994424304</stp>
        <tr r="S1644" s="2"/>
      </tp>
      <tp t="s">
        <v>#N/A N/A</v>
        <stp/>
        <stp>BDS|1851931522770486342</stp>
        <tr r="I583" s="2"/>
      </tp>
      <tp t="s">
        <v>#N/A N/A</v>
        <stp/>
        <stp>BDP|8124388006366315452</stp>
        <tr r="T51" s="2"/>
      </tp>
      <tp t="s">
        <v>#N/A N/A</v>
        <stp/>
        <stp>BDP|9389043785590352886</stp>
        <tr r="H915" s="2"/>
      </tp>
      <tp t="s">
        <v>#N/A N/A</v>
        <stp/>
        <stp>BDP|9785311255120370693</stp>
        <tr r="E2057" s="2"/>
      </tp>
      <tp t="s">
        <v>#N/A N/A</v>
        <stp/>
        <stp>BDP|3117005385225886752</stp>
        <tr r="O704" s="2"/>
      </tp>
      <tp t="s">
        <v>#N/A N/A</v>
        <stp/>
        <stp>BDP|6032395510925967895</stp>
        <tr r="K765" s="2"/>
      </tp>
      <tp t="s">
        <v>#N/A N/A</v>
        <stp/>
        <stp>BDP|6525623204870832926</stp>
        <tr r="Q1503" s="2"/>
      </tp>
      <tp t="s">
        <v>#N/A N/A</v>
        <stp/>
        <stp>BDP|5724469418331070803</stp>
        <tr r="D540" s="2"/>
      </tp>
      <tp t="s">
        <v>#N/A N/A</v>
        <stp/>
        <stp>BDP|7051505828928178102</stp>
        <tr r="D1187" s="2"/>
      </tp>
      <tp t="s">
        <v>#N/A N/A</v>
        <stp/>
        <stp>BDP|9393894793061828083</stp>
        <tr r="P1832" s="2"/>
      </tp>
      <tp t="s">
        <v>#N/A N/A</v>
        <stp/>
        <stp>BDP|8163616716921612797</stp>
        <tr r="G1145" s="2"/>
      </tp>
      <tp t="s">
        <v>#N/A N/A</v>
        <stp/>
        <stp>BDP|8072802438192422859</stp>
        <tr r="H2253" s="2"/>
      </tp>
      <tp t="s">
        <v>#N/A N/A</v>
        <stp/>
        <stp>BDP|5694112160418760397</stp>
        <tr r="M1325" s="2"/>
      </tp>
      <tp t="s">
        <v>#N/A N/A</v>
        <stp/>
        <stp>BDP|8802737276555783434</stp>
        <tr r="Q531" s="2"/>
      </tp>
      <tp t="s">
        <v>#N/A N/A</v>
        <stp/>
        <stp>BDP|3808044398257417499</stp>
        <tr r="C1645" s="2"/>
      </tp>
      <tp t="s">
        <v>#N/A N/A</v>
        <stp/>
        <stp>BDP|8010502750721800015</stp>
        <tr r="J944" s="2"/>
      </tp>
      <tp t="s">
        <v>#N/A N/A</v>
        <stp/>
        <stp>BDP|9479917170088905651</stp>
        <tr r="D2132" s="2"/>
      </tp>
      <tp t="s">
        <v>#N/A N/A</v>
        <stp/>
        <stp>BDP|6741784175059032632</stp>
        <tr r="M816" s="2"/>
      </tp>
      <tp t="s">
        <v>#N/A N/A</v>
        <stp/>
        <stp>BDP|7123992027416312354</stp>
        <tr r="E1872" s="2"/>
      </tp>
      <tp t="s">
        <v>#N/A N/A</v>
        <stp/>
        <stp>BDS|1605843932541958201</stp>
        <tr r="I2031" s="2"/>
      </tp>
      <tp t="s">
        <v>#N/A N/A</v>
        <stp/>
        <stp>BDP|1445213578125613826</stp>
        <tr r="Q443" s="2"/>
      </tp>
      <tp t="s">
        <v>#N/A N/A</v>
        <stp/>
        <stp>BDP|2075277067776879911</stp>
        <tr r="A160" s="2"/>
      </tp>
      <tp t="s">
        <v>#N/A N/A</v>
        <stp/>
        <stp>BDP|5956055984792656672</stp>
        <tr r="O612" s="2"/>
      </tp>
      <tp t="s">
        <v>#N/A N/A</v>
        <stp/>
        <stp>BDP|3267106215012967876</stp>
        <tr r="P1941" s="2"/>
      </tp>
      <tp t="s">
        <v>#N/A N/A</v>
        <stp/>
        <stp>BDP|9826745700434727322</stp>
        <tr r="M615" s="2"/>
      </tp>
      <tp t="s">
        <v>#N/A N/A</v>
        <stp/>
        <stp>BDP|6885201695752581615</stp>
        <tr r="H562" s="2"/>
      </tp>
      <tp t="s">
        <v>#N/A N/A</v>
        <stp/>
        <stp>BDP|8674755564399751997</stp>
        <tr r="P91" s="2"/>
      </tp>
      <tp t="s">
        <v>#N/A N/A</v>
        <stp/>
        <stp>BDP|5309943688178522533</stp>
        <tr r="P982" s="2"/>
      </tp>
      <tp t="s">
        <v>#N/A N/A</v>
        <stp/>
        <stp>BDP|4292096078923336997</stp>
        <tr r="F316" s="2"/>
      </tp>
      <tp t="s">
        <v>#N/A N/A</v>
        <stp/>
        <stp>BDS|3846432617808080757</stp>
        <tr r="I311" s="2"/>
      </tp>
      <tp t="s">
        <v>#N/A N/A</v>
        <stp/>
        <stp>BDP|5709693957837500859</stp>
        <tr r="A2068" s="2"/>
      </tp>
      <tp t="s">
        <v>#N/A N/A</v>
        <stp/>
        <stp>BDP|1518988620803324071</stp>
        <tr r="J359" s="2"/>
      </tp>
      <tp t="s">
        <v>#N/A N/A</v>
        <stp/>
        <stp>BDP|7392391489001242489</stp>
        <tr r="D490" s="2"/>
      </tp>
      <tp t="s">
        <v>#N/A N/A</v>
        <stp/>
        <stp>BDP|8134718458920818396</stp>
        <tr r="O1567" s="2"/>
      </tp>
      <tp t="s">
        <v>#N/A N/A</v>
        <stp/>
        <stp>BDP|3032483753252605946</stp>
        <tr r="P2133" s="2"/>
      </tp>
      <tp t="s">
        <v>#N/A N/A</v>
        <stp/>
        <stp>BDP|4713043576039433385</stp>
        <tr r="F136" s="2"/>
      </tp>
      <tp t="s">
        <v>#N/A N/A</v>
        <stp/>
        <stp>BDP|1562395305333822886</stp>
        <tr r="N1567" s="2"/>
      </tp>
      <tp t="s">
        <v>#N/A N/A</v>
        <stp/>
        <stp>BDP|8175008969024987383</stp>
        <tr r="Q247" s="2"/>
      </tp>
      <tp t="s">
        <v>#N/A N/A</v>
        <stp/>
        <stp>BDP|2847939728831273185</stp>
        <tr r="N237" s="2"/>
      </tp>
      <tp t="s">
        <v>#N/A N/A</v>
        <stp/>
        <stp>BDP|8850542542335307543</stp>
        <tr r="K1854" s="2"/>
      </tp>
      <tp t="s">
        <v>#N/A N/A</v>
        <stp/>
        <stp>BDP|9570524724516975136</stp>
        <tr r="K1824" s="2"/>
      </tp>
      <tp t="s">
        <v>#N/A N/A</v>
        <stp/>
        <stp>BDP|6264101113499012685</stp>
        <tr r="G2208" s="2"/>
      </tp>
      <tp t="s">
        <v>#N/A N/A</v>
        <stp/>
        <stp>BDS|1735796996377425150</stp>
        <tr r="I1465" s="2"/>
      </tp>
      <tp t="s">
        <v>#N/A N/A</v>
        <stp/>
        <stp>BDP|4626349383587015188</stp>
        <tr r="R135" s="2"/>
      </tp>
      <tp t="s">
        <v>#N/A N/A</v>
        <stp/>
        <stp>BDP|9849753127587121226</stp>
        <tr r="E1443" s="2"/>
      </tp>
      <tp t="s">
        <v>#N/A N/A</v>
        <stp/>
        <stp>BDP|5440114596612987638</stp>
        <tr r="A1040" s="2"/>
      </tp>
      <tp t="s">
        <v>#N/A N/A</v>
        <stp/>
        <stp>BDP|5694360207156097998</stp>
        <tr r="D155" s="2"/>
      </tp>
      <tp t="s">
        <v>#N/A N/A</v>
        <stp/>
        <stp>BDP|5066924138006781033</stp>
        <tr r="Q36" s="2"/>
      </tp>
      <tp t="s">
        <v>#N/A N/A</v>
        <stp/>
        <stp>BDP|2657389552464616940</stp>
        <tr r="F985" s="2"/>
      </tp>
      <tp t="s">
        <v>#N/A N/A</v>
        <stp/>
        <stp>BDP|6620027786810908754</stp>
        <tr r="O870" s="2"/>
      </tp>
      <tp t="s">
        <v>#N/A N/A</v>
        <stp/>
        <stp>BDP|5987528488509980845</stp>
        <tr r="A1941" s="2"/>
      </tp>
      <tp t="s">
        <v>#N/A N/A</v>
        <stp/>
        <stp>BDP|9525183909814253584</stp>
        <tr r="S261" s="2"/>
      </tp>
      <tp t="s">
        <v>#N/A N/A</v>
        <stp/>
        <stp>BDP|9301099901030713020</stp>
        <tr r="J1096" s="2"/>
      </tp>
      <tp t="s">
        <v>#N/A N/A</v>
        <stp/>
        <stp>BDP|5491696917928360378</stp>
        <tr r="J1381" s="2"/>
      </tp>
      <tp t="s">
        <v>#N/A N/A</v>
        <stp/>
        <stp>BDP|6646818399767156915</stp>
        <tr r="O1047" s="2"/>
      </tp>
      <tp t="s">
        <v>#N/A N/A</v>
        <stp/>
        <stp>BDP|4038712261368791491</stp>
        <tr r="J1804" s="2"/>
      </tp>
      <tp t="s">
        <v>#N/A N/A</v>
        <stp/>
        <stp>BDP|8574299246664419303</stp>
        <tr r="A1245" s="2"/>
      </tp>
      <tp t="s">
        <v>#N/A N/A</v>
        <stp/>
        <stp>BDP|7716627590594870539</stp>
        <tr r="M2015" s="2"/>
      </tp>
      <tp t="s">
        <v>#N/A N/A</v>
        <stp/>
        <stp>BDP|5878028822777043960</stp>
        <tr r="Q1795" s="2"/>
      </tp>
      <tp t="s">
        <v>#N/A N/A</v>
        <stp/>
        <stp>BDP|8605707764641843149</stp>
        <tr r="T1893" s="2"/>
      </tp>
      <tp t="s">
        <v>#N/A N/A</v>
        <stp/>
        <stp>BDP|1324613488225373378</stp>
        <tr r="O1481" s="2"/>
      </tp>
      <tp t="s">
        <v>#N/A N/A</v>
        <stp/>
        <stp>BDP|9096483034205327216</stp>
        <tr r="C828" s="2"/>
      </tp>
      <tp t="s">
        <v>#N/A N/A</v>
        <stp/>
        <stp>BDP|8939240031186263608</stp>
        <tr r="Q1972" s="2"/>
      </tp>
      <tp t="s">
        <v>#N/A N/A</v>
        <stp/>
        <stp>BDP|3408894031646370719</stp>
        <tr r="A630" s="2"/>
      </tp>
      <tp t="s">
        <v>#N/A N/A</v>
        <stp/>
        <stp>BDP|4459191756220134949</stp>
        <tr r="Q840" s="2"/>
      </tp>
      <tp t="s">
        <v>#N/A N/A</v>
        <stp/>
        <stp>BDP|4113510038729313258</stp>
        <tr r="G1204" s="2"/>
      </tp>
      <tp t="s">
        <v>#N/A N/A</v>
        <stp/>
        <stp>BDP|5371347781814063380</stp>
        <tr r="R1984" s="2"/>
      </tp>
      <tp t="s">
        <v>#N/A N/A</v>
        <stp/>
        <stp>BDP|2779203813029291183</stp>
        <tr r="K2133" s="2"/>
      </tp>
      <tp t="s">
        <v>#N/A N/A</v>
        <stp/>
        <stp>BDP|7238146849862139900</stp>
        <tr r="N103" s="2"/>
      </tp>
      <tp t="s">
        <v>#N/A N/A</v>
        <stp/>
        <stp>BDP|2638224987412915343</stp>
        <tr r="H861" s="2"/>
      </tp>
      <tp t="s">
        <v>#N/A N/A</v>
        <stp/>
        <stp>BDS|2318599542483285946</stp>
        <tr r="I1158" s="2"/>
      </tp>
      <tp t="s">
        <v>#N/A N/A</v>
        <stp/>
        <stp>BDP|2401533501757803905</stp>
        <tr r="S548" s="2"/>
      </tp>
      <tp t="s">
        <v>#N/A N/A</v>
        <stp/>
        <stp>BDP|8794694671855505544</stp>
        <tr r="M2193" s="2"/>
      </tp>
      <tp t="s">
        <v>#N/A N/A</v>
        <stp/>
        <stp>BDP|9839159042315997081</stp>
        <tr r="E978" s="2"/>
      </tp>
      <tp t="s">
        <v>#N/A N/A</v>
        <stp/>
        <stp>BDP|7738300798310727463</stp>
        <tr r="Q1794" s="2"/>
      </tp>
      <tp t="s">
        <v>#N/A N/A</v>
        <stp/>
        <stp>BDP|6043151255622613982</stp>
        <tr r="J340" s="2"/>
      </tp>
      <tp t="s">
        <v>#N/A N/A</v>
        <stp/>
        <stp>BDP|6657671894382917226</stp>
        <tr r="A836" s="2"/>
      </tp>
      <tp t="s">
        <v>#N/A N/A</v>
        <stp/>
        <stp>BDP|9549217463055044197</stp>
        <tr r="J1946" s="2"/>
      </tp>
      <tp t="s">
        <v>#N/A N/A</v>
        <stp/>
        <stp>BDP|6577932417317679091</stp>
        <tr r="O322" s="2"/>
      </tp>
      <tp t="s">
        <v>#N/A N/A</v>
        <stp/>
        <stp>BDP|1604381177059525520</stp>
        <tr r="P1064" s="2"/>
      </tp>
      <tp t="s">
        <v>#N/A N/A</v>
        <stp/>
        <stp>BDP|4095812118826481238</stp>
        <tr r="G1682" s="2"/>
      </tp>
      <tp t="s">
        <v>#N/A N/A</v>
        <stp/>
        <stp>BDS|4002057381624398198</stp>
        <tr r="I274" s="2"/>
      </tp>
      <tp t="s">
        <v>#N/A N/A</v>
        <stp/>
        <stp>BDP|7027188592921615720</stp>
        <tr r="D172" s="2"/>
      </tp>
      <tp t="s">
        <v>#N/A N/A</v>
        <stp/>
        <stp>BDP|8069042205690750185</stp>
        <tr r="H816" s="2"/>
      </tp>
      <tp t="s">
        <v>#N/A N/A</v>
        <stp/>
        <stp>BDP|2143503300656746887</stp>
        <tr r="D755" s="2"/>
      </tp>
      <tp t="s">
        <v>#N/A N/A</v>
        <stp/>
        <stp>BDP|8853089849791391440</stp>
        <tr r="E1099" s="2"/>
      </tp>
      <tp t="s">
        <v>#N/A N/A</v>
        <stp/>
        <stp>BDP|8772561738294044372</stp>
        <tr r="H1263" s="2"/>
      </tp>
      <tp t="s">
        <v>#N/A N/A</v>
        <stp/>
        <stp>BDP|5812825716251074424</stp>
        <tr r="O1856" s="2"/>
      </tp>
      <tp t="s">
        <v>#N/A N/A</v>
        <stp/>
        <stp>BDP|2393594183800505620</stp>
        <tr r="A796" s="2"/>
      </tp>
      <tp t="s">
        <v>#N/A N/A</v>
        <stp/>
        <stp>BDP|5994921513984674003</stp>
        <tr r="R166" s="2"/>
      </tp>
      <tp t="s">
        <v>#N/A N/A</v>
        <stp/>
        <stp>BDP|3969316186107312635</stp>
        <tr r="D894" s="2"/>
      </tp>
      <tp t="s">
        <v>#N/A N/A</v>
        <stp/>
        <stp>BDS|4650314322478941426</stp>
        <tr r="I930" s="2"/>
      </tp>
      <tp t="s">
        <v>#N/A N/A</v>
        <stp/>
        <stp>BDP|8852751751453137037</stp>
        <tr r="N553" s="2"/>
      </tp>
      <tp t="s">
        <v>#N/A N/A</v>
        <stp/>
        <stp>BDP|3531032018838152318</stp>
        <tr r="A2235" s="2"/>
      </tp>
      <tp t="s">
        <v>#N/A N/A</v>
        <stp/>
        <stp>BDP|6549376683080845472</stp>
        <tr r="P1181" s="2"/>
      </tp>
      <tp t="s">
        <v>#N/A N/A</v>
        <stp/>
        <stp>BDP|8193989231829199275</stp>
        <tr r="N312" s="2"/>
      </tp>
      <tp t="s">
        <v>#N/A N/A</v>
        <stp/>
        <stp>BDP|8362007828617741427</stp>
        <tr r="R1582" s="2"/>
      </tp>
      <tp t="s">
        <v>#N/A N/A</v>
        <stp/>
        <stp>BDP|9950349616805500703</stp>
        <tr r="J556" s="2"/>
      </tp>
      <tp t="s">
        <v>#N/A N/A</v>
        <stp/>
        <stp>BDP|2183258469206572963</stp>
        <tr r="O2067" s="2"/>
      </tp>
      <tp t="s">
        <v>#N/A N/A</v>
        <stp/>
        <stp>BDP|4654765626278854001</stp>
        <tr r="K1927" s="2"/>
      </tp>
      <tp t="s">
        <v>#N/A N/A</v>
        <stp/>
        <stp>BDP|8036352597909472289</stp>
        <tr r="P516" s="2"/>
      </tp>
      <tp t="s">
        <v>#N/A N/A</v>
        <stp/>
        <stp>BDP|2713110378788434543</stp>
        <tr r="G599" s="2"/>
      </tp>
      <tp t="s">
        <v>#N/A N/A</v>
        <stp/>
        <stp>BDP|3918966075474377072</stp>
        <tr r="D248" s="2"/>
      </tp>
      <tp t="s">
        <v>#N/A N/A</v>
        <stp/>
        <stp>BDP|8933545662402380033</stp>
        <tr r="A99" s="2"/>
      </tp>
      <tp t="s">
        <v>#N/A N/A</v>
        <stp/>
        <stp>BDP|9476458532121512696</stp>
        <tr r="E1113" s="2"/>
      </tp>
      <tp t="s">
        <v>#N/A N/A</v>
        <stp/>
        <stp>BDP|8813257937735085550</stp>
        <tr r="D1416" s="2"/>
      </tp>
      <tp t="s">
        <v>#N/A N/A</v>
        <stp/>
        <stp>BDP|5268350445389959249</stp>
        <tr r="M878" s="2"/>
      </tp>
      <tp t="s">
        <v>#N/A N/A</v>
        <stp/>
        <stp>BDP|3128898316333686078</stp>
        <tr r="T45" s="2"/>
      </tp>
      <tp t="s">
        <v>#N/A N/A</v>
        <stp/>
        <stp>BDP|9468236374584949158</stp>
        <tr r="P322" s="2"/>
      </tp>
      <tp t="s">
        <v>#N/A N/A</v>
        <stp/>
        <stp>BDP|9975579352634752445</stp>
        <tr r="A249" s="2"/>
      </tp>
      <tp t="s">
        <v>#N/A N/A</v>
        <stp/>
        <stp>BDP|1560434369858782279</stp>
        <tr r="H2133" s="2"/>
      </tp>
      <tp t="s">
        <v>#N/A N/A</v>
        <stp/>
        <stp>BDP|5497145349291529837</stp>
        <tr r="G1348" s="2"/>
      </tp>
      <tp t="s">
        <v>#N/A N/A</v>
        <stp/>
        <stp>BDP|7489567833468892069</stp>
        <tr r="T1245" s="2"/>
      </tp>
      <tp t="s">
        <v>#N/A N/A</v>
        <stp/>
        <stp>BDP|5134792696247787560</stp>
        <tr r="C734" s="2"/>
      </tp>
      <tp t="s">
        <v>#N/A N/A</v>
        <stp/>
        <stp>BDP|1265029068518550625</stp>
        <tr r="R1314" s="2"/>
      </tp>
      <tp t="s">
        <v>#N/A N/A</v>
        <stp/>
        <stp>BDP|2084679599713097715</stp>
        <tr r="R903" s="2"/>
      </tp>
      <tp t="s">
        <v>#N/A N/A</v>
        <stp/>
        <stp>BDP|9827597308941470421</stp>
        <tr r="T1596" s="2"/>
      </tp>
      <tp t="s">
        <v>#N/A N/A</v>
        <stp/>
        <stp>BDP|9092528562894604793</stp>
        <tr r="O1846" s="2"/>
      </tp>
      <tp t="s">
        <v>#N/A N/A</v>
        <stp/>
        <stp>BDP|2006378474376460980</stp>
        <tr r="S1976" s="2"/>
      </tp>
      <tp t="s">
        <v>#N/A N/A</v>
        <stp/>
        <stp>BDP|8565493002835240034</stp>
        <tr r="O468" s="2"/>
      </tp>
      <tp t="s">
        <v>#N/A N/A</v>
        <stp/>
        <stp>BDP|2708235833979047385</stp>
        <tr r="O2012" s="2"/>
      </tp>
      <tp t="s">
        <v>#N/A N/A</v>
        <stp/>
        <stp>BDP|4347828537425175383</stp>
        <tr r="J1612" s="2"/>
      </tp>
      <tp t="s">
        <v>#N/A N/A</v>
        <stp/>
        <stp>BDP|7088987904076436170</stp>
        <tr r="Q2019" s="2"/>
      </tp>
      <tp t="s">
        <v>#N/A N/A</v>
        <stp/>
        <stp>BDP|4475010044878701193</stp>
        <tr r="J1809" s="2"/>
      </tp>
      <tp t="s">
        <v>#N/A N/A</v>
        <stp/>
        <stp>BDP|7248319099254611032</stp>
        <tr r="F940" s="2"/>
      </tp>
      <tp t="s">
        <v>#N/A N/A</v>
        <stp/>
        <stp>BDP|9982663292988395717</stp>
        <tr r="R896" s="2"/>
      </tp>
      <tp t="s">
        <v>#N/A N/A</v>
        <stp/>
        <stp>BDP|8938211960091363448</stp>
        <tr r="E1090" s="2"/>
      </tp>
      <tp t="s">
        <v>#N/A N/A</v>
        <stp/>
        <stp>BDP|7193032659929045249</stp>
        <tr r="P1217" s="2"/>
      </tp>
      <tp t="s">
        <v>#N/A N/A</v>
        <stp/>
        <stp>BDP|8389606493779739785</stp>
        <tr r="F2252" s="2"/>
      </tp>
      <tp t="s">
        <v>#N/A N/A</v>
        <stp/>
        <stp>BDP|7795342273409749384</stp>
        <tr r="O2190" s="2"/>
      </tp>
      <tp t="s">
        <v>#N/A N/A</v>
        <stp/>
        <stp>BDP|2066527631869459483</stp>
        <tr r="R1528" s="2"/>
      </tp>
      <tp t="s">
        <v>#N/A N/A</v>
        <stp/>
        <stp>BDP|3778822379156135329</stp>
        <tr r="E2203" s="2"/>
      </tp>
      <tp t="s">
        <v>#N/A N/A</v>
        <stp/>
        <stp>BDP|1571724030559861501</stp>
        <tr r="O1956" s="2"/>
      </tp>
      <tp t="s">
        <v>#N/A N/A</v>
        <stp/>
        <stp>BDP|6420298883586075319</stp>
        <tr r="F244" s="2"/>
      </tp>
      <tp t="s">
        <v>#N/A N/A</v>
        <stp/>
        <stp>BDP|7901979370145081511</stp>
        <tr r="M1073" s="2"/>
      </tp>
      <tp t="s">
        <v>#N/A N/A</v>
        <stp/>
        <stp>BDP|5104437660769547785</stp>
        <tr r="P2047" s="2"/>
      </tp>
      <tp t="s">
        <v>#N/A N/A</v>
        <stp/>
        <stp>BDS|9764214823091986138</stp>
        <tr r="I1965" s="2"/>
      </tp>
      <tp t="s">
        <v>#N/A N/A</v>
        <stp/>
        <stp>BDP|2860812484292563971</stp>
        <tr r="H1722" s="2"/>
      </tp>
      <tp t="s">
        <v>#N/A N/A</v>
        <stp/>
        <stp>BDP|3010391321603019876</stp>
        <tr r="T1378" s="2"/>
      </tp>
      <tp t="s">
        <v>#N/A N/A</v>
        <stp/>
        <stp>BDP|9993908707478159101</stp>
        <tr r="A1796" s="2"/>
      </tp>
      <tp t="s">
        <v>#N/A N/A</v>
        <stp/>
        <stp>BDP|8739344065784871017</stp>
        <tr r="C17" s="2"/>
      </tp>
      <tp t="s">
        <v>#N/A N/A</v>
        <stp/>
        <stp>BDP|5385689538079826043</stp>
        <tr r="R1351" s="2"/>
      </tp>
      <tp t="s">
        <v>#N/A N/A</v>
        <stp/>
        <stp>BDP|6064891383909376669</stp>
        <tr r="D1696" s="2"/>
      </tp>
      <tp t="s">
        <v>#N/A N/A</v>
        <stp/>
        <stp>BDP|3582034019592007909</stp>
        <tr r="D2237" s="2"/>
      </tp>
      <tp t="s">
        <v>#N/A N/A</v>
        <stp/>
        <stp>BDP|5804069684644168049</stp>
        <tr r="J578" s="2"/>
      </tp>
      <tp t="s">
        <v>#N/A N/A</v>
        <stp/>
        <stp>BDP|8390423779802458037</stp>
        <tr r="R1100" s="2"/>
      </tp>
      <tp t="s">
        <v>#N/A N/A</v>
        <stp/>
        <stp>BDP|8099324943882732496</stp>
        <tr r="C697" s="2"/>
      </tp>
      <tp t="s">
        <v>#N/A N/A</v>
        <stp/>
        <stp>BDP|7542542526118941110</stp>
        <tr r="T109" s="2"/>
      </tp>
      <tp t="s">
        <v>#N/A N/A</v>
        <stp/>
        <stp>BDP|9630513878962199013</stp>
        <tr r="T1953" s="2"/>
      </tp>
      <tp t="s">
        <v>#N/A N/A</v>
        <stp/>
        <stp>BDP|9904528108907969254</stp>
        <tr r="E670" s="2"/>
      </tp>
      <tp t="s">
        <v>#N/A N/A</v>
        <stp/>
        <stp>BDP|2970353888766911621</stp>
        <tr r="O1917" s="2"/>
      </tp>
      <tp t="s">
        <v>#N/A N/A</v>
        <stp/>
        <stp>BDP|3216595126395446860</stp>
        <tr r="S832" s="2"/>
      </tp>
      <tp t="s">
        <v>#N/A N/A</v>
        <stp/>
        <stp>BDP|5125987276171468341</stp>
        <tr r="D1254" s="2"/>
      </tp>
      <tp t="s">
        <v>#N/A N/A</v>
        <stp/>
        <stp>BDP|2098857939104385405</stp>
        <tr r="E206" s="2"/>
      </tp>
      <tp t="s">
        <v>#N/A N/A</v>
        <stp/>
        <stp>BDP|7795513229010690961</stp>
        <tr r="D1022" s="2"/>
      </tp>
      <tp t="s">
        <v>#N/A N/A</v>
        <stp/>
        <stp>BDP|8103352357834400388</stp>
        <tr r="H1990" s="2"/>
      </tp>
      <tp t="s">
        <v>#N/A N/A</v>
        <stp/>
        <stp>BDP|8389567231894238396</stp>
        <tr r="F1516" s="2"/>
      </tp>
      <tp t="s">
        <v>#N/A N/A</v>
        <stp/>
        <stp>BDP|9252923098855291552</stp>
        <tr r="J1346" s="2"/>
      </tp>
      <tp t="s">
        <v>#N/A N/A</v>
        <stp/>
        <stp>BDS|1435854200895609589</stp>
        <tr r="I6" s="2"/>
      </tp>
      <tp t="s">
        <v>#N/A N/A</v>
        <stp/>
        <stp>BDP|9414080521397208506</stp>
        <tr r="M1503" s="2"/>
      </tp>
      <tp t="s">
        <v>#N/A N/A</v>
        <stp/>
        <stp>BDP|5805096341759652190</stp>
        <tr r="O227" s="2"/>
      </tp>
      <tp t="s">
        <v>#N/A N/A</v>
        <stp/>
        <stp>BDP|9273179020415963638</stp>
        <tr r="F632" s="2"/>
      </tp>
      <tp t="s">
        <v>#N/A N/A</v>
        <stp/>
        <stp>BDP|6050990273600710126</stp>
        <tr r="Q414" s="2"/>
      </tp>
      <tp t="s">
        <v>#N/A N/A</v>
        <stp/>
        <stp>BDP|1911825314104978596</stp>
        <tr r="T307" s="2"/>
      </tp>
      <tp t="s">
        <v>#N/A N/A</v>
        <stp/>
        <stp>BDP|6806839104823343432</stp>
        <tr r="D100" s="2"/>
      </tp>
      <tp t="s">
        <v>#N/A N/A</v>
        <stp/>
        <stp>BDP|7162963350356889409</stp>
        <tr r="D1177" s="2"/>
      </tp>
      <tp t="s">
        <v>#N/A N/A</v>
        <stp/>
        <stp>BDP|8431786607343438502</stp>
        <tr r="P1937" s="2"/>
      </tp>
      <tp t="s">
        <v>#N/A N/A</v>
        <stp/>
        <stp>BDP|8892572518942105794</stp>
        <tr r="H1696" s="2"/>
      </tp>
      <tp t="s">
        <v>#N/A N/A</v>
        <stp/>
        <stp>BDP|4257876566426832542</stp>
        <tr r="H1690" s="2"/>
      </tp>
      <tp t="s">
        <v>#N/A N/A</v>
        <stp/>
        <stp>BDP|9260993874789309734</stp>
        <tr r="K1731" s="2"/>
      </tp>
      <tp t="s">
        <v>#N/A N/A</v>
        <stp/>
        <stp>BDP|9393638626652919600</stp>
        <tr r="H21" s="2"/>
      </tp>
      <tp t="s">
        <v>#N/A N/A</v>
        <stp/>
        <stp>BDP|9297877174558817753</stp>
        <tr r="D1558" s="2"/>
      </tp>
      <tp t="s">
        <v>#N/A N/A</v>
        <stp/>
        <stp>BDP|9200300749451352648</stp>
        <tr r="H623" s="2"/>
      </tp>
      <tp t="s">
        <v>#N/A N/A</v>
        <stp/>
        <stp>BDP|7272190575940141833</stp>
        <tr r="Q1968" s="2"/>
      </tp>
      <tp t="s">
        <v>#N/A N/A</v>
        <stp/>
        <stp>BDP|9951373343872809597</stp>
        <tr r="J1138" s="2"/>
      </tp>
      <tp t="s">
        <v>#N/A N/A</v>
        <stp/>
        <stp>BDS|2324567943009977338</stp>
        <tr r="I2018" s="2"/>
      </tp>
      <tp t="s">
        <v>#N/A N/A</v>
        <stp/>
        <stp>BDP|5220787221440590920</stp>
        <tr r="S1277" s="2"/>
      </tp>
      <tp t="s">
        <v>#N/A N/A</v>
        <stp/>
        <stp>BDP|6674388432097046803</stp>
        <tr r="O881" s="2"/>
      </tp>
      <tp t="s">
        <v>#N/A N/A</v>
        <stp/>
        <stp>BDP|3931028417622469940</stp>
        <tr r="O869" s="2"/>
      </tp>
      <tp t="s">
        <v>#N/A N/A</v>
        <stp/>
        <stp>BDP|8926368915126072567</stp>
        <tr r="H927" s="2"/>
      </tp>
      <tp t="s">
        <v>#N/A N/A</v>
        <stp/>
        <stp>BDP|5715501613829155197</stp>
        <tr r="N453" s="2"/>
      </tp>
      <tp t="s">
        <v>#N/A N/A</v>
        <stp/>
        <stp>BDP|2804325785460233018</stp>
        <tr r="Q1868" s="2"/>
      </tp>
      <tp t="s">
        <v>#N/A N/A</v>
        <stp/>
        <stp>BDP|3667922422261398095</stp>
        <tr r="Q1843" s="2"/>
      </tp>
      <tp t="s">
        <v>#N/A N/A</v>
        <stp/>
        <stp>BDP|2393790840521267940</stp>
        <tr r="S1599" s="2"/>
      </tp>
      <tp t="s">
        <v>#N/A N/A</v>
        <stp/>
        <stp>BDP|9192857509308323022</stp>
        <tr r="N1999" s="2"/>
      </tp>
      <tp t="s">
        <v>#N/A N/A</v>
        <stp/>
        <stp>BDP|1826888568951290767</stp>
        <tr r="Q867" s="2"/>
      </tp>
      <tp t="s">
        <v>#N/A N/A</v>
        <stp/>
        <stp>BDP|6054179542458962203</stp>
        <tr r="J59" s="2"/>
      </tp>
      <tp t="s">
        <v>#N/A N/A</v>
        <stp/>
        <stp>BDP|8182356319456426555</stp>
        <tr r="K1565" s="2"/>
      </tp>
      <tp t="s">
        <v>#N/A N/A</v>
        <stp/>
        <stp>BDP|7162269093597926215</stp>
        <tr r="T577" s="2"/>
      </tp>
      <tp t="s">
        <v>#N/A N/A</v>
        <stp/>
        <stp>BDP|3106238398743714212</stp>
        <tr r="C1125" s="2"/>
      </tp>
      <tp t="s">
        <v>#N/A N/A</v>
        <stp/>
        <stp>BDP|8790928739068754378</stp>
        <tr r="O1635" s="2"/>
      </tp>
      <tp t="s">
        <v>#N/A N/A</v>
        <stp/>
        <stp>BDP|1842040448428982414</stp>
        <tr r="F2249" s="2"/>
      </tp>
      <tp t="s">
        <v>#N/A N/A</v>
        <stp/>
        <stp>BDP|3895402507689048735</stp>
        <tr r="Q1597" s="2"/>
      </tp>
      <tp t="s">
        <v>#N/A N/A</v>
        <stp/>
        <stp>BDP|4719122299836378330</stp>
        <tr r="D1374" s="2"/>
      </tp>
      <tp t="s">
        <v>#N/A N/A</v>
        <stp/>
        <stp>BDP|1841038697303259226</stp>
        <tr r="A104" s="2"/>
      </tp>
      <tp t="s">
        <v>#N/A N/A</v>
        <stp/>
        <stp>BDP|1206986213348684833</stp>
        <tr r="C1367" s="2"/>
      </tp>
      <tp t="s">
        <v>#N/A N/A</v>
        <stp/>
        <stp>BDP|8947567505604226049</stp>
        <tr r="E1247" s="2"/>
      </tp>
      <tp t="s">
        <v>#N/A N/A</v>
        <stp/>
        <stp>BDP|9721108218312614256</stp>
        <tr r="N1979" s="2"/>
      </tp>
      <tp t="s">
        <v>#N/A N/A</v>
        <stp/>
        <stp>BDP|7492966402236564195</stp>
        <tr r="A544" s="2"/>
      </tp>
      <tp t="s">
        <v>#N/A N/A</v>
        <stp/>
        <stp>BDP|9879641972045296401</stp>
        <tr r="Q544" s="2"/>
      </tp>
      <tp t="s">
        <v>#N/A N/A</v>
        <stp/>
        <stp>BDP|5257261136884632981</stp>
        <tr r="T2143" s="2"/>
      </tp>
      <tp t="s">
        <v>#N/A N/A</v>
        <stp/>
        <stp>BDS|8927170011777475670</stp>
        <tr r="I932" s="2"/>
      </tp>
      <tp t="s">
        <v>#N/A N/A</v>
        <stp/>
        <stp>BDP|8642007528651670243</stp>
        <tr r="P1305" s="2"/>
      </tp>
      <tp t="s">
        <v>#N/A N/A</v>
        <stp/>
        <stp>BDP|1853897299541579811</stp>
        <tr r="M1615" s="2"/>
      </tp>
      <tp t="s">
        <v>#N/A N/A</v>
        <stp/>
        <stp>BDP|8187852257388811479</stp>
        <tr r="H247" s="2"/>
      </tp>
      <tp t="s">
        <v>#N/A N/A</v>
        <stp/>
        <stp>BDP|7822146253389326304</stp>
        <tr r="T1547" s="2"/>
      </tp>
      <tp t="s">
        <v>#N/A N/A</v>
        <stp/>
        <stp>BDP|3661179688995749622</stp>
        <tr r="T131" s="2"/>
      </tp>
      <tp t="s">
        <v>#N/A N/A</v>
        <stp/>
        <stp>BDP|7945297272449640283</stp>
        <tr r="R1239" s="2"/>
      </tp>
      <tp t="s">
        <v>#N/A N/A</v>
        <stp/>
        <stp>BDP|4253251985455971277</stp>
        <tr r="R2029" s="2"/>
      </tp>
      <tp t="s">
        <v>#N/A N/A</v>
        <stp/>
        <stp>BDP|9505780414513708525</stp>
        <tr r="O325" s="2"/>
      </tp>
      <tp t="s">
        <v>#N/A N/A</v>
        <stp/>
        <stp>BDP|9482691480109283733</stp>
        <tr r="D1305" s="2"/>
      </tp>
      <tp t="s">
        <v>#N/A N/A</v>
        <stp/>
        <stp>BDP|1447971575027816127</stp>
        <tr r="P1568" s="2"/>
      </tp>
      <tp t="s">
        <v>#N/A N/A</v>
        <stp/>
        <stp>BDP|8925466210243573762</stp>
        <tr r="M1724" s="2"/>
      </tp>
      <tp t="s">
        <v>#N/A N/A</v>
        <stp/>
        <stp>BDP|6049890182286252950</stp>
        <tr r="G749" s="2"/>
      </tp>
      <tp t="s">
        <v>#N/A N/A</v>
        <stp/>
        <stp>BDP|9490325288719703259</stp>
        <tr r="Q1493" s="2"/>
      </tp>
      <tp t="s">
        <v>#N/A N/A</v>
        <stp/>
        <stp>BDP|6943573895217437434</stp>
        <tr r="C2174" s="2"/>
      </tp>
      <tp t="s">
        <v>#N/A N/A</v>
        <stp/>
        <stp>BDP|5460763079178428434</stp>
        <tr r="C959" s="2"/>
      </tp>
      <tp t="s">
        <v>#N/A N/A</v>
        <stp/>
        <stp>BDP|3274197072394316860</stp>
        <tr r="T707" s="2"/>
      </tp>
      <tp t="s">
        <v>#N/A N/A</v>
        <stp/>
        <stp>BDP|6461519366048891473</stp>
        <tr r="P1246" s="2"/>
      </tp>
      <tp t="s">
        <v>#N/A N/A</v>
        <stp/>
        <stp>BDP|2444998125964750435</stp>
        <tr r="S1257" s="2"/>
      </tp>
      <tp t="s">
        <v>#N/A N/A</v>
        <stp/>
        <stp>BDP|9136743649792616163</stp>
        <tr r="P346" s="2"/>
      </tp>
      <tp t="s">
        <v>#N/A N/A</v>
        <stp/>
        <stp>BDP|8895900341845529906</stp>
        <tr r="K389" s="2"/>
      </tp>
      <tp t="s">
        <v>#N/A N/A</v>
        <stp/>
        <stp>BDP|9760389568301999421</stp>
        <tr r="E1885" s="2"/>
      </tp>
      <tp t="s">
        <v>#N/A N/A</v>
        <stp/>
        <stp>BDP|4291663905962500987</stp>
        <tr r="R1059" s="2"/>
      </tp>
      <tp t="s">
        <v>#N/A N/A</v>
        <stp/>
        <stp>BDP|4591605655408559699</stp>
        <tr r="D1821" s="2"/>
      </tp>
      <tp t="s">
        <v>#N/A N/A</v>
        <stp/>
        <stp>BDP|8789304633902095388</stp>
        <tr r="N1679" s="2"/>
      </tp>
      <tp t="s">
        <v>#N/A N/A</v>
        <stp/>
        <stp>BDP|5565129603664181996</stp>
        <tr r="M1306" s="2"/>
      </tp>
      <tp t="s">
        <v>#N/A N/A</v>
        <stp/>
        <stp>BDP|9142224235432837320</stp>
        <tr r="E1996" s="2"/>
      </tp>
      <tp t="s">
        <v>#N/A N/A</v>
        <stp/>
        <stp>BDP|5942127551461300950</stp>
        <tr r="A1392" s="2"/>
      </tp>
      <tp t="s">
        <v>#N/A N/A</v>
        <stp/>
        <stp>BDP|1408038998065394406</stp>
        <tr r="K2089" s="2"/>
      </tp>
      <tp t="s">
        <v>#N/A N/A</v>
        <stp/>
        <stp>BDP|3320070730021149891</stp>
        <tr r="P359" s="2"/>
      </tp>
      <tp t="s">
        <v>#N/A N/A</v>
        <stp/>
        <stp>BDP|9701425947332846265</stp>
        <tr r="A1561" s="2"/>
      </tp>
      <tp t="s">
        <v>#N/A N/A</v>
        <stp/>
        <stp>BDP|3708925040010876715</stp>
        <tr r="Q60" s="2"/>
      </tp>
      <tp t="s">
        <v>#N/A N/A</v>
        <stp/>
        <stp>BDS|5275591225189527271</stp>
        <tr r="I517" s="2"/>
      </tp>
      <tp t="s">
        <v>#N/A N/A</v>
        <stp/>
        <stp>BDP|4007707759237238871</stp>
        <tr r="D1580" s="2"/>
      </tp>
      <tp t="s">
        <v>#N/A N/A</v>
        <stp/>
        <stp>BDP|6474883033784517065</stp>
        <tr r="R1466" s="2"/>
      </tp>
      <tp t="s">
        <v>#N/A N/A</v>
        <stp/>
        <stp>BDP|3827922741306605115</stp>
        <tr r="M1487" s="2"/>
      </tp>
      <tp t="s">
        <v>#N/A N/A</v>
        <stp/>
        <stp>BDP|8934162138617843435</stp>
        <tr r="G1771" s="2"/>
      </tp>
      <tp t="s">
        <v>#N/A N/A</v>
        <stp/>
        <stp>BDP|3121810043893958569</stp>
        <tr r="H1138" s="2"/>
      </tp>
      <tp t="s">
        <v>#N/A N/A</v>
        <stp/>
        <stp>BDP|6192508791750513391</stp>
        <tr r="H665" s="2"/>
      </tp>
      <tp t="s">
        <v>#N/A N/A</v>
        <stp/>
        <stp>BDP|9982316261955426013</stp>
        <tr r="H821" s="2"/>
      </tp>
      <tp t="s">
        <v>#N/A N/A</v>
        <stp/>
        <stp>BDP|8773423745397464687</stp>
        <tr r="J385" s="2"/>
      </tp>
      <tp t="s">
        <v>#N/A N/A</v>
        <stp/>
        <stp>BDP|4994187862519800362</stp>
        <tr r="N213" s="2"/>
      </tp>
      <tp t="s">
        <v>#N/A N/A</v>
        <stp/>
        <stp>BDP|6663655183898570985</stp>
        <tr r="D2047" s="2"/>
      </tp>
      <tp t="s">
        <v>#N/A N/A</v>
        <stp/>
        <stp>BDP|6529152387362389490</stp>
        <tr r="P139" s="2"/>
      </tp>
      <tp t="s">
        <v>#N/A N/A</v>
        <stp/>
        <stp>BDP|7171166098403293507</stp>
        <tr r="R1884" s="2"/>
      </tp>
      <tp t="s">
        <v>#N/A N/A</v>
        <stp/>
        <stp>BDP|8870300845296689066</stp>
        <tr r="G797" s="2"/>
      </tp>
      <tp t="s">
        <v>#N/A N/A</v>
        <stp/>
        <stp>BDP|1724220793805298698</stp>
        <tr r="F935" s="2"/>
      </tp>
      <tp t="s">
        <v>#N/A N/A</v>
        <stp/>
        <stp>BDP|8308821083719752888</stp>
        <tr r="D1575" s="2"/>
      </tp>
      <tp t="s">
        <v>#N/A N/A</v>
        <stp/>
        <stp>BDP|1812832256565482044</stp>
        <tr r="F151" s="2"/>
      </tp>
      <tp t="s">
        <v>#N/A N/A</v>
        <stp/>
        <stp>BDP|9231591072382529019</stp>
        <tr r="N1796" s="2"/>
      </tp>
      <tp t="s">
        <v>#N/A N/A</v>
        <stp/>
        <stp>BDP|3492613582762353692</stp>
        <tr r="C1531" s="2"/>
      </tp>
      <tp t="s">
        <v>#N/A N/A</v>
        <stp/>
        <stp>BDP|7609880677820501112</stp>
        <tr r="R38" s="2"/>
      </tp>
      <tp t="s">
        <v>#N/A N/A</v>
        <stp/>
        <stp>BDP|6951923765381214119</stp>
        <tr r="F2200" s="2"/>
      </tp>
      <tp t="s">
        <v>#N/A N/A</v>
        <stp/>
        <stp>BDP|8495724286209812752</stp>
        <tr r="N1430" s="2"/>
      </tp>
      <tp t="s">
        <v>#N/A N/A</v>
        <stp/>
        <stp>BDP|2329349578899095626</stp>
        <tr r="F563" s="2"/>
      </tp>
      <tp t="s">
        <v>#N/A N/A</v>
        <stp/>
        <stp>BDP|5597980524033110454</stp>
        <tr r="O1842" s="2"/>
      </tp>
      <tp t="s">
        <v>#N/A N/A</v>
        <stp/>
        <stp>BDP|6468389813435570870</stp>
        <tr r="N1640" s="2"/>
      </tp>
      <tp t="s">
        <v>#N/A N/A</v>
        <stp/>
        <stp>BDP|5590843649622359265</stp>
        <tr r="S1265" s="2"/>
      </tp>
      <tp t="s">
        <v>#N/A N/A</v>
        <stp/>
        <stp>BDS|4893327181047325150</stp>
        <tr r="I1562" s="2"/>
      </tp>
      <tp t="s">
        <v>#N/A N/A</v>
        <stp/>
        <stp>BDP|3885171882123536054</stp>
        <tr r="M1967" s="2"/>
      </tp>
      <tp t="s">
        <v>#N/A N/A</v>
        <stp/>
        <stp>BDP|5610910116097491387</stp>
        <tr r="Q2215" s="2"/>
      </tp>
      <tp t="s">
        <v>#N/A N/A</v>
        <stp/>
        <stp>BDP|1870656507938312647</stp>
        <tr r="C1137" s="2"/>
      </tp>
      <tp t="s">
        <v>#N/A N/A</v>
        <stp/>
        <stp>BDP|3199801814743030082</stp>
        <tr r="R490" s="2"/>
      </tp>
      <tp t="s">
        <v>#N/A N/A</v>
        <stp/>
        <stp>BDP|6764111460380231899</stp>
        <tr r="E1933" s="2"/>
      </tp>
      <tp t="s">
        <v>#N/A N/A</v>
        <stp/>
        <stp>BDP|3013166263634924912</stp>
        <tr r="K2245" s="2"/>
      </tp>
      <tp t="s">
        <v>#N/A N/A</v>
        <stp/>
        <stp>BDP|9733852704079301180</stp>
        <tr r="F1887" s="2"/>
      </tp>
      <tp t="s">
        <v>#N/A N/A</v>
        <stp/>
        <stp>BDP|8887817680892471301</stp>
        <tr r="T600" s="2"/>
      </tp>
      <tp t="s">
        <v>#N/A N/A</v>
        <stp/>
        <stp>BDP|1477057299638663930</stp>
        <tr r="T1638" s="2"/>
      </tp>
      <tp t="s">
        <v>#N/A N/A</v>
        <stp/>
        <stp>BDP|3337031798364520703</stp>
        <tr r="E354" s="2"/>
      </tp>
      <tp t="s">
        <v>#N/A N/A</v>
        <stp/>
        <stp>BDP|9137679566523482397</stp>
        <tr r="G786" s="2"/>
      </tp>
      <tp t="s">
        <v>#N/A N/A</v>
        <stp/>
        <stp>BDP|7106013979509463000</stp>
        <tr r="D1010" s="2"/>
      </tp>
      <tp t="s">
        <v>#N/A N/A</v>
        <stp/>
        <stp>BDP|8170601225165148080</stp>
        <tr r="O1467" s="2"/>
      </tp>
      <tp t="s">
        <v>#N/A N/A</v>
        <stp/>
        <stp>BDP|2210847837418592898</stp>
        <tr r="E1088" s="2"/>
      </tp>
      <tp t="s">
        <v>#N/A N/A</v>
        <stp/>
        <stp>BDP|7323077160000158882</stp>
        <tr r="T1722" s="2"/>
      </tp>
      <tp t="s">
        <v>#N/A N/A</v>
        <stp/>
        <stp>BDP|3566305607779787089</stp>
        <tr r="M152" s="2"/>
      </tp>
      <tp t="s">
        <v>#N/A N/A</v>
        <stp/>
        <stp>BDP|6831786994615049492</stp>
        <tr r="J2091" s="2"/>
      </tp>
      <tp t="s">
        <v>#N/A N/A</v>
        <stp/>
        <stp>BDP|1278284049256741890</stp>
        <tr r="Q363" s="2"/>
      </tp>
      <tp t="s">
        <v>#N/A N/A</v>
        <stp/>
        <stp>BDP|1428492513094149921</stp>
        <tr r="S1510" s="2"/>
      </tp>
      <tp t="s">
        <v>#N/A N/A</v>
        <stp/>
        <stp>BDP|3023792195082317624</stp>
        <tr r="D2108" s="2"/>
      </tp>
      <tp t="s">
        <v>#N/A N/A</v>
        <stp/>
        <stp>BDP|6098849501045814204</stp>
        <tr r="K1900" s="2"/>
      </tp>
      <tp t="s">
        <v>#N/A N/A</v>
        <stp/>
        <stp>BDP|6945885833000849471</stp>
        <tr r="S1416" s="2"/>
      </tp>
      <tp t="s">
        <v>#N/A N/A</v>
        <stp/>
        <stp>BDP|3032382297466651644</stp>
        <tr r="A1022" s="2"/>
      </tp>
      <tp t="s">
        <v>#N/A N/A</v>
        <stp/>
        <stp>BDP|4768579581437491786</stp>
        <tr r="A186" s="2"/>
      </tp>
      <tp t="s">
        <v>#N/A N/A</v>
        <stp/>
        <stp>BDP|3058863341057206182</stp>
        <tr r="P1321" s="2"/>
      </tp>
      <tp t="s">
        <v>#N/A N/A</v>
        <stp/>
        <stp>BDP|2118092755716045804</stp>
        <tr r="N1685" s="2"/>
      </tp>
      <tp t="s">
        <v>#N/A N/A</v>
        <stp/>
        <stp>BDP|5631477086554273481</stp>
        <tr r="G1151" s="2"/>
      </tp>
      <tp t="s">
        <v>#N/A N/A</v>
        <stp/>
        <stp>BDP|2934433496392849490</stp>
        <tr r="D517" s="2"/>
      </tp>
      <tp t="s">
        <v>#N/A N/A</v>
        <stp/>
        <stp>BDP|3293463589813405545</stp>
        <tr r="E327" s="2"/>
      </tp>
      <tp t="s">
        <v>#N/A N/A</v>
        <stp/>
        <stp>BDP|6420611508529818080</stp>
        <tr r="G1924" s="2"/>
      </tp>
      <tp t="s">
        <v>#N/A N/A</v>
        <stp/>
        <stp>BDP|3496818442687832123</stp>
        <tr r="G1819" s="2"/>
      </tp>
      <tp t="s">
        <v>#N/A N/A</v>
        <stp/>
        <stp>BDP|5680189334218147661</stp>
        <tr r="H1635" s="2"/>
      </tp>
      <tp t="s">
        <v>#N/A N/A</v>
        <stp/>
        <stp>BDP|4711330730108927504</stp>
        <tr r="A173" s="2"/>
      </tp>
      <tp t="s">
        <v>#N/A N/A</v>
        <stp/>
        <stp>BDP|6590924704963613583</stp>
        <tr r="G2205" s="2"/>
      </tp>
      <tp t="s">
        <v>#N/A N/A</v>
        <stp/>
        <stp>BDP|7829966481146074924</stp>
        <tr r="P2236" s="2"/>
      </tp>
      <tp t="s">
        <v>#N/A N/A</v>
        <stp/>
        <stp>BDP|4555999959444658514</stp>
        <tr r="A1687" s="2"/>
      </tp>
      <tp t="s">
        <v>#N/A N/A</v>
        <stp/>
        <stp>BDP|6013197348999014337</stp>
        <tr r="J2106" s="2"/>
      </tp>
      <tp t="s">
        <v>#N/A N/A</v>
        <stp/>
        <stp>BDP|6815128529334606872</stp>
        <tr r="J696" s="2"/>
      </tp>
      <tp t="s">
        <v>#N/A N/A</v>
        <stp/>
        <stp>BDP|6025921972291303019</stp>
        <tr r="Q1956" s="2"/>
      </tp>
      <tp t="s">
        <v>#N/A N/A</v>
        <stp/>
        <stp>BDP|6627042346452547938</stp>
        <tr r="N912" s="2"/>
      </tp>
      <tp t="s">
        <v>#N/A N/A</v>
        <stp/>
        <stp>BDP|3928949248647705005</stp>
        <tr r="R1602" s="2"/>
      </tp>
      <tp t="s">
        <v>#N/A N/A</v>
        <stp/>
        <stp>BDP|9187565430674421212</stp>
        <tr r="Q823" s="2"/>
      </tp>
      <tp t="s">
        <v>#N/A N/A</v>
        <stp/>
        <stp>BDP|1518988779362558434</stp>
        <tr r="S232" s="2"/>
      </tp>
      <tp t="s">
        <v>#N/A N/A</v>
        <stp/>
        <stp>BDP|4594707516548226332</stp>
        <tr r="R1438" s="2"/>
      </tp>
      <tp t="s">
        <v>#N/A N/A</v>
        <stp/>
        <stp>BDP|7929364710849827557</stp>
        <tr r="E1921" s="2"/>
      </tp>
      <tp t="s">
        <v>#N/A N/A</v>
        <stp/>
        <stp>BDP|9202097733591912238</stp>
        <tr r="A446" s="2"/>
      </tp>
      <tp t="s">
        <v>#N/A N/A</v>
        <stp/>
        <stp>BDP|6414689076059121790</stp>
        <tr r="T519" s="2"/>
      </tp>
      <tp t="s">
        <v>#N/A N/A</v>
        <stp/>
        <stp>BDP|7217123425188088571</stp>
        <tr r="E2002" s="2"/>
      </tp>
      <tp t="s">
        <v>#N/A N/A</v>
        <stp/>
        <stp>BDP|1795361732480016817</stp>
        <tr r="H112" s="2"/>
      </tp>
      <tp t="s">
        <v>#N/A N/A</v>
        <stp/>
        <stp>BDP|7624855815394079349</stp>
        <tr r="D1220" s="2"/>
      </tp>
      <tp t="s">
        <v>#N/A N/A</v>
        <stp/>
        <stp>BDP|6233513771859408442</stp>
        <tr r="D731" s="2"/>
      </tp>
      <tp t="s">
        <v>#N/A N/A</v>
        <stp/>
        <stp>BDP|7343339646788554115</stp>
        <tr r="T1964" s="2"/>
      </tp>
      <tp t="s">
        <v>#N/A N/A</v>
        <stp/>
        <stp>BDP|8624538603237166353</stp>
        <tr r="F156" s="2"/>
      </tp>
      <tp t="s">
        <v>#N/A N/A</v>
        <stp/>
        <stp>BDP|9698770937787319372</stp>
        <tr r="S688" s="2"/>
      </tp>
      <tp t="s">
        <v>#N/A N/A</v>
        <stp/>
        <stp>BDP|6852108315806880970</stp>
        <tr r="C1052" s="2"/>
      </tp>
      <tp t="s">
        <v>#N/A N/A</v>
        <stp/>
        <stp>BDP|5608880679226491516</stp>
        <tr r="F2051" s="2"/>
      </tp>
      <tp t="s">
        <v>#N/A N/A</v>
        <stp/>
        <stp>BDP|2096021326520058965</stp>
        <tr r="M1464" s="2"/>
      </tp>
      <tp t="s">
        <v>#N/A N/A</v>
        <stp/>
        <stp>BDP|3437200404248648048</stp>
        <tr r="O2153" s="2"/>
      </tp>
      <tp t="s">
        <v>#N/A N/A</v>
        <stp/>
        <stp>BDP|1515679926218047463</stp>
        <tr r="C924" s="2"/>
      </tp>
      <tp t="s">
        <v>#N/A N/A</v>
        <stp/>
        <stp>BDP|2681247671149707762</stp>
        <tr r="N1854" s="2"/>
      </tp>
      <tp t="s">
        <v>#N/A N/A</v>
        <stp/>
        <stp>BDP|8447629518175431383</stp>
        <tr r="G1537" s="2"/>
      </tp>
      <tp t="s">
        <v>#N/A N/A</v>
        <stp/>
        <stp>BDP|5633151792147761349</stp>
        <tr r="K1206" s="2"/>
      </tp>
      <tp t="s">
        <v>#N/A N/A</v>
        <stp/>
        <stp>BDP|7172159746023649866</stp>
        <tr r="N2129" s="2"/>
      </tp>
      <tp t="s">
        <v>#N/A N/A</v>
        <stp/>
        <stp>BDP|9460489554522326397</stp>
        <tr r="N472" s="2"/>
      </tp>
      <tp t="s">
        <v>#N/A N/A</v>
        <stp/>
        <stp>BDP|8408119265714713250</stp>
        <tr r="S1660" s="2"/>
      </tp>
      <tp t="s">
        <v>#N/A N/A</v>
        <stp/>
        <stp>BDP|4104546764919094738</stp>
        <tr r="P2196" s="2"/>
      </tp>
      <tp t="s">
        <v>#N/A N/A</v>
        <stp/>
        <stp>BDP|7845239354868927149</stp>
        <tr r="A428" s="2"/>
      </tp>
      <tp t="s">
        <v>#N/A N/A</v>
        <stp/>
        <stp>BDP|3529435282937578137</stp>
        <tr r="A322" s="2"/>
      </tp>
      <tp t="s">
        <v>#N/A N/A</v>
        <stp/>
        <stp>BDP|1182617445103224952</stp>
        <tr r="E1975" s="2"/>
      </tp>
      <tp t="s">
        <v>#N/A N/A</v>
        <stp/>
        <stp>BDS|1371889855290478586</stp>
        <tr r="I177" s="2"/>
      </tp>
      <tp t="s">
        <v>#N/A N/A</v>
        <stp/>
        <stp>BDP|6452303085715323102</stp>
        <tr r="M2223" s="2"/>
      </tp>
      <tp t="s">
        <v>#N/A N/A</v>
        <stp/>
        <stp>BDP|9718604319091552691</stp>
        <tr r="D2226" s="2"/>
      </tp>
      <tp t="s">
        <v>#N/A N/A</v>
        <stp/>
        <stp>BDP|6762665687241021042</stp>
        <tr r="T1121" s="2"/>
      </tp>
      <tp t="s">
        <v>#N/A N/A</v>
        <stp/>
        <stp>BDP|8035742563829103948</stp>
        <tr r="A346" s="2"/>
      </tp>
      <tp t="s">
        <v>#N/A N/A</v>
        <stp/>
        <stp>BDP|3570000887760446245</stp>
        <tr r="H2241" s="2"/>
      </tp>
      <tp t="s">
        <v>#N/A N/A</v>
        <stp/>
        <stp>BDP|3659033551496715913</stp>
        <tr r="G1424" s="2"/>
      </tp>
      <tp t="s">
        <v>#N/A N/A</v>
        <stp/>
        <stp>BDP|8821603199398145626</stp>
        <tr r="N1725" s="2"/>
      </tp>
      <tp t="s">
        <v>#N/A N/A</v>
        <stp/>
        <stp>BDP|1478374992455219716</stp>
        <tr r="P2087" s="2"/>
      </tp>
      <tp t="s">
        <v>#N/A N/A</v>
        <stp/>
        <stp>BDP|6255279519179689585</stp>
        <tr r="P1099" s="2"/>
      </tp>
      <tp t="s">
        <v>#N/A N/A</v>
        <stp/>
        <stp>BDP|8374380529613676365</stp>
        <tr r="D789" s="2"/>
      </tp>
      <tp t="s">
        <v>#N/A N/A</v>
        <stp/>
        <stp>BDP|8470625603195292259</stp>
        <tr r="A383" s="2"/>
      </tp>
      <tp t="s">
        <v>#N/A N/A</v>
        <stp/>
        <stp>BDP|5259609414549687222</stp>
        <tr r="K641" s="2"/>
      </tp>
      <tp t="s">
        <v>#N/A N/A</v>
        <stp/>
        <stp>BDP|8926842249689468422</stp>
        <tr r="O450" s="2"/>
      </tp>
      <tp t="s">
        <v>#N/A N/A</v>
        <stp/>
        <stp>BDP|2344710493085519067</stp>
        <tr r="R463" s="2"/>
      </tp>
      <tp t="s">
        <v>#N/A N/A</v>
        <stp/>
        <stp>BDP|8680499670853891152</stp>
        <tr r="T496" s="2"/>
      </tp>
      <tp t="s">
        <v>#N/A N/A</v>
        <stp/>
        <stp>BDP|4874380586754168254</stp>
        <tr r="F1470" s="2"/>
      </tp>
      <tp t="s">
        <v>#N/A N/A</v>
        <stp/>
        <stp>BDP|5274640998695538690</stp>
        <tr r="M92" s="2"/>
      </tp>
      <tp t="s">
        <v>#N/A N/A</v>
        <stp/>
        <stp>BDP|6349526343817096901</stp>
        <tr r="Q312" s="2"/>
      </tp>
      <tp t="s">
        <v>#N/A N/A</v>
        <stp/>
        <stp>BDP|7765107883430003767</stp>
        <tr r="A1401" s="2"/>
      </tp>
      <tp t="s">
        <v>#N/A N/A</v>
        <stp/>
        <stp>BDS|9162666476000158124</stp>
        <tr r="I2029" s="2"/>
      </tp>
      <tp t="s">
        <v>#N/A N/A</v>
        <stp/>
        <stp>BDP|5919808058941675055</stp>
        <tr r="K2120" s="2"/>
      </tp>
      <tp t="s">
        <v>#N/A N/A</v>
        <stp/>
        <stp>BDP|5331903124307316067</stp>
        <tr r="T1096" s="2"/>
      </tp>
      <tp t="s">
        <v>#N/A N/A</v>
        <stp/>
        <stp>BDP|3121763785210226524</stp>
        <tr r="C725" s="2"/>
      </tp>
      <tp t="s">
        <v>#N/A N/A</v>
        <stp/>
        <stp>BDP|3189172783573488032</stp>
        <tr r="A1251" s="2"/>
      </tp>
      <tp t="s">
        <v>#N/A N/A</v>
        <stp/>
        <stp>BDP|9495707024607086225</stp>
        <tr r="P395" s="2"/>
      </tp>
      <tp t="s">
        <v>#N/A N/A</v>
        <stp/>
        <stp>BDP|6616432002039029254</stp>
        <tr r="J961" s="2"/>
      </tp>
      <tp t="s">
        <v>#N/A N/A</v>
        <stp/>
        <stp>BDP|5685004382912149674</stp>
        <tr r="M2105" s="2"/>
      </tp>
      <tp t="s">
        <v>#N/A N/A</v>
        <stp/>
        <stp>BDP|7175070885624851291</stp>
        <tr r="G1629" s="2"/>
      </tp>
      <tp t="s">
        <v>#N/A N/A</v>
        <stp/>
        <stp>BDP|4609845554079364976</stp>
        <tr r="C1587" s="2"/>
      </tp>
      <tp t="s">
        <v>#N/A N/A</v>
        <stp/>
        <stp>BDP|4757301591064627322</stp>
        <tr r="S1738" s="2"/>
      </tp>
      <tp t="s">
        <v>#N/A N/A</v>
        <stp/>
        <stp>BDP|2045262397388536862</stp>
        <tr r="P1096" s="2"/>
      </tp>
      <tp t="s">
        <v>#N/A N/A</v>
        <stp/>
        <stp>BDP|4549869314827601331</stp>
        <tr r="O17" s="2"/>
      </tp>
      <tp t="s">
        <v>#N/A N/A</v>
        <stp/>
        <stp>BDP|2563929084752481857</stp>
        <tr r="E949" s="2"/>
      </tp>
      <tp t="s">
        <v>#N/A N/A</v>
        <stp/>
        <stp>BDP|8872198713180890180</stp>
        <tr r="N1208" s="2"/>
      </tp>
      <tp t="s">
        <v>#N/A N/A</v>
        <stp/>
        <stp>BDP|3158820480512674870</stp>
        <tr r="M1405" s="2"/>
      </tp>
      <tp t="s">
        <v>#N/A N/A</v>
        <stp/>
        <stp>BDP|5901927018584613074</stp>
        <tr r="E227" s="2"/>
      </tp>
      <tp t="s">
        <v>#N/A N/A</v>
        <stp/>
        <stp>BDP|5379746602159141263</stp>
        <tr r="T254" s="2"/>
      </tp>
      <tp t="s">
        <v>#N/A N/A</v>
        <stp/>
        <stp>BDP|6647728385636782644</stp>
        <tr r="N988" s="2"/>
      </tp>
      <tp t="s">
        <v>#N/A N/A</v>
        <stp/>
        <stp>BDP|9553008332366783520</stp>
        <tr r="M1789" s="2"/>
      </tp>
      <tp t="s">
        <v>#N/A N/A</v>
        <stp/>
        <stp>BDP|8521203546426817192</stp>
        <tr r="R866" s="2"/>
      </tp>
      <tp t="s">
        <v>#N/A N/A</v>
        <stp/>
        <stp>BDP|5175828666846674416</stp>
        <tr r="P398" s="2"/>
      </tp>
      <tp t="s">
        <v>#N/A N/A</v>
        <stp/>
        <stp>BDP|8223012057795359154</stp>
        <tr r="R1741" s="2"/>
      </tp>
      <tp t="s">
        <v>#N/A N/A</v>
        <stp/>
        <stp>BDP|1139006005771410925</stp>
        <tr r="R1948" s="2"/>
      </tp>
      <tp t="s">
        <v>#N/A N/A</v>
        <stp/>
        <stp>BDP|7720103389691444685</stp>
        <tr r="S2205" s="2"/>
      </tp>
      <tp t="s">
        <v>#N/A N/A</v>
        <stp/>
        <stp>BDP|5054350542562628934</stp>
        <tr r="F341" s="2"/>
      </tp>
      <tp t="s">
        <v>#N/A N/A</v>
        <stp/>
        <stp>BDP|2809269201168877159</stp>
        <tr r="G1375" s="2"/>
      </tp>
      <tp t="s">
        <v>#N/A N/A</v>
        <stp/>
        <stp>BDP|1782344297713360144</stp>
        <tr r="P749" s="2"/>
      </tp>
      <tp t="s">
        <v>#N/A N/A</v>
        <stp/>
        <stp>BDP|4030618832181843987</stp>
        <tr r="T1479" s="2"/>
      </tp>
      <tp t="s">
        <v>#N/A N/A</v>
        <stp/>
        <stp>BDP|4204153684491176519</stp>
        <tr r="M260" s="2"/>
      </tp>
      <tp t="s">
        <v>#N/A N/A</v>
        <stp/>
        <stp>BDP|8187468540685393476</stp>
        <tr r="D1030" s="2"/>
      </tp>
      <tp t="s">
        <v>#N/A N/A</v>
        <stp/>
        <stp>BDP|8457149072645064214</stp>
        <tr r="R898" s="2"/>
      </tp>
      <tp t="s">
        <v>#N/A N/A</v>
        <stp/>
        <stp>BDP|7203921833507491345</stp>
        <tr r="A2097" s="2"/>
      </tp>
      <tp t="s">
        <v>#N/A N/A</v>
        <stp/>
        <stp>BDP|4560672596282349049</stp>
        <tr r="Q115" s="2"/>
      </tp>
      <tp t="s">
        <v>#N/A N/A</v>
        <stp/>
        <stp>BDP|8352224547577485017</stp>
        <tr r="P79" s="2"/>
      </tp>
      <tp t="s">
        <v>#N/A N/A</v>
        <stp/>
        <stp>BDP|8569015708317928669</stp>
        <tr r="A1859" s="2"/>
      </tp>
      <tp t="s">
        <v>#N/A N/A</v>
        <stp/>
        <stp>BDP|8943929440655010981</stp>
        <tr r="A1277" s="2"/>
      </tp>
      <tp t="s">
        <v>#N/A N/A</v>
        <stp/>
        <stp>BDP|9957522836284765298</stp>
        <tr r="F1160" s="2"/>
      </tp>
      <tp t="s">
        <v>#N/A N/A</v>
        <stp/>
        <stp>BDP|7494020025215526952</stp>
        <tr r="A869" s="2"/>
      </tp>
      <tp t="s">
        <v>#N/A N/A</v>
        <stp/>
        <stp>BDP|3070844125389227909</stp>
        <tr r="K1884" s="2"/>
      </tp>
      <tp t="s">
        <v>#N/A N/A</v>
        <stp/>
        <stp>BDP|8432247023845428445</stp>
        <tr r="S298" s="2"/>
      </tp>
      <tp t="s">
        <v>#N/A N/A</v>
        <stp/>
        <stp>BDP|9278230765027195365</stp>
        <tr r="T1252" s="2"/>
      </tp>
      <tp t="s">
        <v>#N/A N/A</v>
        <stp/>
        <stp>BDP|8277458222446547135</stp>
        <tr r="H1936" s="2"/>
      </tp>
      <tp t="s">
        <v>#N/A N/A</v>
        <stp/>
        <stp>BDP|4854736609968113201</stp>
        <tr r="Q1277" s="2"/>
      </tp>
      <tp t="s">
        <v>#N/A N/A</v>
        <stp/>
        <stp>BDP|8502721162106020668</stp>
        <tr r="J1213" s="2"/>
      </tp>
      <tp t="s">
        <v>#N/A N/A</v>
        <stp/>
        <stp>BDP|6505316003185742939</stp>
        <tr r="T701" s="2"/>
      </tp>
      <tp t="s">
        <v>#N/A N/A</v>
        <stp/>
        <stp>BDP|1090206783340219227</stp>
        <tr r="S2173" s="2"/>
      </tp>
      <tp t="s">
        <v>#N/A N/A</v>
        <stp/>
        <stp>BDP|8044251542780702738</stp>
        <tr r="P526" s="2"/>
      </tp>
      <tp t="s">
        <v>#N/A N/A</v>
        <stp/>
        <stp>BDP|5256679054447056820</stp>
        <tr r="P1969" s="2"/>
      </tp>
      <tp t="s">
        <v>#N/A N/A</v>
        <stp/>
        <stp>BDP|3961475198933226475</stp>
        <tr r="J1759" s="2"/>
      </tp>
      <tp t="s">
        <v>#N/A N/A</v>
        <stp/>
        <stp>BDP|9515002605008161828</stp>
        <tr r="K186" s="2"/>
      </tp>
      <tp t="s">
        <v>#N/A N/A</v>
        <stp/>
        <stp>BDP|9793338338158696894</stp>
        <tr r="D1067" s="2"/>
      </tp>
      <tp t="s">
        <v>#N/A N/A</v>
        <stp/>
        <stp>BDP|3047515423004946989</stp>
        <tr r="M398" s="2"/>
      </tp>
      <tp t="s">
        <v>#N/A N/A</v>
        <stp/>
        <stp>BDP|7308665651284290952</stp>
        <tr r="P1544" s="2"/>
      </tp>
      <tp t="s">
        <v>#N/A N/A</v>
        <stp/>
        <stp>BDP|3319430274750239959</stp>
        <tr r="C1865" s="2"/>
      </tp>
      <tp t="s">
        <v>#N/A N/A</v>
        <stp/>
        <stp>BDP|5322231244058397246</stp>
        <tr r="N1861" s="2"/>
      </tp>
      <tp t="s">
        <v>#N/A N/A</v>
        <stp/>
        <stp>BDP|4321039880200445571</stp>
        <tr r="O1086" s="2"/>
      </tp>
      <tp t="s">
        <v>#N/A N/A</v>
        <stp/>
        <stp>BDP|7277567959116697884</stp>
        <tr r="O1788" s="2"/>
      </tp>
      <tp t="s">
        <v>#N/A N/A</v>
        <stp/>
        <stp>BDP|5206509891379903996</stp>
        <tr r="C207" s="2"/>
      </tp>
      <tp t="s">
        <v>#N/A N/A</v>
        <stp/>
        <stp>BDP|7238829464209572920</stp>
        <tr r="M273" s="2"/>
      </tp>
      <tp t="s">
        <v>#N/A N/A</v>
        <stp/>
        <stp>BDS|4025603853826807885</stp>
        <tr r="I2192" s="2"/>
      </tp>
      <tp t="s">
        <v>#N/A N/A</v>
        <stp/>
        <stp>BDP|8371800510361199912</stp>
        <tr r="O577" s="2"/>
      </tp>
      <tp t="s">
        <v>#N/A N/A</v>
        <stp/>
        <stp>BDP|6801955314534385396</stp>
        <tr r="E2230" s="2"/>
      </tp>
      <tp t="s">
        <v>#N/A N/A</v>
        <stp/>
        <stp>BDP|2385650891276148250</stp>
        <tr r="J1984" s="2"/>
      </tp>
      <tp t="s">
        <v>#N/A N/A</v>
        <stp/>
        <stp>BDP|1582774837739345551</stp>
        <tr r="M2145" s="2"/>
      </tp>
      <tp t="s">
        <v>#N/A N/A</v>
        <stp/>
        <stp>BDP|6783326997517176202</stp>
        <tr r="H2014" s="2"/>
      </tp>
      <tp t="s">
        <v>#N/A N/A</v>
        <stp/>
        <stp>BDP|3083844893753446801</stp>
        <tr r="F1154" s="2"/>
      </tp>
      <tp t="s">
        <v>#N/A N/A</v>
        <stp/>
        <stp>BDP|9557145393299997185</stp>
        <tr r="F1484" s="2"/>
      </tp>
      <tp t="s">
        <v>#N/A N/A</v>
        <stp/>
        <stp>BDP|5601403795332480349</stp>
        <tr r="E1816" s="2"/>
      </tp>
      <tp t="s">
        <v>#N/A N/A</v>
        <stp/>
        <stp>BDP|9075042971513328453</stp>
        <tr r="S904" s="2"/>
      </tp>
      <tp t="s">
        <v>#N/A N/A</v>
        <stp/>
        <stp>BDP|5872103240619207093</stp>
        <tr r="F514" s="2"/>
      </tp>
      <tp t="s">
        <v>#N/A N/A</v>
        <stp/>
        <stp>BDP|5758246598540121795</stp>
        <tr r="S1556" s="2"/>
      </tp>
      <tp t="s">
        <v>#N/A N/A</v>
        <stp/>
        <stp>BDS|5243322791296319016</stp>
        <tr r="I457" s="2"/>
      </tp>
      <tp t="s">
        <v>#N/A N/A</v>
        <stp/>
        <stp>BDP|5132458288231886171</stp>
        <tr r="O2144" s="2"/>
      </tp>
      <tp t="s">
        <v>#N/A N/A</v>
        <stp/>
        <stp>BDP|2822492269250933921</stp>
        <tr r="D1037" s="2"/>
      </tp>
      <tp t="s">
        <v>#N/A N/A</v>
        <stp/>
        <stp>BDP|6135577386201401376</stp>
        <tr r="A867" s="2"/>
      </tp>
      <tp t="s">
        <v>#N/A N/A</v>
        <stp/>
        <stp>BDP|2560823845493900481</stp>
        <tr r="T1150" s="2"/>
      </tp>
      <tp t="s">
        <v>#N/A N/A</v>
        <stp/>
        <stp>BDP|3752562667118326164</stp>
        <tr r="M882" s="2"/>
      </tp>
      <tp t="s">
        <v>#N/A N/A</v>
        <stp/>
        <stp>BDP|4406549725959767316</stp>
        <tr r="F941" s="2"/>
      </tp>
      <tp t="s">
        <v>#N/A N/A</v>
        <stp/>
        <stp>BDP|2188460147128682351</stp>
        <tr r="T1253" s="2"/>
      </tp>
      <tp t="s">
        <v>#N/A N/A</v>
        <stp/>
        <stp>BDP|3465980359733120570</stp>
        <tr r="G1115" s="2"/>
      </tp>
      <tp t="s">
        <v>#N/A N/A</v>
        <stp/>
        <stp>BDP|8227830779509917725</stp>
        <tr r="O669" s="2"/>
      </tp>
      <tp t="s">
        <v>#N/A N/A</v>
        <stp/>
        <stp>BDP|2403902404455760743</stp>
        <tr r="A859" s="2"/>
      </tp>
      <tp t="s">
        <v>#N/A N/A</v>
        <stp/>
        <stp>BDP|6691242015504752838</stp>
        <tr r="N693" s="2"/>
      </tp>
      <tp t="s">
        <v>#N/A N/A</v>
        <stp/>
        <stp>BDP|9673553570330148210</stp>
        <tr r="A1011" s="2"/>
      </tp>
      <tp t="s">
        <v>#N/A N/A</v>
        <stp/>
        <stp>BDP|6419922104502602475</stp>
        <tr r="J288" s="2"/>
      </tp>
      <tp t="s">
        <v>#N/A N/A</v>
        <stp/>
        <stp>BDP|4896139646081747996</stp>
        <tr r="F1509" s="2"/>
      </tp>
      <tp t="s">
        <v>#N/A N/A</v>
        <stp/>
        <stp>BDP|2377986232996925738</stp>
        <tr r="S1324" s="2"/>
      </tp>
      <tp t="s">
        <v>#N/A N/A</v>
        <stp/>
        <stp>BDP|3667534757909009319</stp>
        <tr r="R1411" s="2"/>
      </tp>
      <tp t="s">
        <v>#N/A N/A</v>
        <stp/>
        <stp>BDP|8258907279226973915</stp>
        <tr r="F118" s="2"/>
      </tp>
      <tp t="s">
        <v>#N/A N/A</v>
        <stp/>
        <stp>BDP|7554279280991699579</stp>
        <tr r="O1794" s="2"/>
      </tp>
      <tp t="s">
        <v>#N/A N/A</v>
        <stp/>
        <stp>BDP|9163813187725737534</stp>
        <tr r="Q1648" s="2"/>
      </tp>
      <tp t="s">
        <v>#N/A N/A</v>
        <stp/>
        <stp>BDP|4863482387665006447</stp>
        <tr r="M2061" s="2"/>
      </tp>
      <tp t="s">
        <v>#N/A N/A</v>
        <stp/>
        <stp>BDP|2640532387530261630</stp>
        <tr r="O1884" s="2"/>
      </tp>
      <tp t="s">
        <v>#N/A N/A</v>
        <stp/>
        <stp>BDP|6721931443452751037</stp>
        <tr r="Q1782" s="2"/>
      </tp>
      <tp t="s">
        <v>#N/A N/A</v>
        <stp/>
        <stp>BDP|3911604476733824845</stp>
        <tr r="O1762" s="2"/>
      </tp>
      <tp t="s">
        <v>#N/A N/A</v>
        <stp/>
        <stp>BDP|8696754960895854585</stp>
        <tr r="R52" s="2"/>
      </tp>
      <tp t="s">
        <v>#N/A N/A</v>
        <stp/>
        <stp>BDP|5680640369674188893</stp>
        <tr r="S2242" s="2"/>
      </tp>
      <tp t="s">
        <v>#N/A N/A</v>
        <stp/>
        <stp>BDS|5113527480190156114</stp>
        <tr r="I1880" s="2"/>
      </tp>
      <tp t="s">
        <v>#N/A N/A</v>
        <stp/>
        <stp>BDP|7628700486042118327</stp>
        <tr r="M1742" s="2"/>
      </tp>
      <tp t="s">
        <v>#N/A N/A</v>
        <stp/>
        <stp>BDP|7619248001895541951</stp>
        <tr r="E505" s="2"/>
      </tp>
      <tp t="s">
        <v>#N/A N/A</v>
        <stp/>
        <stp>BDP|6831989752802224134</stp>
        <tr r="M1436" s="2"/>
      </tp>
      <tp t="s">
        <v>#N/A N/A</v>
        <stp/>
        <stp>BDP|8349906089724987409</stp>
        <tr r="R815" s="2"/>
      </tp>
      <tp t="s">
        <v>#N/A N/A</v>
        <stp/>
        <stp>BDP|2540047110588460264</stp>
        <tr r="K1885" s="2"/>
      </tp>
      <tp t="s">
        <v>#N/A N/A</v>
        <stp/>
        <stp>BDP|6199104284957534133</stp>
        <tr r="H673" s="2"/>
      </tp>
      <tp t="s">
        <v>#N/A N/A</v>
        <stp/>
        <stp>BDP|6081217492317590352</stp>
        <tr r="E598" s="2"/>
      </tp>
      <tp t="s">
        <v>#N/A N/A</v>
        <stp/>
        <stp>BDP|7195923420036944399</stp>
        <tr r="J175" s="2"/>
      </tp>
      <tp t="s">
        <v>#N/A N/A</v>
        <stp/>
        <stp>BDP|2654304695309852880</stp>
        <tr r="A1758" s="2"/>
      </tp>
      <tp t="s">
        <v>#N/A N/A</v>
        <stp/>
        <stp>BDS|5367738554429591727</stp>
        <tr r="I861" s="2"/>
      </tp>
      <tp t="s">
        <v>#N/A N/A</v>
        <stp/>
        <stp>BDP|1112098689948563871</stp>
        <tr r="C1350" s="2"/>
      </tp>
      <tp t="s">
        <v>#N/A N/A</v>
        <stp/>
        <stp>BDP|9610102820577643435</stp>
        <tr r="K250" s="2"/>
      </tp>
      <tp t="s">
        <v>#N/A N/A</v>
        <stp/>
        <stp>BDP|9013567101683147653</stp>
        <tr r="R1416" s="2"/>
      </tp>
      <tp t="s">
        <v>#N/A N/A</v>
        <stp/>
        <stp>BDP|3686225696328016919</stp>
        <tr r="H597" s="2"/>
      </tp>
      <tp t="s">
        <v>#N/A N/A</v>
        <stp/>
        <stp>BDP|8628356024499077941</stp>
        <tr r="T1419" s="2"/>
      </tp>
      <tp t="s">
        <v>#N/A N/A</v>
        <stp/>
        <stp>BDP|3979952235205338592</stp>
        <tr r="J636" s="2"/>
      </tp>
      <tp t="s">
        <v>#N/A N/A</v>
        <stp/>
        <stp>BDP|9225340077111337516</stp>
        <tr r="S2223" s="2"/>
      </tp>
      <tp t="s">
        <v>#N/A N/A</v>
        <stp/>
        <stp>BDP|4685990668062333042</stp>
        <tr r="N584" s="2"/>
      </tp>
      <tp t="s">
        <v>#N/A N/A</v>
        <stp/>
        <stp>BDP|7671249722689468747</stp>
        <tr r="H1114" s="2"/>
      </tp>
      <tp t="s">
        <v>#N/A N/A</v>
        <stp/>
        <stp>BDP|1752535793846456234</stp>
        <tr r="E2247" s="2"/>
      </tp>
      <tp t="s">
        <v>#N/A N/A</v>
        <stp/>
        <stp>BDP|7811617420839831314</stp>
        <tr r="E340" s="2"/>
      </tp>
      <tp t="s">
        <v>#N/A N/A</v>
        <stp/>
        <stp>BDP|8995575684145325996</stp>
        <tr r="O1145" s="2"/>
      </tp>
      <tp t="s">
        <v>#N/A N/A</v>
        <stp/>
        <stp>BDP|9577134796950376834</stp>
        <tr r="Q2237" s="2"/>
      </tp>
      <tp t="s">
        <v>#N/A N/A</v>
        <stp/>
        <stp>BDP|8546502248787413799</stp>
        <tr r="K1704" s="2"/>
      </tp>
      <tp t="s">
        <v>#N/A N/A</v>
        <stp/>
        <stp>BDP|4728969093028711553</stp>
        <tr r="R856" s="2"/>
      </tp>
      <tp t="s">
        <v>#N/A N/A</v>
        <stp/>
        <stp>BDP|9147658133703610612</stp>
        <tr r="H581" s="2"/>
      </tp>
      <tp t="s">
        <v>#N/A N/A</v>
        <stp/>
        <stp>BDP|1799787326415076895</stp>
        <tr r="S1234" s="2"/>
      </tp>
      <tp t="s">
        <v>#N/A N/A</v>
        <stp/>
        <stp>BDP|9273625376480766118</stp>
        <tr r="M1242" s="2"/>
      </tp>
      <tp t="s">
        <v>#N/A N/A</v>
        <stp/>
        <stp>BDP|3118295481275991507</stp>
        <tr r="D668" s="2"/>
      </tp>
      <tp t="s">
        <v>#N/A N/A</v>
        <stp/>
        <stp>BDP|6218241433808316661</stp>
        <tr r="A1809" s="2"/>
      </tp>
      <tp t="s">
        <v>#N/A N/A</v>
        <stp/>
        <stp>BDP|4449462322889906295</stp>
        <tr r="E1213" s="2"/>
      </tp>
      <tp t="s">
        <v>#N/A N/A</v>
        <stp/>
        <stp>BDP|8701528030166631131</stp>
        <tr r="R1195" s="2"/>
      </tp>
      <tp t="s">
        <v>#N/A N/A</v>
        <stp/>
        <stp>BDP|9009878998734712585</stp>
        <tr r="K235" s="2"/>
      </tp>
      <tp t="s">
        <v>#N/A N/A</v>
        <stp/>
        <stp>BDP|6125790535453488895</stp>
        <tr r="K1538" s="2"/>
      </tp>
      <tp t="s">
        <v>#N/A N/A</v>
        <stp/>
        <stp>BDP|1797002593535149451</stp>
        <tr r="O1507" s="2"/>
      </tp>
      <tp t="s">
        <v>#N/A N/A</v>
        <stp/>
        <stp>BDP|6098120202057747976</stp>
        <tr r="H868" s="2"/>
      </tp>
      <tp t="s">
        <v>#N/A N/A</v>
        <stp/>
        <stp>BDP|7099460267055015913</stp>
        <tr r="C598" s="2"/>
      </tp>
      <tp t="s">
        <v>#N/A N/A</v>
        <stp/>
        <stp>BDP|6105067486704495353</stp>
        <tr r="C1261" s="2"/>
      </tp>
      <tp t="s">
        <v>#N/A N/A</v>
        <stp/>
        <stp>BDP|9180549062902236151</stp>
        <tr r="A139" s="2"/>
      </tp>
      <tp t="s">
        <v>#N/A N/A</v>
        <stp/>
        <stp>BDP|5169585053979931533</stp>
        <tr r="J81" s="2"/>
      </tp>
      <tp t="s">
        <v>#N/A N/A</v>
        <stp/>
        <stp>BDP|7295530296632600012</stp>
        <tr r="H1201" s="2"/>
      </tp>
      <tp t="s">
        <v>#N/A N/A</v>
        <stp/>
        <stp>BDP|2485247466818090763</stp>
        <tr r="P1428" s="2"/>
      </tp>
      <tp t="s">
        <v>#N/A N/A</v>
        <stp/>
        <stp>BDP|6647730584045307529</stp>
        <tr r="R1295" s="2"/>
      </tp>
      <tp t="s">
        <v>#N/A N/A</v>
        <stp/>
        <stp>BDS|3791953322800383134</stp>
        <tr r="I1797" s="2"/>
      </tp>
      <tp t="s">
        <v>#N/A N/A</v>
        <stp/>
        <stp>BDP|6269155797156570158</stp>
        <tr r="D579" s="2"/>
      </tp>
      <tp t="s">
        <v>#N/A N/A</v>
        <stp/>
        <stp>BDP|2465282497956822633</stp>
        <tr r="O753" s="2"/>
      </tp>
      <tp t="s">
        <v>#N/A N/A</v>
        <stp/>
        <stp>BDP|7423845938952909712</stp>
        <tr r="H451" s="2"/>
      </tp>
      <tp t="s">
        <v>#N/A N/A</v>
        <stp/>
        <stp>BDP|3092672888116969260</stp>
        <tr r="M1614" s="2"/>
      </tp>
      <tp t="s">
        <v>#N/A N/A</v>
        <stp/>
        <stp>BDP|8480267601316159525</stp>
        <tr r="C249" s="2"/>
      </tp>
      <tp t="s">
        <v>#N/A N/A</v>
        <stp/>
        <stp>BDP|9705020452516295353</stp>
        <tr r="J445" s="2"/>
      </tp>
      <tp t="s">
        <v>#N/A N/A</v>
        <stp/>
        <stp>BDP|6422455323640694947</stp>
        <tr r="Q14" s="2"/>
      </tp>
      <tp t="s">
        <v>#N/A N/A</v>
        <stp/>
        <stp>BDP|6429917050982150146</stp>
        <tr r="O1965" s="2"/>
      </tp>
      <tp t="s">
        <v>#N/A N/A</v>
        <stp/>
        <stp>BDS|3097451645079834387</stp>
        <tr r="I812" s="2"/>
      </tp>
      <tp t="s">
        <v>#N/A N/A</v>
        <stp/>
        <stp>BDP|3828726337999868754</stp>
        <tr r="H2030" s="2"/>
      </tp>
      <tp t="s">
        <v>#N/A N/A</v>
        <stp/>
        <stp>BDP|1827909878835849389</stp>
        <tr r="Q1815" s="2"/>
      </tp>
      <tp t="s">
        <v>#N/A N/A</v>
        <stp/>
        <stp>BDP|4081504073369786649</stp>
        <tr r="M119" s="2"/>
      </tp>
      <tp t="s">
        <v>#N/A N/A</v>
        <stp/>
        <stp>BDP|6764858903507952080</stp>
        <tr r="O1241" s="2"/>
      </tp>
      <tp t="s">
        <v>#N/A N/A</v>
        <stp/>
        <stp>BDP|8610701870615302458</stp>
        <tr r="R674" s="2"/>
      </tp>
      <tp t="s">
        <v>#N/A N/A</v>
        <stp/>
        <stp>BDP|5830058174178821319</stp>
        <tr r="E196" s="2"/>
      </tp>
      <tp t="s">
        <v>#N/A N/A</v>
        <stp/>
        <stp>BDP|4542426047309893489</stp>
        <tr r="A2201" s="2"/>
      </tp>
      <tp t="s">
        <v>#N/A N/A</v>
        <stp/>
        <stp>BDP|8254566711666644330</stp>
        <tr r="P1196" s="2"/>
      </tp>
      <tp t="s">
        <v>#N/A N/A</v>
        <stp/>
        <stp>BDP|8350609897438498600</stp>
        <tr r="H675" s="2"/>
      </tp>
      <tp t="s">
        <v>#N/A N/A</v>
        <stp/>
        <stp>BDP|1415672541078022221</stp>
        <tr r="F573" s="2"/>
      </tp>
      <tp t="s">
        <v>#N/A N/A</v>
        <stp/>
        <stp>BDP|6047277952261524903</stp>
        <tr r="F910" s="2"/>
      </tp>
      <tp t="s">
        <v>#N/A N/A</v>
        <stp/>
        <stp>BDP|9405426145852768248</stp>
        <tr r="H1454" s="2"/>
      </tp>
      <tp t="s">
        <v>#N/A N/A</v>
        <stp/>
        <stp>BDP|9528426410151550420</stp>
        <tr r="E1646" s="2"/>
      </tp>
      <tp t="s">
        <v>#N/A N/A</v>
        <stp/>
        <stp>BDP|9269530259363077382</stp>
        <tr r="C1710" s="2"/>
      </tp>
      <tp t="s">
        <v>#N/A N/A</v>
        <stp/>
        <stp>BDP|5282948367722527146</stp>
        <tr r="P1645" s="2"/>
      </tp>
      <tp t="s">
        <v>#N/A N/A</v>
        <stp/>
        <stp>BDP|6442801574646576657</stp>
        <tr r="G1159" s="2"/>
      </tp>
      <tp t="s">
        <v>#N/A N/A</v>
        <stp/>
        <stp>BDP|2846956488978103248</stp>
        <tr r="K1789" s="2"/>
      </tp>
      <tp t="s">
        <v>#N/A N/A</v>
        <stp/>
        <stp>BDP|5441926178147882568</stp>
        <tr r="G591" s="2"/>
      </tp>
      <tp t="s">
        <v>#N/A N/A</v>
        <stp/>
        <stp>BDP|1403754318307024997</stp>
        <tr r="O1537" s="2"/>
      </tp>
      <tp t="s">
        <v>#N/A N/A</v>
        <stp/>
        <stp>BDP|9692122625514290735</stp>
        <tr r="E386" s="2"/>
      </tp>
      <tp t="s">
        <v>#N/A N/A</v>
        <stp/>
        <stp>BDP|7792162384943056455</stp>
        <tr r="O313" s="2"/>
      </tp>
      <tp t="s">
        <v>#N/A N/A</v>
        <stp/>
        <stp>BDP|2133805843334035324</stp>
        <tr r="S105" s="2"/>
      </tp>
      <tp t="s">
        <v>#N/A N/A</v>
        <stp/>
        <stp>BDP|9627238624680771069</stp>
        <tr r="H2118" s="2"/>
      </tp>
      <tp t="s">
        <v>#N/A N/A</v>
        <stp/>
        <stp>BDP|5772763988675127682</stp>
        <tr r="H1265" s="2"/>
      </tp>
      <tp t="s">
        <v>#N/A N/A</v>
        <stp/>
        <stp>BDP|9169341224259515846</stp>
        <tr r="O574" s="2"/>
      </tp>
      <tp t="s">
        <v>#N/A N/A</v>
        <stp/>
        <stp>BDP|2433120877668792569</stp>
        <tr r="M345" s="2"/>
      </tp>
      <tp t="s">
        <v>#N/A N/A</v>
        <stp/>
        <stp>BDP|4012606291693821196</stp>
        <tr r="G1006" s="2"/>
      </tp>
      <tp t="s">
        <v>#N/A N/A</v>
        <stp/>
        <stp>BDP|8179355539017934644</stp>
        <tr r="C1262" s="2"/>
      </tp>
      <tp t="s">
        <v>#N/A N/A</v>
        <stp/>
        <stp>BDP|2578230386276041705</stp>
        <tr r="A1668" s="2"/>
      </tp>
      <tp t="s">
        <v>#N/A N/A</v>
        <stp/>
        <stp>BDP|5408670371304013926</stp>
        <tr r="N488" s="2"/>
      </tp>
      <tp t="s">
        <v>#N/A N/A</v>
        <stp/>
        <stp>BDP|5471889003406891274</stp>
        <tr r="F22" s="2"/>
      </tp>
      <tp t="s">
        <v>#N/A N/A</v>
        <stp/>
        <stp>BDP|8940691655642262072</stp>
        <tr r="S186" s="2"/>
      </tp>
      <tp t="s">
        <v>#N/A N/A</v>
        <stp/>
        <stp>BDS|6586329246910799865</stp>
        <tr r="I2032" s="2"/>
      </tp>
      <tp t="s">
        <v>#N/A N/A</v>
        <stp/>
        <stp>BDP|8319951285491624150</stp>
        <tr r="T1579" s="2"/>
      </tp>
      <tp t="s">
        <v>#N/A N/A</v>
        <stp/>
        <stp>BDP|1802151161379866642</stp>
        <tr r="A1836" s="2"/>
      </tp>
      <tp t="s">
        <v>#N/A N/A</v>
        <stp/>
        <stp>BDP|5384339683493368405</stp>
        <tr r="J1418" s="2"/>
      </tp>
      <tp t="s">
        <v>#N/A N/A</v>
        <stp/>
        <stp>BDP|4500863464680050376</stp>
        <tr r="P1972" s="2"/>
      </tp>
      <tp t="s">
        <v>#N/A N/A</v>
        <stp/>
        <stp>BDP|4691953607361475517</stp>
        <tr r="P385" s="2"/>
      </tp>
      <tp t="s">
        <v>#N/A N/A</v>
        <stp/>
        <stp>BDP|3491424244252021834</stp>
        <tr r="O1979" s="2"/>
      </tp>
      <tp t="s">
        <v>#N/A N/A</v>
        <stp/>
        <stp>BDP|4357859710443313740</stp>
        <tr r="K2016" s="2"/>
      </tp>
      <tp t="s">
        <v>#N/A N/A</v>
        <stp/>
        <stp>BDP|7679855835473197666</stp>
        <tr r="J1709" s="2"/>
      </tp>
      <tp t="s">
        <v>#N/A N/A</v>
        <stp/>
        <stp>BDP|8916960999949299858</stp>
        <tr r="H346" s="2"/>
      </tp>
      <tp t="s">
        <v>#N/A N/A</v>
        <stp/>
        <stp>BDP|1390504380852749758</stp>
        <tr r="D1326" s="2"/>
      </tp>
      <tp t="s">
        <v>#N/A N/A</v>
        <stp/>
        <stp>BDP|5988973466037975405</stp>
        <tr r="C1566" s="2"/>
      </tp>
      <tp t="s">
        <v>#N/A N/A</v>
        <stp/>
        <stp>BDP|9118178570490241651</stp>
        <tr r="O1147" s="2"/>
      </tp>
      <tp t="s">
        <v>#N/A N/A</v>
        <stp/>
        <stp>BDP|2954993573752713758</stp>
        <tr r="S1405" s="2"/>
      </tp>
      <tp t="s">
        <v>#N/A N/A</v>
        <stp/>
        <stp>BDP|6660739972346735917</stp>
        <tr r="E1898" s="2"/>
      </tp>
      <tp t="s">
        <v>#N/A N/A</v>
        <stp/>
        <stp>BDP|5243093281794312089</stp>
        <tr r="E1792" s="2"/>
      </tp>
      <tp t="s">
        <v>#N/A N/A</v>
        <stp/>
        <stp>BDP|4179878716390232434</stp>
        <tr r="H1920" s="2"/>
      </tp>
      <tp t="s">
        <v>#N/A N/A</v>
        <stp/>
        <stp>BDP|1300873744547743369</stp>
        <tr r="R159" s="2"/>
      </tp>
      <tp t="s">
        <v>#N/A N/A</v>
        <stp/>
        <stp>BDP|7111595538949772161</stp>
        <tr r="P967" s="2"/>
      </tp>
      <tp t="s">
        <v>#N/A N/A</v>
        <stp/>
        <stp>BDP|6529206883947166260</stp>
        <tr r="H1006" s="2"/>
      </tp>
      <tp t="s">
        <v>#N/A N/A</v>
        <stp/>
        <stp>BDP|3991806679805189004</stp>
        <tr r="J1081" s="2"/>
      </tp>
      <tp t="s">
        <v>#N/A N/A</v>
        <stp/>
        <stp>BDP|1557358498320029297</stp>
        <tr r="G619" s="2"/>
      </tp>
      <tp t="s">
        <v>#N/A N/A</v>
        <stp/>
        <stp>BDP|2796640706689711435</stp>
        <tr r="T2147" s="2"/>
      </tp>
      <tp t="s">
        <v>#N/A N/A</v>
        <stp/>
        <stp>BDP|9839367812317999545</stp>
        <tr r="R439" s="2"/>
      </tp>
      <tp t="s">
        <v>#N/A N/A</v>
        <stp/>
        <stp>BDP|6493822369076758794</stp>
        <tr r="M1905" s="2"/>
      </tp>
      <tp t="s">
        <v>#N/A N/A</v>
        <stp/>
        <stp>BDP|8279841929269802269</stp>
        <tr r="K614" s="2"/>
      </tp>
      <tp t="s">
        <v>#N/A N/A</v>
        <stp/>
        <stp>BDP|1745578691446910294</stp>
        <tr r="J1674" s="2"/>
      </tp>
      <tp t="s">
        <v>#N/A N/A</v>
        <stp/>
        <stp>BDP|4970863544758960938</stp>
        <tr r="K957" s="2"/>
      </tp>
      <tp t="s">
        <v>#N/A N/A</v>
        <stp/>
        <stp>BDP|8948659612997808179</stp>
        <tr r="E779" s="2"/>
      </tp>
      <tp t="s">
        <v>#N/A N/A</v>
        <stp/>
        <stp>BDP|8796078951076240228</stp>
        <tr r="G1231" s="2"/>
      </tp>
      <tp t="s">
        <v>#N/A N/A</v>
        <stp/>
        <stp>BDP|8770629917531750743</stp>
        <tr r="K502" s="2"/>
      </tp>
      <tp t="s">
        <v>#N/A N/A</v>
        <stp/>
        <stp>BDP|4669241932328709469</stp>
        <tr r="J1075" s="2"/>
      </tp>
      <tp t="s">
        <v>#N/A N/A</v>
        <stp/>
        <stp>BDP|3968937047886446181</stp>
        <tr r="J708" s="2"/>
      </tp>
      <tp t="s">
        <v>#N/A N/A</v>
        <stp/>
        <stp>BDP|4321636177449755519</stp>
        <tr r="E1081" s="2"/>
      </tp>
      <tp t="s">
        <v>#N/A N/A</v>
        <stp/>
        <stp>BDP|4355735318802947900</stp>
        <tr r="S1987" s="2"/>
      </tp>
      <tp t="s">
        <v>#N/A N/A</v>
        <stp/>
        <stp>BDP|6301983256205590694</stp>
        <tr r="Q1527" s="2"/>
      </tp>
      <tp t="s">
        <v>#N/A N/A</v>
        <stp/>
        <stp>BDP|2792950820114657451</stp>
        <tr r="G1579" s="2"/>
      </tp>
      <tp t="s">
        <v>#N/A N/A</v>
        <stp/>
        <stp>BDP|8469246635868722836</stp>
        <tr r="A2257" s="2"/>
      </tp>
      <tp t="s">
        <v>#N/A N/A</v>
        <stp/>
        <stp>BDP|9085333531734258415</stp>
        <tr r="T1987" s="2"/>
      </tp>
      <tp t="s">
        <v>#N/A N/A</v>
        <stp/>
        <stp>BDP|1685358281827620455</stp>
        <tr r="F21" s="2"/>
      </tp>
      <tp t="s">
        <v>#N/A N/A</v>
        <stp/>
        <stp>BDP|4290771056766511970</stp>
        <tr r="P1081" s="2"/>
      </tp>
      <tp t="s">
        <v>#N/A N/A</v>
        <stp/>
        <stp>BDS|9542605262600297043</stp>
        <tr r="I578" s="2"/>
      </tp>
      <tp t="s">
        <v>#N/A N/A</v>
        <stp/>
        <stp>BDP|7213029895986092146</stp>
        <tr r="D1752" s="2"/>
      </tp>
      <tp t="s">
        <v>#N/A N/A</v>
        <stp/>
        <stp>BDP|3118067494813131033</stp>
        <tr r="N1406" s="2"/>
      </tp>
      <tp t="s">
        <v>#N/A N/A</v>
        <stp/>
        <stp>BDP|2693561135975278868</stp>
        <tr r="H1952" s="2"/>
      </tp>
      <tp t="s">
        <v>#N/A N/A</v>
        <stp/>
        <stp>BDP|2793978730648735965</stp>
        <tr r="E163" s="2"/>
      </tp>
      <tp t="s">
        <v>#N/A N/A</v>
        <stp/>
        <stp>BDP|3178507480815888281</stp>
        <tr r="A152" s="2"/>
      </tp>
      <tp t="s">
        <v>#N/A N/A</v>
        <stp/>
        <stp>BDP|3633017145466636852</stp>
        <tr r="R1328" s="2"/>
      </tp>
      <tp t="s">
        <v>#N/A N/A</v>
        <stp/>
        <stp>BDP|4818016640111012886</stp>
        <tr r="S1569" s="2"/>
      </tp>
      <tp t="s">
        <v>#N/A N/A</v>
        <stp/>
        <stp>BDS|3671566190095504343</stp>
        <tr r="I203" s="2"/>
      </tp>
      <tp t="s">
        <v>#N/A N/A</v>
        <stp/>
        <stp>BDP|7671155619697236996</stp>
        <tr r="J1866" s="2"/>
      </tp>
      <tp t="s">
        <v>#N/A N/A</v>
        <stp/>
        <stp>BDP|9756654540372452077</stp>
        <tr r="R992" s="2"/>
      </tp>
      <tp t="s">
        <v>#N/A N/A</v>
        <stp/>
        <stp>BDP|4575849882289485464</stp>
        <tr r="C1348" s="2"/>
      </tp>
      <tp t="s">
        <v>#N/A N/A</v>
        <stp/>
        <stp>BDP|6483026259822912877</stp>
        <tr r="A1010" s="2"/>
      </tp>
      <tp t="s">
        <v>#N/A N/A</v>
        <stp/>
        <stp>BDP|9986731770536993625</stp>
        <tr r="F1492" s="2"/>
      </tp>
      <tp t="s">
        <v>#N/A N/A</v>
        <stp/>
        <stp>BDP|3538550315816098842</stp>
        <tr r="F1792" s="2"/>
      </tp>
      <tp t="s">
        <v>#N/A N/A</v>
        <stp/>
        <stp>BDP|2057262377419268725</stp>
        <tr r="E856" s="2"/>
      </tp>
      <tp t="s">
        <v>#N/A N/A</v>
        <stp/>
        <stp>BDP|9646433408721927551</stp>
        <tr r="O169" s="2"/>
      </tp>
      <tp t="s">
        <v>#N/A N/A</v>
        <stp/>
        <stp>BDP|9358890090595240497</stp>
        <tr r="C1222" s="2"/>
      </tp>
      <tp t="s">
        <v>#N/A N/A</v>
        <stp/>
        <stp>BDP|2291136889703185183</stp>
        <tr r="N424" s="2"/>
      </tp>
      <tp t="s">
        <v>#N/A N/A</v>
        <stp/>
        <stp>BDP|7669162325854394976</stp>
        <tr r="C2011" s="2"/>
      </tp>
      <tp t="s">
        <v>#N/A N/A</v>
        <stp/>
        <stp>BDP|5974894112161477470</stp>
        <tr r="Q1044" s="2"/>
      </tp>
      <tp t="s">
        <v>#N/A N/A</v>
        <stp/>
        <stp>BDP|3852216895042429394</stp>
        <tr r="R747" s="2"/>
      </tp>
      <tp t="s">
        <v>#N/A N/A</v>
        <stp/>
        <stp>BDP|6336264489770439596</stp>
        <tr r="K1231" s="2"/>
      </tp>
      <tp t="s">
        <v>#N/A N/A</v>
        <stp/>
        <stp>BDP|8525316546501738747</stp>
        <tr r="A1269" s="2"/>
      </tp>
      <tp t="s">
        <v>#N/A N/A</v>
        <stp/>
        <stp>BDP|3393907257497787126</stp>
        <tr r="C1773" s="2"/>
      </tp>
      <tp t="s">
        <v>#N/A N/A</v>
        <stp/>
        <stp>BDP|4217660394683415152</stp>
        <tr r="A1438" s="2"/>
      </tp>
      <tp t="s">
        <v>#N/A N/A</v>
        <stp/>
        <stp>BDP|8834407355343915351</stp>
        <tr r="O2100" s="2"/>
      </tp>
      <tp t="s">
        <v>#N/A N/A</v>
        <stp/>
        <stp>BDP|2751434991500647627</stp>
        <tr r="S1339" s="2"/>
      </tp>
      <tp t="s">
        <v>#N/A N/A</v>
        <stp/>
        <stp>BDP|3619852852217179011</stp>
        <tr r="N1307" s="2"/>
      </tp>
      <tp t="s">
        <v>#N/A N/A</v>
        <stp/>
        <stp>BDP|5128805256843085260</stp>
        <tr r="F627" s="2"/>
      </tp>
      <tp t="s">
        <v>#N/A N/A</v>
        <stp/>
        <stp>BDP|4735997708347447335</stp>
        <tr r="K2075" s="2"/>
      </tp>
      <tp t="s">
        <v>#N/A N/A</v>
        <stp/>
        <stp>BDP|5390744631378683010</stp>
        <tr r="E576" s="2"/>
      </tp>
      <tp t="s">
        <v>#N/A N/A</v>
        <stp/>
        <stp>BDP|9140235122777135703</stp>
        <tr r="R596" s="2"/>
      </tp>
      <tp t="s">
        <v>#N/A N/A</v>
        <stp/>
        <stp>BDP|3827386991009223920</stp>
        <tr r="N1315" s="2"/>
      </tp>
      <tp t="s">
        <v>#N/A N/A</v>
        <stp/>
        <stp>BDP|9049210426203353355</stp>
        <tr r="T138" s="2"/>
      </tp>
      <tp t="s">
        <v>#N/A N/A</v>
        <stp/>
        <stp>BDP|1232202995287582442</stp>
        <tr r="P1538" s="2"/>
      </tp>
      <tp t="s">
        <v>#N/A N/A</v>
        <stp/>
        <stp>BDP|1136598787732130786</stp>
        <tr r="R106" s="2"/>
      </tp>
      <tp t="s">
        <v>#N/A N/A</v>
        <stp/>
        <stp>BDP|3116768447111131872</stp>
        <tr r="P1547" s="2"/>
      </tp>
      <tp t="s">
        <v>#N/A N/A</v>
        <stp/>
        <stp>BDP|5865112290637838378</stp>
        <tr r="K448" s="2"/>
      </tp>
      <tp t="s">
        <v>#N/A N/A</v>
        <stp/>
        <stp>BDP|4525563542819158565</stp>
        <tr r="F1361" s="2"/>
      </tp>
      <tp t="s">
        <v>#N/A N/A</v>
        <stp/>
        <stp>BDP|2636829670884683043</stp>
        <tr r="N1138" s="2"/>
      </tp>
      <tp t="s">
        <v>#N/A N/A</v>
        <stp/>
        <stp>BDP|4391947766046637415</stp>
        <tr r="T1852" s="2"/>
      </tp>
      <tp t="s">
        <v>#N/A N/A</v>
        <stp/>
        <stp>BDP|5704563756355890991</stp>
        <tr r="E723" s="2"/>
      </tp>
      <tp t="s">
        <v>#N/A N/A</v>
        <stp/>
        <stp>BDP|8683582738317683069</stp>
        <tr r="N2193" s="2"/>
      </tp>
      <tp t="s">
        <v>#N/A N/A</v>
        <stp/>
        <stp>BDP|3864565080267103099</stp>
        <tr r="S71" s="2"/>
      </tp>
      <tp t="s">
        <v>#N/A N/A</v>
        <stp/>
        <stp>BDP|2672268315490516862</stp>
        <tr r="E420" s="2"/>
      </tp>
      <tp t="s">
        <v>#N/A N/A</v>
        <stp/>
        <stp>BDP|5102240901537550978</stp>
        <tr r="A857" s="2"/>
      </tp>
      <tp t="s">
        <v>#N/A N/A</v>
        <stp/>
        <stp>BDP|9602357365016768379</stp>
        <tr r="F1225" s="2"/>
      </tp>
      <tp t="s">
        <v>#N/A N/A</v>
        <stp/>
        <stp>BDP|7453638418610002990</stp>
        <tr r="S1210" s="2"/>
      </tp>
      <tp t="s">
        <v>#N/A N/A</v>
        <stp/>
        <stp>BDP|4982088287062125719</stp>
        <tr r="J916" s="2"/>
      </tp>
      <tp t="s">
        <v>#N/A N/A</v>
        <stp/>
        <stp>BDP|5664761354999222707</stp>
        <tr r="N1386" s="2"/>
      </tp>
      <tp t="s">
        <v>#N/A N/A</v>
        <stp/>
        <stp>BDP|5191683730531920867</stp>
        <tr r="G1864" s="2"/>
      </tp>
      <tp t="s">
        <v>#N/A N/A</v>
        <stp/>
        <stp>BDP|9495695875032838365</stp>
        <tr r="K1368" s="2"/>
      </tp>
      <tp t="s">
        <v>#N/A N/A</v>
        <stp/>
        <stp>BDP|3690145934779799178</stp>
        <tr r="J1264" s="2"/>
      </tp>
      <tp t="s">
        <v>#N/A N/A</v>
        <stp/>
        <stp>BDP|8361137714625143439</stp>
        <tr r="A1079" s="2"/>
      </tp>
      <tp t="s">
        <v>#N/A N/A</v>
        <stp/>
        <stp>BDS|4331494375556986803</stp>
        <tr r="I1293" s="2"/>
      </tp>
      <tp t="s">
        <v>#N/A N/A</v>
        <stp/>
        <stp>BDP|9925152576595467389</stp>
        <tr r="N53" s="2"/>
      </tp>
      <tp t="s">
        <v>#N/A N/A</v>
        <stp/>
        <stp>BDP|9453611366071602139</stp>
        <tr r="C103" s="2"/>
      </tp>
      <tp t="s">
        <v>#N/A N/A</v>
        <stp/>
        <stp>BDP|6414896426250483590</stp>
        <tr r="T284" s="2"/>
      </tp>
      <tp t="s">
        <v>#N/A N/A</v>
        <stp/>
        <stp>BDP|9639209079616885319</stp>
        <tr r="R830" s="2"/>
      </tp>
      <tp t="s">
        <v>#N/A N/A</v>
        <stp/>
        <stp>BDP|6162890368682283345</stp>
        <tr r="P200" s="2"/>
      </tp>
      <tp t="s">
        <v>#N/A N/A</v>
        <stp/>
        <stp>BDP|7933205289457066368</stp>
        <tr r="D1008" s="2"/>
      </tp>
      <tp t="s">
        <v>#N/A N/A</v>
        <stp/>
        <stp>BDP|2291329766876755872</stp>
        <tr r="O1699" s="2"/>
      </tp>
      <tp t="s">
        <v>#N/A N/A</v>
        <stp/>
        <stp>BDP|7234070141129641349</stp>
        <tr r="H328" s="2"/>
      </tp>
      <tp t="s">
        <v>#N/A N/A</v>
        <stp/>
        <stp>BDP|6703237104629083466</stp>
        <tr r="A892" s="2"/>
      </tp>
      <tp t="s">
        <v>#N/A N/A</v>
        <stp/>
        <stp>BDP|9314776347293623038</stp>
        <tr r="T702" s="2"/>
      </tp>
      <tp t="s">
        <v>#N/A N/A</v>
        <stp/>
        <stp>BDP|5832518885716834720</stp>
        <tr r="C594" s="2"/>
      </tp>
      <tp t="s">
        <v>#N/A N/A</v>
        <stp/>
        <stp>BDP|6738703558825857812</stp>
        <tr r="S2257" s="2"/>
      </tp>
      <tp t="s">
        <v>#N/A N/A</v>
        <stp/>
        <stp>BDP|8579652452940043247</stp>
        <tr r="E1658" s="2"/>
      </tp>
      <tp t="s">
        <v>#N/A N/A</v>
        <stp/>
        <stp>BDP|8631580456499687880</stp>
        <tr r="P235" s="2"/>
      </tp>
      <tp t="s">
        <v>#N/A N/A</v>
        <stp/>
        <stp>BDP|6141682157804864806</stp>
        <tr r="K398" s="2"/>
      </tp>
      <tp t="s">
        <v>#N/A N/A</v>
        <stp/>
        <stp>BDP|9755389501607177493</stp>
        <tr r="F1637" s="2"/>
      </tp>
      <tp t="s">
        <v>#N/A N/A</v>
        <stp/>
        <stp>BDP|4217636158939834773</stp>
        <tr r="A1350" s="2"/>
      </tp>
      <tp t="s">
        <v>#N/A N/A</v>
        <stp/>
        <stp>BDP|5883194690051301542</stp>
        <tr r="F2151" s="2"/>
      </tp>
      <tp t="s">
        <v>#N/A N/A</v>
        <stp/>
        <stp>BDP|7638273659430830969</stp>
        <tr r="T1275" s="2"/>
      </tp>
      <tp t="s">
        <v>#N/A N/A</v>
        <stp/>
        <stp>BDP|4127729383927088564</stp>
        <tr r="T1917" s="2"/>
      </tp>
      <tp t="s">
        <v>#N/A N/A</v>
        <stp/>
        <stp>BDP|5049813372426257578</stp>
        <tr r="J293" s="2"/>
      </tp>
      <tp t="s">
        <v>#N/A N/A</v>
        <stp/>
        <stp>BDP|4017519206909924182</stp>
        <tr r="T551" s="2"/>
      </tp>
      <tp t="s">
        <v>#N/A N/A</v>
        <stp/>
        <stp>BDP|5539963513431662503</stp>
        <tr r="T819" s="2"/>
      </tp>
      <tp t="s">
        <v>#N/A N/A</v>
        <stp/>
        <stp>BDP|8301950953529004434</stp>
        <tr r="P1111" s="2"/>
      </tp>
      <tp t="s">
        <v>#N/A N/A</v>
        <stp/>
        <stp>BDP|8253174624432019075</stp>
        <tr r="A2047" s="2"/>
      </tp>
      <tp t="s">
        <v>#N/A N/A</v>
        <stp/>
        <stp>BDP|9298679746397703523</stp>
        <tr r="A2158" s="2"/>
      </tp>
      <tp t="s">
        <v>#N/A N/A</v>
        <stp/>
        <stp>BDP|4406900272040496349</stp>
        <tr r="J157" s="2"/>
      </tp>
      <tp t="s">
        <v>#N/A N/A</v>
        <stp/>
        <stp>BDP|9525207445550463626</stp>
        <tr r="F574" s="2"/>
      </tp>
      <tp t="s">
        <v>#N/A N/A</v>
        <stp/>
        <stp>BDP|3984482371418776119</stp>
        <tr r="T265" s="2"/>
      </tp>
      <tp t="s">
        <v>#N/A N/A</v>
        <stp/>
        <stp>BDP|5723927260267726445</stp>
        <tr r="O1079" s="2"/>
      </tp>
      <tp t="s">
        <v>#N/A N/A</v>
        <stp/>
        <stp>BDS|2402465051403540906</stp>
        <tr r="I838" s="2"/>
      </tp>
      <tp t="s">
        <v>#N/A N/A</v>
        <stp/>
        <stp>BDP|6208858046677283456</stp>
        <tr r="N1922" s="2"/>
      </tp>
      <tp t="s">
        <v>#N/A N/A</v>
        <stp/>
        <stp>BDP|5782134626926769933</stp>
        <tr r="K255" s="2"/>
      </tp>
      <tp t="s">
        <v>#N/A N/A</v>
        <stp/>
        <stp>BDP|4795121671988252304</stp>
        <tr r="K2047" s="2"/>
      </tp>
      <tp t="s">
        <v>#N/A N/A</v>
        <stp/>
        <stp>BDP|2116773923509345703</stp>
        <tr r="P1614" s="2"/>
      </tp>
      <tp t="s">
        <v>#N/A N/A</v>
        <stp/>
        <stp>BDP|3997585472731484910</stp>
        <tr r="F561" s="2"/>
      </tp>
      <tp t="s">
        <v>#N/A N/A</v>
        <stp/>
        <stp>BDP|4495743233641477818</stp>
        <tr r="C1973" s="2"/>
      </tp>
      <tp t="s">
        <v>#N/A N/A</v>
        <stp/>
        <stp>BDP|8469531512590374506</stp>
        <tr r="D535" s="2"/>
      </tp>
      <tp t="s">
        <v>#N/A N/A</v>
        <stp/>
        <stp>BDP|9087308844576704156</stp>
        <tr r="O1054" s="2"/>
      </tp>
      <tp t="s">
        <v>#N/A N/A</v>
        <stp/>
        <stp>BDP|5806282323198402410</stp>
        <tr r="H1523" s="2"/>
      </tp>
      <tp t="s">
        <v>#N/A N/A</v>
        <stp/>
        <stp>BDP|9264573174723488139</stp>
        <tr r="D587" s="2"/>
      </tp>
      <tp t="s">
        <v>#N/A N/A</v>
        <stp/>
        <stp>BDP|5626738577905058945</stp>
        <tr r="S1034" s="2"/>
      </tp>
      <tp t="s">
        <v>#N/A N/A</v>
        <stp/>
        <stp>BDP|9202841384110654027</stp>
        <tr r="E391" s="2"/>
      </tp>
      <tp t="s">
        <v>#N/A N/A</v>
        <stp/>
        <stp>BDP|5865838655614025588</stp>
        <tr r="Q1978" s="2"/>
      </tp>
      <tp t="s">
        <v>#N/A N/A</v>
        <stp/>
        <stp>BDP|6095774438278144389</stp>
        <tr r="K1312" s="2"/>
      </tp>
      <tp t="s">
        <v>#N/A N/A</v>
        <stp/>
        <stp>BDP|3200755501198151513</stp>
        <tr r="F2111" s="2"/>
      </tp>
      <tp t="s">
        <v>#N/A N/A</v>
        <stp/>
        <stp>BDP|7939143897575410381</stp>
        <tr r="G1445" s="2"/>
      </tp>
      <tp t="s">
        <v>#N/A N/A</v>
        <stp/>
        <stp>BDP|2747027112123223935</stp>
        <tr r="O33" s="2"/>
      </tp>
      <tp t="s">
        <v>#N/A N/A</v>
        <stp/>
        <stp>BDP|8025835596338401871</stp>
        <tr r="G2058" s="2"/>
      </tp>
      <tp t="s">
        <v>#N/A N/A</v>
        <stp/>
        <stp>BDP|9233126650490707414</stp>
        <tr r="N1367" s="2"/>
      </tp>
      <tp t="s">
        <v>#N/A N/A</v>
        <stp/>
        <stp>BDP|5352793788402213167</stp>
        <tr r="K483" s="2"/>
      </tp>
      <tp t="s">
        <v>#N/A N/A</v>
        <stp/>
        <stp>BDP|8931542376707966447</stp>
        <tr r="A274" s="2"/>
      </tp>
      <tp t="s">
        <v>#N/A N/A</v>
        <stp/>
        <stp>BDS|7532921297847780916</stp>
        <tr r="I354" s="2"/>
      </tp>
      <tp t="s">
        <v>#N/A N/A</v>
        <stp/>
        <stp>BDP|3712820911153078020</stp>
        <tr r="K1688" s="2"/>
      </tp>
      <tp t="s">
        <v>#N/A N/A</v>
        <stp/>
        <stp>BDP|8974324434112163383</stp>
        <tr r="C1428" s="2"/>
      </tp>
      <tp t="s">
        <v>#N/A N/A</v>
        <stp/>
        <stp>BDP|8293349470034477140</stp>
        <tr r="R1245" s="2"/>
      </tp>
      <tp t="s">
        <v>#N/A N/A</v>
        <stp/>
        <stp>BDS|7508606190352568366</stp>
        <tr r="I1229" s="2"/>
      </tp>
      <tp t="s">
        <v>#N/A N/A</v>
        <stp/>
        <stp>BDP|6992599721031076971</stp>
        <tr r="J2007" s="2"/>
      </tp>
      <tp t="s">
        <v>#N/A N/A</v>
        <stp/>
        <stp>BDP|3117377585993217278</stp>
        <tr r="K159" s="2"/>
      </tp>
      <tp t="s">
        <v>#N/A N/A</v>
        <stp/>
        <stp>BDP|7512970337583726740</stp>
        <tr r="K1856" s="2"/>
      </tp>
      <tp t="s">
        <v>#N/A N/A</v>
        <stp/>
        <stp>BDP|9026891498704518523</stp>
        <tr r="K1038" s="2"/>
      </tp>
      <tp t="s">
        <v>#N/A N/A</v>
        <stp/>
        <stp>BDP|8982397286899966388</stp>
        <tr r="Q1005" s="2"/>
      </tp>
      <tp t="s">
        <v>#N/A N/A</v>
        <stp/>
        <stp>BDP|3874193156067057909</stp>
        <tr r="D1400" s="2"/>
      </tp>
      <tp t="s">
        <v>#N/A N/A</v>
        <stp/>
        <stp>BDP|3069526413298381652</stp>
        <tr r="K878" s="2"/>
      </tp>
      <tp t="s">
        <v>#N/A N/A</v>
        <stp/>
        <stp>BDP|9984170485108491188</stp>
        <tr r="C565" s="2"/>
      </tp>
      <tp t="s">
        <v>#N/A N/A</v>
        <stp/>
        <stp>BDP|8432116915269365849</stp>
        <tr r="K1202" s="2"/>
      </tp>
      <tp t="s">
        <v>#N/A N/A</v>
        <stp/>
        <stp>BDP|1387362543327254837</stp>
        <tr r="J1155" s="2"/>
      </tp>
      <tp t="s">
        <v>#N/A N/A</v>
        <stp/>
        <stp>BDP|1585286795521734283</stp>
        <tr r="G1210" s="2"/>
      </tp>
      <tp t="s">
        <v>#N/A N/A</v>
        <stp/>
        <stp>BDP|3253772143210966988</stp>
        <tr r="R406" s="2"/>
      </tp>
      <tp t="s">
        <v>#N/A N/A</v>
        <stp/>
        <stp>BDP|8115590410876709382</stp>
        <tr r="R2021" s="2"/>
      </tp>
      <tp t="s">
        <v>#N/A N/A</v>
        <stp/>
        <stp>BDP|8203111328782857048</stp>
        <tr r="Q1304" s="2"/>
      </tp>
      <tp t="s">
        <v>#N/A N/A</v>
        <stp/>
        <stp>BDP|6647989998809894697</stp>
        <tr r="O1533" s="2"/>
      </tp>
      <tp t="s">
        <v>#N/A N/A</v>
        <stp/>
        <stp>BDP|6236648162479047631</stp>
        <tr r="C262" s="2"/>
      </tp>
      <tp t="s">
        <v>#N/A N/A</v>
        <stp/>
        <stp>BDP|1867616280145993372</stp>
        <tr r="J744" s="2"/>
      </tp>
      <tp t="s">
        <v>#N/A N/A</v>
        <stp/>
        <stp>BDP|2753238761516743951</stp>
        <tr r="E1387" s="2"/>
      </tp>
      <tp t="s">
        <v>#N/A N/A</v>
        <stp/>
        <stp>BDP|5594481554459735492</stp>
        <tr r="F443" s="2"/>
      </tp>
      <tp t="s">
        <v>#N/A N/A</v>
        <stp/>
        <stp>BDP|9448316280833518876</stp>
        <tr r="H2036" s="2"/>
      </tp>
      <tp t="s">
        <v>#N/A N/A</v>
        <stp/>
        <stp>BDP|6458457583882157142</stp>
        <tr r="H916" s="2"/>
      </tp>
      <tp t="s">
        <v>#N/A N/A</v>
        <stp/>
        <stp>BDP|9388925082403604224</stp>
        <tr r="O241" s="2"/>
      </tp>
      <tp t="s">
        <v>#N/A N/A</v>
        <stp/>
        <stp>BDP|9180650962051541141</stp>
        <tr r="S1221" s="2"/>
      </tp>
      <tp t="s">
        <v>#N/A N/A</v>
        <stp/>
        <stp>BDP|2304089096252359093</stp>
        <tr r="S333" s="2"/>
      </tp>
      <tp t="s">
        <v>#N/A N/A</v>
        <stp/>
        <stp>BDP|7446163071871359977</stp>
        <tr r="P1490" s="2"/>
      </tp>
      <tp t="s">
        <v>#N/A N/A</v>
        <stp/>
        <stp>BDP|8768778486578212637</stp>
        <tr r="T1194" s="2"/>
      </tp>
      <tp t="s">
        <v>#N/A N/A</v>
        <stp/>
        <stp>BDP|4162472626583288855</stp>
        <tr r="A1388" s="2"/>
      </tp>
      <tp t="s">
        <v>#N/A N/A</v>
        <stp/>
        <stp>BDP|9044975324153687824</stp>
        <tr r="H1177" s="2"/>
      </tp>
      <tp t="s">
        <v>#N/A N/A</v>
        <stp/>
        <stp>BDP|2772899209356366537</stp>
        <tr r="A1201" s="2"/>
      </tp>
      <tp t="s">
        <v>#N/A N/A</v>
        <stp/>
        <stp>BDP|8373934962077575908</stp>
        <tr r="A2172" s="2"/>
      </tp>
      <tp t="s">
        <v>#N/A N/A</v>
        <stp/>
        <stp>BDP|9590704371831789141</stp>
        <tr r="D1291" s="2"/>
      </tp>
      <tp t="s">
        <v>#N/A N/A</v>
        <stp/>
        <stp>BDP|8651256202933354050</stp>
        <tr r="C978" s="2"/>
      </tp>
      <tp t="s">
        <v>#N/A N/A</v>
        <stp/>
        <stp>BDP|8724925473778987787</stp>
        <tr r="C398" s="2"/>
      </tp>
      <tp t="s">
        <v>#N/A N/A</v>
        <stp/>
        <stp>BDP|5061224165261565959</stp>
        <tr r="N230" s="2"/>
      </tp>
      <tp t="s">
        <v>#N/A N/A</v>
        <stp/>
        <stp>BDP|7990584710623709914</stp>
        <tr r="N1103" s="2"/>
      </tp>
      <tp t="s">
        <v>#N/A N/A</v>
        <stp/>
        <stp>BDP|2530050303362278968</stp>
        <tr r="K1255" s="2"/>
      </tp>
      <tp t="s">
        <v>#N/A N/A</v>
        <stp/>
        <stp>BDP|9054692319987591028</stp>
        <tr r="N272" s="2"/>
      </tp>
      <tp t="s">
        <v>#N/A N/A</v>
        <stp/>
        <stp>BDP|9260589197295351997</stp>
        <tr r="O2163" s="2"/>
      </tp>
      <tp t="s">
        <v>#N/A N/A</v>
        <stp/>
        <stp>BDS|9068825692670582121</stp>
        <tr r="I2166" s="2"/>
      </tp>
      <tp t="s">
        <v>#N/A N/A</v>
        <stp/>
        <stp>BDP|8090560172716516561</stp>
        <tr r="M779" s="2"/>
      </tp>
      <tp t="s">
        <v>#N/A N/A</v>
        <stp/>
        <stp>BDP|5950164609768003518</stp>
        <tr r="J292" s="2"/>
      </tp>
      <tp t="s">
        <v>#N/A N/A</v>
        <stp/>
        <stp>BDP|6251960648005328789</stp>
        <tr r="C1476" s="2"/>
      </tp>
      <tp t="s">
        <v>#N/A N/A</v>
        <stp/>
        <stp>BDP|1294027196259559847</stp>
        <tr r="H431" s="2"/>
      </tp>
      <tp t="s">
        <v>#N/A N/A</v>
        <stp/>
        <stp>BDP|7219898516612876526</stp>
        <tr r="J968" s="2"/>
      </tp>
      <tp t="s">
        <v>#N/A N/A</v>
        <stp/>
        <stp>BDP|8454850777988600672</stp>
        <tr r="N1526" s="2"/>
      </tp>
      <tp t="s">
        <v>#N/A N/A</v>
        <stp/>
        <stp>BDP|9143627636626236307</stp>
        <tr r="F995" s="2"/>
      </tp>
      <tp t="s">
        <v>#N/A N/A</v>
        <stp/>
        <stp>BDP|1542204160745174931</stp>
        <tr r="H1106" s="2"/>
      </tp>
      <tp t="s">
        <v>#N/A N/A</v>
        <stp/>
        <stp>BDP|4772270215678684648</stp>
        <tr r="E269" s="2"/>
      </tp>
      <tp t="s">
        <v>#N/A N/A</v>
        <stp/>
        <stp>BDP|9239844980293864392</stp>
        <tr r="F489" s="2"/>
      </tp>
      <tp t="s">
        <v>#N/A N/A</v>
        <stp/>
        <stp>BDP|3861216845115967926</stp>
        <tr r="O1364" s="2"/>
      </tp>
      <tp t="s">
        <v>#N/A N/A</v>
        <stp/>
        <stp>BDP|2605845765067574252</stp>
        <tr r="S981" s="2"/>
      </tp>
      <tp t="s">
        <v>#N/A N/A</v>
        <stp/>
        <stp>BDP|3718724927386339965</stp>
        <tr r="T632" s="2"/>
      </tp>
      <tp t="s">
        <v>#N/A N/A</v>
        <stp/>
        <stp>BDP|4677047292554212054</stp>
        <tr r="M406" s="2"/>
      </tp>
      <tp t="s">
        <v>#N/A N/A</v>
        <stp/>
        <stp>BDP|9030430325922383422</stp>
        <tr r="H2011" s="2"/>
      </tp>
      <tp t="s">
        <v>#N/A N/A</v>
        <stp/>
        <stp>BDP|6076474344407028845</stp>
        <tr r="G1198" s="2"/>
      </tp>
      <tp t="s">
        <v>#N/A N/A</v>
        <stp/>
        <stp>BDP|8020327161393645722</stp>
        <tr r="M1824" s="2"/>
      </tp>
      <tp t="s">
        <v>#N/A N/A</v>
        <stp/>
        <stp>BDP|4295175937958151740</stp>
        <tr r="M1176" s="2"/>
      </tp>
      <tp t="s">
        <v>#N/A N/A</v>
        <stp/>
        <stp>BDP|2964291062276757923</stp>
        <tr r="Q243" s="2"/>
      </tp>
      <tp t="s">
        <v>#N/A N/A</v>
        <stp/>
        <stp>BDP|5599855556693715268</stp>
        <tr r="T688" s="2"/>
      </tp>
      <tp t="s">
        <v>#N/A N/A</v>
        <stp/>
        <stp>BDP|1717513938647179980</stp>
        <tr r="A136" s="2"/>
      </tp>
      <tp t="s">
        <v>#N/A N/A</v>
        <stp/>
        <stp>BDP|4175342753989497256</stp>
        <tr r="Q792" s="2"/>
      </tp>
      <tp t="s">
        <v>#N/A N/A</v>
        <stp/>
        <stp>BDP|7379671119429275086</stp>
        <tr r="M1041" s="2"/>
      </tp>
      <tp t="s">
        <v>#N/A N/A</v>
        <stp/>
        <stp>BDP|6013198818818151777</stp>
        <tr r="D696" s="2"/>
      </tp>
      <tp t="s">
        <v>#N/A N/A</v>
        <stp/>
        <stp>BDP|5845747344129620692</stp>
        <tr r="O131" s="2"/>
      </tp>
      <tp t="s">
        <v>#N/A N/A</v>
        <stp/>
        <stp>BDP|4046835761897698432</stp>
        <tr r="P226" s="2"/>
      </tp>
      <tp t="s">
        <v>#N/A N/A</v>
        <stp/>
        <stp>BDP|5674611991494646774</stp>
        <tr r="H981" s="2"/>
      </tp>
      <tp t="s">
        <v>#N/A N/A</v>
        <stp/>
        <stp>BDP|9885601509806203043</stp>
        <tr r="K1355" s="2"/>
      </tp>
      <tp t="s">
        <v>#N/A N/A</v>
        <stp/>
        <stp>BDP|2636957810272524116</stp>
        <tr r="G257" s="2"/>
      </tp>
      <tp t="s">
        <v>#N/A N/A</v>
        <stp/>
        <stp>BDP|8215317930698000945</stp>
        <tr r="A1337" s="2"/>
      </tp>
      <tp t="s">
        <v>#N/A N/A</v>
        <stp/>
        <stp>BDP|1675665102018453612</stp>
        <tr r="Q76" s="2"/>
      </tp>
      <tp t="s">
        <v>#N/A N/A</v>
        <stp/>
        <stp>BDP|4551802685049624410</stp>
        <tr r="T1219" s="2"/>
      </tp>
      <tp t="s">
        <v>#N/A N/A</v>
        <stp/>
        <stp>BDP|2025848485873047863</stp>
        <tr r="C463" s="2"/>
      </tp>
      <tp t="s">
        <v>#N/A N/A</v>
        <stp/>
        <stp>BDP|9084636464301711179</stp>
        <tr r="H452" s="2"/>
      </tp>
      <tp t="s">
        <v>#N/A N/A</v>
        <stp/>
        <stp>BDS|5295339751703000971</stp>
        <tr r="I1056" s="2"/>
      </tp>
      <tp t="s">
        <v>#N/A N/A</v>
        <stp/>
        <stp>BDP|8402735543994113628</stp>
        <tr r="E1697" s="2"/>
      </tp>
      <tp t="s">
        <v>#N/A N/A</v>
        <stp/>
        <stp>BDP|3109056019102930931</stp>
        <tr r="G595" s="2"/>
      </tp>
      <tp t="s">
        <v>#N/A N/A</v>
        <stp/>
        <stp>BDP|1368326236599177116</stp>
        <tr r="R814" s="2"/>
      </tp>
      <tp t="s">
        <v>#N/A N/A</v>
        <stp/>
        <stp>BDP|4025056483634714167</stp>
        <tr r="A320" s="2"/>
      </tp>
      <tp t="s">
        <v>#N/A N/A</v>
        <stp/>
        <stp>BDP|1037824025106430441</stp>
        <tr r="M2072" s="2"/>
      </tp>
      <tp t="s">
        <v>#N/A N/A</v>
        <stp/>
        <stp>BDP|6717879431145344159</stp>
        <tr r="T2056" s="2"/>
      </tp>
      <tp t="s">
        <v>#N/A N/A</v>
        <stp/>
        <stp>BDP|9489051764005180335</stp>
        <tr r="C1198" s="2"/>
      </tp>
      <tp t="s">
        <v>#N/A N/A</v>
        <stp/>
        <stp>BDP|8176763127974493033</stp>
        <tr r="A1448" s="2"/>
      </tp>
      <tp t="s">
        <v>#N/A N/A</v>
        <stp/>
        <stp>BDP|1270054991114065513</stp>
        <tr r="M1818" s="2"/>
      </tp>
      <tp t="s">
        <v>#N/A N/A</v>
        <stp/>
        <stp>BDP|5498096219539383405</stp>
        <tr r="E456" s="2"/>
      </tp>
      <tp t="s">
        <v>#N/A N/A</v>
        <stp/>
        <stp>BDP|9056452320274139231</stp>
        <tr r="C1381" s="2"/>
      </tp>
      <tp t="s">
        <v>#N/A N/A</v>
        <stp/>
        <stp>BDP|2164251026578327366</stp>
        <tr r="K992" s="2"/>
      </tp>
      <tp t="s">
        <v>#N/A N/A</v>
        <stp/>
        <stp>BDP|2023064056568623617</stp>
        <tr r="F1239" s="2"/>
      </tp>
      <tp t="s">
        <v>#N/A N/A</v>
        <stp/>
        <stp>BDP|9066926146264300904</stp>
        <tr r="R2084" s="2"/>
      </tp>
      <tp t="s">
        <v>#N/A N/A</v>
        <stp/>
        <stp>BDP|9829536184764921917</stp>
        <tr r="G1116" s="2"/>
      </tp>
      <tp t="s">
        <v>#N/A N/A</v>
        <stp/>
        <stp>BDP|9162710817155387339</stp>
        <tr r="N1818" s="2"/>
      </tp>
      <tp t="s">
        <v>#N/A N/A</v>
        <stp/>
        <stp>BDP|7428604448638975421</stp>
        <tr r="J1903" s="2"/>
      </tp>
      <tp t="s">
        <v>#N/A N/A</v>
        <stp/>
        <stp>BDP|6133828912591245773</stp>
        <tr r="O300" s="2"/>
      </tp>
      <tp t="s">
        <v>#N/A N/A</v>
        <stp/>
        <stp>BDP|1117887308826426615</stp>
        <tr r="K2015" s="2"/>
      </tp>
      <tp t="s">
        <v>#N/A N/A</v>
        <stp/>
        <stp>BDP|5887499384808114801</stp>
        <tr r="D829" s="2"/>
      </tp>
      <tp t="s">
        <v>#N/A N/A</v>
        <stp/>
        <stp>BDP|3430707595857361363</stp>
        <tr r="H75" s="2"/>
      </tp>
      <tp t="s">
        <v>#N/A N/A</v>
        <stp/>
        <stp>BDP|9883617302152937464</stp>
        <tr r="M1962" s="2"/>
      </tp>
      <tp t="s">
        <v>#N/A N/A</v>
        <stp/>
        <stp>BDP|6339290007098185583</stp>
        <tr r="G1311" s="2"/>
      </tp>
      <tp t="s">
        <v>#N/A N/A</v>
        <stp/>
        <stp>BDP|1547543686582028738</stp>
        <tr r="R529" s="2"/>
      </tp>
      <tp t="s">
        <v>#N/A N/A</v>
        <stp/>
        <stp>BDP|1624808496141245867</stp>
        <tr r="F596" s="2"/>
      </tp>
      <tp t="s">
        <v>#N/A N/A</v>
        <stp/>
        <stp>BDP|2958169569574464867</stp>
        <tr r="P1710" s="2"/>
      </tp>
      <tp t="s">
        <v>#N/A N/A</v>
        <stp/>
        <stp>BDP|5949839824573956536</stp>
        <tr r="P1880" s="2"/>
      </tp>
      <tp t="s">
        <v>#N/A N/A</v>
        <stp/>
        <stp>BDP|3049098041339817745</stp>
        <tr r="A1570" s="2"/>
      </tp>
      <tp t="s">
        <v>#N/A N/A</v>
        <stp/>
        <stp>BDP|7022471895086308558</stp>
        <tr r="A709" s="2"/>
      </tp>
      <tp t="s">
        <v>#N/A N/A</v>
        <stp/>
        <stp>BDP|7781850586908338638</stp>
        <tr r="D43" s="2"/>
      </tp>
      <tp t="s">
        <v>#N/A N/A</v>
        <stp/>
        <stp>BDP|5231809861656246452</stp>
        <tr r="A998" s="2"/>
      </tp>
      <tp t="s">
        <v>#N/A N/A</v>
        <stp/>
        <stp>BDP|7522436173219589444</stp>
        <tr r="E1141" s="2"/>
      </tp>
      <tp t="s">
        <v>#N/A N/A</v>
        <stp/>
        <stp>BDP|9174213526309095923</stp>
        <tr r="Q1748" s="2"/>
      </tp>
      <tp t="s">
        <v>#N/A N/A</v>
        <stp/>
        <stp>BDP|8673559654602743341</stp>
        <tr r="Q1635" s="2"/>
      </tp>
      <tp t="s">
        <v>#N/A N/A</v>
        <stp/>
        <stp>BDP|9772057860835229347</stp>
        <tr r="T1076" s="2"/>
      </tp>
      <tp t="s">
        <v>#N/A N/A</v>
        <stp/>
        <stp>BDP|9029041727761586321</stp>
        <tr r="M1980" s="2"/>
      </tp>
      <tp t="s">
        <v>#N/A N/A</v>
        <stp/>
        <stp>BDP|4635779351479648627</stp>
        <tr r="T297" s="2"/>
      </tp>
      <tp t="s">
        <v>#N/A N/A</v>
        <stp/>
        <stp>BDP|4356637868104594997</stp>
        <tr r="J870" s="2"/>
      </tp>
      <tp t="s">
        <v>#N/A N/A</v>
        <stp/>
        <stp>BDP|9480199251905908115</stp>
        <tr r="H719" s="2"/>
      </tp>
      <tp t="s">
        <v>#N/A N/A</v>
        <stp/>
        <stp>BDP|9640494886715839958</stp>
        <tr r="N985" s="2"/>
      </tp>
      <tp t="s">
        <v>#N/A N/A</v>
        <stp/>
        <stp>BDP|1486757288557572081</stp>
        <tr r="T1997" s="2"/>
      </tp>
      <tp t="s">
        <v>#N/A N/A</v>
        <stp/>
        <stp>BDS|4799767155607210826</stp>
        <tr r="I987" s="2"/>
      </tp>
      <tp t="s">
        <v>#N/A N/A</v>
        <stp/>
        <stp>BDP|1812233128130187864</stp>
        <tr r="D1072" s="2"/>
      </tp>
      <tp t="s">
        <v>#N/A N/A</v>
        <stp/>
        <stp>BDP|7466437083865651763</stp>
        <tr r="C287" s="2"/>
      </tp>
      <tp t="s">
        <v>#N/A N/A</v>
        <stp/>
        <stp>BDS|3889650223629357797</stp>
        <tr r="I299" s="2"/>
      </tp>
      <tp t="s">
        <v>#N/A N/A</v>
        <stp/>
        <stp>BDP|5511361216927658973</stp>
        <tr r="J1969" s="2"/>
      </tp>
      <tp t="s">
        <v>#N/A N/A</v>
        <stp/>
        <stp>BDP|6657894048697095431</stp>
        <tr r="C2235" s="2"/>
      </tp>
      <tp t="s">
        <v>#N/A N/A</v>
        <stp/>
        <stp>BDP|2755148608623734986</stp>
        <tr r="J1648" s="2"/>
      </tp>
      <tp t="s">
        <v>#N/A N/A</v>
        <stp/>
        <stp>BDP|2486824722502511356</stp>
        <tr r="N2154" s="2"/>
      </tp>
      <tp t="s">
        <v>#N/A N/A</v>
        <stp/>
        <stp>BDP|8268698842144906741</stp>
        <tr r="E1487" s="2"/>
      </tp>
      <tp t="s">
        <v>#N/A N/A</v>
        <stp/>
        <stp>BDP|9095644732395367016</stp>
        <tr r="N1210" s="2"/>
      </tp>
      <tp t="s">
        <v>#N/A N/A</v>
        <stp/>
        <stp>BDP|3077237339163804860</stp>
        <tr r="H844" s="2"/>
      </tp>
      <tp t="s">
        <v>#N/A N/A</v>
        <stp/>
        <stp>BDP|8848700836751964434</stp>
        <tr r="G265" s="2"/>
      </tp>
      <tp t="s">
        <v>#N/A N/A</v>
        <stp/>
        <stp>BDP|4110599676106302999</stp>
        <tr r="G1834" s="2"/>
      </tp>
      <tp t="s">
        <v>#N/A N/A</v>
        <stp/>
        <stp>BDP|4953356294541961650</stp>
        <tr r="E13" s="2"/>
      </tp>
      <tp t="s">
        <v>#N/A N/A</v>
        <stp/>
        <stp>BDP|1724710320479765450</stp>
        <tr r="H1297" s="2"/>
      </tp>
      <tp t="s">
        <v>#N/A N/A</v>
        <stp/>
        <stp>BDP|2171890674414043087</stp>
        <tr r="T520" s="2"/>
      </tp>
      <tp t="s">
        <v>#N/A N/A</v>
        <stp/>
        <stp>BDP|7551156584744666362</stp>
        <tr r="C391" s="2"/>
      </tp>
      <tp t="s">
        <v>#N/A N/A</v>
        <stp/>
        <stp>BDP|7822158648152331928</stp>
        <tr r="T175" s="2"/>
      </tp>
      <tp t="s">
        <v>#N/A N/A</v>
        <stp/>
        <stp>BDP|6425907745697119542</stp>
        <tr r="C1203" s="2"/>
      </tp>
      <tp t="s">
        <v>#N/A N/A</v>
        <stp/>
        <stp>BDP|8071862062866144919</stp>
        <tr r="J378" s="2"/>
      </tp>
      <tp t="s">
        <v>#N/A N/A</v>
        <stp/>
        <stp>BDP|8537937695494247554</stp>
        <tr r="P776" s="2"/>
      </tp>
      <tp t="s">
        <v>#N/A N/A</v>
        <stp/>
        <stp>BDP|2848579430424297990</stp>
        <tr r="M399" s="2"/>
      </tp>
      <tp t="s">
        <v>#N/A N/A</v>
        <stp/>
        <stp>BDP|1564743579931973958</stp>
        <tr r="F2117" s="2"/>
      </tp>
      <tp t="s">
        <v>#N/A N/A</v>
        <stp/>
        <stp>BDP|5468375859318920271</stp>
        <tr r="M1116" s="2"/>
      </tp>
      <tp t="s">
        <v>#N/A N/A</v>
        <stp/>
        <stp>BDP|7033533165395689848</stp>
        <tr r="Q1435" s="2"/>
      </tp>
      <tp t="s">
        <v>#N/A N/A</v>
        <stp/>
        <stp>BDP|6619920845122529001</stp>
        <tr r="F2222" s="2"/>
      </tp>
      <tp t="s">
        <v>#N/A N/A</v>
        <stp/>
        <stp>BDP|9942394272296593238</stp>
        <tr r="E679" s="2"/>
      </tp>
      <tp t="s">
        <v>#N/A N/A</v>
        <stp/>
        <stp>BDP|7256747558904987831</stp>
        <tr r="P1770" s="2"/>
      </tp>
      <tp t="s">
        <v>#N/A N/A</v>
        <stp/>
        <stp>BDP|5037672921170528870</stp>
        <tr r="H1298" s="2"/>
      </tp>
      <tp t="s">
        <v>#N/A N/A</v>
        <stp/>
        <stp>BDP|8143233185679214212</stp>
        <tr r="A89" s="2"/>
      </tp>
      <tp t="s">
        <v>#N/A N/A</v>
        <stp/>
        <stp>BDP|3487050243406297847</stp>
        <tr r="T2174" s="2"/>
      </tp>
      <tp t="s">
        <v>#N/A N/A</v>
        <stp/>
        <stp>BDP|4621003011114378805</stp>
        <tr r="J786" s="2"/>
      </tp>
      <tp t="s">
        <v>#N/A N/A</v>
        <stp/>
        <stp>BDP|5834857371776949515</stp>
        <tr r="Q2169" s="2"/>
      </tp>
      <tp t="s">
        <v>#N/A N/A</v>
        <stp/>
        <stp>BDP|5436383198944197215</stp>
        <tr r="N1255" s="2"/>
      </tp>
      <tp t="s">
        <v>#N/A N/A</v>
        <stp/>
        <stp>BDP|7485983628913363631</stp>
        <tr r="G1083" s="2"/>
      </tp>
      <tp t="s">
        <v>#N/A N/A</v>
        <stp/>
        <stp>BDP|2452083371374935803</stp>
        <tr r="F1055" s="2"/>
      </tp>
      <tp t="s">
        <v>#N/A N/A</v>
        <stp/>
        <stp>BDP|5389159735038171663</stp>
        <tr r="H1233" s="2"/>
      </tp>
      <tp t="s">
        <v>#N/A N/A</v>
        <stp/>
        <stp>BDP|5509552497469035930</stp>
        <tr r="M810" s="2"/>
      </tp>
      <tp t="s">
        <v>#N/A N/A</v>
        <stp/>
        <stp>BDP|3629175885773569053</stp>
        <tr r="P338" s="2"/>
      </tp>
      <tp t="s">
        <v>#N/A N/A</v>
        <stp/>
        <stp>BDP|8574504772356706544</stp>
        <tr r="F791" s="2"/>
      </tp>
      <tp t="s">
        <v>#N/A N/A</v>
        <stp/>
        <stp>BDP|5388555088625889427</stp>
        <tr r="D472" s="2"/>
      </tp>
      <tp t="s">
        <v>#N/A N/A</v>
        <stp/>
        <stp>BDP|9168528542841727020</stp>
        <tr r="Q1087" s="2"/>
      </tp>
      <tp t="s">
        <v>#N/A N/A</v>
        <stp/>
        <stp>BDP|5173569579808249686</stp>
        <tr r="R1333" s="2"/>
      </tp>
      <tp t="s">
        <v>#N/A N/A</v>
        <stp/>
        <stp>BDP|1144378466914139952</stp>
        <tr r="P1138" s="2"/>
      </tp>
      <tp t="s">
        <v>#N/A N/A</v>
        <stp/>
        <stp>BDP|4048840448150882109</stp>
        <tr r="N1651" s="2"/>
      </tp>
      <tp t="s">
        <v>#N/A N/A</v>
        <stp/>
        <stp>BDP|8845695520963783627</stp>
        <tr r="C1432" s="2"/>
      </tp>
      <tp t="s">
        <v>#N/A N/A</v>
        <stp/>
        <stp>BDS|5135355961281682878</stp>
        <tr r="I1660" s="2"/>
      </tp>
      <tp t="s">
        <v>#N/A N/A</v>
        <stp/>
        <stp>BDP|6451831359720330297</stp>
        <tr r="T1039" s="2"/>
      </tp>
      <tp t="s">
        <v>#N/A N/A</v>
        <stp/>
        <stp>BDP|8300546666086371466</stp>
        <tr r="T822" s="2"/>
      </tp>
      <tp t="s">
        <v>#N/A N/A</v>
        <stp/>
        <stp>BDS|3711148664589714449</stp>
        <tr r="I1651" s="2"/>
      </tp>
      <tp t="s">
        <v>#N/A N/A</v>
        <stp/>
        <stp>BDP|2898995096249218219</stp>
        <tr r="M587" s="2"/>
      </tp>
      <tp t="s">
        <v>#N/A N/A</v>
        <stp/>
        <stp>BDS|4579076679632958867</stp>
        <tr r="I684" s="2"/>
      </tp>
      <tp t="s">
        <v>#N/A N/A</v>
        <stp/>
        <stp>BDP|8450177759574835162</stp>
        <tr r="P2088" s="2"/>
      </tp>
      <tp t="s">
        <v>#N/A N/A</v>
        <stp/>
        <stp>BDS|6618928277173748209</stp>
        <tr r="I1501" s="2"/>
      </tp>
      <tp t="s">
        <v>#N/A N/A</v>
        <stp/>
        <stp>BDP|4881421930262789895</stp>
        <tr r="S1200" s="2"/>
      </tp>
      <tp t="s">
        <v>#N/A N/A</v>
        <stp/>
        <stp>BDP|2457917573786476364</stp>
        <tr r="C1856" s="2"/>
      </tp>
      <tp t="s">
        <v>#N/A N/A</v>
        <stp/>
        <stp>BDP|3540624901579122531</stp>
        <tr r="O915" s="2"/>
      </tp>
      <tp t="s">
        <v>#N/A N/A</v>
        <stp/>
        <stp>BDP|9918805746045844936</stp>
        <tr r="A2128" s="2"/>
      </tp>
      <tp t="s">
        <v>#N/A N/A</v>
        <stp/>
        <stp>BDP|3596970945854560361</stp>
        <tr r="F1477" s="2"/>
      </tp>
      <tp t="s">
        <v>#N/A N/A</v>
        <stp/>
        <stp>BDP|1704673391330580711</stp>
        <tr r="P48" s="2"/>
      </tp>
      <tp t="s">
        <v>#N/A N/A</v>
        <stp/>
        <stp>BDP|8683312353821526649</stp>
        <tr r="T114" s="2"/>
      </tp>
      <tp t="s">
        <v>#N/A N/A</v>
        <stp/>
        <stp>BDP|1088553983123615652</stp>
        <tr r="R875" s="2"/>
      </tp>
      <tp t="s">
        <v>#N/A N/A</v>
        <stp/>
        <stp>BDP|7059370725329372648</stp>
        <tr r="P1404" s="2"/>
      </tp>
      <tp t="s">
        <v>#N/A N/A</v>
        <stp/>
        <stp>BDS|2965145932080281980</stp>
        <tr r="I2083" s="2"/>
      </tp>
      <tp t="s">
        <v>#N/A N/A</v>
        <stp/>
        <stp>BDS|9665622427924136075</stp>
        <tr r="I1804" s="2"/>
      </tp>
      <tp t="s">
        <v>#N/A N/A</v>
        <stp/>
        <stp>BDP|4528569054364209900</stp>
        <tr r="C1987" s="2"/>
      </tp>
      <tp t="s">
        <v>#N/A N/A</v>
        <stp/>
        <stp>BDP|8273715082838003642</stp>
        <tr r="Q290" s="2"/>
      </tp>
      <tp t="s">
        <v>#N/A N/A</v>
        <stp/>
        <stp>BDP|8368176840432259639</stp>
        <tr r="F427" s="2"/>
      </tp>
      <tp t="s">
        <v>#N/A N/A</v>
        <stp/>
        <stp>BDP|4593632585343755016</stp>
        <tr r="J1582" s="2"/>
      </tp>
      <tp t="s">
        <v>#N/A N/A</v>
        <stp/>
        <stp>BDP|2570321854809458420</stp>
        <tr r="H1534" s="2"/>
      </tp>
      <tp t="s">
        <v>#N/A N/A</v>
        <stp/>
        <stp>BDP|6795677627942696945</stp>
        <tr r="T390" s="2"/>
      </tp>
      <tp t="s">
        <v>#N/A N/A</v>
        <stp/>
        <stp>BDP|8096786866519286999</stp>
        <tr r="N925" s="2"/>
      </tp>
      <tp t="s">
        <v>#N/A N/A</v>
        <stp/>
        <stp>BDP|9532393049100198713</stp>
        <tr r="S1066" s="2"/>
      </tp>
      <tp t="s">
        <v>#N/A N/A</v>
        <stp/>
        <stp>BDP|2722865294539107318</stp>
        <tr r="O599" s="2"/>
      </tp>
      <tp t="s">
        <v>#N/A N/A</v>
        <stp/>
        <stp>BDP|8918432869905435623</stp>
        <tr r="C1387" s="2"/>
      </tp>
      <tp t="s">
        <v>#N/A N/A</v>
        <stp/>
        <stp>BDP|2194578561289618148</stp>
        <tr r="H759" s="2"/>
      </tp>
      <tp t="s">
        <v>#N/A N/A</v>
        <stp/>
        <stp>BDP|7367918244414438773</stp>
        <tr r="R1750" s="2"/>
      </tp>
      <tp t="s">
        <v>#N/A N/A</v>
        <stp/>
        <stp>BDP|9178540315255084157</stp>
        <tr r="D885" s="2"/>
      </tp>
      <tp t="s">
        <v>#N/A N/A</v>
        <stp/>
        <stp>BDP|1361903306866881788</stp>
        <tr r="O830" s="2"/>
      </tp>
      <tp t="s">
        <v>#N/A N/A</v>
        <stp/>
        <stp>BDP|8045934065029752748</stp>
        <tr r="S735" s="2"/>
      </tp>
      <tp t="s">
        <v>#N/A N/A</v>
        <stp/>
        <stp>BDP|2991898164994744161</stp>
        <tr r="S2100" s="2"/>
      </tp>
      <tp t="s">
        <v>#N/A N/A</v>
        <stp/>
        <stp>BDP|3893465206688444693</stp>
        <tr r="M1120" s="2"/>
      </tp>
      <tp t="s">
        <v>#N/A N/A</v>
        <stp/>
        <stp>BDP|9096817980423610326</stp>
        <tr r="Q1799" s="2"/>
      </tp>
      <tp t="s">
        <v>#N/A N/A</v>
        <stp/>
        <stp>BDP|6567244121987227874</stp>
        <tr r="R2002" s="2"/>
      </tp>
      <tp t="s">
        <v>#N/A N/A</v>
        <stp/>
        <stp>BDP|7021141926659214459</stp>
        <tr r="J1536" s="2"/>
      </tp>
      <tp t="s">
        <v>#N/A N/A</v>
        <stp/>
        <stp>BDP|8299448176036452419</stp>
        <tr r="G317" s="2"/>
      </tp>
      <tp t="s">
        <v>#N/A N/A</v>
        <stp/>
        <stp>BDP|6465869477479731974</stp>
        <tr r="K2191" s="2"/>
      </tp>
      <tp t="s">
        <v>#N/A N/A</v>
        <stp/>
        <stp>BDP|9498860094156331707</stp>
        <tr r="E355" s="2"/>
      </tp>
      <tp t="s">
        <v>#N/A N/A</v>
        <stp/>
        <stp>BDS|4413938429707268197</stp>
        <tr r="I293" s="2"/>
      </tp>
      <tp t="s">
        <v>#N/A N/A</v>
        <stp/>
        <stp>BDP|1419766937799080504</stp>
        <tr r="S37" s="2"/>
      </tp>
      <tp t="s">
        <v>#N/A N/A</v>
        <stp/>
        <stp>BDP|6093001624078656572</stp>
        <tr r="N717" s="2"/>
      </tp>
      <tp t="s">
        <v>#N/A N/A</v>
        <stp/>
        <stp>BDS|9180151817251129175</stp>
        <tr r="I1444" s="2"/>
      </tp>
      <tp t="s">
        <v>#N/A N/A</v>
        <stp/>
        <stp>BDP|8640763028005400198</stp>
        <tr r="N1469" s="2"/>
      </tp>
      <tp t="s">
        <v>#N/A N/A</v>
        <stp/>
        <stp>BDP|7177919253087658505</stp>
        <tr r="S42" s="2"/>
      </tp>
      <tp t="s">
        <v>#N/A N/A</v>
        <stp/>
        <stp>BDP|6514671133343040949</stp>
        <tr r="D1958" s="2"/>
      </tp>
      <tp t="s">
        <v>#N/A N/A</v>
        <stp/>
        <stp>BDP|5563053177582193937</stp>
        <tr r="F1469" s="2"/>
      </tp>
      <tp t="s">
        <v>#N/A N/A</v>
        <stp/>
        <stp>BDP|7527908027042248750</stp>
        <tr r="M675" s="2"/>
      </tp>
      <tp t="s">
        <v>#N/A N/A</v>
        <stp/>
        <stp>BDP|1454517094347475307</stp>
        <tr r="D1943" s="2"/>
      </tp>
      <tp t="s">
        <v>#N/A N/A</v>
        <stp/>
        <stp>BDP|4761912025714530231</stp>
        <tr r="M1704" s="2"/>
      </tp>
      <tp t="s">
        <v>#N/A N/A</v>
        <stp/>
        <stp>BDP|6263233227697119823</stp>
        <tr r="O483" s="2"/>
      </tp>
      <tp t="s">
        <v>#N/A N/A</v>
        <stp/>
        <stp>BDP|9077048101926836684</stp>
        <tr r="M1144" s="2"/>
      </tp>
      <tp t="s">
        <v>#N/A N/A</v>
        <stp/>
        <stp>BDP|1625742474041659954</stp>
        <tr r="F1224" s="2"/>
      </tp>
      <tp t="s">
        <v>#N/A N/A</v>
        <stp/>
        <stp>BDP|6366067311277846997</stp>
        <tr r="F126" s="2"/>
      </tp>
      <tp t="s">
        <v>#N/A N/A</v>
        <stp/>
        <stp>BDP|9729400618492803726</stp>
        <tr r="J697" s="2"/>
      </tp>
      <tp t="s">
        <v>#N/A N/A</v>
        <stp/>
        <stp>BDP|7647795140618976530</stp>
        <tr r="H1792" s="2"/>
      </tp>
      <tp t="s">
        <v>#N/A N/A</v>
        <stp/>
        <stp>BDP|9573632553560513351</stp>
        <tr r="R825" s="2"/>
      </tp>
      <tp t="s">
        <v>#N/A N/A</v>
        <stp/>
        <stp>BDP|7629630197118025971</stp>
        <tr r="F1917" s="2"/>
      </tp>
      <tp t="s">
        <v>#N/A N/A</v>
        <stp/>
        <stp>BDP|4078115665508664271</stp>
        <tr r="T1264" s="2"/>
      </tp>
      <tp t="s">
        <v>#N/A N/A</v>
        <stp/>
        <stp>BDP|2715993838302226313</stp>
        <tr r="R1298" s="2"/>
      </tp>
      <tp t="s">
        <v>#N/A N/A</v>
        <stp/>
        <stp>BDP|5492256937974538966</stp>
        <tr r="S1370" s="2"/>
      </tp>
      <tp t="s">
        <v>#N/A N/A</v>
        <stp/>
        <stp>BDP|2658646631327372954</stp>
        <tr r="G1835" s="2"/>
      </tp>
      <tp t="s">
        <v>#N/A N/A</v>
        <stp/>
        <stp>BDP|3200115041309658610</stp>
        <tr r="Q79" s="2"/>
      </tp>
      <tp t="s">
        <v>#N/A N/A</v>
        <stp/>
        <stp>BDP|6608769370358709728</stp>
        <tr r="C807" s="2"/>
      </tp>
      <tp t="s">
        <v>#N/A N/A</v>
        <stp/>
        <stp>BDP|6127843853151329300</stp>
        <tr r="Q2055" s="2"/>
      </tp>
      <tp t="s">
        <v>#N/A N/A</v>
        <stp/>
        <stp>BDP|9648731097599242756</stp>
        <tr r="N2203" s="2"/>
      </tp>
      <tp t="s">
        <v>#N/A N/A</v>
        <stp/>
        <stp>BDP|2156383824348154292</stp>
        <tr r="C1096" s="2"/>
      </tp>
      <tp t="s">
        <v>#N/A N/A</v>
        <stp/>
        <stp>BDP|6601971050132373172</stp>
        <tr r="S360" s="2"/>
      </tp>
      <tp t="s">
        <v>#N/A N/A</v>
        <stp/>
        <stp>BDP|6248621683177400621</stp>
        <tr r="N1305" s="2"/>
      </tp>
      <tp t="s">
        <v>#N/A N/A</v>
        <stp/>
        <stp>BDP|9609693385467976965</stp>
        <tr r="F1965" s="2"/>
      </tp>
      <tp t="s">
        <v>#N/A N/A</v>
        <stp/>
        <stp>BDP|1316911634114375602</stp>
        <tr r="A672" s="2"/>
      </tp>
      <tp t="s">
        <v>#N/A N/A</v>
        <stp/>
        <stp>BDP|9074605321430041446</stp>
        <tr r="E1448" s="2"/>
      </tp>
      <tp t="s">
        <v>#N/A N/A</v>
        <stp/>
        <stp>BDP|6321604392969394972</stp>
        <tr r="J1642" s="2"/>
      </tp>
      <tp t="s">
        <v>#N/A N/A</v>
        <stp/>
        <stp>BDP|3724127670764655863</stp>
        <tr r="D836" s="2"/>
      </tp>
      <tp t="s">
        <v>#N/A N/A</v>
        <stp/>
        <stp>BDP|4296851493099986584</stp>
        <tr r="E1343" s="2"/>
      </tp>
      <tp t="s">
        <v>#N/A N/A</v>
        <stp/>
        <stp>BDP|9945553554498961841</stp>
        <tr r="M2242" s="2"/>
      </tp>
      <tp t="s">
        <v>#N/A N/A</v>
        <stp/>
        <stp>BDP|5106445272269066626</stp>
        <tr r="K2079" s="2"/>
      </tp>
      <tp t="s">
        <v>#N/A N/A</v>
        <stp/>
        <stp>BDP|9658674476188401967</stp>
        <tr r="M765" s="2"/>
      </tp>
      <tp t="s">
        <v>#N/A N/A</v>
        <stp/>
        <stp>BDP|4627826848287071696</stp>
        <tr r="E863" s="2"/>
      </tp>
      <tp t="s">
        <v>#N/A N/A</v>
        <stp/>
        <stp>BDP|5579711745708552713</stp>
        <tr r="O1142" s="2"/>
      </tp>
      <tp t="s">
        <v>#N/A N/A</v>
        <stp/>
        <stp>BDP|2266820827770067120</stp>
        <tr r="P375" s="2"/>
      </tp>
      <tp t="s">
        <v>#N/A N/A</v>
        <stp/>
        <stp>BDP|2923452871190017886</stp>
        <tr r="N1719" s="2"/>
      </tp>
      <tp t="s">
        <v>#N/A N/A</v>
        <stp/>
        <stp>BDP|2811245252279262596</stp>
        <tr r="J102" s="2"/>
      </tp>
      <tp t="s">
        <v>#N/A N/A</v>
        <stp/>
        <stp>BDP|2624839220326786776</stp>
        <tr r="N1947" s="2"/>
      </tp>
      <tp t="s">
        <v>#N/A N/A</v>
        <stp/>
        <stp>BDP|3502573174519550165</stp>
        <tr r="O45" s="2"/>
      </tp>
      <tp t="s">
        <v>#N/A N/A</v>
        <stp/>
        <stp>BDP|6393330662952452833</stp>
        <tr r="P1486" s="2"/>
      </tp>
      <tp t="s">
        <v>#N/A N/A</v>
        <stp/>
        <stp>BDP|4442965551759031863</stp>
        <tr r="E1263" s="2"/>
      </tp>
      <tp t="s">
        <v>#N/A N/A</v>
        <stp/>
        <stp>BDP|9027111027801401182</stp>
        <tr r="F1244" s="2"/>
      </tp>
      <tp t="s">
        <v>#N/A N/A</v>
        <stp/>
        <stp>BDP|2379449364432045897</stp>
        <tr r="F1762" s="2"/>
      </tp>
      <tp t="s">
        <v>#N/A N/A</v>
        <stp/>
        <stp>BDS|8252027074845608080</stp>
        <tr r="I232" s="2"/>
      </tp>
      <tp t="s">
        <v>#N/A N/A</v>
        <stp/>
        <stp>BDP|5712643383953870224</stp>
        <tr r="K624" s="2"/>
      </tp>
      <tp t="s">
        <v>#N/A N/A</v>
        <stp/>
        <stp>BDS|4484903735467213395</stp>
        <tr r="I943" s="2"/>
      </tp>
      <tp t="s">
        <v>#N/A N/A</v>
        <stp/>
        <stp>BDS|6249097664219098353</stp>
        <tr r="I1791" s="2"/>
      </tp>
      <tp t="s">
        <v>#N/A N/A</v>
        <stp/>
        <stp>BDP|5311809768103008211</stp>
        <tr r="Q807" s="2"/>
      </tp>
      <tp t="s">
        <v>#N/A N/A</v>
        <stp/>
        <stp>BDP|6686286907648535663</stp>
        <tr r="P68" s="2"/>
      </tp>
      <tp t="s">
        <v>#N/A N/A</v>
        <stp/>
        <stp>BDP|3984403651321174934</stp>
        <tr r="N1571" s="2"/>
      </tp>
      <tp t="s">
        <v>#N/A N/A</v>
        <stp/>
        <stp>BDP|3611382704693980996</stp>
        <tr r="O1136" s="2"/>
      </tp>
      <tp t="s">
        <v>#N/A N/A</v>
        <stp/>
        <stp>BDP|1215903344863970557</stp>
        <tr r="T391" s="2"/>
      </tp>
      <tp t="s">
        <v>#N/A N/A</v>
        <stp/>
        <stp>BDP|1216101351567160889</stp>
        <tr r="A1379" s="2"/>
      </tp>
      <tp t="s">
        <v>#N/A N/A</v>
        <stp/>
        <stp>BDP|9205229355974939069</stp>
        <tr r="A543" s="2"/>
      </tp>
      <tp t="s">
        <v>#N/A N/A</v>
        <stp/>
        <stp>BDP|5496352186353409792</stp>
        <tr r="A258" s="2"/>
      </tp>
      <tp t="s">
        <v>#N/A N/A</v>
        <stp/>
        <stp>BDP|8612654379811625262</stp>
        <tr r="N1439" s="2"/>
      </tp>
      <tp t="s">
        <v>#N/A N/A</v>
        <stp/>
        <stp>BDP|3176888021426733555</stp>
        <tr r="R1793" s="2"/>
      </tp>
      <tp t="s">
        <v>#N/A N/A</v>
        <stp/>
        <stp>BDP|5227458588133120044</stp>
        <tr r="T950" s="2"/>
      </tp>
      <tp t="s">
        <v>#N/A N/A</v>
        <stp/>
        <stp>BDP|7697911756574835533</stp>
        <tr r="Q804" s="2"/>
      </tp>
      <tp t="s">
        <v>#N/A N/A</v>
        <stp/>
        <stp>BDP|8714013306737211588</stp>
        <tr r="M271" s="2"/>
      </tp>
      <tp t="s">
        <v>#N/A N/A</v>
        <stp/>
        <stp>BDP|8044080523943712360</stp>
        <tr r="E726" s="2"/>
      </tp>
      <tp t="s">
        <v>#N/A N/A</v>
        <stp/>
        <stp>BDP|5636838045146332595</stp>
        <tr r="R1885" s="2"/>
      </tp>
      <tp t="s">
        <v>#N/A N/A</v>
        <stp/>
        <stp>BDP|9780516127035253197</stp>
        <tr r="R205" s="2"/>
      </tp>
      <tp t="s">
        <v>#N/A N/A</v>
        <stp/>
        <stp>BDP|8381951508189402204</stp>
        <tr r="H1600" s="2"/>
      </tp>
      <tp t="s">
        <v>#N/A N/A</v>
        <stp/>
        <stp>BDP|1506947969562273609</stp>
        <tr r="F1020" s="2"/>
      </tp>
      <tp t="s">
        <v>#N/A N/A</v>
        <stp/>
        <stp>BDP|2391333290171940330</stp>
        <tr r="N2065" s="2"/>
      </tp>
      <tp t="s">
        <v>#N/A N/A</v>
        <stp/>
        <stp>BDP|4461159418169114720</stp>
        <tr r="F549" s="2"/>
      </tp>
      <tp t="s">
        <v>#N/A N/A</v>
        <stp/>
        <stp>BDP|4773056888577030108</stp>
        <tr r="O1325" s="2"/>
      </tp>
      <tp t="s">
        <v>#N/A N/A</v>
        <stp/>
        <stp>BDP|3818672165409491041</stp>
        <tr r="K1766" s="2"/>
      </tp>
      <tp t="s">
        <v>#N/A N/A</v>
        <stp/>
        <stp>BDP|8937554576997532752</stp>
        <tr r="N276" s="2"/>
      </tp>
      <tp t="s">
        <v>#N/A N/A</v>
        <stp/>
        <stp>BDP|6992544950519305546</stp>
        <tr r="G738" s="2"/>
      </tp>
      <tp t="s">
        <v>#N/A N/A</v>
        <stp/>
        <stp>BDP|2367435719895501865</stp>
        <tr r="A467" s="2"/>
      </tp>
      <tp t="s">
        <v>#N/A N/A</v>
        <stp/>
        <stp>BDP|5147891796777327971</stp>
        <tr r="C1069" s="2"/>
      </tp>
      <tp t="s">
        <v>#N/A N/A</v>
        <stp/>
        <stp>BDP|2731808089039421108</stp>
        <tr r="D1422" s="2"/>
      </tp>
      <tp t="s">
        <v>#N/A N/A</v>
        <stp/>
        <stp>BDP|5900445067439680468</stp>
        <tr r="S2196" s="2"/>
      </tp>
      <tp t="s">
        <v>#N/A N/A</v>
        <stp/>
        <stp>BDP|1605247589798684979</stp>
        <tr r="C1960" s="2"/>
      </tp>
      <tp t="s">
        <v>#N/A N/A</v>
        <stp/>
        <stp>BDP|9302194633136219715</stp>
        <tr r="T1564" s="2"/>
      </tp>
      <tp t="s">
        <v>#N/A N/A</v>
        <stp/>
        <stp>BDP|2062045418238141175</stp>
        <tr r="D657" s="2"/>
      </tp>
      <tp t="s">
        <v>#N/A N/A</v>
        <stp/>
        <stp>BDP|6853436796786269752</stp>
        <tr r="A429" s="2"/>
      </tp>
      <tp t="s">
        <v>#N/A N/A</v>
        <stp/>
        <stp>BDP|5413962968472763271</stp>
        <tr r="F1047" s="2"/>
      </tp>
      <tp t="s">
        <v>#N/A N/A</v>
        <stp/>
        <stp>BDS|4229037995083971471</stp>
        <tr r="I1243" s="2"/>
      </tp>
      <tp t="s">
        <v>#N/A N/A</v>
        <stp/>
        <stp>BDP|1540990033503267274</stp>
        <tr r="S1273" s="2"/>
      </tp>
      <tp t="s">
        <v>#N/A N/A</v>
        <stp/>
        <stp>BDP|9703405198406025850</stp>
        <tr r="R667" s="2"/>
      </tp>
      <tp t="s">
        <v>#N/A N/A</v>
        <stp/>
        <stp>BDP|4300867577114115594</stp>
        <tr r="M911" s="2"/>
      </tp>
      <tp t="s">
        <v>#N/A N/A</v>
        <stp/>
        <stp>BDP|7678987739296525183</stp>
        <tr r="T1626" s="2"/>
      </tp>
      <tp t="s">
        <v>#N/A N/A</v>
        <stp/>
        <stp>BDP|9230039490322999823</stp>
        <tr r="N729" s="2"/>
      </tp>
      <tp t="s">
        <v>#N/A N/A</v>
        <stp/>
        <stp>BDP|5529130194577867002</stp>
        <tr r="D2130" s="2"/>
      </tp>
      <tp t="s">
        <v>#N/A N/A</v>
        <stp/>
        <stp>BDP|6459388429959742483</stp>
        <tr r="O190" s="2"/>
      </tp>
      <tp t="s">
        <v>#N/A N/A</v>
        <stp/>
        <stp>BDP|1712389876649045639</stp>
        <tr r="M1944" s="2"/>
      </tp>
      <tp t="s">
        <v>#N/A N/A</v>
        <stp/>
        <stp>BDP|8931941688434736787</stp>
        <tr r="K143" s="2"/>
      </tp>
      <tp t="s">
        <v>#N/A N/A</v>
        <stp/>
        <stp>BDP|4467493370975560828</stp>
        <tr r="R2157" s="2"/>
      </tp>
      <tp t="s">
        <v>#N/A N/A</v>
        <stp/>
        <stp>BDP|6053385594481442722</stp>
        <tr r="N1684" s="2"/>
      </tp>
      <tp t="s">
        <v>#N/A N/A</v>
        <stp/>
        <stp>BDP|6878513599707913730</stp>
        <tr r="D222" s="2"/>
      </tp>
      <tp t="s">
        <v>#N/A N/A</v>
        <stp/>
        <stp>BDP|3948183189830045029</stp>
        <tr r="R1254" s="2"/>
      </tp>
      <tp t="s">
        <v>#N/A N/A</v>
        <stp/>
        <stp>BDP|1615894433682040265</stp>
        <tr r="F1315" s="2"/>
      </tp>
      <tp t="s">
        <v>#N/A N/A</v>
        <stp/>
        <stp>BDP|3436358169938350413</stp>
        <tr r="M147" s="2"/>
      </tp>
      <tp t="s">
        <v>#N/A N/A</v>
        <stp/>
        <stp>BDP|8798606548684691434</stp>
        <tr r="N158" s="2"/>
      </tp>
      <tp t="s">
        <v>#N/A N/A</v>
        <stp/>
        <stp>BDP|3440442843908189183</stp>
        <tr r="P2163" s="2"/>
      </tp>
      <tp t="s">
        <v>#N/A N/A</v>
        <stp/>
        <stp>BDP|5615672763406073984</stp>
        <tr r="G1929" s="2"/>
      </tp>
      <tp t="s">
        <v>#N/A N/A</v>
        <stp/>
        <stp>BDP|4772247752330914926</stp>
        <tr r="M365" s="2"/>
      </tp>
      <tp t="s">
        <v>#N/A N/A</v>
        <stp/>
        <stp>BDP|9676289655210802498</stp>
        <tr r="A608" s="2"/>
      </tp>
      <tp t="s">
        <v>#N/A N/A</v>
        <stp/>
        <stp>BDS|1025884761484324107</stp>
        <tr r="I1305" s="2"/>
      </tp>
      <tp t="s">
        <v>#N/A N/A</v>
        <stp/>
        <stp>BDP|8200306392620220885</stp>
        <tr r="A1385" s="2"/>
      </tp>
      <tp t="s">
        <v>#N/A N/A</v>
        <stp/>
        <stp>BDP|7638645286316847566</stp>
        <tr r="F1497" s="2"/>
      </tp>
      <tp t="s">
        <v>#N/A N/A</v>
        <stp/>
        <stp>BDP|7131617695553928164</stp>
        <tr r="N1543" s="2"/>
      </tp>
      <tp t="s">
        <v>#N/A N/A</v>
        <stp/>
        <stp>BDP|9222541269407124743</stp>
        <tr r="D1505" s="2"/>
      </tp>
      <tp t="s">
        <v>#N/A N/A</v>
        <stp/>
        <stp>BDP|5041230648398210130</stp>
        <tr r="E1533" s="2"/>
      </tp>
      <tp t="s">
        <v>#N/A N/A</v>
        <stp/>
        <stp>BDP|5420289473718141251</stp>
        <tr r="M1547" s="2"/>
      </tp>
      <tp t="s">
        <v>#N/A N/A</v>
        <stp/>
        <stp>BDP|2377628575210844970</stp>
        <tr r="M1125" s="2"/>
      </tp>
      <tp t="s">
        <v>#N/A N/A</v>
        <stp/>
        <stp>BDP|8553246338696448568</stp>
        <tr r="A1928" s="2"/>
      </tp>
      <tp t="s">
        <v>#N/A N/A</v>
        <stp/>
        <stp>BDP|1872982963863030787</stp>
        <tr r="K2183" s="2"/>
      </tp>
      <tp t="s">
        <v>#N/A N/A</v>
        <stp/>
        <stp>BDP|8547718817314961010</stp>
        <tr r="K1801" s="2"/>
      </tp>
      <tp t="s">
        <v>#N/A N/A</v>
        <stp/>
        <stp>BDP|2029828218315611470</stp>
        <tr r="O1359" s="2"/>
      </tp>
      <tp t="s">
        <v>#N/A N/A</v>
        <stp/>
        <stp>BDP|6192833431977911019</stp>
        <tr r="E192" s="2"/>
      </tp>
      <tp t="s">
        <v>#N/A N/A</v>
        <stp/>
        <stp>BDP|8306725005465980062</stp>
        <tr r="E2018" s="2"/>
      </tp>
      <tp t="s">
        <v>#N/A N/A</v>
        <stp/>
        <stp>BDP|6578588744684404962</stp>
        <tr r="T780" s="2"/>
      </tp>
      <tp t="s">
        <v>#N/A N/A</v>
        <stp/>
        <stp>BDP|1032504841228974239</stp>
        <tr r="J559" s="2"/>
      </tp>
      <tp t="s">
        <v>#N/A N/A</v>
        <stp/>
        <stp>BDP|4589782827782026914</stp>
        <tr r="E903" s="2"/>
      </tp>
      <tp t="s">
        <v>#N/A N/A</v>
        <stp/>
        <stp>BDP|8453771660782982110</stp>
        <tr r="C74" s="2"/>
      </tp>
      <tp t="s">
        <v>#N/A N/A</v>
        <stp/>
        <stp>BDP|8984714550193733345</stp>
        <tr r="S2079" s="2"/>
      </tp>
      <tp t="s">
        <v>#N/A N/A</v>
        <stp/>
        <stp>BDP|4822907656006163449</stp>
        <tr r="G582" s="2"/>
      </tp>
      <tp t="s">
        <v>#N/A N/A</v>
        <stp/>
        <stp>BDP|8682019239742223379</stp>
        <tr r="R241" s="2"/>
      </tp>
      <tp t="s">
        <v>#N/A N/A</v>
        <stp/>
        <stp>BDS|2397069569678716609</stp>
        <tr r="I1304" s="2"/>
      </tp>
      <tp t="s">
        <v>#N/A N/A</v>
        <stp/>
        <stp>BDP|8707428600461659784</stp>
        <tr r="F524" s="2"/>
      </tp>
      <tp t="s">
        <v>#N/A N/A</v>
        <stp/>
        <stp>BDP|2534154859384690841</stp>
        <tr r="P434" s="2"/>
      </tp>
      <tp t="s">
        <v>#N/A N/A</v>
        <stp/>
        <stp>BDP|9346355118941254071</stp>
        <tr r="S693" s="2"/>
      </tp>
      <tp t="s">
        <v>#N/A N/A</v>
        <stp/>
        <stp>BDP|2561198418741611994</stp>
        <tr r="C2139" s="2"/>
      </tp>
      <tp t="s">
        <v>#N/A N/A</v>
        <stp/>
        <stp>BDP|8062494409342251498</stp>
        <tr r="A1008" s="2"/>
      </tp>
      <tp t="s">
        <v>#N/A N/A</v>
        <stp/>
        <stp>BDS|3873242630809676115</stp>
        <tr r="I1765" s="2"/>
      </tp>
      <tp t="s">
        <v>#N/A N/A</v>
        <stp/>
        <stp>BDP|8837404987436473808</stp>
        <tr r="E1033" s="2"/>
      </tp>
      <tp t="s">
        <v>#N/A N/A</v>
        <stp/>
        <stp>BDP|8580681724765097328</stp>
        <tr r="P1873" s="2"/>
      </tp>
      <tp t="s">
        <v>#N/A N/A</v>
        <stp/>
        <stp>BDP|3690823302609854856</stp>
        <tr r="N1467" s="2"/>
      </tp>
      <tp t="s">
        <v>#N/A N/A</v>
        <stp/>
        <stp>BDP|7398970093779818440</stp>
        <tr r="O1989" s="2"/>
      </tp>
      <tp t="s">
        <v>#N/A N/A</v>
        <stp/>
        <stp>BDP|7010909959240222107</stp>
        <tr r="R1163" s="2"/>
      </tp>
      <tp t="s">
        <v>#N/A N/A</v>
        <stp/>
        <stp>BDP|6860955579801703385</stp>
        <tr r="P2230" s="2"/>
      </tp>
      <tp t="s">
        <v>#N/A N/A</v>
        <stp/>
        <stp>BDP|2781828082770516898</stp>
        <tr r="G1940" s="2"/>
      </tp>
      <tp t="s">
        <v>#N/A N/A</v>
        <stp/>
        <stp>BDP|7003927888885871996</stp>
        <tr r="T1800" s="2"/>
      </tp>
      <tp t="s">
        <v>#N/A N/A</v>
        <stp/>
        <stp>BDP|1770078022061975806</stp>
        <tr r="F1266" s="2"/>
      </tp>
      <tp t="s">
        <v>#N/A N/A</v>
        <stp/>
        <stp>BDP|3683869912633100389</stp>
        <tr r="K1682" s="2"/>
      </tp>
      <tp t="s">
        <v>#N/A N/A</v>
        <stp/>
        <stp>BDP|9927603353069679978</stp>
        <tr r="S1791" s="2"/>
      </tp>
      <tp t="s">
        <v>#N/A N/A</v>
        <stp/>
        <stp>BDP|2130585087054346163</stp>
        <tr r="R506" s="2"/>
      </tp>
      <tp t="s">
        <v>#N/A N/A</v>
        <stp/>
        <stp>BDP|1989018966695500807</stp>
        <tr r="J1043" s="2"/>
      </tp>
      <tp t="s">
        <v>#N/A N/A</v>
        <stp/>
        <stp>BDP|4233891951317002410</stp>
        <tr r="H2143" s="2"/>
      </tp>
      <tp t="s">
        <v>#N/A N/A</v>
        <stp/>
        <stp>BDP|5836888912534885217</stp>
        <tr r="M130" s="2"/>
      </tp>
      <tp t="s">
        <v>#N/A N/A</v>
        <stp/>
        <stp>BDP|5916631681269267824</stp>
        <tr r="G409" s="2"/>
      </tp>
      <tp t="s">
        <v>#N/A N/A</v>
        <stp/>
        <stp>BDP|2454490692553424602</stp>
        <tr r="K1084" s="2"/>
      </tp>
      <tp t="s">
        <v>#N/A N/A</v>
        <stp/>
        <stp>BDP|1429986228213965360</stp>
        <tr r="A1625" s="2"/>
      </tp>
      <tp t="s">
        <v>#N/A N/A</v>
        <stp/>
        <stp>BDP|7435308816138195783</stp>
        <tr r="F1462" s="2"/>
      </tp>
      <tp t="s">
        <v>#N/A N/A</v>
        <stp/>
        <stp>BDP|7542089996931702577</stp>
        <tr r="G1882" s="2"/>
      </tp>
      <tp t="s">
        <v>#N/A N/A</v>
        <stp/>
        <stp>BDP|9737717090038420594</stp>
        <tr r="G2231" s="2"/>
      </tp>
      <tp t="s">
        <v>#N/A N/A</v>
        <stp/>
        <stp>BDP|3996149033409510207</stp>
        <tr r="J1658" s="2"/>
      </tp>
      <tp t="s">
        <v>#N/A N/A</v>
        <stp/>
        <stp>BDP|4729080484574076202</stp>
        <tr r="S2055" s="2"/>
      </tp>
      <tp t="s">
        <v>#N/A N/A</v>
        <stp/>
        <stp>BDP|4629839116173179498</stp>
        <tr r="D2241" s="2"/>
      </tp>
      <tp t="s">
        <v>#N/A N/A</v>
        <stp/>
        <stp>BDP|1511772625617541994</stp>
        <tr r="N2050" s="2"/>
      </tp>
      <tp t="s">
        <v>#N/A N/A</v>
        <stp/>
        <stp>BDP|3937690109127014826</stp>
        <tr r="J1800" s="2"/>
      </tp>
      <tp t="s">
        <v>#N/A N/A</v>
        <stp/>
        <stp>BDP|9158359819980029162</stp>
        <tr r="D457" s="2"/>
      </tp>
      <tp t="s">
        <v>#N/A N/A</v>
        <stp/>
        <stp>BDP|7798258220654870915</stp>
        <tr r="A1979" s="2"/>
      </tp>
      <tp t="s">
        <v>#N/A N/A</v>
        <stp/>
        <stp>BDP|4263892108115919311</stp>
        <tr r="T1509" s="2"/>
      </tp>
      <tp t="s">
        <v>#N/A N/A</v>
        <stp/>
        <stp>BDP|2666646550873183884</stp>
        <tr r="F881" s="2"/>
      </tp>
      <tp t="s">
        <v>#N/A N/A</v>
        <stp/>
        <stp>BDP|9936664521361127642</stp>
        <tr r="G1992" s="2"/>
      </tp>
      <tp t="s">
        <v>#N/A N/A</v>
        <stp/>
        <stp>BDP|9418060295633841947</stp>
        <tr r="G522" s="2"/>
      </tp>
      <tp t="s">
        <v>#N/A N/A</v>
        <stp/>
        <stp>BDP|5863432990457736577</stp>
        <tr r="F626" s="2"/>
      </tp>
      <tp t="s">
        <v>#N/A N/A</v>
        <stp/>
        <stp>BDP|2892863132483390043</stp>
        <tr r="D1812" s="2"/>
      </tp>
      <tp t="s">
        <v>#N/A N/A</v>
        <stp/>
        <stp>BDP|9803710501682065634</stp>
        <tr r="O68" s="2"/>
      </tp>
      <tp t="s">
        <v>#N/A N/A</v>
        <stp/>
        <stp>BDP|7127923776442932171</stp>
        <tr r="E2153" s="2"/>
      </tp>
      <tp t="s">
        <v>#N/A N/A</v>
        <stp/>
        <stp>BDP|9130565267199849934</stp>
        <tr r="F957" s="2"/>
      </tp>
      <tp t="s">
        <v>#N/A N/A</v>
        <stp/>
        <stp>BDP|3011813965755627290</stp>
        <tr r="M12" s="2"/>
      </tp>
      <tp t="s">
        <v>#N/A N/A</v>
        <stp/>
        <stp>BDP|2305922198570715850</stp>
        <tr r="O1941" s="2"/>
      </tp>
      <tp t="s">
        <v>#N/A N/A</v>
        <stp/>
        <stp>BDP|8397369879697230153</stp>
        <tr r="K77" s="2"/>
      </tp>
      <tp t="s">
        <v>#N/A N/A</v>
        <stp/>
        <stp>BDP|7001143664489298398</stp>
        <tr r="R150" s="2"/>
      </tp>
      <tp t="s">
        <v>#N/A N/A</v>
        <stp/>
        <stp>BDP|6513373245343915856</stp>
        <tr r="T650" s="2"/>
      </tp>
      <tp t="s">
        <v>#N/A N/A</v>
        <stp/>
        <stp>BDP|2608980374666882098</stp>
        <tr r="A1190" s="2"/>
      </tp>
      <tp t="s">
        <v>#N/A N/A</v>
        <stp/>
        <stp>BDP|9854163955136931192</stp>
        <tr r="Q958" s="2"/>
      </tp>
      <tp t="s">
        <v>#N/A N/A</v>
        <stp/>
        <stp>BDP|9820535753610382330</stp>
        <tr r="J33" s="2"/>
      </tp>
      <tp t="s">
        <v>#N/A N/A</v>
        <stp/>
        <stp>BDP|6586098390541191455</stp>
        <tr r="Q209" s="2"/>
      </tp>
      <tp t="s">
        <v>#N/A N/A</v>
        <stp/>
        <stp>BDS|4035445388361491306</stp>
        <tr r="I67" s="2"/>
      </tp>
      <tp t="s">
        <v>#N/A N/A</v>
        <stp/>
        <stp>BDP|3742875873624280296</stp>
        <tr r="M118" s="2"/>
      </tp>
      <tp t="s">
        <v>#N/A N/A</v>
        <stp/>
        <stp>BDP|3850661326574895980</stp>
        <tr r="O2013" s="2"/>
      </tp>
      <tp t="s">
        <v>#N/A N/A</v>
        <stp/>
        <stp>BDP|1297772999050536510</stp>
        <tr r="H7" s="2"/>
      </tp>
      <tp t="s">
        <v>#N/A N/A</v>
        <stp/>
        <stp>BDP|3777956459904369106</stp>
        <tr r="P1151" s="2"/>
      </tp>
      <tp t="s">
        <v>#N/A N/A</v>
        <stp/>
        <stp>BDP|6370739009533829891</stp>
        <tr r="S2000" s="2"/>
      </tp>
      <tp t="s">
        <v>#N/A N/A</v>
        <stp/>
        <stp>BDP|1652109934801969839</stp>
        <tr r="J1605" s="2"/>
      </tp>
      <tp t="s">
        <v>#N/A N/A</v>
        <stp/>
        <stp>BDP|4026627612521191892</stp>
        <tr r="H24" s="2"/>
      </tp>
      <tp t="s">
        <v>#N/A N/A</v>
        <stp/>
        <stp>BDP|7283751751716826967</stp>
        <tr r="R1495" s="2"/>
      </tp>
      <tp t="s">
        <v>#N/A N/A</v>
        <stp/>
        <stp>BDP|1866277413558193057</stp>
        <tr r="T1183" s="2"/>
      </tp>
      <tp t="s">
        <v>#N/A N/A</v>
        <stp/>
        <stp>BDP|7611970262325287790</stp>
        <tr r="R2000" s="2"/>
      </tp>
      <tp t="s">
        <v>#N/A N/A</v>
        <stp/>
        <stp>BDP|8120956129728385161</stp>
        <tr r="T358" s="2"/>
      </tp>
      <tp t="s">
        <v>#N/A N/A</v>
        <stp/>
        <stp>BDP|9112819124041526890</stp>
        <tr r="P1501" s="2"/>
      </tp>
      <tp t="s">
        <v>#N/A N/A</v>
        <stp/>
        <stp>BDS|5320860569988556917</stp>
        <tr r="I269" s="2"/>
      </tp>
      <tp t="s">
        <v>#N/A N/A</v>
        <stp/>
        <stp>BDP|5062232696800471496</stp>
        <tr r="D364" s="2"/>
      </tp>
      <tp t="s">
        <v>#N/A N/A</v>
        <stp/>
        <stp>BDP|6675901602260590590</stp>
        <tr r="P1577" s="2"/>
      </tp>
      <tp t="s">
        <v>#N/A N/A</v>
        <stp/>
        <stp>BDP|4119507977948642486</stp>
        <tr r="T1708" s="2"/>
      </tp>
      <tp t="s">
        <v>#N/A N/A</v>
        <stp/>
        <stp>BDP|9679058725411803066</stp>
        <tr r="J383" s="2"/>
      </tp>
      <tp t="s">
        <v>#N/A N/A</v>
        <stp/>
        <stp>BDP|6887707781392312120</stp>
        <tr r="Q1726" s="2"/>
      </tp>
      <tp t="s">
        <v>#N/A N/A</v>
        <stp/>
        <stp>BDP|5282888470869066922</stp>
        <tr r="N1612" s="2"/>
      </tp>
      <tp t="s">
        <v>#N/A N/A</v>
        <stp/>
        <stp>BDP|5146917028850411446</stp>
        <tr r="T231" s="2"/>
      </tp>
      <tp t="s">
        <v>#N/A N/A</v>
        <stp/>
        <stp>BDP|1247265204360960918</stp>
        <tr r="C1479" s="2"/>
      </tp>
      <tp t="s">
        <v>#N/A N/A</v>
        <stp/>
        <stp>BDP|1986979479081996464</stp>
        <tr r="N654" s="2"/>
      </tp>
      <tp t="s">
        <v>#N/A N/A</v>
        <stp/>
        <stp>BDP|9019152017930372391</stp>
        <tr r="N2153" s="2"/>
      </tp>
      <tp t="s">
        <v>#N/A N/A</v>
        <stp/>
        <stp>BDP|5903623619401381990</stp>
        <tr r="S686" s="2"/>
      </tp>
      <tp t="s">
        <v>#N/A N/A</v>
        <stp/>
        <stp>BDP|1846348298095445487</stp>
        <tr r="H751" s="2"/>
      </tp>
      <tp t="s">
        <v>#N/A N/A</v>
        <stp/>
        <stp>BDP|3050129286645802544</stp>
        <tr r="Q479" s="2"/>
      </tp>
      <tp t="s">
        <v>#N/A N/A</v>
        <stp/>
        <stp>BDP|7830745058977528893</stp>
        <tr r="S2209" s="2"/>
      </tp>
      <tp t="s">
        <v>#N/A N/A</v>
        <stp/>
        <stp>BDP|1265386822408118214</stp>
        <tr r="F1995" s="2"/>
      </tp>
      <tp t="s">
        <v>#N/A N/A</v>
        <stp/>
        <stp>BDP|1874635702144731961</stp>
        <tr r="F476" s="2"/>
      </tp>
      <tp t="s">
        <v>#N/A N/A</v>
        <stp/>
        <stp>BDP|5761217549359333040</stp>
        <tr r="Q1907" s="2"/>
      </tp>
      <tp t="s">
        <v>#N/A N/A</v>
        <stp/>
        <stp>BDP|4462894801604404205</stp>
        <tr r="C1121" s="2"/>
      </tp>
      <tp t="s">
        <v>#N/A N/A</v>
        <stp/>
        <stp>BDP|1991145980933075152</stp>
        <tr r="T34" s="2"/>
      </tp>
      <tp t="s">
        <v>#N/A N/A</v>
        <stp/>
        <stp>BDP|7651322965028913006</stp>
        <tr r="K857" s="2"/>
      </tp>
      <tp t="s">
        <v>#N/A N/A</v>
        <stp/>
        <stp>BDP|4747824567453966331</stp>
        <tr r="S1408" s="2"/>
      </tp>
      <tp t="s">
        <v>#N/A N/A</v>
        <stp/>
        <stp>BDP|1995965360873733704</stp>
        <tr r="S1931" s="2"/>
      </tp>
      <tp t="s">
        <v>#N/A N/A</v>
        <stp/>
        <stp>BDP|2685073718370536948</stp>
        <tr r="H477" s="2"/>
      </tp>
      <tp t="s">
        <v>#N/A N/A</v>
        <stp/>
        <stp>BDP|5754189921689403528</stp>
        <tr r="T904" s="2"/>
      </tp>
      <tp t="s">
        <v>#N/A N/A</v>
        <stp/>
        <stp>BDP|9540311484610817800</stp>
        <tr r="D401" s="2"/>
      </tp>
      <tp t="s">
        <v>#N/A N/A</v>
        <stp/>
        <stp>BDP|2145093892410650144</stp>
        <tr r="P588" s="2"/>
      </tp>
      <tp t="s">
        <v>#N/A N/A</v>
        <stp/>
        <stp>BDP|5773767992575330484</stp>
        <tr r="P379" s="2"/>
      </tp>
      <tp t="s">
        <v>#N/A N/A</v>
        <stp/>
        <stp>BDP|5579914298667253862</stp>
        <tr r="Q1160" s="2"/>
      </tp>
      <tp t="s">
        <v>#N/A N/A</v>
        <stp/>
        <stp>BDP|9700840007088902352</stp>
        <tr r="T375" s="2"/>
      </tp>
      <tp t="s">
        <v>#N/A N/A</v>
        <stp/>
        <stp>BDS|8897336930931548364</stp>
        <tr r="I668" s="2"/>
      </tp>
      <tp t="s">
        <v>#N/A N/A</v>
        <stp/>
        <stp>BDP|4520612289446296678</stp>
        <tr r="J6" s="2"/>
      </tp>
      <tp t="s">
        <v>#N/A N/A</v>
        <stp/>
        <stp>BDP|1711864749157832082</stp>
        <tr r="R663" s="2"/>
      </tp>
      <tp t="s">
        <v>#N/A N/A</v>
        <stp/>
        <stp>BDP|5183921881327891926</stp>
        <tr r="P615" s="2"/>
      </tp>
      <tp t="s">
        <v>#N/A N/A</v>
        <stp/>
        <stp>BDP|2903309393076353418</stp>
        <tr r="C310" s="2"/>
      </tp>
      <tp t="s">
        <v>#N/A N/A</v>
        <stp/>
        <stp>BDP|6136916253634351482</stp>
        <tr r="G1193" s="2"/>
      </tp>
      <tp t="s">
        <v>#N/A N/A</v>
        <stp/>
        <stp>BDP|9005781130072045501</stp>
        <tr r="T1083" s="2"/>
      </tp>
      <tp t="s">
        <v>#N/A N/A</v>
        <stp/>
        <stp>BDP|2149092424302661827</stp>
        <tr r="C1530" s="2"/>
      </tp>
      <tp t="s">
        <v>#N/A N/A</v>
        <stp/>
        <stp>BDP|8659744804091616484</stp>
        <tr r="P146" s="2"/>
      </tp>
      <tp t="s">
        <v>#N/A N/A</v>
        <stp/>
        <stp>BDP|8259360438071175356</stp>
        <tr r="D909" s="2"/>
      </tp>
      <tp t="s">
        <v>#N/A N/A</v>
        <stp/>
        <stp>BDP|3840443585493704667</stp>
        <tr r="S86" s="2"/>
      </tp>
      <tp t="s">
        <v>#N/A N/A</v>
        <stp/>
        <stp>BDP|1783520955992139996</stp>
        <tr r="Q1241" s="2"/>
      </tp>
      <tp t="s">
        <v>#N/A N/A</v>
        <stp/>
        <stp>BDP|7818041000259256463</stp>
        <tr r="T1457" s="2"/>
      </tp>
      <tp t="s">
        <v>#N/A N/A</v>
        <stp/>
        <stp>BDP|8784617368373427129</stp>
        <tr r="M532" s="2"/>
      </tp>
      <tp t="s">
        <v>#N/A N/A</v>
        <stp/>
        <stp>BDP|4560163296844883253</stp>
        <tr r="D2105" s="2"/>
      </tp>
      <tp t="s">
        <v>#N/A N/A</v>
        <stp/>
        <stp>BDS|5993744841755169959</stp>
        <tr r="I2059" s="2"/>
      </tp>
      <tp t="s">
        <v>#N/A N/A</v>
        <stp/>
        <stp>BDP|4782270703718943432</stp>
        <tr r="P2035" s="2"/>
      </tp>
      <tp t="s">
        <v>#N/A N/A</v>
        <stp/>
        <stp>BDP|1111861288892386959</stp>
        <tr r="J768" s="2"/>
      </tp>
      <tp t="s">
        <v>#N/A N/A</v>
        <stp/>
        <stp>BDP|3437598711598307567</stp>
        <tr r="R386" s="2"/>
      </tp>
      <tp t="s">
        <v>#N/A N/A</v>
        <stp/>
        <stp>BDP|1737885504283755058</stp>
        <tr r="T2016" s="2"/>
      </tp>
      <tp t="s">
        <v>#N/A N/A</v>
        <stp/>
        <stp>BDP|2811668536728612577</stp>
        <tr r="K1075" s="2"/>
      </tp>
      <tp t="s">
        <v>#N/A N/A</v>
        <stp/>
        <stp>BDP|9434089924019345826</stp>
        <tr r="K312" s="2"/>
      </tp>
      <tp t="s">
        <v>#N/A N/A</v>
        <stp/>
        <stp>BDP|5065943514223055499</stp>
        <tr r="M612" s="2"/>
      </tp>
      <tp t="s">
        <v>#N/A N/A</v>
        <stp/>
        <stp>BDP|9599823719658075270</stp>
        <tr r="K1216" s="2"/>
      </tp>
      <tp t="s">
        <v>#N/A N/A</v>
        <stp/>
        <stp>BDP|2695844582348871013</stp>
        <tr r="P1899" s="2"/>
      </tp>
      <tp t="s">
        <v>#N/A N/A</v>
        <stp/>
        <stp>BDP|8483484270778074956</stp>
        <tr r="P1073" s="2"/>
      </tp>
      <tp t="s">
        <v>#N/A N/A</v>
        <stp/>
        <stp>BDP|4818128061248601141</stp>
        <tr r="R112" s="2"/>
      </tp>
      <tp t="s">
        <v>#N/A N/A</v>
        <stp/>
        <stp>BDP|9493206842767910263</stp>
        <tr r="N1714" s="2"/>
      </tp>
      <tp t="s">
        <v>#N/A N/A</v>
        <stp/>
        <stp>BDP|2695791316089931791</stp>
        <tr r="O2191" s="2"/>
      </tp>
      <tp t="s">
        <v>#N/A N/A</v>
        <stp/>
        <stp>BDP|7641669118668836295</stp>
        <tr r="G1713" s="2"/>
      </tp>
      <tp t="s">
        <v>#N/A N/A</v>
        <stp/>
        <stp>BDP|4143748415099141185</stp>
        <tr r="E602" s="2"/>
      </tp>
      <tp t="s">
        <v>#N/A N/A</v>
        <stp/>
        <stp>BDP|1928321783871640172</stp>
        <tr r="M1082" s="2"/>
      </tp>
      <tp t="s">
        <v>#N/A N/A</v>
        <stp/>
        <stp>BDP|2044266933969963050</stp>
        <tr r="T1351" s="2"/>
      </tp>
      <tp t="s">
        <v>#N/A N/A</v>
        <stp/>
        <stp>BDP|4404453798871253222</stp>
        <tr r="K2124" s="2"/>
      </tp>
      <tp t="s">
        <v>#N/A N/A</v>
        <stp/>
        <stp>BDP|7571893571825075747</stp>
        <tr r="Q1496" s="2"/>
      </tp>
      <tp t="s">
        <v>#N/A N/A</v>
        <stp/>
        <stp>BDP|3739381467845875991</stp>
        <tr r="J303" s="2"/>
      </tp>
      <tp t="s">
        <v>#N/A N/A</v>
        <stp/>
        <stp>BDP|3579077385958851960</stp>
        <tr r="O1382" s="2"/>
      </tp>
      <tp t="s">
        <v>#N/A N/A</v>
        <stp/>
        <stp>BDP|9590049168967441242</stp>
        <tr r="K407" s="2"/>
      </tp>
      <tp t="s">
        <v>#N/A N/A</v>
        <stp/>
        <stp>BDP|4249938855692560083</stp>
        <tr r="R1826" s="2"/>
      </tp>
      <tp t="s">
        <v>#N/A N/A</v>
        <stp/>
        <stp>BDP|2018698541759631372</stp>
        <tr r="H1068" s="2"/>
      </tp>
      <tp t="s">
        <v>#N/A N/A</v>
        <stp/>
        <stp>BDP|5091609489315541459</stp>
        <tr r="K1406" s="2"/>
      </tp>
      <tp t="s">
        <v>#N/A N/A</v>
        <stp/>
        <stp>BDP|1255584045409434328</stp>
        <tr r="E1681" s="2"/>
      </tp>
      <tp t="s">
        <v>#N/A N/A</v>
        <stp/>
        <stp>BDS|1653502064611840938</stp>
        <tr r="I1257" s="2"/>
      </tp>
      <tp t="s">
        <v>#N/A N/A</v>
        <stp/>
        <stp>BDP|8173020213893855014</stp>
        <tr r="K1016" s="2"/>
      </tp>
      <tp t="s">
        <v>#N/A N/A</v>
        <stp/>
        <stp>BDP|6652729929521647823</stp>
        <tr r="D549" s="2"/>
      </tp>
      <tp t="s">
        <v>#N/A N/A</v>
        <stp/>
        <stp>BDP|2514582756558306017</stp>
        <tr r="M1157" s="2"/>
      </tp>
      <tp t="s">
        <v>#N/A N/A</v>
        <stp/>
        <stp>BDP|8569583859676407492</stp>
        <tr r="R275" s="2"/>
      </tp>
      <tp t="s">
        <v>#N/A N/A</v>
        <stp/>
        <stp>BDP|1312079551856490888</stp>
        <tr r="Q1581" s="2"/>
      </tp>
      <tp t="s">
        <v>#N/A N/A</v>
        <stp/>
        <stp>BDS|3649183022552671837</stp>
        <tr r="I1411" s="2"/>
      </tp>
      <tp t="s">
        <v>#N/A N/A</v>
        <stp/>
        <stp>BDP|3222023018289910183</stp>
        <tr r="Q1528" s="2"/>
      </tp>
      <tp t="s">
        <v>#N/A N/A</v>
        <stp/>
        <stp>BDP|6932972223046672126</stp>
        <tr r="Q2168" s="2"/>
      </tp>
      <tp t="s">
        <v>#N/A N/A</v>
        <stp/>
        <stp>BDP|9894146840884702227</stp>
        <tr r="C211" s="2"/>
      </tp>
      <tp t="s">
        <v>#N/A N/A</v>
        <stp/>
        <stp>BDP|1749912121776658684</stp>
        <tr r="K204" s="2"/>
      </tp>
      <tp t="s">
        <v>#N/A N/A</v>
        <stp/>
        <stp>BDP|6940769245379096637</stp>
        <tr r="A634" s="2"/>
      </tp>
      <tp t="s">
        <v>#N/A N/A</v>
        <stp/>
        <stp>BDS|3793311689495172778</stp>
        <tr r="I655" s="2"/>
      </tp>
      <tp t="s">
        <v>#N/A N/A</v>
        <stp/>
        <stp>BDP|6249012052550099989</stp>
        <tr r="S61" s="2"/>
      </tp>
      <tp t="s">
        <v>#N/A N/A</v>
        <stp/>
        <stp>BDS|2477674149399099339</stp>
        <tr r="I2062" s="2"/>
      </tp>
      <tp t="s">
        <v>#N/A N/A</v>
        <stp/>
        <stp>BDP|6611304599767642105</stp>
        <tr r="F1261" s="2"/>
      </tp>
      <tp t="s">
        <v>#N/A N/A</v>
        <stp/>
        <stp>BDP|4628719061598880775</stp>
        <tr r="M1466" s="2"/>
      </tp>
      <tp t="s">
        <v>#N/A N/A</v>
        <stp/>
        <stp>BDP|7552126789047703300</stp>
        <tr r="G1938" s="2"/>
      </tp>
      <tp t="s">
        <v>#N/A N/A</v>
        <stp/>
        <stp>BDP|9553216023022803160</stp>
        <tr r="M2095" s="2"/>
      </tp>
      <tp t="s">
        <v>#N/A N/A</v>
        <stp/>
        <stp>BDP|8180844821070990846</stp>
        <tr r="R2032" s="2"/>
      </tp>
      <tp t="s">
        <v>#N/A N/A</v>
        <stp/>
        <stp>BDP|1739329704939994119</stp>
        <tr r="G1135" s="2"/>
      </tp>
      <tp t="s">
        <v>#N/A N/A</v>
        <stp/>
        <stp>BDP|1650410673618433092</stp>
        <tr r="G1648" s="2"/>
      </tp>
      <tp t="s">
        <v>#N/A N/A</v>
        <stp/>
        <stp>BDP|9646099574821293509</stp>
        <tr r="H1649" s="2"/>
      </tp>
      <tp t="s">
        <v>#N/A N/A</v>
        <stp/>
        <stp>BDS|7065924542129911904</stp>
        <tr r="I22" s="2"/>
      </tp>
      <tp t="s">
        <v>#N/A N/A</v>
        <stp/>
        <stp>BDP|7939229053579723368</stp>
        <tr r="E699" s="2"/>
      </tp>
      <tp t="s">
        <v>#N/A N/A</v>
        <stp/>
        <stp>BDP|6832554222292511931</stp>
        <tr r="D664" s="2"/>
      </tp>
      <tp t="s">
        <v>#N/A N/A</v>
        <stp/>
        <stp>BDP|9993393640926020295</stp>
        <tr r="G2001" s="2"/>
      </tp>
      <tp t="s">
        <v>#N/A N/A</v>
        <stp/>
        <stp>BDP|1041678105214331989</stp>
        <tr r="R1878" s="2"/>
      </tp>
      <tp t="s">
        <v>#N/A N/A</v>
        <stp/>
        <stp>BDP|7061965458281634016</stp>
        <tr r="P2155" s="2"/>
      </tp>
      <tp t="s">
        <v>#N/A N/A</v>
        <stp/>
        <stp>BDP|7454356875139479092</stp>
        <tr r="P368" s="2"/>
      </tp>
      <tp t="s">
        <v>#N/A N/A</v>
        <stp/>
        <stp>BDP|7421809257855376593</stp>
        <tr r="D163" s="2"/>
      </tp>
      <tp t="s">
        <v>#N/A N/A</v>
        <stp/>
        <stp>BDP|9909935056237756825</stp>
        <tr r="C1311" s="2"/>
      </tp>
      <tp t="s">
        <v>#N/A N/A</v>
        <stp/>
        <stp>BDP|3464030311929980161</stp>
        <tr r="K1332" s="2"/>
      </tp>
      <tp t="s">
        <v>#N/A N/A</v>
        <stp/>
        <stp>BDP|8175191110210530241</stp>
        <tr r="Q798" s="2"/>
      </tp>
      <tp t="s">
        <v>#N/A N/A</v>
        <stp/>
        <stp>BDP|7601064270252880818</stp>
        <tr r="R131" s="2"/>
      </tp>
      <tp t="s">
        <v>#N/A N/A</v>
        <stp/>
        <stp>BDP|9498642418596105208</stp>
        <tr r="C1258" s="2"/>
      </tp>
      <tp t="s">
        <v>#N/A N/A</v>
        <stp/>
        <stp>BDP|9339750747649108993</stp>
        <tr r="S99" s="2"/>
      </tp>
      <tp t="s">
        <v>#N/A N/A</v>
        <stp/>
        <stp>BDP|1388615603775091885</stp>
        <tr r="R1253" s="2"/>
      </tp>
      <tp t="s">
        <v>#N/A N/A</v>
        <stp/>
        <stp>BDP|6110382717667856989</stp>
        <tr r="N1722" s="2"/>
      </tp>
      <tp t="s">
        <v>#N/A N/A</v>
        <stp/>
        <stp>BDP|8947180719461197370</stp>
        <tr r="E1914" s="2"/>
      </tp>
      <tp t="s">
        <v>#N/A N/A</v>
        <stp/>
        <stp>BDP|7832650552879172705</stp>
        <tr r="T579" s="2"/>
      </tp>
      <tp t="s">
        <v>#N/A N/A</v>
        <stp/>
        <stp>BDP|9007363031835069694</stp>
        <tr r="P2205" s="2"/>
      </tp>
      <tp t="s">
        <v>#N/A N/A</v>
        <stp/>
        <stp>BDP|3576684795666349058</stp>
        <tr r="O539" s="2"/>
      </tp>
      <tp t="s">
        <v>#N/A N/A</v>
        <stp/>
        <stp>BDP|3768791302827377911</stp>
        <tr r="E1191" s="2"/>
      </tp>
      <tp t="s">
        <v>#N/A N/A</v>
        <stp/>
        <stp>BDP|4780760159658122474</stp>
        <tr r="R1271" s="2"/>
      </tp>
      <tp t="s">
        <v>#N/A N/A</v>
        <stp/>
        <stp>BDP|5961840335937771310</stp>
        <tr r="F1834" s="2"/>
      </tp>
      <tp t="s">
        <v>#N/A N/A</v>
        <stp/>
        <stp>BDS|2960617502537495906</stp>
        <tr r="I1918" s="2"/>
      </tp>
      <tp t="s">
        <v>#N/A N/A</v>
        <stp/>
        <stp>BDP|5985274997410501420</stp>
        <tr r="P60" s="2"/>
      </tp>
      <tp t="s">
        <v>#N/A N/A</v>
        <stp/>
        <stp>BDP|9182781312495123047</stp>
        <tr r="P218" s="2"/>
      </tp>
      <tp t="s">
        <v>#N/A N/A</v>
        <stp/>
        <stp>BDP|9632358471785536294</stp>
        <tr r="C1430" s="2"/>
      </tp>
      <tp t="s">
        <v>#N/A N/A</v>
        <stp/>
        <stp>BDS|9970450683888507747</stp>
        <tr r="I1397" s="2"/>
      </tp>
      <tp t="s">
        <v>#N/A N/A</v>
        <stp/>
        <stp>BDP|6776779623479852055</stp>
        <tr r="J1714" s="2"/>
      </tp>
      <tp t="s">
        <v>#N/A N/A</v>
        <stp/>
        <stp>BDP|5725086999046879009</stp>
        <tr r="D1833" s="2"/>
      </tp>
      <tp t="s">
        <v>#N/A N/A</v>
        <stp/>
        <stp>BDP|9158629212126913266</stp>
        <tr r="C160" s="2"/>
      </tp>
      <tp t="s">
        <v>#N/A N/A</v>
        <stp/>
        <stp>BDP|2989083638698640314</stp>
        <tr r="E1056" s="2"/>
      </tp>
      <tp t="s">
        <v>#N/A N/A</v>
        <stp/>
        <stp>BDP|4775486083302263009</stp>
        <tr r="M433" s="2"/>
      </tp>
      <tp t="s">
        <v>#N/A N/A</v>
        <stp/>
        <stp>BDP|1113897625726657759</stp>
        <tr r="C2001" s="2"/>
      </tp>
      <tp t="s">
        <v>#N/A N/A</v>
        <stp/>
        <stp>BDP|9082786226111838781</stp>
        <tr r="P595" s="2"/>
      </tp>
      <tp t="s">
        <v>#N/A N/A</v>
        <stp/>
        <stp>BDP|5828869327412724701</stp>
        <tr r="T1891" s="2"/>
      </tp>
      <tp t="s">
        <v>#N/A N/A</v>
        <stp/>
        <stp>BDP|2215096190782644338</stp>
        <tr r="N937" s="2"/>
      </tp>
      <tp t="s">
        <v>#N/A N/A</v>
        <stp/>
        <stp>BDP|7858563453435187826</stp>
        <tr r="A585" s="2"/>
      </tp>
      <tp t="s">
        <v>#N/A N/A</v>
        <stp/>
        <stp>BDP|2413885306088612829</stp>
        <tr r="E529" s="2"/>
      </tp>
      <tp t="s">
        <v>#N/A N/A</v>
        <stp/>
        <stp>BDP|1406345685071221198</stp>
        <tr r="N165" s="2"/>
      </tp>
      <tp t="s">
        <v>#N/A N/A</v>
        <stp/>
        <stp>BDP|4884246393540705564</stp>
        <tr r="G2133" s="2"/>
      </tp>
      <tp t="s">
        <v>#N/A N/A</v>
        <stp/>
        <stp>BDP|9756895021559320028</stp>
        <tr r="N1605" s="2"/>
      </tp>
      <tp t="s">
        <v>#N/A N/A</v>
        <stp/>
        <stp>BDP|1129385188002985260</stp>
        <tr r="K1851" s="2"/>
      </tp>
      <tp t="s">
        <v>#N/A N/A</v>
        <stp/>
        <stp>BDP|1561571219356423918</stp>
        <tr r="M234" s="2"/>
      </tp>
      <tp t="s">
        <v>#N/A N/A</v>
        <stp/>
        <stp>BDS|4966239385451536545</stp>
        <tr r="I1286" s="2"/>
      </tp>
      <tp t="s">
        <v>#N/A N/A</v>
        <stp/>
        <stp>BDP|6074769603938290390</stp>
        <tr r="S2172" s="2"/>
      </tp>
      <tp t="s">
        <v>#N/A N/A</v>
        <stp/>
        <stp>BDP|2472424326207894969</stp>
        <tr r="E1613" s="2"/>
      </tp>
      <tp t="s">
        <v>#N/A N/A</v>
        <stp/>
        <stp>BDP|3646376614542343982</stp>
        <tr r="G156" s="2"/>
      </tp>
      <tp t="s">
        <v>#N/A N/A</v>
        <stp/>
        <stp>BDP|8107815899262059173</stp>
        <tr r="F164" s="2"/>
      </tp>
      <tp t="s">
        <v>#N/A N/A</v>
        <stp/>
        <stp>BDP|9940824349806581991</stp>
        <tr r="E337" s="2"/>
      </tp>
      <tp t="s">
        <v>#N/A N/A</v>
        <stp/>
        <stp>BDP|2544329579949556550</stp>
        <tr r="E2241" s="2"/>
      </tp>
      <tp t="s">
        <v>#N/A N/A</v>
        <stp/>
        <stp>BDP|3564520763282827827</stp>
        <tr r="K1808" s="2"/>
      </tp>
      <tp t="s">
        <v>#N/A N/A</v>
        <stp/>
        <stp>BDP|1840064524289432000</stp>
        <tr r="O1452" s="2"/>
      </tp>
      <tp t="s">
        <v>#N/A N/A</v>
        <stp/>
        <stp>BDS|4858867008530913614</stp>
        <tr r="I1317" s="2"/>
      </tp>
      <tp t="s">
        <v>#N/A N/A</v>
        <stp/>
        <stp>BDP|5943662893075007527</stp>
        <tr r="T2233" s="2"/>
      </tp>
      <tp t="s">
        <v>#N/A N/A</v>
        <stp/>
        <stp>BDP|8843695363225569794</stp>
        <tr r="M1058" s="2"/>
      </tp>
      <tp t="s">
        <v>#N/A N/A</v>
        <stp/>
        <stp>BDP|8891623527287609158</stp>
        <tr r="C692" s="2"/>
      </tp>
      <tp t="s">
        <v>#N/A N/A</v>
        <stp/>
        <stp>BDP|4155549188504082731</stp>
        <tr r="O1991" s="2"/>
      </tp>
      <tp t="s">
        <v>#N/A N/A</v>
        <stp/>
        <stp>BDP|4548467253097902873</stp>
        <tr r="T812" s="2"/>
      </tp>
      <tp t="s">
        <v>#N/A N/A</v>
        <stp/>
        <stp>BDP|9049283874424271204</stp>
        <tr r="S898" s="2"/>
      </tp>
      <tp t="s">
        <v>#N/A N/A</v>
        <stp/>
        <stp>BDP|5902888287859166696</stp>
        <tr r="Q1969" s="2"/>
      </tp>
      <tp t="s">
        <v>#N/A N/A</v>
        <stp/>
        <stp>BDP|4948938423813331647</stp>
        <tr r="D993" s="2"/>
      </tp>
      <tp t="s">
        <v>#N/A N/A</v>
        <stp/>
        <stp>BDP|6855191876309162381</stp>
        <tr r="D757" s="2"/>
      </tp>
      <tp t="s">
        <v>#N/A N/A</v>
        <stp/>
        <stp>BDP|9759102210393069092</stp>
        <tr r="N1753" s="2"/>
      </tp>
      <tp t="s">
        <v>#N/A N/A</v>
        <stp/>
        <stp>BDP|6097249930118828520</stp>
        <tr r="N327" s="2"/>
      </tp>
      <tp t="s">
        <v>#N/A N/A</v>
        <stp/>
        <stp>BDP|4425677199313255260</stp>
        <tr r="A1882" s="2"/>
      </tp>
      <tp t="s">
        <v>#N/A N/A</v>
        <stp/>
        <stp>BDP|8899152000827299419</stp>
        <tr r="E86" s="2"/>
      </tp>
      <tp t="s">
        <v>#N/A N/A</v>
        <stp/>
        <stp>BDP|2292212887604899627</stp>
        <tr r="H2022" s="2"/>
      </tp>
      <tp t="s">
        <v>#N/A N/A</v>
        <stp/>
        <stp>BDS|7623975175463278084</stp>
        <tr r="I1459" s="2"/>
      </tp>
      <tp t="s">
        <v>#N/A N/A</v>
        <stp/>
        <stp>BDP|2657492523389763751</stp>
        <tr r="H136" s="2"/>
      </tp>
      <tp t="s">
        <v>#N/A N/A</v>
        <stp/>
        <stp>BDP|1027288742638667528</stp>
        <tr r="S1049" s="2"/>
      </tp>
      <tp t="s">
        <v>#N/A N/A</v>
        <stp/>
        <stp>BDP|3051983372444100350</stp>
        <tr r="Q266" s="2"/>
      </tp>
      <tp t="s">
        <v>#N/A N/A</v>
        <stp/>
        <stp>BDP|2562847534267806431</stp>
        <tr r="S1476" s="2"/>
      </tp>
      <tp t="s">
        <v>#N/A N/A</v>
        <stp/>
        <stp>BDP|5341100396545366285</stp>
        <tr r="D1622" s="2"/>
      </tp>
      <tp t="s">
        <v>#N/A N/A</v>
        <stp/>
        <stp>BDP|9176182336303179203</stp>
        <tr r="J795" s="2"/>
      </tp>
      <tp t="s">
        <v>#N/A N/A</v>
        <stp/>
        <stp>BDP|3530554628119339750</stp>
        <tr r="T553" s="2"/>
      </tp>
      <tp t="s">
        <v>#N/A N/A</v>
        <stp/>
        <stp>BDP|8773610968460762270</stp>
        <tr r="K1267" s="2"/>
      </tp>
      <tp t="s">
        <v>#N/A N/A</v>
        <stp/>
        <stp>BDP|5044914389119619705</stp>
        <tr r="P1016" s="2"/>
      </tp>
      <tp t="s">
        <v>#N/A N/A</v>
        <stp/>
        <stp>BDS|8795931221848219197</stp>
        <tr r="I880" s="2"/>
      </tp>
      <tp t="s">
        <v>#N/A N/A</v>
        <stp/>
        <stp>BDP|5292422485566234599</stp>
        <tr r="R287" s="2"/>
      </tp>
      <tp t="s">
        <v>#N/A N/A</v>
        <stp/>
        <stp>BDP|1922907124128257815</stp>
        <tr r="K1596" s="2"/>
      </tp>
      <tp t="s">
        <v>#N/A N/A</v>
        <stp/>
        <stp>BDP|1576007117599479386</stp>
        <tr r="J641" s="2"/>
      </tp>
      <tp t="s">
        <v>#N/A N/A</v>
        <stp/>
        <stp>BDP|9514231659204065010</stp>
        <tr r="N2076" s="2"/>
      </tp>
      <tp t="s">
        <v>#N/A N/A</v>
        <stp/>
        <stp>BDP|5043301309074374846</stp>
        <tr r="O1080" s="2"/>
      </tp>
      <tp t="s">
        <v>#N/A N/A</v>
        <stp/>
        <stp>BDP|3014981871364103367</stp>
        <tr r="E1072" s="2"/>
      </tp>
      <tp t="s">
        <v>#N/A N/A</v>
        <stp/>
        <stp>BDP|8893370527087497424</stp>
        <tr r="A839" s="2"/>
      </tp>
      <tp t="s">
        <v>#N/A N/A</v>
        <stp/>
        <stp>BDS|6733616648558930697</stp>
        <tr r="I161" s="2"/>
      </tp>
      <tp t="s">
        <v>#N/A N/A</v>
        <stp/>
        <stp>BDP|1217237879399147776</stp>
        <tr r="E195" s="2"/>
      </tp>
      <tp t="s">
        <v>#N/A N/A</v>
        <stp/>
        <stp>BDP|7369822246230933102</stp>
        <tr r="M952" s="2"/>
      </tp>
      <tp t="s">
        <v>#N/A N/A</v>
        <stp/>
        <stp>BDP|9185475451070990202</stp>
        <tr r="S978" s="2"/>
      </tp>
      <tp t="s">
        <v>#N/A N/A</v>
        <stp/>
        <stp>BDP|1021042883004030795</stp>
        <tr r="K1712" s="2"/>
      </tp>
      <tp t="s">
        <v>#N/A N/A</v>
        <stp/>
        <stp>BDP|4721784502679648052</stp>
        <tr r="F2109" s="2"/>
      </tp>
      <tp t="s">
        <v>#N/A N/A</v>
        <stp/>
        <stp>BDP|9337712649856174657</stp>
        <tr r="H583" s="2"/>
      </tp>
      <tp t="s">
        <v>#N/A N/A</v>
        <stp/>
        <stp>BDP|5184583585124130620</stp>
        <tr r="E698" s="2"/>
      </tp>
      <tp t="s">
        <v>#N/A N/A</v>
        <stp/>
        <stp>BDP|3874881242214597185</stp>
        <tr r="A1207" s="2"/>
      </tp>
      <tp t="s">
        <v>#N/A N/A</v>
        <stp/>
        <stp>BDP|4338766999959537967</stp>
        <tr r="C59" s="2"/>
      </tp>
      <tp t="s">
        <v>#N/A N/A</v>
        <stp/>
        <stp>BDP|9835098025331305080</stp>
        <tr r="M1792" s="2"/>
      </tp>
      <tp t="s">
        <v>#N/A N/A</v>
        <stp/>
        <stp>BDP|1701393874919416613</stp>
        <tr r="J1912" s="2"/>
      </tp>
      <tp t="s">
        <v>#N/A N/A</v>
        <stp/>
        <stp>BDP|9196373067204779297</stp>
        <tr r="E1598" s="2"/>
      </tp>
      <tp t="s">
        <v>#N/A N/A</v>
        <stp/>
        <stp>BDS|9923432693188034669</stp>
        <tr r="I358" s="2"/>
      </tp>
      <tp t="s">
        <v>#N/A N/A</v>
        <stp/>
        <stp>BDP|8268305687849230080</stp>
        <tr r="C1611" s="2"/>
      </tp>
      <tp t="s">
        <v>#N/A N/A</v>
        <stp/>
        <stp>BDP|7373065591830366487</stp>
        <tr r="F1347" s="2"/>
      </tp>
      <tp t="s">
        <v>#N/A N/A</v>
        <stp/>
        <stp>BDP|6519484341454192823</stp>
        <tr r="M1645" s="2"/>
      </tp>
      <tp t="s">
        <v>#N/A N/A</v>
        <stp/>
        <stp>BDP|3208332082621871348</stp>
        <tr r="Q1889" s="2"/>
      </tp>
      <tp t="s">
        <v>#N/A N/A</v>
        <stp/>
        <stp>BDP|8467238819553241234</stp>
        <tr r="K1009" s="2"/>
      </tp>
      <tp t="s">
        <v>#N/A N/A</v>
        <stp/>
        <stp>BDP|4706348248211385878</stp>
        <tr r="C1419" s="2"/>
      </tp>
      <tp t="s">
        <v>#N/A N/A</v>
        <stp/>
        <stp>BDP|9983500564820284002</stp>
        <tr r="P2084" s="2"/>
      </tp>
      <tp t="s">
        <v>#N/A N/A</v>
        <stp/>
        <stp>BDP|5603989041306551455</stp>
        <tr r="D1644" s="2"/>
      </tp>
      <tp t="s">
        <v>#N/A N/A</v>
        <stp/>
        <stp>BDP|6273838327133050591</stp>
        <tr r="T846" s="2"/>
      </tp>
      <tp t="s">
        <v>#N/A N/A</v>
        <stp/>
        <stp>BDP|7209946692129351488</stp>
        <tr r="E428" s="2"/>
      </tp>
      <tp t="s">
        <v>#N/A N/A</v>
        <stp/>
        <stp>BDP|9296589507887547176</stp>
        <tr r="E1588" s="2"/>
      </tp>
      <tp t="s">
        <v>#N/A N/A</v>
        <stp/>
        <stp>BDP|1020971548005362338</stp>
        <tr r="F76" s="2"/>
      </tp>
      <tp t="s">
        <v>#N/A N/A</v>
        <stp/>
        <stp>BDP|5726608795131863150</stp>
        <tr r="E1024" s="2"/>
      </tp>
      <tp t="s">
        <v>#N/A N/A</v>
        <stp/>
        <stp>BDP|6145945641230261198</stp>
        <tr r="P549" s="2"/>
      </tp>
      <tp t="s">
        <v>#N/A N/A</v>
        <stp/>
        <stp>BDP|9853728724650740662</stp>
        <tr r="G564" s="2"/>
      </tp>
      <tp t="s">
        <v>#N/A N/A</v>
        <stp/>
        <stp>BDS|3662054699426788620</stp>
        <tr r="I538" s="2"/>
      </tp>
      <tp t="s">
        <v>#N/A N/A</v>
        <stp/>
        <stp>BDP|6467891546475481507</stp>
        <tr r="N2177" s="2"/>
      </tp>
      <tp t="s">
        <v>#N/A N/A</v>
        <stp/>
        <stp>BDP|1834050702019464249</stp>
        <tr r="M1682" s="2"/>
      </tp>
      <tp t="s">
        <v>#N/A N/A</v>
        <stp/>
        <stp>BDP|1296281492061619115</stp>
        <tr r="Q511" s="2"/>
      </tp>
      <tp t="s">
        <v>#N/A N/A</v>
        <stp/>
        <stp>BDP|7673166288082687615</stp>
        <tr r="M1666" s="2"/>
      </tp>
      <tp t="s">
        <v>#N/A N/A</v>
        <stp/>
        <stp>BDP|6262553838429957398</stp>
        <tr r="K1793" s="2"/>
      </tp>
      <tp t="s">
        <v>#N/A N/A</v>
        <stp/>
        <stp>BDP|7556519824468752281</stp>
        <tr r="N442" s="2"/>
      </tp>
      <tp t="s">
        <v>#N/A N/A</v>
        <stp/>
        <stp>BDP|7875249142792357920</stp>
        <tr r="S244" s="2"/>
      </tp>
      <tp t="s">
        <v>#N/A N/A</v>
        <stp/>
        <stp>BDP|3022298798003971172</stp>
        <tr r="D91" s="2"/>
      </tp>
      <tp t="s">
        <v>#N/A N/A</v>
        <stp/>
        <stp>BDP|7030874128380734778</stp>
        <tr r="N575" s="2"/>
      </tp>
      <tp t="s">
        <v>#N/A N/A</v>
        <stp/>
        <stp>BDS|7320315688501668738</stp>
        <tr r="I144" s="2"/>
      </tp>
      <tp t="s">
        <v>#N/A N/A</v>
        <stp/>
        <stp>BDP|2636828139113053021</stp>
        <tr r="N1976" s="2"/>
      </tp>
      <tp t="s">
        <v>#N/A N/A</v>
        <stp/>
        <stp>BDP|3125574791676980319</stp>
        <tr r="J1932" s="2"/>
      </tp>
      <tp t="s">
        <v>#N/A N/A</v>
        <stp/>
        <stp>BDP|4763415033730245981</stp>
        <tr r="C892" s="2"/>
      </tp>
      <tp t="s">
        <v>#N/A N/A</v>
        <stp/>
        <stp>BDP|4893386133867463980</stp>
        <tr r="O959" s="2"/>
      </tp>
      <tp t="s">
        <v>#N/A N/A</v>
        <stp/>
        <stp>BDP|8312431718061763607</stp>
        <tr r="S70" s="2"/>
      </tp>
      <tp t="s">
        <v>#N/A N/A</v>
        <stp/>
        <stp>BDP|4836952570142546275</stp>
        <tr r="F602" s="2"/>
      </tp>
      <tp t="s">
        <v>#N/A N/A</v>
        <stp/>
        <stp>BDP|6685671414858346394</stp>
        <tr r="A1387" s="2"/>
      </tp>
      <tp t="s">
        <v>#N/A N/A</v>
        <stp/>
        <stp>BDP|1061622496020913425</stp>
        <tr r="O1046" s="2"/>
      </tp>
      <tp t="s">
        <v>#N/A N/A</v>
        <stp/>
        <stp>BDP|8783596016253040578</stp>
        <tr r="A1309" s="2"/>
      </tp>
      <tp t="s">
        <v>#N/A N/A</v>
        <stp/>
        <stp>BDP|9764365872422528595</stp>
        <tr r="K452" s="2"/>
      </tp>
      <tp t="s">
        <v>#N/A N/A</v>
        <stp/>
        <stp>BDP|4720564849708016770</stp>
        <tr r="O1328" s="2"/>
      </tp>
      <tp t="s">
        <v>#N/A N/A</v>
        <stp/>
        <stp>BDP|6248990321140614734</stp>
        <tr r="R187" s="2"/>
      </tp>
      <tp t="s">
        <v>#N/A N/A</v>
        <stp/>
        <stp>BDP|2257166890615838535</stp>
        <tr r="C2135" s="2"/>
      </tp>
      <tp t="s">
        <v>#N/A N/A</v>
        <stp/>
        <stp>BDP|8919544662680111111</stp>
        <tr r="S718" s="2"/>
      </tp>
      <tp t="s">
        <v>#N/A N/A</v>
        <stp/>
        <stp>BDP|4622554999463211170</stp>
        <tr r="P2074" s="2"/>
      </tp>
      <tp t="s">
        <v>#N/A N/A</v>
        <stp/>
        <stp>BDP|5779987477226586729</stp>
        <tr r="Q1204" s="2"/>
      </tp>
      <tp t="s">
        <v>#N/A N/A</v>
        <stp/>
        <stp>BDP|9832460012506764042</stp>
        <tr r="E47" s="2"/>
      </tp>
      <tp t="s">
        <v>#N/A N/A</v>
        <stp/>
        <stp>BDP|2493287181470584270</stp>
        <tr r="G107" s="2"/>
      </tp>
      <tp t="s">
        <v>#N/A N/A</v>
        <stp/>
        <stp>BDS|2871236302628241242</stp>
        <tr r="I920" s="2"/>
      </tp>
      <tp t="s">
        <v>#N/A N/A</v>
        <stp/>
        <stp>BDP|3512491609014269984</stp>
        <tr r="M875" s="2"/>
      </tp>
      <tp t="s">
        <v>#N/A N/A</v>
        <stp/>
        <stp>BDP|5430918042952071080</stp>
        <tr r="N1035" s="2"/>
      </tp>
      <tp t="s">
        <v>#N/A N/A</v>
        <stp/>
        <stp>BDP|7245826160966897577</stp>
        <tr r="K1268" s="2"/>
      </tp>
      <tp t="s">
        <v>#N/A N/A</v>
        <stp/>
        <stp>BDP|5524006793066032092</stp>
        <tr r="Q1830" s="2"/>
      </tp>
      <tp t="s">
        <v>#N/A N/A</v>
        <stp/>
        <stp>BDP|1764615413124901837</stp>
        <tr r="F1628" s="2"/>
      </tp>
      <tp t="s">
        <v>#N/A N/A</v>
        <stp/>
        <stp>BDP|8831226733981090260</stp>
        <tr r="C1844" s="2"/>
      </tp>
      <tp t="s">
        <v>#N/A N/A</v>
        <stp/>
        <stp>BDP|9703556029483255762</stp>
        <tr r="K1803" s="2"/>
      </tp>
      <tp t="s">
        <v>#N/A N/A</v>
        <stp/>
        <stp>BDP|7344251448113129803</stp>
        <tr r="R1469" s="2"/>
      </tp>
      <tp t="s">
        <v>#N/A N/A</v>
        <stp/>
        <stp>BDP|7744961849532207255</stp>
        <tr r="K161" s="2"/>
      </tp>
      <tp t="s">
        <v>#N/A N/A</v>
        <stp/>
        <stp>BDP|5989171015349794636</stp>
        <tr r="E92" s="2"/>
      </tp>
      <tp t="s">
        <v>#N/A N/A</v>
        <stp/>
        <stp>BDP|7780868000586631383</stp>
        <tr r="N1838" s="2"/>
      </tp>
      <tp t="s">
        <v>#N/A N/A</v>
        <stp/>
        <stp>BDP|4430119169209755049</stp>
        <tr r="T409" s="2"/>
      </tp>
      <tp t="s">
        <v>#N/A N/A</v>
        <stp/>
        <stp>BDP|4834810366624731472</stp>
        <tr r="F1192" s="2"/>
      </tp>
      <tp t="s">
        <v>#N/A N/A</v>
        <stp/>
        <stp>BDP|5585685281932461376</stp>
        <tr r="J1936" s="2"/>
      </tp>
      <tp t="s">
        <v>#N/A N/A</v>
        <stp/>
        <stp>BDS|1533664035109025793</stp>
        <tr r="I2231" s="2"/>
      </tp>
      <tp t="s">
        <v>#N/A N/A</v>
        <stp/>
        <stp>BDP|8529595496798453611</stp>
        <tr r="O409" s="2"/>
      </tp>
      <tp t="s">
        <v>#N/A N/A</v>
        <stp/>
        <stp>BDP|8221208550515813059</stp>
        <tr r="M632" s="2"/>
      </tp>
      <tp t="s">
        <v>#N/A N/A</v>
        <stp/>
        <stp>BDP|9268387082491723900</stp>
        <tr r="F395" s="2"/>
      </tp>
      <tp t="s">
        <v>#N/A N/A</v>
        <stp/>
        <stp>BDP|4743795301638690169</stp>
        <tr r="T2177" s="2"/>
      </tp>
      <tp t="s">
        <v>#N/A N/A</v>
        <stp/>
        <stp>BDP|5253586497075263602</stp>
        <tr r="K523" s="2"/>
      </tp>
      <tp t="s">
        <v>#N/A N/A</v>
        <stp/>
        <stp>BDP|4379090387156384019</stp>
        <tr r="M1557" s="2"/>
      </tp>
      <tp t="s">
        <v>#N/A N/A</v>
        <stp/>
        <stp>BDP|3501971729050237264</stp>
        <tr r="D419" s="2"/>
      </tp>
      <tp t="s">
        <v>#N/A N/A</v>
        <stp/>
        <stp>BDP|3381690695156885087</stp>
        <tr r="S1977" s="2"/>
      </tp>
      <tp t="s">
        <v>#N/A N/A</v>
        <stp/>
        <stp>BDP|7325843626257621087</stp>
        <tr r="K962" s="2"/>
      </tp>
      <tp t="s">
        <v>#N/A N/A</v>
        <stp/>
        <stp>BDP|4255576493663136180</stp>
        <tr r="P913" s="2"/>
      </tp>
      <tp t="s">
        <v>#N/A N/A</v>
        <stp/>
        <stp>BDP|7669155404588887408</stp>
        <tr r="H1103" s="2"/>
      </tp>
      <tp t="s">
        <v>#N/A N/A</v>
        <stp/>
        <stp>BDP|1713973149034608204</stp>
        <tr r="A779" s="2"/>
      </tp>
      <tp t="s">
        <v>#N/A N/A</v>
        <stp/>
        <stp>BDP|9111662787839921450</stp>
        <tr r="N2002" s="2"/>
      </tp>
      <tp t="s">
        <v>#N/A N/A</v>
        <stp/>
        <stp>BDP|3910034925892565962</stp>
        <tr r="A864" s="2"/>
      </tp>
      <tp t="s">
        <v>#N/A N/A</v>
        <stp/>
        <stp>BDP|6221777183100957338</stp>
        <tr r="S404" s="2"/>
      </tp>
      <tp t="s">
        <v>#N/A N/A</v>
        <stp/>
        <stp>BDP|9405275209834038567</stp>
        <tr r="J2025" s="2"/>
      </tp>
      <tp t="s">
        <v>#N/A N/A</v>
        <stp/>
        <stp>BDP|9962604701005389073</stp>
        <tr r="C1223" s="2"/>
      </tp>
      <tp t="s">
        <v>#N/A N/A</v>
        <stp/>
        <stp>BDP|4505918849103665076</stp>
        <tr r="M1114" s="2"/>
      </tp>
      <tp t="s">
        <v>#N/A N/A</v>
        <stp/>
        <stp>BDP|2424866438233297047</stp>
        <tr r="N289" s="2"/>
      </tp>
      <tp t="s">
        <v>#N/A N/A</v>
        <stp/>
        <stp>BDP|6188470239889584260</stp>
        <tr r="T1128" s="2"/>
      </tp>
      <tp t="s">
        <v>#N/A N/A</v>
        <stp/>
        <stp>BDP|1544715617259987463</stp>
        <tr r="C1213" s="2"/>
      </tp>
      <tp t="s">
        <v>#N/A N/A</v>
        <stp/>
        <stp>BDP|5459194230299923489</stp>
        <tr r="F1790" s="2"/>
      </tp>
      <tp t="s">
        <v>#N/A N/A</v>
        <stp/>
        <stp>BDP|9897192806410859231</stp>
        <tr r="O611" s="2"/>
      </tp>
      <tp t="s">
        <v>#N/A N/A</v>
        <stp/>
        <stp>BDP|3225892710464284457</stp>
        <tr r="K179" s="2"/>
      </tp>
      <tp t="s">
        <v>#N/A N/A</v>
        <stp/>
        <stp>BDP|8024716133860802667</stp>
        <tr r="C1394" s="2"/>
      </tp>
      <tp t="s">
        <v>#N/A N/A</v>
        <stp/>
        <stp>BDP|5449867309515349249</stp>
        <tr r="M692" s="2"/>
      </tp>
      <tp t="s">
        <v>#N/A N/A</v>
        <stp/>
        <stp>BDP|3093401148301448804</stp>
        <tr r="F766" s="2"/>
      </tp>
      <tp t="s">
        <v>#N/A N/A</v>
        <stp/>
        <stp>BDP|9354611276945922715</stp>
        <tr r="J2257" s="2"/>
      </tp>
      <tp t="s">
        <v>#N/A N/A</v>
        <stp/>
        <stp>BDP|4905571500948276305</stp>
        <tr r="T355" s="2"/>
      </tp>
      <tp t="s">
        <v>#N/A N/A</v>
        <stp/>
        <stp>BDP|2234305678888414425</stp>
        <tr r="C821" s="2"/>
      </tp>
      <tp t="s">
        <v>#N/A N/A</v>
        <stp/>
        <stp>BDP|7810078289455869021</stp>
        <tr r="F1060" s="2"/>
      </tp>
      <tp t="s">
        <v>#N/A N/A</v>
        <stp/>
        <stp>BDP|8069225332777495487</stp>
        <tr r="D402" s="2"/>
      </tp>
      <tp t="s">
        <v>#N/A N/A</v>
        <stp/>
        <stp>BDS|5816015595402774479</stp>
        <tr r="I815" s="2"/>
      </tp>
      <tp t="s">
        <v>#N/A N/A</v>
        <stp/>
        <stp>BDP|1581854049531360662</stp>
        <tr r="C1048" s="2"/>
      </tp>
      <tp t="s">
        <v>#N/A N/A</v>
        <stp/>
        <stp>BDP|9602118637998980954</stp>
        <tr r="F512" s="2"/>
      </tp>
      <tp t="s">
        <v>#N/A N/A</v>
        <stp/>
        <stp>BDP|9719232304908465981</stp>
        <tr r="O128" s="2"/>
      </tp>
      <tp t="s">
        <v>#N/A N/A</v>
        <stp/>
        <stp>BDP|1898883302015743692</stp>
        <tr r="P1799" s="2"/>
      </tp>
      <tp t="s">
        <v>#N/A N/A</v>
        <stp/>
        <stp>BDP|6727925466517697494</stp>
        <tr r="A1049" s="2"/>
      </tp>
      <tp t="s">
        <v>#N/A N/A</v>
        <stp/>
        <stp>BDP|1112221168956040972</stp>
        <tr r="F295" s="2"/>
      </tp>
      <tp t="s">
        <v>#N/A N/A</v>
        <stp/>
        <stp>BDP|3190735149243695919</stp>
        <tr r="K1491" s="2"/>
      </tp>
      <tp t="s">
        <v>#N/A N/A</v>
        <stp/>
        <stp>BDP|9997002422666044777</stp>
        <tr r="P1771" s="2"/>
      </tp>
      <tp t="s">
        <v>#N/A N/A</v>
        <stp/>
        <stp>BDP|9331784416766757364</stp>
        <tr r="M2032" s="2"/>
      </tp>
      <tp t="s">
        <v>#N/A N/A</v>
        <stp/>
        <stp>BDP|1689419767980483981</stp>
        <tr r="M325" s="2"/>
      </tp>
      <tp t="s">
        <v>#N/A N/A</v>
        <stp/>
        <stp>BDP|2133910324735066683</stp>
        <tr r="H827" s="2"/>
      </tp>
      <tp t="s">
        <v>#N/A N/A</v>
        <stp/>
        <stp>BDP|5064723694052931337</stp>
        <tr r="K984" s="2"/>
      </tp>
      <tp t="s">
        <v>#N/A N/A</v>
        <stp/>
        <stp>BDP|8575763851420799098</stp>
        <tr r="E671" s="2"/>
      </tp>
      <tp t="s">
        <v>#N/A N/A</v>
        <stp/>
        <stp>BDP|8111654049646656677</stp>
        <tr r="M1305" s="2"/>
      </tp>
      <tp t="s">
        <v>#N/A N/A</v>
        <stp/>
        <stp>BDP|3255874668145998288</stp>
        <tr r="T984" s="2"/>
      </tp>
      <tp t="s">
        <v>#N/A N/A</v>
        <stp/>
        <stp>BDP|3073552213608935530</stp>
        <tr r="H18" s="2"/>
      </tp>
      <tp t="s">
        <v>#N/A N/A</v>
        <stp/>
        <stp>BDP|5040457129239232022</stp>
        <tr r="S888" s="2"/>
      </tp>
      <tp t="s">
        <v>#N/A N/A</v>
        <stp/>
        <stp>BDP|8563486706224335241</stp>
        <tr r="O2076" s="2"/>
      </tp>
      <tp t="s">
        <v>#N/A N/A</v>
        <stp/>
        <stp>BDP|6748507460019802633</stp>
        <tr r="G442" s="2"/>
      </tp>
      <tp t="s">
        <v>#N/A N/A</v>
        <stp/>
        <stp>BDP|7270134056548215194</stp>
        <tr r="O2138" s="2"/>
      </tp>
      <tp t="s">
        <v>#N/A N/A</v>
        <stp/>
        <stp>BDP|5923872130081628541</stp>
        <tr r="M227" s="2"/>
      </tp>
      <tp t="s">
        <v>#N/A N/A</v>
        <stp/>
        <stp>BDP|6709968117972975635</stp>
        <tr r="F1779" s="2"/>
      </tp>
      <tp t="s">
        <v>#N/A N/A</v>
        <stp/>
        <stp>BDP|8781549580159764684</stp>
        <tr r="Q1610" s="2"/>
      </tp>
      <tp t="s">
        <v>#N/A N/A</v>
        <stp/>
        <stp>BDP|5142650487277936667</stp>
        <tr r="M1287" s="2"/>
      </tp>
      <tp t="s">
        <v>#N/A N/A</v>
        <stp/>
        <stp>BDP|7916142170762260930</stp>
        <tr r="O1672" s="2"/>
      </tp>
      <tp t="s">
        <v>#N/A N/A</v>
        <stp/>
        <stp>BDP|7214041543441846812</stp>
        <tr r="K1695" s="2"/>
      </tp>
      <tp t="s">
        <v>#N/A N/A</v>
        <stp/>
        <stp>BDP|1008830279814691003</stp>
        <tr r="D2138" s="2"/>
      </tp>
      <tp t="s">
        <v>#N/A N/A</v>
        <stp/>
        <stp>BDP|7144071603185867817</stp>
        <tr r="M1859" s="2"/>
      </tp>
      <tp t="s">
        <v>#N/A N/A</v>
        <stp/>
        <stp>BDP|7195541958088589545</stp>
        <tr r="P2210" s="2"/>
      </tp>
      <tp t="s">
        <v>#N/A N/A</v>
        <stp/>
        <stp>BDP|8943975903413885898</stp>
        <tr r="F1901" s="2"/>
      </tp>
      <tp t="s">
        <v>#N/A N/A</v>
        <stp/>
        <stp>BDP|6789922616683898770</stp>
        <tr r="P2130" s="2"/>
      </tp>
      <tp t="s">
        <v>#N/A N/A</v>
        <stp/>
        <stp>BDP|4016406653697871873</stp>
        <tr r="T748" s="2"/>
      </tp>
      <tp t="s">
        <v>#N/A N/A</v>
        <stp/>
        <stp>BDP|6684919958702236210</stp>
        <tr r="P1156" s="2"/>
      </tp>
      <tp t="s">
        <v>#N/A N/A</v>
        <stp/>
        <stp>BDP|1930636148400630986</stp>
        <tr r="T373" s="2"/>
      </tp>
      <tp t="s">
        <v>#N/A N/A</v>
        <stp/>
        <stp>BDP|9537841285206869502</stp>
        <tr r="P2180" s="2"/>
      </tp>
      <tp t="s">
        <v>#N/A N/A</v>
        <stp/>
        <stp>BDP|6679594286119025854</stp>
        <tr r="K1349" s="2"/>
      </tp>
      <tp t="s">
        <v>#N/A N/A</v>
        <stp/>
        <stp>BDP|8296827888906411402</stp>
        <tr r="K609" s="2"/>
      </tp>
      <tp t="s">
        <v>#N/A N/A</v>
        <stp/>
        <stp>BDP|4761370249728628137</stp>
        <tr r="M25" s="2"/>
      </tp>
      <tp t="s">
        <v>#N/A N/A</v>
        <stp/>
        <stp>BDP|2233121275126109887</stp>
        <tr r="P651" s="2"/>
      </tp>
      <tp t="s">
        <v>#N/A N/A</v>
        <stp/>
        <stp>BDP|4097158787282732594</stp>
        <tr r="E645" s="2"/>
      </tp>
      <tp t="s">
        <v>#N/A N/A</v>
        <stp/>
        <stp>BDP|8014212512137959663</stp>
        <tr r="H1198" s="2"/>
      </tp>
      <tp t="s">
        <v>#N/A N/A</v>
        <stp/>
        <stp>BDP|6432791167965180874</stp>
        <tr r="P947" s="2"/>
      </tp>
      <tp t="s">
        <v>#N/A N/A</v>
        <stp/>
        <stp>BDP|2035121457578147484</stp>
        <tr r="G1084" s="2"/>
      </tp>
      <tp t="s">
        <v>#N/A N/A</v>
        <stp/>
        <stp>BDS|4270910589466762911</stp>
        <tr r="I1560" s="2"/>
      </tp>
      <tp t="s">
        <v>#N/A N/A</v>
        <stp/>
        <stp>BDP|4604903808694467364</stp>
        <tr r="H727" s="2"/>
      </tp>
      <tp t="s">
        <v>#N/A N/A</v>
        <stp/>
        <stp>BDP|8828659486328773408</stp>
        <tr r="J600" s="2"/>
      </tp>
      <tp t="s">
        <v>#N/A N/A</v>
        <stp/>
        <stp>BDP|1449807659251160700</stp>
        <tr r="N15" s="2"/>
      </tp>
      <tp t="s">
        <v>#N/A N/A</v>
        <stp/>
        <stp>BDP|6034930522667912042</stp>
        <tr r="T1319" s="2"/>
      </tp>
      <tp t="s">
        <v>#N/A N/A</v>
        <stp/>
        <stp>BDP|5043678705861834861</stp>
        <tr r="C1896" s="2"/>
      </tp>
      <tp t="s">
        <v>#N/A N/A</v>
        <stp/>
        <stp>BDP|1265435494407961107</stp>
        <tr r="N183" s="2"/>
      </tp>
      <tp t="s">
        <v>#N/A N/A</v>
        <stp/>
        <stp>BDP|3380388887754653664</stp>
        <tr r="M211" s="2"/>
      </tp>
      <tp t="s">
        <v>#N/A N/A</v>
        <stp/>
        <stp>BDP|8769097797872481917</stp>
        <tr r="E484" s="2"/>
      </tp>
      <tp t="s">
        <v>#N/A N/A</v>
        <stp/>
        <stp>BDP|3200860058950790469</stp>
        <tr r="Q124" s="2"/>
      </tp>
      <tp t="s">
        <v>#N/A N/A</v>
        <stp/>
        <stp>BDP|6495728305239830269</stp>
        <tr r="H1505" s="2"/>
      </tp>
      <tp t="s">
        <v>#N/A N/A</v>
        <stp/>
        <stp>BDP|9029743879965600661</stp>
        <tr r="O1857" s="2"/>
      </tp>
      <tp t="s">
        <v>#N/A N/A</v>
        <stp/>
        <stp>BDP|8530280984029529118</stp>
        <tr r="D503" s="2"/>
      </tp>
      <tp t="s">
        <v>#N/A N/A</v>
        <stp/>
        <stp>BDP|1718354344928323487</stp>
        <tr r="F1883" s="2"/>
      </tp>
      <tp t="s">
        <v>#N/A N/A</v>
        <stp/>
        <stp>BDS|7981655197933676108</stp>
        <tr r="I1117" s="2"/>
      </tp>
      <tp t="s">
        <v>#N/A N/A</v>
        <stp/>
        <stp>BDP|8015338556225075184</stp>
        <tr r="P296" s="2"/>
      </tp>
      <tp t="s">
        <v>#N/A N/A</v>
        <stp/>
        <stp>BDS|4793835637466762395</stp>
        <tr r="I493" s="2"/>
      </tp>
      <tp t="s">
        <v>#N/A N/A</v>
        <stp/>
        <stp>BDP|6983960110670727454</stp>
        <tr r="C63" s="2"/>
      </tp>
      <tp t="s">
        <v>#N/A N/A</v>
        <stp/>
        <stp>BDP|4526947707897907025</stp>
        <tr r="F383" s="2"/>
      </tp>
      <tp t="s">
        <v>#N/A N/A</v>
        <stp/>
        <stp>BDP|7544096924926065955</stp>
        <tr r="H626" s="2"/>
      </tp>
      <tp t="s">
        <v>#N/A N/A</v>
        <stp/>
        <stp>BDS|6220709414692239896</stp>
        <tr r="I1761" s="2"/>
      </tp>
      <tp t="s">
        <v>#N/A N/A</v>
        <stp/>
        <stp>BDP|1122249195705550582</stp>
        <tr r="O1272" s="2"/>
      </tp>
      <tp t="s">
        <v>#N/A N/A</v>
        <stp/>
        <stp>BDP|9032772446649886945</stp>
        <tr r="H2134" s="2"/>
      </tp>
      <tp t="s">
        <v>#N/A N/A</v>
        <stp/>
        <stp>BDP|7525786180371752378</stp>
        <tr r="S711" s="2"/>
      </tp>
      <tp t="s">
        <v>#N/A N/A</v>
        <stp/>
        <stp>BDP|3775299947328710736</stp>
        <tr r="R21" s="2"/>
      </tp>
      <tp t="s">
        <v>#N/A N/A</v>
        <stp/>
        <stp>BDP|9412286366911128666</stp>
        <tr r="E28" s="2"/>
      </tp>
      <tp t="s">
        <v>#N/A N/A</v>
        <stp/>
        <stp>BDP|7958928545030057032</stp>
        <tr r="T378" s="2"/>
      </tp>
      <tp t="s">
        <v>#N/A N/A</v>
        <stp/>
        <stp>BDS|7864878707056142344</stp>
        <tr r="I947" s="2"/>
      </tp>
      <tp t="s">
        <v>#N/A N/A</v>
        <stp/>
        <stp>BDP|9812121371885078062</stp>
        <tr r="T414" s="2"/>
      </tp>
      <tp t="s">
        <v>#N/A N/A</v>
        <stp/>
        <stp>BDP|2927068098501968034</stp>
        <tr r="O1712" s="2"/>
      </tp>
      <tp t="s">
        <v>#N/A N/A</v>
        <stp/>
        <stp>BDP|2936275844937538920</stp>
        <tr r="N2199" s="2"/>
      </tp>
      <tp t="s">
        <v>#N/A N/A</v>
        <stp/>
        <stp>BDP|6245698486030510251</stp>
        <tr r="E1321" s="2"/>
      </tp>
      <tp t="s">
        <v>#N/A N/A</v>
        <stp/>
        <stp>BDP|5926563393707438459</stp>
        <tr r="J2058" s="2"/>
      </tp>
      <tp t="s">
        <v>#N/A N/A</v>
        <stp/>
        <stp>BDP|7045104168093540908</stp>
        <tr r="E4" s="2"/>
      </tp>
      <tp t="s">
        <v>#N/A N/A</v>
        <stp/>
        <stp>BDP|6373173609898801583</stp>
        <tr r="E2108" s="2"/>
      </tp>
      <tp t="s">
        <v>#N/A N/A</v>
        <stp/>
        <stp>BDS|3693383674085720804</stp>
        <tr r="I830" s="2"/>
      </tp>
      <tp t="s">
        <v>#N/A N/A</v>
        <stp/>
        <stp>BDP|3359929633083749087</stp>
        <tr r="R350" s="2"/>
      </tp>
      <tp t="s">
        <v>#N/A N/A</v>
        <stp/>
        <stp>BDP|5528864761387828678</stp>
        <tr r="J808" s="2"/>
      </tp>
      <tp t="s">
        <v>#N/A N/A</v>
        <stp/>
        <stp>BDP|6220893764290444268</stp>
        <tr r="R1839" s="2"/>
      </tp>
      <tp t="s">
        <v>#N/A N/A</v>
        <stp/>
        <stp>BDP|4435978279094438436</stp>
        <tr r="J227" s="2"/>
      </tp>
      <tp t="s">
        <v>#N/A N/A</v>
        <stp/>
        <stp>BDP|7911378695370667702</stp>
        <tr r="K1971" s="2"/>
      </tp>
      <tp t="s">
        <v>#N/A N/A</v>
        <stp/>
        <stp>BDP|8052025332951828055</stp>
        <tr r="N858" s="2"/>
      </tp>
      <tp t="s">
        <v>#N/A N/A</v>
        <stp/>
        <stp>BDP|1578209164428473783</stp>
        <tr r="F2063" s="2"/>
      </tp>
      <tp t="s">
        <v>#N/A N/A</v>
        <stp/>
        <stp>BDP|6458281105269678720</stp>
        <tr r="P1029" s="2"/>
      </tp>
      <tp t="s">
        <v>#N/A N/A</v>
        <stp/>
        <stp>BDP|6533162359169624113</stp>
        <tr r="H1842" s="2"/>
      </tp>
      <tp t="s">
        <v>#N/A N/A</v>
        <stp/>
        <stp>BDP|1627851979212145664</stp>
        <tr r="M973" s="2"/>
      </tp>
      <tp t="s">
        <v>#N/A N/A</v>
        <stp/>
        <stp>BDP|9716580374751434025</stp>
        <tr r="E486" s="2"/>
      </tp>
      <tp t="s">
        <v>#N/A N/A</v>
        <stp/>
        <stp>BDP|8527455049641500311</stp>
        <tr r="A1494" s="2"/>
      </tp>
      <tp t="s">
        <v>#N/A N/A</v>
        <stp/>
        <stp>BDP|8164130401195675680</stp>
        <tr r="O928" s="2"/>
      </tp>
      <tp t="s">
        <v>#N/A N/A</v>
        <stp/>
        <stp>BDP|3023827153680507493</stp>
        <tr r="A2129" s="2"/>
      </tp>
      <tp t="s">
        <v>#N/A N/A</v>
        <stp/>
        <stp>BDP|8756646074007268485</stp>
        <tr r="F88" s="2"/>
      </tp>
      <tp t="s">
        <v>#N/A N/A</v>
        <stp/>
        <stp>BDP|8029323364470235796</stp>
        <tr r="O1353" s="2"/>
      </tp>
      <tp t="s">
        <v>#N/A N/A</v>
        <stp/>
        <stp>BDP|6734085087451078555</stp>
        <tr r="M874" s="2"/>
      </tp>
      <tp t="s">
        <v>#N/A N/A</v>
        <stp/>
        <stp>BDP|8454060636850160188</stp>
        <tr r="Q1072" s="2"/>
      </tp>
      <tp t="s">
        <v>#N/A N/A</v>
        <stp/>
        <stp>BDP|9218240209693664242</stp>
        <tr r="C2205" s="2"/>
      </tp>
      <tp t="s">
        <v>#N/A N/A</v>
        <stp/>
        <stp>BDP|3815342043876492861</stp>
        <tr r="G1983" s="2"/>
      </tp>
      <tp t="s">
        <v>#N/A N/A</v>
        <stp/>
        <stp>BDP|6263871177283937065</stp>
        <tr r="F1170" s="2"/>
      </tp>
      <tp t="s">
        <v>#N/A N/A</v>
        <stp/>
        <stp>BDP|5730461031628452093</stp>
        <tr r="R72" s="2"/>
      </tp>
      <tp t="s">
        <v>#N/A N/A</v>
        <stp/>
        <stp>BDP|9442377674970200788</stp>
        <tr r="G316" s="2"/>
      </tp>
      <tp t="s">
        <v>#N/A N/A</v>
        <stp/>
        <stp>BDP|4282775733428382284</stp>
        <tr r="T1474" s="2"/>
      </tp>
      <tp t="s">
        <v>#N/A N/A</v>
        <stp/>
        <stp>BDP|8262121701741559290</stp>
        <tr r="A400" s="2"/>
      </tp>
      <tp t="s">
        <v>#N/A N/A</v>
        <stp/>
        <stp>BDP|3287747759513388817</stp>
        <tr r="C2125" s="2"/>
      </tp>
      <tp t="s">
        <v>#N/A N/A</v>
        <stp/>
        <stp>BDP|1907457192714512265</stp>
        <tr r="F502" s="2"/>
      </tp>
      <tp t="s">
        <v>#N/A N/A</v>
        <stp/>
        <stp>BDP|2261532553658637095</stp>
        <tr r="K1733" s="2"/>
      </tp>
      <tp t="s">
        <v>#N/A N/A</v>
        <stp/>
        <stp>BDP|1478686347291225845</stp>
        <tr r="J524" s="2"/>
      </tp>
      <tp t="s">
        <v>#N/A N/A</v>
        <stp/>
        <stp>BDP|9141950509902306839</stp>
        <tr r="F210" s="2"/>
      </tp>
      <tp t="s">
        <v>#N/A N/A</v>
        <stp/>
        <stp>BDP|4155150150629165381</stp>
        <tr r="D234" s="2"/>
      </tp>
      <tp t="s">
        <v>#N/A N/A</v>
        <stp/>
        <stp>BDP|4907160136999281565</stp>
        <tr r="P634" s="2"/>
      </tp>
      <tp t="s">
        <v>#N/A N/A</v>
        <stp/>
        <stp>BDP|1077985126163574363</stp>
        <tr r="O702" s="2"/>
      </tp>
      <tp t="s">
        <v>#N/A N/A</v>
        <stp/>
        <stp>BDP|6154827317664975104</stp>
        <tr r="S1017" s="2"/>
      </tp>
      <tp t="s">
        <v>#N/A N/A</v>
        <stp/>
        <stp>BDP|2428130738418622243</stp>
        <tr r="C934" s="2"/>
      </tp>
      <tp t="s">
        <v>#N/A N/A</v>
        <stp/>
        <stp>BDP|2480141371077968958</stp>
        <tr r="C1474" s="2"/>
      </tp>
      <tp t="s">
        <v>#N/A N/A</v>
        <stp/>
        <stp>BDP|1084133884716922439</stp>
        <tr r="H1063" s="2"/>
      </tp>
      <tp t="s">
        <v>#N/A N/A</v>
        <stp/>
        <stp>BDP|4031707757919388592</stp>
        <tr r="D1492" s="2"/>
      </tp>
      <tp t="s">
        <v>#N/A N/A</v>
        <stp/>
        <stp>BDP|9167185237336342702</stp>
        <tr r="N1600" s="2"/>
      </tp>
      <tp t="s">
        <v>#N/A N/A</v>
        <stp/>
        <stp>BDP|8499659968187319576</stp>
        <tr r="M958" s="2"/>
      </tp>
      <tp t="s">
        <v>#N/A N/A</v>
        <stp/>
        <stp>BDP|7606163818328001556</stp>
        <tr r="J1163" s="2"/>
      </tp>
      <tp t="s">
        <v>#N/A N/A</v>
        <stp/>
        <stp>BDP|7719680403929176209</stp>
        <tr r="M904" s="2"/>
      </tp>
      <tp t="s">
        <v>#N/A N/A</v>
        <stp/>
        <stp>BDP|9793169328693450305</stp>
        <tr r="H193" s="2"/>
      </tp>
      <tp t="s">
        <v>#N/A N/A</v>
        <stp/>
        <stp>BDP|6286125181084761142</stp>
        <tr r="A1362" s="2"/>
      </tp>
      <tp t="s">
        <v>#N/A N/A</v>
        <stp/>
        <stp>BDP|8378645550775384464</stp>
        <tr r="F420" s="2"/>
      </tp>
      <tp t="s">
        <v>#N/A N/A</v>
        <stp/>
        <stp>BDP|3587555793857890294</stp>
        <tr r="C1724" s="2"/>
      </tp>
      <tp t="s">
        <v>#N/A N/A</v>
        <stp/>
        <stp>BDP|9615358409771016187</stp>
        <tr r="K1239" s="2"/>
      </tp>
      <tp t="s">
        <v>#N/A N/A</v>
        <stp/>
        <stp>BDP|2969801835094769799</stp>
        <tr r="P577" s="2"/>
      </tp>
      <tp t="s">
        <v>#N/A N/A</v>
        <stp/>
        <stp>BDP|8020322303861656055</stp>
        <tr r="D718" s="2"/>
      </tp>
      <tp t="s">
        <v>#N/A N/A</v>
        <stp/>
        <stp>BDP|3328265780532321148</stp>
        <tr r="G1132" s="2"/>
      </tp>
      <tp t="s">
        <v>#N/A N/A</v>
        <stp/>
        <stp>BDP|4077340884360543578</stp>
        <tr r="H783" s="2"/>
      </tp>
      <tp t="s">
        <v>#N/A N/A</v>
        <stp/>
        <stp>BDP|1696270670417467970</stp>
        <tr r="D263" s="2"/>
      </tp>
      <tp t="s">
        <v>#N/A N/A</v>
        <stp/>
        <stp>BDP|4103016644879765313</stp>
        <tr r="C1567" s="2"/>
      </tp>
      <tp t="s">
        <v>#N/A N/A</v>
        <stp/>
        <stp>BDP|3493472412414044830</stp>
        <tr r="S1449" s="2"/>
      </tp>
      <tp t="s">
        <v>#N/A N/A</v>
        <stp/>
        <stp>BDP|9440734442412566229</stp>
        <tr r="J1171" s="2"/>
      </tp>
      <tp t="s">
        <v>#N/A N/A</v>
        <stp/>
        <stp>BDP|5468546948877839920</stp>
        <tr r="P423" s="2"/>
      </tp>
      <tp t="s">
        <v>#N/A N/A</v>
        <stp/>
        <stp>BDP|3845715647079523399</stp>
        <tr r="O1692" s="2"/>
      </tp>
      <tp t="s">
        <v>#N/A N/A</v>
        <stp/>
        <stp>BDP|7173440499346999677</stp>
        <tr r="S296" s="2"/>
      </tp>
      <tp t="s">
        <v>#N/A N/A</v>
        <stp/>
        <stp>BDP|8143047773802632725</stp>
        <tr r="A561" s="2"/>
      </tp>
      <tp t="s">
        <v>#N/A N/A</v>
        <stp/>
        <stp>BDP|8201519723002364712</stp>
        <tr r="F1420" s="2"/>
      </tp>
      <tp t="s">
        <v>#N/A N/A</v>
        <stp/>
        <stp>BDP|9752006761635401009</stp>
        <tr r="O1421" s="2"/>
      </tp>
      <tp t="s">
        <v>#N/A N/A</v>
        <stp/>
        <stp>BDP|2549857693420035918</stp>
        <tr r="F1184" s="2"/>
      </tp>
      <tp t="s">
        <v>#N/A N/A</v>
        <stp/>
        <stp>BDP|3279428369408243393</stp>
        <tr r="J2216" s="2"/>
      </tp>
      <tp t="s">
        <v>#N/A N/A</v>
        <stp/>
        <stp>BDP|4137509672565722962</stp>
        <tr r="K2175" s="2"/>
      </tp>
      <tp t="s">
        <v>#N/A N/A</v>
        <stp/>
        <stp>BDP|9277276154366443279</stp>
        <tr r="J1423" s="2"/>
      </tp>
      <tp t="s">
        <v>#N/A N/A</v>
        <stp/>
        <stp>BDP|3055585599942512766</stp>
        <tr r="S472" s="2"/>
      </tp>
      <tp t="s">
        <v>#N/A N/A</v>
        <stp/>
        <stp>BDP|9343150415607545448</stp>
        <tr r="K43" s="2"/>
      </tp>
      <tp t="s">
        <v>#N/A N/A</v>
        <stp/>
        <stp>BDP|8649954462585329809</stp>
        <tr r="O1756" s="2"/>
      </tp>
      <tp t="s">
        <v>#N/A N/A</v>
        <stp/>
        <stp>BDS|3825964823430875278</stp>
        <tr r="I2189" s="2"/>
      </tp>
      <tp t="s">
        <v>#N/A N/A</v>
        <stp/>
        <stp>BDP|8801796027044573310</stp>
        <tr r="M1976" s="2"/>
      </tp>
      <tp t="s">
        <v>#N/A N/A</v>
        <stp/>
        <stp>BDS|4185992149127494470</stp>
        <tr r="I92" s="2"/>
      </tp>
      <tp t="s">
        <v>#N/A N/A</v>
        <stp/>
        <stp>BDP|8481295716591083091</stp>
        <tr r="K796" s="2"/>
      </tp>
      <tp t="s">
        <v>#N/A N/A</v>
        <stp/>
        <stp>BDP|7833016180596240394</stp>
        <tr r="M1491" s="2"/>
      </tp>
      <tp t="s">
        <v>#N/A N/A</v>
        <stp/>
        <stp>BDP|1969377393192624391</stp>
        <tr r="J826" s="2"/>
      </tp>
      <tp t="s">
        <v>#N/A N/A</v>
        <stp/>
        <stp>BDP|6207909325104093352</stp>
        <tr r="P904" s="2"/>
      </tp>
      <tp t="s">
        <v>#N/A N/A</v>
        <stp/>
        <stp>BDP|3000463041630171941</stp>
        <tr r="M840" s="2"/>
      </tp>
      <tp t="s">
        <v>#N/A N/A</v>
        <stp/>
        <stp>BDP|5612556261545375937</stp>
        <tr r="F1063" s="2"/>
      </tp>
      <tp t="s">
        <v>#N/A N/A</v>
        <stp/>
        <stp>BDP|9455792742144465492</stp>
        <tr r="O835" s="2"/>
      </tp>
      <tp t="s">
        <v>#N/A N/A</v>
        <stp/>
        <stp>BDP|9786299074865823309</stp>
        <tr r="M1297" s="2"/>
      </tp>
      <tp t="s">
        <v>#N/A N/A</v>
        <stp/>
        <stp>BDP|4240450825558252026</stp>
        <tr r="C1671" s="2"/>
      </tp>
      <tp t="s">
        <v>#N/A N/A</v>
        <stp/>
        <stp>BDS|7036540987771422157</stp>
        <tr r="I2014" s="2"/>
      </tp>
      <tp t="s">
        <v>#N/A N/A</v>
        <stp/>
        <stp>BDP|8486280235653924029</stp>
        <tr r="A782" s="2"/>
      </tp>
      <tp t="s">
        <v>#N/A N/A</v>
        <stp/>
        <stp>BDP|6244793499414276621</stp>
        <tr r="S913" s="2"/>
      </tp>
      <tp t="s">
        <v>#N/A N/A</v>
        <stp/>
        <stp>BDP|2227991699779687169</stp>
        <tr r="J2034" s="2"/>
      </tp>
      <tp t="s">
        <v>#N/A N/A</v>
        <stp/>
        <stp>BDP|9793656725922574504</stp>
        <tr r="F1217" s="2"/>
      </tp>
      <tp t="s">
        <v>#N/A N/A</v>
        <stp/>
        <stp>BDP|7954172292122727791</stp>
        <tr r="P509" s="2"/>
      </tp>
      <tp t="s">
        <v>#N/A N/A</v>
        <stp/>
        <stp>BDP|6219012272059061230</stp>
        <tr r="C90" s="2"/>
      </tp>
      <tp t="s">
        <v>#N/A N/A</v>
        <stp/>
        <stp>BDP|5533076485157487018</stp>
        <tr r="G2186" s="2"/>
      </tp>
      <tp t="s">
        <v>#N/A N/A</v>
        <stp/>
        <stp>BDP|3042266956059658743</stp>
        <tr r="M56" s="2"/>
      </tp>
      <tp t="s">
        <v>#N/A N/A</v>
        <stp/>
        <stp>BDP|4250915596707003973</stp>
        <tr r="G1660" s="2"/>
      </tp>
      <tp t="s">
        <v>#N/A N/A</v>
        <stp/>
        <stp>BDP|9937154707620862213</stp>
        <tr r="A1644" s="2"/>
      </tp>
      <tp t="s">
        <v>#N/A N/A</v>
        <stp/>
        <stp>BDP|4455019815409346618</stp>
        <tr r="T148" s="2"/>
      </tp>
      <tp t="s">
        <v>#N/A N/A</v>
        <stp/>
        <stp>BDP|9141737165464172647</stp>
        <tr r="O791" s="2"/>
      </tp>
      <tp t="s">
        <v>#N/A N/A</v>
        <stp/>
        <stp>BDP|4304513321200142902</stp>
        <tr r="Q1307" s="2"/>
      </tp>
      <tp t="s">
        <v>#N/A N/A</v>
        <stp/>
        <stp>BDP|2510065281261703171</stp>
        <tr r="Q344" s="2"/>
      </tp>
      <tp t="s">
        <v>#N/A N/A</v>
        <stp/>
        <stp>BDP|2592176203770180927</stp>
        <tr r="R2194" s="2"/>
      </tp>
      <tp t="s">
        <v>#N/A N/A</v>
        <stp/>
        <stp>BDP|5587219814658506470</stp>
        <tr r="H2027" s="2"/>
      </tp>
      <tp t="s">
        <v>#N/A N/A</v>
        <stp/>
        <stp>BDP|3958290206388474307</stp>
        <tr r="A1736" s="2"/>
      </tp>
      <tp t="s">
        <v>#N/A N/A</v>
        <stp/>
        <stp>BDP|8219947007098246314</stp>
        <tr r="P1353" s="2"/>
      </tp>
      <tp t="s">
        <v>#N/A N/A</v>
        <stp/>
        <stp>BDP|7270205283013064432</stp>
        <tr r="Q2060" s="2"/>
      </tp>
      <tp t="s">
        <v>#N/A N/A</v>
        <stp/>
        <stp>BDP|7392318376689419020</stp>
        <tr r="S808" s="2"/>
      </tp>
      <tp t="s">
        <v>#N/A N/A</v>
        <stp/>
        <stp>BDP|9351942365468076402</stp>
        <tr r="O34" s="2"/>
      </tp>
      <tp t="s">
        <v>#N/A N/A</v>
        <stp/>
        <stp>BDP|5236530492704193714</stp>
        <tr r="R2177" s="2"/>
      </tp>
      <tp t="s">
        <v>#N/A N/A</v>
        <stp/>
        <stp>BDP|4844867714343995400</stp>
        <tr r="C1002" s="2"/>
      </tp>
      <tp t="s">
        <v>#N/A N/A</v>
        <stp/>
        <stp>BDP|2201555635679731768</stp>
        <tr r="T1696" s="2"/>
      </tp>
      <tp t="s">
        <v>#N/A N/A</v>
        <stp/>
        <stp>BDP|9510860793855130722</stp>
        <tr r="F1716" s="2"/>
      </tp>
      <tp t="s">
        <v>#N/A N/A</v>
        <stp/>
        <stp>BDP|2088101877749037745</stp>
        <tr r="R1362" s="2"/>
      </tp>
      <tp t="s">
        <v>#N/A N/A</v>
        <stp/>
        <stp>BDP|2758906191351380960</stp>
        <tr r="G1021" s="2"/>
      </tp>
      <tp t="s">
        <v>#N/A N/A</v>
        <stp/>
        <stp>BDP|2071775827808157527</stp>
        <tr r="P1218" s="2"/>
      </tp>
      <tp t="s">
        <v>#N/A N/A</v>
        <stp/>
        <stp>BDP|5627231081815478034</stp>
        <tr r="Q1305" s="2"/>
      </tp>
      <tp t="s">
        <v>#N/A N/A</v>
        <stp/>
        <stp>BDP|9414248504559251853</stp>
        <tr r="M2086" s="2"/>
      </tp>
      <tp t="s">
        <v>#N/A N/A</v>
        <stp/>
        <stp>BDP|1274078657877442959</stp>
        <tr r="P563" s="2"/>
      </tp>
      <tp t="s">
        <v>#N/A N/A</v>
        <stp/>
        <stp>BDP|6830589744804010979</stp>
        <tr r="J2206" s="2"/>
      </tp>
      <tp t="s">
        <v>#N/A N/A</v>
        <stp/>
        <stp>BDP|7189063078338908252</stp>
        <tr r="E450" s="2"/>
      </tp>
      <tp t="s">
        <v>#N/A N/A</v>
        <stp/>
        <stp>BDP|4243978974381341111</stp>
        <tr r="H2090" s="2"/>
      </tp>
      <tp t="s">
        <v>#N/A N/A</v>
        <stp/>
        <stp>BDP|7489351081537574161</stp>
        <tr r="S362" s="2"/>
      </tp>
      <tp t="s">
        <v>#N/A N/A</v>
        <stp/>
        <stp>BDP|9727312963270206648</stp>
        <tr r="M78" s="2"/>
      </tp>
      <tp t="s">
        <v>#N/A N/A</v>
        <stp/>
        <stp>BDP|9648418307856264118</stp>
        <tr r="C460" s="2"/>
      </tp>
      <tp t="s">
        <v>#N/A N/A</v>
        <stp/>
        <stp>BDP|1499950721100465074</stp>
        <tr r="T988" s="2"/>
      </tp>
      <tp t="s">
        <v>#N/A N/A</v>
        <stp/>
        <stp>BDP|9517238757993188735</stp>
        <tr r="F11" s="2"/>
      </tp>
      <tp t="s">
        <v>#N/A N/A</v>
        <stp/>
        <stp>BDP|3596154490221323000</stp>
        <tr r="R1562" s="2"/>
      </tp>
      <tp t="s">
        <v>#N/A N/A</v>
        <stp/>
        <stp>BDP|3218512307458532429</stp>
        <tr r="C51" s="2"/>
      </tp>
      <tp t="s">
        <v>#N/A N/A</v>
        <stp/>
        <stp>BDP|3888879732971640381</stp>
        <tr r="E1583" s="2"/>
      </tp>
      <tp t="s">
        <v>#N/A N/A</v>
        <stp/>
        <stp>BDP|7085913871822097137</stp>
        <tr r="R1072" s="2"/>
      </tp>
      <tp t="s">
        <v>#N/A N/A</v>
        <stp/>
        <stp>BDP|9332403115852443410</stp>
        <tr r="J730" s="2"/>
      </tp>
      <tp t="s">
        <v>#N/A N/A</v>
        <stp/>
        <stp>BDP|8005067935040399132</stp>
        <tr r="M619" s="2"/>
      </tp>
      <tp t="s">
        <v>#N/A N/A</v>
        <stp/>
        <stp>BDP|9790772867345461702</stp>
        <tr r="C1325" s="2"/>
      </tp>
      <tp t="s">
        <v>#N/A N/A</v>
        <stp/>
        <stp>BDP|3226387995663483087</stp>
        <tr r="G1341" s="2"/>
      </tp>
      <tp t="s">
        <v>#N/A N/A</v>
        <stp/>
        <stp>BDP|2092292213378962301</stp>
        <tr r="O94" s="2"/>
      </tp>
      <tp t="s">
        <v>#N/A N/A</v>
        <stp/>
        <stp>BDP|6081631190250372333</stp>
        <tr r="N1928" s="2"/>
      </tp>
      <tp t="s">
        <v>#N/A N/A</v>
        <stp/>
        <stp>BDP|5293013780931647668</stp>
        <tr r="E1946" s="2"/>
      </tp>
      <tp t="s">
        <v>#N/A N/A</v>
        <stp/>
        <stp>BDS|3820973795160855918</stp>
        <tr r="I1019" s="2"/>
      </tp>
      <tp t="s">
        <v>#N/A N/A</v>
        <stp/>
        <stp>BDP|3063232310948226221</stp>
        <tr r="J1570" s="2"/>
      </tp>
      <tp t="s">
        <v>#N/A N/A</v>
        <stp/>
        <stp>BDP|9029526207614784214</stp>
        <tr r="N2016" s="2"/>
      </tp>
      <tp t="s">
        <v>#N/A N/A</v>
        <stp/>
        <stp>BDP|2020368080182072152</stp>
        <tr r="C1041" s="2"/>
      </tp>
      <tp t="s">
        <v>#N/A N/A</v>
        <stp/>
        <stp>BDP|8033957147779574645</stp>
        <tr r="J1633" s="2"/>
      </tp>
      <tp t="s">
        <v>#N/A N/A</v>
        <stp/>
        <stp>BDP|5086884468995438477</stp>
        <tr r="O154" s="2"/>
      </tp>
      <tp t="s">
        <v>#N/A N/A</v>
        <stp/>
        <stp>BDP|5595010027975171816</stp>
        <tr r="C140" s="2"/>
      </tp>
      <tp t="s">
        <v>#N/A N/A</v>
        <stp/>
        <stp>BDP|6608421927048346234</stp>
        <tr r="G1649" s="2"/>
      </tp>
      <tp t="s">
        <v>#N/A N/A</v>
        <stp/>
        <stp>BDP|2397978565590167733</stp>
        <tr r="S1918" s="2"/>
      </tp>
      <tp t="s">
        <v>#N/A N/A</v>
        <stp/>
        <stp>BDP|3072624727404658903</stp>
        <tr r="Q858" s="2"/>
      </tp>
      <tp t="s">
        <v>#N/A N/A</v>
        <stp/>
        <stp>BDS|4302140401708749721</stp>
        <tr r="I1538" s="2"/>
      </tp>
      <tp t="s">
        <v>#N/A N/A</v>
        <stp/>
        <stp>BDP|1239930302317321533</stp>
        <tr r="E1810" s="2"/>
      </tp>
      <tp t="s">
        <v>#N/A N/A</v>
        <stp/>
        <stp>BDP|6368813037666068165</stp>
        <tr r="K1323" s="2"/>
      </tp>
      <tp t="s">
        <v>#N/A N/A</v>
        <stp/>
        <stp>BDP|6614575903580383929</stp>
        <tr r="C1270" s="2"/>
      </tp>
      <tp t="s">
        <v>#N/A N/A</v>
        <stp/>
        <stp>BDP|7318401873069288718</stp>
        <tr r="H1669" s="2"/>
      </tp>
      <tp t="s">
        <v>#N/A N/A</v>
        <stp/>
        <stp>BDP|2526233723789301156</stp>
        <tr r="C704" s="2"/>
      </tp>
      <tp t="s">
        <v>#N/A N/A</v>
        <stp/>
        <stp>BDS|2323031085281601102</stp>
        <tr r="I1943" s="2"/>
      </tp>
      <tp t="s">
        <v>#N/A N/A</v>
        <stp/>
        <stp>BDP|3323422691816328209</stp>
        <tr r="H549" s="2"/>
      </tp>
      <tp t="s">
        <v>#N/A N/A</v>
        <stp/>
        <stp>BDP|1229905468322051692</stp>
        <tr r="F261" s="2"/>
      </tp>
      <tp t="s">
        <v>#N/A N/A</v>
        <stp/>
        <stp>BDP|7077870467697571465</stp>
        <tr r="J1488" s="2"/>
      </tp>
      <tp t="s">
        <v>#N/A N/A</v>
        <stp/>
        <stp>BDP|1383349794471827085</stp>
        <tr r="C520" s="2"/>
      </tp>
      <tp t="s">
        <v>#N/A N/A</v>
        <stp/>
        <stp>BDP|5123438833449043128</stp>
        <tr r="O8" s="2"/>
      </tp>
      <tp t="s">
        <v>#N/A N/A</v>
        <stp/>
        <stp>BDP|3230376586634470641</stp>
        <tr r="H996" s="2"/>
      </tp>
      <tp t="s">
        <v>#N/A N/A</v>
        <stp/>
        <stp>BDP|8372083539609256832</stp>
        <tr r="T336" s="2"/>
      </tp>
      <tp t="s">
        <v>#N/A N/A</v>
        <stp/>
        <stp>BDP|5875522282521217394</stp>
        <tr r="S1860" s="2"/>
      </tp>
      <tp t="s">
        <v>#N/A N/A</v>
        <stp/>
        <stp>BDP|7833499640944222904</stp>
        <tr r="G684" s="2"/>
      </tp>
      <tp t="s">
        <v>#N/A N/A</v>
        <stp/>
        <stp>BDS|5578552618119863234</stp>
        <tr r="I319" s="2"/>
      </tp>
      <tp t="s">
        <v>#N/A N/A</v>
        <stp/>
        <stp>BDP|7722663070485084928</stp>
        <tr r="S259" s="2"/>
      </tp>
      <tp t="s">
        <v>#N/A N/A</v>
        <stp/>
        <stp>BDS|1697762985833024767</stp>
        <tr r="I547" s="2"/>
      </tp>
      <tp t="s">
        <v>#N/A N/A</v>
        <stp/>
        <stp>BDP|1491458530249475560</stp>
        <tr r="S1226" s="2"/>
      </tp>
      <tp t="s">
        <v>#N/A N/A</v>
        <stp/>
        <stp>BDP|9591752446721007158</stp>
        <tr r="G167" s="2"/>
      </tp>
      <tp t="s">
        <v>#N/A N/A</v>
        <stp/>
        <stp>BDP|6731155513104725851</stp>
        <tr r="N228" s="2"/>
      </tp>
      <tp t="s">
        <v>#N/A N/A</v>
        <stp/>
        <stp>BDP|3343410061498123316</stp>
        <tr r="M1753" s="2"/>
      </tp>
      <tp t="s">
        <v>#N/A N/A</v>
        <stp/>
        <stp>BDP|3118181148768575474</stp>
        <tr r="G558" s="2"/>
      </tp>
      <tp t="s">
        <v>#N/A N/A</v>
        <stp/>
        <stp>BDP|6554121345501253833</stp>
        <tr r="O1937" s="2"/>
      </tp>
      <tp t="s">
        <v>#N/A N/A</v>
        <stp/>
        <stp>BDP|8724405547377333500</stp>
        <tr r="J1786" s="2"/>
      </tp>
      <tp t="s">
        <v>#N/A N/A</v>
        <stp/>
        <stp>BDS|2317725911027289918</stp>
        <tr r="I1410" s="2"/>
      </tp>
      <tp t="s">
        <v>#N/A N/A</v>
        <stp/>
        <stp>BDP|5773438566899102400</stp>
        <tr r="O284" s="2"/>
      </tp>
      <tp t="s">
        <v>#N/A N/A</v>
        <stp/>
        <stp>BDP|2441952402130198119</stp>
        <tr r="M1644" s="2"/>
      </tp>
      <tp t="s">
        <v>#N/A N/A</v>
        <stp/>
        <stp>BDP|6126912181218339516</stp>
        <tr r="G968" s="2"/>
      </tp>
      <tp t="s">
        <v>#N/A N/A</v>
        <stp/>
        <stp>BDS|1632458918986859803</stp>
        <tr r="I238" s="2"/>
      </tp>
      <tp t="s">
        <v>#N/A N/A</v>
        <stp/>
        <stp>BDP|4485062490221577649</stp>
        <tr r="H1661" s="2"/>
      </tp>
      <tp t="s">
        <v>#N/A N/A</v>
        <stp/>
        <stp>BDP|7344054006579147427</stp>
        <tr r="K1961" s="2"/>
      </tp>
      <tp t="s">
        <v>#N/A N/A</v>
        <stp/>
        <stp>BDS|4651185975099135196</stp>
        <tr r="I1265" s="2"/>
      </tp>
      <tp t="s">
        <v>#N/A N/A</v>
        <stp/>
        <stp>BDP|1955855728702717300</stp>
        <tr r="K399" s="2"/>
      </tp>
      <tp t="s">
        <v>#N/A N/A</v>
        <stp/>
        <stp>BDP|9251609231842248426</stp>
        <tr r="F654" s="2"/>
      </tp>
      <tp t="s">
        <v>#N/A N/A</v>
        <stp/>
        <stp>BDP|6029741728861781885</stp>
        <tr r="F115" s="2"/>
      </tp>
      <tp t="s">
        <v>#N/A N/A</v>
        <stp/>
        <stp>BDP|2769250762599931599</stp>
        <tr r="M448" s="2"/>
      </tp>
      <tp t="s">
        <v>#N/A N/A</v>
        <stp/>
        <stp>BDP|6802816549951314137</stp>
        <tr r="A545" s="2"/>
      </tp>
      <tp t="s">
        <v>#N/A N/A</v>
        <stp/>
        <stp>BDP|6692177416759562526</stp>
        <tr r="S811" s="2"/>
      </tp>
      <tp t="s">
        <v>#N/A N/A</v>
        <stp/>
        <stp>BDP|7779059585301465432</stp>
        <tr r="M175" s="2"/>
      </tp>
      <tp t="s">
        <v>#N/A N/A</v>
        <stp/>
        <stp>BDP|5229076594935244330</stp>
        <tr r="G878" s="2"/>
      </tp>
      <tp t="s">
        <v>#N/A N/A</v>
        <stp/>
        <stp>BDP|3566819275174227234</stp>
        <tr r="M1823" s="2"/>
      </tp>
      <tp t="s">
        <v>#N/A N/A</v>
        <stp/>
        <stp>BDP|9903768057913897200</stp>
        <tr r="N711" s="2"/>
      </tp>
      <tp t="s">
        <v>#N/A N/A</v>
        <stp/>
        <stp>BDS|9288377624425059715</stp>
        <tr r="I602" s="2"/>
      </tp>
      <tp t="s">
        <v>#N/A N/A</v>
        <stp/>
        <stp>BDP|1596674262579223222</stp>
        <tr r="M1062" s="2"/>
      </tp>
      <tp t="s">
        <v>#N/A N/A</v>
        <stp/>
        <stp>BDP|9380774607634576065</stp>
        <tr r="D592" s="2"/>
      </tp>
      <tp t="s">
        <v>#N/A N/A</v>
        <stp/>
        <stp>BDP|8047036230666588764</stp>
        <tr r="E755" s="2"/>
      </tp>
      <tp t="s">
        <v>#N/A N/A</v>
        <stp/>
        <stp>BDP|2984320794710976263</stp>
        <tr r="K1946" s="2"/>
      </tp>
      <tp t="s">
        <v>#N/A N/A</v>
        <stp/>
        <stp>BDP|5896239264638993364</stp>
        <tr r="K1245" s="2"/>
      </tp>
      <tp t="s">
        <v>#N/A N/A</v>
        <stp/>
        <stp>BDP|4581232476762535955</stp>
        <tr r="K2053" s="2"/>
      </tp>
      <tp t="s">
        <v>#N/A N/A</v>
        <stp/>
        <stp>BDP|7694162488547942311</stp>
        <tr r="C592" s="2"/>
      </tp>
      <tp t="s">
        <v>#N/A N/A</v>
        <stp/>
        <stp>BDP|8087059972595770008</stp>
        <tr r="Q1430" s="2"/>
      </tp>
      <tp t="s">
        <v>#N/A N/A</v>
        <stp/>
        <stp>BDP|3622482582372411789</stp>
        <tr r="T1837" s="2"/>
      </tp>
      <tp t="s">
        <v>#N/A N/A</v>
        <stp/>
        <stp>BDP|9546866513852485849</stp>
        <tr r="D1455" s="2"/>
      </tp>
      <tp t="s">
        <v>#N/A N/A</v>
        <stp/>
        <stp>BDP|2593714405987570848</stp>
        <tr r="O1151" s="2"/>
      </tp>
      <tp t="s">
        <v>#N/A N/A</v>
        <stp/>
        <stp>BDP|5572987595879055687</stp>
        <tr r="F1704" s="2"/>
      </tp>
      <tp t="s">
        <v>#N/A N/A</v>
        <stp/>
        <stp>BDP|1895147799470495319</stp>
        <tr r="D2008" s="2"/>
      </tp>
      <tp t="s">
        <v>#N/A N/A</v>
        <stp/>
        <stp>BDP|3554343397553313058</stp>
        <tr r="Q187" s="2"/>
      </tp>
      <tp t="s">
        <v>#N/A N/A</v>
        <stp/>
        <stp>BDP|1196640654598601076</stp>
        <tr r="Q1832" s="2"/>
      </tp>
      <tp t="s">
        <v>#N/A N/A</v>
        <stp/>
        <stp>BDP|1899523238374124931</stp>
        <tr r="S1332" s="2"/>
      </tp>
      <tp t="s">
        <v>#N/A N/A</v>
        <stp/>
        <stp>BDP|5572501908948974242</stp>
        <tr r="M2090" s="2"/>
      </tp>
      <tp t="s">
        <v>#N/A N/A</v>
        <stp/>
        <stp>BDP|7875095577202597834</stp>
        <tr r="Q2074" s="2"/>
      </tp>
      <tp t="s">
        <v>#N/A N/A</v>
        <stp/>
        <stp>BDP|3622745477270182940</stp>
        <tr r="S1006" s="2"/>
      </tp>
      <tp t="s">
        <v>#N/A N/A</v>
        <stp/>
        <stp>BDP|8560463965071491121</stp>
        <tr r="D1298" s="2"/>
      </tp>
      <tp t="s">
        <v>#N/A N/A</v>
        <stp/>
        <stp>BDP|8986303000738091999</stp>
        <tr r="C1527" s="2"/>
      </tp>
      <tp t="s">
        <v>#N/A N/A</v>
        <stp/>
        <stp>BDP|7441531205130590871</stp>
        <tr r="M245" s="2"/>
      </tp>
      <tp t="s">
        <v>#N/A N/A</v>
        <stp/>
        <stp>BDP|1604777323336397811</stp>
        <tr r="T1167" s="2"/>
      </tp>
      <tp t="s">
        <v>#N/A N/A</v>
        <stp/>
        <stp>BDP|2397892804037622785</stp>
        <tr r="M1087" s="2"/>
      </tp>
      <tp t="s">
        <v>#N/A N/A</v>
        <stp/>
        <stp>BDP|8784136826527510676</stp>
        <tr r="R1739" s="2"/>
      </tp>
      <tp t="s">
        <v>#N/A N/A</v>
        <stp/>
        <stp>BDP|5158167071129165079</stp>
        <tr r="E1016" s="2"/>
      </tp>
      <tp t="s">
        <v>#N/A N/A</v>
        <stp/>
        <stp>BDP|7032110290663399620</stp>
        <tr r="J832" s="2"/>
      </tp>
      <tp t="s">
        <v>#N/A N/A</v>
        <stp/>
        <stp>BDP|2448482978433388876</stp>
        <tr r="M1897" s="2"/>
      </tp>
      <tp t="s">
        <v>#N/A N/A</v>
        <stp/>
        <stp>BDP|7092881476642828060</stp>
        <tr r="J676" s="2"/>
      </tp>
      <tp t="s">
        <v>#N/A N/A</v>
        <stp/>
        <stp>BDP|7391339793847036034</stp>
        <tr r="N970" s="2"/>
      </tp>
      <tp t="s">
        <v>#N/A N/A</v>
        <stp/>
        <stp>BDP|4938608589806548658</stp>
        <tr r="O2239" s="2"/>
      </tp>
      <tp t="s">
        <v>#N/A N/A</v>
        <stp/>
        <stp>BDP|9537463063037374638</stp>
        <tr r="R1928" s="2"/>
      </tp>
      <tp t="s">
        <v>#N/A N/A</v>
        <stp/>
        <stp>BDP|6029709223209239015</stp>
        <tr r="D550" s="2"/>
      </tp>
      <tp t="s">
        <v>#N/A N/A</v>
        <stp/>
        <stp>BDP|6884921724572959576</stp>
        <tr r="O1518" s="2"/>
      </tp>
      <tp t="s">
        <v>#N/A N/A</v>
        <stp/>
        <stp>BDS|9922696940302199313</stp>
        <tr r="I1776" s="2"/>
      </tp>
      <tp t="s">
        <v>#N/A N/A</v>
        <stp/>
        <stp>BDP|4175821767011764131</stp>
        <tr r="O821" s="2"/>
      </tp>
      <tp t="s">
        <v>#N/A N/A</v>
        <stp/>
        <stp>BDP|7522528899884762595</stp>
        <tr r="S1223" s="2"/>
      </tp>
      <tp t="s">
        <v>#N/A N/A</v>
        <stp/>
        <stp>BDP|3913385689112145090</stp>
        <tr r="J1723" s="2"/>
      </tp>
      <tp t="s">
        <v>#N/A N/A</v>
        <stp/>
        <stp>BDP|7326607926299344062</stp>
        <tr r="K2094" s="2"/>
      </tp>
      <tp t="s">
        <v>#N/A N/A</v>
        <stp/>
        <stp>BDP|6471940050776775676</stp>
        <tr r="F226" s="2"/>
      </tp>
      <tp t="s">
        <v>#N/A N/A</v>
        <stp/>
        <stp>BDP|8095258334082505140</stp>
        <tr r="E1748" s="2"/>
      </tp>
      <tp t="s">
        <v>#N/A N/A</v>
        <stp/>
        <stp>BDP|1224232266016523922</stp>
        <tr r="O2192" s="2"/>
      </tp>
      <tp t="s">
        <v>#N/A N/A</v>
        <stp/>
        <stp>BDP|1593061774998368447</stp>
        <tr r="C874" s="2"/>
      </tp>
      <tp t="s">
        <v>#N/A N/A</v>
        <stp/>
        <stp>BDP|4311636401868286037</stp>
        <tr r="K650" s="2"/>
      </tp>
      <tp t="s">
        <v>#N/A N/A</v>
        <stp/>
        <stp>BDP|9188017341846459152</stp>
        <tr r="E2217" s="2"/>
      </tp>
      <tp t="s">
        <v>#N/A N/A</v>
        <stp/>
        <stp>BDS|3735071859485922907</stp>
        <tr r="I944" s="2"/>
      </tp>
      <tp t="s">
        <v>#N/A N/A</v>
        <stp/>
        <stp>BDP|6674843519426923322</stp>
        <tr r="N389" s="2"/>
      </tp>
      <tp t="s">
        <v>#N/A N/A</v>
        <stp/>
        <stp>BDP|6683254085304392256</stp>
        <tr r="N82" s="2"/>
      </tp>
      <tp t="s">
        <v>#N/A N/A</v>
        <stp/>
        <stp>BDP|4413143712347163937</stp>
        <tr r="S578" s="2"/>
      </tp>
      <tp t="s">
        <v>#N/A N/A</v>
        <stp/>
        <stp>BDP|9547015074351461544</stp>
        <tr r="N1085" s="2"/>
      </tp>
      <tp t="s">
        <v>#N/A N/A</v>
        <stp/>
        <stp>BDP|5785865038790081492</stp>
        <tr r="A178" s="2"/>
      </tp>
      <tp t="s">
        <v>#N/A N/A</v>
        <stp/>
        <stp>BDP|8043360651447335340</stp>
        <tr r="F458" s="2"/>
      </tp>
      <tp t="s">
        <v>#N/A N/A</v>
        <stp/>
        <stp>BDP|8537726894584743847</stp>
        <tr r="T2210" s="2"/>
      </tp>
      <tp t="s">
        <v>#N/A N/A</v>
        <stp/>
        <stp>BDP|5421432540969327648</stp>
        <tr r="H1947" s="2"/>
      </tp>
      <tp t="s">
        <v>#N/A N/A</v>
        <stp/>
        <stp>BDP|8872783276375730717</stp>
        <tr r="Q1710" s="2"/>
      </tp>
      <tp t="s">
        <v>#N/A N/A</v>
        <stp/>
        <stp>BDP|8054517536926690211</stp>
        <tr r="F449" s="2"/>
      </tp>
      <tp t="s">
        <v>#N/A N/A</v>
        <stp/>
        <stp>BDP|7628493296800097093</stp>
        <tr r="F1035" s="2"/>
      </tp>
      <tp t="s">
        <v>#N/A N/A</v>
        <stp/>
        <stp>BDP|5059386684666961250</stp>
        <tr r="D2073" s="2"/>
      </tp>
      <tp t="s">
        <v>#N/A N/A</v>
        <stp/>
        <stp>BDP|3950022582178868913</stp>
        <tr r="S2181" s="2"/>
      </tp>
      <tp t="s">
        <v>#N/A N/A</v>
        <stp/>
        <stp>BDP|8759392935142361082</stp>
        <tr r="K2149" s="2"/>
      </tp>
      <tp t="s">
        <v>#N/A N/A</v>
        <stp/>
        <stp>BDP|8888437875874801565</stp>
        <tr r="R1332" s="2"/>
      </tp>
      <tp t="s">
        <v>#N/A N/A</v>
        <stp/>
        <stp>BDP|5373873203092724504</stp>
        <tr r="S127" s="2"/>
      </tp>
      <tp t="s">
        <v>#N/A N/A</v>
        <stp/>
        <stp>BDP|3341271137768699059</stp>
        <tr r="F2012" s="2"/>
      </tp>
      <tp t="s">
        <v>#N/A N/A</v>
        <stp/>
        <stp>BDP|9497216151952504613</stp>
        <tr r="A2123" s="2"/>
      </tp>
      <tp t="s">
        <v>#N/A N/A</v>
        <stp/>
        <stp>BDP|5298798286784860455</stp>
        <tr r="A1731" s="2"/>
      </tp>
      <tp t="s">
        <v>#N/A N/A</v>
        <stp/>
        <stp>BDP|5600769347308070478</stp>
        <tr r="F907" s="2"/>
      </tp>
      <tp t="s">
        <v>#N/A N/A</v>
        <stp/>
        <stp>BDP|9784270063813416474</stp>
        <tr r="G818" s="2"/>
      </tp>
      <tp t="s">
        <v>#N/A N/A</v>
        <stp/>
        <stp>BDP|2296271988657986543</stp>
        <tr r="C2103" s="2"/>
      </tp>
      <tp t="s">
        <v>#N/A N/A</v>
        <stp/>
        <stp>BDP|6459074053100624967</stp>
        <tr r="R305" s="2"/>
      </tp>
      <tp t="s">
        <v>#N/A N/A</v>
        <stp/>
        <stp>BDP|1495271609730389992</stp>
        <tr r="D335" s="2"/>
      </tp>
      <tp t="s">
        <v>#N/A N/A</v>
        <stp/>
        <stp>BDP|7101044996023503761</stp>
        <tr r="T168" s="2"/>
      </tp>
      <tp t="s">
        <v>#N/A N/A</v>
        <stp/>
        <stp>BDP|9947306965661891748</stp>
        <tr r="G115" s="2"/>
      </tp>
      <tp t="s">
        <v>#N/A N/A</v>
        <stp/>
        <stp>BDP|2173180318171133901</stp>
        <tr r="N1665" s="2"/>
      </tp>
      <tp t="s">
        <v>#N/A N/A</v>
        <stp/>
        <stp>BDP|5607981521334961060</stp>
        <tr r="F1106" s="2"/>
      </tp>
      <tp t="s">
        <v>#N/A N/A</v>
        <stp/>
        <stp>BDP|8816116793612271882</stp>
        <tr r="P1466" s="2"/>
      </tp>
      <tp t="s">
        <v>#N/A N/A</v>
        <stp/>
        <stp>BDP|5855599029268931019</stp>
        <tr r="G1293" s="2"/>
      </tp>
      <tp t="s">
        <v>#N/A N/A</v>
        <stp/>
        <stp>BDP|6067958316411579569</stp>
        <tr r="N1798" s="2"/>
      </tp>
      <tp t="s">
        <v>#N/A N/A</v>
        <stp/>
        <stp>BDP|2713404186083624773</stp>
        <tr r="R723" s="2"/>
      </tp>
      <tp t="s">
        <v>#N/A N/A</v>
        <stp/>
        <stp>BDP|9792402835935067120</stp>
        <tr r="E424" s="2"/>
      </tp>
      <tp t="s">
        <v>#N/A N/A</v>
        <stp/>
        <stp>BDP|3479476795673601703</stp>
        <tr r="K2152" s="2"/>
      </tp>
      <tp t="s">
        <v>#N/A N/A</v>
        <stp/>
        <stp>BDP|3187231080537480463</stp>
        <tr r="T448" s="2"/>
      </tp>
      <tp t="s">
        <v>#N/A N/A</v>
        <stp/>
        <stp>BDP|9627147159424374381</stp>
        <tr r="D2066" s="2"/>
      </tp>
      <tp t="s">
        <v>#N/A N/A</v>
        <stp/>
        <stp>BDP|2171321785246521531</stp>
        <tr r="R380" s="2"/>
      </tp>
      <tp t="s">
        <v>#N/A N/A</v>
        <stp/>
        <stp>BDS|9073410040796329526</stp>
        <tr r="I1712" s="2"/>
      </tp>
      <tp t="s">
        <v>#N/A N/A</v>
        <stp/>
        <stp>BDP|3589734695860755746</stp>
        <tr r="A881" s="2"/>
      </tp>
      <tp t="s">
        <v>#N/A N/A</v>
        <stp/>
        <stp>BDP|3901444768699025257</stp>
        <tr r="K120" s="2"/>
      </tp>
      <tp t="s">
        <v>#N/A N/A</v>
        <stp/>
        <stp>BDP|1773460140419135206</stp>
        <tr r="P386" s="2"/>
      </tp>
      <tp t="s">
        <v>#N/A N/A</v>
        <stp/>
        <stp>BDP|7714240594257214154</stp>
        <tr r="C832" s="2"/>
      </tp>
      <tp t="s">
        <v>#N/A N/A</v>
        <stp/>
        <stp>BDP|5413574485390373257</stp>
        <tr r="O82" s="2"/>
      </tp>
      <tp t="s">
        <v>#N/A N/A</v>
        <stp/>
        <stp>BDP|5590599472419951468</stp>
        <tr r="H1872" s="2"/>
      </tp>
      <tp t="s">
        <v>#N/A N/A</v>
        <stp/>
        <stp>BDP|4223470422380709818</stp>
        <tr r="G1984" s="2"/>
      </tp>
      <tp t="s">
        <v>#N/A N/A</v>
        <stp/>
        <stp>BDP|1530478754178730200</stp>
        <tr r="S2045" s="2"/>
      </tp>
      <tp t="s">
        <v>#N/A N/A</v>
        <stp/>
        <stp>BDP|3537917141900336477</stp>
        <tr r="F1132" s="2"/>
      </tp>
      <tp t="s">
        <v>#N/A N/A</v>
        <stp/>
        <stp>BDP|5674103636034841999</stp>
        <tr r="S485" s="2"/>
      </tp>
      <tp t="s">
        <v>#N/A N/A</v>
        <stp/>
        <stp>BDP|3612160311879737073</stp>
        <tr r="E669" s="2"/>
      </tp>
      <tp t="s">
        <v>#N/A N/A</v>
        <stp/>
        <stp>BDP|3104208388021101290</stp>
        <tr r="T2053" s="2"/>
      </tp>
      <tp t="s">
        <v>#N/A N/A</v>
        <stp/>
        <stp>BDP|7627596640065780994</stp>
        <tr r="H1656" s="2"/>
      </tp>
      <tp t="s">
        <v>#N/A N/A</v>
        <stp/>
        <stp>BDP|1382715394795268054</stp>
        <tr r="G793" s="2"/>
      </tp>
      <tp t="s">
        <v>#N/A N/A</v>
        <stp/>
        <stp>BDP|3469578387250733427</stp>
        <tr r="O2017" s="2"/>
      </tp>
      <tp t="s">
        <v>#N/A N/A</v>
        <stp/>
        <stp>BDP|3450816064810694769</stp>
        <tr r="H1678" s="2"/>
      </tp>
      <tp t="s">
        <v>#N/A N/A</v>
        <stp/>
        <stp>BDP|2504572152938274037</stp>
        <tr r="H139" s="2"/>
      </tp>
      <tp t="s">
        <v>#N/A N/A</v>
        <stp/>
        <stp>BDP|8472314943931762407</stp>
        <tr r="O995" s="2"/>
      </tp>
      <tp t="s">
        <v>#N/A N/A</v>
        <stp/>
        <stp>BDP|4182926303977287035</stp>
        <tr r="C1885" s="2"/>
      </tp>
      <tp t="s">
        <v>#N/A N/A</v>
        <stp/>
        <stp>BDP|8781432377470218105</stp>
        <tr r="O535" s="2"/>
      </tp>
      <tp t="s">
        <v>#N/A N/A</v>
        <stp/>
        <stp>BDP|1677240062196086914</stp>
        <tr r="D304" s="2"/>
      </tp>
      <tp t="s">
        <v>#N/A N/A</v>
        <stp/>
        <stp>BDP|4529803897128489772</stp>
        <tr r="Q354" s="2"/>
      </tp>
      <tp t="s">
        <v>#N/A N/A</v>
        <stp/>
        <stp>BDP|6559479611711755854</stp>
        <tr r="N454" s="2"/>
      </tp>
      <tp t="s">
        <v>#N/A N/A</v>
        <stp/>
        <stp>BDP|2119161455675324909</stp>
        <tr r="E1396" s="2"/>
      </tp>
      <tp t="s">
        <v>#N/A N/A</v>
        <stp/>
        <stp>BDP|4787933805140142713</stp>
        <tr r="K764" s="2"/>
      </tp>
      <tp t="s">
        <v>#N/A N/A</v>
        <stp/>
        <stp>BDP|8684653618565900032</stp>
        <tr r="O1090" s="2"/>
      </tp>
      <tp t="s">
        <v>#N/A N/A</v>
        <stp/>
        <stp>BDP|9087118063632591663</stp>
        <tr r="O700" s="2"/>
      </tp>
      <tp t="s">
        <v>#N/A N/A</v>
        <stp/>
        <stp>BDP|2860656278871268862</stp>
        <tr r="T1006" s="2"/>
      </tp>
      <tp t="s">
        <v>#N/A N/A</v>
        <stp/>
        <stp>BDP|8722693569871548331</stp>
        <tr r="S1772" s="2"/>
      </tp>
      <tp t="s">
        <v>#N/A N/A</v>
        <stp/>
        <stp>BDP|2629343550657330908</stp>
        <tr r="M2170" s="2"/>
      </tp>
      <tp t="s">
        <v>#N/A N/A</v>
        <stp/>
        <stp>BDP|7820438726362828947</stp>
        <tr r="R1311" s="2"/>
      </tp>
      <tp t="s">
        <v>#N/A N/A</v>
        <stp/>
        <stp>BDP|5857197592512499562</stp>
        <tr r="G1709" s="2"/>
      </tp>
      <tp t="s">
        <v>#N/A N/A</v>
        <stp/>
        <stp>BDP|8524471005704583233</stp>
        <tr r="O1506" s="2"/>
      </tp>
      <tp t="s">
        <v>#N/A N/A</v>
        <stp/>
        <stp>BDP|2057117592424683441</stp>
        <tr r="Q725" s="2"/>
      </tp>
      <tp t="s">
        <v>#N/A N/A</v>
        <stp/>
        <stp>BDP|7297125334689662633</stp>
        <tr r="T2024" s="2"/>
      </tp>
      <tp t="s">
        <v>#N/A N/A</v>
        <stp/>
        <stp>BDP|7539838443257261660</stp>
        <tr r="F1438" s="2"/>
      </tp>
      <tp t="s">
        <v>#N/A N/A</v>
        <stp/>
        <stp>BDP|2382716944618737305</stp>
        <tr r="G902" s="2"/>
      </tp>
      <tp t="s">
        <v>#N/A N/A</v>
        <stp/>
        <stp>BDP|1263422842823167824</stp>
        <tr r="A1539" s="2"/>
      </tp>
      <tp t="s">
        <v>#N/A N/A</v>
        <stp/>
        <stp>BDS|3271850101392787301</stp>
        <tr r="I104" s="2"/>
      </tp>
      <tp t="s">
        <v>#N/A N/A</v>
        <stp/>
        <stp>BDP|4603513465294786947</stp>
        <tr r="F2211" s="2"/>
      </tp>
      <tp t="s">
        <v>#N/A N/A</v>
        <stp/>
        <stp>BDP|1084997560736129294</stp>
        <tr r="D2153" s="2"/>
      </tp>
      <tp t="s">
        <v>#N/A N/A</v>
        <stp/>
        <stp>BDP|9859063128351486033</stp>
        <tr r="K688" s="2"/>
      </tp>
      <tp t="s">
        <v>#N/A N/A</v>
        <stp/>
        <stp>BDP|9025159972885611003</stp>
        <tr r="H892" s="2"/>
      </tp>
      <tp t="s">
        <v>#N/A N/A</v>
        <stp/>
        <stp>BDP|3525202356306074825</stp>
        <tr r="R235" s="2"/>
      </tp>
      <tp t="s">
        <v>#N/A N/A</v>
        <stp/>
        <stp>BDP|8236467184688712662</stp>
        <tr r="S1193" s="2"/>
      </tp>
      <tp t="s">
        <v>#N/A N/A</v>
        <stp/>
        <stp>BDP|7936534370799804631</stp>
        <tr r="E1773" s="2"/>
      </tp>
      <tp t="s">
        <v>#N/A N/A</v>
        <stp/>
        <stp>BDP|4811756281444941547</stp>
        <tr r="G196" s="2"/>
      </tp>
      <tp t="s">
        <v>#N/A N/A</v>
        <stp/>
        <stp>BDP|2090370310768282246</stp>
        <tr r="O362" s="2"/>
      </tp>
      <tp t="s">
        <v>#N/A N/A</v>
        <stp/>
        <stp>BDP|8661644451650311115</stp>
        <tr r="P1245" s="2"/>
      </tp>
      <tp t="s">
        <v>#N/A N/A</v>
        <stp/>
        <stp>BDP|8491114966746021328</stp>
        <tr r="S787" s="2"/>
      </tp>
      <tp t="s">
        <v>#N/A N/A</v>
        <stp/>
        <stp>BDP|7228444346465443856</stp>
        <tr r="Q537" s="2"/>
      </tp>
      <tp t="s">
        <v>#N/A N/A</v>
        <stp/>
        <stp>BDP|9072252871516342064</stp>
        <tr r="A396" s="2"/>
      </tp>
      <tp t="s">
        <v>#N/A N/A</v>
        <stp/>
        <stp>BDP|6937860177045037693</stp>
        <tr r="M111" s="2"/>
      </tp>
      <tp t="s">
        <v>#N/A N/A</v>
        <stp/>
        <stp>BDP|5706854677253774332</stp>
        <tr r="C1654" s="2"/>
      </tp>
      <tp t="s">
        <v>#N/A N/A</v>
        <stp/>
        <stp>BDP|9638134564265455143</stp>
        <tr r="A1927" s="2"/>
      </tp>
      <tp t="s">
        <v>#N/A N/A</v>
        <stp/>
        <stp>BDP|5000035514259674702</stp>
        <tr r="C1379" s="2"/>
      </tp>
      <tp t="s">
        <v>#N/A N/A</v>
        <stp/>
        <stp>BDP|5907004289833480456</stp>
        <tr r="G424" s="2"/>
      </tp>
      <tp t="s">
        <v>#N/A N/A</v>
        <stp/>
        <stp>BDP|5502923025002702641</stp>
        <tr r="J762" s="2"/>
      </tp>
      <tp t="s">
        <v>#N/A N/A</v>
        <stp/>
        <stp>BDP|5980461263219802459</stp>
        <tr r="F1702" s="2"/>
      </tp>
      <tp t="s">
        <v>#N/A N/A</v>
        <stp/>
        <stp>BDP|8007681738565437255</stp>
        <tr r="J935" s="2"/>
      </tp>
      <tp t="s">
        <v>#N/A N/A</v>
        <stp/>
        <stp>BDP|3104685969731000810</stp>
        <tr r="G326" s="2"/>
      </tp>
      <tp t="s">
        <v>#N/A N/A</v>
        <stp/>
        <stp>BDP|9901553306353955520</stp>
        <tr r="C728" s="2"/>
      </tp>
      <tp t="s">
        <v>#N/A N/A</v>
        <stp/>
        <stp>BDP|3521997848195723123</stp>
        <tr r="R1678" s="2"/>
      </tp>
      <tp t="s">
        <v>#N/A N/A</v>
        <stp/>
        <stp>BDP|1726917649256649086</stp>
        <tr r="P1018" s="2"/>
      </tp>
      <tp t="s">
        <v>#N/A N/A</v>
        <stp/>
        <stp>BDP|5113969578010759198</stp>
        <tr r="C1309" s="2"/>
      </tp>
      <tp t="s">
        <v>#N/A N/A</v>
        <stp/>
        <stp>BDP|6515935839143747594</stp>
        <tr r="R2001" s="2"/>
      </tp>
      <tp t="s">
        <v>#N/A N/A</v>
        <stp/>
        <stp>BDP|9104240951015467113</stp>
        <tr r="P1094" s="2"/>
      </tp>
      <tp t="s">
        <v>#N/A N/A</v>
        <stp/>
        <stp>BDP|5750542097491434214</stp>
        <tr r="C2065" s="2"/>
      </tp>
      <tp t="s">
        <v>#N/A N/A</v>
        <stp/>
        <stp>BDP|7856269796974988209</stp>
        <tr r="H2131" s="2"/>
      </tp>
      <tp t="s">
        <v>#N/A N/A</v>
        <stp/>
        <stp>BDP|9768226274985197317</stp>
        <tr r="M1942" s="2"/>
      </tp>
      <tp t="s">
        <v>#N/A N/A</v>
        <stp/>
        <stp>BDS|4608856711573714446</stp>
        <tr r="I2205" s="2"/>
      </tp>
      <tp t="s">
        <v>#N/A N/A</v>
        <stp/>
        <stp>BDP|7071330378498203184</stp>
        <tr r="H788" s="2"/>
      </tp>
      <tp t="s">
        <v>#N/A N/A</v>
        <stp/>
        <stp>BDP|5049830011657347101</stp>
        <tr r="F1204" s="2"/>
      </tp>
      <tp t="s">
        <v>#N/A N/A</v>
        <stp/>
        <stp>BDP|1201970232664662506</stp>
        <tr r="G1740" s="2"/>
      </tp>
      <tp t="s">
        <v>#N/A N/A</v>
        <stp/>
        <stp>BDP|8222738374633595113</stp>
        <tr r="P957" s="2"/>
      </tp>
      <tp t="s">
        <v>#N/A N/A</v>
        <stp/>
        <stp>BDS|8780701443947763623</stp>
        <tr r="I1016" s="2"/>
      </tp>
      <tp t="s">
        <v>#N/A N/A</v>
        <stp/>
        <stp>BDP|4704324727376628953</stp>
        <tr r="H1844" s="2"/>
      </tp>
      <tp t="s">
        <v>#N/A N/A</v>
        <stp/>
        <stp>BDP|9400663990618065435</stp>
        <tr r="T213" s="2"/>
      </tp>
      <tp t="s">
        <v>#N/A N/A</v>
        <stp/>
        <stp>BDP|6754918927933850487</stp>
        <tr r="P84" s="2"/>
      </tp>
      <tp t="s">
        <v>#N/A N/A</v>
        <stp/>
        <stp>BDP|2509518013278848497</stp>
        <tr r="F2091" s="2"/>
      </tp>
      <tp t="s">
        <v>#N/A N/A</v>
        <stp/>
        <stp>BDP|6715818167670025274</stp>
        <tr r="J1236" s="2"/>
      </tp>
      <tp t="s">
        <v>#N/A N/A</v>
        <stp/>
        <stp>BDP|5550579986236128435</stp>
        <tr r="G2203" s="2"/>
      </tp>
      <tp t="s">
        <v>#N/A N/A</v>
        <stp/>
        <stp>BDP|9120200804846561765</stp>
        <tr r="P2138" s="2"/>
      </tp>
      <tp t="s">
        <v>#N/A N/A</v>
        <stp/>
        <stp>BDP|1003752853081489843</stp>
        <tr r="M1173" s="2"/>
      </tp>
      <tp t="s">
        <v>#N/A N/A</v>
        <stp/>
        <stp>BDP|9415288673915815319</stp>
        <tr r="T1068" s="2"/>
      </tp>
      <tp t="s">
        <v>#N/A N/A</v>
        <stp/>
        <stp>BDP|1351991833934856570</stp>
        <tr r="A789" s="2"/>
      </tp>
      <tp t="s">
        <v>#N/A N/A</v>
        <stp/>
        <stp>BDP|7325993190484542999</stp>
        <tr r="Q424" s="2"/>
      </tp>
      <tp t="s">
        <v>#N/A N/A</v>
        <stp/>
        <stp>BDP|6389022587812135619</stp>
        <tr r="T154" s="2"/>
      </tp>
      <tp t="s">
        <v>#N/A N/A</v>
        <stp/>
        <stp>BDP|5176620160208282776</stp>
        <tr r="T219" s="2"/>
      </tp>
      <tp t="s">
        <v>#N/A N/A</v>
        <stp/>
        <stp>BDP|9422261280858223162</stp>
        <tr r="T965" s="2"/>
      </tp>
      <tp t="s">
        <v>#N/A N/A</v>
        <stp/>
        <stp>BDP|5207990775457178698</stp>
        <tr r="O1394" s="2"/>
      </tp>
      <tp t="s">
        <v>#N/A N/A</v>
        <stp/>
        <stp>BDP|2494886978727649046</stp>
        <tr r="J429" s="2"/>
      </tp>
      <tp t="s">
        <v>#N/A N/A</v>
        <stp/>
        <stp>BDP|1980770179059656277</stp>
        <tr r="S804" s="2"/>
      </tp>
      <tp t="s">
        <v>#N/A N/A</v>
        <stp/>
        <stp>BDP|6759630896076184557</stp>
        <tr r="Q11" s="2"/>
      </tp>
      <tp t="s">
        <v>#N/A N/A</v>
        <stp/>
        <stp>BDP|3245072559609883522</stp>
        <tr r="O303" s="2"/>
      </tp>
      <tp t="s">
        <v>#N/A N/A</v>
        <stp/>
        <stp>BDP|8105106285013558879</stp>
        <tr r="J1577" s="2"/>
      </tp>
      <tp t="s">
        <v>#N/A N/A</v>
        <stp/>
        <stp>BDP|5519864440042470118</stp>
        <tr r="O2162" s="2"/>
      </tp>
      <tp t="s">
        <v>#N/A N/A</v>
        <stp/>
        <stp>BDP|2948139989075027452</stp>
        <tr r="O2011" s="2"/>
      </tp>
      <tp t="s">
        <v>#N/A N/A</v>
        <stp/>
        <stp>BDP|4277448201458466251</stp>
        <tr r="R790" s="2"/>
      </tp>
      <tp t="s">
        <v>#N/A N/A</v>
        <stp/>
        <stp>BDP|3255318637778768150</stp>
        <tr r="A807" s="2"/>
      </tp>
      <tp t="s">
        <v>#N/A N/A</v>
        <stp/>
        <stp>BDP|5248467691312493075</stp>
        <tr r="P1916" s="2"/>
      </tp>
      <tp t="s">
        <v>#N/A N/A</v>
        <stp/>
        <stp>BDP|4423469904413899989</stp>
        <tr r="C2131" s="2"/>
      </tp>
      <tp t="s">
        <v>#N/A N/A</v>
        <stp/>
        <stp>BDP|6816379827929961478</stp>
        <tr r="K1614" s="2"/>
      </tp>
      <tp t="s">
        <v>#N/A N/A</v>
        <stp/>
        <stp>BDP|8836868325781513982</stp>
        <tr r="A151" s="2"/>
      </tp>
      <tp t="s">
        <v>#N/A N/A</v>
        <stp/>
        <stp>BDP|2891344266495532895</stp>
        <tr r="C1920" s="2"/>
      </tp>
      <tp t="s">
        <v>#N/A N/A</v>
        <stp/>
        <stp>BDP|1393929760641093571</stp>
        <tr r="M416" s="2"/>
      </tp>
      <tp t="s">
        <v>#N/A N/A</v>
        <stp/>
        <stp>BDP|3377608982597724006</stp>
        <tr r="K840" s="2"/>
      </tp>
      <tp t="s">
        <v>#N/A N/A</v>
        <stp/>
        <stp>BDP|8649576408675627298</stp>
        <tr r="F300" s="2"/>
      </tp>
      <tp t="s">
        <v>#N/A N/A</v>
        <stp/>
        <stp>BDP|2661979702170774128</stp>
        <tr r="A1373" s="2"/>
      </tp>
      <tp t="s">
        <v>#N/A N/A</v>
        <stp/>
        <stp>BDP|8795733107892728721</stp>
        <tr r="J274" s="2"/>
      </tp>
      <tp t="s">
        <v>#N/A N/A</v>
        <stp/>
        <stp>BDP|6051897456252047395</stp>
        <tr r="G833" s="2"/>
      </tp>
      <tp t="s">
        <v>#N/A N/A</v>
        <stp/>
        <stp>BDP|8834796333297121154</stp>
        <tr r="N700" s="2"/>
      </tp>
      <tp t="s">
        <v>#N/A N/A</v>
        <stp/>
        <stp>BDP|7588522844268414419</stp>
        <tr r="Q504" s="2"/>
      </tp>
      <tp t="s">
        <v>#N/A N/A</v>
        <stp/>
        <stp>BDP|5975456199212339000</stp>
        <tr r="K890" s="2"/>
      </tp>
      <tp t="s">
        <v>#N/A N/A</v>
        <stp/>
        <stp>BDP|8051267260753622564</stp>
        <tr r="G140" s="2"/>
      </tp>
      <tp t="s">
        <v>#N/A N/A</v>
        <stp/>
        <stp>BDP|8254217041593348770</stp>
        <tr r="C320" s="2"/>
      </tp>
      <tp t="s">
        <v>#N/A N/A</v>
        <stp/>
        <stp>BDP|2098936947512697740</stp>
        <tr r="K1040" s="2"/>
      </tp>
      <tp t="s">
        <v>#N/A N/A</v>
        <stp/>
        <stp>BDP|5431798389969196938</stp>
        <tr r="F1269" s="2"/>
      </tp>
      <tp t="s">
        <v>#N/A N/A</v>
        <stp/>
        <stp>BDP|1384612995262028619</stp>
        <tr r="T182" s="2"/>
      </tp>
      <tp t="s">
        <v>#N/A N/A</v>
        <stp/>
        <stp>BDP|9521001730416434677</stp>
        <tr r="C480" s="2"/>
      </tp>
      <tp t="s">
        <v>#N/A N/A</v>
        <stp/>
        <stp>BDP|5434304012108049501</stp>
        <tr r="H528" s="2"/>
      </tp>
      <tp t="s">
        <v>#N/A N/A</v>
        <stp/>
        <stp>BDP|6604897760552950005</stp>
        <tr r="A885" s="2"/>
      </tp>
      <tp t="s">
        <v>#N/A N/A</v>
        <stp/>
        <stp>BDP|2553859552811006446</stp>
        <tr r="N297" s="2"/>
      </tp>
      <tp t="s">
        <v>#N/A N/A</v>
        <stp/>
        <stp>BDP|9589922848327922909</stp>
        <tr r="D2196" s="2"/>
      </tp>
      <tp t="s">
        <v>#N/A N/A</v>
        <stp/>
        <stp>BDP|3074855124631072276</stp>
        <tr r="G1894" s="2"/>
      </tp>
      <tp t="s">
        <v>#N/A N/A</v>
        <stp/>
        <stp>BDP|6837951761497364495</stp>
        <tr r="N1842" s="2"/>
      </tp>
      <tp t="s">
        <v>#N/A N/A</v>
        <stp/>
        <stp>BDP|1411571452858249359</stp>
        <tr r="Q1042" s="2"/>
      </tp>
      <tp t="s">
        <v>#N/A N/A</v>
        <stp/>
        <stp>BDP|6227902444366703777</stp>
        <tr r="N201" s="2"/>
      </tp>
      <tp t="s">
        <v>#N/A N/A</v>
        <stp/>
        <stp>BDP|4464201693267944285</stp>
        <tr r="P45" s="2"/>
      </tp>
      <tp t="s">
        <v>#N/A N/A</v>
        <stp/>
        <stp>BDP|8531667030143668437</stp>
        <tr r="T1017" s="2"/>
      </tp>
      <tp t="s">
        <v>#N/A N/A</v>
        <stp/>
        <stp>BDP|9421658974374252618</stp>
        <tr r="Q285" s="2"/>
      </tp>
      <tp t="s">
        <v>#N/A N/A</v>
        <stp/>
        <stp>BDP|4631695602799346181</stp>
        <tr r="K175" s="2"/>
      </tp>
      <tp t="s">
        <v>#N/A N/A</v>
        <stp/>
        <stp>BDP|9565943531601206844</stp>
        <tr r="P481" s="2"/>
      </tp>
      <tp t="s">
        <v>#N/A N/A</v>
        <stp/>
        <stp>BDP|5655210550181978984</stp>
        <tr r="C125" s="2"/>
      </tp>
      <tp t="s">
        <v>#N/A N/A</v>
        <stp/>
        <stp>BDS|9690128426243061341</stp>
        <tr r="I1784" s="2"/>
      </tp>
      <tp t="s">
        <v>#N/A N/A</v>
        <stp/>
        <stp>BDP|3830071674348469690</stp>
        <tr r="R1641" s="2"/>
      </tp>
      <tp t="s">
        <v>#N/A N/A</v>
        <stp/>
        <stp>BDP|9317361732616845594</stp>
        <tr r="Q2009" s="2"/>
      </tp>
      <tp t="s">
        <v>#N/A N/A</v>
        <stp/>
        <stp>BDP|7638497286081631091</stp>
        <tr r="Q978" s="2"/>
      </tp>
      <tp t="s">
        <v>#N/A N/A</v>
        <stp/>
        <stp>BDP|1484935761501506541</stp>
        <tr r="C342" s="2"/>
      </tp>
      <tp t="s">
        <v>#N/A N/A</v>
        <stp/>
        <stp>BDP|8593871494181919281</stp>
        <tr r="N1443" s="2"/>
      </tp>
      <tp t="s">
        <v>#N/A N/A</v>
        <stp/>
        <stp>BDP|9079739451732589308</stp>
        <tr r="Q630" s="2"/>
      </tp>
      <tp t="s">
        <v>#N/A N/A</v>
        <stp/>
        <stp>BDP|9216040566801143464</stp>
        <tr r="H641" s="2"/>
      </tp>
      <tp t="s">
        <v>#N/A N/A</v>
        <stp/>
        <stp>BDP|9163086123102510389</stp>
        <tr r="Q1067" s="2"/>
      </tp>
      <tp t="s">
        <v>#N/A N/A</v>
        <stp/>
        <stp>BDP|1251385271069518698</stp>
        <tr r="C2094" s="2"/>
      </tp>
      <tp t="s">
        <v>#N/A N/A</v>
        <stp/>
        <stp>BDP|1745773180921249553</stp>
        <tr r="T1105" s="2"/>
      </tp>
      <tp t="s">
        <v>#N/A N/A</v>
        <stp/>
        <stp>BDP|4788260292747401206</stp>
        <tr r="F1360" s="2"/>
      </tp>
      <tp t="s">
        <v>#N/A N/A</v>
        <stp/>
        <stp>BDP|2723019382822596262</stp>
        <tr r="H1157" s="2"/>
      </tp>
      <tp t="s">
        <v>#N/A N/A</v>
        <stp/>
        <stp>BDP|3611179520423204944</stp>
        <tr r="C1392" s="2"/>
      </tp>
      <tp t="s">
        <v>#N/A N/A</v>
        <stp/>
        <stp>BDP|2277721399474680282</stp>
        <tr r="R1343" s="2"/>
      </tp>
      <tp t="s">
        <v>#N/A N/A</v>
        <stp/>
        <stp>BDP|7707560182678272869</stp>
        <tr r="K977" s="2"/>
      </tp>
      <tp t="s">
        <v>#N/A N/A</v>
        <stp/>
        <stp>BDP|8510629106072599639</stp>
        <tr r="E532" s="2"/>
      </tp>
      <tp t="s">
        <v>#N/A N/A</v>
        <stp/>
        <stp>BDP|8698901281340448344</stp>
        <tr r="E674" s="2"/>
      </tp>
      <tp t="s">
        <v>#N/A N/A</v>
        <stp/>
        <stp>BDP|2427334115108345268</stp>
        <tr r="T330" s="2"/>
      </tp>
      <tp t="s">
        <v>#N/A N/A</v>
        <stp/>
        <stp>BDP|1183623412498431427</stp>
        <tr r="N1003" s="2"/>
      </tp>
      <tp t="s">
        <v>#N/A N/A</v>
        <stp/>
        <stp>BDP|6449191034677905978</stp>
        <tr r="K2105" s="2"/>
      </tp>
      <tp t="s">
        <v>#N/A N/A</v>
        <stp/>
        <stp>BDP|3037746783967843182</stp>
        <tr r="A1284" s="2"/>
      </tp>
      <tp t="s">
        <v>#N/A N/A</v>
        <stp/>
        <stp>BDP|2681331516829097342</stp>
        <tr r="J929" s="2"/>
      </tp>
      <tp t="s">
        <v>#N/A N/A</v>
        <stp/>
        <stp>BDP|3643231586971723234</stp>
        <tr r="R60" s="2"/>
      </tp>
      <tp t="s">
        <v>#N/A N/A</v>
        <stp/>
        <stp>BDP|3241241571929135512</stp>
        <tr r="G165" s="2"/>
      </tp>
      <tp t="s">
        <v>#N/A N/A</v>
        <stp/>
        <stp>BDP|3901400804458910538</stp>
        <tr r="Q33" s="2"/>
      </tp>
      <tp t="s">
        <v>#N/A N/A</v>
        <stp/>
        <stp>BDP|4109630062768784602</stp>
        <tr r="C1057" s="2"/>
      </tp>
      <tp t="s">
        <v>#N/A N/A</v>
        <stp/>
        <stp>BDP|1680672556631776977</stp>
        <tr r="C561" s="2"/>
      </tp>
      <tp t="s">
        <v>#N/A N/A</v>
        <stp/>
        <stp>BDP|2442181088658196926</stp>
        <tr r="R988" s="2"/>
      </tp>
      <tp t="s">
        <v>#N/A N/A</v>
        <stp/>
        <stp>BDP|8698735641705372400</stp>
        <tr r="A1954" s="2"/>
      </tp>
      <tp t="s">
        <v>#N/A N/A</v>
        <stp/>
        <stp>BDP|7993267782125949237</stp>
        <tr r="N1174" s="2"/>
      </tp>
      <tp t="s">
        <v>#N/A N/A</v>
        <stp/>
        <stp>BDP|9887511893179930647</stp>
        <tr r="E495" s="2"/>
      </tp>
      <tp t="s">
        <v>#N/A N/A</v>
        <stp/>
        <stp>BDP|4417608092784126500</stp>
        <tr r="N882" s="2"/>
      </tp>
      <tp t="s">
        <v>#N/A N/A</v>
        <stp/>
        <stp>BDP|9336922867988513446</stp>
        <tr r="J758" s="2"/>
      </tp>
      <tp t="s">
        <v>#N/A N/A</v>
        <stp/>
        <stp>BDP|2432242083290649228</stp>
        <tr r="F577" s="2"/>
      </tp>
      <tp t="s">
        <v>#N/A N/A</v>
        <stp/>
        <stp>BDP|3152255336551198943</stp>
        <tr r="S1642" s="2"/>
      </tp>
      <tp t="s">
        <v>#N/A N/A</v>
        <stp/>
        <stp>BDP|3943678924354563986</stp>
        <tr r="R175" s="2"/>
      </tp>
      <tp t="s">
        <v>#N/A N/A</v>
        <stp/>
        <stp>BDP|2990636031288816543</stp>
        <tr r="E1821" s="2"/>
      </tp>
      <tp t="s">
        <v>#N/A N/A</v>
        <stp/>
        <stp>BDP|6038563677546094863</stp>
        <tr r="G613" s="2"/>
      </tp>
      <tp t="s">
        <v>#N/A N/A</v>
        <stp/>
        <stp>BDP|5238981391728590793</stp>
        <tr r="C546" s="2"/>
      </tp>
      <tp t="s">
        <v>#N/A N/A</v>
        <stp/>
        <stp>BDP|6457443040444255859</stp>
        <tr r="O1771" s="2"/>
      </tp>
      <tp t="s">
        <v>#N/A N/A</v>
        <stp/>
        <stp>BDP|2367947012638693840</stp>
        <tr r="T246" s="2"/>
      </tp>
      <tp t="s">
        <v>#N/A N/A</v>
        <stp/>
        <stp>BDP|5557968202476040063</stp>
        <tr r="G525" s="2"/>
      </tp>
      <tp t="s">
        <v>#N/A N/A</v>
        <stp/>
        <stp>BDS|1670819373015561165</stp>
        <tr r="I1200" s="2"/>
      </tp>
      <tp t="s">
        <v>#N/A N/A</v>
        <stp/>
        <stp>BDP|8285381868770143744</stp>
        <tr r="F603" s="2"/>
      </tp>
      <tp t="s">
        <v>#N/A N/A</v>
        <stp/>
        <stp>BDP|1352330699984989575</stp>
        <tr r="F921" s="2"/>
      </tp>
      <tp t="s">
        <v>#N/A N/A</v>
        <stp/>
        <stp>BDP|1374348167017192967</stp>
        <tr r="Q971" s="2"/>
      </tp>
      <tp t="s">
        <v>#N/A N/A</v>
        <stp/>
        <stp>BDP|8110445405701532721</stp>
        <tr r="O2055" s="2"/>
      </tp>
      <tp t="s">
        <v>#N/A N/A</v>
        <stp/>
        <stp>BDP|3280942817212098360</stp>
        <tr r="N1622" s="2"/>
      </tp>
      <tp t="s">
        <v>#N/A N/A</v>
        <stp/>
        <stp>BDP|2861772729135956881</stp>
        <tr r="M385" s="2"/>
      </tp>
      <tp t="s">
        <v>#N/A N/A</v>
        <stp/>
        <stp>BDP|9938615622774947344</stp>
        <tr r="Q429" s="2"/>
      </tp>
      <tp t="s">
        <v>#N/A N/A</v>
        <stp/>
        <stp>BDP|2218273835408369141</stp>
        <tr r="Q2217" s="2"/>
      </tp>
      <tp t="s">
        <v>#N/A N/A</v>
        <stp/>
        <stp>BDP|9924186900075401725</stp>
        <tr r="M1964" s="2"/>
      </tp>
      <tp t="s">
        <v>#N/A N/A</v>
        <stp/>
        <stp>BDP|6384279090982719549</stp>
        <tr r="O1614" s="2"/>
      </tp>
      <tp t="s">
        <v>#N/A N/A</v>
        <stp/>
        <stp>BDP|9483052636649594955</stp>
        <tr r="G1058" s="2"/>
      </tp>
      <tp t="s">
        <v>#N/A N/A</v>
        <stp/>
        <stp>BDP|2628863077481573652</stp>
        <tr r="F719" s="2"/>
      </tp>
      <tp t="s">
        <v>#N/A N/A</v>
        <stp/>
        <stp>BDP|8504622667180162265</stp>
        <tr r="N261" s="2"/>
      </tp>
      <tp t="s">
        <v>#N/A N/A</v>
        <stp/>
        <stp>BDP|9419074930071770131</stp>
        <tr r="M1401" s="2"/>
      </tp>
      <tp t="s">
        <v>#N/A N/A</v>
        <stp/>
        <stp>BDP|6630777290675284749</stp>
        <tr r="K2013" s="2"/>
      </tp>
      <tp t="s">
        <v>#N/A N/A</v>
        <stp/>
        <stp>BDP|9577920644327701937</stp>
        <tr r="A2091" s="2"/>
      </tp>
      <tp t="s">
        <v>#N/A N/A</v>
        <stp/>
        <stp>BDP|2014976692488616041</stp>
        <tr r="G1137" s="2"/>
      </tp>
      <tp t="s">
        <v>#N/A N/A</v>
        <stp/>
        <stp>BDP|4954987107795440252</stp>
        <tr r="H219" s="2"/>
      </tp>
      <tp t="s">
        <v>#N/A N/A</v>
        <stp/>
        <stp>BDP|2647206801002914890</stp>
        <tr r="H1282" s="2"/>
      </tp>
      <tp t="s">
        <v>#N/A N/A</v>
        <stp/>
        <stp>BDS|8385636146922777261</stp>
        <tr r="I180" s="2"/>
      </tp>
      <tp t="s">
        <v>#N/A N/A</v>
        <stp/>
        <stp>BDP|4407853163111174147</stp>
        <tr r="K735" s="2"/>
      </tp>
      <tp t="s">
        <v>#N/A N/A</v>
        <stp/>
        <stp>BDP|6828521952328939461</stp>
        <tr r="E1477" s="2"/>
      </tp>
      <tp t="s">
        <v>#N/A N/A</v>
        <stp/>
        <stp>BDP|5713913048947863518</stp>
        <tr r="Q1591" s="2"/>
      </tp>
      <tp t="s">
        <v>#N/A N/A</v>
        <stp/>
        <stp>BDP|4195630618851811855</stp>
        <tr r="S1326" s="2"/>
      </tp>
      <tp t="s">
        <v>#N/A N/A</v>
        <stp/>
        <stp>BDP|7459458290058309858</stp>
        <tr r="O1816" s="2"/>
      </tp>
      <tp t="s">
        <v>#N/A N/A</v>
        <stp/>
        <stp>BDP|8468855406692984898</stp>
        <tr r="A2081" s="2"/>
      </tp>
      <tp t="s">
        <v>#N/A N/A</v>
        <stp/>
        <stp>BDP|2803895137526953580</stp>
        <tr r="O985" s="2"/>
      </tp>
      <tp t="s">
        <v>#N/A N/A</v>
        <stp/>
        <stp>BDP|8949802251357681898</stp>
        <tr r="N2033" s="2"/>
      </tp>
      <tp t="s">
        <v>#N/A N/A</v>
        <stp/>
        <stp>BDP|3048337237431571865</stp>
        <tr r="M800" s="2"/>
      </tp>
      <tp t="s">
        <v>#N/A N/A</v>
        <stp/>
        <stp>BDP|7256961972203016012</stp>
        <tr r="C1900" s="2"/>
      </tp>
      <tp t="s">
        <v>#N/A N/A</v>
        <stp/>
        <stp>BDP|1984684587116507349</stp>
        <tr r="R2010" s="2"/>
      </tp>
      <tp t="s">
        <v>#N/A N/A</v>
        <stp/>
        <stp>BDP|2205926628565705687</stp>
        <tr r="O1641" s="2"/>
      </tp>
      <tp t="s">
        <v>#N/A N/A</v>
        <stp/>
        <stp>BDP|8472309454842121660</stp>
        <tr r="K887" s="2"/>
      </tp>
      <tp t="s">
        <v>#N/A N/A</v>
        <stp/>
        <stp>BDP|6609554657305452976</stp>
        <tr r="C2044" s="2"/>
      </tp>
      <tp t="s">
        <v>#N/A N/A</v>
        <stp/>
        <stp>BDP|8362163813963582140</stp>
        <tr r="T643" s="2"/>
      </tp>
      <tp t="s">
        <v>#N/A N/A</v>
        <stp/>
        <stp>BDP|7415110295211359442</stp>
        <tr r="P896" s="2"/>
      </tp>
      <tp t="s">
        <v>#N/A N/A</v>
        <stp/>
        <stp>BDP|9227740266245571720</stp>
        <tr r="M1138" s="2"/>
      </tp>
      <tp t="s">
        <v>#N/A N/A</v>
        <stp/>
        <stp>BDP|9612287196631721985</stp>
        <tr r="T939" s="2"/>
      </tp>
      <tp t="s">
        <v>#N/A N/A</v>
        <stp/>
        <stp>BDP|6181352743112853988</stp>
        <tr r="K194" s="2"/>
      </tp>
      <tp t="s">
        <v>#N/A N/A</v>
        <stp/>
        <stp>BDP|6242295224668162497</stp>
        <tr r="H1381" s="2"/>
      </tp>
      <tp t="s">
        <v>#N/A N/A</v>
        <stp/>
        <stp>BDP|8779249614197682661</stp>
        <tr r="O1021" s="2"/>
      </tp>
      <tp t="s">
        <v>#N/A N/A</v>
        <stp/>
        <stp>BDP|9604400956544379644</stp>
        <tr r="Q2" s="2"/>
      </tp>
      <tp t="s">
        <v>#N/A N/A</v>
        <stp/>
        <stp>BDP|1685762919888857561</stp>
        <tr r="A656" s="2"/>
      </tp>
      <tp t="s">
        <v>#N/A N/A</v>
        <stp/>
        <stp>BDP|3860125582766910663</stp>
        <tr r="R947" s="2"/>
      </tp>
      <tp t="s">
        <v>#N/A N/A</v>
        <stp/>
        <stp>BDP|5119451824688520122</stp>
        <tr r="G36" s="2"/>
      </tp>
      <tp t="s">
        <v>#N/A N/A</v>
        <stp/>
        <stp>BDP|5730673143345695813</stp>
        <tr r="J1259" s="2"/>
      </tp>
      <tp t="s">
        <v>#N/A N/A</v>
        <stp/>
        <stp>BDP|4920259378413703876</stp>
        <tr r="O1605" s="2"/>
      </tp>
      <tp t="s">
        <v>#N/A N/A</v>
        <stp/>
        <stp>BDP|6723438856698619504</stp>
        <tr r="Q1055" s="2"/>
      </tp>
      <tp t="s">
        <v>#N/A N/A</v>
        <stp/>
        <stp>BDP|3674804730635097724</stp>
        <tr r="Q1997" s="2"/>
      </tp>
      <tp t="s">
        <v>#N/A N/A</v>
        <stp/>
        <stp>BDP|1125849213307429562</stp>
        <tr r="E271" s="2"/>
      </tp>
      <tp t="s">
        <v>#N/A N/A</v>
        <stp/>
        <stp>BDP|8503571568989716891</stp>
        <tr r="H1223" s="2"/>
      </tp>
      <tp t="s">
        <v>#N/A N/A</v>
        <stp/>
        <stp>BDP|2576181418188285034</stp>
        <tr r="T1064" s="2"/>
      </tp>
      <tp t="s">
        <v>#N/A N/A</v>
        <stp/>
        <stp>BDP|7620685362205998817</stp>
        <tr r="Q2034" s="2"/>
      </tp>
      <tp t="s">
        <v>#N/A N/A</v>
        <stp/>
        <stp>BDP|9305950276169225469</stp>
        <tr r="F1429" s="2"/>
      </tp>
      <tp t="s">
        <v>#N/A N/A</v>
        <stp/>
        <stp>BDP|6571973015555034138</stp>
        <tr r="E318" s="2"/>
      </tp>
      <tp t="s">
        <v>#N/A N/A</v>
        <stp/>
        <stp>BDP|8787585449655635642</stp>
        <tr r="P35" s="2"/>
      </tp>
      <tp t="s">
        <v>#N/A N/A</v>
        <stp/>
        <stp>BDP|8233518514981103728</stp>
        <tr r="J465" s="2"/>
      </tp>
      <tp t="s">
        <v>#N/A N/A</v>
        <stp/>
        <stp>BDP|2433330775488197474</stp>
        <tr r="C1504" s="2"/>
      </tp>
      <tp t="s">
        <v>#N/A N/A</v>
        <stp/>
        <stp>BDP|7464260520544090967</stp>
        <tr r="C2067" s="2"/>
      </tp>
      <tp t="s">
        <v>#N/A N/A</v>
        <stp/>
        <stp>BDP|4085286849021779924</stp>
        <tr r="R620" s="2"/>
      </tp>
      <tp t="s">
        <v>#N/A N/A</v>
        <stp/>
        <stp>BDP|9062960907149689332</stp>
        <tr r="Q1232" s="2"/>
      </tp>
      <tp t="s">
        <v>#N/A N/A</v>
        <stp/>
        <stp>BDP|4605329535217533905</stp>
        <tr r="A1835" s="2"/>
      </tp>
      <tp t="s">
        <v>#N/A N/A</v>
        <stp/>
        <stp>BDS|3370250997890152244</stp>
        <tr r="I1418" s="2"/>
      </tp>
      <tp t="s">
        <v>#N/A N/A</v>
        <stp/>
        <stp>BDP|2604179492587394748</stp>
        <tr r="T24" s="2"/>
      </tp>
      <tp t="s">
        <v>#N/A N/A</v>
        <stp/>
        <stp>BDP|1330812258014959279</stp>
        <tr r="C1609" s="2"/>
      </tp>
      <tp t="s">
        <v>#N/A N/A</v>
        <stp/>
        <stp>BDP|3124819632794351654</stp>
        <tr r="G2046" s="2"/>
      </tp>
      <tp t="s">
        <v>#N/A N/A</v>
        <stp/>
        <stp>BDP|3023730845412121839</stp>
        <tr r="P43" s="2"/>
      </tp>
      <tp t="s">
        <v>#N/A N/A</v>
        <stp/>
        <stp>BDS|1031948104341715336</stp>
        <tr r="I1482" s="2"/>
      </tp>
      <tp t="s">
        <v>#N/A N/A</v>
        <stp/>
        <stp>BDP|4278204579759685290</stp>
        <tr r="D1570" s="2"/>
      </tp>
      <tp t="s">
        <v>#N/A N/A</v>
        <stp/>
        <stp>BDP|7942323103159488782</stp>
        <tr r="O1408" s="2"/>
      </tp>
      <tp t="s">
        <v>#N/A N/A</v>
        <stp/>
        <stp>BDP|3009830311325090566</stp>
        <tr r="D1935" s="2"/>
      </tp>
      <tp t="s">
        <v>#N/A N/A</v>
        <stp/>
        <stp>BDP|5127058426528125572</stp>
        <tr r="H1807" s="2"/>
      </tp>
      <tp t="s">
        <v>#N/A N/A</v>
        <stp/>
        <stp>BDP|5819759170798868716</stp>
        <tr r="T443" s="2"/>
      </tp>
      <tp t="s">
        <v>#N/A N/A</v>
        <stp/>
        <stp>BDP|1922878590582305890</stp>
        <tr r="M1798" s="2"/>
      </tp>
      <tp t="s">
        <v>#N/A N/A</v>
        <stp/>
        <stp>BDP|5786815603022327521</stp>
        <tr r="N2032" s="2"/>
      </tp>
      <tp t="s">
        <v>#N/A N/A</v>
        <stp/>
        <stp>BDP|9100154860850958497</stp>
        <tr r="H1040" s="2"/>
      </tp>
      <tp t="s">
        <v>#N/A N/A</v>
        <stp/>
        <stp>BDP|1277388995619208897</stp>
        <tr r="P1902" s="2"/>
      </tp>
      <tp t="s">
        <v>#N/A N/A</v>
        <stp/>
        <stp>BDP|3420538785231424524</stp>
        <tr r="A2187" s="2"/>
      </tp>
      <tp t="s">
        <v>#N/A N/A</v>
        <stp/>
        <stp>BDP|2450501781906956386</stp>
        <tr r="A255" s="2"/>
      </tp>
      <tp t="s">
        <v>#N/A N/A</v>
        <stp/>
        <stp>BDP|3269849852751025504</stp>
        <tr r="C870" s="2"/>
      </tp>
      <tp t="s">
        <v>#N/A N/A</v>
        <stp/>
        <stp>BDS|2387220662094432836</stp>
        <tr r="I107" s="2"/>
      </tp>
      <tp t="s">
        <v>#N/A N/A</v>
        <stp/>
        <stp>BDP|9536733394175186878</stp>
        <tr r="A1851" s="2"/>
      </tp>
      <tp t="s">
        <v>#N/A N/A</v>
        <stp/>
        <stp>BDP|4272508601763680811</stp>
        <tr r="H165" s="2"/>
      </tp>
      <tp t="s">
        <v>#N/A N/A</v>
        <stp/>
        <stp>BDP|4764624152359312401</stp>
        <tr r="A1656" s="2"/>
      </tp>
      <tp t="s">
        <v>#N/A N/A</v>
        <stp/>
        <stp>BDP|2038659552669098234</stp>
        <tr r="F739" s="2"/>
      </tp>
      <tp t="s">
        <v>#N/A N/A</v>
        <stp/>
        <stp>BDP|4934140841663972813</stp>
        <tr r="Q749" s="2"/>
      </tp>
      <tp t="s">
        <v>#N/A N/A</v>
        <stp/>
        <stp>BDP|7570802574671448316</stp>
        <tr r="J1124" s="2"/>
      </tp>
      <tp t="s">
        <v>#N/A N/A</v>
        <stp/>
        <stp>BDP|8100682345583111397</stp>
        <tr r="N852" s="2"/>
      </tp>
      <tp t="s">
        <v>#N/A N/A</v>
        <stp/>
        <stp>BDP|5822993020246311262</stp>
        <tr r="A198" s="2"/>
      </tp>
      <tp t="s">
        <v>#N/A N/A</v>
        <stp/>
        <stp>BDP|3051365215883594821</stp>
        <tr r="N1905" s="2"/>
      </tp>
      <tp t="s">
        <v>#N/A N/A</v>
        <stp/>
        <stp>BDP|6320200782472435416</stp>
        <tr r="C1980" s="2"/>
      </tp>
      <tp t="s">
        <v>#N/A N/A</v>
        <stp/>
        <stp>BDP|3183791759838105342</stp>
        <tr r="S903" s="2"/>
      </tp>
      <tp t="s">
        <v>#N/A N/A</v>
        <stp/>
        <stp>BDP|5596858054642830087</stp>
        <tr r="G1079" s="2"/>
      </tp>
      <tp t="s">
        <v>#N/A N/A</v>
        <stp/>
        <stp>BDP|6761182193710873407</stp>
        <tr r="Q510" s="2"/>
      </tp>
      <tp t="s">
        <v>#N/A N/A</v>
        <stp/>
        <stp>BDP|7733420926598111364</stp>
        <tr r="N2156" s="2"/>
      </tp>
      <tp t="s">
        <v>#N/A N/A</v>
        <stp/>
        <stp>BDP|9499928245838736609</stp>
        <tr r="K2101" s="2"/>
      </tp>
      <tp t="s">
        <v>#N/A N/A</v>
        <stp/>
        <stp>BDP|1247932443494720213</stp>
        <tr r="M981" s="2"/>
      </tp>
      <tp t="s">
        <v>#N/A N/A</v>
        <stp/>
        <stp>BDP|8185855324981279961</stp>
        <tr r="K1748" s="2"/>
      </tp>
      <tp t="s">
        <v>#N/A N/A</v>
        <stp/>
        <stp>BDP|8170178675040682415</stp>
        <tr r="J589" s="2"/>
      </tp>
      <tp t="s">
        <v>#N/A N/A</v>
        <stp/>
        <stp>BDP|4069006135988092512</stp>
        <tr r="S2214" s="2"/>
      </tp>
      <tp t="s">
        <v>#N/A N/A</v>
        <stp/>
        <stp>BDP|5254941116230125756</stp>
        <tr r="A263" s="2"/>
      </tp>
      <tp t="s">
        <v>#N/A N/A</v>
        <stp/>
        <stp>BDP|9641372434835855699</stp>
        <tr r="K801" s="2"/>
      </tp>
      <tp t="s">
        <v>#N/A N/A</v>
        <stp/>
        <stp>BDP|5148300937837783851</stp>
        <tr r="Q37" s="2"/>
      </tp>
      <tp t="s">
        <v>#N/A N/A</v>
        <stp/>
        <stp>BDP|2024455985384758034</stp>
        <tr r="R2065" s="2"/>
      </tp>
      <tp t="s">
        <v>#N/A N/A</v>
        <stp/>
        <stp>BDP|6282781923631985842</stp>
        <tr r="P147" s="2"/>
      </tp>
      <tp t="s">
        <v>#N/A N/A</v>
        <stp/>
        <stp>BDP|6082384888573082444</stp>
        <tr r="P1325" s="2"/>
      </tp>
      <tp t="s">
        <v>#N/A N/A</v>
        <stp/>
        <stp>BDP|9756466400444349366</stp>
        <tr r="R1679" s="2"/>
      </tp>
      <tp t="s">
        <v>#N/A N/A</v>
        <stp/>
        <stp>BDP|9749275214513632362</stp>
        <tr r="J1725" s="2"/>
      </tp>
      <tp t="s">
        <v>#N/A N/A</v>
        <stp/>
        <stp>BDP|2897703795011898716</stp>
        <tr r="D640" s="2"/>
      </tp>
      <tp t="s">
        <v>#N/A N/A</v>
        <stp/>
        <stp>BDP|7913594549285937941</stp>
        <tr r="F1324" s="2"/>
      </tp>
      <tp t="s">
        <v>#N/A N/A</v>
        <stp/>
        <stp>BDP|5552768386482893295</stp>
        <tr r="F1782" s="2"/>
      </tp>
      <tp t="s">
        <v>#N/A N/A</v>
        <stp/>
        <stp>BDP|3416179866988876692</stp>
        <tr r="G618" s="2"/>
      </tp>
      <tp t="s">
        <v>#N/A N/A</v>
        <stp/>
        <stp>BDP|1560885618091871390</stp>
        <tr r="N1656" s="2"/>
      </tp>
      <tp t="s">
        <v>#N/A N/A</v>
        <stp/>
        <stp>BDP|2560398108392397930</stp>
        <tr r="R2014" s="2"/>
      </tp>
      <tp t="s">
        <v>#N/A N/A</v>
        <stp/>
        <stp>BDP|3470001491228839893</stp>
        <tr r="A17" s="2"/>
      </tp>
      <tp t="s">
        <v>#N/A N/A</v>
        <stp/>
        <stp>BDP|3774817833455631773</stp>
        <tr r="R1654" s="2"/>
      </tp>
      <tp t="s">
        <v>#N/A N/A</v>
        <stp/>
        <stp>BDP|9241802319718624294</stp>
        <tr r="C196" s="2"/>
      </tp>
      <tp t="s">
        <v>#N/A N/A</v>
        <stp/>
        <stp>BDP|6644813511552744751</stp>
        <tr r="S1409" s="2"/>
      </tp>
      <tp t="s">
        <v>#N/A N/A</v>
        <stp/>
        <stp>BDP|2713643442138375263</stp>
        <tr r="Q1278" s="2"/>
      </tp>
      <tp t="s">
        <v>#N/A N/A</v>
        <stp/>
        <stp>BDP|8318252942370217426</stp>
        <tr r="S1007" s="2"/>
      </tp>
      <tp t="s">
        <v>#N/A N/A</v>
        <stp/>
        <stp>BDP|9069748359911888018</stp>
        <tr r="Q1994" s="2"/>
      </tp>
      <tp t="s">
        <v>#N/A N/A</v>
        <stp/>
        <stp>BDP|1311819036682004209</stp>
        <tr r="A1621" s="2"/>
      </tp>
      <tp t="s">
        <v>#N/A N/A</v>
        <stp/>
        <stp>BDP|6362523982071045076</stp>
        <tr r="S747" s="2"/>
      </tp>
      <tp t="s">
        <v>#N/A N/A</v>
        <stp/>
        <stp>BDS|4799695266216531899</stp>
        <tr r="I337" s="2"/>
      </tp>
      <tp t="s">
        <v>#N/A N/A</v>
        <stp/>
        <stp>BDP|8501218722062575079</stp>
        <tr r="P1545" s="2"/>
      </tp>
      <tp t="s">
        <v>#N/A N/A</v>
        <stp/>
        <stp>BDP|3508415445828682133</stp>
        <tr r="O1703" s="2"/>
      </tp>
      <tp t="s">
        <v>#N/A N/A</v>
        <stp/>
        <stp>BDP|2620520167349118266</stp>
        <tr r="J2181" s="2"/>
      </tp>
      <tp t="s">
        <v>#N/A N/A</v>
        <stp/>
        <stp>BDP|1767109294770582339</stp>
        <tr r="O584" s="2"/>
      </tp>
      <tp t="s">
        <v>#N/A N/A</v>
        <stp/>
        <stp>BDP|1290334093269227854</stp>
        <tr r="H1358" s="2"/>
      </tp>
      <tp t="s">
        <v>#N/A N/A</v>
        <stp/>
        <stp>BDP|1859487352359102368</stp>
        <tr r="H1663" s="2"/>
      </tp>
      <tp t="s">
        <v>#N/A N/A</v>
        <stp/>
        <stp>BDP|1230657854940067862</stp>
        <tr r="R1817" s="2"/>
      </tp>
      <tp t="s">
        <v>#N/A N/A</v>
        <stp/>
        <stp>BDP|1663056493931790328</stp>
        <tr r="H649" s="2"/>
      </tp>
      <tp t="s">
        <v>#N/A N/A</v>
        <stp/>
        <stp>BDP|3038939013041609032</stp>
        <tr r="O930" s="2"/>
      </tp>
      <tp t="s">
        <v>#N/A N/A</v>
        <stp/>
        <stp>BDP|8456326060006293112</stp>
        <tr r="K1547" s="2"/>
      </tp>
      <tp t="s">
        <v>#N/A N/A</v>
        <stp/>
        <stp>BDP|1416396688834802487</stp>
        <tr r="N1781" s="2"/>
      </tp>
      <tp t="s">
        <v>#N/A N/A</v>
        <stp/>
        <stp>BDP|2107857867340589634</stp>
        <tr r="G1067" s="2"/>
      </tp>
      <tp t="s">
        <v>#N/A N/A</v>
        <stp/>
        <stp>BDP|4520760093554397466</stp>
        <tr r="A345" s="2"/>
      </tp>
      <tp t="s">
        <v>#N/A N/A</v>
        <stp/>
        <stp>BDP|5363406492042590011</stp>
        <tr r="M664" s="2"/>
      </tp>
      <tp t="s">
        <v>#N/A N/A</v>
        <stp/>
        <stp>BDP|8556179416297567540</stp>
        <tr r="P18" s="2"/>
      </tp>
      <tp t="s">
        <v>#N/A N/A</v>
        <stp/>
        <stp>BDP|9399634266112244110</stp>
        <tr r="T1726" s="2"/>
      </tp>
      <tp t="s">
        <v>#N/A N/A</v>
        <stp/>
        <stp>BDP|3183142120269071304</stp>
        <tr r="H1878" s="2"/>
      </tp>
      <tp t="s">
        <v>#N/A N/A</v>
        <stp/>
        <stp>BDP|9076058277250724404</stp>
        <tr r="G1200" s="2"/>
      </tp>
      <tp t="s">
        <v>#N/A N/A</v>
        <stp/>
        <stp>BDP|2586726112766047806</stp>
        <tr r="F1185" s="2"/>
      </tp>
      <tp t="s">
        <v>#N/A N/A</v>
        <stp/>
        <stp>BDP|5186141377441602816</stp>
        <tr r="H949" s="2"/>
      </tp>
      <tp t="s">
        <v>#N/A N/A</v>
        <stp/>
        <stp>BDP|5562867792167180953</stp>
        <tr r="A1725" s="2"/>
      </tp>
      <tp t="s">
        <v>#N/A N/A</v>
        <stp/>
        <stp>BDP|8198958363728791554</stp>
        <tr r="D732" s="2"/>
      </tp>
      <tp t="s">
        <v>#N/A N/A</v>
        <stp/>
        <stp>BDP|3204944088298399085</stp>
        <tr r="O606" s="2"/>
      </tp>
      <tp t="s">
        <v>#N/A N/A</v>
        <stp/>
        <stp>BDP|9128714378997856450</stp>
        <tr r="R1865" s="2"/>
      </tp>
      <tp t="s">
        <v>#N/A N/A</v>
        <stp/>
        <stp>BDP|7851216700776876949</stp>
        <tr r="K2043" s="2"/>
      </tp>
      <tp t="s">
        <v>#N/A N/A</v>
        <stp/>
        <stp>BDP|5004995423606810278</stp>
        <tr r="N2137" s="2"/>
      </tp>
      <tp t="s">
        <v>#N/A N/A</v>
        <stp/>
        <stp>BDP|2392135094257514745</stp>
        <tr r="E700" s="2"/>
      </tp>
      <tp t="s">
        <v>#N/A N/A</v>
        <stp/>
        <stp>BDP|1835807748541538608</stp>
        <tr r="R1096" s="2"/>
      </tp>
      <tp t="s">
        <v>#N/A N/A</v>
        <stp/>
        <stp>BDS|2047887600390900049</stp>
        <tr r="I2141" s="2"/>
      </tp>
      <tp t="s">
        <v>#N/A N/A</v>
        <stp/>
        <stp>BDP|8796195154633924565</stp>
        <tr r="K1203" s="2"/>
      </tp>
      <tp t="s">
        <v>#N/A N/A</v>
        <stp/>
        <stp>BDP|8193282713779901861</stp>
        <tr r="C2122" s="2"/>
      </tp>
      <tp t="s">
        <v>#N/A N/A</v>
        <stp/>
        <stp>BDP|6603859037655249236</stp>
        <tr r="S177" s="2"/>
      </tp>
      <tp t="s">
        <v>#N/A N/A</v>
        <stp/>
        <stp>BDP|8048526216994828294</stp>
        <tr r="D1401" s="2"/>
      </tp>
      <tp t="s">
        <v>#N/A N/A</v>
        <stp/>
        <stp>BDP|7996839349948605905</stp>
        <tr r="O486" s="2"/>
      </tp>
      <tp t="s">
        <v>#N/A N/A</v>
        <stp/>
        <stp>BDS|9004374500715546578</stp>
        <tr r="I328" s="2"/>
      </tp>
      <tp t="s">
        <v>#N/A N/A</v>
        <stp/>
        <stp>BDP|1877767769188298204</stp>
        <tr r="P1226" s="2"/>
      </tp>
      <tp t="s">
        <v>#N/A N/A</v>
        <stp/>
        <stp>BDP|2166688868298068046</stp>
        <tr r="A1265" s="2"/>
      </tp>
      <tp t="s">
        <v>#N/A N/A</v>
        <stp/>
        <stp>BDP|5228218453179473113</stp>
        <tr r="Q1461" s="2"/>
      </tp>
      <tp t="s">
        <v>#N/A N/A</v>
        <stp/>
        <stp>BDP|1782369646998178431</stp>
        <tr r="J1189" s="2"/>
      </tp>
      <tp t="s">
        <v>#N/A N/A</v>
        <stp/>
        <stp>BDP|4716218654080054972</stp>
        <tr r="M1061" s="2"/>
      </tp>
      <tp t="s">
        <v>#N/A N/A</v>
        <stp/>
        <stp>BDP|9125164837522783325</stp>
        <tr r="T2190" s="2"/>
      </tp>
      <tp t="s">
        <v>#N/A N/A</v>
        <stp/>
        <stp>BDP|8057625802341756528</stp>
        <tr r="S663" s="2"/>
      </tp>
      <tp t="s">
        <v>#N/A N/A</v>
        <stp/>
        <stp>BDP|5673976615751254632</stp>
        <tr r="H1535" s="2"/>
      </tp>
      <tp t="s">
        <v>#N/A N/A</v>
        <stp/>
        <stp>BDP|1995249253364270895</stp>
        <tr r="R435" s="2"/>
      </tp>
      <tp t="s">
        <v>#N/A N/A</v>
        <stp/>
        <stp>BDP|1004463146548149343</stp>
        <tr r="R1757" s="2"/>
      </tp>
      <tp t="s">
        <v>#N/A N/A</v>
        <stp/>
        <stp>BDP|5978145498944422349</stp>
        <tr r="S68" s="2"/>
      </tp>
      <tp t="s">
        <v>#N/A N/A</v>
        <stp/>
        <stp>BDP|1024572691635516264</stp>
        <tr r="D102" s="2"/>
      </tp>
      <tp t="s">
        <v>#N/A N/A</v>
        <stp/>
        <stp>BDP|8414024425652414221</stp>
        <tr r="Q42" s="2"/>
      </tp>
      <tp t="s">
        <v>#N/A N/A</v>
        <stp/>
        <stp>BDP|7656221345529478205</stp>
        <tr r="K362" s="2"/>
      </tp>
      <tp t="s">
        <v>#N/A N/A</v>
        <stp/>
        <stp>BDP|9519522656944102759</stp>
        <tr r="K1833" s="2"/>
      </tp>
      <tp t="s">
        <v>#N/A N/A</v>
        <stp/>
        <stp>BDP|7800883183205234840</stp>
        <tr r="A821" s="2"/>
      </tp>
      <tp t="s">
        <v>#N/A N/A</v>
        <stp/>
        <stp>BDP|6330824677133213015</stp>
        <tr r="M686" s="2"/>
      </tp>
      <tp t="s">
        <v>#N/A N/A</v>
        <stp/>
        <stp>BDS|8320681204305852124</stp>
        <tr r="I1995" s="2"/>
      </tp>
      <tp t="s">
        <v>#N/A N/A</v>
        <stp/>
        <stp>BDP|4084527967524394931</stp>
        <tr r="N480" s="2"/>
      </tp>
      <tp t="s">
        <v>#N/A N/A</v>
        <stp/>
        <stp>BDS|2284122573378173678</stp>
        <tr r="I514" s="2"/>
      </tp>
      <tp t="s">
        <v>#N/A N/A</v>
        <stp/>
        <stp>BDP|4921854523166970235</stp>
        <tr r="R2193" s="2"/>
      </tp>
      <tp t="s">
        <v>#N/A N/A</v>
        <stp/>
        <stp>BDP|1602587393816033189</stp>
        <tr r="P2252" s="2"/>
      </tp>
      <tp t="s">
        <v>#N/A N/A</v>
        <stp/>
        <stp>BDP|3503074597559230927</stp>
        <tr r="G381" s="2"/>
      </tp>
      <tp t="s">
        <v>#N/A N/A</v>
        <stp/>
        <stp>BDP|6003909885098151519</stp>
        <tr r="Q656" s="2"/>
      </tp>
      <tp t="s">
        <v>#N/A N/A</v>
        <stp/>
        <stp>BDP|9925305464373979516</stp>
        <tr r="A2056" s="2"/>
      </tp>
      <tp t="s">
        <v>#N/A N/A</v>
        <stp/>
        <stp>BDP|8759262979443520485</stp>
        <tr r="K1160" s="2"/>
      </tp>
      <tp t="s">
        <v>#N/A N/A</v>
        <stp/>
        <stp>BDP|5701067091324263276</stp>
        <tr r="H1745" s="2"/>
      </tp>
      <tp t="s">
        <v>#N/A N/A</v>
        <stp/>
        <stp>BDP|1095490708729632629</stp>
        <tr r="N2160" s="2"/>
      </tp>
      <tp t="s">
        <v>#N/A N/A</v>
        <stp/>
        <stp>BDP|1637247748818619599</stp>
        <tr r="F1259" s="2"/>
      </tp>
      <tp t="s">
        <v>#N/A N/A</v>
        <stp/>
        <stp>BDP|7212676457526040871</stp>
        <tr r="M285" s="2"/>
      </tp>
      <tp t="s">
        <v>#N/A N/A</v>
        <stp/>
        <stp>BDP|9278451171387754747</stp>
        <tr r="S926" s="2"/>
      </tp>
      <tp t="s">
        <v>#N/A N/A</v>
        <stp/>
        <stp>BDP|6270039636108016729</stp>
        <tr r="N9" s="2"/>
      </tp>
      <tp t="s">
        <v>#N/A N/A</v>
        <stp/>
        <stp>BDP|9331092724534239590</stp>
        <tr r="T1465" s="2"/>
      </tp>
      <tp t="s">
        <v>#N/A N/A</v>
        <stp/>
        <stp>BDP|9370751052741208036</stp>
        <tr r="O288" s="2"/>
      </tp>
      <tp t="s">
        <v>#N/A N/A</v>
        <stp/>
        <stp>BDP|7751610953209385738</stp>
        <tr r="K1708" s="2"/>
      </tp>
      <tp t="s">
        <v>#N/A N/A</v>
        <stp/>
        <stp>BDP|9464518328893036782</stp>
        <tr r="K515" s="2"/>
      </tp>
      <tp t="s">
        <v>#N/A N/A</v>
        <stp/>
        <stp>BDP|8146516096667109923</stp>
        <tr r="E1967" s="2"/>
      </tp>
      <tp t="s">
        <v>#N/A N/A</v>
        <stp/>
        <stp>BDP|9513817916202110862</stp>
        <tr r="G1071" s="2"/>
      </tp>
      <tp t="s">
        <v>#N/A N/A</v>
        <stp/>
        <stp>BDP|2539785079088185008</stp>
        <tr r="G881" s="2"/>
      </tp>
      <tp t="s">
        <v>#N/A N/A</v>
        <stp/>
        <stp>BDP|6077966677052170050</stp>
        <tr r="N218" s="2"/>
      </tp>
      <tp t="s">
        <v>#N/A N/A</v>
        <stp/>
        <stp>BDP|1812288971167290967</stp>
        <tr r="R103" s="2"/>
      </tp>
      <tp t="s">
        <v>#N/A N/A</v>
        <stp/>
        <stp>BDP|3255544989211810524</stp>
        <tr r="G1915" s="2"/>
      </tp>
      <tp t="s">
        <v>#N/A N/A</v>
        <stp/>
        <stp>BDP|2273435979043930847</stp>
        <tr r="M2180" s="2"/>
      </tp>
      <tp t="s">
        <v>#N/A N/A</v>
        <stp/>
        <stp>BDP|3508133908590376887</stp>
        <tr r="K686" s="2"/>
      </tp>
      <tp t="s">
        <v>#N/A N/A</v>
        <stp/>
        <stp>BDP|8184111808602178031</stp>
        <tr r="C150" s="2"/>
      </tp>
      <tp t="s">
        <v>#N/A N/A</v>
        <stp/>
        <stp>BDP|3947989272570137682</stp>
        <tr r="P1054" s="2"/>
      </tp>
      <tp t="s">
        <v>#N/A N/A</v>
        <stp/>
        <stp>BDP|2475978174427407092</stp>
        <tr r="C364" s="2"/>
      </tp>
      <tp t="s">
        <v>#N/A N/A</v>
        <stp/>
        <stp>BDP|2704707718696691931</stp>
        <tr r="E2204" s="2"/>
      </tp>
      <tp t="s">
        <v>#N/A N/A</v>
        <stp/>
        <stp>BDP|6585154082177066383</stp>
        <tr r="D1178" s="2"/>
      </tp>
      <tp t="s">
        <v>#N/A N/A</v>
        <stp/>
        <stp>BDP|8446693453560420008</stp>
        <tr r="S1864" s="2"/>
      </tp>
      <tp t="s">
        <v>#N/A N/A</v>
        <stp/>
        <stp>BDP|9973753215972230616</stp>
        <tr r="F968" s="2"/>
      </tp>
      <tp t="s">
        <v>#N/A N/A</v>
        <stp/>
        <stp>BDP|7010471069438453609</stp>
        <tr r="Q1501" s="2"/>
      </tp>
      <tp t="s">
        <v>#N/A N/A</v>
        <stp/>
        <stp>BDP|2229208966615770893</stp>
        <tr r="C209" s="2"/>
      </tp>
      <tp t="s">
        <v>#N/A N/A</v>
        <stp/>
        <stp>BDP|8401317673003864449</stp>
        <tr r="P1795" s="2"/>
      </tp>
      <tp t="s">
        <v>#N/A N/A</v>
        <stp/>
        <stp>BDP|9045528064189561893</stp>
        <tr r="T2208" s="2"/>
      </tp>
      <tp t="s">
        <v>#N/A N/A</v>
        <stp/>
        <stp>BDP|5532035861069448199</stp>
        <tr r="A1239" s="2"/>
      </tp>
      <tp t="s">
        <v>#N/A N/A</v>
        <stp/>
        <stp>BDP|7474756792926125481</stp>
        <tr r="J231" s="2"/>
      </tp>
      <tp t="s">
        <v>#N/A N/A</v>
        <stp/>
        <stp>BDP|2241883590859301134</stp>
        <tr r="Q525" s="2"/>
      </tp>
      <tp t="s">
        <v>#N/A N/A</v>
        <stp/>
        <stp>BDP|2185883561063038423</stp>
        <tr r="E557" s="2"/>
      </tp>
      <tp t="s">
        <v>#N/A N/A</v>
        <stp/>
        <stp>BDP|3241484312569360419</stp>
        <tr r="Q409" s="2"/>
      </tp>
      <tp t="s">
        <v>#N/A N/A</v>
        <stp/>
        <stp>BDP|4855417111838512271</stp>
        <tr r="E1525" s="2"/>
      </tp>
      <tp t="s">
        <v>#N/A N/A</v>
        <stp/>
        <stp>BDP|9087065810734450785</stp>
        <tr r="J1310" s="2"/>
      </tp>
      <tp t="s">
        <v>#N/A N/A</v>
        <stp/>
        <stp>BDP|8164321349600089403</stp>
        <tr r="R123" s="2"/>
      </tp>
      <tp t="s">
        <v>#N/A N/A</v>
        <stp/>
        <stp>BDP|7245487025283132948</stp>
        <tr r="N666" s="2"/>
      </tp>
      <tp t="s">
        <v>#N/A N/A</v>
        <stp/>
        <stp>BDP|3091206294417660480</stp>
        <tr r="R1751" s="2"/>
      </tp>
      <tp t="s">
        <v>#N/A N/A</v>
        <stp/>
        <stp>BDP|1449554462281066899</stp>
        <tr r="G592" s="2"/>
      </tp>
      <tp t="s">
        <v>#N/A N/A</v>
        <stp/>
        <stp>BDP|7167628413973398893</stp>
        <tr r="C964" s="2"/>
      </tp>
      <tp t="s">
        <v>#N/A N/A</v>
        <stp/>
        <stp>BDP|8673119248181465714</stp>
        <tr r="N2168" s="2"/>
      </tp>
      <tp t="s">
        <v>#N/A N/A</v>
        <stp/>
        <stp>BDP|8885744826060456644</stp>
        <tr r="P1863" s="2"/>
      </tp>
      <tp t="s">
        <v>#N/A N/A</v>
        <stp/>
        <stp>BDP|7476025328887455902</stp>
        <tr r="R2231" s="2"/>
      </tp>
      <tp t="s">
        <v>#N/A N/A</v>
        <stp/>
        <stp>BDP|8317817742826978934</stp>
        <tr r="N229" s="2"/>
      </tp>
      <tp t="s">
        <v>#N/A N/A</v>
        <stp/>
        <stp>BDS|2593372838959954099</stp>
        <tr r="I1789" s="2"/>
      </tp>
      <tp t="s">
        <v>#N/A N/A</v>
        <stp/>
        <stp>BDP|5558508995457843521</stp>
        <tr r="J1865" s="2"/>
      </tp>
      <tp t="s">
        <v>#N/A N/A</v>
        <stp/>
        <stp>BDP|7765389496525439375</stp>
        <tr r="A1224" s="2"/>
      </tp>
      <tp t="s">
        <v>#N/A N/A</v>
        <stp/>
        <stp>BDP|6977049915528357412</stp>
        <tr r="E2048" s="2"/>
      </tp>
      <tp t="s">
        <v>#N/A N/A</v>
        <stp/>
        <stp>BDP|7370831528810281609</stp>
        <tr r="D2051" s="2"/>
      </tp>
      <tp t="s">
        <v>#N/A N/A</v>
        <stp/>
        <stp>BDP|9294342823342704187</stp>
        <tr r="P996" s="2"/>
      </tp>
      <tp t="s">
        <v>#N/A N/A</v>
        <stp/>
        <stp>BDP|9529650804376698287</stp>
        <tr r="K808" s="2"/>
      </tp>
      <tp t="s">
        <v>#N/A N/A</v>
        <stp/>
        <stp>BDP|6773694862769192472</stp>
        <tr r="M1890" s="2"/>
      </tp>
      <tp t="s">
        <v>#N/A N/A</v>
        <stp/>
        <stp>BDP|6077999966035504701</stp>
        <tr r="N2213" s="2"/>
      </tp>
      <tp t="s">
        <v>#N/A N/A</v>
        <stp/>
        <stp>BDP|6018484247159328468</stp>
        <tr r="S1186" s="2"/>
      </tp>
      <tp t="s">
        <v>#N/A N/A</v>
        <stp/>
        <stp>BDP|6844856357336465649</stp>
        <tr r="D987" s="2"/>
      </tp>
      <tp t="s">
        <v>#N/A N/A</v>
        <stp/>
        <stp>BDP|2699253561779828401</stp>
        <tr r="Q182" s="2"/>
      </tp>
      <tp t="s">
        <v>#N/A N/A</v>
        <stp/>
        <stp>BDP|7423569957538921462</stp>
        <tr r="F1297" s="2"/>
      </tp>
      <tp t="s">
        <v>#N/A N/A</v>
        <stp/>
        <stp>BDP|8378080977015161170</stp>
        <tr r="A603" s="2"/>
      </tp>
      <tp t="s">
        <v>#N/A N/A</v>
        <stp/>
        <stp>BDP|5258870904554387289</stp>
        <tr r="T2124" s="2"/>
      </tp>
      <tp t="s">
        <v>#N/A N/A</v>
        <stp/>
        <stp>BDP|7779991442459277844</stp>
        <tr r="E1993" s="2"/>
      </tp>
      <tp t="s">
        <v>#N/A N/A</v>
        <stp/>
        <stp>BDP|9911946086682943184</stp>
        <tr r="E613" s="2"/>
      </tp>
      <tp t="s">
        <v>#N/A N/A</v>
        <stp/>
        <stp>BDP|5724411241248594688</stp>
        <tr r="Q1846" s="2"/>
      </tp>
      <tp t="s">
        <v>#N/A N/A</v>
        <stp/>
        <stp>BDP|9505501503140846744</stp>
        <tr r="R2031" s="2"/>
      </tp>
      <tp t="s">
        <v>#N/A N/A</v>
        <stp/>
        <stp>BDP|5420110636544821815</stp>
        <tr r="G2126" s="2"/>
      </tp>
      <tp t="s">
        <v>#N/A N/A</v>
        <stp/>
        <stp>BDP|2485535185841078582</stp>
        <tr r="F225" s="2"/>
      </tp>
      <tp t="s">
        <v>#N/A N/A</v>
        <stp/>
        <stp>BDS|1311492705167626930</stp>
        <tr r="I1543" s="2"/>
      </tp>
      <tp t="s">
        <v>#N/A N/A</v>
        <stp/>
        <stp>BDP|1341191494005224764</stp>
        <tr r="H893" s="2"/>
      </tp>
      <tp t="s">
        <v>#N/A N/A</v>
        <stp/>
        <stp>BDP|2919336080595281729</stp>
        <tr r="S175" s="2"/>
      </tp>
      <tp t="s">
        <v>#N/A N/A</v>
        <stp/>
        <stp>BDP|9720299791218127148</stp>
        <tr r="R569" s="2"/>
      </tp>
      <tp t="s">
        <v>#N/A N/A</v>
        <stp/>
        <stp>BDP|6483878619213256724</stp>
        <tr r="A2171" s="2"/>
      </tp>
      <tp t="s">
        <v>#N/A N/A</v>
        <stp/>
        <stp>BDP|8877557913480419706</stp>
        <tr r="K2202" s="2"/>
      </tp>
      <tp t="s">
        <v>#N/A N/A</v>
        <stp/>
        <stp>BDP|3340658587154886237</stp>
        <tr r="P1103" s="2"/>
      </tp>
      <tp t="s">
        <v>#N/A N/A</v>
        <stp/>
        <stp>BDP|9755278469991202716</stp>
        <tr r="H1884" s="2"/>
      </tp>
      <tp t="s">
        <v>#N/A N/A</v>
        <stp/>
        <stp>BDP|1931416470218524170</stp>
        <tr r="J948" s="2"/>
      </tp>
      <tp t="s">
        <v>#N/A N/A</v>
        <stp/>
        <stp>BDP|4604876257600417284</stp>
        <tr r="S490" s="2"/>
      </tp>
      <tp t="s">
        <v>#N/A N/A</v>
        <stp/>
        <stp>BDP|4047242277259088399</stp>
        <tr r="T1372" s="2"/>
      </tp>
      <tp t="s">
        <v>#N/A N/A</v>
        <stp/>
        <stp>BDP|2865522380957307339</stp>
        <tr r="O126" s="2"/>
      </tp>
      <tp t="s">
        <v>#N/A N/A</v>
        <stp/>
        <stp>BDP|3244566107194169981</stp>
        <tr r="Q2046" s="2"/>
      </tp>
      <tp t="s">
        <v>#N/A N/A</v>
        <stp/>
        <stp>BDS|9122027361063140796</stp>
        <tr r="I727" s="2"/>
      </tp>
      <tp t="s">
        <v>#N/A N/A</v>
        <stp/>
        <stp>BDP|4975332497584458131</stp>
        <tr r="M504" s="2"/>
      </tp>
      <tp t="s">
        <v>#N/A N/A</v>
        <stp/>
        <stp>BDP|7142903502012817712</stp>
        <tr r="J1754" s="2"/>
      </tp>
      <tp t="s">
        <v>#N/A N/A</v>
        <stp/>
        <stp>BDP|7545777460355145890</stp>
        <tr r="O1768" s="2"/>
      </tp>
      <tp t="s">
        <v>#N/A N/A</v>
        <stp/>
        <stp>BDP|2092564648960558815</stp>
        <tr r="M1397" s="2"/>
      </tp>
      <tp t="s">
        <v>#N/A N/A</v>
        <stp/>
        <stp>BDP|4679784975409160606</stp>
        <tr r="J1509" s="2"/>
      </tp>
      <tp t="s">
        <v>#N/A N/A</v>
        <stp/>
        <stp>BDP|9345585304336216174</stp>
        <tr r="R405" s="2"/>
      </tp>
      <tp t="s">
        <v>#N/A N/A</v>
        <stp/>
        <stp>BDP|7759991995549672570</stp>
        <tr r="C1681" s="2"/>
      </tp>
      <tp t="s">
        <v>#N/A N/A</v>
        <stp/>
        <stp>BDP|9684765559367114729</stp>
        <tr r="P1800" s="2"/>
      </tp>
      <tp t="s">
        <v>#N/A N/A</v>
        <stp/>
        <stp>BDP|6372463133949443390</stp>
        <tr r="E776" s="2"/>
      </tp>
      <tp t="s">
        <v>#N/A N/A</v>
        <stp/>
        <stp>BDP|3183997032371102305</stp>
        <tr r="M2017" s="2"/>
      </tp>
      <tp t="s">
        <v>#N/A N/A</v>
        <stp/>
        <stp>BDP|5099109191963933533</stp>
        <tr r="R2034" s="2"/>
      </tp>
      <tp t="s">
        <v>#N/A N/A</v>
        <stp/>
        <stp>BDP|2479586217968015500</stp>
        <tr r="H1319" s="2"/>
      </tp>
      <tp t="s">
        <v>#N/A N/A</v>
        <stp/>
        <stp>BDP|5480790577276548847</stp>
        <tr r="R118" s="2"/>
      </tp>
      <tp t="s">
        <v>#N/A N/A</v>
        <stp/>
        <stp>BDP|5803119115228410632</stp>
        <tr r="F1284" s="2"/>
      </tp>
      <tp t="s">
        <v>#N/A N/A</v>
        <stp/>
        <stp>BDP|6022908482259893519</stp>
        <tr r="C1805" s="2"/>
      </tp>
      <tp t="s">
        <v>#N/A N/A</v>
        <stp/>
        <stp>BDP|6366340462129762199</stp>
        <tr r="D88" s="2"/>
      </tp>
      <tp t="s">
        <v>#N/A N/A</v>
        <stp/>
        <stp>BDP|5395614209129236127</stp>
        <tr r="M350" s="2"/>
      </tp>
      <tp t="s">
        <v>#N/A N/A</v>
        <stp/>
        <stp>BDP|7605321994920932623</stp>
        <tr r="S1071" s="2"/>
      </tp>
      <tp t="s">
        <v>#N/A N/A</v>
        <stp/>
        <stp>BDP|2778589204149007507</stp>
        <tr r="N1422" s="2"/>
      </tp>
      <tp t="s">
        <v>#N/A N/A</v>
        <stp/>
        <stp>BDP|7472412799443731209</stp>
        <tr r="N902" s="2"/>
      </tp>
      <tp t="s">
        <v>#N/A N/A</v>
        <stp/>
        <stp>BDP|8822098751764314286</stp>
        <tr r="N140" s="2"/>
      </tp>
      <tp t="s">
        <v>#N/A N/A</v>
        <stp/>
        <stp>BDP|5620202430547462899</stp>
        <tr r="J608" s="2"/>
      </tp>
      <tp t="s">
        <v>#N/A N/A</v>
        <stp/>
        <stp>BDP|5439697427419896393</stp>
        <tr r="P2012" s="2"/>
      </tp>
      <tp t="s">
        <v>#N/A N/A</v>
        <stp/>
        <stp>BDP|1057216528873442962</stp>
        <tr r="C336" s="2"/>
      </tp>
      <tp t="s">
        <v>#N/A N/A</v>
        <stp/>
        <stp>BDP|7144733990811910303</stp>
        <tr r="J1245" s="2"/>
      </tp>
      <tp t="s">
        <v>#N/A N/A</v>
        <stp/>
        <stp>BDP|8545072502022285192</stp>
        <tr r="R358" s="2"/>
      </tp>
      <tp t="s">
        <v>#N/A N/A</v>
        <stp/>
        <stp>BDP|5101125016306923878</stp>
        <tr r="F189" s="2"/>
      </tp>
      <tp t="s">
        <v>#N/A N/A</v>
        <stp/>
        <stp>BDP|5469067346443783981</stp>
        <tr r="P1739" s="2"/>
      </tp>
      <tp t="s">
        <v>#N/A N/A</v>
        <stp/>
        <stp>BDP|9845797618906056220</stp>
        <tr r="J443" s="2"/>
      </tp>
      <tp t="s">
        <v>#N/A N/A</v>
        <stp/>
        <stp>BDS|9270236113671187083</stp>
        <tr r="I1324" s="2"/>
      </tp>
      <tp t="s">
        <v>#N/A N/A</v>
        <stp/>
        <stp>BDP|1164851594462895935</stp>
        <tr r="T1711" s="2"/>
      </tp>
      <tp t="s">
        <v>#N/A N/A</v>
        <stp/>
        <stp>BDP|6843888377186821440</stp>
        <tr r="O637" s="2"/>
      </tp>
      <tp t="s">
        <v>#N/A N/A</v>
        <stp/>
        <stp>BDP|2205924269942453466</stp>
        <tr r="O1263" s="2"/>
      </tp>
      <tp t="s">
        <v>#N/A N/A</v>
        <stp/>
        <stp>BDP|6049494262019789676</stp>
        <tr r="O749" s="2"/>
      </tp>
      <tp t="s">
        <v>#N/A N/A</v>
        <stp/>
        <stp>BDP|2776948279861723664</stp>
        <tr r="A686" s="2"/>
      </tp>
      <tp t="s">
        <v>#N/A N/A</v>
        <stp/>
        <stp>BDP|6278483692091658150</stp>
        <tr r="Q2148" s="2"/>
      </tp>
      <tp t="s">
        <v>#N/A N/A</v>
        <stp/>
        <stp>BDP|6954086291164206092</stp>
        <tr r="O2140" s="2"/>
      </tp>
      <tp t="s">
        <v>#N/A N/A</v>
        <stp/>
        <stp>BDP|4583798252584526907</stp>
        <tr r="T944" s="2"/>
      </tp>
      <tp t="s">
        <v>#N/A N/A</v>
        <stp/>
        <stp>BDP|7823593670176266885</stp>
        <tr r="A176" s="2"/>
      </tp>
      <tp t="s">
        <v>#N/A N/A</v>
        <stp/>
        <stp>BDP|9541706741824886571</stp>
        <tr r="F1062" s="2"/>
      </tp>
      <tp t="s">
        <v>#N/A N/A</v>
        <stp/>
        <stp>BDP|1364475442663535985</stp>
        <tr r="M1007" s="2"/>
      </tp>
      <tp t="s">
        <v>#N/A N/A</v>
        <stp/>
        <stp>BDP|3319531448298228113</stp>
        <tr r="R1357" s="2"/>
      </tp>
      <tp t="s">
        <v>#N/A N/A</v>
        <stp/>
        <stp>BDP|4374912977706881769</stp>
        <tr r="G494" s="2"/>
      </tp>
      <tp t="s">
        <v>#N/A N/A</v>
        <stp/>
        <stp>BDP|7869162785123060600</stp>
        <tr r="N1579" s="2"/>
      </tp>
      <tp t="s">
        <v>#N/A N/A</v>
        <stp/>
        <stp>BDP|8733446136211928576</stp>
        <tr r="P1987" s="2"/>
      </tp>
      <tp t="s">
        <v>#N/A N/A</v>
        <stp/>
        <stp>BDP|1146786330349374714</stp>
        <tr r="M501" s="2"/>
      </tp>
      <tp t="s">
        <v>#N/A N/A</v>
        <stp/>
        <stp>BDP|6548974666184830670</stp>
        <tr r="T1108" s="2"/>
      </tp>
      <tp t="s">
        <v>#N/A N/A</v>
        <stp/>
        <stp>BDP|1661072044597774994</stp>
        <tr r="J1279" s="2"/>
      </tp>
      <tp t="s">
        <v>#N/A N/A</v>
        <stp/>
        <stp>BDP|8496516852252980157</stp>
        <tr r="C468" s="2"/>
      </tp>
      <tp t="s">
        <v>#N/A N/A</v>
        <stp/>
        <stp>BDP|7237505785637950650</stp>
        <tr r="R1403" s="2"/>
      </tp>
      <tp t="s">
        <v>#N/A N/A</v>
        <stp/>
        <stp>BDP|4935718330388453378</stp>
        <tr r="D2116" s="2"/>
      </tp>
      <tp t="s">
        <v>#N/A N/A</v>
        <stp/>
        <stp>BDP|2769797435735071804</stp>
        <tr r="F1098" s="2"/>
      </tp>
      <tp t="s">
        <v>#N/A N/A</v>
        <stp/>
        <stp>BDP|6108625899602748062</stp>
        <tr r="M862" s="2"/>
      </tp>
      <tp t="s">
        <v>#N/A N/A</v>
        <stp/>
        <stp>BDP|4370949531917412292</stp>
        <tr r="G76" s="2"/>
      </tp>
      <tp t="s">
        <v>#N/A N/A</v>
        <stp/>
        <stp>BDP|8046536307736950064</stp>
        <tr r="S388" s="2"/>
      </tp>
      <tp t="s">
        <v>#N/A N/A</v>
        <stp/>
        <stp>BDP|4385956929405695127</stp>
        <tr r="Q1093" s="2"/>
      </tp>
      <tp t="s">
        <v>#N/A N/A</v>
        <stp/>
        <stp>BDP|7674624829831185977</stp>
        <tr r="S371" s="2"/>
      </tp>
      <tp t="s">
        <v>#N/A N/A</v>
        <stp/>
        <stp>BDP|7063568209590063949</stp>
        <tr r="A1349" s="2"/>
      </tp>
      <tp t="s">
        <v>#N/A N/A</v>
        <stp/>
        <stp>BDP|6762586576569569674</stp>
        <tr r="R2036" s="2"/>
      </tp>
      <tp t="s">
        <v>#N/A N/A</v>
        <stp/>
        <stp>BDP|8866250797601652973</stp>
        <tr r="H366" s="2"/>
      </tp>
      <tp t="s">
        <v>#N/A N/A</v>
        <stp/>
        <stp>BDP|5164537560644128983</stp>
        <tr r="H538" s="2"/>
      </tp>
      <tp t="s">
        <v>#N/A N/A</v>
        <stp/>
        <stp>BDP|8643583245735716748</stp>
        <tr r="C1863" s="2"/>
      </tp>
      <tp t="s">
        <v>#N/A N/A</v>
        <stp/>
        <stp>BDP|5966120612136166808</stp>
        <tr r="A1970" s="2"/>
      </tp>
      <tp t="s">
        <v>#N/A N/A</v>
        <stp/>
        <stp>BDP|3698714378289515127</stp>
        <tr r="D173" s="2"/>
      </tp>
      <tp t="s">
        <v>#N/A N/A</v>
        <stp/>
        <stp>BDP|4163923259416198531</stp>
        <tr r="J273" s="2"/>
      </tp>
      <tp t="s">
        <v>#N/A N/A</v>
        <stp/>
        <stp>BDP|8768159955267974062</stp>
        <tr r="S1982" s="2"/>
      </tp>
      <tp t="s">
        <v>#N/A N/A</v>
        <stp/>
        <stp>BDP|7935277357113971889</stp>
        <tr r="R2215" s="2"/>
      </tp>
      <tp t="s">
        <v>#N/A N/A</v>
        <stp/>
        <stp>BDP|5909946910506487010</stp>
        <tr r="K1059" s="2"/>
      </tp>
      <tp t="s">
        <v>#N/A N/A</v>
        <stp/>
        <stp>BDP|7293226668511646965</stp>
        <tr r="D2009" s="2"/>
      </tp>
      <tp t="s">
        <v>#N/A N/A</v>
        <stp/>
        <stp>BDP|7294886434586345155</stp>
        <tr r="R93" s="2"/>
      </tp>
      <tp t="s">
        <v>#N/A N/A</v>
        <stp/>
        <stp>BDP|1875128853339307727</stp>
        <tr r="C1245" s="2"/>
      </tp>
      <tp t="s">
        <v>#N/A N/A</v>
        <stp/>
        <stp>BDP|9187990307169479235</stp>
        <tr r="Q215" s="2"/>
      </tp>
      <tp t="s">
        <v>#N/A N/A</v>
        <stp/>
        <stp>BDP|1943748501274117955</stp>
        <tr r="G1885" s="2"/>
      </tp>
      <tp t="s">
        <v>#N/A N/A</v>
        <stp/>
        <stp>BDP|5915334391194363008</stp>
        <tr r="P1188" s="2"/>
      </tp>
      <tp t="s">
        <v>#N/A N/A</v>
        <stp/>
        <stp>BDP|2730309692991412298</stp>
        <tr r="K2093" s="2"/>
      </tp>
      <tp t="s">
        <v>#N/A N/A</v>
        <stp/>
        <stp>BDP|6884824751508279814</stp>
        <tr r="K1676" s="2"/>
      </tp>
      <tp t="s">
        <v>#N/A N/A</v>
        <stp/>
        <stp>BDP|4964619340119400443</stp>
        <tr r="O1986" s="2"/>
      </tp>
      <tp t="s">
        <v>#N/A N/A</v>
        <stp/>
        <stp>BDP|3071764774751284981</stp>
        <tr r="E1378" s="2"/>
      </tp>
      <tp t="s">
        <v>#N/A N/A</v>
        <stp/>
        <stp>BDP|6491128607605187982</stp>
        <tr r="F483" s="2"/>
      </tp>
      <tp t="s">
        <v>#N/A N/A</v>
        <stp/>
        <stp>BDP|4391316065158908263</stp>
        <tr r="N851" s="2"/>
      </tp>
      <tp t="s">
        <v>#N/A N/A</v>
        <stp/>
        <stp>BDP|6519904700603873759</stp>
        <tr r="M910" s="2"/>
      </tp>
      <tp t="s">
        <v>#N/A N/A</v>
        <stp/>
        <stp>BDP|2459559249731736975</stp>
        <tr r="C1889" s="2"/>
      </tp>
      <tp t="s">
        <v>#N/A N/A</v>
        <stp/>
        <stp>BDP|3068412468002918889</stp>
        <tr r="K894" s="2"/>
      </tp>
      <tp t="s">
        <v>#N/A N/A</v>
        <stp/>
        <stp>BDP|2500124492631562088</stp>
        <tr r="M1592" s="2"/>
      </tp>
      <tp t="s">
        <v>#N/A N/A</v>
        <stp/>
        <stp>BDP|8269035768230998584</stp>
        <tr r="J92" s="2"/>
      </tp>
      <tp t="s">
        <v>#N/A N/A</v>
        <stp/>
        <stp>BDP|2780184601220267844</stp>
        <tr r="G1320" s="2"/>
      </tp>
      <tp t="s">
        <v>#N/A N/A</v>
        <stp/>
        <stp>BDP|8803503770378772978</stp>
        <tr r="R1773" s="2"/>
      </tp>
      <tp t="s">
        <v>#N/A N/A</v>
        <stp/>
        <stp>BDS|1125174859968759606</stp>
        <tr r="I297" s="2"/>
      </tp>
      <tp t="s">
        <v>#N/A N/A</v>
        <stp/>
        <stp>BDP|3266220704178493280</stp>
        <tr r="J307" s="2"/>
      </tp>
      <tp t="s">
        <v>#N/A N/A</v>
        <stp/>
        <stp>BDS|9306793947844038555</stp>
        <tr r="I1109" s="2"/>
      </tp>
      <tp t="s">
        <v>#N/A N/A</v>
        <stp/>
        <stp>BDP|2066570826847856915</stp>
        <tr r="M27" s="2"/>
      </tp>
      <tp t="s">
        <v>#N/A N/A</v>
        <stp/>
        <stp>BDP|3931823005404124477</stp>
        <tr r="A293" s="2"/>
      </tp>
      <tp t="s">
        <v>#N/A N/A</v>
        <stp/>
        <stp>BDP|9744562465647915650</stp>
        <tr r="K1023" s="2"/>
      </tp>
      <tp t="s">
        <v>#N/A N/A</v>
        <stp/>
        <stp>BDP|5143187474680552801</stp>
        <tr r="D2030" s="2"/>
      </tp>
      <tp t="s">
        <v>#N/A N/A</v>
        <stp/>
        <stp>BDP|6927465426303467852</stp>
        <tr r="R460" s="2"/>
      </tp>
      <tp t="s">
        <v>#N/A N/A</v>
        <stp/>
        <stp>BDP|3538523187350979514</stp>
        <tr r="E1782" s="2"/>
      </tp>
      <tp t="s">
        <v>#N/A N/A</v>
        <stp/>
        <stp>BDP|2784796280194785217</stp>
        <tr r="K2246" s="2"/>
      </tp>
      <tp t="s">
        <v>#N/A N/A</v>
        <stp/>
        <stp>BDP|4554692444664600962</stp>
        <tr r="P2124" s="2"/>
      </tp>
      <tp t="s">
        <v>#N/A N/A</v>
        <stp/>
        <stp>BDP|8514101356411940623</stp>
        <tr r="S124" s="2"/>
      </tp>
      <tp t="s">
        <v>#N/A N/A</v>
        <stp/>
        <stp>BDP|5691826165808840810</stp>
        <tr r="Q1823" s="2"/>
      </tp>
      <tp t="s">
        <v>#N/A N/A</v>
        <stp/>
        <stp>BDP|2360251796294840602</stp>
        <tr r="H1781" s="2"/>
      </tp>
      <tp t="s">
        <v>#N/A N/A</v>
        <stp/>
        <stp>BDP|9482810535288007189</stp>
        <tr r="D1734" s="2"/>
      </tp>
      <tp t="s">
        <v>#N/A N/A</v>
        <stp/>
        <stp>BDP|9376275405268826810</stp>
        <tr r="R627" s="2"/>
      </tp>
      <tp t="s">
        <v>#N/A N/A</v>
        <stp/>
        <stp>BDP|2350987042842899691</stp>
        <tr r="D1920" s="2"/>
      </tp>
      <tp t="s">
        <v>#N/A N/A</v>
        <stp/>
        <stp>BDP|5072264689533147767</stp>
        <tr r="P1500" s="2"/>
      </tp>
      <tp t="s">
        <v>#N/A N/A</v>
        <stp/>
        <stp>BDP|3410977531270821223</stp>
        <tr r="G1477" s="2"/>
      </tp>
      <tp t="s">
        <v>#N/A N/A</v>
        <stp/>
        <stp>BDP|3140851813667703686</stp>
        <tr r="G90" s="2"/>
      </tp>
      <tp t="s">
        <v>#N/A N/A</v>
        <stp/>
        <stp>BDP|1303224591318928910</stp>
        <tr r="S465" s="2"/>
      </tp>
      <tp t="s">
        <v>#N/A N/A</v>
        <stp/>
        <stp>BDP|2416160973058931707</stp>
        <tr r="R359" s="2"/>
      </tp>
      <tp t="s">
        <v>#N/A N/A</v>
        <stp/>
        <stp>BDP|1066647098657126251</stp>
        <tr r="T1749" s="2"/>
      </tp>
      <tp t="s">
        <v>#N/A N/A</v>
        <stp/>
        <stp>BDP|8013371758007232257</stp>
        <tr r="C104" s="2"/>
      </tp>
      <tp t="s">
        <v>#N/A N/A</v>
        <stp/>
        <stp>BDP|9730323939387046543</stp>
        <tr r="D2072" s="2"/>
      </tp>
      <tp t="s">
        <v>#N/A N/A</v>
        <stp/>
        <stp>BDS|6948775201699284358</stp>
        <tr r="I567" s="2"/>
      </tp>
      <tp t="s">
        <v>#N/A N/A</v>
        <stp/>
        <stp>BDS|5488127969608790107</stp>
        <tr r="I420" s="2"/>
      </tp>
      <tp t="s">
        <v>#N/A N/A</v>
        <stp/>
        <stp>BDP|4996812808580888702</stp>
        <tr r="J2103" s="2"/>
      </tp>
      <tp t="s">
        <v>#N/A N/A</v>
        <stp/>
        <stp>BDP|9377382213637263722</stp>
        <tr r="N185" s="2"/>
      </tp>
      <tp t="s">
        <v>#N/A N/A</v>
        <stp/>
        <stp>BDP|8871188276120981571</stp>
        <tr r="A1902" s="2"/>
      </tp>
      <tp t="s">
        <v>#N/A N/A</v>
        <stp/>
        <stp>BDP|6436608258746338878</stp>
        <tr r="E1861" s="2"/>
      </tp>
      <tp t="s">
        <v>#N/A N/A</v>
        <stp/>
        <stp>BDP|8442381722583216146</stp>
        <tr r="O1073" s="2"/>
      </tp>
      <tp t="s">
        <v>#N/A N/A</v>
        <stp/>
        <stp>BDP|9178083827206297649</stp>
        <tr r="P104" s="2"/>
      </tp>
      <tp t="s">
        <v>#N/A N/A</v>
        <stp/>
        <stp>BDP|6420035919609239544</stp>
        <tr r="S406" s="2"/>
      </tp>
      <tp t="s">
        <v>#N/A N/A</v>
        <stp/>
        <stp>BDP|2316105099472013327</stp>
        <tr r="C1836" s="2"/>
      </tp>
      <tp t="s">
        <v>#N/A N/A</v>
        <stp/>
        <stp>BDP|7969221938955808838</stp>
        <tr r="F1670" s="2"/>
      </tp>
      <tp t="s">
        <v>#N/A N/A</v>
        <stp/>
        <stp>BDP|3699814039813356056</stp>
        <tr r="M126" s="2"/>
      </tp>
      <tp t="s">
        <v>#N/A N/A</v>
        <stp/>
        <stp>BDP|8213580258915866637</stp>
        <tr r="J311" s="2"/>
      </tp>
      <tp t="s">
        <v>#N/A N/A</v>
        <stp/>
        <stp>BDP|1401374294045856568</stp>
        <tr r="J1844" s="2"/>
      </tp>
      <tp t="s">
        <v>#N/A N/A</v>
        <stp/>
        <stp>BDP|2354889937723017153</stp>
        <tr r="P2122" s="2"/>
      </tp>
      <tp t="s">
        <v>#N/A N/A</v>
        <stp/>
        <stp>BDP|6291880694288227450</stp>
        <tr r="A1221" s="2"/>
      </tp>
      <tp t="s">
        <v>#N/A N/A</v>
        <stp/>
        <stp>BDP|7971963660815345650</stp>
        <tr r="A134" s="2"/>
      </tp>
      <tp t="s">
        <v>#N/A N/A</v>
        <stp/>
        <stp>BDP|8362200538015652748</stp>
        <tr r="H537" s="2"/>
      </tp>
      <tp t="s">
        <v>#N/A N/A</v>
        <stp/>
        <stp>BDP|4631818678225742516</stp>
        <tr r="Q10" s="2"/>
      </tp>
      <tp t="s">
        <v>#N/A N/A</v>
        <stp/>
        <stp>BDP|4455929205915976339</stp>
        <tr r="H220" s="2"/>
      </tp>
      <tp t="s">
        <v>#N/A N/A</v>
        <stp/>
        <stp>BDP|9156322669863325406</stp>
        <tr r="O234" s="2"/>
      </tp>
      <tp t="s">
        <v>#N/A N/A</v>
        <stp/>
        <stp>BDS|7880581094391429191</stp>
        <tr r="I1316" s="2"/>
      </tp>
      <tp t="s">
        <v>#N/A N/A</v>
        <stp/>
        <stp>BDP|1762579976671950966</stp>
        <tr r="N86" s="2"/>
      </tp>
      <tp t="s">
        <v>#N/A N/A</v>
        <stp/>
        <stp>BDS|4548683894887814787</stp>
        <tr r="I1217" s="2"/>
      </tp>
      <tp t="s">
        <v>#N/A N/A</v>
        <stp/>
        <stp>BDP|2407332249989415730</stp>
        <tr r="M1031" s="2"/>
      </tp>
      <tp t="s">
        <v>#N/A N/A</v>
        <stp/>
        <stp>BDP|8662203133672991057</stp>
        <tr r="E1942" s="2"/>
      </tp>
      <tp t="s">
        <v>#N/A N/A</v>
        <stp/>
        <stp>BDP|7073793098967847504</stp>
        <tr r="M1842" s="2"/>
      </tp>
      <tp t="s">
        <v>#N/A N/A</v>
        <stp/>
        <stp>BDP|6363286870898227006</stp>
        <tr r="P297" s="2"/>
      </tp>
      <tp t="s">
        <v>#N/A N/A</v>
        <stp/>
        <stp>BDP|5642643674946746986</stp>
        <tr r="T1680" s="2"/>
      </tp>
      <tp t="s">
        <v>#N/A N/A</v>
        <stp/>
        <stp>BDP|8775710061637840569</stp>
        <tr r="Q1172" s="2"/>
      </tp>
      <tp t="s">
        <v>#N/A N/A</v>
        <stp/>
        <stp>BDP|7860938185168129561</stp>
        <tr r="J62" s="2"/>
      </tp>
      <tp t="s">
        <v>#N/A N/A</v>
        <stp/>
        <stp>BDP|8358139477653630685</stp>
        <tr r="K1787" s="2"/>
      </tp>
      <tp t="s">
        <v>#N/A N/A</v>
        <stp/>
        <stp>BDP|8019089632699150924</stp>
        <tr r="C1510" s="2"/>
      </tp>
      <tp t="s">
        <v>#N/A N/A</v>
        <stp/>
        <stp>BDP|8697526134304001193</stp>
        <tr r="O1378" s="2"/>
      </tp>
      <tp t="s">
        <v>#N/A N/A</v>
        <stp/>
        <stp>BDS|7878109400355129803</stp>
        <tr r="I1680" s="2"/>
      </tp>
      <tp t="s">
        <v>#N/A N/A</v>
        <stp/>
        <stp>BDP|8012869869608657504</stp>
        <tr r="C1503" s="2"/>
      </tp>
      <tp t="s">
        <v>#N/A N/A</v>
        <stp/>
        <stp>BDP|4853551332618148179</stp>
        <tr r="E2069" s="2"/>
      </tp>
      <tp t="s">
        <v>#N/A N/A</v>
        <stp/>
        <stp>BDS|6870988835956884142</stp>
        <tr r="I786" s="2"/>
      </tp>
      <tp t="s">
        <v>#N/A N/A</v>
        <stp/>
        <stp>BDP|8561730054237937629</stp>
        <tr r="G1025" s="2"/>
      </tp>
      <tp t="s">
        <v>#N/A N/A</v>
        <stp/>
        <stp>BDP|3426159595963545388</stp>
        <tr r="S1321" s="2"/>
      </tp>
      <tp t="s">
        <v>#N/A N/A</v>
        <stp/>
        <stp>BDP|3910947107933782249</stp>
        <tr r="C649" s="2"/>
      </tp>
      <tp t="s">
        <v>#N/A N/A</v>
        <stp/>
        <stp>BDP|7308897416884265177</stp>
        <tr r="T1037" s="2"/>
      </tp>
      <tp t="s">
        <v>#N/A N/A</v>
        <stp/>
        <stp>BDP|3373808318034391518</stp>
        <tr r="Q1596" s="2"/>
      </tp>
      <tp t="s">
        <v>#N/A N/A</v>
        <stp/>
        <stp>BDP|7643914539521296752</stp>
        <tr r="N1765" s="2"/>
      </tp>
      <tp t="s">
        <v>#N/A N/A</v>
        <stp/>
        <stp>BDP|8617289712682214271</stp>
        <tr r="C1944" s="2"/>
      </tp>
      <tp t="s">
        <v>#N/A N/A</v>
        <stp/>
        <stp>BDP|5945639492677339626</stp>
        <tr r="A1513" s="2"/>
      </tp>
      <tp t="s">
        <v>#N/A N/A</v>
        <stp/>
        <stp>BDP|2631754589364135226</stp>
        <tr r="R635" s="2"/>
      </tp>
      <tp t="s">
        <v>#N/A N/A</v>
        <stp/>
        <stp>BDP|7966378491684209249</stp>
        <tr r="D407" s="2"/>
      </tp>
      <tp t="s">
        <v>#N/A N/A</v>
        <stp/>
        <stp>BDP|3558920475950383685</stp>
        <tr r="S1052" s="2"/>
      </tp>
      <tp t="s">
        <v>#N/A N/A</v>
        <stp/>
        <stp>BDP|3955706780732275523</stp>
        <tr r="Q1177" s="2"/>
      </tp>
      <tp t="s">
        <v>#N/A N/A</v>
        <stp/>
        <stp>BDP|7529431041384745894</stp>
        <tr r="D1198" s="2"/>
      </tp>
      <tp t="s">
        <v>#N/A N/A</v>
        <stp/>
        <stp>BDP|1280109491241827321</stp>
        <tr r="A712" s="2"/>
      </tp>
      <tp t="s">
        <v>#N/A N/A</v>
        <stp/>
        <stp>BDP|6636005393516448287</stp>
        <tr r="D768" s="2"/>
      </tp>
      <tp t="s">
        <v>#N/A N/A</v>
        <stp/>
        <stp>BDP|7619546222313924806</stp>
        <tr r="K1779" s="2"/>
      </tp>
      <tp t="s">
        <v>#N/A N/A</v>
        <stp/>
        <stp>BDP|5020233853680968901</stp>
        <tr r="R773" s="2"/>
      </tp>
      <tp t="s">
        <v>#N/A N/A</v>
        <stp/>
        <stp>BDP|9857013000451086309</stp>
        <tr r="T1455" s="2"/>
      </tp>
      <tp t="s">
        <v>#N/A N/A</v>
        <stp/>
        <stp>BDP|1747237551424820946</stp>
        <tr r="R102" s="2"/>
      </tp>
      <tp t="s">
        <v>#N/A N/A</v>
        <stp/>
        <stp>BDP|6123116481744142094</stp>
        <tr r="F1655" s="2"/>
      </tp>
      <tp t="s">
        <v>#N/A N/A</v>
        <stp/>
        <stp>BDP|4431375568553332913</stp>
        <tr r="R445" s="2"/>
      </tp>
      <tp t="s">
        <v>#N/A N/A</v>
        <stp/>
        <stp>BDP|6039476518930280847</stp>
        <tr r="G692" s="2"/>
      </tp>
      <tp t="s">
        <v>#N/A N/A</v>
        <stp/>
        <stp>BDP|6730075580033822616</stp>
        <tr r="Q286" s="2"/>
      </tp>
      <tp t="s">
        <v>#N/A N/A</v>
        <stp/>
        <stp>BDP|8963508726957747311</stp>
        <tr r="E1461" s="2"/>
      </tp>
      <tp t="s">
        <v>#N/A N/A</v>
        <stp/>
        <stp>BDP|3031274588654766615</stp>
        <tr r="C1480" s="2"/>
      </tp>
      <tp t="s">
        <v>#N/A N/A</v>
        <stp/>
        <stp>BDP|5465788468236971949</stp>
        <tr r="P249" s="2"/>
      </tp>
      <tp t="s">
        <v>#N/A N/A</v>
        <stp/>
        <stp>BDS|8279035841344828312</stp>
        <tr r="I86" s="2"/>
      </tp>
      <tp t="s">
        <v>#N/A N/A</v>
        <stp/>
        <stp>BDP|4850648171096386877</stp>
        <tr r="A690" s="2"/>
      </tp>
      <tp t="s">
        <v>#N/A N/A</v>
        <stp/>
        <stp>BDP|9525120222794570590</stp>
        <tr r="Q1632" s="2"/>
      </tp>
      <tp t="s">
        <v>#N/A N/A</v>
        <stp/>
        <stp>BDP|1289574780886403181</stp>
        <tr r="M2214" s="2"/>
      </tp>
      <tp t="s">
        <v>#N/A N/A</v>
        <stp/>
        <stp>BDP|1401961030107904725</stp>
        <tr r="R2019" s="2"/>
      </tp>
      <tp t="s">
        <v>#N/A N/A</v>
        <stp/>
        <stp>BDP|1387528524079466483</stp>
        <tr r="N1006" s="2"/>
      </tp>
      <tp t="s">
        <v>#N/A N/A</v>
        <stp/>
        <stp>BDP|7776911313706806244</stp>
        <tr r="N1998" s="2"/>
      </tp>
      <tp t="s">
        <v>#N/A N/A</v>
        <stp/>
        <stp>BDP|9200093619113838034</stp>
        <tr r="J1175" s="2"/>
      </tp>
      <tp t="s">
        <v>#N/A N/A</v>
        <stp/>
        <stp>BDP|9555464234723817663</stp>
        <tr r="K1550" s="2"/>
      </tp>
      <tp t="s">
        <v>#N/A N/A</v>
        <stp/>
        <stp>BDP|2890267797711745379</stp>
        <tr r="J1209" s="2"/>
      </tp>
      <tp t="s">
        <v>#N/A N/A</v>
        <stp/>
        <stp>BDP|5745280006304952895</stp>
        <tr r="Q808" s="2"/>
      </tp>
      <tp t="s">
        <v>#N/A N/A</v>
        <stp/>
        <stp>BDP|9691094523112531209</stp>
        <tr r="J1606" s="2"/>
      </tp>
      <tp t="s">
        <v>#N/A N/A</v>
        <stp/>
        <stp>BDP|6791772178155745817</stp>
        <tr r="N1484" s="2"/>
      </tp>
      <tp t="s">
        <v>#N/A N/A</v>
        <stp/>
        <stp>BDP|3563519761353800835</stp>
        <tr r="P197" s="2"/>
      </tp>
      <tp t="s">
        <v>#N/A N/A</v>
        <stp/>
        <stp>BDP|7764277314367295883</stp>
        <tr r="H667" s="2"/>
      </tp>
      <tp t="s">
        <v>#N/A N/A</v>
        <stp/>
        <stp>BDP|7927156111979526567</stp>
        <tr r="D2222" s="2"/>
      </tp>
      <tp t="s">
        <v>#N/A N/A</v>
        <stp/>
        <stp>BDP|1645366873136988840</stp>
        <tr r="C1639" s="2"/>
      </tp>
      <tp t="s">
        <v>#N/A N/A</v>
        <stp/>
        <stp>BDP|3820138353225326951</stp>
        <tr r="R561" s="2"/>
      </tp>
      <tp t="s">
        <v>#N/A N/A</v>
        <stp/>
        <stp>BDP|4795653357409941521</stp>
        <tr r="O984" s="2"/>
      </tp>
      <tp t="s">
        <v>#N/A N/A</v>
        <stp/>
        <stp>BDP|4417268826066278985</stp>
        <tr r="N78" s="2"/>
      </tp>
      <tp t="s">
        <v>#N/A N/A</v>
        <stp/>
        <stp>BDP|6473678689433485008</stp>
        <tr r="N1105" s="2"/>
      </tp>
      <tp t="s">
        <v>#N/A N/A</v>
        <stp/>
        <stp>BDP|5984742821718271301</stp>
        <tr r="H690" s="2"/>
      </tp>
      <tp t="s">
        <v>#N/A N/A</v>
        <stp/>
        <stp>BDP|8958249527663667026</stp>
        <tr r="K1441" s="2"/>
      </tp>
      <tp t="s">
        <v>#N/A N/A</v>
        <stp/>
        <stp>BDP|9426246629943050175</stp>
        <tr r="P1997" s="2"/>
      </tp>
      <tp t="s">
        <v>#N/A N/A</v>
        <stp/>
        <stp>BDP|4816678413400237803</stp>
        <tr r="D597" s="2"/>
      </tp>
      <tp t="s">
        <v>#N/A N/A</v>
        <stp/>
        <stp>BDP|9047003428919507933</stp>
        <tr r="C532" s="2"/>
      </tp>
      <tp t="s">
        <v>#N/A N/A</v>
        <stp/>
        <stp>BDP|7870648033241459855</stp>
        <tr r="D2023" s="2"/>
      </tp>
      <tp t="s">
        <v>#N/A N/A</v>
        <stp/>
        <stp>BDP|5889342672533806982</stp>
        <tr r="T716" s="2"/>
      </tp>
      <tp t="s">
        <v>#N/A N/A</v>
        <stp/>
        <stp>BDP|8777499115427205176</stp>
        <tr r="P1928" s="2"/>
      </tp>
      <tp t="s">
        <v>#N/A N/A</v>
        <stp/>
        <stp>BDP|1281835633227967655</stp>
        <tr r="A1856" s="2"/>
      </tp>
      <tp t="s">
        <v>#N/A N/A</v>
        <stp/>
        <stp>BDP|7924819306446061205</stp>
        <tr r="J368" s="2"/>
      </tp>
      <tp t="s">
        <v>#N/A N/A</v>
        <stp/>
        <stp>BDP|7783547572596657893</stp>
        <tr r="Q1321" s="2"/>
      </tp>
      <tp t="s">
        <v>#N/A N/A</v>
        <stp/>
        <stp>BDP|9541332415748959848</stp>
        <tr r="R2225" s="2"/>
      </tp>
      <tp t="s">
        <v>#N/A N/A</v>
        <stp/>
        <stp>BDP|2211393761954346870</stp>
        <tr r="F1574" s="2"/>
      </tp>
      <tp t="s">
        <v>#N/A N/A</v>
        <stp/>
        <stp>BDP|3815039770569422610</stp>
        <tr r="M1500" s="2"/>
      </tp>
      <tp t="s">
        <v>#N/A N/A</v>
        <stp/>
        <stp>BDP|3485431116524776984</stp>
        <tr r="D1659" s="2"/>
      </tp>
      <tp t="s">
        <v>#N/A N/A</v>
        <stp/>
        <stp>BDS|8677959058686410915</stp>
        <tr r="I1556" s="2"/>
      </tp>
      <tp t="s">
        <v>#N/A N/A</v>
        <stp/>
        <stp>BDP|9783777838090136672</stp>
        <tr r="T1431" s="2"/>
      </tp>
      <tp t="s">
        <v>#N/A N/A</v>
        <stp/>
        <stp>BDP|2953849840193270614</stp>
        <tr r="N901" s="2"/>
      </tp>
      <tp t="s">
        <v>#N/A N/A</v>
        <stp/>
        <stp>BDP|2169313729778483034</stp>
        <tr r="H2246" s="2"/>
      </tp>
      <tp t="s">
        <v>#N/A N/A</v>
        <stp/>
        <stp>BDP|6950781328098221058</stp>
        <tr r="S2250" s="2"/>
      </tp>
      <tp t="s">
        <v>#N/A N/A</v>
        <stp/>
        <stp>BDP|9932968791583726172</stp>
        <tr r="Q112" s="2"/>
      </tp>
      <tp t="s">
        <v>#N/A N/A</v>
        <stp/>
        <stp>BDP|8745336608655563573</stp>
        <tr r="E752" s="2"/>
      </tp>
      <tp t="s">
        <v>#N/A N/A</v>
        <stp/>
        <stp>BDP|5287634688823731306</stp>
        <tr r="E97" s="2"/>
      </tp>
      <tp t="s">
        <v>#N/A N/A</v>
        <stp/>
        <stp>BDP|6414219178891331902</stp>
        <tr r="K457" s="2"/>
      </tp>
      <tp t="s">
        <v>#N/A N/A</v>
        <stp/>
        <stp>BDP|8075876218289025310</stp>
        <tr r="H2167" s="2"/>
      </tp>
      <tp t="s">
        <v>#N/A N/A</v>
        <stp/>
        <stp>BDP|2465074908561101846</stp>
        <tr r="O2231" s="2"/>
      </tp>
      <tp t="s">
        <v>#N/A N/A</v>
        <stp/>
        <stp>BDP|8344893510312757831</stp>
        <tr r="G657" s="2"/>
      </tp>
      <tp t="s">
        <v>#N/A N/A</v>
        <stp/>
        <stp>BDS|7406525489774271534</stp>
        <tr r="I351" s="2"/>
      </tp>
      <tp t="s">
        <v>#N/A N/A</v>
        <stp/>
        <stp>BDP|8608868630280683880</stp>
        <tr r="E553" s="2"/>
      </tp>
      <tp t="s">
        <v>#N/A N/A</v>
        <stp/>
        <stp>BDP|9913766452968594865</stp>
        <tr r="A2219" s="2"/>
      </tp>
      <tp t="s">
        <v>#N/A N/A</v>
        <stp/>
        <stp>BDP|9261664733472907504</stp>
        <tr r="K321" s="2"/>
      </tp>
      <tp t="s">
        <v>#N/A N/A</v>
        <stp/>
        <stp>BDP|3446586404354660905</stp>
        <tr r="D1915" s="2"/>
      </tp>
      <tp t="s">
        <v>#N/A N/A</v>
        <stp/>
        <stp>BDP|7757236901317812933</stp>
        <tr r="S1565" s="2"/>
      </tp>
      <tp t="s">
        <v>#N/A N/A</v>
        <stp/>
        <stp>BDP|8640595860700377023</stp>
        <tr r="T796" s="2"/>
      </tp>
      <tp t="s">
        <v>#N/A N/A</v>
        <stp/>
        <stp>BDP|1876981039419033974</stp>
        <tr r="F270" s="2"/>
      </tp>
      <tp t="s">
        <v>#N/A N/A</v>
        <stp/>
        <stp>BDP|9941414696347153813</stp>
        <tr r="C479" s="2"/>
      </tp>
      <tp t="s">
        <v>#N/A N/A</v>
        <stp/>
        <stp>BDP|6949966400056979280</stp>
        <tr r="J818" s="2"/>
      </tp>
      <tp t="s">
        <v>#N/A N/A</v>
        <stp/>
        <stp>BDP|1926834935531261030</stp>
        <tr r="F247" s="2"/>
      </tp>
      <tp t="s">
        <v>#N/A N/A</v>
        <stp/>
        <stp>BDP|7875117085662146736</stp>
        <tr r="N1964" s="2"/>
      </tp>
      <tp t="s">
        <v>#N/A N/A</v>
        <stp/>
        <stp>BDS|8321413431566852256</stp>
        <tr r="I1363" s="2"/>
      </tp>
      <tp t="s">
        <v>#N/A N/A</v>
        <stp/>
        <stp>BDP|3226047483568946820</stp>
        <tr r="R2077" s="2"/>
      </tp>
      <tp t="s">
        <v>#N/A N/A</v>
        <stp/>
        <stp>BDP|4349786882380546021</stp>
        <tr r="S2068" s="2"/>
      </tp>
      <tp t="s">
        <v>#N/A N/A</v>
        <stp/>
        <stp>BDS|5579887100563048535</stp>
        <tr r="I1464" s="2"/>
      </tp>
      <tp t="s">
        <v>#N/A N/A</v>
        <stp/>
        <stp>BDP|7807579757548134478</stp>
        <tr r="D1383" s="2"/>
      </tp>
      <tp t="s">
        <v>#N/A N/A</v>
        <stp/>
        <stp>BDP|6761763048716242851</stp>
        <tr r="D1354" s="2"/>
      </tp>
      <tp t="s">
        <v>#N/A N/A</v>
        <stp/>
        <stp>BDP|7625985245127740624</stp>
        <tr r="O1377" s="2"/>
      </tp>
      <tp t="s">
        <v>#N/A N/A</v>
        <stp/>
        <stp>BDP|5653672909641218946</stp>
        <tr r="M1431" s="2"/>
      </tp>
      <tp t="s">
        <v>#N/A N/A</v>
        <stp/>
        <stp>BDP|8848713636904883390</stp>
        <tr r="A182" s="2"/>
      </tp>
      <tp t="s">
        <v>#N/A N/A</v>
        <stp/>
        <stp>BDP|9644330168783760443</stp>
        <tr r="O1763" s="2"/>
      </tp>
      <tp t="s">
        <v>#N/A N/A</v>
        <stp/>
        <stp>BDP|8583665476216888431</stp>
        <tr r="K855" s="2"/>
      </tp>
      <tp t="s">
        <v>#N/A N/A</v>
        <stp/>
        <stp>BDP|8854422575581316125</stp>
        <tr r="N1778" s="2"/>
      </tp>
      <tp t="s">
        <v>#N/A N/A</v>
        <stp/>
        <stp>BDP|8047947112459059284</stp>
        <tr r="A1632" s="2"/>
      </tp>
      <tp t="s">
        <v>#N/A N/A</v>
        <stp/>
        <stp>BDP|9703354535497115587</stp>
        <tr r="R39" s="2"/>
      </tp>
      <tp t="s">
        <v>#N/A N/A</v>
        <stp/>
        <stp>BDP|2003156289674204419</stp>
        <tr r="D434" s="2"/>
      </tp>
      <tp t="s">
        <v>#N/A N/A</v>
        <stp/>
        <stp>BDP|1356613404328893415</stp>
        <tr r="D321" s="2"/>
      </tp>
      <tp t="s">
        <v>#N/A N/A</v>
        <stp/>
        <stp>BDP|3127784494400090622</stp>
        <tr r="M1205" s="2"/>
      </tp>
      <tp t="s">
        <v>#N/A N/A</v>
        <stp/>
        <stp>BDP|4358592057546023929</stp>
        <tr r="T511" s="2"/>
      </tp>
      <tp t="s">
        <v>#N/A N/A</v>
        <stp/>
        <stp>BDP|1771674379808119372</stp>
        <tr r="F1337" s="2"/>
      </tp>
      <tp t="s">
        <v>#N/A N/A</v>
        <stp/>
        <stp>BDP|5614381390143492753</stp>
        <tr r="E332" s="2"/>
      </tp>
      <tp t="s">
        <v>#N/A N/A</v>
        <stp/>
        <stp>BDP|8166079661090116595</stp>
        <tr r="Q260" s="2"/>
      </tp>
      <tp t="s">
        <v>#N/A N/A</v>
        <stp/>
        <stp>BDP|6484234996242771492</stp>
        <tr r="N393" s="2"/>
      </tp>
      <tp t="s">
        <v>#N/A N/A</v>
        <stp/>
        <stp>BDP|4824659084078538933</stp>
        <tr r="N1364" s="2"/>
      </tp>
      <tp t="s">
        <v>#N/A N/A</v>
        <stp/>
        <stp>BDP|4488515598097234404</stp>
        <tr r="G1128" s="2"/>
      </tp>
      <tp t="s">
        <v>#N/A N/A</v>
        <stp/>
        <stp>BDP|4546621216288741099</stp>
        <tr r="D674" s="2"/>
      </tp>
      <tp t="s">
        <v>#N/A N/A</v>
        <stp/>
        <stp>BDP|6689000634679946740</stp>
        <tr r="M847" s="2"/>
      </tp>
      <tp t="s">
        <v>#N/A N/A</v>
        <stp/>
        <stp>BDP|4236297577992362801</stp>
        <tr r="T2183" s="2"/>
      </tp>
      <tp t="s">
        <v>#N/A N/A</v>
        <stp/>
        <stp>BDP|4759231798973632754</stp>
        <tr r="J874" s="2"/>
      </tp>
      <tp t="s">
        <v>#N/A N/A</v>
        <stp/>
        <stp>BDP|7304190681743528618</stp>
        <tr r="F915" s="2"/>
      </tp>
      <tp t="s">
        <v>#N/A N/A</v>
        <stp/>
        <stp>BDP|8507396059424366198</stp>
        <tr r="N1350" s="2"/>
      </tp>
      <tp t="s">
        <v>#N/A N/A</v>
        <stp/>
        <stp>BDP|7156241379829043037</stp>
        <tr r="D122" s="2"/>
      </tp>
      <tp t="s">
        <v>#N/A N/A</v>
        <stp/>
        <stp>BDS|8776134542805137384</stp>
        <tr r="I652" s="2"/>
      </tp>
      <tp t="s">
        <v>#N/A N/A</v>
        <stp/>
        <stp>BDP|3663786110928506646</stp>
        <tr r="C237" s="2"/>
      </tp>
      <tp t="s">
        <v>#N/A N/A</v>
        <stp/>
        <stp>BDP|4950969546431270340</stp>
        <tr r="E415" s="2"/>
      </tp>
      <tp t="s">
        <v>#N/A N/A</v>
        <stp/>
        <stp>BDP|9632061030898774982</stp>
        <tr r="R577" s="2"/>
      </tp>
      <tp t="s">
        <v>#N/A N/A</v>
        <stp/>
        <stp>BDP|9334174368303280612</stp>
        <tr r="S183" s="2"/>
      </tp>
      <tp t="s">
        <v>#N/A N/A</v>
        <stp/>
        <stp>BDP|3027387368119895473</stp>
        <tr r="S1942" s="2"/>
      </tp>
      <tp t="s">
        <v>#N/A N/A</v>
        <stp/>
        <stp>BDS|5079898048381680389</stp>
        <tr r="I825" s="2"/>
      </tp>
      <tp t="s">
        <v>#N/A N/A</v>
        <stp/>
        <stp>BDP|9876443946971476314</stp>
        <tr r="D1597" s="2"/>
      </tp>
      <tp t="s">
        <v>#N/A N/A</v>
        <stp/>
        <stp>BDP|2445692170671797958</stp>
        <tr r="K1909" s="2"/>
      </tp>
      <tp t="s">
        <v>#N/A N/A</v>
        <stp/>
        <stp>BDP|9958509900073242449</stp>
        <tr r="E177" s="2"/>
      </tp>
      <tp t="s">
        <v>#N/A N/A</v>
        <stp/>
        <stp>BDP|9854640124042560422</stp>
        <tr r="E1249" s="2"/>
      </tp>
      <tp t="s">
        <v>#N/A N/A</v>
        <stp/>
        <stp>BDP|8010190273484149140</stp>
        <tr r="P1134" s="2"/>
      </tp>
      <tp t="s">
        <v>#N/A N/A</v>
        <stp/>
        <stp>BDP|2002670760698921115</stp>
        <tr r="N98" s="2"/>
      </tp>
      <tp t="s">
        <v>#N/A N/A</v>
        <stp/>
        <stp>BDP|9179979698921570341</stp>
        <tr r="J208" s="2"/>
      </tp>
      <tp t="s">
        <v>#N/A N/A</v>
        <stp/>
        <stp>BDP|8275177546217828141</stp>
        <tr r="N1228" s="2"/>
      </tp>
      <tp t="s">
        <v>#N/A N/A</v>
        <stp/>
        <stp>BDP|7882466593962034324</stp>
        <tr r="O1040" s="2"/>
      </tp>
      <tp t="s">
        <v>#N/A N/A</v>
        <stp/>
        <stp>BDP|6604166222196928845</stp>
        <tr r="P1775" s="2"/>
      </tp>
      <tp t="s">
        <v>#N/A N/A</v>
        <stp/>
        <stp>BDP|1992969787718159362</stp>
        <tr r="J1684" s="2"/>
      </tp>
      <tp t="s">
        <v>#N/A N/A</v>
        <stp/>
        <stp>BDP|6603936557553879254</stp>
        <tr r="R1257" s="2"/>
      </tp>
      <tp t="s">
        <v>#N/A N/A</v>
        <stp/>
        <stp>BDP|5380356031269963719</stp>
        <tr r="J640" s="2"/>
      </tp>
      <tp t="s">
        <v>#N/A N/A</v>
        <stp/>
        <stp>BDP|6937237064901884896</stp>
        <tr r="Q397" s="2"/>
      </tp>
      <tp t="s">
        <v>#N/A N/A</v>
        <stp/>
        <stp>BDP|3614260982321557384</stp>
        <tr r="E1236" s="2"/>
      </tp>
      <tp t="s">
        <v>#N/A N/A</v>
        <stp/>
        <stp>BDP|2544893226680067354</stp>
        <tr r="A1346" s="2"/>
      </tp>
      <tp t="s">
        <v>#N/A N/A</v>
        <stp/>
        <stp>BDP|6024442308741009834</stp>
        <tr r="E221" s="2"/>
      </tp>
      <tp t="s">
        <v>#N/A N/A</v>
        <stp/>
        <stp>BDP|5657314395634452090</stp>
        <tr r="K1773" s="2"/>
      </tp>
      <tp t="s">
        <v>#N/A N/A</v>
        <stp/>
        <stp>BDP|7235365537304541893</stp>
        <tr r="M2091" s="2"/>
      </tp>
      <tp t="s">
        <v>#N/A N/A</v>
        <stp/>
        <stp>BDP|7064178091181986505</stp>
        <tr r="N1376" s="2"/>
      </tp>
      <tp t="s">
        <v>#N/A N/A</v>
        <stp/>
        <stp>BDP|8702579140053757189</stp>
        <tr r="M1891" s="2"/>
      </tp>
      <tp t="s">
        <v>#N/A N/A</v>
        <stp/>
        <stp>BDP|8182808307759966204</stp>
        <tr r="Q1019" s="2"/>
      </tp>
      <tp t="s">
        <v>#N/A N/A</v>
        <stp/>
        <stp>BDP|5447422745686953850</stp>
        <tr r="O2224" s="2"/>
      </tp>
      <tp t="s">
        <v>#N/A N/A</v>
        <stp/>
        <stp>BDP|2065648846398902349</stp>
        <tr r="R677" s="2"/>
      </tp>
      <tp t="s">
        <v>#N/A N/A</v>
        <stp/>
        <stp>BDP|1570153182215970645</stp>
        <tr r="H1316" s="2"/>
      </tp>
      <tp t="s">
        <v>#N/A N/A</v>
        <stp/>
        <stp>BDP|5408034399217863094</stp>
        <tr r="P740" s="2"/>
      </tp>
      <tp t="s">
        <v>#N/A N/A</v>
        <stp/>
        <stp>BDP|3834990999520244856</stp>
        <tr r="K1408" s="2"/>
      </tp>
      <tp t="s">
        <v>#N/A N/A</v>
        <stp/>
        <stp>BDP|8865216043040247573</stp>
        <tr r="N2072" s="2"/>
      </tp>
      <tp t="s">
        <v>#N/A N/A</v>
        <stp/>
        <stp>BDP|4814912122004427006</stp>
        <tr r="F1417" s="2"/>
      </tp>
      <tp t="s">
        <v>#N/A N/A</v>
        <stp/>
        <stp>BDP|7883234917217298810</stp>
        <tr r="S924" s="2"/>
      </tp>
      <tp t="s">
        <v>#N/A N/A</v>
        <stp/>
        <stp>BDP|4009725379817583812</stp>
        <tr r="A269" s="2"/>
      </tp>
      <tp t="s">
        <v>#N/A N/A</v>
        <stp/>
        <stp>BDP|8206203908475571407</stp>
        <tr r="T2114" s="2"/>
      </tp>
      <tp t="s">
        <v>#N/A N/A</v>
        <stp/>
        <stp>BDP|8238723602570553487</stp>
        <tr r="D1800" s="2"/>
      </tp>
      <tp t="s">
        <v>#N/A N/A</v>
        <stp/>
        <stp>BDP|1743196404672445916</stp>
        <tr r="P731" s="2"/>
      </tp>
      <tp t="s">
        <v>#N/A N/A</v>
        <stp/>
        <stp>BDP|2240984246717376306</stp>
        <tr r="H717" s="2"/>
      </tp>
      <tp t="s">
        <v>#N/A N/A</v>
        <stp/>
        <stp>BDS|9864855597310746321</stp>
        <tr r="I537" s="2"/>
      </tp>
      <tp t="s">
        <v>#N/A N/A</v>
        <stp/>
        <stp>BDP|1399433698785090272</stp>
        <tr r="G1793" s="2"/>
      </tp>
      <tp t="s">
        <v>#N/A N/A</v>
        <stp/>
        <stp>BDP|7212066707544538897</stp>
        <tr r="K2084" s="2"/>
      </tp>
      <tp t="s">
        <v>#N/A N/A</v>
        <stp/>
        <stp>BDP|2249475793594993034</stp>
        <tr r="A1949" s="2"/>
      </tp>
      <tp t="s">
        <v>#N/A N/A</v>
        <stp/>
        <stp>BDP|9754084356942747525</stp>
        <tr r="E809" s="2"/>
      </tp>
      <tp t="s">
        <v>#N/A N/A</v>
        <stp/>
        <stp>BDP|9245893289941641383</stp>
        <tr r="M1693" s="2"/>
      </tp>
      <tp t="s">
        <v>#N/A N/A</v>
        <stp/>
        <stp>BDP|8278058006524837750</stp>
        <tr r="K1460" s="2"/>
      </tp>
      <tp t="s">
        <v>#N/A N/A</v>
        <stp/>
        <stp>BDP|3998741918508030696</stp>
        <tr r="E929" s="2"/>
      </tp>
      <tp t="s">
        <v>#N/A N/A</v>
        <stp/>
        <stp>BDP|8689523719371248634</stp>
        <tr r="Q324" s="2"/>
      </tp>
      <tp t="s">
        <v>#N/A N/A</v>
        <stp/>
        <stp>BDS|7892372607368770734</stp>
        <tr r="I2077" s="2"/>
      </tp>
      <tp t="s">
        <v>#N/A N/A</v>
        <stp/>
        <stp>BDP|5356951918834769251</stp>
        <tr r="C872" s="2"/>
      </tp>
      <tp t="s">
        <v>#N/A N/A</v>
        <stp/>
        <stp>BDP|9554021398583528868</stp>
        <tr r="M2057" s="2"/>
      </tp>
      <tp t="s">
        <v>#N/A N/A</v>
        <stp/>
        <stp>BDP|3612009249455714946</stp>
        <tr r="Q1119" s="2"/>
      </tp>
      <tp t="s">
        <v>#N/A N/A</v>
        <stp/>
        <stp>BDP|3812822411418645918</stp>
        <tr r="N1969" s="2"/>
      </tp>
      <tp t="s">
        <v>#N/A N/A</v>
        <stp/>
        <stp>BDS|1196238588045192571</stp>
        <tr r="I1447" s="2"/>
      </tp>
      <tp t="s">
        <v>#N/A N/A</v>
        <stp/>
        <stp>BDP|2274987392268097141</stp>
        <tr r="K1657" s="2"/>
      </tp>
      <tp t="s">
        <v>#N/A N/A</v>
        <stp/>
        <stp>BDP|4616388256469024045</stp>
        <tr r="D519" s="2"/>
      </tp>
      <tp t="s">
        <v>#N/A N/A</v>
        <stp/>
        <stp>BDP|5694031460339042195</stp>
        <tr r="Q577" s="2"/>
      </tp>
      <tp t="s">
        <v>#N/A N/A</v>
        <stp/>
        <stp>BDP|9962832555736309909</stp>
        <tr r="T72" s="2"/>
      </tp>
      <tp t="s">
        <v>#N/A N/A</v>
        <stp/>
        <stp>BDP|8550689997849185576</stp>
        <tr r="N120" s="2"/>
      </tp>
      <tp t="s">
        <v>#N/A N/A</v>
        <stp/>
        <stp>BDP|6243182403478499411</stp>
        <tr r="R1665" s="2"/>
      </tp>
      <tp t="s">
        <v>#N/A N/A</v>
        <stp/>
        <stp>BDS|3255126539982701824</stp>
        <tr r="I1961" s="2"/>
      </tp>
      <tp t="s">
        <v>#N/A N/A</v>
        <stp/>
        <stp>BDP|8792390835785316643</stp>
        <tr r="J1546" s="2"/>
      </tp>
      <tp t="s">
        <v>#N/A N/A</v>
        <stp/>
        <stp>BDP|8829160234880225144</stp>
        <tr r="T1301" s="2"/>
      </tp>
      <tp t="s">
        <v>#N/A N/A</v>
        <stp/>
        <stp>BDP|2801734256108790360</stp>
        <tr r="G210" s="2"/>
      </tp>
      <tp t="s">
        <v>#N/A N/A</v>
        <stp/>
        <stp>BDP|5793370944840840909</stp>
        <tr r="E454" s="2"/>
      </tp>
      <tp t="s">
        <v>#N/A N/A</v>
        <stp/>
        <stp>BDP|6472221639334298810</stp>
        <tr r="H1073" s="2"/>
      </tp>
      <tp t="s">
        <v>#N/A N/A</v>
        <stp/>
        <stp>BDP|2861653344859772225</stp>
        <tr r="R1610" s="2"/>
      </tp>
      <tp t="s">
        <v>#N/A N/A</v>
        <stp/>
        <stp>BDP|3508892865823635536</stp>
        <tr r="H42" s="2"/>
      </tp>
      <tp t="s">
        <v>#N/A N/A</v>
        <stp/>
        <stp>BDP|5935054807429698715</stp>
        <tr r="K607" s="2"/>
      </tp>
      <tp t="s">
        <v>#N/A N/A</v>
        <stp/>
        <stp>BDS|8627641287934861911</stp>
        <tr r="I1861" s="2"/>
      </tp>
      <tp t="s">
        <v>#N/A N/A</v>
        <stp/>
        <stp>BDP|8654603439957769147</stp>
        <tr r="F2207" s="2"/>
      </tp>
      <tp t="s">
        <v>#N/A N/A</v>
        <stp/>
        <stp>BDP|4998967454141207251</stp>
        <tr r="C2244" s="2"/>
      </tp>
      <tp t="s">
        <v>#N/A N/A</v>
        <stp/>
        <stp>BDP|9149547608705390223</stp>
        <tr r="N1845" s="2"/>
      </tp>
      <tp t="s">
        <v>#N/A N/A</v>
        <stp/>
        <stp>BDP|2990909861476595013</stp>
        <tr r="K1542" s="2"/>
      </tp>
      <tp t="s">
        <v>#N/A N/A</v>
        <stp/>
        <stp>BDP|5468988233833413779</stp>
        <tr r="Q1024" s="2"/>
      </tp>
      <tp t="s">
        <v>#N/A N/A</v>
        <stp/>
        <stp>BDP|2123317086257843522</stp>
        <tr r="E360" s="2"/>
      </tp>
      <tp t="s">
        <v>#N/A N/A</v>
        <stp/>
        <stp>BDP|6432604023629316081</stp>
        <tr r="K2037" s="2"/>
      </tp>
      <tp t="s">
        <v>#N/A N/A</v>
        <stp/>
        <stp>BDP|9222363650680844402</stp>
        <tr r="N2087" s="2"/>
      </tp>
      <tp t="s">
        <v>#N/A N/A</v>
        <stp/>
        <stp>BDP|1663085601462175820</stp>
        <tr r="K2029" s="2"/>
      </tp>
      <tp t="s">
        <v>#N/A N/A</v>
        <stp/>
        <stp>BDP|3625800232167177494</stp>
        <tr r="J2153" s="2"/>
      </tp>
      <tp t="s">
        <v>#N/A N/A</v>
        <stp/>
        <stp>BDS|7462746189507372461</stp>
        <tr r="I4" s="2"/>
      </tp>
      <tp t="s">
        <v>#N/A N/A</v>
        <stp/>
        <stp>BDP|6117882876797679553</stp>
        <tr r="F190" s="2"/>
      </tp>
      <tp t="s">
        <v>#N/A N/A</v>
        <stp/>
        <stp>BDP|5460681350535319833</stp>
        <tr r="P908" s="2"/>
      </tp>
      <tp t="s">
        <v>#N/A N/A</v>
        <stp/>
        <stp>BDP|5945351106738029563</stp>
        <tr r="N2157" s="2"/>
      </tp>
      <tp t="s">
        <v>#N/A N/A</v>
        <stp/>
        <stp>BDP|5294767915618484093</stp>
        <tr r="R1550" s="2"/>
      </tp>
      <tp t="s">
        <v>#N/A N/A</v>
        <stp/>
        <stp>BDP|2276135196151279097</stp>
        <tr r="H2187" s="2"/>
      </tp>
      <tp t="s">
        <v>#N/A N/A</v>
        <stp/>
        <stp>BDP|2933628883134013348</stp>
        <tr r="T156" s="2"/>
      </tp>
      <tp t="s">
        <v>#N/A N/A</v>
        <stp/>
        <stp>BDP|4085389486263155734</stp>
        <tr r="N1545" s="2"/>
      </tp>
      <tp t="s">
        <v>#N/A N/A</v>
        <stp/>
        <stp>BDP|4771785480174370406</stp>
        <tr r="Q70" s="2"/>
      </tp>
      <tp t="s">
        <v>#N/A N/A</v>
        <stp/>
        <stp>BDP|9919313000223537211</stp>
        <tr r="O1993" s="2"/>
      </tp>
      <tp t="s">
        <v>#N/A N/A</v>
        <stp/>
        <stp>BDP|3442138386782802359</stp>
        <tr r="F536" s="2"/>
      </tp>
      <tp t="s">
        <v>#N/A N/A</v>
        <stp/>
        <stp>BDP|4290332425388959618</stp>
        <tr r="G301" s="2"/>
      </tp>
      <tp t="s">
        <v>#N/A N/A</v>
        <stp/>
        <stp>BDP|4615480552318630664</stp>
        <tr r="N699" s="2"/>
      </tp>
      <tp t="s">
        <v>#N/A N/A</v>
        <stp/>
        <stp>BDP|8420579359386583535</stp>
        <tr r="A720" s="2"/>
      </tp>
      <tp t="s">
        <v>#N/A N/A</v>
        <stp/>
        <stp>BDP|3206320399727463515</stp>
        <tr r="H1262" s="2"/>
      </tp>
      <tp t="s">
        <v>#N/A N/A</v>
        <stp/>
        <stp>BDP|2368067914471821953</stp>
        <tr r="F1728" s="2"/>
      </tp>
      <tp t="s">
        <v>#N/A N/A</v>
        <stp/>
        <stp>BDP|1641503620328399599</stp>
        <tr r="S498" s="2"/>
      </tp>
      <tp t="s">
        <v>#N/A N/A</v>
        <stp/>
        <stp>BDP|8583821998213595166</stp>
        <tr r="P1807" s="2"/>
      </tp>
      <tp t="s">
        <v>#N/A N/A</v>
        <stp/>
        <stp>BDP|1179352584162582398</stp>
        <tr r="C610" s="2"/>
      </tp>
      <tp t="s">
        <v>#N/A N/A</v>
        <stp/>
        <stp>BDP|4846955902470292618</stp>
        <tr r="N524" s="2"/>
      </tp>
      <tp t="s">
        <v>#N/A N/A</v>
        <stp/>
        <stp>BDP|2821764383474562243</stp>
        <tr r="M333" s="2"/>
      </tp>
      <tp t="s">
        <v>#N/A N/A</v>
        <stp/>
        <stp>BDP|6787620584657987441</stp>
        <tr r="J1088" s="2"/>
      </tp>
      <tp t="s">
        <v>#N/A N/A</v>
        <stp/>
        <stp>BDP|7565184983564187138</stp>
        <tr r="E1916" s="2"/>
      </tp>
      <tp t="s">
        <v>#N/A N/A</v>
        <stp/>
        <stp>BDP|8824651972574353604</stp>
        <tr r="S1691" s="2"/>
      </tp>
      <tp t="s">
        <v>#N/A N/A</v>
        <stp/>
        <stp>BDP|3987939660692692509</stp>
        <tr r="C1578" s="2"/>
      </tp>
      <tp t="s">
        <v>#N/A N/A</v>
        <stp/>
        <stp>BDP|1364442001397262987</stp>
        <tr r="M1469" s="2"/>
      </tp>
      <tp t="s">
        <v>#N/A N/A</v>
        <stp/>
        <stp>BDP|4199825925892261784</stp>
        <tr r="O1202" s="2"/>
      </tp>
      <tp t="s">
        <v>#N/A N/A</v>
        <stp/>
        <stp>BDP|5917909375742018208</stp>
        <tr r="Q878" s="2"/>
      </tp>
      <tp t="s">
        <v>#N/A N/A</v>
        <stp/>
        <stp>BDP|7977907113676099269</stp>
        <tr r="D1787" s="2"/>
      </tp>
      <tp t="s">
        <v>#N/A N/A</v>
        <stp/>
        <stp>BDP|6448795228669955104</stp>
        <tr r="E827" s="2"/>
      </tp>
      <tp t="s">
        <v>#N/A N/A</v>
        <stp/>
        <stp>BDP|2638597862722028817</stp>
        <tr r="C2186" s="2"/>
      </tp>
      <tp t="s">
        <v>#N/A N/A</v>
        <stp/>
        <stp>BDP|8584311355131900451</stp>
        <tr r="S489" s="2"/>
      </tp>
      <tp t="s">
        <v>#N/A N/A</v>
        <stp/>
        <stp>BDP|9745344728421655208</stp>
        <tr r="C386" s="2"/>
      </tp>
      <tp t="s">
        <v>#N/A N/A</v>
        <stp/>
        <stp>BDP|9906265044321596536</stp>
        <tr r="T705" s="2"/>
      </tp>
      <tp t="s">
        <v>#N/A N/A</v>
        <stp/>
        <stp>BDP|8781940918529141270</stp>
        <tr r="O635" s="2"/>
      </tp>
      <tp t="s">
        <v>#N/A N/A</v>
        <stp/>
        <stp>BDP|6536256207807306895</stp>
        <tr r="R980" s="2"/>
      </tp>
      <tp t="s">
        <v>#N/A N/A</v>
        <stp/>
        <stp>BDP|8042479335172624695</stp>
        <tr r="Q439" s="2"/>
      </tp>
      <tp t="s">
        <v>#N/A N/A</v>
        <stp/>
        <stp>BDP|9366280497118998185</stp>
        <tr r="D706" s="2"/>
      </tp>
      <tp t="s">
        <v>#N/A N/A</v>
        <stp/>
        <stp>BDP|8438969919363173874</stp>
        <tr r="H878" s="2"/>
      </tp>
      <tp t="s">
        <v>#N/A N/A</v>
        <stp/>
        <stp>BDS|4693861721601461481</stp>
        <tr r="I2130" s="2"/>
      </tp>
      <tp t="s">
        <v>#N/A N/A</v>
        <stp/>
        <stp>BDP|6324699397010641265</stp>
        <tr r="T1802" s="2"/>
      </tp>
      <tp t="s">
        <v>#N/A N/A</v>
        <stp/>
        <stp>BDP|7779625631600877919</stp>
        <tr r="T1701" s="2"/>
      </tp>
      <tp t="s">
        <v>#N/A N/A</v>
        <stp/>
        <stp>BDP|6611665296471344389</stp>
        <tr r="H982" s="2"/>
      </tp>
      <tp t="s">
        <v>#N/A N/A</v>
        <stp/>
        <stp>BDP|7602159619645042976</stp>
        <tr r="O323" s="2"/>
      </tp>
      <tp t="s">
        <v>#N/A N/A</v>
        <stp/>
        <stp>BDP|3437737515937622992</stp>
        <tr r="P1904" s="2"/>
      </tp>
      <tp t="s">
        <v>#N/A N/A</v>
        <stp/>
        <stp>BDP|7049335635878265492</stp>
        <tr r="A1452" s="2"/>
      </tp>
      <tp t="s">
        <v>#N/A N/A</v>
        <stp/>
        <stp>BDP|8664255749317499234</stp>
        <tr r="D1649" s="2"/>
      </tp>
      <tp t="s">
        <v>#N/A N/A</v>
        <stp/>
        <stp>BDP|1876393631843556985</stp>
        <tr r="R119" s="2"/>
      </tp>
      <tp t="s">
        <v>#N/A N/A</v>
        <stp/>
        <stp>BDP|6977878242336175707</stp>
        <tr r="Q902" s="2"/>
      </tp>
      <tp t="s">
        <v>#N/A N/A</v>
        <stp/>
        <stp>BDP|8295358348167053329</stp>
        <tr r="P1529" s="2"/>
      </tp>
      <tp t="s">
        <v>#N/A N/A</v>
        <stp/>
        <stp>BDP|3289645261218965035</stp>
        <tr r="K295" s="2"/>
      </tp>
      <tp t="s">
        <v>#N/A N/A</v>
        <stp/>
        <stp>BDP|6874467640958670551</stp>
        <tr r="H2000" s="2"/>
      </tp>
      <tp t="s">
        <v>#N/A N/A</v>
        <stp/>
        <stp>BDP|2606058675968385686</stp>
        <tr r="E475" s="2"/>
      </tp>
      <tp t="s">
        <v>#N/A N/A</v>
        <stp/>
        <stp>BDP|3622600143953145990</stp>
        <tr r="E1575" s="2"/>
      </tp>
      <tp t="s">
        <v>#N/A N/A</v>
        <stp/>
        <stp>BDP|7977812359639994854</stp>
        <tr r="A453" s="2"/>
      </tp>
      <tp t="s">
        <v>#N/A N/A</v>
        <stp/>
        <stp>BDP|9168077729040467069</stp>
        <tr r="P882" s="2"/>
      </tp>
      <tp t="s">
        <v>#N/A N/A</v>
        <stp/>
        <stp>BDP|5488470290343623087</stp>
        <tr r="T1955" s="2"/>
      </tp>
      <tp t="s">
        <v>#N/A N/A</v>
        <stp/>
        <stp>BDP|6349859609505522074</stp>
        <tr r="R2156" s="2"/>
      </tp>
      <tp t="s">
        <v>#N/A N/A</v>
        <stp/>
        <stp>BDP|8302684046636317732</stp>
        <tr r="R1407" s="2"/>
      </tp>
      <tp t="s">
        <v>#N/A N/A</v>
        <stp/>
        <stp>BDP|7458594391891787161</stp>
        <tr r="C1422" s="2"/>
      </tp>
      <tp t="s">
        <v>#N/A N/A</v>
        <stp/>
        <stp>BDP|2513880146706362350</stp>
        <tr r="O1005" s="2"/>
      </tp>
      <tp t="s">
        <v>#N/A N/A</v>
        <stp/>
        <stp>BDP|3223446155550737992</stp>
        <tr r="D921" s="2"/>
      </tp>
      <tp t="s">
        <v>#N/A N/A</v>
        <stp/>
        <stp>BDP|9099005207902269083</stp>
        <tr r="N76" s="2"/>
      </tp>
      <tp t="s">
        <v>#N/A N/A</v>
        <stp/>
        <stp>BDP|9940427121441446533</stp>
        <tr r="A1831" s="2"/>
      </tp>
      <tp t="s">
        <v>#N/A N/A</v>
        <stp/>
        <stp>BDS|5013293881265770124</stp>
        <tr r="I2209" s="2"/>
      </tp>
      <tp t="s">
        <v>#N/A N/A</v>
        <stp/>
        <stp>BDP|6578758595836920515</stp>
        <tr r="T756" s="2"/>
      </tp>
      <tp t="s">
        <v>#N/A N/A</v>
        <stp/>
        <stp>BDP|8720828698921912391</stp>
        <tr r="S157" s="2"/>
      </tp>
      <tp t="s">
        <v>#N/A N/A</v>
        <stp/>
        <stp>BDP|9113421424116951237</stp>
        <tr r="R1247" s="2"/>
      </tp>
      <tp t="s">
        <v>#N/A N/A</v>
        <stp/>
        <stp>BDP|6524181710078184518</stp>
        <tr r="Q2073" s="2"/>
      </tp>
      <tp t="s">
        <v>#N/A N/A</v>
        <stp/>
        <stp>BDP|5269337403189924461</stp>
        <tr r="D1726" s="2"/>
      </tp>
      <tp t="s">
        <v>#N/A N/A</v>
        <stp/>
        <stp>BDP|6526955562105821777</stp>
        <tr r="A504" s="2"/>
      </tp>
      <tp t="s">
        <v>#N/A N/A</v>
        <stp/>
        <stp>BDP|7885127980054187164</stp>
        <tr r="G513" s="2"/>
      </tp>
      <tp t="s">
        <v>#N/A N/A</v>
        <stp/>
        <stp>BDP|8753605218330318411</stp>
        <tr r="G605" s="2"/>
      </tp>
      <tp t="s">
        <v>#N/A N/A</v>
        <stp/>
        <stp>BDP|9067662904266769282</stp>
        <tr r="N214" s="2"/>
      </tp>
      <tp t="s">
        <v>#N/A N/A</v>
        <stp/>
        <stp>BDP|8102673916230555486</stp>
        <tr r="J1004" s="2"/>
      </tp>
      <tp t="s">
        <v>#N/A N/A</v>
        <stp/>
        <stp>BDS|9872205851526210367</stp>
        <tr r="I1575" s="2"/>
      </tp>
      <tp t="s">
        <v>#N/A N/A</v>
        <stp/>
        <stp>BDP|7849567167658146753</stp>
        <tr r="N810" s="2"/>
      </tp>
      <tp t="s">
        <v>#N/A N/A</v>
        <stp/>
        <stp>BDP|8139746867312825071</stp>
        <tr r="T2229" s="2"/>
      </tp>
      <tp t="s">
        <v>#N/A N/A</v>
        <stp/>
        <stp>BDP|8576149214861815202</stp>
        <tr r="D1888" s="2"/>
      </tp>
      <tp t="s">
        <v>#N/A N/A</v>
        <stp/>
        <stp>BDP|1381992968716698391</stp>
        <tr r="S2022" s="2"/>
      </tp>
      <tp t="s">
        <v>#N/A N/A</v>
        <stp/>
        <stp>BDP|6358660389952505149</stp>
        <tr r="Q791" s="2"/>
      </tp>
      <tp t="s">
        <v>#N/A N/A</v>
        <stp/>
        <stp>BDP|6540983588794162892</stp>
        <tr r="R1561" s="2"/>
      </tp>
      <tp t="s">
        <v>#N/A N/A</v>
        <stp/>
        <stp>BDP|4883650616271142979</stp>
        <tr r="M1101" s="2"/>
      </tp>
      <tp t="s">
        <v>#N/A N/A</v>
        <stp/>
        <stp>BDP|1887942964032792724</stp>
        <tr r="R76" s="2"/>
      </tp>
      <tp t="s">
        <v>#N/A N/A</v>
        <stp/>
        <stp>BDP|8871939662428680424</stp>
        <tr r="H877" s="2"/>
      </tp>
      <tp t="s">
        <v>#N/A N/A</v>
        <stp/>
        <stp>BDP|4302480156808883686</stp>
        <tr r="D1950" s="2"/>
      </tp>
      <tp t="s">
        <v>#N/A N/A</v>
        <stp/>
        <stp>BDP|2519255490377937542</stp>
        <tr r="H28" s="2"/>
      </tp>
      <tp t="s">
        <v>#N/A N/A</v>
        <stp/>
        <stp>BDP|3694179025199070290</stp>
        <tr r="K903" s="2"/>
      </tp>
      <tp t="s">
        <v>#N/A N/A</v>
        <stp/>
        <stp>BDS|4145583086782120037</stp>
        <tr r="I704" s="2"/>
      </tp>
      <tp t="s">
        <v>#N/A N/A</v>
        <stp/>
        <stp>BDP|4204865236850213425</stp>
        <tr r="P696" s="2"/>
      </tp>
      <tp t="s">
        <v>#N/A N/A</v>
        <stp/>
        <stp>BDP|3452608535129017434</stp>
        <tr r="A1606" s="2"/>
      </tp>
      <tp t="s">
        <v>#N/A N/A</v>
        <stp/>
        <stp>BDP|8156296636005893743</stp>
        <tr r="A1929" s="2"/>
      </tp>
      <tp t="s">
        <v>#N/A N/A</v>
        <stp/>
        <stp>BDP|5908168263769923074</stp>
        <tr r="R744" s="2"/>
      </tp>
      <tp t="s">
        <v>#N/A N/A</v>
        <stp/>
        <stp>BDP|9910638510762851703</stp>
        <tr r="T1278" s="2"/>
      </tp>
      <tp t="s">
        <v>#N/A N/A</v>
        <stp/>
        <stp>BDP|5090557596377401555</stp>
        <tr r="E1244" s="2"/>
      </tp>
      <tp t="s">
        <v>#N/A N/A</v>
        <stp/>
        <stp>BDP|6398936975650717300</stp>
        <tr r="K449" s="2"/>
      </tp>
      <tp t="s">
        <v>#N/A N/A</v>
        <stp/>
        <stp>BDP|1999894614437400421</stp>
        <tr r="F1481" s="2"/>
      </tp>
      <tp t="s">
        <v>#N/A N/A</v>
        <stp/>
        <stp>BDP|8948919857097945841</stp>
        <tr r="A1898" s="2"/>
      </tp>
      <tp t="s">
        <v>#N/A N/A</v>
        <stp/>
        <stp>BDP|8788322389220867866</stp>
        <tr r="T269" s="2"/>
      </tp>
      <tp t="s">
        <v>#N/A N/A</v>
        <stp/>
        <stp>BDP|7218219401398392639</stp>
        <tr r="M630" s="2"/>
      </tp>
      <tp t="s">
        <v>#N/A N/A</v>
        <stp/>
        <stp>BDP|2007275735731703979</stp>
        <tr r="G1840" s="2"/>
      </tp>
      <tp t="s">
        <v>#N/A N/A</v>
        <stp/>
        <stp>BDP|6386068493816061245</stp>
        <tr r="R917" s="2"/>
      </tp>
      <tp t="s">
        <v>#N/A N/A</v>
        <stp/>
        <stp>BDP|4493357072059515244</stp>
        <tr r="H2132" s="2"/>
      </tp>
      <tp t="s">
        <v>#N/A N/A</v>
        <stp/>
        <stp>BDP|9836148491363701982</stp>
        <tr r="D1458" s="2"/>
      </tp>
      <tp t="s">
        <v>#N/A N/A</v>
        <stp/>
        <stp>BDP|6368752980433180152</stp>
        <tr r="D1355" s="2"/>
      </tp>
      <tp t="s">
        <v>#N/A N/A</v>
        <stp/>
        <stp>BDP|8788406224610039511</stp>
        <tr r="F1444" s="2"/>
      </tp>
      <tp t="s">
        <v>#N/A N/A</v>
        <stp/>
        <stp>BDP|7328921893615482947</stp>
        <tr r="H1082" s="2"/>
      </tp>
      <tp t="s">
        <v>#N/A N/A</v>
        <stp/>
        <stp>BDP|6739986626811902727</stp>
        <tr r="Q107" s="2"/>
      </tp>
      <tp t="s">
        <v>#N/A N/A</v>
        <stp/>
        <stp>BDP|4019986509374566268</stp>
        <tr r="E1415" s="2"/>
      </tp>
      <tp t="s">
        <v>#N/A N/A</v>
        <stp/>
        <stp>BDP|4775102702459229759</stp>
        <tr r="F1118" s="2"/>
      </tp>
      <tp t="s">
        <v>#N/A N/A</v>
        <stp/>
        <stp>BDP|4841072307528308799</stp>
        <tr r="J1200" s="2"/>
      </tp>
      <tp t="s">
        <v>#N/A N/A</v>
        <stp/>
        <stp>BDP|8343905835251517818</stp>
        <tr r="C2133" s="2"/>
      </tp>
      <tp t="s">
        <v>#N/A N/A</v>
        <stp/>
        <stp>BDP|9481517365446502776</stp>
        <tr r="O1541" s="2"/>
      </tp>
      <tp t="s">
        <v>#N/A N/A</v>
        <stp/>
        <stp>BDP|3082143416710826883</stp>
        <tr r="J263" s="2"/>
      </tp>
      <tp t="s">
        <v>#N/A N/A</v>
        <stp/>
        <stp>BDP|4312472127789389021</stp>
        <tr r="T1574" s="2"/>
      </tp>
      <tp t="s">
        <v>#N/A N/A</v>
        <stp/>
        <stp>BDP|9257217518636899710</stp>
        <tr r="K2078" s="2"/>
      </tp>
      <tp t="s">
        <v>#N/A N/A</v>
        <stp/>
        <stp>BDP|1447086328190079868</stp>
        <tr r="J976" s="2"/>
      </tp>
      <tp t="s">
        <v>#N/A N/A</v>
        <stp/>
        <stp>BDP|6582184618345677814</stp>
        <tr r="H1139" s="2"/>
      </tp>
      <tp t="s">
        <v>#N/A N/A</v>
        <stp/>
        <stp>BDS|3425118904511562866</stp>
        <tr r="I2063" s="2"/>
      </tp>
      <tp t="s">
        <v>#N/A N/A</v>
        <stp/>
        <stp>BDP|7731415404968158016</stp>
        <tr r="T509" s="2"/>
      </tp>
      <tp t="s">
        <v>#N/A N/A</v>
        <stp/>
        <stp>BDP|7467828582035695908</stp>
        <tr r="J215" s="2"/>
      </tp>
      <tp t="s">
        <v>#N/A N/A</v>
        <stp/>
        <stp>BDP|6722603394956346423</stp>
        <tr r="R245" s="2"/>
      </tp>
      <tp t="s">
        <v>#N/A N/A</v>
        <stp/>
        <stp>BDP|8818078273826960278</stp>
        <tr r="T1655" s="2"/>
      </tp>
      <tp t="s">
        <v>#N/A N/A</v>
        <stp/>
        <stp>BDP|7434350896224399266</stp>
        <tr r="O1448" s="2"/>
      </tp>
      <tp t="s">
        <v>#N/A N/A</v>
        <stp/>
        <stp>BDP|9796610021624773226</stp>
        <tr r="M454" s="2"/>
      </tp>
      <tp t="s">
        <v>#N/A N/A</v>
        <stp/>
        <stp>BDP|4676930542152086050</stp>
        <tr r="R711" s="2"/>
      </tp>
      <tp t="s">
        <v>#N/A N/A</v>
        <stp/>
        <stp>BDP|4711345082476200211</stp>
        <tr r="Q2082" s="2"/>
      </tp>
      <tp t="s">
        <v>#N/A N/A</v>
        <stp/>
        <stp>BDP|5956281392200408557</stp>
        <tr r="R251" s="2"/>
      </tp>
      <tp t="s">
        <v>#N/A N/A</v>
        <stp/>
        <stp>BDP|4352703484700263077</stp>
        <tr r="A1612" s="2"/>
      </tp>
      <tp t="s">
        <v>#N/A N/A</v>
        <stp/>
        <stp>BDP|9019701302205143016</stp>
        <tr r="N408" s="2"/>
      </tp>
      <tp t="s">
        <v>#N/A N/A</v>
        <stp/>
        <stp>BDP|1071206243435854993</stp>
        <tr r="S684" s="2"/>
      </tp>
      <tp t="s">
        <v>#N/A N/A</v>
        <stp/>
        <stp>BDP|8777247046015320041</stp>
        <tr r="H557" s="2"/>
      </tp>
      <tp t="s">
        <v>#N/A N/A</v>
        <stp/>
        <stp>BDP|4768874080417401865</stp>
        <tr r="T362" s="2"/>
      </tp>
      <tp t="s">
        <v>#N/A N/A</v>
        <stp/>
        <stp>BDP|3362458190131354478</stp>
        <tr r="A480" s="2"/>
      </tp>
      <tp t="s">
        <v>#N/A N/A</v>
        <stp/>
        <stp>BDP|4424579048048184681</stp>
        <tr r="M1748" s="2"/>
      </tp>
      <tp t="s">
        <v>#N/A N/A</v>
        <stp/>
        <stp>BDP|8718554629495821111</stp>
        <tr r="H569" s="2"/>
      </tp>
      <tp t="s">
        <v>#N/A N/A</v>
        <stp/>
        <stp>BDP|1703588972981855976</stp>
        <tr r="E1888" s="2"/>
      </tp>
      <tp t="s">
        <v>#N/A N/A</v>
        <stp/>
        <stp>BDS|1804602022298080689</stp>
        <tr r="I1256" s="2"/>
      </tp>
      <tp t="s">
        <v>#N/A N/A</v>
        <stp/>
        <stp>BDP|1809470052619607294</stp>
        <tr r="D715" s="2"/>
      </tp>
      <tp t="s">
        <v>#N/A N/A</v>
        <stp/>
        <stp>BDS|2507695328484184978</stp>
        <tr r="I938" s="2"/>
      </tp>
      <tp t="s">
        <v>#N/A N/A</v>
        <stp/>
        <stp>BDP|7058709769765800839</stp>
        <tr r="M1228" s="2"/>
      </tp>
      <tp t="s">
        <v>#N/A N/A</v>
        <stp/>
        <stp>BDP|4668971674963793205</stp>
        <tr r="J1518" s="2"/>
      </tp>
      <tp t="s">
        <v>#N/A N/A</v>
        <stp/>
        <stp>BDP|7656968241031390001</stp>
        <tr r="G1942" s="2"/>
      </tp>
      <tp t="s">
        <v>#N/A N/A</v>
        <stp/>
        <stp>BDP|5434454893192435140</stp>
        <tr r="P274" s="2"/>
      </tp>
      <tp t="s">
        <v>#N/A N/A</v>
        <stp/>
        <stp>BDP|8363010543465413276</stp>
        <tr r="A856" s="2"/>
      </tp>
      <tp t="s">
        <v>#N/A N/A</v>
        <stp/>
        <stp>BDP|7509150042958158118</stp>
        <tr r="S1280" s="2"/>
      </tp>
      <tp t="s">
        <v>#N/A N/A</v>
        <stp/>
        <stp>BDP|2550376010243654860</stp>
        <tr r="D542" s="2"/>
      </tp>
      <tp t="s">
        <v>#N/A N/A</v>
        <stp/>
        <stp>BDP|2427939025860553252</stp>
        <tr r="K1461" s="2"/>
      </tp>
      <tp t="s">
        <v>#N/A N/A</v>
        <stp/>
        <stp>BDP|1940890342671317734</stp>
        <tr r="M1744" s="2"/>
      </tp>
      <tp t="s">
        <v>#N/A N/A</v>
        <stp/>
        <stp>BDP|9369658721876435012</stp>
        <tr r="Q2197" s="2"/>
      </tp>
      <tp t="s">
        <v>#N/A N/A</v>
        <stp/>
        <stp>BDP|8739583085207074982</stp>
        <tr r="Q968" s="2"/>
      </tp>
      <tp t="s">
        <v>#N/A N/A</v>
        <stp/>
        <stp>BDP|1778842414945086653</stp>
        <tr r="G2037" s="2"/>
      </tp>
      <tp t="s">
        <v>#N/A N/A</v>
        <stp/>
        <stp>BDS|4976747998389768801</stp>
        <tr r="I1578" s="2"/>
      </tp>
      <tp t="s">
        <v>#N/A N/A</v>
        <stp/>
        <stp>BDP|8329082261390036586</stp>
        <tr r="M1670" s="2"/>
      </tp>
      <tp t="s">
        <v>#N/A N/A</v>
        <stp/>
        <stp>BDP|9157065444437775165</stp>
        <tr r="O1953" s="2"/>
      </tp>
      <tp t="s">
        <v>#N/A N/A</v>
        <stp/>
        <stp>BDP|7625473070436220911</stp>
        <tr r="G616" s="2"/>
      </tp>
      <tp t="s">
        <v>#N/A N/A</v>
        <stp/>
        <stp>BDP|7587922559418882840</stp>
        <tr r="R961" s="2"/>
      </tp>
      <tp t="s">
        <v>#N/A N/A</v>
        <stp/>
        <stp>BDP|1324364082417059651</stp>
        <tr r="M1647" s="2"/>
      </tp>
      <tp t="s">
        <v>#N/A N/A</v>
        <stp/>
        <stp>BDP|1489129373465020971</stp>
        <tr r="P1925" s="2"/>
      </tp>
      <tp t="s">
        <v>#N/A N/A</v>
        <stp/>
        <stp>BDP|1748602906078488478</stp>
        <tr r="N1055" s="2"/>
      </tp>
      <tp t="s">
        <v>#N/A N/A</v>
        <stp/>
        <stp>BDP|5233540411082126847</stp>
        <tr r="E2020" s="2"/>
      </tp>
      <tp t="s">
        <v>#N/A N/A</v>
        <stp/>
        <stp>BDP|4003195329609791543</stp>
        <tr r="R924" s="2"/>
      </tp>
      <tp t="s">
        <v>#N/A N/A</v>
        <stp/>
        <stp>BDS|8557903644669195733</stp>
        <tr r="I290" s="2"/>
      </tp>
      <tp t="s">
        <v>#N/A N/A</v>
        <stp/>
        <stp>BDP|8976350719968518936</stp>
        <tr r="C804" s="2"/>
      </tp>
      <tp t="s">
        <v>#N/A N/A</v>
        <stp/>
        <stp>BDP|2353240767485409879</stp>
        <tr r="D584" s="2"/>
      </tp>
      <tp t="s">
        <v>#N/A N/A</v>
        <stp/>
        <stp>BDP|4191395639499358615</stp>
        <tr r="D858" s="2"/>
      </tp>
      <tp t="s">
        <v>#N/A N/A</v>
        <stp/>
        <stp>BDS|3760043982487022728</stp>
        <tr r="I89" s="2"/>
      </tp>
      <tp t="s">
        <v>#N/A N/A</v>
        <stp/>
        <stp>BDP|1625566470949138126</stp>
        <tr r="R1075" s="2"/>
      </tp>
      <tp t="s">
        <v>#N/A N/A</v>
        <stp/>
        <stp>BDP|3233124812238192004</stp>
        <tr r="N746" s="2"/>
      </tp>
      <tp t="s">
        <v>#N/A N/A</v>
        <stp/>
        <stp>BDP|3626835016643489241</stp>
        <tr r="R842" s="2"/>
      </tp>
      <tp t="s">
        <v>#N/A N/A</v>
        <stp/>
        <stp>BDP|4653978414796365154</stp>
        <tr r="G1905" s="2"/>
      </tp>
      <tp t="s">
        <v>#N/A N/A</v>
        <stp/>
        <stp>BDP|6228325194556089171</stp>
        <tr r="E1468" s="2"/>
      </tp>
      <tp t="s">
        <v>#N/A N/A</v>
        <stp/>
        <stp>BDP|8364719880889954589</stp>
        <tr r="K69" s="2"/>
      </tp>
      <tp t="s">
        <v>#N/A N/A</v>
        <stp/>
        <stp>BDP|1886969234677082794</stp>
        <tr r="P1618" s="2"/>
      </tp>
      <tp t="s">
        <v>#N/A N/A</v>
        <stp/>
        <stp>BDP|1313767819789694592</stp>
        <tr r="Q1073" s="2"/>
      </tp>
      <tp t="s">
        <v>#N/A N/A</v>
        <stp/>
        <stp>BDP|2221825058583898731</stp>
        <tr r="C1488" s="2"/>
      </tp>
      <tp t="s">
        <v>#N/A N/A</v>
        <stp/>
        <stp>BDP|3036692553358018399</stp>
        <tr r="C2245" s="2"/>
      </tp>
      <tp t="s">
        <v>#N/A N/A</v>
        <stp/>
        <stp>BDP|5212201150891204832</stp>
        <tr r="F2110" s="2"/>
      </tp>
      <tp t="s">
        <v>#N/A N/A</v>
        <stp/>
        <stp>BDP|7945908071086389489</stp>
        <tr r="S2033" s="2"/>
      </tp>
      <tp t="s">
        <v>#N/A N/A</v>
        <stp/>
        <stp>BDS|1597947044052441524</stp>
        <tr r="I314" s="2"/>
      </tp>
      <tp t="s">
        <v>#N/A N/A</v>
        <stp/>
        <stp>BDP|4867684447889674420</stp>
        <tr r="C136" s="2"/>
      </tp>
      <tp t="s">
        <v>#N/A N/A</v>
        <stp/>
        <stp>BDP|6228185390967826211</stp>
        <tr r="P1388" s="2"/>
      </tp>
      <tp t="s">
        <v>#N/A N/A</v>
        <stp/>
        <stp>BDP|4486452386104542713</stp>
        <tr r="E228" s="2"/>
      </tp>
      <tp t="s">
        <v>#N/A N/A</v>
        <stp/>
        <stp>BDP|9816332632641994330</stp>
        <tr r="C1917" s="2"/>
      </tp>
      <tp t="s">
        <v>#N/A N/A</v>
        <stp/>
        <stp>BDP|4357633734913720901</stp>
        <tr r="N879" s="2"/>
      </tp>
      <tp t="s">
        <v>#N/A N/A</v>
        <stp/>
        <stp>BDP|5097236850180545956</stp>
        <tr r="D2230" s="2"/>
      </tp>
      <tp t="s">
        <v>#N/A N/A</v>
        <stp/>
        <stp>BDS|7515409684481729151</stp>
        <tr r="I2197" s="2"/>
      </tp>
      <tp t="s">
        <v>#N/A N/A</v>
        <stp/>
        <stp>BDP|2511368999747973405</stp>
        <tr r="K2199" s="2"/>
      </tp>
      <tp t="s">
        <v>#N/A N/A</v>
        <stp/>
        <stp>BDP|5325557291350296260</stp>
        <tr r="O1188" s="2"/>
      </tp>
      <tp t="s">
        <v>#N/A N/A</v>
        <stp/>
        <stp>BDP|1523120526831414864</stp>
        <tr r="O221" s="2"/>
      </tp>
      <tp t="s">
        <v>#N/A N/A</v>
        <stp/>
        <stp>BDP|5997860787027340982</stp>
        <tr r="R653" s="2"/>
      </tp>
      <tp t="s">
        <v>#N/A N/A</v>
        <stp/>
        <stp>BDP|2344998528797877593</stp>
        <tr r="A1635" s="2"/>
      </tp>
      <tp t="s">
        <v>#N/A N/A</v>
        <stp/>
        <stp>BDP|8361317844267385364</stp>
        <tr r="H548" s="2"/>
      </tp>
      <tp t="s">
        <v>#N/A N/A</v>
        <stp/>
        <stp>BDP|8388599210054985306</stp>
        <tr r="J939" s="2"/>
      </tp>
      <tp t="s">
        <v>#N/A N/A</v>
        <stp/>
        <stp>BDP|6790885615555828114</stp>
        <tr r="C340" s="2"/>
      </tp>
      <tp t="s">
        <v>#N/A N/A</v>
        <stp/>
        <stp>BDP|8573879095415276763</stp>
        <tr r="A1988" s="2"/>
      </tp>
      <tp t="s">
        <v>#N/A N/A</v>
        <stp/>
        <stp>BDP|5682578303122775968</stp>
        <tr r="D1878" s="2"/>
      </tp>
      <tp t="s">
        <v>#N/A N/A</v>
        <stp/>
        <stp>BDP|7983900031322240491</stp>
        <tr r="K1161" s="2"/>
      </tp>
      <tp t="s">
        <v>#N/A N/A</v>
        <stp/>
        <stp>BDP|2324859045016358330</stp>
        <tr r="F1018" s="2"/>
      </tp>
      <tp t="s">
        <v>#N/A N/A</v>
        <stp/>
        <stp>BDP|6676509791784577510</stp>
        <tr r="R136" s="2"/>
      </tp>
      <tp t="s">
        <v>#N/A N/A</v>
        <stp/>
        <stp>BDP|9667184450407816156</stp>
        <tr r="A308" s="2"/>
      </tp>
      <tp t="s">
        <v>#N/A N/A</v>
        <stp/>
        <stp>BDP|4282993369932643277</stp>
        <tr r="R2108" s="2"/>
      </tp>
      <tp t="s">
        <v>#N/A N/A</v>
        <stp/>
        <stp>BDP|9972286446752740633</stp>
        <tr r="S1105" s="2"/>
      </tp>
      <tp t="s">
        <v>#N/A N/A</v>
        <stp/>
        <stp>BDP|2353118990853653271</stp>
        <tr r="H533" s="2"/>
      </tp>
      <tp t="s">
        <v>#N/A N/A</v>
        <stp/>
        <stp>BDP|6558326665771075912</stp>
        <tr r="A256" s="2"/>
      </tp>
      <tp t="s">
        <v>#N/A N/A</v>
        <stp/>
        <stp>BDP|3769547746708431124</stp>
        <tr r="S2075" s="2"/>
      </tp>
      <tp t="s">
        <v>#N/A N/A</v>
        <stp/>
        <stp>BDP|6185801002891073407</stp>
        <tr r="D1452" s="2"/>
      </tp>
      <tp t="s">
        <v>#N/A N/A</v>
        <stp/>
        <stp>BDP|1808255521169802375</stp>
        <tr r="E1014" s="2"/>
      </tp>
      <tp t="s">
        <v>#N/A N/A</v>
        <stp/>
        <stp>BDP|1001447364280530867</stp>
        <tr r="R672" s="2"/>
      </tp>
      <tp t="s">
        <v>#N/A N/A</v>
        <stp/>
        <stp>BDP|1286937818363383195</stp>
        <tr r="M1314" s="2"/>
      </tp>
      <tp t="s">
        <v>#N/A N/A</v>
        <stp/>
        <stp>BDP|7272166491456173272</stp>
        <tr r="A1553" s="2"/>
      </tp>
      <tp t="s">
        <v>#N/A N/A</v>
        <stp/>
        <stp>BDP|2051271299476965446</stp>
        <tr r="S198" s="2"/>
      </tp>
      <tp t="s">
        <v>#N/A N/A</v>
        <stp/>
        <stp>BDP|8768800923548479134</stp>
        <tr r="Q428" s="2"/>
      </tp>
      <tp t="s">
        <v>#N/A N/A</v>
        <stp/>
        <stp>BDP|9418840182514537647</stp>
        <tr r="S276" s="2"/>
      </tp>
      <tp t="s">
        <v>#N/A N/A</v>
        <stp/>
        <stp>BDP|6728700481010674235</stp>
        <tr r="M1698" s="2"/>
      </tp>
      <tp t="s">
        <v>#N/A N/A</v>
        <stp/>
        <stp>BDP|8837732768511308334</stp>
        <tr r="D944" s="2"/>
      </tp>
      <tp t="s">
        <v>#N/A N/A</v>
        <stp/>
        <stp>BDP|3983427087447882370</stp>
        <tr r="N1514" s="2"/>
      </tp>
      <tp t="s">
        <v>#N/A N/A</v>
        <stp/>
        <stp>BDP|7191771293344101678</stp>
        <tr r="J1736" s="2"/>
      </tp>
      <tp t="s">
        <v>#N/A N/A</v>
        <stp/>
        <stp>BDP|1406954661291169423</stp>
        <tr r="H1889" s="2"/>
      </tp>
      <tp t="s">
        <v>#N/A N/A</v>
        <stp/>
        <stp>BDP|3321600387834481231</stp>
        <tr r="F1354" s="2"/>
      </tp>
      <tp t="s">
        <v>#N/A N/A</v>
        <stp/>
        <stp>BDP|4073716290105131430</stp>
        <tr r="Q378" s="2"/>
      </tp>
      <tp t="s">
        <v>#N/A N/A</v>
        <stp/>
        <stp>BDP|4068752096101149012</stp>
        <tr r="K1976" s="2"/>
      </tp>
      <tp t="s">
        <v>#N/A N/A</v>
        <stp/>
        <stp>BDP|5669864108831214798</stp>
        <tr r="R1668" s="2"/>
      </tp>
      <tp t="s">
        <v>#N/A N/A</v>
        <stp/>
        <stp>BDP|9026953021278039173</stp>
        <tr r="S920" s="2"/>
      </tp>
      <tp t="s">
        <v>#N/A N/A</v>
        <stp/>
        <stp>BDP|3509512551520207844</stp>
        <tr r="K2213" s="2"/>
      </tp>
      <tp t="s">
        <v>#N/A N/A</v>
        <stp/>
        <stp>BDP|6989810278564567668</stp>
        <tr r="F1616" s="2"/>
      </tp>
      <tp t="s">
        <v>#N/A N/A</v>
        <stp/>
        <stp>BDP|5854532000539850205</stp>
        <tr r="M1391" s="2"/>
      </tp>
      <tp t="s">
        <v>#N/A N/A</v>
        <stp/>
        <stp>BDP|6003406284701036070</stp>
        <tr r="D881" s="2"/>
      </tp>
      <tp t="s">
        <v>#N/A N/A</v>
        <stp/>
        <stp>BDP|2857765466671824936</stp>
        <tr r="E1171" s="2"/>
      </tp>
      <tp t="s">
        <v>#N/A N/A</v>
        <stp/>
        <stp>BDP|2832088589839998838</stp>
        <tr r="T420" s="2"/>
      </tp>
      <tp t="s">
        <v>#N/A N/A</v>
        <stp/>
        <stp>BDP|2319043620579057240</stp>
        <tr r="D114" s="2"/>
      </tp>
      <tp t="s">
        <v>#N/A N/A</v>
        <stp/>
        <stp>BDP|4848682392515572546</stp>
        <tr r="G1523" s="2"/>
      </tp>
      <tp t="s">
        <v>#N/A N/A</v>
        <stp/>
        <stp>BDP|7470577401058218133</stp>
        <tr r="D659" s="2"/>
      </tp>
      <tp t="s">
        <v>#N/A N/A</v>
        <stp/>
        <stp>BDP|6844812973146008492</stp>
        <tr r="H1700" s="2"/>
      </tp>
      <tp t="s">
        <v>#N/A N/A</v>
        <stp/>
        <stp>BDP|9108366840304531113</stp>
        <tr r="A850" s="2"/>
      </tp>
      <tp t="s">
        <v>#N/A N/A</v>
        <stp/>
        <stp>BDS|3797728070521577935</stp>
        <tr r="I1446" s="2"/>
      </tp>
      <tp t="s">
        <v>#N/A N/A</v>
        <stp/>
        <stp>BDP|6738040146268332157</stp>
        <tr r="N1022" s="2"/>
      </tp>
      <tp t="s">
        <v>#N/A N/A</v>
        <stp/>
        <stp>BDP|4907989610054550378</stp>
        <tr r="R230" s="2"/>
      </tp>
      <tp t="s">
        <v>#N/A N/A</v>
        <stp/>
        <stp>BDP|6925954618241196469</stp>
        <tr r="G1246" s="2"/>
      </tp>
      <tp t="s">
        <v>#N/A N/A</v>
        <stp/>
        <stp>BDS|2222137195131002073</stp>
        <tr r="I1557" s="2"/>
      </tp>
      <tp t="s">
        <v>#N/A N/A</v>
        <stp/>
        <stp>BDP|4269438191010287212</stp>
        <tr r="N807" s="2"/>
      </tp>
      <tp t="s">
        <v>#N/A N/A</v>
        <stp/>
        <stp>BDS|2329751078149864053</stp>
        <tr r="I573" s="2"/>
      </tp>
      <tp t="s">
        <v>#N/A N/A</v>
        <stp/>
        <stp>BDP|8023311803485218532</stp>
        <tr r="S705" s="2"/>
      </tp>
      <tp t="s">
        <v>#N/A N/A</v>
        <stp/>
        <stp>BDP|5652985038055263171</stp>
        <tr r="N1657" s="2"/>
      </tp>
      <tp t="s">
        <v>#N/A N/A</v>
        <stp/>
        <stp>BDP|2682452231019292734</stp>
        <tr r="G1241" s="2"/>
      </tp>
      <tp t="s">
        <v>#N/A N/A</v>
        <stp/>
        <stp>BDP|4942996270424558564</stp>
        <tr r="P498" s="2"/>
      </tp>
      <tp t="s">
        <v>#N/A N/A</v>
        <stp/>
        <stp>BDP|2472245587255055643</stp>
        <tr r="H1963" s="2"/>
      </tp>
      <tp t="s">
        <v>#N/A N/A</v>
        <stp/>
        <stp>BDP|1724249741508803498</stp>
        <tr r="F2089" s="2"/>
      </tp>
      <tp t="s">
        <v>#N/A N/A</v>
        <stp/>
        <stp>BDP|6583869644402308373</stp>
        <tr r="O1201" s="2"/>
      </tp>
      <tp t="s">
        <v>#N/A N/A</v>
        <stp/>
        <stp>BDP|3432421833276305956</stp>
        <tr r="G590" s="2"/>
      </tp>
      <tp t="s">
        <v>#N/A N/A</v>
        <stp/>
        <stp>BDP|8871255569327612029</stp>
        <tr r="Q1973" s="2"/>
      </tp>
      <tp t="s">
        <v>#N/A N/A</v>
        <stp/>
        <stp>BDP|9987406098429206633</stp>
        <tr r="A1122" s="2"/>
      </tp>
      <tp t="s">
        <v>#N/A N/A</v>
        <stp/>
        <stp>BDP|3795851994118521132</stp>
        <tr r="C818" s="2"/>
      </tp>
      <tp t="s">
        <v>#N/A N/A</v>
        <stp/>
        <stp>BDP|7951180494414789020</stp>
        <tr r="T633" s="2"/>
      </tp>
      <tp t="s">
        <v>#N/A N/A</v>
        <stp/>
        <stp>BDP|8026358404651602174</stp>
        <tr r="M1131" s="2"/>
      </tp>
      <tp t="s">
        <v>#N/A N/A</v>
        <stp/>
        <stp>BDP|3497981398038367076</stp>
        <tr r="J1985" s="2"/>
      </tp>
      <tp t="s">
        <v>#N/A N/A</v>
        <stp/>
        <stp>BDP|1436940240307317039</stp>
        <tr r="G339" s="2"/>
      </tp>
      <tp t="s">
        <v>#N/A N/A</v>
        <stp/>
        <stp>BDP|7802268202119812740</stp>
        <tr r="N1359" s="2"/>
      </tp>
      <tp t="s">
        <v>#N/A N/A</v>
        <stp/>
        <stp>BDP|8221724855978720925</stp>
        <tr r="H1943" s="2"/>
      </tp>
      <tp t="s">
        <v>#N/A N/A</v>
        <stp/>
        <stp>BDP|9069958164479410453</stp>
        <tr r="E1651" s="2"/>
      </tp>
      <tp t="s">
        <v>#N/A N/A</v>
        <stp/>
        <stp>BDS|6386945043623551316</stp>
        <tr r="I2068" s="2"/>
      </tp>
      <tp t="s">
        <v>#N/A N/A</v>
        <stp/>
        <stp>BDP|8999445349684495708</stp>
        <tr r="R96" s="2"/>
      </tp>
      <tp t="s">
        <v>#N/A N/A</v>
        <stp/>
        <stp>BDP|5198613663096097838</stp>
        <tr r="F2016" s="2"/>
      </tp>
      <tp t="s">
        <v>#N/A N/A</v>
        <stp/>
        <stp>BDP|6151868102677327262</stp>
        <tr r="N1147" s="2"/>
      </tp>
      <tp t="s">
        <v>#N/A N/A</v>
        <stp/>
        <stp>BDS|5081947266218150930</stp>
        <tr r="I917" s="2"/>
      </tp>
      <tp t="s">
        <v>#N/A N/A</v>
        <stp/>
        <stp>BDP|2390348871958310552</stp>
        <tr r="H967" s="2"/>
      </tp>
      <tp t="s">
        <v>#N/A N/A</v>
        <stp/>
        <stp>BDP|4464412117282090824</stp>
        <tr r="A718" s="2"/>
      </tp>
      <tp t="s">
        <v>#N/A N/A</v>
        <stp/>
        <stp>BDS|5864484988121127399</stp>
        <tr r="I1590" s="2"/>
      </tp>
      <tp t="s">
        <v>#N/A N/A</v>
        <stp/>
        <stp>BDP|8541928100928398247</stp>
        <tr r="A580" s="2"/>
      </tp>
      <tp t="s">
        <v>#N/A N/A</v>
        <stp/>
        <stp>BDP|9753089739960079169</stp>
        <tr r="P428" s="2"/>
      </tp>
      <tp t="s">
        <v>#N/A N/A</v>
        <stp/>
        <stp>BDP|3783390541967727889</stp>
        <tr r="E172" s="2"/>
      </tp>
      <tp t="s">
        <v>#N/A N/A</v>
        <stp/>
        <stp>BDP|6781406793721446107</stp>
        <tr r="J1900" s="2"/>
      </tp>
      <tp t="s">
        <v>#N/A N/A</v>
        <stp/>
        <stp>BDP|4155608695703440304</stp>
        <tr r="T1779" s="2"/>
      </tp>
      <tp t="s">
        <v>#N/A N/A</v>
        <stp/>
        <stp>BDP|7553498593880884177</stp>
        <tr r="K2123" s="2"/>
      </tp>
      <tp t="s">
        <v>#N/A N/A</v>
        <stp/>
        <stp>BDP|4529213324817900893</stp>
        <tr r="J1463" s="2"/>
      </tp>
      <tp t="s">
        <v>#N/A N/A</v>
        <stp/>
        <stp>BDP|7909549015180825807</stp>
        <tr r="M511" s="2"/>
      </tp>
      <tp t="s">
        <v>#N/A N/A</v>
        <stp/>
        <stp>BDP|9468634358472627399</stp>
        <tr r="K781" s="2"/>
      </tp>
      <tp t="s">
        <v>#N/A N/A</v>
        <stp/>
        <stp>BDS|7216979054666016610</stp>
        <tr r="I1434" s="2"/>
      </tp>
      <tp t="s">
        <v>#N/A N/A</v>
        <stp/>
        <stp>BDP|4056470972065519908</stp>
        <tr r="H414" s="2"/>
      </tp>
      <tp t="s">
        <v>#N/A N/A</v>
        <stp/>
        <stp>BDP|9085037924763669312</stp>
        <tr r="J141" s="2"/>
      </tp>
      <tp t="s">
        <v>#N/A N/A</v>
        <stp/>
        <stp>BDP|6957006720988103786</stp>
        <tr r="M549" s="2"/>
      </tp>
      <tp t="s">
        <v>#N/A N/A</v>
        <stp/>
        <stp>BDP|9026862921248590027</stp>
        <tr r="C1209" s="2"/>
      </tp>
      <tp t="s">
        <v>#N/A N/A</v>
        <stp/>
        <stp>BDP|9795426877319568875</stp>
        <tr r="D116" s="2"/>
      </tp>
      <tp t="s">
        <v>#N/A N/A</v>
        <stp/>
        <stp>BDP|3606158893287900795</stp>
        <tr r="Q1940" s="2"/>
      </tp>
      <tp t="s">
        <v>#N/A N/A</v>
        <stp/>
        <stp>BDP|2602912337337663468</stp>
        <tr r="D410" s="2"/>
      </tp>
      <tp t="s">
        <v>#N/A N/A</v>
        <stp/>
        <stp>BDS|9538848217709797219</stp>
        <tr r="I2024" s="2"/>
      </tp>
      <tp t="s">
        <v>#N/A N/A</v>
        <stp/>
        <stp>BDP|6094614872965221919</stp>
        <tr r="E91" s="2"/>
      </tp>
      <tp t="s">
        <v>#N/A N/A</v>
        <stp/>
        <stp>BDP|1134236998291280081</stp>
        <tr r="O1625" s="2"/>
      </tp>
      <tp t="s">
        <v>#N/A N/A</v>
        <stp/>
        <stp>BDP|9080226881339318102</stp>
        <tr r="E1073" s="2"/>
      </tp>
      <tp t="s">
        <v>#N/A N/A</v>
        <stp/>
        <stp>BDS|9210074710637043455</stp>
        <tr r="I157" s="2"/>
      </tp>
      <tp t="s">
        <v>#N/A N/A</v>
        <stp/>
        <stp>BDP|2316966244757661377</stp>
        <tr r="Q890" s="2"/>
      </tp>
      <tp t="s">
        <v>#N/A N/A</v>
        <stp/>
        <stp>BDP|2314535602025203905</stp>
        <tr r="T761" s="2"/>
      </tp>
      <tp t="s">
        <v>#N/A N/A</v>
        <stp/>
        <stp>BDP|2606615382910688735</stp>
        <tr r="H233" s="2"/>
      </tp>
      <tp t="s">
        <v>#N/A N/A</v>
        <stp/>
        <stp>BDP|6434118100285215979</stp>
        <tr r="T19" s="2"/>
      </tp>
      <tp t="s">
        <v>#N/A N/A</v>
        <stp/>
        <stp>BDP|2208967468225977353</stp>
        <tr r="S2175" s="2"/>
      </tp>
      <tp t="s">
        <v>#N/A N/A</v>
        <stp/>
        <stp>BDP|5557556886523757012</stp>
        <tr r="M51" s="2"/>
      </tp>
      <tp t="s">
        <v>#N/A N/A</v>
        <stp/>
        <stp>BDP|8569141357437633001</stp>
        <tr r="J2252" s="2"/>
      </tp>
      <tp t="s">
        <v>#N/A N/A</v>
        <stp/>
        <stp>BDP|9206774474376221435</stp>
        <tr r="R137" s="2"/>
      </tp>
      <tp t="s">
        <v>#N/A N/A</v>
        <stp/>
        <stp>BDP|4731827355763361135</stp>
        <tr r="O1790" s="2"/>
      </tp>
      <tp t="s">
        <v>#N/A N/A</v>
        <stp/>
        <stp>BDP|6941983671565017603</stp>
        <tr r="C1281" s="2"/>
      </tp>
      <tp t="s">
        <v>#N/A N/A</v>
        <stp/>
        <stp>BDP|1181963460620246559</stp>
        <tr r="C1152" s="2"/>
      </tp>
      <tp t="s">
        <v>#N/A N/A</v>
        <stp/>
        <stp>BDP|9174904094186214473</stp>
        <tr r="F496" s="2"/>
      </tp>
      <tp t="s">
        <v>#N/A N/A</v>
        <stp/>
        <stp>BDP|4738091580000646786</stp>
        <tr r="N1670" s="2"/>
      </tp>
      <tp t="s">
        <v>#N/A N/A</v>
        <stp/>
        <stp>BDP|3435826678160662781</stp>
        <tr r="C1923" s="2"/>
      </tp>
      <tp t="s">
        <v>#N/A N/A</v>
        <stp/>
        <stp>BDP|5342231431657333823</stp>
        <tr r="G382" s="2"/>
      </tp>
      <tp t="s">
        <v>#N/A N/A</v>
        <stp/>
        <stp>BDP|7850853331346961151</stp>
        <tr r="J773" s="2"/>
      </tp>
      <tp t="s">
        <v>#N/A N/A</v>
        <stp/>
        <stp>BDP|1570952237732692219</stp>
        <tr r="F2052" s="2"/>
      </tp>
      <tp t="s">
        <v>#N/A N/A</v>
        <stp/>
        <stp>BDP|6900505313751875827</stp>
        <tr r="S497" s="2"/>
      </tp>
      <tp t="s">
        <v>#N/A N/A</v>
        <stp/>
        <stp>BDP|8962011046492826563</stp>
        <tr r="T1411" s="2"/>
      </tp>
      <tp t="s">
        <v>#N/A N/A</v>
        <stp/>
        <stp>BDS|9334842753778369771</stp>
        <tr r="I1591" s="2"/>
      </tp>
      <tp t="s">
        <v>#N/A N/A</v>
        <stp/>
        <stp>BDP|5129298311914894918</stp>
        <tr r="G2150" s="2"/>
      </tp>
      <tp t="s">
        <v>#N/A N/A</v>
        <stp/>
        <stp>BDP|9271658435872668543</stp>
        <tr r="E859" s="2"/>
      </tp>
      <tp t="s">
        <v>#N/A N/A</v>
        <stp/>
        <stp>BDP|3201811210817589663</stp>
        <tr r="C677" s="2"/>
      </tp>
      <tp t="s">
        <v>#N/A N/A</v>
        <stp/>
        <stp>BDP|9357673435383760461</stp>
        <tr r="N641" s="2"/>
      </tp>
      <tp t="s">
        <v>#N/A N/A</v>
        <stp/>
        <stp>BDP|8450519417462097524</stp>
        <tr r="O1373" s="2"/>
      </tp>
      <tp t="s">
        <v>#N/A N/A</v>
        <stp/>
        <stp>BDP|8540577375051030075</stp>
        <tr r="J749" s="2"/>
      </tp>
      <tp t="s">
        <v>#N/A N/A</v>
        <stp/>
        <stp>BDS|2845107477027659890</stp>
        <tr r="I1261" s="2"/>
      </tp>
      <tp t="s">
        <v>#N/A N/A</v>
        <stp/>
        <stp>BDP|4406320497170950580</stp>
        <tr r="Q392" s="2"/>
      </tp>
      <tp t="s">
        <v>#N/A N/A</v>
        <stp/>
        <stp>BDP|1754713945639178023</stp>
        <tr r="K664" s="2"/>
      </tp>
      <tp t="s">
        <v>#N/A N/A</v>
        <stp/>
        <stp>BDP|8930500750706841514</stp>
        <tr r="K837" s="2"/>
      </tp>
      <tp t="s">
        <v>#N/A N/A</v>
        <stp/>
        <stp>BDP|8106624309336926331</stp>
        <tr r="O1553" s="2"/>
      </tp>
      <tp t="s">
        <v>#N/A N/A</v>
        <stp/>
        <stp>BDP|9446406764571976194</stp>
        <tr r="O317" s="2"/>
      </tp>
      <tp t="s">
        <v>#N/A N/A</v>
        <stp/>
        <stp>BDP|9984539635705672195</stp>
        <tr r="G656" s="2"/>
      </tp>
      <tp t="s">
        <v>#N/A N/A</v>
        <stp/>
        <stp>BDP|9023517615743233565</stp>
        <tr r="J247" s="2"/>
      </tp>
      <tp t="s">
        <v>#N/A N/A</v>
        <stp/>
        <stp>BDP|7700991863165843650</stp>
        <tr r="R2131" s="2"/>
      </tp>
      <tp t="s">
        <v>#N/A N/A</v>
        <stp/>
        <stp>BDP|6645762987295341747</stp>
        <tr r="F111" s="2"/>
      </tp>
      <tp t="s">
        <v>#N/A N/A</v>
        <stp/>
        <stp>BDP|2141441199374972056</stp>
        <tr r="H2179" s="2"/>
      </tp>
      <tp t="s">
        <v>#N/A N/A</v>
        <stp/>
        <stp>BDP|3104054221122279875</stp>
        <tr r="P476" s="2"/>
      </tp>
      <tp t="s">
        <v>#N/A N/A</v>
        <stp/>
        <stp>BDP|1818046288154326673</stp>
        <tr r="K1878" s="2"/>
      </tp>
      <tp t="s">
        <v>#N/A N/A</v>
        <stp/>
        <stp>BDP|9058322515119065977</stp>
        <tr r="E2215" s="2"/>
      </tp>
      <tp t="s">
        <v>#N/A N/A</v>
        <stp/>
        <stp>BDS|6517102985162133615</stp>
        <tr r="I312" s="2"/>
      </tp>
      <tp t="s">
        <v>#N/A N/A</v>
        <stp/>
        <stp>BDP|4619402343247309867</stp>
        <tr r="D1550" s="2"/>
      </tp>
      <tp t="s">
        <v>#N/A N/A</v>
        <stp/>
        <stp>BDP|2792540015649196470</stp>
        <tr r="F1272" s="2"/>
      </tp>
      <tp t="s">
        <v>#N/A N/A</v>
        <stp/>
        <stp>BDP|2073704012789419663</stp>
        <tr r="M1361" s="2"/>
      </tp>
      <tp t="s">
        <v>#N/A N/A</v>
        <stp/>
        <stp>BDP|2233579654079981084</stp>
        <tr r="P277" s="2"/>
      </tp>
      <tp t="s">
        <v>#N/A N/A</v>
        <stp/>
        <stp>BDP|1842767409529719401</stp>
        <tr r="F2096" s="2"/>
      </tp>
      <tp t="s">
        <v>#N/A N/A</v>
        <stp/>
        <stp>BDP|9537741780599471456</stp>
        <tr r="A1618" s="2"/>
      </tp>
      <tp t="s">
        <v>#N/A N/A</v>
        <stp/>
        <stp>BDP|3976437087975998159</stp>
        <tr r="G1847" s="2"/>
      </tp>
      <tp t="s">
        <v>#N/A N/A</v>
        <stp/>
        <stp>BDP|4531112684447489154</stp>
        <tr r="H1064" s="2"/>
      </tp>
      <tp t="s">
        <v>#N/A N/A</v>
        <stp/>
        <stp>BDP|4303134178431914809</stp>
        <tr r="P1936" s="2"/>
      </tp>
      <tp t="s">
        <v>#N/A N/A</v>
        <stp/>
        <stp>BDP|7840910048001283024</stp>
        <tr r="S2151" s="2"/>
      </tp>
      <tp t="s">
        <v>#N/A N/A</v>
        <stp/>
        <stp>BDP|6754426937718381204</stp>
        <tr r="P1677" s="2"/>
      </tp>
      <tp t="s">
        <v>#N/A N/A</v>
        <stp/>
        <stp>BDP|2208447487207643269</stp>
        <tr r="A34" s="2"/>
      </tp>
      <tp t="s">
        <v>#N/A N/A</v>
        <stp/>
        <stp>BDP|2049996367976748084</stp>
        <tr r="J1184" s="2"/>
      </tp>
      <tp t="s">
        <v>#N/A N/A</v>
        <stp/>
        <stp>BDP|3057160479857605986</stp>
        <tr r="S1536" s="2"/>
      </tp>
      <tp t="s">
        <v>#N/A N/A</v>
        <stp/>
        <stp>BDP|7998225892343051480</stp>
        <tr r="O2199" s="2"/>
      </tp>
      <tp t="s">
        <v>#N/A N/A</v>
        <stp/>
        <stp>BDS|1609328980215612432</stp>
        <tr r="I1612" s="2"/>
      </tp>
      <tp t="s">
        <v>#N/A N/A</v>
        <stp/>
        <stp>BDP|4477173912207693865</stp>
        <tr r="F332" s="2"/>
      </tp>
      <tp t="s">
        <v>#N/A N/A</v>
        <stp/>
        <stp>BDP|8183989983403285197</stp>
        <tr r="G2018" s="2"/>
      </tp>
      <tp t="s">
        <v>#N/A N/A</v>
        <stp/>
        <stp>BDP|3613421979878467384</stp>
        <tr r="E778" s="2"/>
      </tp>
      <tp t="s">
        <v>#N/A N/A</v>
        <stp/>
        <stp>BDP|6787127401239346564</stp>
        <tr r="P1638" s="2"/>
      </tp>
      <tp t="s">
        <v>#N/A N/A</v>
        <stp/>
        <stp>BDP|3652279589377943506</stp>
        <tr r="Q1169" s="2"/>
      </tp>
      <tp t="s">
        <v>#N/A N/A</v>
        <stp/>
        <stp>BDP|3257201626849706120</stp>
        <tr r="R1860" s="2"/>
      </tp>
      <tp t="s">
        <v>#N/A N/A</v>
        <stp/>
        <stp>BDS|5255258476012653967</stp>
        <tr r="I1473" s="2"/>
      </tp>
      <tp t="s">
        <v>#N/A N/A</v>
        <stp/>
        <stp>BDP|9103301700256255729</stp>
        <tr r="D255" s="2"/>
      </tp>
      <tp t="s">
        <v>#N/A N/A</v>
        <stp/>
        <stp>BDP|3759647907818034656</stp>
        <tr r="M277" s="2"/>
      </tp>
      <tp t="s">
        <v>#N/A N/A</v>
        <stp/>
        <stp>BDP|7884431382766840605</stp>
        <tr r="P377" s="2"/>
      </tp>
      <tp t="s">
        <v>#N/A N/A</v>
        <stp/>
        <stp>BDP|8311427185879486619</stp>
        <tr r="D2110" s="2"/>
      </tp>
      <tp t="s">
        <v>#N/A N/A</v>
        <stp/>
        <stp>BDP|4580361260228623246</stp>
        <tr r="Q1414" s="2"/>
      </tp>
      <tp t="s">
        <v>#N/A N/A</v>
        <stp/>
        <stp>BDP|2891694877738244051</stp>
        <tr r="A1744" s="2"/>
      </tp>
      <tp t="s">
        <v>#N/A N/A</v>
        <stp/>
        <stp>BDP|2706216418083690990</stp>
        <tr r="A818" s="2"/>
      </tp>
      <tp t="s">
        <v>#N/A N/A</v>
        <stp/>
        <stp>BDP|4549866972335089506</stp>
        <tr r="A907" s="2"/>
      </tp>
      <tp t="s">
        <v>#N/A N/A</v>
        <stp/>
        <stp>BDP|2998941020796966457</stp>
        <tr r="S303" s="2"/>
      </tp>
      <tp t="s">
        <v>#N/A N/A</v>
        <stp/>
        <stp>BDP|1697484479991698803</stp>
        <tr r="G499" s="2"/>
      </tp>
      <tp t="s">
        <v>#N/A N/A</v>
        <stp/>
        <stp>BDS|9113751626065491274</stp>
        <tr r="I240" s="2"/>
      </tp>
      <tp t="s">
        <v>#N/A N/A</v>
        <stp/>
        <stp>BDP|4786918734083694657</stp>
        <tr r="O1652" s="2"/>
      </tp>
      <tp t="s">
        <v>#N/A N/A</v>
        <stp/>
        <stp>BDS|6834499821063167801</stp>
        <tr r="I489" s="2"/>
      </tp>
      <tp t="s">
        <v>#N/A N/A</v>
        <stp/>
        <stp>BDP|7491873419483324682</stp>
        <tr r="M322" s="2"/>
      </tp>
      <tp t="s">
        <v>#N/A N/A</v>
        <stp/>
        <stp>BDP|6794270636899687518</stp>
        <tr r="K637" s="2"/>
      </tp>
      <tp t="s">
        <v>#N/A N/A</v>
        <stp/>
        <stp>BDP|9782809771604749902</stp>
        <tr r="T544" s="2"/>
      </tp>
      <tp t="s">
        <v>#N/A N/A</v>
        <stp/>
        <stp>BDP|1239926122261732044</stp>
        <tr r="M1098" s="2"/>
      </tp>
      <tp t="s">
        <v>#N/A N/A</v>
        <stp/>
        <stp>BDP|4826303504678421496</stp>
        <tr r="D1927" s="2"/>
      </tp>
      <tp t="s">
        <v>#N/A N/A</v>
        <stp/>
        <stp>BDP|9037431932097812280</stp>
        <tr r="G1583" s="2"/>
      </tp>
      <tp t="s">
        <v>#N/A N/A</v>
        <stp/>
        <stp>BDP|5615977326613347657</stp>
        <tr r="S613" s="2"/>
      </tp>
      <tp t="s">
        <v>#N/A N/A</v>
        <stp/>
        <stp>BDP|7649065652250538963</stp>
        <tr r="M293" s="2"/>
      </tp>
      <tp t="s">
        <v>#N/A N/A</v>
        <stp/>
        <stp>BDP|4725860688776117997</stp>
        <tr r="K1171" s="2"/>
      </tp>
      <tp t="s">
        <v>#N/A N/A</v>
        <stp/>
        <stp>BDP|2184877500341169069</stp>
        <tr r="M1566" s="2"/>
      </tp>
      <tp t="s">
        <v>#N/A N/A</v>
        <stp/>
        <stp>BDP|6453653197726146467</stp>
        <tr r="H2215" s="2"/>
      </tp>
      <tp t="s">
        <v>#N/A N/A</v>
        <stp/>
        <stp>BDP|4540924533052212773</stp>
        <tr r="S195" s="2"/>
      </tp>
      <tp t="s">
        <v>#N/A N/A</v>
        <stp/>
        <stp>BDP|4818762578076182969</stp>
        <tr r="Q1722" s="2"/>
      </tp>
      <tp t="s">
        <v>#N/A N/A</v>
        <stp/>
        <stp>BDP|2422153970139372635</stp>
        <tr r="K1064" s="2"/>
      </tp>
      <tp t="s">
        <v>#N/A N/A</v>
        <stp/>
        <stp>BDP|4203364666902312809</stp>
        <tr r="E1371" s="2"/>
      </tp>
      <tp t="s">
        <v>#N/A N/A</v>
        <stp/>
        <stp>BDP|3332080352778806501</stp>
        <tr r="C476" s="2"/>
      </tp>
      <tp t="s">
        <v>#N/A N/A</v>
        <stp/>
        <stp>BDP|6679253193127036113</stp>
        <tr r="Q1173" s="2"/>
      </tp>
      <tp t="s">
        <v>#N/A N/A</v>
        <stp/>
        <stp>BDP|4958680409480159981</stp>
        <tr r="K575" s="2"/>
      </tp>
      <tp t="s">
        <v>#N/A N/A</v>
        <stp/>
        <stp>BDP|8745526992526613903</stp>
        <tr r="M460" s="2"/>
      </tp>
      <tp t="s">
        <v>#N/A N/A</v>
        <stp/>
        <stp>BDP|2366234570109728564</stp>
        <tr r="D1332" s="2"/>
      </tp>
      <tp t="s">
        <v>#N/A N/A</v>
        <stp/>
        <stp>BDP|6723613236139567142</stp>
        <tr r="R1125" s="2"/>
      </tp>
      <tp t="s">
        <v>#N/A N/A</v>
        <stp/>
        <stp>BDP|4280004992390826699</stp>
        <tr r="A132" s="2"/>
      </tp>
      <tp t="s">
        <v>#N/A N/A</v>
        <stp/>
        <stp>BDP|4153910802093282519</stp>
        <tr r="E709" s="2"/>
      </tp>
      <tp t="s">
        <v>#N/A N/A</v>
        <stp/>
        <stp>BDP|9239113316542722033</stp>
        <tr r="H1704" s="2"/>
      </tp>
      <tp t="s">
        <v>#N/A N/A</v>
        <stp/>
        <stp>BDP|7321815865477043563</stp>
        <tr r="J2237" s="2"/>
      </tp>
      <tp t="s">
        <v>#N/A N/A</v>
        <stp/>
        <stp>BDP|6826847193075938972</stp>
        <tr r="N1608" s="2"/>
      </tp>
      <tp t="s">
        <v>#N/A N/A</v>
        <stp/>
        <stp>BDP|7379224597522566524</stp>
        <tr r="M1134" s="2"/>
      </tp>
      <tp t="s">
        <v>#N/A N/A</v>
        <stp/>
        <stp>BDP|9921701067356751582</stp>
        <tr r="G1304" s="2"/>
      </tp>
      <tp t="s">
        <v>#N/A N/A</v>
        <stp/>
        <stp>BDP|7266752814388200200</stp>
        <tr r="N1980" s="2"/>
      </tp>
      <tp t="s">
        <v>#N/A N/A</v>
        <stp/>
        <stp>BDP|5114287160109065386</stp>
        <tr r="R443" s="2"/>
      </tp>
      <tp t="s">
        <v>#N/A N/A</v>
        <stp/>
        <stp>BDP|3569916257650632442</stp>
        <tr r="Q1634" s="2"/>
      </tp>
      <tp t="s">
        <v>#N/A N/A</v>
        <stp/>
        <stp>BDP|9745620082555348952</stp>
        <tr r="G459" s="2"/>
      </tp>
      <tp t="s">
        <v>#N/A N/A</v>
        <stp/>
        <stp>BDP|4661357467468315262</stp>
        <tr r="G545" s="2"/>
      </tp>
      <tp t="s">
        <v>#N/A N/A</v>
        <stp/>
        <stp>BDP|8496408674641223133</stp>
        <tr r="S1029" s="2"/>
      </tp>
      <tp t="s">
        <v>#N/A N/A</v>
        <stp/>
        <stp>BDP|8901399356751017479</stp>
        <tr r="O691" s="2"/>
      </tp>
      <tp t="s">
        <v>#N/A N/A</v>
        <stp/>
        <stp>BDP|3671736236624374869</stp>
        <tr r="E951" s="2"/>
      </tp>
      <tp t="s">
        <v>#N/A N/A</v>
        <stp/>
        <stp>BDP|2428914903111391137</stp>
        <tr r="N1826" s="2"/>
      </tp>
      <tp t="s">
        <v>#N/A N/A</v>
        <stp/>
        <stp>BDP|5510358271352346847</stp>
        <tr r="P1278" s="2"/>
      </tp>
      <tp t="s">
        <v>#N/A N/A</v>
        <stp/>
        <stp>BDP|5208261886951506511</stp>
        <tr r="N1204" s="2"/>
      </tp>
      <tp t="s">
        <v>#N/A N/A</v>
        <stp/>
        <stp>BDP|7458572389544420589</stp>
        <tr r="K27" s="2"/>
      </tp>
      <tp t="s">
        <v>#N/A N/A</v>
        <stp/>
        <stp>BDP|2774634392591288726</stp>
        <tr r="S2060" s="2"/>
      </tp>
      <tp t="s">
        <v>#N/A N/A</v>
        <stp/>
        <stp>BDP|6383773796376575517</stp>
        <tr r="Q1966" s="2"/>
      </tp>
      <tp t="s">
        <v>#N/A N/A</v>
        <stp/>
        <stp>BDP|8781374343313375760</stp>
        <tr r="C349" s="2"/>
      </tp>
      <tp t="s">
        <v>#N/A N/A</v>
        <stp/>
        <stp>BDP|3840832135662086180</stp>
        <tr r="N679" s="2"/>
      </tp>
      <tp t="s">
        <v>#N/A N/A</v>
        <stp/>
        <stp>BDP|6554811910960648441</stp>
        <tr r="E1155" s="2"/>
      </tp>
      <tp t="s">
        <v>#N/A N/A</v>
        <stp/>
        <stp>BDP|8748208888818189184</stp>
        <tr r="N373" s="2"/>
      </tp>
      <tp t="s">
        <v>#N/A N/A</v>
        <stp/>
        <stp>BDP|1231339684637560661</stp>
        <tr r="G1683" s="2"/>
      </tp>
      <tp t="s">
        <v>#N/A N/A</v>
        <stp/>
        <stp>BDP|3454266600159600329</stp>
        <tr r="Q1709" s="2"/>
      </tp>
      <tp t="s">
        <v>#N/A N/A</v>
        <stp/>
        <stp>BDP|4011911151954515733</stp>
        <tr r="S318" s="2"/>
      </tp>
      <tp t="s">
        <v>#N/A N/A</v>
        <stp/>
        <stp>BDP|9792555527543402672</stp>
        <tr r="K239" s="2"/>
      </tp>
      <tp t="s">
        <v>#N/A N/A</v>
        <stp/>
        <stp>BDP|2301514352721713819</stp>
        <tr r="J1771" s="2"/>
      </tp>
      <tp t="s">
        <v>#N/A N/A</v>
        <stp/>
        <stp>BDP|6398019404845900893</stp>
        <tr r="T1344" s="2"/>
      </tp>
      <tp t="s">
        <v>#N/A N/A</v>
        <stp/>
        <stp>BDP|8949409426953070698</stp>
        <tr r="K1367" s="2"/>
      </tp>
      <tp t="s">
        <v>#N/A N/A</v>
        <stp/>
        <stp>BDS|7849791150626780803</stp>
        <tr r="I711" s="2"/>
      </tp>
      <tp t="s">
        <v>#N/A N/A</v>
        <stp/>
        <stp>BDP|1855572478800607875</stp>
        <tr r="T123" s="2"/>
      </tp>
      <tp t="s">
        <v>#N/A N/A</v>
        <stp/>
        <stp>BDP|7154263570458192101</stp>
        <tr r="T1925" s="2"/>
      </tp>
      <tp t="s">
        <v>#N/A N/A</v>
        <stp/>
        <stp>BDP|3206355793983314117</stp>
        <tr r="Q611" s="2"/>
      </tp>
      <tp t="s">
        <v>#N/A N/A</v>
        <stp/>
        <stp>BDP|7109205550599391244</stp>
        <tr r="G919" s="2"/>
      </tp>
      <tp t="s">
        <v>#N/A N/A</v>
        <stp/>
        <stp>BDP|9236078035139241843</stp>
        <tr r="A1671" s="2"/>
      </tp>
      <tp t="s">
        <v>#N/A N/A</v>
        <stp/>
        <stp>BDP|9134149213393864182</stp>
        <tr r="Q846" s="2"/>
      </tp>
      <tp t="s">
        <v>#N/A N/A</v>
        <stp/>
        <stp>BDP|3784691049068176202</stp>
        <tr r="S1532" s="2"/>
      </tp>
      <tp t="s">
        <v>#N/A N/A</v>
        <stp/>
        <stp>BDP|2809485172892494808</stp>
        <tr r="D890" s="2"/>
      </tp>
      <tp t="s">
        <v>#N/A N/A</v>
        <stp/>
        <stp>BDP|4767271705448696556</stp>
        <tr r="O1515" s="2"/>
      </tp>
      <tp t="s">
        <v>#N/A N/A</v>
        <stp/>
        <stp>BDP|8199806481644565733</stp>
        <tr r="J759" s="2"/>
      </tp>
      <tp t="s">
        <v>#N/A N/A</v>
        <stp/>
        <stp>BDS|7507790852037163999</stp>
        <tr r="I1162" s="2"/>
      </tp>
      <tp t="s">
        <v>#N/A N/A</v>
        <stp/>
        <stp>BDP|2008913411954661500</stp>
        <tr r="A1952" s="2"/>
      </tp>
      <tp t="s">
        <v>#N/A N/A</v>
        <stp/>
        <stp>BDS|6898550835602819961</stp>
        <tr r="I417" s="2"/>
      </tp>
      <tp t="s">
        <v>#N/A N/A</v>
        <stp/>
        <stp>BDP|9806299110480185169</stp>
        <tr r="N1171" s="2"/>
      </tp>
      <tp t="s">
        <v>#N/A N/A</v>
        <stp/>
        <stp>BDP|6115938803097370341</stp>
        <tr r="D385" s="2"/>
      </tp>
      <tp t="s">
        <v>#N/A N/A</v>
        <stp/>
        <stp>BDP|7081063255779441017</stp>
        <tr r="T1899" s="2"/>
      </tp>
      <tp t="s">
        <v>#N/A N/A</v>
        <stp/>
        <stp>BDP|7247929356842592253</stp>
        <tr r="T1843" s="2"/>
      </tp>
      <tp t="s">
        <v>#N/A N/A</v>
        <stp/>
        <stp>BDS|9416736967972576135</stp>
        <tr r="I593" s="2"/>
      </tp>
      <tp t="s">
        <v>#N/A N/A</v>
        <stp/>
        <stp>BDP|7565001005365338958</stp>
        <tr r="M487" s="2"/>
      </tp>
      <tp t="s">
        <v>#N/A N/A</v>
        <stp/>
        <stp>BDP|4429504497681086256</stp>
        <tr r="G1382" s="2"/>
      </tp>
      <tp t="s">
        <v>#N/A N/A</v>
        <stp/>
        <stp>BDP|9670642083875638910</stp>
        <tr r="F712" s="2"/>
      </tp>
      <tp t="s">
        <v>#N/A N/A</v>
        <stp/>
        <stp>BDP|3175223585822868084</stp>
        <tr r="F1005" s="2"/>
      </tp>
      <tp t="s">
        <v>#N/A N/A</v>
        <stp/>
        <stp>BDP|9077620963307525528</stp>
        <tr r="D801" s="2"/>
      </tp>
      <tp t="s">
        <v>#N/A N/A</v>
        <stp/>
        <stp>BDP|3330173734243054966</stp>
        <tr r="D2150" s="2"/>
      </tp>
      <tp t="s">
        <v>#N/A N/A</v>
        <stp/>
        <stp>BDP|1432708172832242826</stp>
        <tr r="J1966" s="2"/>
      </tp>
      <tp t="s">
        <v>#N/A N/A</v>
        <stp/>
        <stp>BDP|4403564790491342275</stp>
        <tr r="C1040" s="2"/>
      </tp>
      <tp t="s">
        <v>#N/A N/A</v>
        <stp/>
        <stp>BDP|6460811846068401916</stp>
        <tr r="T163" s="2"/>
      </tp>
      <tp t="s">
        <v>#N/A N/A</v>
        <stp/>
        <stp>BDP|1830963263731801437</stp>
        <tr r="O1235" s="2"/>
      </tp>
      <tp t="s">
        <v>#N/A N/A</v>
        <stp/>
        <stp>BDP|6380021476948710261</stp>
        <tr r="N1598" s="2"/>
      </tp>
      <tp t="s">
        <v>#N/A N/A</v>
        <stp/>
        <stp>BDP|5724902441751358232</stp>
        <tr r="D1201" s="2"/>
      </tp>
      <tp t="s">
        <v>#N/A N/A</v>
        <stp/>
        <stp>BDP|3340270827429120142</stp>
        <tr r="N159" s="2"/>
      </tp>
      <tp t="s">
        <v>#N/A N/A</v>
        <stp/>
        <stp>BDP|3284614106878425675</stp>
        <tr r="F1582" s="2"/>
      </tp>
      <tp t="s">
        <v>#N/A N/A</v>
        <stp/>
        <stp>BDP|3467153410318172062</stp>
        <tr r="O648" s="2"/>
      </tp>
      <tp t="s">
        <v>#N/A N/A</v>
        <stp/>
        <stp>BDP|9325376516942265268</stp>
        <tr r="D421" s="2"/>
      </tp>
      <tp t="s">
        <v>#N/A N/A</v>
        <stp/>
        <stp>BDS|8624906780587067507</stp>
        <tr r="I1429" s="2"/>
      </tp>
      <tp t="s">
        <v>#N/A N/A</v>
        <stp/>
        <stp>BDP|3709752835794322824</stp>
        <tr r="N1695" s="2"/>
      </tp>
      <tp t="s">
        <v>#N/A N/A</v>
        <stp/>
        <stp>BDP|5000104683357767023</stp>
        <tr r="K1777" s="2"/>
      </tp>
      <tp t="s">
        <v>#N/A N/A</v>
        <stp/>
        <stp>BDS|6269980419723312661</stp>
        <tr r="I1026" s="2"/>
      </tp>
      <tp t="s">
        <v>#N/A N/A</v>
        <stp/>
        <stp>BDP|8617659945701691064</stp>
        <tr r="R449" s="2"/>
      </tp>
      <tp t="s">
        <v>#N/A N/A</v>
        <stp/>
        <stp>BDP|1890637405179149599</stp>
        <tr r="E1644" s="2"/>
      </tp>
      <tp t="s">
        <v>#N/A N/A</v>
        <stp/>
        <stp>BDP|7544312741472660951</stp>
        <tr r="P991" s="2"/>
      </tp>
      <tp t="s">
        <v>#N/A N/A</v>
        <stp/>
        <stp>BDP|8939093989608726381</stp>
        <tr r="P1484" s="2"/>
      </tp>
      <tp t="s">
        <v>#N/A N/A</v>
        <stp/>
        <stp>BDP|4937689399131670189</stp>
        <tr r="E2167" s="2"/>
      </tp>
      <tp t="s">
        <v>#N/A N/A</v>
        <stp/>
        <stp>BDP|3306307636498058033</stp>
        <tr r="E1514" s="2"/>
      </tp>
      <tp t="s">
        <v>#N/A N/A</v>
        <stp/>
        <stp>BDP|7157114642138463103</stp>
        <tr r="K327" s="2"/>
      </tp>
      <tp t="s">
        <v>#N/A N/A</v>
        <stp/>
        <stp>BDP|4041166284386249060</stp>
        <tr r="A496" s="2"/>
      </tp>
      <tp t="s">
        <v>#N/A N/A</v>
        <stp/>
        <stp>BDP|9888871189913414144</stp>
        <tr r="G1179" s="2"/>
      </tp>
      <tp t="s">
        <v>#N/A N/A</v>
        <stp/>
        <stp>BDP|9491231005998250861</stp>
        <tr r="E1001" s="2"/>
      </tp>
      <tp t="s">
        <v>#N/A N/A</v>
        <stp/>
        <stp>BDP|7993846344996723681</stp>
        <tr r="J1386" s="2"/>
      </tp>
      <tp t="s">
        <v>#N/A N/A</v>
        <stp/>
        <stp>BDP|9117486075546277781</stp>
        <tr r="D1852" s="2"/>
      </tp>
      <tp t="s">
        <v>#N/A N/A</v>
        <stp/>
        <stp>BDP|9637126137879706929</stp>
        <tr r="M738" s="2"/>
      </tp>
      <tp t="s">
        <v>#N/A N/A</v>
        <stp/>
        <stp>BDP|7739510983194079531</stp>
        <tr r="F166" s="2"/>
      </tp>
      <tp t="s">
        <v>#N/A N/A</v>
        <stp/>
        <stp>BDP|6837198332647291870</stp>
        <tr r="F217" s="2"/>
      </tp>
      <tp t="s">
        <v>#N/A N/A</v>
        <stp/>
        <stp>BDP|7363463561136094829</stp>
        <tr r="P1297" s="2"/>
      </tp>
      <tp t="s">
        <v>#N/A N/A</v>
        <stp/>
        <stp>BDP|9039647920810310619</stp>
        <tr r="J1796" s="2"/>
      </tp>
      <tp t="s">
        <v>#N/A N/A</v>
        <stp/>
        <stp>BDP|2069274473088407466</stp>
        <tr r="R1165" s="2"/>
      </tp>
      <tp t="s">
        <v>#N/A N/A</v>
        <stp/>
        <stp>BDP|6854969479057989480</stp>
        <tr r="C1290" s="2"/>
      </tp>
      <tp t="s">
        <v>#N/A N/A</v>
        <stp/>
        <stp>BDS|8733330677584360367</stp>
        <tr r="I159" s="2"/>
      </tp>
      <tp t="s">
        <v>#N/A N/A</v>
        <stp/>
        <stp>BDP|7817347557692454891</stp>
        <tr r="S1951" s="2"/>
      </tp>
      <tp t="s">
        <v>#N/A N/A</v>
        <stp/>
        <stp>BDP|1758880738712067310</stp>
        <tr r="H2169" s="2"/>
      </tp>
      <tp t="s">
        <v>#N/A N/A</v>
        <stp/>
        <stp>BDP|6826141318799736453</stp>
        <tr r="R1339" s="2"/>
      </tp>
      <tp t="s">
        <v>#N/A N/A</v>
        <stp/>
        <stp>BDP|6690166072843402800</stp>
        <tr r="C981" s="2"/>
      </tp>
      <tp t="s">
        <v>#N/A N/A</v>
        <stp/>
        <stp>BDP|8628536708360818631</stp>
        <tr r="T486" s="2"/>
      </tp>
      <tp t="s">
        <v>#N/A N/A</v>
        <stp/>
        <stp>BDP|2231204185906113508</stp>
        <tr r="K1131" s="2"/>
      </tp>
      <tp t="s">
        <v>#N/A N/A</v>
        <stp/>
        <stp>BDP|7119120064002371921</stp>
        <tr r="T1383" s="2"/>
      </tp>
      <tp t="s">
        <v>#N/A N/A</v>
        <stp/>
        <stp>BDP|2194294622418887147</stp>
        <tr r="O1061" s="2"/>
      </tp>
      <tp t="s">
        <v>#N/A N/A</v>
        <stp/>
        <stp>BDP|3095601291070585726</stp>
        <tr r="H116" s="2"/>
      </tp>
      <tp t="s">
        <v>#N/A N/A</v>
        <stp/>
        <stp>BDP|9855221915483863210</stp>
        <tr r="P667" s="2"/>
      </tp>
      <tp t="s">
        <v>#N/A N/A</v>
        <stp/>
        <stp>BDP|7415473277677460864</stp>
        <tr r="H1560" s="2"/>
      </tp>
      <tp t="s">
        <v>#N/A N/A</v>
        <stp/>
        <stp>BDP|8313104394382766966</stp>
        <tr r="A1308" s="2"/>
      </tp>
      <tp t="s">
        <v>#N/A N/A</v>
        <stp/>
        <stp>BDP|3009279096692072161</stp>
        <tr r="E1478" s="2"/>
      </tp>
      <tp t="s">
        <v>#N/A N/A</v>
        <stp/>
        <stp>BDP|7281920207623023605</stp>
        <tr r="Q146" s="2"/>
      </tp>
      <tp t="s">
        <v>#N/A N/A</v>
        <stp/>
        <stp>BDP|6243843441861829084</stp>
        <tr r="P190" s="2"/>
      </tp>
      <tp t="s">
        <v>#N/A N/A</v>
        <stp/>
        <stp>BDP|8873781505390147438</stp>
        <tr r="A419" s="2"/>
      </tp>
      <tp t="s">
        <v>#N/A N/A</v>
        <stp/>
        <stp>BDP|4083345884400221452</stp>
        <tr r="O104" s="2"/>
      </tp>
      <tp t="s">
        <v>#N/A N/A</v>
        <stp/>
        <stp>BDP|1145841025186356648</stp>
        <tr r="F77" s="2"/>
      </tp>
      <tp t="s">
        <v>#N/A N/A</v>
        <stp/>
        <stp>BDP|3960279569758964496</stp>
        <tr r="E1067" s="2"/>
      </tp>
      <tp t="s">
        <v>#N/A N/A</v>
        <stp/>
        <stp>BDP|2144877752816531260</stp>
        <tr r="F1370" s="2"/>
      </tp>
      <tp t="s">
        <v>#N/A N/A</v>
        <stp/>
        <stp>BDP|3127924527604781740</stp>
        <tr r="A586" s="2"/>
      </tp>
      <tp t="s">
        <v>#N/A N/A</v>
        <stp/>
        <stp>BDP|9162323862154041368</stp>
        <tr r="N2001" s="2"/>
      </tp>
      <tp t="s">
        <v>#N/A N/A</v>
        <stp/>
        <stp>BDP|6384916317713472665</stp>
        <tr r="J1459" s="2"/>
      </tp>
      <tp t="s">
        <v>#N/A N/A</v>
        <stp/>
        <stp>BDP|3810890130465187677</stp>
        <tr r="G327" s="2"/>
      </tp>
      <tp t="s">
        <v>#N/A N/A</v>
        <stp/>
        <stp>BDS|7425509082650460152</stp>
        <tr r="I444" s="2"/>
      </tp>
      <tp t="s">
        <v>#N/A N/A</v>
        <stp/>
        <stp>BDP|2668899341415008091</stp>
        <tr r="D1646" s="2"/>
      </tp>
      <tp t="s">
        <v>#N/A N/A</v>
        <stp/>
        <stp>BDP|6935019724788865731</stp>
        <tr r="R907" s="2"/>
      </tp>
      <tp t="s">
        <v>#N/A N/A</v>
        <stp/>
        <stp>BDP|6752759924601230933</stp>
        <tr r="P1896" s="2"/>
      </tp>
      <tp t="s">
        <v>#N/A N/A</v>
        <stp/>
        <stp>BDP|3722857050107596200</stp>
        <tr r="G1282" s="2"/>
      </tp>
      <tp t="s">
        <v>#N/A N/A</v>
        <stp/>
        <stp>BDP|8927867898093586150</stp>
        <tr r="A1977" s="2"/>
      </tp>
      <tp t="s">
        <v>#N/A N/A</v>
        <stp/>
        <stp>BDP|6362403818618588096</stp>
        <tr r="P1048" s="2"/>
      </tp>
      <tp t="s">
        <v>#N/A N/A</v>
        <stp/>
        <stp>BDP|3633009884111246172</stp>
        <tr r="M1681" s="2"/>
      </tp>
      <tp t="s">
        <v>#N/A N/A</v>
        <stp/>
        <stp>BDP|8399227720236300551</stp>
        <tr r="R1289" s="2"/>
      </tp>
      <tp t="s">
        <v>#N/A N/A</v>
        <stp/>
        <stp>BDP|4687870761911755008</stp>
        <tr r="M1224" s="2"/>
      </tp>
      <tp t="s">
        <v>#N/A N/A</v>
        <stp/>
        <stp>BDP|2355008272767630905</stp>
        <tr r="P1974" s="2"/>
      </tp>
      <tp t="s">
        <v>#N/A N/A</v>
        <stp/>
        <stp>BDP|8545569321601334564</stp>
        <tr r="R735" s="2"/>
      </tp>
      <tp t="s">
        <v>#N/A N/A</v>
        <stp/>
        <stp>BDS|8751802686876548534</stp>
        <tr r="I1991" s="2"/>
      </tp>
      <tp t="s">
        <v>#N/A N/A</v>
        <stp/>
        <stp>BDP|1427364765619488644</stp>
        <tr r="S606" s="2"/>
      </tp>
      <tp t="s">
        <v>#N/A N/A</v>
        <stp/>
        <stp>BDP|8350899412182987869</stp>
        <tr r="H1336" s="2"/>
      </tp>
      <tp t="s">
        <v>#N/A N/A</v>
        <stp/>
        <stp>BDP|5620919634700337470</stp>
        <tr r="S1148" s="2"/>
      </tp>
      <tp t="s">
        <v>#N/A N/A</v>
        <stp/>
        <stp>BDP|8999068323035274499</stp>
        <tr r="J365" s="2"/>
      </tp>
      <tp t="s">
        <v>#N/A N/A</v>
        <stp/>
        <stp>BDP|8205652642039159838</stp>
        <tr r="R547" s="2"/>
      </tp>
      <tp t="s">
        <v>#N/A N/A</v>
        <stp/>
        <stp>BDP|3046626124119987585</stp>
        <tr r="G490" s="2"/>
      </tp>
      <tp t="s">
        <v>#N/A N/A</v>
        <stp/>
        <stp>BDP|8221552614961470600</stp>
        <tr r="O538" s="2"/>
      </tp>
      <tp t="s">
        <v>#N/A N/A</v>
        <stp/>
        <stp>BDP|3959038781533404386</stp>
        <tr r="S2216" s="2"/>
      </tp>
      <tp t="s">
        <v>#N/A N/A</v>
        <stp/>
        <stp>BDP|1225223722499091352</stp>
        <tr r="P877" s="2"/>
      </tp>
      <tp t="s">
        <v>#N/A N/A</v>
        <stp/>
        <stp>BDP|9848241554190701585</stp>
        <tr r="S125" s="2"/>
      </tp>
      <tp t="s">
        <v>#N/A N/A</v>
        <stp/>
        <stp>BDP|9160414626652872692</stp>
        <tr r="C401" s="2"/>
      </tp>
      <tp t="s">
        <v>#N/A N/A</v>
        <stp/>
        <stp>BDP|2253646091375957394</stp>
        <tr r="D1714" s="2"/>
      </tp>
      <tp t="s">
        <v>#N/A N/A</v>
        <stp/>
        <stp>BDP|9511756623752524512</stp>
        <tr r="F322" s="2"/>
      </tp>
      <tp t="s">
        <v>#N/A N/A</v>
        <stp/>
        <stp>BDP|1426985969284400165</stp>
        <tr r="D1080" s="2"/>
      </tp>
      <tp t="s">
        <v>#N/A N/A</v>
        <stp/>
        <stp>BDP|2057293595174852632</stp>
        <tr r="D1719" s="2"/>
      </tp>
      <tp t="s">
        <v>#N/A N/A</v>
        <stp/>
        <stp>BDP|4401177746668247205</stp>
        <tr r="N1377" s="2"/>
      </tp>
      <tp t="s">
        <v>#N/A N/A</v>
        <stp/>
        <stp>BDP|5213546743426024921</stp>
        <tr r="F1890" s="2"/>
      </tp>
      <tp t="s">
        <v>#N/A N/A</v>
        <stp/>
        <stp>BDP|1606879245214628259</stp>
        <tr r="F306" s="2"/>
      </tp>
      <tp t="s">
        <v>#N/A N/A</v>
        <stp/>
        <stp>BDP|3798078886072218230</stp>
        <tr r="R756" s="2"/>
      </tp>
      <tp t="s">
        <v>#N/A N/A</v>
        <stp/>
        <stp>BDP|5858732418540601822</stp>
        <tr r="F2216" s="2"/>
      </tp>
      <tp t="s">
        <v>#N/A N/A</v>
        <stp/>
        <stp>BDP|8439630344411049040</stp>
        <tr r="D440" s="2"/>
      </tp>
      <tp t="s">
        <v>#N/A N/A</v>
        <stp/>
        <stp>BDS|6238333396123505451</stp>
        <tr r="I2066" s="2"/>
      </tp>
      <tp t="s">
        <v>#N/A N/A</v>
        <stp/>
        <stp>BDP|8431267093570073864</stp>
        <tr r="S2024" s="2"/>
      </tp>
      <tp t="s">
        <v>#N/A N/A</v>
        <stp/>
        <stp>BDP|9771541014357705177</stp>
        <tr r="K1992" s="2"/>
      </tp>
      <tp t="s">
        <v>#N/A N/A</v>
        <stp/>
        <stp>BDP|4856492701448136362</stp>
        <tr r="R1252" s="2"/>
      </tp>
      <tp t="s">
        <v>#N/A N/A</v>
        <stp/>
        <stp>BDP|9376159858953074592</stp>
        <tr r="M1857" s="2"/>
      </tp>
      <tp t="s">
        <v>#N/A N/A</v>
        <stp/>
        <stp>BDP|3971167412751278982</stp>
        <tr r="M2187" s="2"/>
      </tp>
      <tp t="s">
        <v>#N/A N/A</v>
        <stp/>
        <stp>BDP|9695284349783816789</stp>
        <tr r="T2232" s="2"/>
      </tp>
      <tp t="s">
        <v>#N/A N/A</v>
        <stp/>
        <stp>BDP|6232585980070865052</stp>
        <tr r="T1619" s="2"/>
      </tp>
      <tp t="s">
        <v>#N/A N/A</v>
        <stp/>
        <stp>BDP|1282431452459769239</stp>
        <tr r="R1313" s="2"/>
      </tp>
      <tp t="s">
        <v>#N/A N/A</v>
        <stp/>
        <stp>BDP|3883574149211537848</stp>
        <tr r="T1487" s="2"/>
      </tp>
      <tp t="s">
        <v>#N/A N/A</v>
        <stp/>
        <stp>BDP|6293772914899573231</stp>
        <tr r="M1388" s="2"/>
      </tp>
      <tp t="s">
        <v>#N/A N/A</v>
        <stp/>
        <stp>BDP|6793888347987646699</stp>
        <tr r="C863" s="2"/>
      </tp>
      <tp t="s">
        <v>#N/A N/A</v>
        <stp/>
        <stp>BDP|7336236069290600882</stp>
        <tr r="F1740" s="2"/>
      </tp>
      <tp t="s">
        <v>#N/A N/A</v>
        <stp/>
        <stp>BDP|5713475876168145504</stp>
        <tr r="M1380" s="2"/>
      </tp>
      <tp t="s">
        <v>#N/A N/A</v>
        <stp/>
        <stp>BDP|3403638427924445831</stp>
        <tr r="H1820" s="2"/>
      </tp>
      <tp t="s">
        <v>#N/A N/A</v>
        <stp/>
        <stp>BDP|9316733846564614572</stp>
        <tr r="N1148" s="2"/>
      </tp>
      <tp t="s">
        <v>#N/A N/A</v>
        <stp/>
        <stp>BDP|9411474474603039204</stp>
        <tr r="G338" s="2"/>
      </tp>
      <tp t="s">
        <v>#N/A N/A</v>
        <stp/>
        <stp>BDP|6333840841694999588</stp>
        <tr r="J1283" s="2"/>
      </tp>
      <tp t="s">
        <v>#N/A N/A</v>
        <stp/>
        <stp>BDP|8327950935838348179</stp>
        <tr r="T1270" s="2"/>
      </tp>
      <tp t="s">
        <v>#N/A N/A</v>
        <stp/>
        <stp>BDP|1497801294258756308</stp>
        <tr r="K836" s="2"/>
      </tp>
      <tp t="s">
        <v>#N/A N/A</v>
        <stp/>
        <stp>BDP|6285620038998830075</stp>
        <tr r="N1511" s="2"/>
      </tp>
      <tp t="s">
        <v>#N/A N/A</v>
        <stp/>
        <stp>BDP|6432186991390278586</stp>
        <tr r="A192" s="2"/>
      </tp>
      <tp t="s">
        <v>#N/A N/A</v>
        <stp/>
        <stp>BDP|9056586561963683284</stp>
        <tr r="O1539" s="2"/>
      </tp>
      <tp t="s">
        <v>#N/A N/A</v>
        <stp/>
        <stp>BDP|1205687289241264565</stp>
        <tr r="A2072" s="2"/>
      </tp>
      <tp t="s">
        <v>#N/A N/A</v>
        <stp/>
        <stp>BDP|8504067307505148620</stp>
        <tr r="C1502" s="2"/>
      </tp>
      <tp t="s">
        <v>#N/A N/A</v>
        <stp/>
        <stp>BDP|7925941703585890019</stp>
        <tr r="Q2195" s="2"/>
      </tp>
      <tp t="s">
        <v>#N/A N/A</v>
        <stp/>
        <stp>BDP|6629568608289441185</stp>
        <tr r="O1395" s="2"/>
      </tp>
      <tp t="s">
        <v>#N/A N/A</v>
        <stp/>
        <stp>BDP|6358365586974317241</stp>
        <tr r="O935" s="2"/>
      </tp>
      <tp t="s">
        <v>#N/A N/A</v>
        <stp/>
        <stp>BDS|4005271219764399895</stp>
        <tr r="I1389" s="2"/>
      </tp>
      <tp t="s">
        <v>#N/A N/A</v>
        <stp/>
        <stp>BDP|6838319519748120756</stp>
        <tr r="G1878" s="2"/>
      </tp>
      <tp t="s">
        <v>#N/A N/A</v>
        <stp/>
        <stp>BDP|1534276411229188066</stp>
        <tr r="M659" s="2"/>
      </tp>
      <tp t="s">
        <v>#N/A N/A</v>
        <stp/>
        <stp>BDP|8869338457156973311</stp>
        <tr r="T1685" s="2"/>
      </tp>
      <tp t="s">
        <v>#N/A N/A</v>
        <stp/>
        <stp>BDP|9490387360315866203</stp>
        <tr r="H2149" s="2"/>
      </tp>
      <tp t="s">
        <v>#N/A N/A</v>
        <stp/>
        <stp>BDP|5486026301339441771</stp>
        <tr r="F325" s="2"/>
      </tp>
      <tp t="s">
        <v>#N/A N/A</v>
        <stp/>
        <stp>BDP|1652144569054682991</stp>
        <tr r="J1701" s="2"/>
      </tp>
      <tp t="s">
        <v>#N/A N/A</v>
        <stp/>
        <stp>BDP|3727278011262511901</stp>
        <tr r="H1105" s="2"/>
      </tp>
      <tp t="s">
        <v>#N/A N/A</v>
        <stp/>
        <stp>BDP|7794543683067408602</stp>
        <tr r="F388" s="2"/>
      </tp>
      <tp t="s">
        <v>#N/A N/A</v>
        <stp/>
        <stp>BDP|5656955640784795706</stp>
        <tr r="S1009" s="2"/>
      </tp>
      <tp t="s">
        <v>#N/A N/A</v>
        <stp/>
        <stp>BDP|4817505265485086990</stp>
        <tr r="G310" s="2"/>
      </tp>
      <tp t="s">
        <v>#N/A N/A</v>
        <stp/>
        <stp>BDP|3742435194201780430</stp>
        <tr r="G1670" s="2"/>
      </tp>
      <tp t="s">
        <v>#N/A N/A</v>
        <stp/>
        <stp>BDS|6003064090692133639</stp>
        <tr r="I1748" s="2"/>
      </tp>
      <tp t="s">
        <v>#N/A N/A</v>
        <stp/>
        <stp>BDP|2892823285121330882</stp>
        <tr r="G938" s="2"/>
      </tp>
      <tp t="s">
        <v>#N/A N/A</v>
        <stp/>
        <stp>BDP|8496424404566539131</stp>
        <tr r="F939" s="2"/>
      </tp>
      <tp t="s">
        <v>#N/A N/A</v>
        <stp/>
        <stp>BDP|6151558834232411904</stp>
        <tr r="T1627" s="2"/>
      </tp>
      <tp t="s">
        <v>#N/A N/A</v>
        <stp/>
        <stp>BDP|5499728973468310629</stp>
        <tr r="S1183" s="2"/>
      </tp>
      <tp t="s">
        <v>#N/A N/A</v>
        <stp/>
        <stp>BDP|3916044939392286923</stp>
        <tr r="F29" s="2"/>
      </tp>
      <tp t="s">
        <v>#N/A N/A</v>
        <stp/>
        <stp>BDP|6199197989330403410</stp>
        <tr r="Q1178" s="2"/>
      </tp>
      <tp t="s">
        <v>#N/A N/A</v>
        <stp/>
        <stp>BDP|4693865047134312701</stp>
        <tr r="M2237" s="2"/>
      </tp>
      <tp t="s">
        <v>#N/A N/A</v>
        <stp/>
        <stp>BDP|8274357133473002008</stp>
        <tr r="O1764" s="2"/>
      </tp>
      <tp t="s">
        <v>#N/A N/A</v>
        <stp/>
        <stp>BDP|7198859786489785510</stp>
        <tr r="S1894" s="2"/>
      </tp>
      <tp t="s">
        <v>#N/A N/A</v>
        <stp/>
        <stp>BDP|1308709211535137973</stp>
        <tr r="K1506" s="2"/>
      </tp>
      <tp t="s">
        <v>#N/A N/A</v>
        <stp/>
        <stp>BDP|2771922239997074487</stp>
        <tr r="R702" s="2"/>
      </tp>
      <tp t="s">
        <v>#N/A N/A</v>
        <stp/>
        <stp>BDP|5751898762675049583</stp>
        <tr r="C1295" s="2"/>
      </tp>
      <tp t="s">
        <v>#N/A N/A</v>
        <stp/>
        <stp>BDP|6043392861631491985</stp>
        <tr r="G26" s="2"/>
      </tp>
      <tp t="s">
        <v>#N/A N/A</v>
        <stp/>
        <stp>BDP|8185243511028534857</stp>
        <tr r="Q1452" s="2"/>
      </tp>
      <tp t="s">
        <v>#N/A N/A</v>
        <stp/>
        <stp>BDP|1997800609496768434</stp>
        <tr r="C197" s="2"/>
      </tp>
      <tp t="s">
        <v>#N/A N/A</v>
        <stp/>
        <stp>BDP|1482965400746020567</stp>
        <tr r="A1483" s="2"/>
      </tp>
      <tp t="s">
        <v>#N/A N/A</v>
        <stp/>
        <stp>BDP|1720688572349162280</stp>
        <tr r="R720" s="2"/>
      </tp>
      <tp t="s">
        <v>#N/A N/A</v>
        <stp/>
        <stp>BDP|6828731769205095967</stp>
        <tr r="Q1908" s="2"/>
      </tp>
      <tp t="s">
        <v>#N/A N/A</v>
        <stp/>
        <stp>BDP|5663359515459557570</stp>
        <tr r="S220" s="2"/>
      </tp>
      <tp t="s">
        <v>#N/A N/A</v>
        <stp/>
        <stp>BDP|4286934066273477377</stp>
        <tr r="Q988" s="2"/>
      </tp>
      <tp t="s">
        <v>#N/A N/A</v>
        <stp/>
        <stp>BDP|6087411975488274624</stp>
        <tr r="N630" s="2"/>
      </tp>
      <tp t="s">
        <v>#N/A N/A</v>
        <stp/>
        <stp>BDP|7798316585383756407</stp>
        <tr r="H1182" s="2"/>
      </tp>
      <tp t="s">
        <v>#N/A N/A</v>
        <stp/>
        <stp>BDP|8522274879832795489</stp>
        <tr r="M950" s="2"/>
      </tp>
      <tp t="s">
        <v>#N/A N/A</v>
        <stp/>
        <stp>BDP|7652255683393352578</stp>
        <tr r="R2035" s="2"/>
      </tp>
      <tp t="s">
        <v>#N/A N/A</v>
        <stp/>
        <stp>BDP|3467477396653889691</stp>
        <tr r="C495" s="2"/>
      </tp>
      <tp t="s">
        <v>#N/A N/A</v>
        <stp/>
        <stp>BDP|9447761076192627068</stp>
        <tr r="H736" s="2"/>
      </tp>
      <tp t="s">
        <v>#N/A N/A</v>
        <stp/>
        <stp>BDP|1265829346180274607</stp>
        <tr r="T381" s="2"/>
      </tp>
      <tp t="s">
        <v>#N/A N/A</v>
        <stp/>
        <stp>BDP|8185932482802215062</stp>
        <tr r="E290" s="2"/>
      </tp>
      <tp t="s">
        <v>#N/A N/A</v>
        <stp/>
        <stp>BDP|8328603992435224976</stp>
        <tr r="H1075" s="2"/>
      </tp>
      <tp t="s">
        <v>#N/A N/A</v>
        <stp/>
        <stp>BDP|7653342162179676020</stp>
        <tr r="T926" s="2"/>
      </tp>
      <tp t="s">
        <v>#N/A N/A</v>
        <stp/>
        <stp>BDP|9034343740735609066</stp>
        <tr r="M898" s="2"/>
      </tp>
      <tp t="s">
        <v>#N/A N/A</v>
        <stp/>
        <stp>BDP|1317580142583455890</stp>
        <tr r="N716" s="2"/>
      </tp>
      <tp t="s">
        <v>#N/A N/A</v>
        <stp/>
        <stp>BDP|9454574452422536006</stp>
        <tr r="F1320" s="2"/>
      </tp>
      <tp t="s">
        <v>#N/A N/A</v>
        <stp/>
        <stp>BDS|2128229299281636389</stp>
        <tr r="I466" s="2"/>
      </tp>
      <tp t="s">
        <v>#N/A N/A</v>
        <stp/>
        <stp>BDP|1659027674094620920</stp>
        <tr r="G1545" s="2"/>
      </tp>
      <tp t="s">
        <v>#N/A N/A</v>
        <stp/>
        <stp>BDP|2439093303751349893</stp>
        <tr r="D353" s="2"/>
      </tp>
      <tp t="s">
        <v>#N/A N/A</v>
        <stp/>
        <stp>BDP|4573815015067134141</stp>
        <tr r="P797" s="2"/>
      </tp>
      <tp t="s">
        <v>#N/A N/A</v>
        <stp/>
        <stp>BDP|3369309362505639839</stp>
        <tr r="R1921" s="2"/>
      </tp>
      <tp t="s">
        <v>#N/A N/A</v>
        <stp/>
        <stp>BDP|1522297028363542951</stp>
        <tr r="F6" s="2"/>
      </tp>
      <tp t="s">
        <v>#N/A N/A</v>
        <stp/>
        <stp>BDP|1696339722793318805</stp>
        <tr r="J2155" s="2"/>
      </tp>
      <tp t="s">
        <v>#N/A N/A</v>
        <stp/>
        <stp>BDP|3620547003629382468</stp>
        <tr r="S840" s="2"/>
      </tp>
      <tp t="s">
        <v>#N/A N/A</v>
        <stp/>
        <stp>BDP|5157754516011243946</stp>
        <tr r="E634" s="2"/>
      </tp>
      <tp t="s">
        <v>#N/A N/A</v>
        <stp/>
        <stp>BDP|5613230819415806806</stp>
        <tr r="N1399" s="2"/>
      </tp>
      <tp t="s">
        <v>#N/A N/A</v>
        <stp/>
        <stp>BDP|2996098307640329906</stp>
        <tr r="C1563" s="2"/>
      </tp>
      <tp t="s">
        <v>#N/A N/A</v>
        <stp/>
        <stp>BDP|7649934333672564473</stp>
        <tr r="E1945" s="2"/>
      </tp>
      <tp t="s">
        <v>#N/A N/A</v>
        <stp/>
        <stp>BDS|2092183291456463799</stp>
        <tr r="I1179" s="2"/>
      </tp>
      <tp t="s">
        <v>#N/A N/A</v>
        <stp/>
        <stp>BDP|5707963320971613439</stp>
        <tr r="E1962" s="2"/>
      </tp>
      <tp t="s">
        <v>#N/A N/A</v>
        <stp/>
        <stp>BDP|6436976486418752466</stp>
        <tr r="A835" s="2"/>
      </tp>
      <tp t="s">
        <v>#N/A N/A</v>
        <stp/>
        <stp>BDP|9065859411728682362</stp>
        <tr r="J952" s="2"/>
      </tp>
      <tp t="s">
        <v>#N/A N/A</v>
        <stp/>
        <stp>BDS|1230834862461636511</stp>
        <tr r="I1235" s="2"/>
      </tp>
      <tp t="s">
        <v>#N/A N/A</v>
        <stp/>
        <stp>BDP|1605291390327360681</stp>
        <tr r="T2123" s="2"/>
      </tp>
      <tp t="s">
        <v>#N/A N/A</v>
        <stp/>
        <stp>BDP|7913864329443643540</stp>
        <tr r="G1586" s="2"/>
      </tp>
      <tp t="s">
        <v>#N/A N/A</v>
        <stp/>
        <stp>BDP|1926789406279046438</stp>
        <tr r="P1753" s="2"/>
      </tp>
      <tp t="s">
        <v>#N/A N/A</v>
        <stp/>
        <stp>BDP|6459692456259687798</stp>
        <tr r="K2042" s="2"/>
      </tp>
      <tp t="s">
        <v>#N/A N/A</v>
        <stp/>
        <stp>BDP|4115823313050059642</stp>
        <tr r="N2092" s="2"/>
      </tp>
      <tp t="s">
        <v>#N/A N/A</v>
        <stp/>
        <stp>BDP|9651213176727420017</stp>
        <tr r="M1254" s="2"/>
      </tp>
      <tp t="s">
        <v>#N/A N/A</v>
        <stp/>
        <stp>BDS|6452848304622580754</stp>
        <tr r="I982" s="2"/>
      </tp>
      <tp t="s">
        <v>#N/A N/A</v>
        <stp/>
        <stp>BDP|7457455429573866944</stp>
        <tr r="O1933" s="2"/>
      </tp>
      <tp t="s">
        <v>#N/A N/A</v>
        <stp/>
        <stp>BDP|1702595657543418996</stp>
        <tr r="E44" s="2"/>
      </tp>
      <tp t="s">
        <v>#N/A N/A</v>
        <stp/>
        <stp>BDP|5646308407829139440</stp>
        <tr r="M723" s="2"/>
      </tp>
      <tp t="s">
        <v>#N/A N/A</v>
        <stp/>
        <stp>BDP|7188201572810578920</stp>
        <tr r="A1972" s="2"/>
      </tp>
      <tp t="s">
        <v>#N/A N/A</v>
        <stp/>
        <stp>BDP|9510816097442541121</stp>
        <tr r="D1132" s="2"/>
      </tp>
      <tp t="s">
        <v>#N/A N/A</v>
        <stp/>
        <stp>BDP|3918646817036744995</stp>
        <tr r="J1551" s="2"/>
      </tp>
      <tp t="s">
        <v>#N/A N/A</v>
        <stp/>
        <stp>BDP|6556618056319516739</stp>
        <tr r="J585" s="2"/>
      </tp>
      <tp t="s">
        <v>#N/A N/A</v>
        <stp/>
        <stp>BDP|7805145205509806456</stp>
        <tr r="P2064" s="2"/>
      </tp>
      <tp t="s">
        <v>#N/A N/A</v>
        <stp/>
        <stp>BDS|6534303994986296175</stp>
        <tr r="I2147" s="2"/>
      </tp>
      <tp t="s">
        <v>#N/A N/A</v>
        <stp/>
        <stp>BDP|3247416900854397845</stp>
        <tr r="H358" s="2"/>
      </tp>
      <tp t="s">
        <v>#N/A N/A</v>
        <stp/>
        <stp>BDP|7334223779280974953</stp>
        <tr r="E75" s="2"/>
      </tp>
      <tp t="s">
        <v>#N/A N/A</v>
        <stp/>
        <stp>BDP|1184831057811081600</stp>
        <tr r="F981" s="2"/>
      </tp>
      <tp t="s">
        <v>#N/A N/A</v>
        <stp/>
        <stp>BDP|8184429074361727159</stp>
        <tr r="E285" s="2"/>
      </tp>
      <tp t="s">
        <v>#N/A N/A</v>
        <stp/>
        <stp>BDP|6284201537355713972</stp>
        <tr r="H323" s="2"/>
      </tp>
      <tp t="s">
        <v>#N/A N/A</v>
        <stp/>
        <stp>BDP|8193172120157350706</stp>
        <tr r="J243" s="2"/>
      </tp>
      <tp t="s">
        <v>#N/A N/A</v>
        <stp/>
        <stp>BDP|2292561396183269656</stp>
        <tr r="F1636" s="2"/>
      </tp>
      <tp t="s">
        <v>#N/A N/A</v>
        <stp/>
        <stp>BDP|4490435784020067363</stp>
        <tr r="K1584" s="2"/>
      </tp>
      <tp t="s">
        <v>#N/A N/A</v>
        <stp/>
        <stp>BDP|4760937847093113179</stp>
        <tr r="Q1045" s="2"/>
      </tp>
      <tp t="s">
        <v>#N/A N/A</v>
        <stp/>
        <stp>BDP|7162487746634279889</stp>
        <tr r="G1844" s="2"/>
      </tp>
      <tp t="s">
        <v>#N/A N/A</v>
        <stp/>
        <stp>BDP|5489735603739348026</stp>
        <tr r="P169" s="2"/>
      </tp>
      <tp t="s">
        <v>#N/A N/A</v>
        <stp/>
        <stp>BDP|3899745959532393838</stp>
        <tr r="C328" s="2"/>
      </tp>
      <tp t="s">
        <v>#N/A N/A</v>
        <stp/>
        <stp>BDP|4527674323982150952</stp>
        <tr r="S1862" s="2"/>
      </tp>
      <tp t="s">
        <v>#N/A N/A</v>
        <stp/>
        <stp>BDP|7624422287488493825</stp>
        <tr r="O1911" s="2"/>
      </tp>
      <tp t="s">
        <v>#N/A N/A</v>
        <stp/>
        <stp>BDP|5347485403618989247</stp>
        <tr r="F650" s="2"/>
      </tp>
      <tp t="s">
        <v>#N/A N/A</v>
        <stp/>
        <stp>BDP|7184077596317125245</stp>
        <tr r="R2176" s="2"/>
      </tp>
      <tp t="s">
        <v>#N/A N/A</v>
        <stp/>
        <stp>BDP|5325659466636224874</stp>
        <tr r="J302" s="2"/>
      </tp>
      <tp t="s">
        <v>#N/A N/A</v>
        <stp/>
        <stp>BDP|8062434138120792491</stp>
        <tr r="H2055" s="2"/>
      </tp>
      <tp t="s">
        <v>#N/A N/A</v>
        <stp/>
        <stp>BDP|8599164595748720343</stp>
        <tr r="P787" s="2"/>
      </tp>
      <tp t="s">
        <v>#N/A N/A</v>
        <stp/>
        <stp>BDP|2113459619765037986</stp>
        <tr r="N1108" s="2"/>
      </tp>
      <tp t="s">
        <v>#N/A N/A</v>
        <stp/>
        <stp>BDS|9763226138934038783</stp>
        <tr r="I691" s="2"/>
      </tp>
      <tp t="s">
        <v>#N/A N/A</v>
        <stp/>
        <stp>BDP|1748246556924125913</stp>
        <tr r="T2141" s="2"/>
      </tp>
      <tp t="s">
        <v>#N/A N/A</v>
        <stp/>
        <stp>BDP|8021990664814153892</stp>
        <tr r="J1206" s="2"/>
      </tp>
      <tp t="s">
        <v>#N/A N/A</v>
        <stp/>
        <stp>BDP|8890502129267252361</stp>
        <tr r="R1497" s="2"/>
      </tp>
      <tp t="s">
        <v>#N/A N/A</v>
        <stp/>
        <stp>BDP|3954313987627992434</stp>
        <tr r="H152" s="2"/>
      </tp>
      <tp t="s">
        <v>#N/A N/A</v>
        <stp/>
        <stp>BDP|7657232227494263859</stp>
        <tr r="N1339" s="2"/>
      </tp>
      <tp t="s">
        <v>#N/A N/A</v>
        <stp/>
        <stp>BDP|6163491805698965118</stp>
        <tr r="P1293" s="2"/>
      </tp>
      <tp t="s">
        <v>#N/A N/A</v>
        <stp/>
        <stp>BDP|3860832551870926560</stp>
        <tr r="K122" s="2"/>
      </tp>
      <tp t="s">
        <v>#N/A N/A</v>
        <stp/>
        <stp>BDS|3367106635822016834</stp>
        <tr r="I64" s="2"/>
      </tp>
      <tp t="s">
        <v>#N/A N/A</v>
        <stp/>
        <stp>BDP|2201050403921600877</stp>
        <tr r="J735" s="2"/>
      </tp>
      <tp t="s">
        <v>#N/A N/A</v>
        <stp/>
        <stp>BDP|1107868572511331430</stp>
        <tr r="D1495" s="2"/>
      </tp>
      <tp t="s">
        <v>#N/A N/A</v>
        <stp/>
        <stp>BDP|8596732702061908585</stp>
        <tr r="E124" s="2"/>
      </tp>
      <tp t="s">
        <v>#N/A N/A</v>
        <stp/>
        <stp>BDP|1141293541955594996</stp>
        <tr r="G46" s="2"/>
      </tp>
      <tp t="s">
        <v>#N/A N/A</v>
        <stp/>
        <stp>BDP|5860666117741435885</stp>
        <tr r="C1461" s="2"/>
      </tp>
      <tp t="s">
        <v>#N/A N/A</v>
        <stp/>
        <stp>BDP|6693606364475524828</stp>
        <tr r="C2040" s="2"/>
      </tp>
      <tp t="s">
        <v>#N/A N/A</v>
        <stp/>
        <stp>BDP|3270720693981493726</stp>
        <tr r="Q1129" s="2"/>
      </tp>
      <tp t="s">
        <v>#N/A N/A</v>
        <stp/>
        <stp>BDP|8236454362766229723</stp>
        <tr r="G468" s="2"/>
      </tp>
      <tp t="s">
        <v>#N/A N/A</v>
        <stp/>
        <stp>BDP|4360225340488700136</stp>
        <tr r="T337" s="2"/>
      </tp>
      <tp t="s">
        <v>#N/A N/A</v>
        <stp/>
        <stp>BDP|1019847011946869589</stp>
        <tr r="R1454" s="2"/>
      </tp>
      <tp t="s">
        <v>#N/A N/A</v>
        <stp/>
        <stp>BDP|7009570538082911831</stp>
        <tr r="K1392" s="2"/>
      </tp>
      <tp t="s">
        <v>#N/A N/A</v>
        <stp/>
        <stp>BDP|7280608364828091431</stp>
        <tr r="F1596" s="2"/>
      </tp>
      <tp t="s">
        <v>#N/A N/A</v>
        <stp/>
        <stp>BDP|7441841312525633013</stp>
        <tr r="S1514" s="2"/>
      </tp>
      <tp t="s">
        <v>#N/A N/A</v>
        <stp/>
        <stp>BDP|8072630187499471454</stp>
        <tr r="A2088" s="2"/>
      </tp>
      <tp t="s">
        <v>#N/A N/A</v>
        <stp/>
        <stp>BDP|5034801222035036172</stp>
        <tr r="T1888" s="2"/>
      </tp>
      <tp t="s">
        <v>#N/A N/A</v>
        <stp/>
        <stp>BDP|1367737196622038637</stp>
        <tr r="P1479" s="2"/>
      </tp>
      <tp t="s">
        <v>#N/A N/A</v>
        <stp/>
        <stp>BDP|3859262398853141028</stp>
        <tr r="M1467" s="2"/>
      </tp>
      <tp t="s">
        <v>#N/A N/A</v>
        <stp/>
        <stp>BDP|4265662180288457950</stp>
        <tr r="E1173" s="2"/>
      </tp>
      <tp t="s">
        <v>#N/A N/A</v>
        <stp/>
        <stp>BDP|7944971954096840673</stp>
        <tr r="Q1236" s="2"/>
      </tp>
      <tp t="s">
        <v>#N/A N/A</v>
        <stp/>
        <stp>BDP|2410179782934704433</stp>
        <tr r="K333" s="2"/>
      </tp>
      <tp t="s">
        <v>#N/A N/A</v>
        <stp/>
        <stp>BDP|3039807665741788779</stp>
        <tr r="D265" s="2"/>
      </tp>
      <tp t="s">
        <v>#N/A N/A</v>
        <stp/>
        <stp>BDP|8393135174970026515</stp>
        <tr r="F2048" s="2"/>
      </tp>
      <tp t="s">
        <v>#N/A N/A</v>
        <stp/>
        <stp>BDP|3641324116569308347</stp>
        <tr r="E1848" s="2"/>
      </tp>
      <tp t="s">
        <v>#N/A N/A</v>
        <stp/>
        <stp>BDP|9321600040664318457</stp>
        <tr r="H1312" s="2"/>
      </tp>
      <tp t="s">
        <v>#N/A N/A</v>
        <stp/>
        <stp>BDP|9448831017332633937</stp>
        <tr r="T552" s="2"/>
      </tp>
      <tp t="s">
        <v>#N/A N/A</v>
        <stp/>
        <stp>BDP|9405240647003245701</stp>
        <tr r="E2220" s="2"/>
      </tp>
      <tp t="s">
        <v>#N/A N/A</v>
        <stp/>
        <stp>BDP|6647063273639546330</stp>
        <tr r="K1693" s="2"/>
      </tp>
      <tp t="s">
        <v>#N/A N/A</v>
        <stp/>
        <stp>BDP|8276525427250519474</stp>
        <tr r="G765" s="2"/>
      </tp>
      <tp t="s">
        <v>#N/A N/A</v>
        <stp/>
        <stp>BDP|3343408746131897980</stp>
        <tr r="S1395" s="2"/>
      </tp>
      <tp t="s">
        <v>#N/A N/A</v>
        <stp/>
        <stp>BDP|6852102220226873856</stp>
        <tr r="C736" s="2"/>
      </tp>
      <tp t="s">
        <v>#N/A N/A</v>
        <stp/>
        <stp>BDP|8167112643654335255</stp>
        <tr r="F1400" s="2"/>
      </tp>
      <tp t="s">
        <v>#N/A N/A</v>
        <stp/>
        <stp>BDP|1246126510482019853</stp>
        <tr r="F616" s="2"/>
      </tp>
      <tp t="s">
        <v>#N/A N/A</v>
        <stp/>
        <stp>BDP|3826198251428228478</stp>
        <tr r="P2126" s="2"/>
      </tp>
      <tp t="s">
        <v>#N/A N/A</v>
        <stp/>
        <stp>BDP|4099941290177884895</stp>
        <tr r="P1227" s="2"/>
      </tp>
      <tp t="s">
        <v>#N/A N/A</v>
        <stp/>
        <stp>BDP|7685128711488090409</stp>
        <tr r="Q1053" s="2"/>
      </tp>
      <tp t="s">
        <v>#N/A N/A</v>
        <stp/>
        <stp>BDS|3766163927608271310</stp>
        <tr r="I226" s="2"/>
      </tp>
      <tp t="s">
        <v>#N/A N/A</v>
        <stp/>
        <stp>BDP|1216270920808998296</stp>
        <tr r="F1011" s="2"/>
      </tp>
      <tp t="s">
        <v>#N/A N/A</v>
        <stp/>
        <stp>BDP|1563555596763240516</stp>
        <tr r="C1604" s="2"/>
      </tp>
      <tp t="s">
        <v>#N/A N/A</v>
        <stp/>
        <stp>BDP|6198636314179391301</stp>
        <tr r="F1274" s="2"/>
      </tp>
      <tp t="s">
        <v>#N/A N/A</v>
        <stp/>
        <stp>BDP|8660271904668546953</stp>
        <tr r="E1426" s="2"/>
      </tp>
      <tp t="s">
        <v>#N/A N/A</v>
        <stp/>
        <stp>BDP|7370139701856266499</stp>
        <tr r="S1385" s="2"/>
      </tp>
      <tp t="s">
        <v>#N/A N/A</v>
        <stp/>
        <stp>BDP|3507918731998886570</stp>
        <tr r="H2115" s="2"/>
      </tp>
      <tp t="s">
        <v>#N/A N/A</v>
        <stp/>
        <stp>BDP|2799101817786930035</stp>
        <tr r="O1244" s="2"/>
      </tp>
      <tp t="s">
        <v>#N/A N/A</v>
        <stp/>
        <stp>BDP|3569483587718534358</stp>
        <tr r="H1857" s="2"/>
      </tp>
      <tp t="s">
        <v>#N/A N/A</v>
        <stp/>
        <stp>BDP|7043121436379675889</stp>
        <tr r="S1477" s="2"/>
      </tp>
      <tp t="s">
        <v>#N/A N/A</v>
        <stp/>
        <stp>BDP|8502525377229284787</stp>
        <tr r="N1742" s="2"/>
      </tp>
      <tp t="s">
        <v>#N/A N/A</v>
        <stp/>
        <stp>BDP|3891488395373786982</stp>
        <tr r="R753" s="2"/>
      </tp>
      <tp t="s">
        <v>#N/A N/A</v>
        <stp/>
        <stp>BDP|3332479154776278082</stp>
        <tr r="O1880" s="2"/>
      </tp>
      <tp t="s">
        <v>#N/A N/A</v>
        <stp/>
        <stp>BDP|6762741942615986421</stp>
        <tr r="F1873" s="2"/>
      </tp>
      <tp t="s">
        <v>#N/A N/A</v>
        <stp/>
        <stp>BDP|8432389473898681032</stp>
        <tr r="J1352" s="2"/>
      </tp>
      <tp t="s">
        <v>#N/A N/A</v>
        <stp/>
        <stp>BDP|2084391583598815586</stp>
        <tr r="J1120" s="2"/>
      </tp>
      <tp t="s">
        <v>#N/A N/A</v>
        <stp/>
        <stp>BDP|5017693861631671048</stp>
        <tr r="F98" s="2"/>
      </tp>
      <tp t="s">
        <v>#N/A N/A</v>
        <stp/>
        <stp>BDP|6404281030892620100</stp>
        <tr r="P231" s="2"/>
      </tp>
      <tp t="s">
        <v>#N/A N/A</v>
        <stp/>
        <stp>BDP|1536131016432251789</stp>
        <tr r="Q2163" s="2"/>
      </tp>
      <tp t="s">
        <v>#N/A N/A</v>
        <stp/>
        <stp>BDP|3036223026524880367</stp>
        <tr r="S901" s="2"/>
      </tp>
      <tp t="s">
        <v>#N/A N/A</v>
        <stp/>
        <stp>BDP|2622591614964415651</stp>
        <tr r="O1743" s="2"/>
      </tp>
      <tp t="s">
        <v>#N/A N/A</v>
        <stp/>
        <stp>BDP|7085304893309921007</stp>
        <tr r="M1622" s="2"/>
      </tp>
      <tp t="s">
        <v>#N/A N/A</v>
        <stp/>
        <stp>BDP|6259317649500141519</stp>
        <tr r="O745" s="2"/>
      </tp>
      <tp t="s">
        <v>#N/A N/A</v>
        <stp/>
        <stp>BDP|3417508832008858941</stp>
        <tr r="N661" s="2"/>
      </tp>
      <tp t="s">
        <v>#N/A N/A</v>
        <stp/>
        <stp>BDP|9100263221668904558</stp>
        <tr r="A531" s="2"/>
      </tp>
      <tp t="s">
        <v>#N/A N/A</v>
        <stp/>
        <stp>BDP|4642996127469434268</stp>
        <tr r="F680" s="2"/>
      </tp>
      <tp t="s">
        <v>#N/A N/A</v>
        <stp/>
        <stp>BDP|2567879177148741187</stp>
        <tr r="T936" s="2"/>
      </tp>
      <tp t="s">
        <v>#N/A N/A</v>
        <stp/>
        <stp>BDP|6893422323471459577</stp>
        <tr r="N1238" s="2"/>
      </tp>
      <tp t="s">
        <v>#N/A N/A</v>
        <stp/>
        <stp>BDP|4827038964882399466</stp>
        <tr r="F1366" s="2"/>
      </tp>
      <tp t="s">
        <v>#N/A N/A</v>
        <stp/>
        <stp>BDP|5257398942382371405</stp>
        <tr r="H575" s="2"/>
      </tp>
      <tp t="s">
        <v>#N/A N/A</v>
        <stp/>
        <stp>BDP|1826772426922521267</stp>
        <tr r="N2159" s="2"/>
      </tp>
      <tp t="s">
        <v>#N/A N/A</v>
        <stp/>
        <stp>BDP|8776037589006592225</stp>
        <tr r="K303" s="2"/>
      </tp>
      <tp t="s">
        <v>#N/A N/A</v>
        <stp/>
        <stp>BDP|7864530251727696464</stp>
        <tr r="Q517" s="2"/>
      </tp>
      <tp t="s">
        <v>#N/A N/A</v>
        <stp/>
        <stp>BDP|4697047809304467457</stp>
        <tr r="M656" s="2"/>
      </tp>
      <tp t="s">
        <v>#N/A N/A</v>
        <stp/>
        <stp>BDS|5908560290929750423</stp>
        <tr r="I1040" s="2"/>
      </tp>
      <tp t="s">
        <v>#N/A N/A</v>
        <stp/>
        <stp>BDP|5363213958006700079</stp>
        <tr r="C430" s="2"/>
      </tp>
      <tp t="s">
        <v>#N/A N/A</v>
        <stp/>
        <stp>BDP|2050410738863765244</stp>
        <tr r="Q1306" s="2"/>
      </tp>
      <tp t="s">
        <v>#N/A N/A</v>
        <stp/>
        <stp>BDP|6566269078726722165</stp>
        <tr r="G1974" s="2"/>
      </tp>
      <tp t="s">
        <v>#N/A N/A</v>
        <stp/>
        <stp>BDP|9386972065514370687</stp>
        <tr r="S601" s="2"/>
      </tp>
      <tp t="s">
        <v>#N/A N/A</v>
        <stp/>
        <stp>BDP|8903465807099322118</stp>
        <tr r="A92" s="2"/>
      </tp>
      <tp t="s">
        <v>#N/A N/A</v>
        <stp/>
        <stp>BDP|9741609749118337770</stp>
        <tr r="E205" s="2"/>
      </tp>
      <tp t="s">
        <v>#N/A N/A</v>
        <stp/>
        <stp>BDP|8789093691673031651</stp>
        <tr r="T1751" s="2"/>
      </tp>
      <tp t="s">
        <v>#N/A N/A</v>
        <stp/>
        <stp>BDP|9292440798043152352</stp>
        <tr r="A1389" s="2"/>
      </tp>
      <tp t="s">
        <v>#N/A N/A</v>
        <stp/>
        <stp>BDP|8672487651218548508</stp>
        <tr r="A1507" s="2"/>
      </tp>
      <tp t="s">
        <v>#N/A N/A</v>
        <stp/>
        <stp>BDP|7226989825768667034</stp>
        <tr r="G1384" s="2"/>
      </tp>
      <tp t="s">
        <v>#N/A N/A</v>
        <stp/>
        <stp>BDP|7360485932850723447</stp>
        <tr r="E1655" s="2"/>
      </tp>
      <tp t="s">
        <v>#N/A N/A</v>
        <stp/>
        <stp>BDP|9447426058769551511</stp>
        <tr r="G1806" s="2"/>
      </tp>
      <tp t="s">
        <v>#N/A N/A</v>
        <stp/>
        <stp>BDP|6264107419706918486</stp>
        <tr r="Q282" s="2"/>
      </tp>
      <tp t="s">
        <v>#N/A N/A</v>
        <stp/>
        <stp>BDP|3337521601187273585</stp>
        <tr r="A382" s="2"/>
      </tp>
      <tp t="s">
        <v>#N/A N/A</v>
        <stp/>
        <stp>BDP|9527127295842147799</stp>
        <tr r="P331" s="2"/>
      </tp>
      <tp t="s">
        <v>#N/A N/A</v>
        <stp/>
        <stp>BDP|6553147438761700145</stp>
        <tr r="G1651" s="2"/>
      </tp>
      <tp t="s">
        <v>#N/A N/A</v>
        <stp/>
        <stp>BDP|9286375049823175972</stp>
        <tr r="J497" s="2"/>
      </tp>
      <tp t="s">
        <v>#N/A N/A</v>
        <stp/>
        <stp>BDP|2694950898887349125</stp>
        <tr r="O1542" s="2"/>
      </tp>
      <tp t="s">
        <v>#N/A N/A</v>
        <stp/>
        <stp>BDP|2808131167175360456</stp>
        <tr r="F1853" s="2"/>
      </tp>
      <tp t="s">
        <v>#N/A N/A</v>
        <stp/>
        <stp>BDP|5522291077485144103</stp>
        <tr r="P1144" s="2"/>
      </tp>
      <tp t="s">
        <v>#N/A N/A</v>
        <stp/>
        <stp>BDP|5398487641848923994</stp>
        <tr r="N1304" s="2"/>
      </tp>
      <tp t="s">
        <v>#N/A N/A</v>
        <stp/>
        <stp>BDP|7100436008751971695</stp>
        <tr r="N1150" s="2"/>
      </tp>
      <tp t="s">
        <v>#N/A N/A</v>
        <stp/>
        <stp>BDP|4917468518597897256</stp>
        <tr r="R318" s="2"/>
      </tp>
      <tp t="s">
        <v>#N/A N/A</v>
        <stp/>
        <stp>BDP|4973757361865128469</stp>
        <tr r="T1408" s="2"/>
      </tp>
      <tp t="s">
        <v>#N/A N/A</v>
        <stp/>
        <stp>BDS|1130415202697044684</stp>
        <tr r="I1901" s="2"/>
      </tp>
      <tp t="s">
        <v>#N/A N/A</v>
        <stp/>
        <stp>BDS|5130063995640057883</stp>
        <tr r="I1718" s="2"/>
      </tp>
      <tp t="s">
        <v>#N/A N/A</v>
        <stp/>
        <stp>BDP|9995269646012765944</stp>
        <tr r="Q830" s="2"/>
      </tp>
      <tp t="s">
        <v>#N/A N/A</v>
        <stp/>
        <stp>BDP|2915975111677098959</stp>
        <tr r="T366" s="2"/>
      </tp>
      <tp t="s">
        <v>#N/A N/A</v>
        <stp/>
        <stp>BDP|3536663718837299733</stp>
        <tr r="R501" s="2"/>
      </tp>
      <tp t="s">
        <v>#N/A N/A</v>
        <stp/>
        <stp>BDP|8591970685925911844</stp>
        <tr r="N605" s="2"/>
      </tp>
      <tp t="s">
        <v>#N/A N/A</v>
        <stp/>
        <stp>BDP|7901615146058510911</stp>
        <tr r="R803" s="2"/>
      </tp>
      <tp t="s">
        <v>#N/A N/A</v>
        <stp/>
        <stp>BDP|4424533554865151589</stp>
        <tr r="N1374" s="2"/>
      </tp>
      <tp t="s">
        <v>#N/A N/A</v>
        <stp/>
        <stp>BDP|5870993552834090990</stp>
        <tr r="E1618" s="2"/>
      </tp>
      <tp t="s">
        <v>#N/A N/A</v>
        <stp/>
        <stp>BDP|9054884159835847538</stp>
        <tr r="E21" s="2"/>
      </tp>
      <tp t="s">
        <v>#N/A N/A</v>
        <stp/>
        <stp>BDP|5273611951373930113</stp>
        <tr r="M2231" s="2"/>
      </tp>
      <tp t="s">
        <v>#N/A N/A</v>
        <stp/>
        <stp>BDP|7788563542570937208</stp>
        <tr r="M1113" s="2"/>
      </tp>
      <tp t="s">
        <v>#N/A N/A</v>
        <stp/>
        <stp>BDP|7218530761964290484</stp>
        <tr r="Q1140" s="2"/>
      </tp>
      <tp t="s">
        <v>#N/A N/A</v>
        <stp/>
        <stp>BDP|1320453999340479811</stp>
        <tr r="Q917" s="2"/>
      </tp>
      <tp t="s">
        <v>#N/A N/A</v>
        <stp/>
        <stp>BDP|8947136082155271000</stp>
        <tr r="K520" s="2"/>
      </tp>
      <tp t="s">
        <v>#N/A N/A</v>
        <stp/>
        <stp>BDP|7198096767693749629</stp>
        <tr r="N1988" s="2"/>
      </tp>
      <tp t="s">
        <v>#N/A N/A</v>
        <stp/>
        <stp>BDP|7807420445395075650</stp>
        <tr r="C1719" s="2"/>
      </tp>
      <tp t="s">
        <v>#N/A N/A</v>
        <stp/>
        <stp>BDP|2020713182008019194</stp>
        <tr r="N1285" s="2"/>
      </tp>
      <tp t="s">
        <v>#N/A N/A</v>
        <stp/>
        <stp>BDP|2114568859701499700</stp>
        <tr r="S383" s="2"/>
      </tp>
      <tp t="s">
        <v>#N/A N/A</v>
        <stp/>
        <stp>BDP|3464361159972915388</stp>
        <tr r="K1737" s="2"/>
      </tp>
      <tp t="s">
        <v>#N/A N/A</v>
        <stp/>
        <stp>BDP|1436785557114842394</stp>
        <tr r="F811" s="2"/>
      </tp>
      <tp t="s">
        <v>#N/A N/A</v>
        <stp/>
        <stp>BDP|6278090947343026561</stp>
        <tr r="H650" s="2"/>
      </tp>
      <tp t="s">
        <v>#N/A N/A</v>
        <stp/>
        <stp>BDS|6423524988068071745</stp>
        <tr r="I1962" s="2"/>
      </tp>
      <tp t="s">
        <v>#N/A N/A</v>
        <stp/>
        <stp>BDP|3511480893568106253</stp>
        <tr r="H478" s="2"/>
      </tp>
      <tp t="s">
        <v>#N/A N/A</v>
        <stp/>
        <stp>BDP|4107628605186863048</stp>
        <tr r="H957" s="2"/>
      </tp>
      <tp t="s">
        <v>#N/A N/A</v>
        <stp/>
        <stp>BDP|6408221716327217684</stp>
        <tr r="S1649" s="2"/>
      </tp>
      <tp t="s">
        <v>#N/A N/A</v>
        <stp/>
        <stp>BDP|7660699994355338929</stp>
        <tr r="F1371" s="2"/>
      </tp>
      <tp t="s">
        <v>#N/A N/A</v>
        <stp/>
        <stp>BDP|2020802102209817705</stp>
        <tr r="A3" s="2"/>
      </tp>
      <tp t="s">
        <v>#N/A N/A</v>
        <stp/>
        <stp>BDP|3800523572213663641</stp>
        <tr r="J1068" s="2"/>
      </tp>
      <tp t="s">
        <v>#N/A N/A</v>
        <stp/>
        <stp>BDP|9608975135513661480</stp>
        <tr r="E585" s="2"/>
      </tp>
      <tp t="s">
        <v>#N/A N/A</v>
        <stp/>
        <stp>BDP|6846400078960920126</stp>
        <tr r="A1316" s="2"/>
      </tp>
      <tp t="s">
        <v>#N/A N/A</v>
        <stp/>
        <stp>BDP|4381847087876975629</stp>
        <tr r="Q1708" s="2"/>
      </tp>
      <tp t="s">
        <v>#N/A N/A</v>
        <stp/>
        <stp>BDP|8045036819685689875</stp>
        <tr r="N2060" s="2"/>
      </tp>
      <tp t="s">
        <v>#N/A N/A</v>
        <stp/>
        <stp>BDP|8273276981026815079</stp>
        <tr r="M2196" s="2"/>
      </tp>
      <tp t="s">
        <v>#N/A N/A</v>
        <stp/>
        <stp>BDP|3123908436324831942</stp>
        <tr r="E2184" s="2"/>
      </tp>
      <tp t="s">
        <v>#N/A N/A</v>
        <stp/>
        <stp>BDP|6832313567306282173</stp>
        <tr r="G413" s="2"/>
      </tp>
      <tp t="s">
        <v>#N/A N/A</v>
        <stp/>
        <stp>BDP|6265990987976269551</stp>
        <tr r="J797" s="2"/>
      </tp>
      <tp t="s">
        <v>#N/A N/A</v>
        <stp/>
        <stp>BDP|9781914236283866430</stp>
        <tr r="Q927" s="2"/>
      </tp>
      <tp t="s">
        <v>#N/A N/A</v>
        <stp/>
        <stp>BDP|6849176162027424228</stp>
        <tr r="S817" s="2"/>
      </tp>
      <tp t="s">
        <v>#N/A N/A</v>
        <stp/>
        <stp>BDP|3614218991135937943</stp>
        <tr r="E946" s="2"/>
      </tp>
      <tp t="s">
        <v>#N/A N/A</v>
        <stp/>
        <stp>BDP|4854478676077511477</stp>
        <tr r="E639" s="2"/>
      </tp>
      <tp t="s">
        <v>#N/A N/A</v>
        <stp/>
        <stp>BDP|9036162084842060694</stp>
        <tr r="F848" s="2"/>
      </tp>
      <tp t="s">
        <v>#N/A N/A</v>
        <stp/>
        <stp>BDP|7736987547627582961</stp>
        <tr r="E801" s="2"/>
      </tp>
      <tp t="s">
        <v>#N/A N/A</v>
        <stp/>
        <stp>BDP|2685060076088971944</stp>
        <tr r="D1670" s="2"/>
      </tp>
      <tp t="s">
        <v>#N/A N/A</v>
        <stp/>
        <stp>BDS|7358449129954690134</stp>
        <tr r="I2109" s="2"/>
      </tp>
      <tp t="s">
        <v>#N/A N/A</v>
        <stp/>
        <stp>BDP|4120199050084571067</stp>
        <tr r="T1835" s="2"/>
      </tp>
      <tp t="s">
        <v>#N/A N/A</v>
        <stp/>
        <stp>BDP|4848978306260657940</stp>
        <tr r="C97" s="2"/>
      </tp>
      <tp t="s">
        <v>#N/A N/A</v>
        <stp/>
        <stp>BDP|7091629188088782563</stp>
        <tr r="K2193" s="2"/>
      </tp>
      <tp t="s">
        <v>#N/A N/A</v>
        <stp/>
        <stp>BDP|7086762295269825400</stp>
        <tr r="O1446" s="2"/>
      </tp>
      <tp t="s">
        <v>#N/A N/A</v>
        <stp/>
        <stp>BDS|4189036950333833617</stp>
        <tr r="I1359" s="2"/>
      </tp>
      <tp t="s">
        <v>#N/A N/A</v>
        <stp/>
        <stp>BDP|7890944153278358770</stp>
        <tr r="P1742" s="2"/>
      </tp>
      <tp t="s">
        <v>#N/A N/A</v>
        <stp/>
        <stp>BDP|1818043465967502471</stp>
        <tr r="G1678" s="2"/>
      </tp>
      <tp t="s">
        <v>#N/A N/A</v>
        <stp/>
        <stp>BDP|9314815358770499050</stp>
        <tr r="G238" s="2"/>
      </tp>
      <tp t="s">
        <v>#N/A N/A</v>
        <stp/>
        <stp>BDP|6186741300965729098</stp>
        <tr r="N596" s="2"/>
      </tp>
      <tp t="s">
        <v>#N/A N/A</v>
        <stp/>
        <stp>BDP|7761468077100537081</stp>
        <tr r="G999" s="2"/>
      </tp>
      <tp t="s">
        <v>#N/A N/A</v>
        <stp/>
        <stp>BDP|7095185566425413114</stp>
        <tr r="J2146" s="2"/>
      </tp>
      <tp t="s">
        <v>#N/A N/A</v>
        <stp/>
        <stp>BDP|5762083830623564118</stp>
        <tr r="P224" s="2"/>
      </tp>
      <tp t="s">
        <v>#N/A N/A</v>
        <stp/>
        <stp>BDP|7985417856092028050</stp>
        <tr r="E1043" s="2"/>
      </tp>
      <tp t="s">
        <v>#N/A N/A</v>
        <stp/>
        <stp>BDP|1884574133664609717</stp>
        <tr r="T1569" s="2"/>
      </tp>
      <tp t="s">
        <v>#N/A N/A</v>
        <stp/>
        <stp>BDP|4171203648841359714</stp>
        <tr r="J533" s="2"/>
      </tp>
      <tp t="s">
        <v>#N/A N/A</v>
        <stp/>
        <stp>BDP|1407201559857421527</stp>
        <tr r="C2200" s="2"/>
      </tp>
      <tp t="s">
        <v>#N/A N/A</v>
        <stp/>
        <stp>BDP|4692764278614331404</stp>
        <tr r="F1507" s="2"/>
      </tp>
      <tp t="s">
        <v>#N/A N/A</v>
        <stp/>
        <stp>BDP|6003290794699130079</stp>
        <tr r="G1706" s="2"/>
      </tp>
      <tp t="s">
        <v>#N/A N/A</v>
        <stp/>
        <stp>BDP|5797233019907190575</stp>
        <tr r="T714" s="2"/>
      </tp>
      <tp t="s">
        <v>#N/A N/A</v>
        <stp/>
        <stp>BDS|4715508158744571415</stp>
        <tr r="I1964" s="2"/>
      </tp>
      <tp t="s">
        <v>#N/A N/A</v>
        <stp/>
        <stp>BDS|3085356210665813065</stp>
        <tr r="I276" s="2"/>
      </tp>
      <tp t="s">
        <v>#N/A N/A</v>
        <stp/>
        <stp>BDS|4696197174372132412</stp>
        <tr r="I1985" s="2"/>
      </tp>
      <tp t="s">
        <v>#N/A N/A</v>
        <stp/>
        <stp>BDP|3600235906452176799</stp>
        <tr r="H457" s="2"/>
      </tp>
      <tp t="s">
        <v>#N/A N/A</v>
        <stp/>
        <stp>BDP|6847289634290933363</stp>
        <tr r="F539" s="2"/>
      </tp>
      <tp t="s">
        <v>#N/A N/A</v>
        <stp/>
        <stp>BDP|1498007231460848660</stp>
        <tr r="C1338" s="2"/>
      </tp>
      <tp t="s">
        <v>#N/A N/A</v>
        <stp/>
        <stp>BDP|8914656087095319738</stp>
        <tr r="N527" s="2"/>
      </tp>
      <tp t="s">
        <v>#N/A N/A</v>
        <stp/>
        <stp>BDP|2439447856834537381</stp>
        <tr r="A1340" s="2"/>
      </tp>
      <tp t="s">
        <v>#N/A N/A</v>
        <stp/>
        <stp>BDP|9089594877857182842</stp>
        <tr r="K2251" s="2"/>
      </tp>
      <tp t="s">
        <v>#N/A N/A</v>
        <stp/>
        <stp>BDP|4796175957216950255</stp>
        <tr r="A2143" s="2"/>
      </tp>
      <tp t="s">
        <v>#N/A N/A</v>
        <stp/>
        <stp>BDP|2089634150207941214</stp>
        <tr r="O693" s="2"/>
      </tp>
      <tp t="s">
        <v>#N/A N/A</v>
        <stp/>
        <stp>BDP|5117141349124380048</stp>
        <tr r="N1341" s="2"/>
      </tp>
      <tp t="s">
        <v>#N/A N/A</v>
        <stp/>
        <stp>BDP|4204962799717243740</stp>
        <tr r="R1607" s="2"/>
      </tp>
      <tp t="s">
        <v>#N/A N/A</v>
        <stp/>
        <stp>BDP|4186134142035987025</stp>
        <tr r="T1880" s="2"/>
      </tp>
      <tp t="s">
        <v>#N/A N/A</v>
        <stp/>
        <stp>BDP|5620505247796947635</stp>
        <tr r="C579" s="2"/>
      </tp>
      <tp t="s">
        <v>#N/A N/A</v>
        <stp/>
        <stp>BDP|4843122101928587957</stp>
        <tr r="Q169" s="2"/>
      </tp>
      <tp t="s">
        <v>#N/A N/A</v>
        <stp/>
        <stp>BDP|5521560127492939465</stp>
        <tr r="R1161" s="2"/>
      </tp>
      <tp t="s">
        <v>#N/A N/A</v>
        <stp/>
        <stp>BDP|6614717261652979147</stp>
        <tr r="K1034" s="2"/>
      </tp>
      <tp t="s">
        <v>#N/A N/A</v>
        <stp/>
        <stp>BDP|5104999143224102818</stp>
        <tr r="R628" s="2"/>
      </tp>
      <tp t="s">
        <v>#N/A N/A</v>
        <stp/>
        <stp>BDP|3058068217743908539</stp>
        <tr r="G1309" s="2"/>
      </tp>
      <tp t="s">
        <v>#N/A N/A</v>
        <stp/>
        <stp>BDP|3409087054665653757</stp>
        <tr r="E1730" s="2"/>
      </tp>
      <tp t="s">
        <v>#N/A N/A</v>
        <stp/>
        <stp>BDP|7820410286768619727</stp>
        <tr r="Q1583" s="2"/>
      </tp>
      <tp t="s">
        <v>#N/A N/A</v>
        <stp/>
        <stp>BDS|8055443830152755982</stp>
        <tr r="I740" s="2"/>
      </tp>
      <tp t="s">
        <v>#N/A N/A</v>
        <stp/>
        <stp>BDP|8648469452754916908</stp>
        <tr r="A1486" s="2"/>
      </tp>
      <tp t="s">
        <v>#N/A N/A</v>
        <stp/>
        <stp>BDP|8307809992749393494</stp>
        <tr r="G42" s="2"/>
      </tp>
      <tp t="s">
        <v>#N/A N/A</v>
        <stp/>
        <stp>BDP|3990179574488369920</stp>
        <tr r="P984" s="2"/>
      </tp>
      <tp t="s">
        <v>#N/A N/A</v>
        <stp/>
        <stp>BDP|3504167583108837637</stp>
        <tr r="M1837" s="2"/>
      </tp>
      <tp t="s">
        <v>#N/A N/A</v>
        <stp/>
        <stp>BDP|9863834153063054335</stp>
        <tr r="M777" s="2"/>
      </tp>
      <tp t="s">
        <v>#N/A N/A</v>
        <stp/>
        <stp>BDP|6667513729014272170</stp>
        <tr r="F1033" s="2"/>
      </tp>
      <tp t="s">
        <v>#N/A N/A</v>
        <stp/>
        <stp>BDP|7761341359303484659</stp>
        <tr r="S396" s="2"/>
      </tp>
      <tp t="s">
        <v>#N/A N/A</v>
        <stp/>
        <stp>BDP|9947880669851299210</stp>
        <tr r="K1074" s="2"/>
      </tp>
      <tp t="s">
        <v>#N/A N/A</v>
        <stp/>
        <stp>BDP|5786528815463250694</stp>
        <tr r="E116" s="2"/>
      </tp>
      <tp t="s">
        <v>#N/A N/A</v>
        <stp/>
        <stp>BDP|7432496127232324721</stp>
        <tr r="D174" s="2"/>
      </tp>
      <tp t="s">
        <v>#N/A N/A</v>
        <stp/>
        <stp>BDS|8071493789340236093</stp>
        <tr r="I1406" s="2"/>
      </tp>
      <tp t="s">
        <v>#N/A N/A</v>
        <stp/>
        <stp>BDP|8407809753102440388</stp>
        <tr r="H525" s="2"/>
      </tp>
      <tp t="s">
        <v>#N/A N/A</v>
        <stp/>
        <stp>BDP|3954083262256022782</stp>
        <tr r="O1426" s="2"/>
      </tp>
      <tp t="s">
        <v>#N/A N/A</v>
        <stp/>
        <stp>BDS|7921334224411370362</stp>
        <tr r="I1437" s="2"/>
      </tp>
      <tp t="s">
        <v>#N/A N/A</v>
        <stp/>
        <stp>BDP|7379990549689968713</stp>
        <tr r="T967" s="2"/>
      </tp>
      <tp t="s">
        <v>#N/A N/A</v>
        <stp/>
        <stp>BDP|1248497171272661473</stp>
        <tr r="K646" s="2"/>
      </tp>
      <tp t="s">
        <v>#N/A N/A</v>
        <stp/>
        <stp>BDP|8434471880575144597</stp>
        <tr r="D2063" s="2"/>
      </tp>
      <tp t="s">
        <v>#N/A N/A</v>
        <stp/>
        <stp>BDP|6704793872413166165</stp>
        <tr r="A2078" s="2"/>
      </tp>
      <tp t="s">
        <v>#N/A N/A</v>
        <stp/>
        <stp>BDP|5059502452368804913</stp>
        <tr r="N1968" s="2"/>
      </tp>
      <tp t="s">
        <v>#N/A N/A</v>
        <stp/>
        <stp>BDP|4662345872560875436</stp>
        <tr r="A569" s="2"/>
      </tp>
      <tp t="s">
        <v>#N/A N/A</v>
        <stp/>
        <stp>BDP|3785167277196514788</stp>
        <tr r="G1993" s="2"/>
      </tp>
      <tp t="s">
        <v>#N/A N/A</v>
        <stp/>
        <stp>BDP|5523607805295998229</stp>
        <tr r="P1758" s="2"/>
      </tp>
      <tp t="s">
        <v>#N/A N/A</v>
        <stp/>
        <stp>BDP|4893013624977322557</stp>
        <tr r="F1933" s="2"/>
      </tp>
      <tp t="s">
        <v>#N/A N/A</v>
        <stp/>
        <stp>BDP|4330192011247716774</stp>
        <tr r="F1364" s="2"/>
      </tp>
      <tp t="s">
        <v>#N/A N/A</v>
        <stp/>
        <stp>BDP|3810355977956330528</stp>
        <tr r="N1242" s="2"/>
      </tp>
      <tp t="s">
        <v>#N/A N/A</v>
        <stp/>
        <stp>BDP|1016666604160099399</stp>
        <tr r="J2135" s="2"/>
      </tp>
      <tp t="s">
        <v>#N/A N/A</v>
        <stp/>
        <stp>BDP|6176203674624609384</stp>
        <tr r="P2013" s="2"/>
      </tp>
      <tp t="s">
        <v>#N/A N/A</v>
        <stp/>
        <stp>BDP|9496136292323900645</stp>
        <tr r="H202" s="2"/>
      </tp>
      <tp t="s">
        <v>#N/A N/A</v>
        <stp/>
        <stp>BDP|4225130377053894562</stp>
        <tr r="K1759" s="2"/>
      </tp>
      <tp t="s">
        <v>#N/A N/A</v>
        <stp/>
        <stp>BDP|6065623119991132426</stp>
        <tr r="D1138" s="2"/>
      </tp>
      <tp t="s">
        <v>#N/A N/A</v>
        <stp/>
        <stp>BDP|6281416868268640851</stp>
        <tr r="Q186" s="2"/>
      </tp>
      <tp t="s">
        <v>#N/A N/A</v>
        <stp/>
        <stp>BDP|1815680836936847665</stp>
        <tr r="J265" s="2"/>
      </tp>
      <tp t="s">
        <v>#N/A N/A</v>
        <stp/>
        <stp>BDP|6506436681387945969</stp>
        <tr r="F259" s="2"/>
      </tp>
      <tp t="s">
        <v>#N/A N/A</v>
        <stp/>
        <stp>BDP|6369487067914550415</stp>
        <tr r="S1748" s="2"/>
      </tp>
      <tp t="s">
        <v>#N/A N/A</v>
        <stp/>
        <stp>BDP|1334521563270286683</stp>
        <tr r="N447" s="2"/>
      </tp>
      <tp t="s">
        <v>#N/A N/A</v>
        <stp/>
        <stp>BDP|9926468204201764845</stp>
        <tr r="G521" s="2"/>
      </tp>
      <tp t="s">
        <v>#N/A N/A</v>
        <stp/>
        <stp>BDP|7387218717423590386</stp>
        <tr r="O156" s="2"/>
      </tp>
      <tp t="s">
        <v>#N/A N/A</v>
        <stp/>
        <stp>BDP|2258522109355569648</stp>
        <tr r="N1233" s="2"/>
      </tp>
      <tp t="s">
        <v>#N/A N/A</v>
        <stp/>
        <stp>BDP|8603479598062566345</stp>
        <tr r="P2191" s="2"/>
      </tp>
      <tp t="s">
        <v>#N/A N/A</v>
        <stp/>
        <stp>BDP|6702165375837862341</stp>
        <tr r="M891" s="2"/>
      </tp>
      <tp t="s">
        <v>#N/A N/A</v>
        <stp/>
        <stp>BDP|6661445228861084529</stp>
        <tr r="E2023" s="2"/>
      </tp>
      <tp t="s">
        <v>#N/A N/A</v>
        <stp/>
        <stp>BDS|7457058349465333233</stp>
        <tr r="I1671" s="2"/>
      </tp>
      <tp t="s">
        <v>#N/A N/A</v>
        <stp/>
        <stp>BDP|4198522249115040424</stp>
        <tr r="A1666" s="2"/>
      </tp>
      <tp t="s">
        <v>#N/A N/A</v>
        <stp/>
        <stp>BDP|4680908555569886530</stp>
        <tr r="E2246" s="2"/>
      </tp>
      <tp t="s">
        <v>#N/A N/A</v>
        <stp/>
        <stp>BDP|5646112322310504288</stp>
        <tr r="O1370" s="2"/>
      </tp>
      <tp t="s">
        <v>#N/A N/A</v>
        <stp/>
        <stp>BDP|6860431903730957698</stp>
        <tr r="R1521" s="2"/>
      </tp>
      <tp t="s">
        <v>#N/A N/A</v>
        <stp/>
        <stp>BDP|7189577390109955676</stp>
        <tr r="F265" s="2"/>
      </tp>
      <tp t="s">
        <v>#N/A N/A</v>
        <stp/>
        <stp>BDP|8056136721496291983</stp>
        <tr r="Q2023" s="2"/>
      </tp>
      <tp t="s">
        <v>#N/A N/A</v>
        <stp/>
        <stp>BDP|4127288725615746534</stp>
        <tr r="F423" s="2"/>
      </tp>
      <tp t="s">
        <v>#N/A N/A</v>
        <stp/>
        <stp>BDP|4493722046070127395</stp>
        <tr r="O28" s="2"/>
      </tp>
      <tp t="s">
        <v>#N/A N/A</v>
        <stp/>
        <stp>BDP|5499381025935083515</stp>
        <tr r="A1567" s="2"/>
      </tp>
      <tp t="s">
        <v>#N/A N/A</v>
        <stp/>
        <stp>BDS|6475279183518852002</stp>
        <tr r="I478" s="2"/>
      </tp>
      <tp t="s">
        <v>#N/A N/A</v>
        <stp/>
        <stp>BDP|7608179579087448242</stp>
        <tr r="N1776" s="2"/>
      </tp>
      <tp t="s">
        <v>#N/A N/A</v>
        <stp/>
        <stp>BDP|5832702507095491337</stp>
        <tr r="S575" s="2"/>
      </tp>
      <tp t="s">
        <v>#N/A N/A</v>
        <stp/>
        <stp>BDP|8074998350702620274</stp>
        <tr r="D1001" s="2"/>
      </tp>
      <tp t="s">
        <v>#N/A N/A</v>
        <stp/>
        <stp>BDP|7124195747532553429</stp>
        <tr r="D1182" s="2"/>
      </tp>
      <tp t="s">
        <v>#N/A N/A</v>
        <stp/>
        <stp>BDP|6221170226976358780</stp>
        <tr r="S1305" s="2"/>
      </tp>
      <tp t="s">
        <v>#N/A N/A</v>
        <stp/>
        <stp>BDP|1833768338093807265</stp>
        <tr r="D1967" s="2"/>
      </tp>
      <tp t="s">
        <v>#N/A N/A</v>
        <stp/>
        <stp>BDP|8386797386535339677</stp>
        <tr r="F314" s="2"/>
      </tp>
      <tp t="s">
        <v>#N/A N/A</v>
        <stp/>
        <stp>BDP|6371788936214171244</stp>
        <tr r="N105" s="2"/>
      </tp>
      <tp t="s">
        <v>#N/A N/A</v>
        <stp/>
        <stp>BDP|4741598173211465319</stp>
        <tr r="O467" s="2"/>
      </tp>
      <tp t="s">
        <v>#N/A N/A</v>
        <stp/>
        <stp>BDP|1836045159322862252</stp>
        <tr r="M1746" s="2"/>
      </tp>
      <tp t="s">
        <v>#N/A N/A</v>
        <stp/>
        <stp>BDS|5703125828406125441</stp>
        <tr r="I1731" s="2"/>
      </tp>
      <tp t="s">
        <v>#N/A N/A</v>
        <stp/>
        <stp>BDP|3608417766461036491</stp>
        <tr r="S1837" s="2"/>
      </tp>
      <tp t="s">
        <v>#N/A N/A</v>
        <stp/>
        <stp>BDP|5948725976686632735</stp>
        <tr r="Q1090" s="2"/>
      </tp>
      <tp t="s">
        <v>#N/A N/A</v>
        <stp/>
        <stp>BDP|7948857489712426197</stp>
        <tr r="H1377" s="2"/>
      </tp>
      <tp t="s">
        <v>#N/A N/A</v>
        <stp/>
        <stp>BDP|4755413362721902351</stp>
        <tr r="O661" s="2"/>
      </tp>
      <tp t="s">
        <v>#N/A N/A</v>
        <stp/>
        <stp>BDP|7271852433138456081</stp>
        <tr r="J1144" s="2"/>
      </tp>
      <tp t="s">
        <v>#N/A N/A</v>
        <stp/>
        <stp>BDP|9974101192020316507</stp>
        <tr r="J1636" s="2"/>
      </tp>
      <tp t="s">
        <v>#N/A N/A</v>
        <stp/>
        <stp>BDP|9409285093153342543</stp>
        <tr r="D787" s="2"/>
      </tp>
      <tp t="s">
        <v>#N/A N/A</v>
        <stp/>
        <stp>BDS|9726717189073245150</stp>
        <tr r="I481" s="2"/>
      </tp>
      <tp t="s">
        <v>#N/A N/A</v>
        <stp/>
        <stp>BDP|5523727165654876426</stp>
        <tr r="A1035" s="2"/>
      </tp>
      <tp t="s">
        <v>#N/A N/A</v>
        <stp/>
        <stp>BDP|3287086216610036649</stp>
        <tr r="K167" s="2"/>
      </tp>
      <tp t="s">
        <v>#N/A N/A</v>
        <stp/>
        <stp>BDP|5721733078045516412</stp>
        <tr r="Q1222" s="2"/>
      </tp>
      <tp t="s">
        <v>#N/A N/A</v>
        <stp/>
        <stp>BDP|5842477285664415966</stp>
        <tr r="O2054" s="2"/>
      </tp>
      <tp t="s">
        <v>#N/A N/A</v>
        <stp/>
        <stp>BDP|6699446517804513384</stp>
        <tr r="A1313" s="2"/>
      </tp>
      <tp t="s">
        <v>#N/A N/A</v>
        <stp/>
        <stp>BDP|2216013098186556964</stp>
        <tr r="S1306" s="2"/>
      </tp>
      <tp t="s">
        <v>#N/A N/A</v>
        <stp/>
        <stp>BDP|9246553276199967602</stp>
        <tr r="J1366" s="2"/>
      </tp>
      <tp t="s">
        <v>#N/A N/A</v>
        <stp/>
        <stp>BDP|9877611941519444645</stp>
        <tr r="K70" s="2"/>
      </tp>
      <tp t="s">
        <v>#N/A N/A</v>
        <stp/>
        <stp>BDP|4594284735376685763</stp>
        <tr r="G1556" s="2"/>
      </tp>
      <tp t="s">
        <v>#N/A N/A</v>
        <stp/>
        <stp>BDP|4982632603991053713</stp>
        <tr r="Q1685" s="2"/>
      </tp>
      <tp t="s">
        <v>#N/A N/A</v>
        <stp/>
        <stp>BDP|7657030299999215368</stp>
        <tr r="P217" s="2"/>
      </tp>
      <tp t="s">
        <v>#N/A N/A</v>
        <stp/>
        <stp>BDP|3581091475692228239</stp>
        <tr r="O788" s="2"/>
      </tp>
      <tp t="s">
        <v>#N/A N/A</v>
        <stp/>
        <stp>BDP|1337102505462934672</stp>
        <tr r="P2256" s="2"/>
      </tp>
      <tp t="s">
        <v>#N/A N/A</v>
        <stp/>
        <stp>BDP|2725086631916009369</stp>
        <tr r="T1859" s="2"/>
      </tp>
      <tp t="s">
        <v>#N/A N/A</v>
        <stp/>
        <stp>BDP|8243194567029500217</stp>
        <tr r="F368" s="2"/>
      </tp>
      <tp t="s">
        <v>#N/A N/A</v>
        <stp/>
        <stp>BDP|6159397946850142579</stp>
        <tr r="R1174" s="2"/>
      </tp>
      <tp t="s">
        <v>#N/A N/A</v>
        <stp/>
        <stp>BDP|7569693915706047211</stp>
        <tr r="E1899" s="2"/>
      </tp>
      <tp t="s">
        <v>#N/A N/A</v>
        <stp/>
        <stp>BDP|7140086878156113285</stp>
        <tr r="E517" s="2"/>
      </tp>
      <tp t="s">
        <v>#N/A N/A</v>
        <stp/>
        <stp>BDP|9219583123268500247</stp>
        <tr r="M63" s="2"/>
      </tp>
      <tp t="s">
        <v>#N/A N/A</v>
        <stp/>
        <stp>BDP|6796599870691418120</stp>
        <tr r="O794" s="2"/>
      </tp>
      <tp t="s">
        <v>#N/A N/A</v>
        <stp/>
        <stp>BDP|7983275648971806462</stp>
        <tr r="O1955" s="2"/>
      </tp>
      <tp t="s">
        <v>#N/A N/A</v>
        <stp/>
        <stp>BDP|2198667808600576029</stp>
        <tr r="J1041" s="2"/>
      </tp>
      <tp t="s">
        <v>#N/A N/A</v>
        <stp/>
        <stp>BDP|6767572448125400643</stp>
        <tr r="C2018" s="2"/>
      </tp>
      <tp t="s">
        <v>#N/A N/A</v>
        <stp/>
        <stp>BDP|2306315630374975237</stp>
        <tr r="G2230" s="2"/>
      </tp>
      <tp t="s">
        <v>#N/A N/A</v>
        <stp/>
        <stp>BDP|8726167392244943025</stp>
        <tr r="A714" s="2"/>
      </tp>
      <tp t="s">
        <v>#N/A N/A</v>
        <stp/>
        <stp>BDS|3101771062463968556</stp>
        <tr r="I1571" s="2"/>
      </tp>
      <tp t="s">
        <v>#N/A N/A</v>
        <stp/>
        <stp>BDP|4309029878330649778</stp>
        <tr r="R1282" s="2"/>
      </tp>
      <tp t="s">
        <v>#N/A N/A</v>
        <stp/>
        <stp>BDP|5823027063034295325</stp>
        <tr r="D1895" s="2"/>
      </tp>
      <tp t="s">
        <v>#N/A N/A</v>
        <stp/>
        <stp>BDP|4199418604062919649</stp>
        <tr r="D1023" s="2"/>
      </tp>
      <tp t="s">
        <v>#N/A N/A</v>
        <stp/>
        <stp>BDP|6981213751766500355</stp>
        <tr r="D919" s="2"/>
      </tp>
      <tp t="s">
        <v>#N/A N/A</v>
        <stp/>
        <stp>BDP|9431773529921545964</stp>
        <tr r="R1200" s="2"/>
      </tp>
      <tp t="s">
        <v>#N/A N/A</v>
        <stp/>
        <stp>BDP|2034714309941027014</stp>
        <tr r="R1209" s="2"/>
      </tp>
      <tp t="s">
        <v>#N/A N/A</v>
        <stp/>
        <stp>BDP|3688610995288844036</stp>
        <tr r="T1360" s="2"/>
      </tp>
      <tp t="s">
        <v>#N/A N/A</v>
        <stp/>
        <stp>BDP|4635373320290081182</stp>
        <tr r="A166" s="2"/>
      </tp>
      <tp t="s">
        <v>#N/A N/A</v>
        <stp/>
        <stp>BDP|6923347624390866388</stp>
        <tr r="A325" s="2"/>
      </tp>
      <tp t="s">
        <v>#N/A N/A</v>
        <stp/>
        <stp>BDP|9912610470809900582</stp>
        <tr r="D1534" s="2"/>
      </tp>
      <tp t="s">
        <v>#N/A N/A</v>
        <stp/>
        <stp>BDP|4094414629477027110</stp>
        <tr r="C1287" s="2"/>
      </tp>
      <tp t="s">
        <v>#N/A N/A</v>
        <stp/>
        <stp>BDP|4868572613755017159</stp>
        <tr r="R1965" s="2"/>
      </tp>
      <tp t="s">
        <v>#N/A N/A</v>
        <stp/>
        <stp>BDP|6100366926932127196</stp>
        <tr r="K1290" s="2"/>
      </tp>
      <tp t="s">
        <v>#N/A N/A</v>
        <stp/>
        <stp>BDP|7158112830908848911</stp>
        <tr r="A514" s="2"/>
      </tp>
      <tp t="s">
        <v>#N/A N/A</v>
        <stp/>
        <stp>BDP|9898054500808187556</stp>
        <tr r="S695" s="2"/>
      </tp>
      <tp t="s">
        <v>#N/A N/A</v>
        <stp/>
        <stp>BDP|7872027701227586470</stp>
        <tr r="Q1744" s="2"/>
      </tp>
      <tp t="s">
        <v>#N/A N/A</v>
        <stp/>
        <stp>BDP|6083353899119356165</stp>
        <tr r="F428" s="2"/>
      </tp>
      <tp t="s">
        <v>#N/A N/A</v>
        <stp/>
        <stp>BDP|1514948768498174210</stp>
        <tr r="N349" s="2"/>
      </tp>
      <tp t="s">
        <v>#N/A N/A</v>
        <stp/>
        <stp>BDP|1279224071789079989</stp>
        <tr r="D1848" s="2"/>
      </tp>
      <tp t="s">
        <v>#N/A N/A</v>
        <stp/>
        <stp>BDP|6670554478294495462</stp>
        <tr r="N897" s="2"/>
      </tp>
      <tp t="s">
        <v>#N/A N/A</v>
        <stp/>
        <stp>BDP|5270353458250058769</stp>
        <tr r="K1134" s="2"/>
      </tp>
      <tp t="s">
        <v>#N/A N/A</v>
        <stp/>
        <stp>BDP|4780475211904887101</stp>
        <tr r="O1704" s="2"/>
      </tp>
      <tp t="s">
        <v>#N/A N/A</v>
        <stp/>
        <stp>BDP|6895191656300822664</stp>
        <tr r="C2157" s="2"/>
      </tp>
      <tp t="s">
        <v>#N/A N/A</v>
        <stp/>
        <stp>BDS|6080205487740811865</stp>
        <tr r="I1971" s="2"/>
      </tp>
      <tp t="s">
        <v>#N/A N/A</v>
        <stp/>
        <stp>BDP|7593427858223754114</stp>
        <tr r="R605" s="2"/>
      </tp>
      <tp t="s">
        <v>#N/A N/A</v>
        <stp/>
        <stp>BDP|8106631929531792950</stp>
        <tr r="R1450" s="2"/>
      </tp>
      <tp t="s">
        <v>#N/A N/A</v>
        <stp/>
        <stp>BDP|6578313193878986079</stp>
        <tr r="S1908" s="2"/>
      </tp>
      <tp t="s">
        <v>#N/A N/A</v>
        <stp/>
        <stp>BDP|9114501466237778998</stp>
        <tr r="M1422" s="2"/>
      </tp>
      <tp t="s">
        <v>#N/A N/A</v>
        <stp/>
        <stp>BDP|1747319924336879235</stp>
        <tr r="Q1158" s="2"/>
      </tp>
      <tp t="s">
        <v>#N/A N/A</v>
        <stp/>
        <stp>BDP|9763580389579861979</stp>
        <tr r="T2091" s="2"/>
      </tp>
      <tp t="s">
        <v>#N/A N/A</v>
        <stp/>
        <stp>BDP|4476057928866618465</stp>
        <tr r="N669" s="2"/>
      </tp>
      <tp t="s">
        <v>#N/A N/A</v>
        <stp/>
        <stp>BDP|3734261460404832709</stp>
        <tr r="J515" s="2"/>
      </tp>
      <tp t="s">
        <v>#N/A N/A</v>
        <stp/>
        <stp>BDP|8627154717398815458</stp>
        <tr r="D1265" s="2"/>
      </tp>
      <tp t="s">
        <v>#N/A N/A</v>
        <stp/>
        <stp>BDP|4246198822266757577</stp>
        <tr r="C1260" s="2"/>
      </tp>
      <tp t="s">
        <v>#N/A N/A</v>
        <stp/>
        <stp>BDP|4570947803149243099</stp>
        <tr r="T1069" s="2"/>
      </tp>
      <tp t="s">
        <v>#N/A N/A</v>
        <stp/>
        <stp>BDP|3232098053190920284</stp>
        <tr r="C549" s="2"/>
      </tp>
      <tp t="s">
        <v>#N/A N/A</v>
        <stp/>
        <stp>BDP|4760455468805121726</stp>
        <tr r="G372" s="2"/>
      </tp>
      <tp t="s">
        <v>#N/A N/A</v>
        <stp/>
        <stp>BDP|8856236112566306939</stp>
        <tr r="O1008" s="2"/>
      </tp>
      <tp t="s">
        <v>#N/A N/A</v>
        <stp/>
        <stp>BDP|5856421663581189216</stp>
        <tr r="T75" s="2"/>
      </tp>
      <tp t="s">
        <v>#N/A N/A</v>
        <stp/>
        <stp>BDP|7288685636893285572</stp>
        <tr r="J331" s="2"/>
      </tp>
      <tp t="s">
        <v>#N/A N/A</v>
        <stp/>
        <stp>BDP|9611999636391323636</stp>
        <tr r="J666" s="2"/>
      </tp>
      <tp t="s">
        <v>#N/A N/A</v>
        <stp/>
        <stp>BDP|3596755876456955162</stp>
        <tr r="K1150" s="2"/>
      </tp>
      <tp t="s">
        <v>#N/A N/A</v>
        <stp/>
        <stp>BDP|5949331619536284587</stp>
        <tr r="J82" s="2"/>
      </tp>
      <tp t="s">
        <v>#N/A N/A</v>
        <stp/>
        <stp>BDP|5526228679165462133</stp>
        <tr r="T562" s="2"/>
      </tp>
      <tp t="s">
        <v>#N/A N/A</v>
        <stp/>
        <stp>BDP|7694349776574422399</stp>
        <tr r="P2028" s="2"/>
      </tp>
      <tp t="s">
        <v>#N/A N/A</v>
        <stp/>
        <stp>BDP|5132988451785949886</stp>
        <tr r="S122" s="2"/>
      </tp>
      <tp t="s">
        <v>#N/A N/A</v>
        <stp/>
        <stp>BDP|2925633242516925288</stp>
        <tr r="Q1466" s="2"/>
      </tp>
      <tp t="s">
        <v>#N/A N/A</v>
        <stp/>
        <stp>BDP|7657198160785372153</stp>
        <tr r="T54" s="2"/>
      </tp>
      <tp t="s">
        <v>#N/A N/A</v>
        <stp/>
        <stp>BDP|6251715405460857570</stp>
        <tr r="M1752" s="2"/>
      </tp>
      <tp t="s">
        <v>#N/A N/A</v>
        <stp/>
        <stp>BDP|1308606035871868179</stp>
        <tr r="G1818" s="2"/>
      </tp>
      <tp t="s">
        <v>#N/A N/A</v>
        <stp/>
        <stp>BDP|5829504871776137513</stp>
        <tr r="F1133" s="2"/>
      </tp>
      <tp t="s">
        <v>#N/A N/A</v>
        <stp/>
        <stp>BDP|1094010944237932659</stp>
        <tr r="Q1714" s="2"/>
      </tp>
      <tp t="s">
        <v>#N/A N/A</v>
        <stp/>
        <stp>BDP|7891530487989031752</stp>
        <tr r="N1237" s="2"/>
      </tp>
      <tp t="s">
        <v>#N/A N/A</v>
        <stp/>
        <stp>BDP|9628834045732123382</stp>
        <tr r="C255" s="2"/>
      </tp>
      <tp t="s">
        <v>#N/A N/A</v>
        <stp/>
        <stp>BDP|3858792290010161990</stp>
        <tr r="O1959" s="2"/>
      </tp>
      <tp t="s">
        <v>#N/A N/A</v>
        <stp/>
        <stp>BDP|6002741576537902524</stp>
        <tr r="S725" s="2"/>
      </tp>
      <tp t="s">
        <v>#N/A N/A</v>
        <stp/>
        <stp>BDP|4226572232244937271</stp>
        <tr r="H1816" s="2"/>
      </tp>
      <tp t="s">
        <v>#N/A N/A</v>
        <stp/>
        <stp>BDP|3071891196506420021</stp>
        <tr r="T1996" s="2"/>
      </tp>
      <tp t="s">
        <v>#N/A N/A</v>
        <stp/>
        <stp>BDP|4507856402719291198</stp>
        <tr r="J1634" s="2"/>
      </tp>
      <tp t="s">
        <v>#N/A N/A</v>
        <stp/>
        <stp>BDP|9120988220694287224</stp>
        <tr r="C1396" s="2"/>
      </tp>
      <tp t="s">
        <v>#N/A N/A</v>
        <stp/>
        <stp>BDP|2120085418026078180</stp>
        <tr r="G835" s="2"/>
      </tp>
      <tp t="s">
        <v>#N/A N/A</v>
        <stp/>
        <stp>BDP|2617051068616508676</stp>
        <tr r="S1439" s="2"/>
      </tp>
      <tp t="s">
        <v>#N/A N/A</v>
        <stp/>
        <stp>BDP|7141911984112437097</stp>
        <tr r="S1784" s="2"/>
      </tp>
      <tp t="s">
        <v>#N/A N/A</v>
        <stp/>
        <stp>BDP|2271040476885986407</stp>
        <tr r="J1099" s="2"/>
      </tp>
      <tp t="s">
        <v>#N/A N/A</v>
        <stp/>
        <stp>BDP|1012324474232714385</stp>
        <tr r="P1107" s="2"/>
      </tp>
      <tp t="s">
        <v>#N/A N/A</v>
        <stp/>
        <stp>BDS|7334086666870687525</stp>
        <tr r="I1180" s="2"/>
      </tp>
      <tp t="s">
        <v>#N/A N/A</v>
        <stp/>
        <stp>BDP|5005572247074871417</stp>
        <tr r="T686" s="2"/>
      </tp>
      <tp t="s">
        <v>#N/A N/A</v>
        <stp/>
        <stp>BDS|2784608698121523832</stp>
        <tr r="I1735" s="2"/>
      </tp>
      <tp t="s">
        <v>#N/A N/A</v>
        <stp/>
        <stp>BDP|9528989683414283855</stp>
        <tr r="O2121" s="2"/>
      </tp>
      <tp t="s">
        <v>#N/A N/A</v>
        <stp/>
        <stp>BDP|3786839896115905322</stp>
        <tr r="F2247" s="2"/>
      </tp>
      <tp t="s">
        <v>#N/A N/A</v>
        <stp/>
        <stp>BDP|6257113064576714397</stp>
        <tr r="F1738" s="2"/>
      </tp>
      <tp t="s">
        <v>#N/A N/A</v>
        <stp/>
        <stp>BDP|3724466091603144983</stp>
        <tr r="P2099" s="2"/>
      </tp>
      <tp t="s">
        <v>#N/A N/A</v>
        <stp/>
        <stp>BDP|1481054249877325623</stp>
        <tr r="D924" s="2"/>
      </tp>
      <tp t="s">
        <v>#N/A N/A</v>
        <stp/>
        <stp>BDP|8377684722048235025</stp>
        <tr r="E966" s="2"/>
      </tp>
      <tp t="s">
        <v>#N/A N/A</v>
        <stp/>
        <stp>BDP|8466613045976188881</stp>
        <tr r="R1788" s="2"/>
      </tp>
      <tp t="s">
        <v>#N/A N/A</v>
        <stp/>
        <stp>BDP|5969009258090826409</stp>
        <tr r="E2016" s="2"/>
      </tp>
      <tp t="s">
        <v>#N/A N/A</v>
        <stp/>
        <stp>BDP|3627069141762905118</stp>
        <tr r="O208" s="2"/>
      </tp>
      <tp t="s">
        <v>#N/A N/A</v>
        <stp/>
        <stp>BDP|4827242023951345159</stp>
        <tr r="Q941" s="2"/>
      </tp>
      <tp t="s">
        <v>#N/A N/A</v>
        <stp/>
        <stp>BDP|7571097813162208045</stp>
        <tr r="P715" s="2"/>
      </tp>
      <tp t="s">
        <v>#N/A N/A</v>
        <stp/>
        <stp>BDP|4793284865813161727</stp>
        <tr r="N635" s="2"/>
      </tp>
      <tp t="s">
        <v>#N/A N/A</v>
        <stp/>
        <stp>BDP|3483289655460127010</stp>
        <tr r="C648" s="2"/>
      </tp>
      <tp t="s">
        <v>#N/A N/A</v>
        <stp/>
        <stp>BDP|7424896893490040273</stp>
        <tr r="C557" s="2"/>
      </tp>
      <tp t="s">
        <v>#N/A N/A</v>
        <stp/>
        <stp>BDP|7637016749071147666</stp>
        <tr r="M1044" s="2"/>
      </tp>
      <tp t="s">
        <v>#N/A N/A</v>
        <stp/>
        <stp>BDP|7574574767574435482</stp>
        <tr r="T1697" s="2"/>
      </tp>
      <tp t="s">
        <v>#N/A N/A</v>
        <stp/>
        <stp>BDP|4771379748022497550</stp>
        <tr r="M1150" s="2"/>
      </tp>
      <tp t="s">
        <v>#N/A N/A</v>
        <stp/>
        <stp>BDP|7295837109843873896</stp>
        <tr r="M1800" s="2"/>
      </tp>
      <tp t="s">
        <v>#N/A N/A</v>
        <stp/>
        <stp>BDS|8008891036205274240</stp>
        <tr r="I2088" s="2"/>
      </tp>
      <tp t="s">
        <v>#N/A N/A</v>
        <stp/>
        <stp>BDP|8253051378488523335</stp>
        <tr r="H37" s="2"/>
      </tp>
      <tp t="s">
        <v>#N/A N/A</v>
        <stp/>
        <stp>BDP|4451281619913895042</stp>
        <tr r="Q226" s="2"/>
      </tp>
      <tp t="s">
        <v>#N/A N/A</v>
        <stp/>
        <stp>BDP|9165184396417258245</stp>
        <tr r="R1147" s="2"/>
      </tp>
      <tp t="s">
        <v>#N/A N/A</v>
        <stp/>
        <stp>BDP|6529111019011311374</stp>
        <tr r="C1543" s="2"/>
      </tp>
      <tp t="s">
        <v>#N/A N/A</v>
        <stp/>
        <stp>BDP|6850464549006902408</stp>
        <tr r="C670" s="2"/>
      </tp>
      <tp t="s">
        <v>#N/A N/A</v>
        <stp/>
        <stp>BDP|4556418040531297188</stp>
        <tr r="G209" s="2"/>
      </tp>
      <tp t="s">
        <v>#N/A N/A</v>
        <stp/>
        <stp>BDP|6354239277004834316</stp>
        <tr r="C186" s="2"/>
      </tp>
      <tp t="s">
        <v>#N/A N/A</v>
        <stp/>
        <stp>BDP|3883577197482627900</stp>
        <tr r="F187" s="2"/>
      </tp>
      <tp t="s">
        <v>#N/A N/A</v>
        <stp/>
        <stp>BDP|3913969924715421914</stp>
        <tr r="N1389" s="2"/>
      </tp>
      <tp t="s">
        <v>#N/A N/A</v>
        <stp/>
        <stp>BDP|8385800105447177393</stp>
        <tr r="O750" s="2"/>
      </tp>
      <tp t="s">
        <v>#N/A N/A</v>
        <stp/>
        <stp>BDP|5500531618794973199</stp>
        <tr r="T1159" s="2"/>
      </tp>
      <tp t="s">
        <v>#N/A N/A</v>
        <stp/>
        <stp>BDP|9810383566499880106</stp>
        <tr r="N160" s="2"/>
      </tp>
      <tp t="s">
        <v>#N/A N/A</v>
        <stp/>
        <stp>BDP|5976306361924549034</stp>
        <tr r="D1680" s="2"/>
      </tp>
      <tp t="s">
        <v>#N/A N/A</v>
        <stp/>
        <stp>BDP|2401084314852020565</stp>
        <tr r="T2202" s="2"/>
      </tp>
      <tp t="s">
        <v>#N/A N/A</v>
        <stp/>
        <stp>BDP|1172501112929910845</stp>
        <tr r="O912" s="2"/>
      </tp>
      <tp t="s">
        <v>#N/A N/A</v>
        <stp/>
        <stp>BDP|3927279163372770144</stp>
        <tr r="N1032" s="2"/>
      </tp>
      <tp t="s">
        <v>#N/A N/A</v>
        <stp/>
        <stp>BDP|1851539940021606537</stp>
        <tr r="S1101" s="2"/>
      </tp>
      <tp t="s">
        <v>#N/A N/A</v>
        <stp/>
        <stp>BDP|5432186345862148663</stp>
        <tr r="H1504" s="2"/>
      </tp>
      <tp t="s">
        <v>#N/A N/A</v>
        <stp/>
        <stp>BDP|1897991898211745404</stp>
        <tr r="C227" s="2"/>
      </tp>
      <tp t="s">
        <v>#N/A N/A</v>
        <stp/>
        <stp>BDP|7628971099525523639</stp>
        <tr r="F1530" s="2"/>
      </tp>
      <tp t="s">
        <v>#N/A N/A</v>
        <stp/>
        <stp>BDP|7278732155199394891</stp>
        <tr r="P1090" s="2"/>
      </tp>
      <tp t="s">
        <v>#N/A N/A</v>
        <stp/>
        <stp>BDP|1839747083299335329</stp>
        <tr r="Q1781" s="2"/>
      </tp>
      <tp t="s">
        <v>#N/A N/A</v>
        <stp/>
        <stp>BDP|1885924613509036476</stp>
        <tr r="P1830" s="2"/>
      </tp>
      <tp t="s">
        <v>#N/A N/A</v>
        <stp/>
        <stp>BDP|8407881924193591535</stp>
        <tr r="D1911" s="2"/>
      </tp>
      <tp t="s">
        <v>#N/A N/A</v>
        <stp/>
        <stp>BDP|7279308176632329597</stp>
        <tr r="A1791" s="2"/>
      </tp>
      <tp t="s">
        <v>#N/A N/A</v>
        <stp/>
        <stp>BDP|7398889795930565253</stp>
        <tr r="P1952" s="2"/>
      </tp>
      <tp t="s">
        <v>#N/A N/A</v>
        <stp/>
        <stp>BDP|5955386323892974250</stp>
        <tr r="E1463" s="2"/>
      </tp>
      <tp t="s">
        <v>#N/A N/A</v>
        <stp/>
        <stp>BDP|9518638728150441940</stp>
        <tr r="F248" s="2"/>
      </tp>
      <tp t="s">
        <v>#N/A N/A</v>
        <stp/>
        <stp>BDP|7630739716540872557</stp>
        <tr r="G37" s="2"/>
      </tp>
      <tp t="s">
        <v>#N/A N/A</v>
        <stp/>
        <stp>BDS|8850571556488244458</stp>
        <tr r="I645" s="2"/>
      </tp>
      <tp t="s">
        <v>#N/A N/A</v>
        <stp/>
        <stp>BDP|3580118738543229608</stp>
        <tr r="E818" s="2"/>
      </tp>
      <tp t="s">
        <v>#N/A N/A</v>
        <stp/>
        <stp>BDP|2708222351775287482</stp>
        <tr r="N1415" s="2"/>
      </tp>
      <tp t="s">
        <v>#N/A N/A</v>
        <stp/>
        <stp>BDP|1750263481339983673</stp>
        <tr r="S264" s="2"/>
      </tp>
      <tp t="s">
        <v>#N/A N/A</v>
        <stp/>
        <stp>BDP|5224259689242061901</stp>
        <tr r="J2241" s="2"/>
      </tp>
      <tp t="s">
        <v>#N/A N/A</v>
        <stp/>
        <stp>BDP|1528106659489317810</stp>
        <tr r="F345" s="2"/>
      </tp>
      <tp t="s">
        <v>#N/A N/A</v>
        <stp/>
        <stp>BDP|9940197094466215387</stp>
        <tr r="O1366" s="2"/>
      </tp>
      <tp t="s">
        <v>#N/A N/A</v>
        <stp/>
        <stp>BDP|2890259557602749333</stp>
        <tr r="M574" s="2"/>
      </tp>
      <tp t="s">
        <v>#N/A N/A</v>
        <stp/>
        <stp>BDP|8522860410793543680</stp>
        <tr r="H188" s="2"/>
      </tp>
      <tp t="s">
        <v>#N/A N/A</v>
        <stp/>
        <stp>BDP|4751433387348462493</stp>
        <tr r="J1037" s="2"/>
      </tp>
      <tp t="s">
        <v>#N/A N/A</v>
        <stp/>
        <stp>BDP|6816244172657815082</stp>
        <tr r="P1203" s="2"/>
      </tp>
      <tp t="s">
        <v>#N/A N/A</v>
        <stp/>
        <stp>BDP|7677067398009003360</stp>
        <tr r="O1259" s="2"/>
      </tp>
      <tp t="s">
        <v>#N/A N/A</v>
        <stp/>
        <stp>BDP|5597799209051911721</stp>
        <tr r="E458" s="2"/>
      </tp>
      <tp t="s">
        <v>#N/A N/A</v>
        <stp/>
        <stp>BDP|8076101649740005971</stp>
        <tr r="Q1025" s="2"/>
      </tp>
      <tp t="s">
        <v>#N/A N/A</v>
        <stp/>
        <stp>BDP|3055295477351956395</stp>
        <tr r="K1017" s="2"/>
      </tp>
      <tp t="s">
        <v>#N/A N/A</v>
        <stp/>
        <stp>BDP|8802062640641122915</stp>
        <tr r="A1682" s="2"/>
      </tp>
      <tp t="s">
        <v>#N/A N/A</v>
        <stp/>
        <stp>BDP|1956872720077075803</stp>
        <tr r="J1374" s="2"/>
      </tp>
      <tp t="s">
        <v>#N/A N/A</v>
        <stp/>
        <stp>BDP|4191500450045622598</stp>
        <tr r="C1465" s="2"/>
      </tp>
      <tp t="s">
        <v>#N/A N/A</v>
        <stp/>
        <stp>BDP|1243355645743418184</stp>
        <tr r="N2214" s="2"/>
      </tp>
      <tp t="s">
        <v>#N/A N/A</v>
        <stp/>
        <stp>BDP|2378660558744223111</stp>
        <tr r="F976" s="2"/>
      </tp>
      <tp t="s">
        <v>#N/A N/A</v>
        <stp/>
        <stp>BDP|3739367748259601915</stp>
        <tr r="K1724" s="2"/>
      </tp>
      <tp t="s">
        <v>#N/A N/A</v>
        <stp/>
        <stp>BDP|9857553493211068001</stp>
        <tr r="A844" s="2"/>
      </tp>
      <tp t="s">
        <v>#N/A N/A</v>
        <stp/>
        <stp>BDP|1248066730224878225</stp>
        <tr r="G601" s="2"/>
      </tp>
      <tp t="s">
        <v>#N/A N/A</v>
        <stp/>
        <stp>BDP|6935176522535029420</stp>
        <tr r="O160" s="2"/>
      </tp>
      <tp t="s">
        <v>#N/A N/A</v>
        <stp/>
        <stp>BDP|4001638519416691120</stp>
        <tr r="G1876" s="2"/>
      </tp>
      <tp t="s">
        <v>#N/A N/A</v>
        <stp/>
        <stp>BDP|9123561284160800057</stp>
        <tr r="H758" s="2"/>
      </tp>
      <tp t="s">
        <v>#N/A N/A</v>
        <stp/>
        <stp>BDP|7198697227821348627</stp>
        <tr r="T637" s="2"/>
      </tp>
      <tp t="s">
        <v>#N/A N/A</v>
        <stp/>
        <stp>BDP|5017014147993193690</stp>
        <tr r="A2086" s="2"/>
      </tp>
      <tp t="s">
        <v>#N/A N/A</v>
        <stp/>
        <stp>BDP|8300991024444428342</stp>
        <tr r="A1753" s="2"/>
      </tp>
      <tp t="s">
        <v>#N/A N/A</v>
        <stp/>
        <stp>BDP|5271426958695539531</stp>
        <tr r="K1819" s="2"/>
      </tp>
      <tp t="s">
        <v>#N/A N/A</v>
        <stp/>
        <stp>BDP|5305473036190419687</stp>
        <tr r="F1163" s="2"/>
      </tp>
      <tp t="s">
        <v>#N/A N/A</v>
        <stp/>
        <stp>BDP|8966211062621313974</stp>
        <tr r="D1538" s="2"/>
      </tp>
      <tp t="s">
        <v>#N/A N/A</v>
        <stp/>
        <stp>BDP|4126122378534517200</stp>
        <tr r="R1270" s="2"/>
      </tp>
      <tp t="s">
        <v>#N/A N/A</v>
        <stp/>
        <stp>BDP|6765666400221711587</stp>
        <tr r="Q1052" s="2"/>
      </tp>
      <tp t="s">
        <v>#N/A N/A</v>
        <stp/>
        <stp>BDP|8533927978465671773</stp>
        <tr r="P865" s="2"/>
      </tp>
      <tp t="s">
        <v>#N/A N/A</v>
        <stp/>
        <stp>BDP|7139099678480898463</stp>
        <tr r="O1599" s="2"/>
      </tp>
      <tp t="s">
        <v>#N/A N/A</v>
        <stp/>
        <stp>BDP|4853208840814671206</stp>
        <tr r="S1237" s="2"/>
      </tp>
      <tp t="s">
        <v>#N/A N/A</v>
        <stp/>
        <stp>BDP|8167117961113673890</stp>
        <tr r="Q875" s="2"/>
      </tp>
      <tp t="s">
        <v>#N/A N/A</v>
        <stp/>
        <stp>BDP|4897507400944408120</stp>
        <tr r="F355" s="2"/>
      </tp>
      <tp t="s">
        <v>#N/A N/A</v>
        <stp/>
        <stp>BDP|1357720656102945506</stp>
        <tr r="S505" s="2"/>
      </tp>
      <tp t="s">
        <v>#N/A N/A</v>
        <stp/>
        <stp>BDP|5038411699129538536</stp>
        <tr r="D27" s="2"/>
      </tp>
      <tp t="s">
        <v>#N/A N/A</v>
        <stp/>
        <stp>BDP|7797155165375987101</stp>
        <tr r="D1278" s="2"/>
      </tp>
      <tp t="s">
        <v>#N/A N/A</v>
        <stp/>
        <stp>BDP|3241578029672194235</stp>
        <tr r="H1215" s="2"/>
      </tp>
      <tp t="s">
        <v>#N/A N/A</v>
        <stp/>
        <stp>BDP|3532996072201880889</stp>
        <tr r="N1349" s="2"/>
      </tp>
      <tp t="s">
        <v>#N/A N/A</v>
        <stp/>
        <stp>BDP|7378830197020877216</stp>
        <tr r="C1000" s="2"/>
      </tp>
      <tp t="s">
        <v>#N/A N/A</v>
        <stp/>
        <stp>BDS|2196426649247499101</stp>
        <tr r="I1692" s="2"/>
      </tp>
      <tp t="s">
        <v>#N/A N/A</v>
        <stp/>
        <stp>BDP|3943567025439394967</stp>
        <tr r="N1542" s="2"/>
      </tp>
      <tp t="s">
        <v>#N/A N/A</v>
        <stp/>
        <stp>BDP|2594496072157223235</stp>
        <tr r="P113" s="2"/>
      </tp>
      <tp t="s">
        <v>#N/A N/A</v>
        <stp/>
        <stp>BDS|5891841299168236880</stp>
        <tr r="I1348" s="2"/>
      </tp>
      <tp t="s">
        <v>#N/A N/A</v>
        <stp/>
        <stp>BDP|6818252523145626779</stp>
        <tr r="K760" s="2"/>
      </tp>
      <tp t="s">
        <v>#N/A N/A</v>
        <stp/>
        <stp>BDP|6872608990009073471</stp>
        <tr r="G2171" s="2"/>
      </tp>
      <tp t="s">
        <v>#N/A N/A</v>
        <stp/>
        <stp>BDP|2905403126467662769</stp>
        <tr r="S2202" s="2"/>
      </tp>
      <tp t="s">
        <v>#N/A N/A</v>
        <stp/>
        <stp>BDP|4743064639916624513</stp>
        <tr r="T1558" s="2"/>
      </tp>
      <tp t="s">
        <v>#N/A N/A</v>
        <stp/>
        <stp>BDP|7783782825504125245</stp>
        <tr r="M1145" s="2"/>
      </tp>
      <tp t="s">
        <v>#N/A N/A</v>
        <stp/>
        <stp>BDP|3164464409501769269</stp>
        <tr r="H1610" s="2"/>
      </tp>
      <tp t="s">
        <v>#N/A N/A</v>
        <stp/>
        <stp>BDP|4353890085374986495</stp>
        <tr r="S2231" s="2"/>
      </tp>
      <tp t="s">
        <v>#N/A N/A</v>
        <stp/>
        <stp>BDP|8951975371536573459</stp>
        <tr r="S2088" s="2"/>
      </tp>
      <tp t="s">
        <v>#N/A N/A</v>
        <stp/>
        <stp>BDP|6169932153306895865</stp>
        <tr r="P1275" s="2"/>
      </tp>
      <tp t="s">
        <v>#N/A N/A</v>
        <stp/>
        <stp>BDP|8942613651286381956</stp>
        <tr r="K109" s="2"/>
      </tp>
      <tp t="s">
        <v>#N/A N/A</v>
        <stp/>
        <stp>BDP|7766801364488593591</stp>
        <tr r="O2123" s="2"/>
      </tp>
      <tp t="s">
        <v>#N/A N/A</v>
        <stp/>
        <stp>BDP|1528256578894173461</stp>
        <tr r="O2081" s="2"/>
      </tp>
      <tp t="s">
        <v>#N/A N/A</v>
        <stp/>
        <stp>BDP|9416409903480050983</stp>
        <tr r="J1053" s="2"/>
      </tp>
      <tp t="s">
        <v>#N/A N/A</v>
        <stp/>
        <stp>BDP|3413570009810539200</stp>
        <tr r="M601" s="2"/>
      </tp>
      <tp t="s">
        <v>#N/A N/A</v>
        <stp/>
        <stp>BDP|5019107092680585985</stp>
        <tr r="Q836" s="2"/>
      </tp>
      <tp t="s">
        <v>#N/A N/A</v>
        <stp/>
        <stp>BDP|7083323370745830252</stp>
        <tr r="A1280" s="2"/>
      </tp>
      <tp t="s">
        <v>#N/A N/A</v>
        <stp/>
        <stp>BDP|8997897580465943963</stp>
        <tr r="F2232" s="2"/>
      </tp>
      <tp t="s">
        <v>#N/A N/A</v>
        <stp/>
        <stp>BDP|3652965083071585795</stp>
        <tr r="N1983" s="2"/>
      </tp>
      <tp t="s">
        <v>#N/A N/A</v>
        <stp/>
        <stp>BDP|9520837074272985042</stp>
        <tr r="S230" s="2"/>
      </tp>
      <tp t="s">
        <v>#N/A N/A</v>
        <stp/>
        <stp>BDP|7289525737277815203</stp>
        <tr r="C2222" s="2"/>
      </tp>
      <tp t="s">
        <v>#N/A N/A</v>
        <stp/>
        <stp>BDP|3174625811220485095</stp>
        <tr r="H1104" s="2"/>
      </tp>
      <tp t="s">
        <v>#N/A N/A</v>
        <stp/>
        <stp>BDP|2050869620069132583</stp>
        <tr r="G1111" s="2"/>
      </tp>
      <tp t="s">
        <v>#N/A N/A</v>
        <stp/>
        <stp>BDP|1908499342064978141</stp>
        <tr r="G727" s="2"/>
      </tp>
      <tp t="s">
        <v>#N/A N/A</v>
        <stp/>
        <stp>BDP|8546886077526785520</stp>
        <tr r="K929" s="2"/>
      </tp>
      <tp t="s">
        <v>#N/A N/A</v>
        <stp/>
        <stp>BDS|1316434119816554634</stp>
        <tr r="I1259" s="2"/>
      </tp>
      <tp t="s">
        <v>#N/A N/A</v>
        <stp/>
        <stp>BDP|9931418864336526965</stp>
        <tr r="A871" s="2"/>
      </tp>
      <tp t="s">
        <v>#N/A N/A</v>
        <stp/>
        <stp>BDP|2357309876222363097</stp>
        <tr r="Q1982" s="2"/>
      </tp>
      <tp t="s">
        <v>#N/A N/A</v>
        <stp/>
        <stp>BDP|8219058030737144895</stp>
        <tr r="R1360" s="2"/>
      </tp>
      <tp t="s">
        <v>#N/A N/A</v>
        <stp/>
        <stp>BDP|1178282137843109703</stp>
        <tr r="G87" s="2"/>
      </tp>
      <tp t="s">
        <v>#N/A N/A</v>
        <stp/>
        <stp>BDP|3430231952995826527</stp>
        <tr r="D1754" s="2"/>
      </tp>
      <tp t="s">
        <v>#N/A N/A</v>
        <stp/>
        <stp>BDP|3562613614246918668</stp>
        <tr r="E1670" s="2"/>
      </tp>
      <tp t="s">
        <v>#N/A N/A</v>
        <stp/>
        <stp>BDP|8327181454549812186</stp>
        <tr r="J1613" s="2"/>
      </tp>
      <tp t="s">
        <v>#N/A N/A</v>
        <stp/>
        <stp>BDP|1158544455683975661</stp>
        <tr r="F780" s="2"/>
      </tp>
      <tp t="s">
        <v>#N/A N/A</v>
        <stp/>
        <stp>BDP|6951407440577243542</stp>
        <tr r="R1364" s="2"/>
      </tp>
      <tp t="s">
        <v>#N/A N/A</v>
        <stp/>
        <stp>BDP|6710314315047855741</stp>
        <tr r="A5" s="2"/>
      </tp>
      <tp t="s">
        <v>#N/A N/A</v>
        <stp/>
        <stp>BDP|8830748092984074614</stp>
        <tr r="T529" s="2"/>
      </tp>
      <tp t="s">
        <v>#N/A N/A</v>
        <stp/>
        <stp>BDP|7844076858426126095</stp>
        <tr r="E1048" s="2"/>
      </tp>
      <tp t="s">
        <v>#N/A N/A</v>
        <stp/>
        <stp>BDP|5986554050535511468</stp>
        <tr r="K16" s="2"/>
      </tp>
      <tp t="s">
        <v>#N/A N/A</v>
        <stp/>
        <stp>BDP|5215616511771911741</stp>
        <tr r="H1475" s="2"/>
      </tp>
      <tp t="s">
        <v>#N/A N/A</v>
        <stp/>
        <stp>BDP|6429211804748732897</stp>
        <tr r="G432" s="2"/>
      </tp>
      <tp t="s">
        <v>#N/A N/A</v>
        <stp/>
        <stp>BDP|9518707558598135730</stp>
        <tr r="M14" s="2"/>
      </tp>
      <tp t="s">
        <v>#N/A N/A</v>
        <stp/>
        <stp>BDP|1309704125190962003</stp>
        <tr r="S905" s="2"/>
      </tp>
      <tp t="s">
        <v>#N/A N/A</v>
        <stp/>
        <stp>BDP|8917780806692149993</stp>
        <tr r="E2134" s="2"/>
      </tp>
      <tp t="s">
        <v>#N/A N/A</v>
        <stp/>
        <stp>BDS|2773701913335960520</stp>
        <tr r="I1724" s="2"/>
      </tp>
      <tp t="s">
        <v>#N/A N/A</v>
        <stp/>
        <stp>BDP|8451950124674843324</stp>
        <tr r="P511" s="2"/>
      </tp>
      <tp t="s">
        <v>#N/A N/A</v>
        <stp/>
        <stp>BDS|7273593401134271272</stp>
        <tr r="I399" s="2"/>
      </tp>
      <tp t="s">
        <v>#N/A N/A</v>
        <stp/>
        <stp>BDP|2181796127787298423</stp>
        <tr r="D1992" s="2"/>
      </tp>
      <tp t="s">
        <v>#N/A N/A</v>
        <stp/>
        <stp>BDP|8908129904208183510</stp>
        <tr r="F2196" s="2"/>
      </tp>
      <tp t="s">
        <v>#N/A N/A</v>
        <stp/>
        <stp>BDP|2910815387592019403</stp>
        <tr r="T190" s="2"/>
      </tp>
      <tp t="s">
        <v>#N/A N/A</v>
        <stp/>
        <stp>BDP|4180339265397957214</stp>
        <tr r="C716" s="2"/>
      </tp>
      <tp t="s">
        <v>#N/A N/A</v>
        <stp/>
        <stp>BDP|1614220837471834545</stp>
        <tr r="K1260" s="2"/>
      </tp>
      <tp t="s">
        <v>#N/A N/A</v>
        <stp/>
        <stp>BDP|3621388271321539259</stp>
        <tr r="C1456" s="2"/>
      </tp>
      <tp t="s">
        <v>#N/A N/A</v>
        <stp/>
        <stp>BDP|2501641901698748881</stp>
        <tr r="J1180" s="2"/>
      </tp>
      <tp t="s">
        <v>#N/A N/A</v>
        <stp/>
        <stp>BDP|9512604582354959711</stp>
        <tr r="N1508" s="2"/>
      </tp>
      <tp t="s">
        <v>#N/A N/A</v>
        <stp/>
        <stp>BDP|5531433466905780684</stp>
        <tr r="E320" s="2"/>
      </tp>
      <tp t="s">
        <v>#N/A N/A</v>
        <stp/>
        <stp>BDP|7913559636676382363</stp>
        <tr r="G1345" s="2"/>
      </tp>
      <tp t="s">
        <v>#N/A N/A</v>
        <stp/>
        <stp>BDP|9037905981178759497</stp>
        <tr r="F681" s="2"/>
      </tp>
      <tp t="s">
        <v>#N/A N/A</v>
        <stp/>
        <stp>BDP|9767613397100884269</stp>
        <tr r="F469" s="2"/>
      </tp>
      <tp t="s">
        <v>#N/A N/A</v>
        <stp/>
        <stp>BDP|3894369300707748366</stp>
        <tr r="A2043" s="2"/>
      </tp>
      <tp t="s">
        <v>#N/A N/A</v>
        <stp/>
        <stp>BDP|6791441858136193555</stp>
        <tr r="A730" s="2"/>
      </tp>
      <tp t="s">
        <v>#N/A N/A</v>
        <stp/>
        <stp>BDP|1505018879292370019</stp>
        <tr r="R759" s="2"/>
      </tp>
      <tp t="s">
        <v>#N/A N/A</v>
        <stp/>
        <stp>BDP|4692069520121675392</stp>
        <tr r="G408" s="2"/>
      </tp>
      <tp t="s">
        <v>#N/A N/A</v>
        <stp/>
        <stp>BDP|9154438418728463018</stp>
        <tr r="S69" s="2"/>
      </tp>
      <tp t="s">
        <v>#N/A N/A</v>
        <stp/>
        <stp>BDP|8571590010220001831</stp>
        <tr r="O1199" s="2"/>
      </tp>
      <tp t="s">
        <v>#N/A N/A</v>
        <stp/>
        <stp>BDP|4136795715343220500</stp>
        <tr r="K1156" s="2"/>
      </tp>
      <tp t="s">
        <v>#N/A N/A</v>
        <stp/>
        <stp>BDP|6627273672296457181</stp>
        <tr r="F12" s="2"/>
      </tp>
      <tp t="s">
        <v>#N/A N/A</v>
        <stp/>
        <stp>BDP|4634855588536508614</stp>
        <tr r="T159" s="2"/>
      </tp>
      <tp t="s">
        <v>#N/A N/A</v>
        <stp/>
        <stp>BDP|9702662037188040090</stp>
        <tr r="O631" s="2"/>
      </tp>
      <tp t="s">
        <v>#N/A N/A</v>
        <stp/>
        <stp>BDP|4028987281072266344</stp>
        <tr r="C605" s="2"/>
      </tp>
      <tp t="s">
        <v>#N/A N/A</v>
        <stp/>
        <stp>BDP|3741814028589747467</stp>
        <tr r="A197" s="2"/>
      </tp>
      <tp t="s">
        <v>#N/A N/A</v>
        <stp/>
        <stp>BDP|3963621680628628125</stp>
        <tr r="E313" s="2"/>
      </tp>
      <tp t="s">
        <v>#N/A N/A</v>
        <stp/>
        <stp>BDP|6113697439391877664</stp>
        <tr r="R1179" s="2"/>
      </tp>
      <tp t="s">
        <v>#N/A N/A</v>
        <stp/>
        <stp>BDP|9888257491126138014</stp>
        <tr r="C344" s="2"/>
      </tp>
      <tp t="s">
        <v>#N/A N/A</v>
        <stp/>
        <stp>BDP|4470690900705099310</stp>
        <tr r="R2227" s="2"/>
      </tp>
      <tp t="s">
        <v>#N/A N/A</v>
        <stp/>
        <stp>BDP|1865335204426094037</stp>
        <tr r="P1451" s="2"/>
      </tp>
      <tp t="s">
        <v>#N/A N/A</v>
        <stp/>
        <stp>BDP|1133100819971405403</stp>
        <tr r="D478" s="2"/>
      </tp>
      <tp t="s">
        <v>#N/A N/A</v>
        <stp/>
        <stp>BDP|2359449470762341786</stp>
        <tr r="M1459" s="2"/>
      </tp>
      <tp t="s">
        <v>#N/A N/A</v>
        <stp/>
        <stp>BDP|6022704443719813878</stp>
        <tr r="E57" s="2"/>
      </tp>
      <tp t="s">
        <v>#N/A N/A</v>
        <stp/>
        <stp>BDP|6906216454433385632</stp>
        <tr r="O497" s="2"/>
      </tp>
      <tp t="s">
        <v>#N/A N/A</v>
        <stp/>
        <stp>BDP|9262804432656995055</stp>
        <tr r="C1685" s="2"/>
      </tp>
      <tp t="s">
        <v>#N/A N/A</v>
        <stp/>
        <stp>BDP|5060935798709546828</stp>
        <tr r="J1808" s="2"/>
      </tp>
      <tp t="s">
        <v>#N/A N/A</v>
        <stp/>
        <stp>BDP|7259008514612820021</stp>
        <tr r="K6" s="2"/>
      </tp>
      <tp t="s">
        <v>#N/A N/A</v>
        <stp/>
        <stp>BDP|1528452704824835503</stp>
        <tr r="S657" s="2"/>
      </tp>
      <tp t="s">
        <v>#N/A N/A</v>
        <stp/>
        <stp>BDP|6956556720492262729</stp>
        <tr r="E1185" s="2"/>
      </tp>
      <tp t="s">
        <v>#N/A N/A</v>
        <stp/>
        <stp>BDP|5974378711524467777</stp>
        <tr r="C1874" s="2"/>
      </tp>
      <tp t="s">
        <v>#N/A N/A</v>
        <stp/>
        <stp>BDP|8638373644639951208</stp>
        <tr r="P604" s="2"/>
      </tp>
      <tp t="s">
        <v>#N/A N/A</v>
        <stp/>
        <stp>BDS|7684385207641353167</stp>
        <tr r="I306" s="2"/>
      </tp>
      <tp t="s">
        <v>#N/A N/A</v>
        <stp/>
        <stp>BDP|2489606656445628082</stp>
        <tr r="M2074" s="2"/>
      </tp>
      <tp t="s">
        <v>#N/A N/A</v>
        <stp/>
        <stp>BDP|6960409377499495868</stp>
        <tr r="Q2216" s="2"/>
      </tp>
      <tp t="s">
        <v>#N/A N/A</v>
        <stp/>
        <stp>BDP|4103521728272299550</stp>
        <tr r="M1738" s="2"/>
      </tp>
      <tp t="s">
        <v>#N/A N/A</v>
        <stp/>
        <stp>BDP|7141167817976945554</stp>
        <tr r="F609" s="2"/>
      </tp>
      <tp t="s">
        <v>#N/A N/A</v>
        <stp/>
        <stp>BDP|2280822609349537707</stp>
        <tr r="Q1538" s="2"/>
      </tp>
      <tp t="s">
        <v>#N/A N/A</v>
        <stp/>
        <stp>BDP|7971919891351203270</stp>
        <tr r="E746" s="2"/>
      </tp>
      <tp t="s">
        <v>#N/A N/A</v>
        <stp/>
        <stp>BDP|1503039418297455363</stp>
        <tr r="E923" s="2"/>
      </tp>
      <tp t="s">
        <v>#N/A N/A</v>
        <stp/>
        <stp>BDP|4539059326287224586</stp>
        <tr r="J1254" s="2"/>
      </tp>
      <tp t="s">
        <v>#N/A N/A</v>
        <stp/>
        <stp>BDP|4768930456784655888</stp>
        <tr r="A1160" s="2"/>
      </tp>
      <tp t="s">
        <v>#N/A N/A</v>
        <stp/>
        <stp>BDP|3209987463970758827</stp>
        <tr r="G355" s="2"/>
      </tp>
      <tp t="s">
        <v>#N/A N/A</v>
        <stp/>
        <stp>BDP|5978104445274643069</stp>
        <tr r="A351" s="2"/>
      </tp>
      <tp t="s">
        <v>#N/A N/A</v>
        <stp/>
        <stp>BDP|2683198222950460550</stp>
        <tr r="G33" s="2"/>
      </tp>
      <tp t="s">
        <v>#N/A N/A</v>
        <stp/>
        <stp>BDP|5784226528484968583</stp>
        <tr r="T625" s="2"/>
      </tp>
      <tp t="s">
        <v>#N/A N/A</v>
        <stp/>
        <stp>BDS|5965006255664122018</stp>
        <tr r="I1914" s="2"/>
      </tp>
      <tp t="s">
        <v>#N/A N/A</v>
        <stp/>
        <stp>BDP|9035325061588798084</stp>
        <tr r="P1933" s="2"/>
      </tp>
      <tp t="s">
        <v>#N/A N/A</v>
        <stp/>
        <stp>BDP|4485202642142860423</stp>
        <tr r="T196" s="2"/>
      </tp>
      <tp t="s">
        <v>#N/A N/A</v>
        <stp/>
        <stp>BDP|9397940566564805652</stp>
        <tr r="M1080" s="2"/>
      </tp>
      <tp t="s">
        <v>#N/A N/A</v>
        <stp/>
        <stp>BDP|2765218958153275206</stp>
        <tr r="H1410" s="2"/>
      </tp>
      <tp t="s">
        <v>#N/A N/A</v>
        <stp/>
        <stp>BDP|3781165230093455696</stp>
        <tr r="K435" s="2"/>
      </tp>
      <tp t="s">
        <v>#N/A N/A</v>
        <stp/>
        <stp>BDP|4965522283609150456</stp>
        <tr r="H1468" s="2"/>
      </tp>
      <tp t="s">
        <v>#N/A N/A</v>
        <stp/>
        <stp>BDP|5378060972732872436</stp>
        <tr r="M8" s="2"/>
      </tp>
      <tp t="s">
        <v>#N/A N/A</v>
        <stp/>
        <stp>BDP|4777165209608419904</stp>
        <tr r="E1984" s="2"/>
      </tp>
      <tp t="s">
        <v>#N/A N/A</v>
        <stp/>
        <stp>BDP|8599419289665842593</stp>
        <tr r="G184" s="2"/>
      </tp>
      <tp t="s">
        <v>#N/A N/A</v>
        <stp/>
        <stp>BDP|5814622694719036727</stp>
        <tr r="P873" s="2"/>
      </tp>
      <tp t="s">
        <v>#N/A N/A</v>
        <stp/>
        <stp>BDP|5488542778497461408</stp>
        <tr r="G358" s="2"/>
      </tp>
      <tp t="s">
        <v>#N/A N/A</v>
        <stp/>
        <stp>BDP|3028551728297834792</stp>
        <tr r="R475" s="2"/>
      </tp>
      <tp t="s">
        <v>#N/A N/A</v>
        <stp/>
        <stp>BDP|6158492563430706003</stp>
        <tr r="O1717" s="2"/>
      </tp>
      <tp t="s">
        <v>#N/A N/A</v>
        <stp/>
        <stp>BDP|6151763876581871357</stp>
        <tr r="A254" s="2"/>
      </tp>
      <tp t="s">
        <v>#N/A N/A</v>
        <stp/>
        <stp>BDP|7922888158808732622</stp>
        <tr r="T576" s="2"/>
      </tp>
      <tp t="s">
        <v>#N/A N/A</v>
        <stp/>
        <stp>BDS|6071769850259844928</stp>
        <tr r="I870" s="2"/>
      </tp>
      <tp t="s">
        <v>#N/A N/A</v>
        <stp/>
        <stp>BDP|6851931490722643015</stp>
        <tr r="A2053" s="2"/>
      </tp>
      <tp t="s">
        <v>#N/A N/A</v>
        <stp/>
        <stp>BDP|9837120010019203441</stp>
        <tr r="K1924" s="2"/>
      </tp>
      <tp t="s">
        <v>#N/A N/A</v>
        <stp/>
        <stp>BDP|9641392380303124525</stp>
        <tr r="F1780" s="2"/>
      </tp>
      <tp t="s">
        <v>#N/A N/A</v>
        <stp/>
        <stp>BDP|2569571666386810307</stp>
        <tr r="G885" s="2"/>
      </tp>
      <tp t="s">
        <v>#N/A N/A</v>
        <stp/>
        <stp>BDP|4432694110227676070</stp>
        <tr r="P288" s="2"/>
      </tp>
      <tp t="s">
        <v>#N/A N/A</v>
        <stp/>
        <stp>BDP|6263185608410704395</stp>
        <tr r="N515" s="2"/>
      </tp>
      <tp t="s">
        <v>#N/A N/A</v>
        <stp/>
        <stp>BDP|2545211368003075100</stp>
        <tr r="P1332" s="2"/>
      </tp>
      <tp t="s">
        <v>#N/A N/A</v>
        <stp/>
        <stp>BDP|5939581658776214776</stp>
        <tr r="T1052" s="2"/>
      </tp>
      <tp t="s">
        <v>#N/A N/A</v>
        <stp/>
        <stp>BDP|8626639695925846643</stp>
        <tr r="O531" s="2"/>
      </tp>
      <tp t="s">
        <v>#N/A N/A</v>
        <stp/>
        <stp>BDP|1291329692539834663</stp>
        <tr r="T802" s="2"/>
      </tp>
      <tp t="s">
        <v>#N/A N/A</v>
        <stp/>
        <stp>BDP|6079604845930193086</stp>
        <tr r="J1462" s="2"/>
      </tp>
      <tp t="s">
        <v>#N/A N/A</v>
        <stp/>
        <stp>BDS|4335082151466560335</stp>
        <tr r="I352" s="2"/>
      </tp>
      <tp t="s">
        <v>#N/A N/A</v>
        <stp/>
        <stp>BDP|8373461322219227392</stp>
        <tr r="N682" s="2"/>
      </tp>
      <tp t="s">
        <v>#N/A N/A</v>
        <stp/>
        <stp>BDP|3939922770510702900</stp>
        <tr r="G658" s="2"/>
      </tp>
      <tp t="s">
        <v>#N/A N/A</v>
        <stp/>
        <stp>BDP|7440295674612079454</stp>
        <tr r="Q742" s="2"/>
      </tp>
      <tp t="s">
        <v>#N/A N/A</v>
        <stp/>
        <stp>BDP|8151961473721029385</stp>
        <tr r="K225" s="2"/>
      </tp>
      <tp t="s">
        <v>#N/A N/A</v>
        <stp/>
        <stp>BDS|7923631758734732493</stp>
        <tr r="I138" s="2"/>
      </tp>
      <tp t="s">
        <v>#N/A N/A</v>
        <stp/>
        <stp>BDP|5952365283122730875</stp>
        <tr r="F1794" s="2"/>
      </tp>
      <tp t="s">
        <v>#N/A N/A</v>
        <stp/>
        <stp>BDP|7814037010406249451</stp>
        <tr r="F1437" s="2"/>
      </tp>
      <tp t="s">
        <v>#N/A N/A</v>
        <stp/>
        <stp>BDP|1186508907404351496</stp>
        <tr r="P1319" s="2"/>
      </tp>
      <tp t="s">
        <v>#N/A N/A</v>
        <stp/>
        <stp>BDP|7059128413271915249</stp>
        <tr r="R1805" s="2"/>
      </tp>
      <tp t="s">
        <v>#N/A N/A</v>
        <stp/>
        <stp>BDP|5365707367553916313</stp>
        <tr r="O1710" s="2"/>
      </tp>
      <tp t="s">
        <v>#N/A N/A</v>
        <stp/>
        <stp>BDP|6609656072390436390</stp>
        <tr r="R153" s="2"/>
      </tp>
      <tp t="s">
        <v>#N/A N/A</v>
        <stp/>
        <stp>BDP|1834150536710137761</stp>
        <tr r="A863" s="2"/>
      </tp>
      <tp t="s">
        <v>#N/A N/A</v>
        <stp/>
        <stp>BDP|2032600169292412416</stp>
        <tr r="H2198" s="2"/>
      </tp>
      <tp t="s">
        <v>#N/A N/A</v>
        <stp/>
        <stp>BDP|4485372232857536798</stp>
        <tr r="F870" s="2"/>
      </tp>
      <tp t="s">
        <v>#N/A N/A</v>
        <stp/>
        <stp>BDP|9880353094241682628</stp>
        <tr r="T1875" s="2"/>
      </tp>
      <tp t="s">
        <v>#N/A N/A</v>
        <stp/>
        <stp>BDP|9048737574198283583</stp>
        <tr r="K1602" s="2"/>
      </tp>
      <tp t="s">
        <v>#N/A N/A</v>
        <stp/>
        <stp>BDP|4839326903250264368</stp>
        <tr r="C1230" s="2"/>
      </tp>
      <tp t="s">
        <v>#N/A N/A</v>
        <stp/>
        <stp>BDP|1435390077542092376</stp>
        <tr r="F2213" s="2"/>
      </tp>
      <tp t="s">
        <v>#N/A N/A</v>
        <stp/>
        <stp>BDP|6345494981846073866</stp>
        <tr r="F897" s="2"/>
      </tp>
      <tp t="s">
        <v>#N/A N/A</v>
        <stp/>
        <stp>BDP|5448391940967933197</stp>
        <tr r="R1836" s="2"/>
      </tp>
      <tp t="s">
        <v>#N/A N/A</v>
        <stp/>
        <stp>BDP|6867527847981680268</stp>
        <tr r="S813" s="2"/>
      </tp>
      <tp t="s">
        <v>#N/A N/A</v>
        <stp/>
        <stp>BDP|5810428429085651284</stp>
        <tr r="M1146" s="2"/>
      </tp>
      <tp t="s">
        <v>#N/A N/A</v>
        <stp/>
        <stp>BDP|4579765927884977105</stp>
        <tr r="M1625" s="2"/>
      </tp>
      <tp t="s">
        <v>#N/A N/A</v>
        <stp/>
        <stp>BDP|5815521537853600463</stp>
        <tr r="N1833" s="2"/>
      </tp>
      <tp t="s">
        <v>#N/A N/A</v>
        <stp/>
        <stp>BDP|1515085314810004447</stp>
        <tr r="T1429" s="2"/>
      </tp>
      <tp t="s">
        <v>#N/A N/A</v>
        <stp/>
        <stp>BDP|1865047875857574515</stp>
        <tr r="K2126" s="2"/>
      </tp>
      <tp t="s">
        <v>#N/A N/A</v>
        <stp/>
        <stp>BDS|4279167169967542055</stp>
        <tr r="I984" s="2"/>
      </tp>
      <tp t="s">
        <v>#N/A N/A</v>
        <stp/>
        <stp>BDP|1793056565451329292</stp>
        <tr r="J1257" s="2"/>
      </tp>
      <tp t="s">
        <v>#N/A N/A</v>
        <stp/>
        <stp>BDP|8242868113102209786</stp>
        <tr r="H303" s="2"/>
      </tp>
      <tp t="s">
        <v>#N/A N/A</v>
        <stp/>
        <stp>BDP|9113055054989940142</stp>
        <tr r="F1275" s="2"/>
      </tp>
      <tp t="s">
        <v>#N/A N/A</v>
        <stp/>
        <stp>BDS|6007287023076475429</stp>
        <tr r="I869" s="2"/>
      </tp>
      <tp t="s">
        <v>#N/A N/A</v>
        <stp/>
        <stp>BDP|4253223306003997125</stp>
        <tr r="F2195" s="2"/>
      </tp>
      <tp t="s">
        <v>#N/A N/A</v>
        <stp/>
        <stp>BDP|6085739508540774519</stp>
        <tr r="C545" s="2"/>
      </tp>
      <tp t="s">
        <v>#N/A N/A</v>
        <stp/>
        <stp>BDP|3622058072488465882</stp>
        <tr r="T1324" s="2"/>
      </tp>
      <tp t="s">
        <v>#N/A N/A</v>
        <stp/>
        <stp>BDP|6754250278793506428</stp>
        <tr r="H1332" s="2"/>
      </tp>
      <tp t="s">
        <v>#N/A N/A</v>
        <stp/>
        <stp>BDP|2532300864922963156</stp>
        <tr r="K1563" s="2"/>
      </tp>
      <tp t="s">
        <v>#N/A N/A</v>
        <stp/>
        <stp>BDP|4992881530593866846</stp>
        <tr r="K1105" s="2"/>
      </tp>
      <tp t="s">
        <v>#N/A N/A</v>
        <stp/>
        <stp>BDP|5671469498644048851</stp>
        <tr r="P302" s="2"/>
      </tp>
      <tp t="s">
        <v>#N/A N/A</v>
        <stp/>
        <stp>BDP|3078021625720956539</stp>
        <tr r="J1219" s="2"/>
      </tp>
      <tp t="s">
        <v>#N/A N/A</v>
        <stp/>
        <stp>BDP|2139564513811879314</stp>
        <tr r="A575" s="2"/>
      </tp>
      <tp t="s">
        <v>#N/A N/A</v>
        <stp/>
        <stp>BDP|6388131549406228163</stp>
        <tr r="Q227" s="2"/>
      </tp>
      <tp t="s">
        <v>#N/A N/A</v>
        <stp/>
        <stp>BDP|2209398741618708902</stp>
        <tr r="S40" s="2"/>
      </tp>
      <tp t="s">
        <v>#N/A N/A</v>
        <stp/>
        <stp>BDP|6560582960196091700</stp>
        <tr r="D1402" s="2"/>
      </tp>
      <tp t="s">
        <v>#N/A N/A</v>
        <stp/>
        <stp>BDP|1897210533490364447</stp>
        <tr r="Q1950" s="2"/>
      </tp>
      <tp t="s">
        <v>#N/A N/A</v>
        <stp/>
        <stp>BDP|5954539804114192028</stp>
        <tr r="C466" s="2"/>
      </tp>
      <tp t="s">
        <v>#N/A N/A</v>
        <stp/>
        <stp>BDP|6459919291572144081</stp>
        <tr r="A2256" s="2"/>
      </tp>
      <tp t="s">
        <v>#N/A N/A</v>
        <stp/>
        <stp>BDP|4504567650027705798</stp>
        <tr r="C72" s="2"/>
      </tp>
      <tp t="s">
        <v>#N/A N/A</v>
        <stp/>
        <stp>BDP|7081136548036524033</stp>
        <tr r="Q1317" s="2"/>
      </tp>
      <tp t="s">
        <v>#N/A N/A</v>
        <stp/>
        <stp>BDP|2798472030411980048</stp>
        <tr r="S201" s="2"/>
      </tp>
      <tp t="s">
        <v>#N/A N/A</v>
        <stp/>
        <stp>BDP|7956114484619088310</stp>
        <tr r="S642" s="2"/>
      </tp>
      <tp t="s">
        <v>#N/A N/A</v>
        <stp/>
        <stp>BDP|1864547110457995682</stp>
        <tr r="G1622" s="2"/>
      </tp>
      <tp t="s">
        <v>#N/A N/A</v>
        <stp/>
        <stp>BDP|1439119689208624474</stp>
        <tr r="C1845" s="2"/>
      </tp>
      <tp t="s">
        <v>#N/A N/A</v>
        <stp/>
        <stp>BDP|9462011978302728877</stp>
        <tr r="P1707" s="2"/>
      </tp>
      <tp t="s">
        <v>#N/A N/A</v>
        <stp/>
        <stp>BDP|1847019878160585295</stp>
        <tr r="H148" s="2"/>
      </tp>
      <tp t="s">
        <v>#N/A N/A</v>
        <stp/>
        <stp>BDP|1646555276081832603</stp>
        <tr r="P2093" s="2"/>
      </tp>
      <tp t="s">
        <v>#N/A N/A</v>
        <stp/>
        <stp>BDP|3824460888073901823</stp>
        <tr r="R227" s="2"/>
      </tp>
      <tp t="s">
        <v>#N/A N/A</v>
        <stp/>
        <stp>BDP|6943753672010500267</stp>
        <tr r="H1532" s="2"/>
      </tp>
      <tp t="s">
        <v>#N/A N/A</v>
        <stp/>
        <stp>BDP|8534780694643362173</stp>
        <tr r="D2253" s="2"/>
      </tp>
      <tp t="s">
        <v>#N/A N/A</v>
        <stp/>
        <stp>BDP|9452697791424913687</stp>
        <tr r="O367" s="2"/>
      </tp>
      <tp t="s">
        <v>#N/A N/A</v>
        <stp/>
        <stp>BDP|1361376166564647491</stp>
        <tr r="K1497" s="2"/>
      </tp>
      <tp t="s">
        <v>#N/A N/A</v>
        <stp/>
        <stp>BDP|1937726464703772755</stp>
        <tr r="O230" s="2"/>
      </tp>
      <tp t="s">
        <v>#N/A N/A</v>
        <stp/>
        <stp>BDS|4898407302394470039</stp>
        <tr r="I716" s="2"/>
      </tp>
      <tp t="s">
        <v>#N/A N/A</v>
        <stp/>
        <stp>BDP|9521429104669645089</stp>
        <tr r="C884" s="2"/>
      </tp>
      <tp t="s">
        <v>#N/A N/A</v>
        <stp/>
        <stp>BDP|1032675943837094097</stp>
        <tr r="C77" s="2"/>
      </tp>
      <tp t="s">
        <v>#N/A N/A</v>
        <stp/>
        <stp>BDP|4536200609046019412</stp>
        <tr r="D851" s="2"/>
      </tp>
      <tp t="s">
        <v>#N/A N/A</v>
        <stp/>
        <stp>BDP|1673769420789881951</stp>
        <tr r="Q1094" s="2"/>
      </tp>
      <tp t="s">
        <v>#N/A N/A</v>
        <stp/>
        <stp>BDP|7329223302334813563</stp>
        <tr r="S1640" s="2"/>
      </tp>
      <tp t="s">
        <v>#N/A N/A</v>
        <stp/>
        <stp>BDP|1147051347047856663</stp>
        <tr r="P1548" s="2"/>
      </tp>
      <tp t="s">
        <v>#N/A N/A</v>
        <stp/>
        <stp>BDP|2589736632793827118</stp>
        <tr r="R652" s="2"/>
      </tp>
      <tp t="s">
        <v>#N/A N/A</v>
        <stp/>
        <stp>BDP|7937612858696467692</stp>
        <tr r="J1799" s="2"/>
      </tp>
      <tp t="s">
        <v>#N/A N/A</v>
        <stp/>
        <stp>BDP|3162725713102599388</stp>
        <tr r="F1152" s="2"/>
      </tp>
      <tp t="s">
        <v>#N/A N/A</v>
        <stp/>
        <stp>BDP|4513792143775238604</stp>
        <tr r="K873" s="2"/>
      </tp>
      <tp t="s">
        <v>#N/A N/A</v>
        <stp/>
        <stp>BDP|9461961713425859045</stp>
        <tr r="M1094" s="2"/>
      </tp>
      <tp t="s">
        <v>#N/A N/A</v>
        <stp/>
        <stp>BDP|5624416809151077431</stp>
        <tr r="P1242" s="2"/>
      </tp>
      <tp t="s">
        <v>#N/A N/A</v>
        <stp/>
        <stp>BDP|1544326746485521797</stp>
        <tr r="R408" s="2"/>
      </tp>
      <tp t="s">
        <v>#N/A N/A</v>
        <stp/>
        <stp>BDP|4161093984031950983</stp>
        <tr r="N1574" s="2"/>
      </tp>
      <tp t="s">
        <v>#N/A N/A</v>
        <stp/>
        <stp>BDP|2694184281569321618</stp>
        <tr r="A420" s="2"/>
      </tp>
      <tp t="s">
        <v>#N/A N/A</v>
        <stp/>
        <stp>BDP|1642727319113892089</stp>
        <tr r="M2036" s="2"/>
      </tp>
      <tp t="s">
        <v>#N/A N/A</v>
        <stp/>
        <stp>BDP|8795006138977270803</stp>
        <tr r="M1621" s="2"/>
      </tp>
      <tp t="s">
        <v>#N/A N/A</v>
        <stp/>
        <stp>BDP|8405889905604055048</stp>
        <tr r="N2023" s="2"/>
      </tp>
      <tp t="s">
        <v>#N/A N/A</v>
        <stp/>
        <stp>BDP|6716116170140315482</stp>
        <tr r="P46" s="2"/>
      </tp>
      <tp t="s">
        <v>#N/A N/A</v>
        <stp/>
        <stp>BDP|6818807088873529189</stp>
        <tr r="D875" s="2"/>
      </tp>
      <tp t="s">
        <v>#N/A N/A</v>
        <stp/>
        <stp>BDP|6378617563424483689</stp>
        <tr r="K1988" s="2"/>
      </tp>
      <tp t="s">
        <v>#N/A N/A</v>
        <stp/>
        <stp>BDP|5278080503910383173</stp>
        <tr r="A1583" s="2"/>
      </tp>
      <tp t="s">
        <v>#N/A N/A</v>
        <stp/>
        <stp>BDP|7802455375388003853</stp>
        <tr r="D510" s="2"/>
      </tp>
      <tp t="s">
        <v>#N/A N/A</v>
        <stp/>
        <stp>BDP|5937759286867708907</stp>
        <tr r="A1904" s="2"/>
      </tp>
      <tp t="s">
        <v>#N/A N/A</v>
        <stp/>
        <stp>BDP|6957682058937133659</stp>
        <tr r="M2128" s="2"/>
      </tp>
      <tp t="s">
        <v>#N/A N/A</v>
        <stp/>
        <stp>BDP|1510055115141835502</stp>
        <tr r="M1925" s="2"/>
      </tp>
      <tp t="s">
        <v>#N/A N/A</v>
        <stp/>
        <stp>BDP|2360247760043962133</stp>
        <tr r="R1134" s="2"/>
      </tp>
      <tp t="s">
        <v>#N/A N/A</v>
        <stp/>
        <stp>BDP|1070808590420584487</stp>
        <tr r="Q1221" s="2"/>
      </tp>
      <tp t="s">
        <v>#N/A N/A</v>
        <stp/>
        <stp>BDP|5584758797288328794</stp>
        <tr r="F2106" s="2"/>
      </tp>
      <tp t="s">
        <v>#N/A N/A</v>
        <stp/>
        <stp>BDP|3605510929063222316</stp>
        <tr r="Q1454" s="2"/>
      </tp>
      <tp t="s">
        <v>#N/A N/A</v>
        <stp/>
        <stp>BDS|3589487253864795249</stp>
        <tr r="I255" s="2"/>
      </tp>
      <tp t="s">
        <v>#N/A N/A</v>
        <stp/>
        <stp>BDP|4453304346120657792</stp>
        <tr r="A1343" s="2"/>
      </tp>
      <tp t="s">
        <v>#N/A N/A</v>
        <stp/>
        <stp>BDP|1108786665354906082</stp>
        <tr r="M1849" s="2"/>
      </tp>
      <tp t="s">
        <v>#N/A N/A</v>
        <stp/>
        <stp>BDP|3532347812337807260</stp>
        <tr r="K458" s="2"/>
      </tp>
      <tp t="s">
        <v>#N/A N/A</v>
        <stp/>
        <stp>BDP|1739999436067284875</stp>
        <tr r="C1602" s="2"/>
      </tp>
      <tp t="s">
        <v>#N/A N/A</v>
        <stp/>
        <stp>BDP|5339484720401715615</stp>
        <tr r="F1329" s="2"/>
      </tp>
      <tp t="s">
        <v>#N/A N/A</v>
        <stp/>
        <stp>BDP|6474951263649749482</stp>
        <tr r="S1070" s="2"/>
      </tp>
      <tp t="s">
        <v>#N/A N/A</v>
        <stp/>
        <stp>BDP|9047282422845811806</stp>
        <tr r="P2005" s="2"/>
      </tp>
      <tp t="s">
        <v>#N/A N/A</v>
        <stp/>
        <stp>BDP|4128058440115460124</stp>
        <tr r="A2194" s="2"/>
      </tp>
      <tp t="s">
        <v>#N/A N/A</v>
        <stp/>
        <stp>BDP|1877177926812280499</stp>
        <tr r="R621" s="2"/>
      </tp>
      <tp t="s">
        <v>#N/A N/A</v>
        <stp/>
        <stp>BDS|8343015559159192082</stp>
        <tr r="I2236" s="2"/>
      </tp>
      <tp t="s">
        <v>#N/A N/A</v>
        <stp/>
        <stp>BDP|3293283682304847925</stp>
        <tr r="C1925" s="2"/>
      </tp>
      <tp t="s">
        <v>#N/A N/A</v>
        <stp/>
        <stp>BDP|7252472278958778881</stp>
        <tr r="F2098" s="2"/>
      </tp>
      <tp t="s">
        <v>#N/A N/A</v>
        <stp/>
        <stp>BDP|5328772686186122818</stp>
        <tr r="F263" s="2"/>
      </tp>
      <tp t="s">
        <v>#N/A N/A</v>
        <stp/>
        <stp>BDP|3999401478093303703</stp>
        <tr r="S1219" s="2"/>
      </tp>
      <tp t="s">
        <v>#N/A N/A</v>
        <stp/>
        <stp>BDP|5503347413730423349</stp>
        <tr r="C1310" s="2"/>
      </tp>
      <tp t="s">
        <v>#N/A N/A</v>
        <stp/>
        <stp>BDP|2547119817267727166</stp>
        <tr r="G561" s="2"/>
      </tp>
      <tp t="s">
        <v>#N/A N/A</v>
        <stp/>
        <stp>BDP|4330349924416437756</stp>
        <tr r="N1135" s="2"/>
      </tp>
      <tp t="s">
        <v>#N/A N/A</v>
        <stp/>
        <stp>BDP|9008809179063339180</stp>
        <tr r="F1130" s="2"/>
      </tp>
      <tp t="s">
        <v>#N/A N/A</v>
        <stp/>
        <stp>BDP|2474999387154862303</stp>
        <tr r="Q2170" s="2"/>
      </tp>
      <tp t="s">
        <v>#N/A N/A</v>
        <stp/>
        <stp>BDP|5276958792518433933</stp>
        <tr r="O580" s="2"/>
      </tp>
      <tp t="s">
        <v>#N/A N/A</v>
        <stp/>
        <stp>BDP|7046801510649304319</stp>
        <tr r="C2226" s="2"/>
      </tp>
      <tp t="s">
        <v>#N/A N/A</v>
        <stp/>
        <stp>BDP|3403892761010881967</stp>
        <tr r="E1059" s="2"/>
      </tp>
      <tp t="s">
        <v>#N/A N/A</v>
        <stp/>
        <stp>BDP|1147037426952621505</stp>
        <tr r="T1542" s="2"/>
      </tp>
      <tp t="s">
        <v>#N/A N/A</v>
        <stp/>
        <stp>BDS|2255461107790350228</stp>
        <tr r="I294" s="2"/>
      </tp>
      <tp t="s">
        <v>#N/A N/A</v>
        <stp/>
        <stp>BDP|4228208261727697379</stp>
        <tr r="N95" s="2"/>
      </tp>
      <tp t="s">
        <v>#N/A N/A</v>
        <stp/>
        <stp>BDP|6579462944960489219</stp>
        <tr r="P494" s="2"/>
      </tp>
      <tp t="s">
        <v>#N/A N/A</v>
        <stp/>
        <stp>BDP|3847291671091090321</stp>
        <tr r="P1079" s="2"/>
      </tp>
      <tp t="s">
        <v>#N/A N/A</v>
        <stp/>
        <stp>BDP|4011056592471687837</stp>
        <tr r="D1468" s="2"/>
      </tp>
      <tp t="s">
        <v>#N/A N/A</v>
        <stp/>
        <stp>BDP|2812159672013923346</stp>
        <tr r="G1512" s="2"/>
      </tp>
      <tp t="s">
        <v>#N/A N/A</v>
        <stp/>
        <stp>BDP|6725747093209185533</stp>
        <tr r="P208" s="2"/>
      </tp>
      <tp t="s">
        <v>#N/A N/A</v>
        <stp/>
        <stp>BDP|7140588229011733553</stp>
        <tr r="H897" s="2"/>
      </tp>
      <tp t="s">
        <v>#N/A N/A</v>
        <stp/>
        <stp>BDP|8805791980953375003</stp>
        <tr r="P1116" s="2"/>
      </tp>
      <tp t="s">
        <v>#N/A N/A</v>
        <stp/>
        <stp>BDP|7891354989200636800</stp>
        <tr r="Q884" s="2"/>
      </tp>
      <tp t="s">
        <v>#N/A N/A</v>
        <stp/>
        <stp>BDP|3378579956301444646</stp>
        <tr r="D539" s="2"/>
      </tp>
      <tp t="s">
        <v>#N/A N/A</v>
        <stp/>
        <stp>BDS|3256158632660201557</stp>
        <tr r="I1803" s="2"/>
      </tp>
      <tp t="s">
        <v>#N/A N/A</v>
        <stp/>
        <stp>BDP|3574210913814190049</stp>
        <tr r="H118" s="2"/>
      </tp>
      <tp t="s">
        <v>#N/A N/A</v>
        <stp/>
        <stp>BDP|5189553420304751212</stp>
        <tr r="H1987" s="2"/>
      </tp>
      <tp t="s">
        <v>#N/A N/A</v>
        <stp/>
        <stp>BDP|5716297509642579108</stp>
        <tr r="P1363" s="2"/>
      </tp>
      <tp t="s">
        <v>#N/A N/A</v>
        <stp/>
        <stp>BDP|9178398354748857362</stp>
        <tr r="P1659" s="2"/>
      </tp>
      <tp t="s">
        <v>#N/A N/A</v>
        <stp/>
        <stp>BDP|7214149346802267408</stp>
        <tr r="G1705" s="2"/>
      </tp>
      <tp t="s">
        <v>#N/A N/A</v>
        <stp/>
        <stp>BDP|2716426743001010748</stp>
        <tr r="G697" s="2"/>
      </tp>
      <tp t="s">
        <v>#N/A N/A</v>
        <stp/>
        <stp>BDP|8003042180964139076</stp>
        <tr r="E1035" s="2"/>
      </tp>
      <tp t="s">
        <v>#N/A N/A</v>
        <stp/>
        <stp>BDP|5746834977086611870</stp>
        <tr r="H105" s="2"/>
      </tp>
      <tp t="s">
        <v>#N/A N/A</v>
        <stp/>
        <stp>BDP|9989930210531058489</stp>
        <tr r="Q1070" s="2"/>
      </tp>
      <tp t="s">
        <v>#N/A N/A</v>
        <stp/>
        <stp>BDP|1046660876197116335</stp>
        <tr r="H1819" s="2"/>
      </tp>
      <tp t="s">
        <v>#N/A N/A</v>
        <stp/>
        <stp>BDP|1870584452621408444</stp>
        <tr r="S1605" s="2"/>
      </tp>
      <tp t="s">
        <v>#N/A N/A</v>
        <stp/>
        <stp>BDP|2328005017123740413</stp>
        <tr r="G617" s="2"/>
      </tp>
      <tp t="s">
        <v>#N/A N/A</v>
        <stp/>
        <stp>BDP|2473157668339240897</stp>
        <tr r="J1051" s="2"/>
      </tp>
      <tp t="s">
        <v>#N/A N/A</v>
        <stp/>
        <stp>BDP|2456002646953172119</stp>
        <tr r="O1391" s="2"/>
      </tp>
      <tp t="s">
        <v>#N/A N/A</v>
        <stp/>
        <stp>BDP|8939911300213298689</stp>
        <tr r="E1070" s="2"/>
      </tp>
      <tp t="s">
        <v>#N/A N/A</v>
        <stp/>
        <stp>BDP|3347344416173078636</stp>
        <tr r="G571" s="2"/>
      </tp>
      <tp t="s">
        <v>#N/A N/A</v>
        <stp/>
        <stp>BDP|1595655194738183270</stp>
        <tr r="E1480" s="2"/>
      </tp>
      <tp t="s">
        <v>#N/A N/A</v>
        <stp/>
        <stp>BDP|3190128564666035657</stp>
        <tr r="M1433" s="2"/>
      </tp>
      <tp t="s">
        <v>#N/A N/A</v>
        <stp/>
        <stp>BDP|2753704421343263067</stp>
        <tr r="G627" s="2"/>
      </tp>
      <tp t="s">
        <v>#N/A N/A</v>
        <stp/>
        <stp>BDP|2962308176366895457</stp>
        <tr r="Q2209" s="2"/>
      </tp>
      <tp t="s">
        <v>#N/A N/A</v>
        <stp/>
        <stp>BDP|4080470456042232318</stp>
        <tr r="E1104" s="2"/>
      </tp>
      <tp t="s">
        <v>#N/A N/A</v>
        <stp/>
        <stp>BDP|6779637174662033126</stp>
        <tr r="D9" s="2"/>
      </tp>
      <tp t="s">
        <v>#N/A N/A</v>
        <stp/>
        <stp>BDP|2768349401892752770</stp>
        <tr r="E380" s="2"/>
      </tp>
      <tp t="s">
        <v>#N/A N/A</v>
        <stp/>
        <stp>BDP|9515223115017685968</stp>
        <tr r="D2256" s="2"/>
      </tp>
      <tp t="s">
        <v>#N/A N/A</v>
        <stp/>
        <stp>BDP|7658346955734250173</stp>
        <tr r="J468" s="2"/>
      </tp>
      <tp t="s">
        <v>#N/A N/A</v>
        <stp/>
        <stp>BDP|2284763157812358624</stp>
        <tr r="P23" s="2"/>
      </tp>
      <tp t="s">
        <v>#N/A N/A</v>
        <stp/>
        <stp>BDP|5399510048777883704</stp>
        <tr r="J1176" s="2"/>
      </tp>
      <tp t="s">
        <v>#N/A N/A</v>
        <stp/>
        <stp>BDP|6281571536873458756</stp>
        <tr r="C435" s="2"/>
      </tp>
      <tp t="s">
        <v>#N/A N/A</v>
        <stp/>
        <stp>BDP|7599737452217589631</stp>
        <tr r="M1274" s="2"/>
      </tp>
      <tp t="s">
        <v>#N/A N/A</v>
        <stp/>
        <stp>BDP|8273858284914622871</stp>
        <tr r="D32" s="2"/>
      </tp>
      <tp t="s">
        <v>#N/A N/A</v>
        <stp/>
        <stp>BDP|1653031464746059533</stp>
        <tr r="S1190" s="2"/>
      </tp>
      <tp t="s">
        <v>#N/A N/A</v>
        <stp/>
        <stp>BDP|6169525320622702760</stp>
        <tr r="K896" s="2"/>
      </tp>
      <tp t="s">
        <v>#N/A N/A</v>
        <stp/>
        <stp>BDP|8469881481339805571</stp>
        <tr r="R860" s="2"/>
      </tp>
      <tp t="s">
        <v>#N/A N/A</v>
        <stp/>
        <stp>BDP|4353778392366123858</stp>
        <tr r="G526" s="2"/>
      </tp>
      <tp t="s">
        <v>#N/A N/A</v>
        <stp/>
        <stp>BDP|4274650105514925294</stp>
        <tr r="A2057" s="2"/>
      </tp>
      <tp t="s">
        <v>#N/A N/A</v>
        <stp/>
        <stp>BDP|7118620907226741313</stp>
        <tr r="T665" s="2"/>
      </tp>
      <tp t="s">
        <v>#N/A N/A</v>
        <stp/>
        <stp>BDP|4027651970035322445</stp>
        <tr r="G1483" s="2"/>
      </tp>
      <tp t="s">
        <v>#N/A N/A</v>
        <stp/>
        <stp>BDP|4535104167646339136</stp>
        <tr r="R120" s="2"/>
      </tp>
      <tp t="s">
        <v>#N/A N/A</v>
        <stp/>
        <stp>BDS|4172614359633919023</stp>
        <tr r="I1138" s="2"/>
      </tp>
      <tp t="s">
        <v>#N/A N/A</v>
        <stp/>
        <stp>BDP|9571740331941183831</stp>
        <tr r="J669" s="2"/>
      </tp>
      <tp t="s">
        <v>#N/A N/A</v>
        <stp/>
        <stp>BDP|1168415855023415735</stp>
        <tr r="R192" s="2"/>
      </tp>
      <tp t="s">
        <v>#N/A N/A</v>
        <stp/>
        <stp>BDP|3508936886701547772</stp>
        <tr r="H69" s="2"/>
      </tp>
      <tp t="s">
        <v>#N/A N/A</v>
        <stp/>
        <stp>BDP|3006730612533133221</stp>
        <tr r="H514" s="2"/>
      </tp>
      <tp t="s">
        <v>#N/A N/A</v>
        <stp/>
        <stp>BDP|8666327827765696878</stp>
        <tr r="T803" s="2"/>
      </tp>
      <tp t="s">
        <v>#N/A N/A</v>
        <stp/>
        <stp>BDP|1738185429462315474</stp>
        <tr r="P111" s="2"/>
      </tp>
      <tp t="s">
        <v>#N/A N/A</v>
        <stp/>
        <stp>BDP|8978635242636310892</stp>
        <tr r="D62" s="2"/>
      </tp>
      <tp t="s">
        <v>#N/A N/A</v>
        <stp/>
        <stp>BDP|3247473935947000729</stp>
        <tr r="C469" s="2"/>
      </tp>
      <tp t="s">
        <v>#N/A N/A</v>
        <stp/>
        <stp>BDP|4079172771554001247</stp>
        <tr r="R2009" s="2"/>
      </tp>
      <tp t="s">
        <v>#N/A N/A</v>
        <stp/>
        <stp>BDP|6449141476501507517</stp>
        <tr r="D1620" s="2"/>
      </tp>
      <tp t="s">
        <v>#N/A N/A</v>
        <stp/>
        <stp>BDP|8486690140716812878</stp>
        <tr r="M338" s="2"/>
      </tp>
      <tp t="s">
        <v>#N/A N/A</v>
        <stp/>
        <stp>BDP|5012411066335417614</stp>
        <tr r="T2248" s="2"/>
      </tp>
      <tp t="s">
        <v>#N/A N/A</v>
        <stp/>
        <stp>BDS|5412472952656318601</stp>
        <tr r="I924" s="2"/>
      </tp>
      <tp t="s">
        <v>#N/A N/A</v>
        <stp/>
        <stp>BDP|3948184932182258732</stp>
        <tr r="Q1372" s="2"/>
      </tp>
      <tp t="s">
        <v>#N/A N/A</v>
        <stp/>
        <stp>BDP|7226559406791085732</stp>
        <tr r="D2198" s="2"/>
      </tp>
      <tp t="s">
        <v>#N/A N/A</v>
        <stp/>
        <stp>BDP|5466368678075908018</stp>
        <tr r="F555" s="2"/>
      </tp>
      <tp t="s">
        <v>#N/A N/A</v>
        <stp/>
        <stp>BDS|6357897195673599088</stp>
        <tr r="I1003" s="2"/>
      </tp>
      <tp t="s">
        <v>#N/A N/A</v>
        <stp/>
        <stp>BDP|1314188677703899061</stp>
        <tr r="M252" s="2"/>
      </tp>
      <tp t="s">
        <v>#N/A N/A</v>
        <stp/>
        <stp>BDP|2773526320180684101</stp>
        <tr r="A62" s="2"/>
      </tp>
      <tp t="s">
        <v>#N/A N/A</v>
        <stp/>
        <stp>BDP|6008701177601295367</stp>
        <tr r="E55" s="2"/>
      </tp>
      <tp t="s">
        <v>#N/A N/A</v>
        <stp/>
        <stp>BDP|8980890653597310635</stp>
        <tr r="N1061" s="2"/>
      </tp>
      <tp t="s">
        <v>#N/A N/A</v>
        <stp/>
        <stp>BDP|9605489989721314076</stp>
        <tr r="S2190" s="2"/>
      </tp>
      <tp t="s">
        <v>#N/A N/A</v>
        <stp/>
        <stp>BDP|5248254481483391865</stp>
        <tr r="J47" s="2"/>
      </tp>
      <tp t="s">
        <v>#N/A N/A</v>
        <stp/>
        <stp>BDP|2085166652635026772</stp>
        <tr r="Q2095" s="2"/>
      </tp>
      <tp t="s">
        <v>#N/A N/A</v>
        <stp/>
        <stp>BDP|2359234623992451445</stp>
        <tr r="Q500" s="2"/>
      </tp>
      <tp t="s">
        <v>#N/A N/A</v>
        <stp/>
        <stp>BDP|8550678392034710744</stp>
        <tr r="H271" s="2"/>
      </tp>
      <tp t="s">
        <v>#N/A N/A</v>
        <stp/>
        <stp>BDP|2362258082609690519</stp>
        <tr r="C2109" s="2"/>
      </tp>
      <tp t="s">
        <v>#N/A N/A</v>
        <stp/>
        <stp>BDS|1127762207944513663</stp>
        <tr r="I1457" s="2"/>
      </tp>
      <tp t="s">
        <v>#N/A N/A</v>
        <stp/>
        <stp>BDS|8925559896495928506</stp>
        <tr r="I1249" s="2"/>
      </tp>
      <tp t="s">
        <v>#N/A N/A</v>
        <stp/>
        <stp>BDP|5359348936145669442</stp>
        <tr r="P2245" s="2"/>
      </tp>
      <tp t="s">
        <v>#N/A N/A</v>
        <stp/>
        <stp>BDP|2486770707294667514</stp>
        <tr r="T1811" s="2"/>
      </tp>
      <tp t="s">
        <v>#N/A N/A</v>
        <stp/>
        <stp>BDP|6822686878833876033</stp>
        <tr r="K1628" s="2"/>
      </tp>
      <tp t="s">
        <v>#N/A N/A</v>
        <stp/>
        <stp>BDP|2492241372702229135</stp>
        <tr r="R1164" s="2"/>
      </tp>
      <tp t="s">
        <v>#N/A N/A</v>
        <stp/>
        <stp>BDP|6192752080584722904</stp>
        <tr r="T1555" s="2"/>
      </tp>
      <tp t="s">
        <v>#N/A N/A</v>
        <stp/>
        <stp>BDP|7510691842857554685</stp>
        <tr r="E1819" s="2"/>
      </tp>
      <tp t="s">
        <v>#N/A N/A</v>
        <stp/>
        <stp>BDP|3074551444097062128</stp>
        <tr r="M1407" s="2"/>
      </tp>
      <tp t="s">
        <v>#N/A N/A</v>
        <stp/>
        <stp>BDP|8322174321748484722</stp>
        <tr r="T874" s="2"/>
      </tp>
      <tp t="s">
        <v>#N/A N/A</v>
        <stp/>
        <stp>BDP|3493242870201317303</stp>
        <tr r="H1624" s="2"/>
      </tp>
      <tp t="s">
        <v>#N/A N/A</v>
        <stp/>
        <stp>BDP|8034541660136708908</stp>
        <tr r="Q1952" s="2"/>
      </tp>
      <tp t="s">
        <v>#N/A N/A</v>
        <stp/>
        <stp>BDP|9741999911367915254</stp>
        <tr r="P1298" s="2"/>
      </tp>
      <tp t="s">
        <v>#N/A N/A</v>
        <stp/>
        <stp>BDP|3561255405276727319</stp>
        <tr r="H1311" s="2"/>
      </tp>
      <tp t="s">
        <v>#N/A N/A</v>
        <stp/>
        <stp>BDP|3662965114199018679</stp>
        <tr r="D97" s="2"/>
      </tp>
      <tp t="s">
        <v>#N/A N/A</v>
        <stp/>
        <stp>BDP|2332695310696894713</stp>
        <tr r="O790" s="2"/>
      </tp>
      <tp t="s">
        <v>#N/A N/A</v>
        <stp/>
        <stp>BDP|2799176331983449768</stp>
        <tr r="H270" s="2"/>
      </tp>
      <tp t="s">
        <v>#N/A N/A</v>
        <stp/>
        <stp>BDP|1692272166673350275</stp>
        <tr r="T1554" s="2"/>
      </tp>
      <tp t="s">
        <v>#N/A N/A</v>
        <stp/>
        <stp>BDP|3545631655445393135</stp>
        <tr r="T251" s="2"/>
      </tp>
      <tp t="s">
        <v>#N/A N/A</v>
        <stp/>
        <stp>BDP|1197736025953125359</stp>
        <tr r="D194" s="2"/>
      </tp>
      <tp t="s">
        <v>#N/A N/A</v>
        <stp/>
        <stp>BDP|7642358006313320350</stp>
        <tr r="F49" s="2"/>
      </tp>
      <tp t="s">
        <v>#N/A N/A</v>
        <stp/>
        <stp>BDP|9398250966638134120</stp>
        <tr r="K770" s="2"/>
      </tp>
      <tp t="s">
        <v>#N/A N/A</v>
        <stp/>
        <stp>BDP|8711741807788683313</stp>
        <tr r="D1147" s="2"/>
      </tp>
      <tp t="s">
        <v>#N/A N/A</v>
        <stp/>
        <stp>BDP|7633579649371301385</stp>
        <tr r="K1411" s="2"/>
      </tp>
      <tp t="s">
        <v>#N/A N/A</v>
        <stp/>
        <stp>BDP|3754143105896421010</stp>
        <tr r="G626" s="2"/>
      </tp>
      <tp t="s">
        <v>#N/A N/A</v>
        <stp/>
        <stp>BDP|1658012521336086150</stp>
        <tr r="K2024" s="2"/>
      </tp>
      <tp t="s">
        <v>#N/A N/A</v>
        <stp/>
        <stp>BDP|6493778994118040448</stp>
        <tr r="G47" s="2"/>
      </tp>
      <tp t="s">
        <v>#N/A N/A</v>
        <stp/>
        <stp>BDP|8638048119784154996</stp>
        <tr r="Q2091" s="2"/>
      </tp>
      <tp t="s">
        <v>#N/A N/A</v>
        <stp/>
        <stp>BDP|8107278423328270443</stp>
        <tr r="H217" s="2"/>
      </tp>
      <tp t="s">
        <v>#N/A N/A</v>
        <stp/>
        <stp>BDP|1718457150847330322</stp>
        <tr r="G2258" s="2"/>
      </tp>
      <tp t="s">
        <v>#N/A N/A</v>
        <stp/>
        <stp>BDP|9173578932778010376</stp>
        <tr r="A2087" s="2"/>
      </tp>
      <tp t="s">
        <v>#N/A N/A</v>
        <stp/>
        <stp>BDP|4317871023682701839</stp>
        <tr r="S1696" s="2"/>
      </tp>
      <tp t="s">
        <v>#N/A N/A</v>
        <stp/>
        <stp>BDP|5773938842674345862</stp>
        <tr r="M1740" s="2"/>
      </tp>
      <tp t="s">
        <v>#N/A N/A</v>
        <stp/>
        <stp>BDP|7035295242267098282</stp>
        <tr r="H1154" s="2"/>
      </tp>
      <tp t="s">
        <v>#N/A N/A</v>
        <stp/>
        <stp>BDP|7878185621484690441</stp>
        <tr r="S449" s="2"/>
      </tp>
      <tp t="s">
        <v>#N/A N/A</v>
        <stp/>
        <stp>BDP|8593961965795383669</stp>
        <tr r="N1462" s="2"/>
      </tp>
      <tp t="s">
        <v>#N/A N/A</v>
        <stp/>
        <stp>BDS|2046718121344011733</stp>
        <tr r="I1130" s="2"/>
      </tp>
      <tp t="s">
        <v>#N/A N/A</v>
        <stp/>
        <stp>BDP|4539408716702400742</stp>
        <tr r="C567" s="2"/>
      </tp>
      <tp t="s">
        <v>#N/A N/A</v>
        <stp/>
        <stp>BDP|9386503292096237706</stp>
        <tr r="H887" s="2"/>
      </tp>
      <tp t="s">
        <v>#N/A N/A</v>
        <stp/>
        <stp>BDP|1838274757971886337</stp>
        <tr r="F1253" s="2"/>
      </tp>
      <tp t="s">
        <v>#N/A N/A</v>
        <stp/>
        <stp>BDP|5945617606797465093</stp>
        <tr r="H159" s="2"/>
      </tp>
      <tp t="s">
        <v>#N/A N/A</v>
        <stp/>
        <stp>BDP|2029339621914907383</stp>
        <tr r="J471" s="2"/>
      </tp>
      <tp t="s">
        <v>#N/A N/A</v>
        <stp/>
        <stp>BDP|8553880429141518724</stp>
        <tr r="H424" s="2"/>
      </tp>
      <tp t="s">
        <v>#N/A N/A</v>
        <stp/>
        <stp>BDP|3888302778924159726</stp>
        <tr r="Q1492" s="2"/>
      </tp>
      <tp t="s">
        <v>#N/A N/A</v>
        <stp/>
        <stp>BDP|7622107150413617430</stp>
        <tr r="N1522" s="2"/>
      </tp>
      <tp t="s">
        <v>#N/A N/A</v>
        <stp/>
        <stp>BDP|4589478253516418764</stp>
        <tr r="T2255" s="2"/>
      </tp>
      <tp t="s">
        <v>#N/A N/A</v>
        <stp/>
        <stp>BDP|1588514023832766032</stp>
        <tr r="G836" s="2"/>
      </tp>
      <tp t="s">
        <v>#N/A N/A</v>
        <stp/>
        <stp>BDP|1618775278226276381</stp>
        <tr r="Q133" s="2"/>
      </tp>
      <tp t="s">
        <v>#N/A N/A</v>
        <stp/>
        <stp>BDP|6559907147508726765</stp>
        <tr r="D548" s="2"/>
      </tp>
      <tp t="s">
        <v>#N/A N/A</v>
        <stp/>
        <stp>BDP|8363771670635578926</stp>
        <tr r="R1155" s="2"/>
      </tp>
      <tp t="s">
        <v>#N/A N/A</v>
        <stp/>
        <stp>BDP|5140665134080736472</stp>
        <tr r="K1554" s="2"/>
      </tp>
      <tp t="s">
        <v>#N/A N/A</v>
        <stp/>
        <stp>BDP|2219241045962686261</stp>
        <tr r="E218" s="2"/>
      </tp>
      <tp t="s">
        <v>#N/A N/A</v>
        <stp/>
        <stp>BDP|9777701161395705925</stp>
        <tr r="R382" s="2"/>
      </tp>
      <tp t="s">
        <v>#N/A N/A</v>
        <stp/>
        <stp>BDP|7974720111471936403</stp>
        <tr r="H632" s="2"/>
      </tp>
      <tp t="s">
        <v>#N/A N/A</v>
        <stp/>
        <stp>BDP|6715177334488573826</stp>
        <tr r="O1833" s="2"/>
      </tp>
      <tp t="s">
        <v>#N/A N/A</v>
        <stp/>
        <stp>BDP|4158027124722063040</stp>
        <tr r="E1953" s="2"/>
      </tp>
      <tp t="s">
        <v>#N/A N/A</v>
        <stp/>
        <stp>BDS|6477144436383631333</stp>
        <tr r="I126" s="2"/>
      </tp>
      <tp t="s">
        <v>#N/A N/A</v>
        <stp/>
        <stp>BDP|5029755823522435613</stp>
        <tr r="S2023" s="2"/>
      </tp>
      <tp t="s">
        <v>#N/A N/A</v>
        <stp/>
        <stp>BDP|6559441773685101400</stp>
        <tr r="R1722" s="2"/>
      </tp>
      <tp t="s">
        <v>#N/A N/A</v>
        <stp/>
        <stp>BDP|1202402661043981498</stp>
        <tr r="F1022" s="2"/>
      </tp>
      <tp t="s">
        <v>#N/A N/A</v>
        <stp/>
        <stp>BDP|2460015262665405507</stp>
        <tr r="F135" s="2"/>
      </tp>
      <tp t="s">
        <v>#N/A N/A</v>
        <stp/>
        <stp>BDP|9245402985685358477</stp>
        <tr r="M1761" s="2"/>
      </tp>
      <tp t="s">
        <v>#N/A N/A</v>
        <stp/>
        <stp>BDP|7978487244744153770</stp>
        <tr r="M1339" s="2"/>
      </tp>
      <tp t="s">
        <v>#N/A N/A</v>
        <stp/>
        <stp>BDP|9884053252439991153</stp>
        <tr r="P133" s="2"/>
      </tp>
      <tp t="s">
        <v>#N/A N/A</v>
        <stp/>
        <stp>BDP|1113319372153895295</stp>
        <tr r="E1372" s="2"/>
      </tp>
      <tp t="s">
        <v>#N/A N/A</v>
        <stp/>
        <stp>BDP|1022927154600542902</stp>
        <tr r="J463" s="2"/>
      </tp>
      <tp t="s">
        <v>#N/A N/A</v>
        <stp/>
        <stp>BDP|8650373723395043814</stp>
        <tr r="M1957" s="2"/>
      </tp>
      <tp t="s">
        <v>#N/A N/A</v>
        <stp/>
        <stp>BDP|2505050458590866336</stp>
        <tr r="H1796" s="2"/>
      </tp>
      <tp t="s">
        <v>#N/A N/A</v>
        <stp/>
        <stp>BDP|2437941766649793029</stp>
        <tr r="H2107" s="2"/>
      </tp>
      <tp t="s">
        <v>#N/A N/A</v>
        <stp/>
        <stp>BDP|1606301377769422860</stp>
        <tr r="T352" s="2"/>
      </tp>
      <tp t="s">
        <v>#N/A N/A</v>
        <stp/>
        <stp>BDP|2364171974489204917</stp>
        <tr r="E1393" s="2"/>
      </tp>
      <tp t="s">
        <v>#N/A N/A</v>
        <stp/>
        <stp>BDP|6757445868065138597</stp>
        <tr r="T1895" s="2"/>
      </tp>
      <tp t="s">
        <v>#N/A N/A</v>
        <stp/>
        <stp>BDP|1316850214679107500</stp>
        <tr r="N294" s="2"/>
      </tp>
      <tp t="s">
        <v>#N/A N/A</v>
        <stp/>
        <stp>BDP|6337513864621729023</stp>
        <tr r="O279" s="2"/>
      </tp>
      <tp t="s">
        <v>#N/A N/A</v>
        <stp/>
        <stp>BDP|7644323650432655711</stp>
        <tr r="O1140" s="2"/>
      </tp>
      <tp t="s">
        <v>#N/A N/A</v>
        <stp/>
        <stp>BDS|1431500227850682267</stp>
        <tr r="I1315" s="2"/>
      </tp>
      <tp t="s">
        <v>#N/A N/A</v>
        <stp/>
        <stp>BDP|9805893752351241123</stp>
        <tr r="A1716" s="2"/>
      </tp>
      <tp t="s">
        <v>#N/A N/A</v>
        <stp/>
        <stp>BDP|7077579774815340435</stp>
        <tr r="T136" s="2"/>
      </tp>
      <tp t="s">
        <v>#N/A N/A</v>
        <stp/>
        <stp>BDP|7251444244755358624</stp>
        <tr r="O2246" s="2"/>
      </tp>
      <tp t="s">
        <v>#N/A N/A</v>
        <stp/>
        <stp>BDP|2817159340815761690</stp>
        <tr r="A1285" s="2"/>
      </tp>
      <tp t="s">
        <v>#N/A N/A</v>
        <stp/>
        <stp>BDP|7916557370795738484</stp>
        <tr r="G147" s="2"/>
      </tp>
      <tp t="s">
        <v>#N/A N/A</v>
        <stp/>
        <stp>BDP|8900017040008215090</stp>
        <tr r="P966" s="2"/>
      </tp>
      <tp t="s">
        <v>#N/A N/A</v>
        <stp/>
        <stp>BDP|1625348752217785446</stp>
        <tr r="P1354" s="2"/>
      </tp>
      <tp t="s">
        <v>#N/A N/A</v>
        <stp/>
        <stp>BDP|2944491831273752254</stp>
        <tr r="J1519" s="2"/>
      </tp>
      <tp t="s">
        <v>#N/A N/A</v>
        <stp/>
        <stp>BDP|1571673720121042028</stp>
        <tr r="J1534" s="2"/>
      </tp>
      <tp t="s">
        <v>#N/A N/A</v>
        <stp/>
        <stp>BDP|1024134644758090871</stp>
        <tr r="S1157" s="2"/>
      </tp>
      <tp t="s">
        <v>#N/A N/A</v>
        <stp/>
        <stp>BDP|4597871082727336735</stp>
        <tr r="E2178" s="2"/>
      </tp>
      <tp t="s">
        <v>#N/A N/A</v>
        <stp/>
        <stp>BDP|4486349158887187198</stp>
        <tr r="S818" s="2"/>
      </tp>
      <tp t="s">
        <v>#N/A N/A</v>
        <stp/>
        <stp>BDP|8440052803008383417</stp>
        <tr r="F42" s="2"/>
      </tp>
      <tp t="s">
        <v>#N/A N/A</v>
        <stp/>
        <stp>BDP|3133296194225564999</stp>
        <tr r="T894" s="2"/>
      </tp>
      <tp t="s">
        <v>#N/A N/A</v>
        <stp/>
        <stp>BDP|7255786579861773244</stp>
        <tr r="R224" s="2"/>
      </tp>
      <tp t="s">
        <v>#N/A N/A</v>
        <stp/>
        <stp>BDP|9201143155489698056</stp>
        <tr r="C810" s="2"/>
      </tp>
      <tp t="s">
        <v>#N/A N/A</v>
        <stp/>
        <stp>BDP|3495002072599530935</stp>
        <tr r="N1997" s="2"/>
      </tp>
      <tp t="s">
        <v>#N/A N/A</v>
        <stp/>
        <stp>BDP|3499115402547615110</stp>
        <tr r="S1144" s="2"/>
      </tp>
      <tp t="s">
        <v>#N/A N/A</v>
        <stp/>
        <stp>BDP|1753417642492576719</stp>
        <tr r="K1139" s="2"/>
      </tp>
      <tp t="s">
        <v>#N/A N/A</v>
        <stp/>
        <stp>BDP|8415870621772383415</stp>
        <tr r="Q2056" s="2"/>
      </tp>
      <tp t="s">
        <v>#N/A N/A</v>
        <stp/>
        <stp>BDP|7009632772871008311</stp>
        <tr r="G132" s="2"/>
      </tp>
      <tp t="s">
        <v>#N/A N/A</v>
        <stp/>
        <stp>BDP|7796754849584257496</stp>
        <tr r="M990" s="2"/>
      </tp>
      <tp t="s">
        <v>#N/A N/A</v>
        <stp/>
        <stp>BDP|1149375247043982182</stp>
        <tr r="H662" s="2"/>
      </tp>
      <tp t="s">
        <v>#N/A N/A</v>
        <stp/>
        <stp>BDP|2614424043437138169</stp>
        <tr r="M870" s="2"/>
      </tp>
      <tp t="s">
        <v>#N/A N/A</v>
        <stp/>
        <stp>BDP|6153144611693646128</stp>
        <tr r="Q794" s="2"/>
      </tp>
      <tp t="s">
        <v>#N/A N/A</v>
        <stp/>
        <stp>BDP|3317193088377627949</stp>
        <tr r="G1971" s="2"/>
      </tp>
      <tp t="s">
        <v>#N/A N/A</v>
        <stp/>
        <stp>BDP|4813384030866252622</stp>
        <tr r="E1334" s="2"/>
      </tp>
      <tp t="s">
        <v>#N/A N/A</v>
        <stp/>
        <stp>BDP|2433089685558831616</stp>
        <tr r="D964" s="2"/>
      </tp>
      <tp t="s">
        <v>#N/A N/A</v>
        <stp/>
        <stp>BDP|6676774717906482228</stp>
        <tr r="P2164" s="2"/>
      </tp>
      <tp t="s">
        <v>#N/A N/A</v>
        <stp/>
        <stp>BDP|4224254534061199025</stp>
        <tr r="E1569" s="2"/>
      </tp>
      <tp t="s">
        <v>#N/A N/A</v>
        <stp/>
        <stp>BDS|3826098274391135143</stp>
        <tr r="I1939" s="2"/>
      </tp>
      <tp t="s">
        <v>#N/A N/A</v>
        <stp/>
        <stp>BDP|6262153860196693310</stp>
        <tr r="P574" s="2"/>
      </tp>
      <tp t="s">
        <v>#N/A N/A</v>
        <stp/>
        <stp>BDP|7453603105736693375</stp>
        <tr r="R1830" s="2"/>
      </tp>
      <tp t="s">
        <v>#N/A N/A</v>
        <stp/>
        <stp>BDP|6832498870894790567</stp>
        <tr r="C844" s="2"/>
      </tp>
      <tp t="s">
        <v>#N/A N/A</v>
        <stp/>
        <stp>BDP|9613202754859622344</stp>
        <tr r="O209" s="2"/>
      </tp>
      <tp t="s">
        <v>#N/A N/A</v>
        <stp/>
        <stp>BDP|2555660752561199404</stp>
        <tr r="H624" s="2"/>
      </tp>
      <tp t="s">
        <v>#N/A N/A</v>
        <stp/>
        <stp>BDP|4764727978901510184</stp>
        <tr r="O1103" s="2"/>
      </tp>
      <tp t="s">
        <v>#N/A N/A</v>
        <stp/>
        <stp>BDP|5579536012847453201</stp>
        <tr r="G541" s="2"/>
      </tp>
      <tp t="s">
        <v>#N/A N/A</v>
        <stp/>
        <stp>BDP|7527257505501148049</stp>
        <tr r="C835" s="2"/>
      </tp>
      <tp t="s">
        <v>#N/A N/A</v>
        <stp/>
        <stp>BDP|7697025001945405619</stp>
        <tr r="H1155" s="2"/>
      </tp>
      <tp t="s">
        <v>#N/A N/A</v>
        <stp/>
        <stp>BDP|5649901457549087414</stp>
        <tr r="N1004" s="2"/>
      </tp>
      <tp t="s">
        <v>#N/A N/A</v>
        <stp/>
        <stp>BDP|3915639414112958270</stp>
        <tr r="F1188" s="2"/>
      </tp>
      <tp t="s">
        <v>#N/A N/A</v>
        <stp/>
        <stp>BDP|4750334462026463328</stp>
        <tr r="F1590" s="2"/>
      </tp>
      <tp t="s">
        <v>#N/A N/A</v>
        <stp/>
        <stp>BDP|1581061323115764271</stp>
        <tr r="T527" s="2"/>
      </tp>
      <tp t="s">
        <v>#N/A N/A</v>
        <stp/>
        <stp>BDP|7097705351797840690</stp>
        <tr r="M1383" s="2"/>
      </tp>
      <tp t="s">
        <v>#N/A N/A</v>
        <stp/>
        <stp>BDP|1236651054782638458</stp>
        <tr r="E60" s="2"/>
      </tp>
      <tp t="s">
        <v>#N/A N/A</v>
        <stp/>
        <stp>BDP|8989078623879908746</stp>
        <tr r="M1937" s="2"/>
      </tp>
      <tp t="s">
        <v>#N/A N/A</v>
        <stp/>
        <stp>BDP|2489090012946789188</stp>
        <tr r="D2249" s="2"/>
      </tp>
      <tp t="s">
        <v>#N/A N/A</v>
        <stp/>
        <stp>BDP|6312498039854452175</stp>
        <tr r="Q729" s="2"/>
      </tp>
      <tp t="s">
        <v>#N/A N/A</v>
        <stp/>
        <stp>BDS|4174313280082149912</stp>
        <tr r="I2154" s="2"/>
      </tp>
      <tp t="s">
        <v>#N/A N/A</v>
        <stp/>
        <stp>BDP|6165145542226662116</stp>
        <tr r="E2234" s="2"/>
      </tp>
      <tp t="s">
        <v>#N/A N/A</v>
        <stp/>
        <stp>BDP|8486945170033597155</stp>
        <tr r="R1142" s="2"/>
      </tp>
      <tp t="s">
        <v>#N/A N/A</v>
        <stp/>
        <stp>BDP|2619264581378417456</stp>
        <tr r="R492" s="2"/>
      </tp>
      <tp t="s">
        <v>#N/A N/A</v>
        <stp/>
        <stp>BDP|3097181660289985913</stp>
        <tr r="T170" s="2"/>
      </tp>
      <tp t="s">
        <v>#N/A N/A</v>
        <stp/>
        <stp>BDP|8713889933226485183</stp>
        <tr r="T1101" s="2"/>
      </tp>
      <tp t="s">
        <v>#N/A N/A</v>
        <stp/>
        <stp>BDP|6959758355357081797</stp>
        <tr r="E2180" s="2"/>
      </tp>
      <tp t="s">
        <v>#N/A N/A</v>
        <stp/>
        <stp>BDP|1035629405561778209</stp>
        <tr r="H2152" s="2"/>
      </tp>
      <tp t="s">
        <v>#N/A N/A</v>
        <stp/>
        <stp>BDS|8508832514522234706</stp>
        <tr r="I1764" s="2"/>
      </tp>
      <tp t="s">
        <v>#N/A N/A</v>
        <stp/>
        <stp>BDP|6979435956007411483</stp>
        <tr r="E1549" s="2"/>
      </tp>
      <tp t="s">
        <v>#N/A N/A</v>
        <stp/>
        <stp>BDP|7122064672975192146</stp>
        <tr r="C461" s="2"/>
      </tp>
      <tp t="s">
        <v>#N/A N/A</v>
        <stp/>
        <stp>BDP|8947963203023545693</stp>
        <tr r="E1853" s="2"/>
      </tp>
      <tp t="s">
        <v>#N/A N/A</v>
        <stp/>
        <stp>BDP|9044910531303013406</stp>
        <tr r="D363" s="2"/>
      </tp>
      <tp t="s">
        <v>#N/A N/A</v>
        <stp/>
        <stp>BDP|2241815505597423926</stp>
        <tr r="R838" s="2"/>
      </tp>
      <tp t="s">
        <v>#N/A N/A</v>
        <stp/>
        <stp>BDP|3513151088656003885</stp>
        <tr r="P745" s="2"/>
      </tp>
      <tp t="s">
        <v>#N/A N/A</v>
        <stp/>
        <stp>BDP|4836356780833997847</stp>
        <tr r="Q1809" s="2"/>
      </tp>
      <tp t="s">
        <v>#N/A N/A</v>
        <stp/>
        <stp>BDP|3640872444248747323</stp>
        <tr r="F909" s="2"/>
      </tp>
      <tp t="s">
        <v>#N/A N/A</v>
        <stp/>
        <stp>BDP|5213451485055750856</stp>
        <tr r="N519" s="2"/>
      </tp>
      <tp t="s">
        <v>#N/A N/A</v>
        <stp/>
        <stp>BDP|6098362117945973586</stp>
        <tr r="R1453" s="2"/>
      </tp>
      <tp t="s">
        <v>#N/A N/A</v>
        <stp/>
        <stp>BDP|5231717714475105262</stp>
        <tr r="D343" s="2"/>
      </tp>
      <tp t="s">
        <v>#N/A N/A</v>
        <stp/>
        <stp>BDP|1566986617629813425</stp>
        <tr r="P1114" s="2"/>
      </tp>
      <tp t="s">
        <v>#N/A N/A</v>
        <stp/>
        <stp>BDP|1953284372456347603</stp>
        <tr r="H1386" s="2"/>
      </tp>
      <tp t="s">
        <v>#N/A N/A</v>
        <stp/>
        <stp>BDS|3270256034331541767</stp>
        <tr r="I1254" s="2"/>
      </tp>
      <tp t="s">
        <v>#N/A N/A</v>
        <stp/>
        <stp>BDP|8111005464399615334</stp>
        <tr r="A1756" s="2"/>
      </tp>
      <tp t="s">
        <v>#N/A N/A</v>
        <stp/>
        <stp>BDP|1872037567156922556</stp>
        <tr r="H694" s="2"/>
      </tp>
      <tp t="s">
        <v>#N/A N/A</v>
        <stp/>
        <stp>BDP|4177632090136444965</stp>
        <tr r="R1393" s="2"/>
      </tp>
      <tp t="s">
        <v>#N/A N/A</v>
        <stp/>
        <stp>BDP|4105824674789048672</stp>
        <tr r="D394" s="2"/>
      </tp>
      <tp t="s">
        <v>#N/A N/A</v>
        <stp/>
        <stp>BDP|1247933552978689153</stp>
        <tr r="R2183" s="2"/>
      </tp>
      <tp t="s">
        <v>#N/A N/A</v>
        <stp/>
        <stp>BDP|3781404507004089701</stp>
        <tr r="C510" s="2"/>
      </tp>
      <tp t="s">
        <v>#N/A N/A</v>
        <stp/>
        <stp>BDP|1424279996939747723</stp>
        <tr r="N2254" s="2"/>
      </tp>
      <tp t="s">
        <v>#N/A N/A</v>
        <stp/>
        <stp>BDP|9509323851138174371</stp>
        <tr r="T2211" s="2"/>
      </tp>
      <tp t="s">
        <v>#N/A N/A</v>
        <stp/>
        <stp>BDP|7142680654775431594</stp>
        <tr r="O1783" s="2"/>
      </tp>
      <tp t="s">
        <v>#N/A N/A</v>
        <stp/>
        <stp>BDP|8530502591782001242</stp>
        <tr r="H840" s="2"/>
      </tp>
      <tp t="s">
        <v>#N/A N/A</v>
        <stp/>
        <stp>BDP|3786165831125415049</stp>
        <tr r="O2010" s="2"/>
      </tp>
      <tp t="s">
        <v>#N/A N/A</v>
        <stp/>
        <stp>BDP|9459738683742192057</stp>
        <tr r="O1418" s="2"/>
      </tp>
      <tp t="s">
        <v>#N/A N/A</v>
        <stp/>
        <stp>BDP|4157545240611731022</stp>
        <tr r="S2011" s="2"/>
      </tp>
      <tp t="s">
        <v>#N/A N/A</v>
        <stp/>
        <stp>BDP|4889763699658188662</stp>
        <tr r="P332" s="2"/>
      </tp>
      <tp t="s">
        <v>#N/A N/A</v>
        <stp/>
        <stp>BDP|9289941820033160578</stp>
        <tr r="S929" s="2"/>
      </tp>
      <tp t="s">
        <v>#N/A N/A</v>
        <stp/>
        <stp>BDP|1148775436432819382</stp>
        <tr r="D2106" s="2"/>
      </tp>
      <tp t="s">
        <v>#N/A N/A</v>
        <stp/>
        <stp>BDP|2279213934621102664</stp>
        <tr r="O134" s="2"/>
      </tp>
      <tp t="s">
        <v>#N/A N/A</v>
        <stp/>
        <stp>BDP|4739712849255637696</stp>
        <tr r="J1625" s="2"/>
      </tp>
      <tp t="s">
        <v>#N/A N/A</v>
        <stp/>
        <stp>BDP|5228310022302054212</stp>
        <tr r="E1490" s="2"/>
      </tp>
      <tp t="s">
        <v>#N/A N/A</v>
        <stp/>
        <stp>BDP|8145029902319614579</stp>
        <tr r="E1935" s="2"/>
      </tp>
      <tp t="s">
        <v>#N/A N/A</v>
        <stp/>
        <stp>BDP|5272514212977023201</stp>
        <tr r="H1119" s="2"/>
      </tp>
      <tp t="s">
        <v>#N/A N/A</v>
        <stp/>
        <stp>BDP|1560165058858254987</stp>
        <tr r="J852" s="2"/>
      </tp>
      <tp t="s">
        <v>#N/A N/A</v>
        <stp/>
        <stp>BDP|7514620773902380069</stp>
        <tr r="M1335" s="2"/>
      </tp>
      <tp t="s">
        <v>#N/A N/A</v>
        <stp/>
        <stp>BDP|1485369835884028162</stp>
        <tr r="T961" s="2"/>
      </tp>
      <tp t="s">
        <v>#N/A N/A</v>
        <stp/>
        <stp>BDP|5999827572138972611</stp>
        <tr r="O1628" s="2"/>
      </tp>
      <tp t="s">
        <v>#N/A N/A</v>
        <stp/>
        <stp>BDP|3448290212452695680</stp>
        <tr r="Q1246" s="2"/>
      </tp>
      <tp t="s">
        <v>#N/A N/A</v>
        <stp/>
        <stp>BDP|1569354372812570364</stp>
        <tr r="P1907" s="2"/>
      </tp>
      <tp t="s">
        <v>#N/A N/A</v>
        <stp/>
        <stp>BDP|1544998247138363093</stp>
        <tr r="G1794" s="2"/>
      </tp>
      <tp t="s">
        <v>#N/A N/A</v>
        <stp/>
        <stp>BDP|8949319978179731167</stp>
        <tr r="Q2193" s="2"/>
      </tp>
      <tp t="s">
        <v>#N/A N/A</v>
        <stp/>
        <stp>BDP|8452632165144497877</stp>
        <tr r="A1396" s="2"/>
      </tp>
      <tp t="s">
        <v>#N/A N/A</v>
        <stp/>
        <stp>BDP|6490573100315162237</stp>
        <tr r="K209" s="2"/>
      </tp>
      <tp t="s">
        <v>#N/A N/A</v>
        <stp/>
        <stp>BDP|1033920684010727409</stp>
        <tr r="D822" s="2"/>
      </tp>
      <tp t="s">
        <v>#N/A N/A</v>
        <stp/>
        <stp>BDS|2547018366778227811</stp>
        <tr r="I2245" s="2"/>
      </tp>
      <tp t="s">
        <v>#N/A N/A</v>
        <stp/>
        <stp>BDP|1090144460327273572</stp>
        <tr r="Q1314" s="2"/>
      </tp>
      <tp t="s">
        <v>#N/A N/A</v>
        <stp/>
        <stp>BDP|7726138776195558065</stp>
        <tr r="R2190" s="2"/>
      </tp>
      <tp t="s">
        <v>#N/A N/A</v>
        <stp/>
        <stp>BDP|4823621727622475689</stp>
        <tr r="C382" s="2"/>
      </tp>
      <tp t="s">
        <v>#N/A N/A</v>
        <stp/>
        <stp>BDP|7724488115582822436</stp>
        <tr r="H1153" s="2"/>
      </tp>
      <tp t="s">
        <v>#N/A N/A</v>
        <stp/>
        <stp>BDP|3337771205435487544</stp>
        <tr r="M953" s="2"/>
      </tp>
      <tp t="s">
        <v>#N/A N/A</v>
        <stp/>
        <stp>BDP|6385317688060827937</stp>
        <tr r="R1390" s="2"/>
      </tp>
      <tp t="s">
        <v>#N/A N/A</v>
        <stp/>
        <stp>BDP|8807864470997818476</stp>
        <tr r="K2026" s="2"/>
      </tp>
      <tp t="s">
        <v>#N/A N/A</v>
        <stp/>
        <stp>BDP|8046758697274418675</stp>
        <tr r="C473" s="2"/>
      </tp>
      <tp t="s">
        <v>#N/A N/A</v>
        <stp/>
        <stp>BDP|4223790353842101086</stp>
        <tr r="H1148" s="2"/>
      </tp>
      <tp t="s">
        <v>#N/A N/A</v>
        <stp/>
        <stp>BDP|7785024585459246230</stp>
        <tr r="K1791" s="2"/>
      </tp>
      <tp t="s">
        <v>#N/A N/A</v>
        <stp/>
        <stp>BDP|7158223869845368284</stp>
        <tr r="Q671" s="2"/>
      </tp>
      <tp t="s">
        <v>#N/A N/A</v>
        <stp/>
        <stp>BDP|3608625178965987348</stp>
        <tr r="E443" s="2"/>
      </tp>
      <tp t="s">
        <v>#N/A N/A</v>
        <stp/>
        <stp>BDP|9431450272408228609</stp>
        <tr r="Q1798" s="2"/>
      </tp>
      <tp t="s">
        <v>#N/A N/A</v>
        <stp/>
        <stp>BDP|1361443336756290424</stp>
        <tr r="E291" s="2"/>
      </tp>
      <tp t="s">
        <v>#N/A N/A</v>
        <stp/>
        <stp>BDP|4456741232932010633</stp>
        <tr r="O1320" s="2"/>
      </tp>
      <tp t="s">
        <v>#N/A N/A</v>
        <stp/>
        <stp>BDP|4126437345239215949</stp>
        <tr r="D38" s="2"/>
      </tp>
      <tp t="s">
        <v>#N/A N/A</v>
        <stp/>
        <stp>BDP|5164568253561503004</stp>
        <tr r="C766" s="2"/>
      </tp>
      <tp t="s">
        <v>#N/A N/A</v>
        <stp/>
        <stp>BDP|8045634704203786914</stp>
        <tr r="A1101" s="2"/>
      </tp>
      <tp t="s">
        <v>#N/A N/A</v>
        <stp/>
        <stp>BDP|9394530692725647454</stp>
        <tr r="J1670" s="2"/>
      </tp>
      <tp t="s">
        <v>#N/A N/A</v>
        <stp/>
        <stp>BDS|6003783078512825099</stp>
        <tr r="I1969" s="2"/>
      </tp>
      <tp t="s">
        <v>#N/A N/A</v>
        <stp/>
        <stp>BDP|3422906911099731639</stp>
        <tr r="E1660" s="2"/>
      </tp>
      <tp t="s">
        <v>#N/A N/A</v>
        <stp/>
        <stp>BDP|5036893318581723979</stp>
        <tr r="N834" s="2"/>
      </tp>
      <tp t="s">
        <v>#N/A N/A</v>
        <stp/>
        <stp>BDP|2146968193386370066</stp>
        <tr r="E95" s="2"/>
      </tp>
      <tp t="s">
        <v>#N/A N/A</v>
        <stp/>
        <stp>BDP|5543670117557433103</stp>
        <tr r="T975" s="2"/>
      </tp>
      <tp t="s">
        <v>#N/A N/A</v>
        <stp/>
        <stp>BDP|7310258160202595523</stp>
        <tr r="P2073" s="2"/>
      </tp>
      <tp t="s">
        <v>#N/A N/A</v>
        <stp/>
        <stp>BDP|6552411405633652566</stp>
        <tr r="Q273" s="2"/>
      </tp>
      <tp t="s">
        <v>#N/A N/A</v>
        <stp/>
        <stp>BDP|7323751083165145957</stp>
        <tr r="J1248" s="2"/>
      </tp>
      <tp t="s">
        <v>#N/A N/A</v>
        <stp/>
        <stp>BDP|1526088645561177089</stp>
        <tr r="O698" s="2"/>
      </tp>
      <tp t="s">
        <v>#N/A N/A</v>
        <stp/>
        <stp>BDP|2150089069888769863</stp>
        <tr r="C1289" s="2"/>
      </tp>
      <tp t="s">
        <v>#N/A N/A</v>
        <stp/>
        <stp>BDS|7601093686448872302</stp>
        <tr r="I1390" s="2"/>
      </tp>
      <tp t="s">
        <v>#N/A N/A</v>
        <stp/>
        <stp>BDP|3627366851776652767</stp>
        <tr r="T152" s="2"/>
      </tp>
      <tp t="s">
        <v>#N/A N/A</v>
        <stp/>
        <stp>BDS|4172429835695789202</stp>
        <tr r="I415" s="2"/>
      </tp>
      <tp t="s">
        <v>#N/A N/A</v>
        <stp/>
        <stp>BDP|9677574792571112037</stp>
        <tr r="S2002" s="2"/>
      </tp>
      <tp t="s">
        <v>#N/A N/A</v>
        <stp/>
        <stp>BDP|6842787113424537074</stp>
        <tr r="A970" s="2"/>
      </tp>
      <tp t="s">
        <v>#N/A N/A</v>
        <stp/>
        <stp>BDP|2927673407757975711</stp>
        <tr r="J1971" s="2"/>
      </tp>
      <tp t="s">
        <v>#N/A N/A</v>
        <stp/>
        <stp>BDP|3936302840358108892</stp>
        <tr r="T1641" s="2"/>
      </tp>
      <tp t="s">
        <v>#N/A N/A</v>
        <stp/>
        <stp>BDP|1888336746370456288</stp>
        <tr r="A797" s="2"/>
      </tp>
      <tp t="s">
        <v>#N/A N/A</v>
        <stp/>
        <stp>BDP|3124697565090921757</stp>
        <tr r="T879" s="2"/>
      </tp>
      <tp t="s">
        <v>#N/A N/A</v>
        <stp/>
        <stp>BDP|9546381464991851909</stp>
        <tr r="D633" s="2"/>
      </tp>
      <tp t="s">
        <v>#N/A N/A</v>
        <stp/>
        <stp>BDP|7874566376014141586</stp>
        <tr r="R518" s="2"/>
      </tp>
      <tp t="s">
        <v>#N/A N/A</v>
        <stp/>
        <stp>BDP|9247426797279735910</stp>
        <tr r="O2151" s="2"/>
      </tp>
      <tp t="s">
        <v>#N/A N/A</v>
        <stp/>
        <stp>BDP|4481056267115691315</stp>
        <tr r="T2154" s="2"/>
      </tp>
      <tp t="s">
        <v>#N/A N/A</v>
        <stp/>
        <stp>BDP|7569457145595522615</stp>
        <tr r="N863" s="2"/>
      </tp>
      <tp t="s">
        <v>#N/A N/A</v>
        <stp/>
        <stp>BDP|1089174163942224074</stp>
        <tr r="C855" s="2"/>
      </tp>
      <tp t="s">
        <v>#N/A N/A</v>
        <stp/>
        <stp>BDP|5481756645882167043</stp>
        <tr r="N639" s="2"/>
      </tp>
      <tp t="s">
        <v>#N/A N/A</v>
        <stp/>
        <stp>BDP|1701293088377752807</stp>
        <tr r="D1300" s="2"/>
      </tp>
      <tp t="s">
        <v>#N/A N/A</v>
        <stp/>
        <stp>BDP|1264045237141737773</stp>
        <tr r="Q1257" s="2"/>
      </tp>
      <tp t="s">
        <v>#N/A N/A</v>
        <stp/>
        <stp>BDP|9374782597562531181</stp>
        <tr r="R1444" s="2"/>
      </tp>
      <tp t="s">
        <v>#N/A N/A</v>
        <stp/>
        <stp>BDP|6403254179712854514</stp>
        <tr r="R218" s="2"/>
      </tp>
      <tp t="s">
        <v>#N/A N/A</v>
        <stp/>
        <stp>BDP|3764530736582108321</stp>
        <tr r="O1839" s="2"/>
      </tp>
      <tp t="s">
        <v>#N/A N/A</v>
        <stp/>
        <stp>BDP|1939996549090028885</stp>
        <tr r="S136" s="2"/>
      </tp>
      <tp t="s">
        <v>#N/A N/A</v>
        <stp/>
        <stp>BDP|6398574285118295727</stp>
        <tr r="O100" s="2"/>
      </tp>
      <tp t="s">
        <v>#N/A N/A</v>
        <stp/>
        <stp>BDP|3113050888636967943</stp>
        <tr r="A440" s="2"/>
      </tp>
      <tp t="s">
        <v>#N/A N/A</v>
        <stp/>
        <stp>BDP|4873852799421273073</stp>
        <tr r="P1167" s="2"/>
      </tp>
      <tp t="s">
        <v>#N/A N/A</v>
        <stp/>
        <stp>BDP|8736834877494351713</stp>
        <tr r="N2117" s="2"/>
      </tp>
      <tp t="s">
        <v>#N/A N/A</v>
        <stp/>
        <stp>BDP|1056756925777048715</stp>
        <tr r="N489" s="2"/>
      </tp>
      <tp t="s">
        <v>#N/A N/A</v>
        <stp/>
        <stp>BDP|6882064028663085377</stp>
        <tr r="F764" s="2"/>
      </tp>
      <tp t="s">
        <v>#N/A N/A</v>
        <stp/>
        <stp>BDP|1942279729146013368</stp>
        <tr r="G1158" s="2"/>
      </tp>
      <tp t="s">
        <v>#N/A N/A</v>
        <stp/>
        <stp>BDP|9157970453176056744</stp>
        <tr r="J1935" s="2"/>
      </tp>
      <tp t="s">
        <v>#N/A N/A</v>
        <stp/>
        <stp>BDP|3248166309343402584</stp>
        <tr r="M1538" s="2"/>
      </tp>
      <tp t="s">
        <v>#N/A N/A</v>
        <stp/>
        <stp>BDP|9416947856300695119</stp>
        <tr r="T1810" s="2"/>
      </tp>
      <tp t="s">
        <v>#N/A N/A</v>
        <stp/>
        <stp>BDP|2062118740894078705</stp>
        <tr r="M310" s="2"/>
      </tp>
      <tp t="s">
        <v>#N/A N/A</v>
        <stp/>
        <stp>BDP|9395810648812356380</stp>
        <tr r="A1858" s="2"/>
      </tp>
      <tp t="s">
        <v>#N/A N/A</v>
        <stp/>
        <stp>BDP|2065856163010713805</stp>
        <tr r="F1144" s="2"/>
      </tp>
      <tp t="s">
        <v>#N/A N/A</v>
        <stp/>
        <stp>BDP|5172413224595240271</stp>
        <tr r="J969" s="2"/>
      </tp>
      <tp t="s">
        <v>#N/A N/A</v>
        <stp/>
        <stp>BDP|3903313460382004094</stp>
        <tr r="J301" s="2"/>
      </tp>
      <tp t="s">
        <v>#N/A N/A</v>
        <stp/>
        <stp>BDP|6227690679777507462</stp>
        <tr r="G1344" s="2"/>
      </tp>
      <tp t="s">
        <v>#N/A N/A</v>
        <stp/>
        <stp>BDP|1928467607163115282</stp>
        <tr r="Q1592" s="2"/>
      </tp>
      <tp t="s">
        <v>#N/A N/A</v>
        <stp/>
        <stp>BDP|2054174426716375337</stp>
        <tr r="G200" s="2"/>
      </tp>
      <tp t="s">
        <v>#N/A N/A</v>
        <stp/>
        <stp>BDS|3395068572102625207</stp>
        <tr r="I874" s="2"/>
      </tp>
      <tp t="s">
        <v>#N/A N/A</v>
        <stp/>
        <stp>BDP|1026604440754457352</stp>
        <tr r="R2138" s="2"/>
      </tp>
      <tp t="s">
        <v>#N/A N/A</v>
        <stp/>
        <stp>BDP|2612447500612126024</stp>
        <tr r="E67" s="2"/>
      </tp>
      <tp t="s">
        <v>#N/A N/A</v>
        <stp/>
        <stp>BDP|4184431041728105847</stp>
        <tr r="K324" s="2"/>
      </tp>
      <tp t="s">
        <v>#N/A N/A</v>
        <stp/>
        <stp>BDP|2256539860843347649</stp>
        <tr r="S1375" s="2"/>
      </tp>
      <tp t="s">
        <v>#N/A N/A</v>
        <stp/>
        <stp>BDP|4273313339512509298</stp>
        <tr r="Q261" s="2"/>
      </tp>
      <tp t="s">
        <v>#N/A N/A</v>
        <stp/>
        <stp>BDP|2019914381887768012</stp>
        <tr r="A1142" s="2"/>
      </tp>
      <tp t="s">
        <v>#N/A N/A</v>
        <stp/>
        <stp>BDS|5613865182381640029</stp>
        <tr r="I1438" s="2"/>
      </tp>
      <tp t="s">
        <v>#N/A N/A</v>
        <stp/>
        <stp>BDP|1278357181247699963</stp>
        <tr r="H397" s="2"/>
      </tp>
      <tp t="s">
        <v>#N/A N/A</v>
        <stp/>
        <stp>BDP|3644625638120996231</stp>
        <tr r="P1338" s="2"/>
      </tp>
      <tp t="s">
        <v>#N/A N/A</v>
        <stp/>
        <stp>BDP|4879146479924673257</stp>
        <tr r="A1342" s="2"/>
      </tp>
      <tp t="s">
        <v>#N/A N/A</v>
        <stp/>
        <stp>BDP|6189795459447741705</stp>
        <tr r="T1499" s="2"/>
      </tp>
      <tp t="s">
        <v>#N/A N/A</v>
        <stp/>
        <stp>BDP|6552553690058542639</stp>
        <tr r="J1388" s="2"/>
      </tp>
      <tp t="s">
        <v>#N/A N/A</v>
        <stp/>
        <stp>BDP|4558428576030220354</stp>
        <tr r="D52" s="2"/>
      </tp>
      <tp t="s">
        <v>#N/A N/A</v>
        <stp/>
        <stp>BDP|6759328275267627106</stp>
        <tr r="A1741" s="2"/>
      </tp>
      <tp t="s">
        <v>#N/A N/A</v>
        <stp/>
        <stp>BDP|5626109962191292709</stp>
        <tr r="T1500" s="2"/>
      </tp>
      <tp t="s">
        <v>#N/A N/A</v>
        <stp/>
        <stp>BDP|3167599436295109497</stp>
        <tr r="A1090" s="2"/>
      </tp>
      <tp t="s">
        <v>#N/A N/A</v>
        <stp/>
        <stp>BDP|8082638854919433650</stp>
        <tr r="G1425" s="2"/>
      </tp>
      <tp t="s">
        <v>#N/A N/A</v>
        <stp/>
        <stp>BDP|3104238760336027544</stp>
        <tr r="A157" s="2"/>
      </tp>
      <tp t="s">
        <v>#N/A N/A</v>
        <stp/>
        <stp>BDP|2682587537425735585</stp>
        <tr r="K189" s="2"/>
      </tp>
      <tp t="s">
        <v>#N/A N/A</v>
        <stp/>
        <stp>BDP|2375395049698780921</stp>
        <tr r="E2046" s="2"/>
      </tp>
      <tp t="s">
        <v>#N/A N/A</v>
        <stp/>
        <stp>BDP|7899368189961211934</stp>
        <tr r="G1854" s="2"/>
      </tp>
      <tp t="s">
        <v>#N/A N/A</v>
        <stp/>
        <stp>BDP|4401178508163852250</stp>
        <tr r="T296" s="2"/>
      </tp>
      <tp t="s">
        <v>#N/A N/A</v>
        <stp/>
        <stp>BDP|6128935021881652836</stp>
        <tr r="E2094" s="2"/>
      </tp>
      <tp t="s">
        <v>#N/A N/A</v>
        <stp/>
        <stp>BDP|5670781059723651078</stp>
        <tr r="F1949" s="2"/>
      </tp>
      <tp t="s">
        <v>#N/A N/A</v>
        <stp/>
        <stp>BDP|4928420136176285197</stp>
        <tr r="A150" s="2"/>
      </tp>
      <tp t="s">
        <v>#N/A N/A</v>
        <stp/>
        <stp>BDP|1466393327323580791</stp>
        <tr r="M2096" s="2"/>
      </tp>
      <tp t="s">
        <v>#N/A N/A</v>
        <stp/>
        <stp>BDP|2954418008631160372</stp>
        <tr r="D1491" s="2"/>
      </tp>
      <tp t="s">
        <v>#N/A N/A</v>
        <stp/>
        <stp>BDP|1657577834222671158</stp>
        <tr r="P214" s="2"/>
      </tp>
      <tp t="s">
        <v>#N/A N/A</v>
        <stp/>
        <stp>BDP|9828084689556891375</stp>
        <tr r="G622" s="2"/>
      </tp>
      <tp t="s">
        <v>#N/A N/A</v>
        <stp/>
        <stp>BDP|4348542466786660519</stp>
        <tr r="T282" s="2"/>
      </tp>
      <tp t="s">
        <v>#N/A N/A</v>
        <stp/>
        <stp>BDP|5478607923555596042</stp>
        <tr r="P1468" s="2"/>
      </tp>
      <tp t="s">
        <v>#N/A N/A</v>
        <stp/>
        <stp>BDP|7814722860066558498</stp>
        <tr r="T1163" s="2"/>
      </tp>
      <tp t="s">
        <v>#N/A N/A</v>
        <stp/>
        <stp>BDP|7533048884138237317</stp>
        <tr r="Q2012" s="2"/>
      </tp>
      <tp t="s">
        <v>#N/A N/A</v>
        <stp/>
        <stp>BDS|2119216424013135539</stp>
        <tr r="I1154" s="2"/>
      </tp>
      <tp t="s">
        <v>#N/A N/A</v>
        <stp/>
        <stp>BDP|4903159218835076527</stp>
        <tr r="N1046" s="2"/>
      </tp>
      <tp t="s">
        <v>#N/A N/A</v>
        <stp/>
        <stp>BDP|3331209356675547569</stp>
        <tr r="C128" s="2"/>
      </tp>
      <tp t="s">
        <v>#N/A N/A</v>
        <stp/>
        <stp>BDP|8304652254298306771</stp>
        <tr r="P335" s="2"/>
      </tp>
      <tp t="s">
        <v>#N/A N/A</v>
        <stp/>
        <stp>BDP|2873583510745063765</stp>
        <tr r="P1683" s="2"/>
      </tp>
      <tp t="s">
        <v>#N/A N/A</v>
        <stp/>
        <stp>BDS|4815273849791458743</stp>
        <tr r="I1533" s="2"/>
      </tp>
      <tp t="s">
        <v>#N/A N/A</v>
        <stp/>
        <stp>BDP|2004436791899063248</stp>
        <tr r="T1071" s="2"/>
      </tp>
      <tp t="s">
        <v>#N/A N/A</v>
        <stp/>
        <stp>BDP|3197501201763286144</stp>
        <tr r="A248" s="2"/>
      </tp>
      <tp t="s">
        <v>#N/A N/A</v>
        <stp/>
        <stp>BDS|5966568321531121799</stp>
        <tr r="I247" s="2"/>
      </tp>
      <tp t="s">
        <v>#N/A N/A</v>
        <stp/>
        <stp>BDP|7498085829690719148</stp>
        <tr r="S335" s="2"/>
      </tp>
      <tp t="s">
        <v>#N/A N/A</v>
        <stp/>
        <stp>BDP|3737437797059516306</stp>
        <tr r="J947" s="2"/>
      </tp>
      <tp t="s">
        <v>#N/A N/A</v>
        <stp/>
        <stp>BDP|7040714414497613256</stp>
        <tr r="T1755" s="2"/>
      </tp>
      <tp t="s">
        <v>#N/A N/A</v>
        <stp/>
        <stp>BDP|4376688501187843149</stp>
        <tr r="A1066" s="2"/>
      </tp>
      <tp t="s">
        <v>#N/A N/A</v>
        <stp/>
        <stp>BDP|3227329372394134758</stp>
        <tr r="M1600" s="2"/>
      </tp>
      <tp t="s">
        <v>#N/A N/A</v>
        <stp/>
        <stp>BDP|5471508286239199557</stp>
        <tr r="N381" s="2"/>
      </tp>
      <tp t="s">
        <v>#N/A N/A</v>
        <stp/>
        <stp>BDP|1573374175928104908</stp>
        <tr r="M1223" s="2"/>
      </tp>
      <tp t="s">
        <v>#N/A N/A</v>
        <stp/>
        <stp>BDP|8115349509917377894</stp>
        <tr r="H173" s="2"/>
      </tp>
      <tp t="s">
        <v>#N/A N/A</v>
        <stp/>
        <stp>BDP|8475132331727963996</stp>
        <tr r="Q1396" s="2"/>
      </tp>
      <tp t="s">
        <v>#N/A N/A</v>
        <stp/>
        <stp>BDP|4288128182219527012</stp>
        <tr r="Q132" s="2"/>
      </tp>
      <tp t="s">
        <v>#N/A N/A</v>
        <stp/>
        <stp>BDP|5218936695088373915</stp>
        <tr r="D916" s="2"/>
      </tp>
      <tp t="s">
        <v>#N/A N/A</v>
        <stp/>
        <stp>BDP|6518355411180761006</stp>
        <tr r="G825" s="2"/>
      </tp>
      <tp t="s">
        <v>#N/A N/A</v>
        <stp/>
        <stp>BDP|7342292095369194189</stp>
        <tr r="H1156" s="2"/>
      </tp>
      <tp t="s">
        <v>#N/A N/A</v>
        <stp/>
        <stp>BDP|7436443178414667487</stp>
        <tr r="E1206" s="2"/>
      </tp>
      <tp t="s">
        <v>#N/A N/A</v>
        <stp/>
        <stp>BDP|4899649222907989314</stp>
        <tr r="J2169" s="2"/>
      </tp>
      <tp t="s">
        <v>#N/A N/A</v>
        <stp/>
        <stp>BDP|2115970585452768526</stp>
        <tr r="T342" s="2"/>
      </tp>
      <tp t="s">
        <v>#N/A N/A</v>
        <stp/>
        <stp>BDP|6452339367287036068</stp>
        <tr r="J421" s="2"/>
      </tp>
      <tp t="s">
        <v>#N/A N/A</v>
        <stp/>
        <stp>BDP|8340418576069098620</stp>
        <tr r="F883" s="2"/>
      </tp>
      <tp t="s">
        <v>#N/A N/A</v>
        <stp/>
        <stp>BDP|1549333190476769971</stp>
        <tr r="N458" s="2"/>
      </tp>
      <tp t="s">
        <v>#N/A N/A</v>
        <stp/>
        <stp>BDP|6438412357891552218</stp>
        <tr r="F2231" s="2"/>
      </tp>
      <tp t="s">
        <v>#N/A N/A</v>
        <stp/>
        <stp>BDP|8420341536725124912</stp>
        <tr r="S206" s="2"/>
      </tp>
      <tp t="s">
        <v>#N/A N/A</v>
        <stp/>
        <stp>BDP|7770861127191755876</stp>
        <tr r="R1213" s="2"/>
      </tp>
      <tp t="s">
        <v>#N/A N/A</v>
        <stp/>
        <stp>BDP|9586997969974476675</stp>
        <tr r="E2075" s="2"/>
      </tp>
      <tp t="s">
        <v>#N/A N/A</v>
        <stp/>
        <stp>BDP|6995250859565292011</stp>
        <tr r="J1215" s="2"/>
      </tp>
      <tp t="s">
        <v>#N/A N/A</v>
        <stp/>
        <stp>BDP|6451000467762231676</stp>
        <tr r="E1600" s="2"/>
      </tp>
      <tp t="s">
        <v>#N/A N/A</v>
        <stp/>
        <stp>BDP|6747666569041625387</stp>
        <tr r="M378" s="2"/>
      </tp>
      <tp t="s">
        <v>#N/A N/A</v>
        <stp/>
        <stp>BDP|9737265311219438720</stp>
        <tr r="S1718" s="2"/>
      </tp>
      <tp t="s">
        <v>#N/A N/A</v>
        <stp/>
        <stp>BDP|5880747879851634053</stp>
        <tr r="K1189" s="2"/>
      </tp>
      <tp t="s">
        <v>#N/A N/A</v>
        <stp/>
        <stp>BDP|2018415607525776771</stp>
        <tr r="S1722" s="2"/>
      </tp>
      <tp t="s">
        <v>#N/A N/A</v>
        <stp/>
        <stp>BDP|3795849979341458980</stp>
        <tr r="F1690" s="2"/>
      </tp>
      <tp t="s">
        <v>#N/A N/A</v>
        <stp/>
        <stp>BDP|8326855703171247514</stp>
        <tr r="O2074" s="2"/>
      </tp>
      <tp t="s">
        <v>#N/A N/A</v>
        <stp/>
        <stp>BDP|9853375506667611991</stp>
        <tr r="D145" s="2"/>
      </tp>
      <tp t="s">
        <v>#N/A N/A</v>
        <stp/>
        <stp>BDP|6835030144103176583</stp>
        <tr r="A1293" s="2"/>
      </tp>
      <tp t="s">
        <v>#N/A N/A</v>
        <stp/>
        <stp>BDP|8797374580073137478</stp>
        <tr r="N1815" s="2"/>
      </tp>
      <tp t="s">
        <v>#N/A N/A</v>
        <stp/>
        <stp>BDP|8856584460057525835</stp>
        <tr r="A914" s="2"/>
      </tp>
      <tp t="s">
        <v>#N/A N/A</v>
        <stp/>
        <stp>BDP|3605595450603042491</stp>
        <tr r="R1369" s="2"/>
      </tp>
      <tp t="s">
        <v>#N/A N/A</v>
        <stp/>
        <stp>BDP|4745022648780862431</stp>
        <tr r="H1054" s="2"/>
      </tp>
      <tp t="s">
        <v>#N/A N/A</v>
        <stp/>
        <stp>BDP|9740139922579230732</stp>
        <tr r="E514" s="2"/>
      </tp>
      <tp t="s">
        <v>#N/A N/A</v>
        <stp/>
        <stp>BDP|6436180502915844616</stp>
        <tr r="Q2243" s="2"/>
      </tp>
      <tp t="s">
        <v>#N/A N/A</v>
        <stp/>
        <stp>BDP|3624401261864857186</stp>
        <tr r="K411" s="2"/>
      </tp>
      <tp t="s">
        <v>#N/A N/A</v>
        <stp/>
        <stp>BDP|4086204076204207136</stp>
        <tr r="Q284" s="2"/>
      </tp>
      <tp t="s">
        <v>#N/A N/A</v>
        <stp/>
        <stp>BDP|7344541913880668753</stp>
        <tr r="M965" s="2"/>
      </tp>
      <tp t="s">
        <v>#N/A N/A</v>
        <stp/>
        <stp>BDP|2742924046119086242</stp>
        <tr r="H443" s="2"/>
      </tp>
      <tp t="s">
        <v>#N/A N/A</v>
        <stp/>
        <stp>BDP|5356243164105484004</stp>
        <tr r="H1797" s="2"/>
      </tp>
      <tp t="s">
        <v>#N/A N/A</v>
        <stp/>
        <stp>BDP|8580575321793546815</stp>
        <tr r="O439" s="2"/>
      </tp>
      <tp t="s">
        <v>#N/A N/A</v>
        <stp/>
        <stp>BDP|3795440171503400716</stp>
        <tr r="G970" s="2"/>
      </tp>
      <tp t="s">
        <v>#N/A N/A</v>
        <stp/>
        <stp>BDP|3659608457294277042</stp>
        <tr r="M258" s="2"/>
      </tp>
      <tp t="s">
        <v>#N/A N/A</v>
        <stp/>
        <stp>BDP|6102304105942074330</stp>
        <tr r="D997" s="2"/>
      </tp>
      <tp t="s">
        <v>#N/A N/A</v>
        <stp/>
        <stp>BDP|6937391305837544674</stp>
        <tr r="Q1255" s="2"/>
      </tp>
      <tp t="s">
        <v>#N/A N/A</v>
        <stp/>
        <stp>BDP|6286212446163618740</stp>
        <tr r="F2137" s="2"/>
      </tp>
      <tp t="s">
        <v>#N/A N/A</v>
        <stp/>
        <stp>BDP|8619716782542714159</stp>
        <tr r="Q1138" s="2"/>
      </tp>
      <tp t="s">
        <v>#N/A N/A</v>
        <stp/>
        <stp>BDP|4265821623642445808</stp>
        <tr r="G349" s="2"/>
      </tp>
      <tp t="s">
        <v>#N/A N/A</v>
        <stp/>
        <stp>BDP|4330771046591334269</stp>
        <tr r="D2059" s="2"/>
      </tp>
      <tp t="s">
        <v>#N/A N/A</v>
        <stp/>
        <stp>BDP|7994254408276719743</stp>
        <tr r="E224" s="2"/>
      </tp>
      <tp t="s">
        <v>#N/A N/A</v>
        <stp/>
        <stp>BDP|2268646467653186573</stp>
        <tr r="E986" s="2"/>
      </tp>
      <tp t="s">
        <v>#N/A N/A</v>
        <stp/>
        <stp>BDP|5428322923687491762</stp>
        <tr r="S1188" s="2"/>
      </tp>
      <tp t="s">
        <v>#N/A N/A</v>
        <stp/>
        <stp>BDP|8177856653618395932</stp>
        <tr r="D1328" s="2"/>
      </tp>
      <tp t="s">
        <v>#N/A N/A</v>
        <stp/>
        <stp>BDP|4045630945985963787</stp>
        <tr r="C1451" s="2"/>
      </tp>
      <tp t="s">
        <v>#N/A N/A</v>
        <stp/>
        <stp>BDP|2065450942840409642</stp>
        <tr r="F1404" s="2"/>
      </tp>
      <tp t="s">
        <v>#N/A N/A</v>
        <stp/>
        <stp>BDP|5365605745265087615</stp>
        <tr r="P1281" s="2"/>
      </tp>
      <tp t="s">
        <v>#N/A N/A</v>
        <stp/>
        <stp>BDS|9537968675484445754</stp>
        <tr r="I1866" s="2"/>
      </tp>
      <tp t="s">
        <v>#N/A N/A</v>
        <stp/>
        <stp>BDP|5814084843373390673</stp>
        <tr r="R2206" s="2"/>
      </tp>
      <tp t="s">
        <v>#N/A N/A</v>
        <stp/>
        <stp>BDP|4155668814496232165</stp>
        <tr r="C2003" s="2"/>
      </tp>
      <tp t="s">
        <v>#N/A N/A</v>
        <stp/>
        <stp>BDP|6622661131385387257</stp>
        <tr r="J1563" s="2"/>
      </tp>
      <tp t="s">
        <v>#N/A N/A</v>
        <stp/>
        <stp>BDP|9907249095180653692</stp>
        <tr r="E1789" s="2"/>
      </tp>
      <tp t="s">
        <v>#N/A N/A</v>
        <stp/>
        <stp>BDP|4105962480752989392</stp>
        <tr r="K2022" s="2"/>
      </tp>
      <tp t="s">
        <v>#N/A N/A</v>
        <stp/>
        <stp>BDP|9578328683546704045</stp>
        <tr r="T247" s="2"/>
      </tp>
      <tp t="s">
        <v>#N/A N/A</v>
        <stp/>
        <stp>BDP|6287447900214407252</stp>
        <tr r="O675" s="2"/>
      </tp>
      <tp t="s">
        <v>#N/A N/A</v>
        <stp/>
        <stp>BDP|9349975113190188517</stp>
        <tr r="F100" s="2"/>
      </tp>
      <tp t="s">
        <v>#N/A N/A</v>
        <stp/>
        <stp>BDP|9587425684332097349</stp>
        <tr r="Q780" s="2"/>
      </tp>
      <tp t="s">
        <v>#N/A N/A</v>
        <stp/>
        <stp>BDP|3686209465322096145</stp>
        <tr r="T2224" s="2"/>
      </tp>
      <tp t="s">
        <v>#N/A N/A</v>
        <stp/>
        <stp>BDP|2033507042054096353</stp>
        <tr r="O500" s="2"/>
      </tp>
      <tp t="s">
        <v>#N/A N/A</v>
        <stp/>
        <stp>BDP|4903345138745756559</stp>
        <tr r="S792" s="2"/>
      </tp>
      <tp t="s">
        <v>#N/A N/A</v>
        <stp/>
        <stp>BDP|5649665167875101417</stp>
        <tr r="G1662" s="2"/>
      </tp>
      <tp t="s">
        <v>#N/A N/A</v>
        <stp/>
        <stp>BDP|8516909445121628015</stp>
        <tr r="N2258" s="2"/>
      </tp>
      <tp t="s">
        <v>#N/A N/A</v>
        <stp/>
        <stp>BDP|1209435091700583824</stp>
        <tr r="T924" s="2"/>
      </tp>
      <tp t="s">
        <v>#N/A N/A</v>
        <stp/>
        <stp>BDP|2199965263049089035</stp>
        <tr r="D375" s="2"/>
      </tp>
      <tp t="s">
        <v>#N/A N/A</v>
        <stp/>
        <stp>BDP|5563538116613094670</stp>
        <tr r="T253" s="2"/>
      </tp>
      <tp t="s">
        <v>#N/A N/A</v>
        <stp/>
        <stp>BDS|9559624124781330877</stp>
        <tr r="I1377" s="2"/>
      </tp>
      <tp t="s">
        <v>#N/A N/A</v>
        <stp/>
        <stp>BDP|5563517132173696478</stp>
        <tr r="M551" s="2"/>
      </tp>
      <tp t="s">
        <v>#N/A N/A</v>
        <stp/>
        <stp>BDP|7078513715346017137</stp>
        <tr r="F2149" s="2"/>
      </tp>
      <tp t="s">
        <v>#N/A N/A</v>
        <stp/>
        <stp>BDP|2502093692586046993</stp>
        <tr r="K115" s="2"/>
      </tp>
      <tp t="s">
        <v>#N/A N/A</v>
        <stp/>
        <stp>BDP|7086319601101006170</stp>
        <tr r="G1164" s="2"/>
      </tp>
      <tp t="s">
        <v>#N/A N/A</v>
        <stp/>
        <stp>BDP|2113168378068801809</stp>
        <tr r="O1161" s="2"/>
      </tp>
      <tp t="s">
        <v>#N/A N/A</v>
        <stp/>
        <stp>BDP|6176617404050660456</stp>
        <tr r="G1272" s="2"/>
      </tp>
      <tp t="s">
        <v>#N/A N/A</v>
        <stp/>
        <stp>BDP|3352429718487785590</stp>
        <tr r="A1279" s="2"/>
      </tp>
      <tp t="s">
        <v>#N/A N/A</v>
        <stp/>
        <stp>BDP|9708065289194619195</stp>
        <tr r="R925" s="2"/>
      </tp>
      <tp t="s">
        <v>#N/A N/A</v>
        <stp/>
        <stp>BDP|2295609506722236217</stp>
        <tr r="K635" s="2"/>
      </tp>
      <tp t="s">
        <v>#N/A N/A</v>
        <stp/>
        <stp>BDS|4193620407801010730</stp>
        <tr r="I150" s="2"/>
      </tp>
      <tp t="s">
        <v>#N/A N/A</v>
        <stp/>
        <stp>BDP|6551836287547616504</stp>
        <tr r="T711" s="2"/>
      </tp>
      <tp t="s">
        <v>#N/A N/A</v>
        <stp/>
        <stp>BDP|9166879167950020367</stp>
        <tr r="C1141" s="2"/>
      </tp>
      <tp t="s">
        <v>#N/A N/A</v>
        <stp/>
        <stp>BDS|6245219168613587593</stp>
        <tr r="I1864" s="2"/>
      </tp>
      <tp t="s">
        <v>#N/A N/A</v>
        <stp/>
        <stp>BDP|8558956296214078815</stp>
        <tr r="Q1345" s="2"/>
      </tp>
      <tp t="s">
        <v>#N/A N/A</v>
        <stp/>
        <stp>BDP|8856777519392137801</stp>
        <tr r="D193" s="2"/>
      </tp>
      <tp t="s">
        <v>#N/A N/A</v>
        <stp/>
        <stp>BDP|8879845355197908670</stp>
        <tr r="D1478" s="2"/>
      </tp>
      <tp t="s">
        <v>#N/A N/A</v>
        <stp/>
        <stp>BDP|1803687524724400572</stp>
        <tr r="Q992" s="2"/>
      </tp>
      <tp t="s">
        <v>#N/A N/A</v>
        <stp/>
        <stp>BDP|3936326434957062088</stp>
        <tr r="M1736" s="2"/>
      </tp>
      <tp t="s">
        <v>#N/A N/A</v>
        <stp/>
        <stp>BDP|5754768906591333739</stp>
        <tr r="M984" s="2"/>
      </tp>
      <tp t="s">
        <v>#N/A N/A</v>
        <stp/>
        <stp>BDP|3067723607055427565</stp>
        <tr r="F474" s="2"/>
      </tp>
      <tp t="s">
        <v>#N/A N/A</v>
        <stp/>
        <stp>BDP|8399830053842030340</stp>
        <tr r="R383" s="2"/>
      </tp>
      <tp t="s">
        <v>#N/A N/A</v>
        <stp/>
        <stp>BDP|4534005217967098654</stp>
        <tr r="J1663" s="2"/>
      </tp>
      <tp t="s">
        <v>#N/A N/A</v>
        <stp/>
        <stp>BDP|9657811947362573322</stp>
        <tr r="N1879" s="2"/>
      </tp>
      <tp t="s">
        <v>#N/A N/A</v>
        <stp/>
        <stp>BDP|7333244284651041840</stp>
        <tr r="H2058" s="2"/>
      </tp>
      <tp t="s">
        <v>#N/A N/A</v>
        <stp/>
        <stp>BDP|2028661912273310205</stp>
        <tr r="K1526" s="2"/>
      </tp>
      <tp t="s">
        <v>#N/A N/A</v>
        <stp/>
        <stp>BDP|4125160360253535456</stp>
        <tr r="M349" s="2"/>
      </tp>
      <tp t="s">
        <v>#N/A N/A</v>
        <stp/>
        <stp>BDP|6718788558283867388</stp>
        <tr r="A1775" s="2"/>
      </tp>
      <tp t="s">
        <v>#N/A N/A</v>
        <stp/>
        <stp>BDP|7519073447377258001</stp>
        <tr r="D1642" s="2"/>
      </tp>
      <tp t="s">
        <v>#N/A N/A</v>
        <stp/>
        <stp>BDP|8008537334962196812</stp>
        <tr r="K1407" s="2"/>
      </tp>
      <tp t="s">
        <v>#N/A N/A</v>
        <stp/>
        <stp>BDS|7401230166853491426</stp>
        <tr r="I1152" s="2"/>
      </tp>
      <tp t="s">
        <v>#N/A N/A</v>
        <stp/>
        <stp>BDP|2706744343714411136</stp>
        <tr r="K201" s="2"/>
      </tp>
      <tp t="s">
        <v>#N/A N/A</v>
        <stp/>
        <stp>BDP|6597677532122387543</stp>
        <tr r="Q1333" s="2"/>
      </tp>
      <tp t="s">
        <v>#N/A N/A</v>
        <stp/>
        <stp>BDP|8564916998128331486</stp>
        <tr r="D1723" s="2"/>
      </tp>
      <tp t="s">
        <v>#N/A N/A</v>
        <stp/>
        <stp>BDP|8106836032815538229</stp>
        <tr r="G580" s="2"/>
      </tp>
      <tp t="s">
        <v>#N/A N/A</v>
        <stp/>
        <stp>BDS|6759057015542737173</stp>
        <tr r="I373" s="2"/>
      </tp>
      <tp t="s">
        <v>#N/A N/A</v>
        <stp/>
        <stp>BDP|2249702285868226128</stp>
        <tr r="P1900" s="2"/>
      </tp>
      <tp t="s">
        <v>#N/A N/A</v>
        <stp/>
        <stp>BDP|7100672033036438065</stp>
        <tr r="G211" s="2"/>
      </tp>
      <tp t="s">
        <v>#N/A N/A</v>
        <stp/>
        <stp>BDP|2551105130645083129</stp>
        <tr r="G1774" s="2"/>
      </tp>
      <tp t="s">
        <v>#N/A N/A</v>
        <stp/>
        <stp>BDP|8031317397826731068</stp>
        <tr r="Q1318" s="2"/>
      </tp>
      <tp t="s">
        <v>#N/A N/A</v>
        <stp/>
        <stp>BDP|5685057011614786426</stp>
        <tr r="K989" s="2"/>
      </tp>
      <tp t="s">
        <v>#N/A N/A</v>
        <stp/>
        <stp>BDP|8404952144243142233</stp>
        <tr r="G1331" s="2"/>
      </tp>
      <tp t="s">
        <v>#N/A N/A</v>
        <stp/>
        <stp>BDP|2175220981749505507</stp>
        <tr r="T808" s="2"/>
      </tp>
      <tp t="s">
        <v>#N/A N/A</v>
        <stp/>
        <stp>BDP|1209520116151904086</stp>
        <tr r="C360" s="2"/>
      </tp>
      <tp t="s">
        <v>#N/A N/A</v>
        <stp/>
        <stp>BDP|7720524307610259672</stp>
        <tr r="R1101" s="2"/>
      </tp>
      <tp t="s">
        <v>#N/A N/A</v>
        <stp/>
        <stp>BDP|5543528242344080421</stp>
        <tr r="C414" s="2"/>
      </tp>
      <tp t="s">
        <v>#N/A N/A</v>
        <stp/>
        <stp>BDP|7700937993393552057</stp>
        <tr r="C1754" s="2"/>
      </tp>
      <tp t="s">
        <v>#N/A N/A</v>
        <stp/>
        <stp>BDP|5072372140043234520</stp>
        <tr r="N827" s="2"/>
      </tp>
      <tp t="s">
        <v>#N/A N/A</v>
        <stp/>
        <stp>BDS|4846197227124715766</stp>
        <tr r="I1125" s="2"/>
      </tp>
      <tp t="s">
        <v>#N/A N/A</v>
        <stp/>
        <stp>BDP|1569593433757904414</stp>
        <tr r="T1434" s="2"/>
      </tp>
      <tp t="s">
        <v>#N/A N/A</v>
        <stp/>
        <stp>BDP|3448808927244009948</stp>
        <tr r="E1117" s="2"/>
      </tp>
      <tp t="s">
        <v>#N/A N/A</v>
        <stp/>
        <stp>BDP|1048085057945871509</stp>
        <tr r="E761" s="2"/>
      </tp>
      <tp t="s">
        <v>#N/A N/A</v>
        <stp/>
        <stp>BDP|2549521312813484163</stp>
        <tr r="G1322" s="2"/>
      </tp>
      <tp t="s">
        <v>#N/A N/A</v>
        <stp/>
        <stp>BDP|5726055987068603141</stp>
        <tr r="G2167" s="2"/>
      </tp>
      <tp t="s">
        <v>#N/A N/A</v>
        <stp/>
        <stp>BDP|4307837811238327151</stp>
        <tr r="C634" s="2"/>
      </tp>
      <tp t="s">
        <v>#N/A N/A</v>
        <stp/>
        <stp>BDP|9984472862757382883</stp>
        <tr r="N1117" s="2"/>
      </tp>
      <tp t="s">
        <v>#N/A N/A</v>
        <stp/>
        <stp>BDP|3198051924412140751</stp>
        <tr r="M262" s="2"/>
      </tp>
      <tp t="s">
        <v>#N/A N/A</v>
        <stp/>
        <stp>BDP|6637958356159041717</stp>
        <tr r="P1108" s="2"/>
      </tp>
      <tp t="s">
        <v>#N/A N/A</v>
        <stp/>
        <stp>BDP|5006560103072402659</stp>
        <tr r="E1438" s="2"/>
      </tp>
      <tp t="s">
        <v>#N/A N/A</v>
        <stp/>
        <stp>BDS|9208498200709744081</stp>
        <tr r="I1536" s="2"/>
      </tp>
      <tp t="s">
        <v>#N/A N/A</v>
        <stp/>
        <stp>BDP|1505930823838014610</stp>
        <tr r="G60" s="2"/>
      </tp>
      <tp t="s">
        <v>#N/A N/A</v>
        <stp/>
        <stp>BDP|5269029223480655316</stp>
        <tr r="A297" s="2"/>
      </tp>
      <tp t="s">
        <v>#N/A N/A</v>
        <stp/>
        <stp>BDP|7181685592458876476</stp>
        <tr r="N284" s="2"/>
      </tp>
      <tp t="s">
        <v>#N/A N/A</v>
        <stp/>
        <stp>BDP|6145032310021478229</stp>
        <tr r="C933" s="2"/>
      </tp>
      <tp t="s">
        <v>#N/A N/A</v>
        <stp/>
        <stp>BDP|8894805957067314685</stp>
        <tr r="D1567" s="2"/>
      </tp>
      <tp t="s">
        <v>#N/A N/A</v>
        <stp/>
        <stp>BDP|7704527896427687813</stp>
        <tr r="A287" s="2"/>
      </tp>
      <tp t="s">
        <v>#N/A N/A</v>
        <stp/>
        <stp>BDP|2884559369827151217</stp>
        <tr r="R812" s="2"/>
      </tp>
      <tp t="s">
        <v>#N/A N/A</v>
        <stp/>
        <stp>BDP|5031740256222636109</stp>
        <tr r="O1354" s="2"/>
      </tp>
      <tp t="s">
        <v>#N/A N/A</v>
        <stp/>
        <stp>BDP|6327715369347780487</stp>
        <tr r="H913" s="2"/>
      </tp>
      <tp t="s">
        <v>#N/A N/A</v>
        <stp/>
        <stp>BDP|8769953506343159618</stp>
        <tr r="C108" s="2"/>
      </tp>
      <tp t="s">
        <v>#N/A N/A</v>
        <stp/>
        <stp>BDP|5678117860795586364</stp>
        <tr r="R782" s="2"/>
      </tp>
      <tp t="s">
        <v>#N/A N/A</v>
        <stp/>
        <stp>BDP|6785757851321650112</stp>
        <tr r="P1061" s="2"/>
      </tp>
      <tp t="s">
        <v>#N/A N/A</v>
        <stp/>
        <stp>BDP|1815274947313845049</stp>
        <tr r="D1582" s="2"/>
      </tp>
      <tp t="s">
        <v>#N/A N/A</v>
        <stp/>
        <stp>BDP|1125038577421058310</stp>
        <tr r="D2064" s="2"/>
      </tp>
      <tp t="s">
        <v>#N/A N/A</v>
        <stp/>
        <stp>BDP|6276719217787658366</stp>
        <tr r="D1026" s="2"/>
      </tp>
      <tp t="s">
        <v>#N/A N/A</v>
        <stp/>
        <stp>BDP|1142759151471701663</stp>
        <tr r="T1604" s="2"/>
      </tp>
      <tp t="s">
        <v>#N/A N/A</v>
        <stp/>
        <stp>BDP|2411071351217594431</stp>
        <tr r="J26" s="2"/>
      </tp>
      <tp t="s">
        <v>#N/A N/A</v>
        <stp/>
        <stp>BDP|6764444229976783299</stp>
        <tr r="E1843" s="2"/>
      </tp>
      <tp t="s">
        <v>#N/A N/A</v>
        <stp/>
        <stp>BDP|3104830586087725078</stp>
        <tr r="D666" s="2"/>
      </tp>
      <tp t="s">
        <v>#N/A N/A</v>
        <stp/>
        <stp>BDP|3303206363370069349</stp>
        <tr r="G2112" s="2"/>
      </tp>
      <tp t="s">
        <v>#N/A N/A</v>
        <stp/>
        <stp>BDS|2155772968327291084</stp>
        <tr r="I426" s="2"/>
      </tp>
      <tp t="s">
        <v>#N/A N/A</v>
        <stp/>
        <stp>BDS|9308475402450180930</stp>
        <tr r="I883" s="2"/>
      </tp>
      <tp t="s">
        <v>#N/A N/A</v>
        <stp/>
        <stp>BDP|5162329264662748640</stp>
        <tr r="H1831" s="2"/>
      </tp>
      <tp t="s">
        <v>#N/A N/A</v>
        <stp/>
        <stp>BDS|5680773624715668174</stp>
        <tr r="I746" s="2"/>
      </tp>
      <tp t="s">
        <v>#N/A N/A</v>
        <stp/>
        <stp>BDP|3912094302820059765</stp>
        <tr r="D568" s="2"/>
      </tp>
      <tp t="s">
        <v>#N/A N/A</v>
        <stp/>
        <stp>BDP|7050991819418682325</stp>
        <tr r="G715" s="2"/>
      </tp>
      <tp t="s">
        <v>#N/A N/A</v>
        <stp/>
        <stp>BDP|4686301615206304447</stp>
        <tr r="S324" s="2"/>
      </tp>
      <tp t="s">
        <v>#N/A N/A</v>
        <stp/>
        <stp>BDP|5486546661835086752</stp>
        <tr r="S1447" s="2"/>
      </tp>
      <tp t="s">
        <v>#N/A N/A</v>
        <stp/>
        <stp>BDP|7356119480353351956</stp>
        <tr r="D1918" s="2"/>
      </tp>
      <tp t="s">
        <v>#N/A N/A</v>
        <stp/>
        <stp>BDP|3566420311401597377</stp>
        <tr r="M304" s="2"/>
      </tp>
      <tp t="s">
        <v>#N/A N/A</v>
        <stp/>
        <stp>BDP|1511211474990471002</stp>
        <tr r="K1661" s="2"/>
      </tp>
      <tp t="s">
        <v>#N/A N/A</v>
        <stp/>
        <stp>BDP|1806719900324526684</stp>
        <tr r="O2148" s="2"/>
      </tp>
      <tp t="s">
        <v>#N/A N/A</v>
        <stp/>
        <stp>BDP|3101118752736503530</stp>
        <tr r="F128" s="2"/>
      </tp>
      <tp t="s">
        <v>#N/A N/A</v>
        <stp/>
        <stp>BDP|1091437109365751497</stp>
        <tr r="E1662" s="2"/>
      </tp>
      <tp t="s">
        <v>#N/A N/A</v>
        <stp/>
        <stp>BDP|3005803020354367979</stp>
        <tr r="Q1746" s="2"/>
      </tp>
      <tp t="s">
        <v>#N/A N/A</v>
        <stp/>
        <stp>BDP|1491443438532865046</stp>
        <tr r="N1404" s="2"/>
      </tp>
      <tp t="s">
        <v>#N/A N/A</v>
        <stp/>
        <stp>BDP|5695642907811981684</stp>
        <tr r="S1941" s="2"/>
      </tp>
      <tp t="s">
        <v>#N/A N/A</v>
        <stp/>
        <stp>BDP|1939316315754141389</stp>
        <tr r="K766" s="2"/>
      </tp>
      <tp t="s">
        <v>#N/A N/A</v>
        <stp/>
        <stp>BDP|5106448814806597206</stp>
        <tr r="A154" s="2"/>
      </tp>
      <tp t="s">
        <v>#N/A N/A</v>
        <stp/>
        <stp>BDP|7750425486818373741</stp>
        <tr r="K1778" s="2"/>
      </tp>
      <tp t="s">
        <v>#N/A N/A</v>
        <stp/>
        <stp>BDP|9918491697480130029</stp>
        <tr r="H1770" s="2"/>
      </tp>
      <tp t="s">
        <v>#N/A N/A</v>
        <stp/>
        <stp>BDP|3149009971808480803</stp>
        <tr r="H852" s="2"/>
      </tp>
      <tp t="s">
        <v>#N/A N/A</v>
        <stp/>
        <stp>BDP|1648265082947044862</stp>
        <tr r="G1407" s="2"/>
      </tp>
      <tp t="s">
        <v>#N/A N/A</v>
        <stp/>
        <stp>BDP|7719447812565202372</stp>
        <tr r="S1801" s="2"/>
      </tp>
      <tp t="s">
        <v>#N/A N/A</v>
        <stp/>
        <stp>BDP|8551420683265064500</stp>
        <tr r="P152" s="2"/>
      </tp>
      <tp t="s">
        <v>#N/A N/A</v>
        <stp/>
        <stp>BDP|2090511808435897654</stp>
        <tr r="T844" s="2"/>
      </tp>
      <tp t="s">
        <v>#N/A N/A</v>
        <stp/>
        <stp>BDP|3742214912112146614</stp>
        <tr r="S1036" s="2"/>
      </tp>
      <tp t="s">
        <v>#N/A N/A</v>
        <stp/>
        <stp>BDP|5246744529076969227</stp>
        <tr r="F2205" s="2"/>
      </tp>
      <tp t="s">
        <v>#N/A N/A</v>
        <stp/>
        <stp>BDP|7029470633551847582</stp>
        <tr r="K1996" s="2"/>
      </tp>
      <tp t="s">
        <v>#N/A N/A</v>
        <stp/>
        <stp>BDP|8623126857141032977</stp>
        <tr r="F560" s="2"/>
      </tp>
      <tp t="s">
        <v>#N/A N/A</v>
        <stp/>
        <stp>BDP|1583188628463369523</stp>
        <tr r="P1728" s="2"/>
      </tp>
      <tp t="s">
        <v>#N/A N/A</v>
        <stp/>
        <stp>BDP|3265389037850924705</stp>
        <tr r="D598" s="2"/>
      </tp>
      <tp t="s">
        <v>#N/A N/A</v>
        <stp/>
        <stp>BDP|9189728979414844960</stp>
        <tr r="Q32" s="2"/>
      </tp>
      <tp t="s">
        <v>#N/A N/A</v>
        <stp/>
        <stp>BDP|7468739195865449823</stp>
        <tr r="J1898" s="2"/>
      </tp>
      <tp t="s">
        <v>#N/A N/A</v>
        <stp/>
        <stp>BDP|2306187058622046075</stp>
        <tr r="J1779" s="2"/>
      </tp>
      <tp t="s">
        <v>#N/A N/A</v>
        <stp/>
        <stp>BDP|4076359691339080305</stp>
        <tr r="K1651" s="2"/>
      </tp>
      <tp t="s">
        <v>#N/A N/A</v>
        <stp/>
        <stp>BDP|8424284188105558352</stp>
        <tr r="E950" s="2"/>
      </tp>
      <tp t="s">
        <v>#N/A N/A</v>
        <stp/>
        <stp>BDP|7909553029805781163</stp>
        <tr r="C2187" s="2"/>
      </tp>
      <tp t="s">
        <v>#N/A N/A</v>
        <stp/>
        <stp>BDP|9513910266755358750</stp>
        <tr r="Q1773" s="2"/>
      </tp>
      <tp t="s">
        <v>#N/A N/A</v>
        <stp/>
        <stp>BDP|7071215956713523764</stp>
        <tr r="F932" s="2"/>
      </tp>
      <tp t="s">
        <v>#N/A N/A</v>
        <stp/>
        <stp>BDP|5440655926076428371</stp>
        <tr r="Q1292" s="2"/>
      </tp>
      <tp t="s">
        <v>#N/A N/A</v>
        <stp/>
        <stp>BDP|9213315187561564755</stp>
        <tr r="O75" s="2"/>
      </tp>
      <tp t="s">
        <v>#N/A N/A</v>
        <stp/>
        <stp>BDS|5320128322324483630</stp>
        <tr r="I603" s="2"/>
      </tp>
      <tp t="s">
        <v>#N/A N/A</v>
        <stp/>
        <stp>BDP|2445510906626217551</stp>
        <tr r="K1394" s="2"/>
      </tp>
      <tp t="s">
        <v>#N/A N/A</v>
        <stp/>
        <stp>BDP|5534792005243574581</stp>
        <tr r="P2098" s="2"/>
      </tp>
      <tp t="s">
        <v>#N/A N/A</v>
        <stp/>
        <stp>BDS|9552725655588766715</stp>
        <tr r="I873" s="2"/>
      </tp>
      <tp t="s">
        <v>#N/A N/A</v>
        <stp/>
        <stp>BDP|6225418551926056562</stp>
        <tr r="M1954" s="2"/>
      </tp>
      <tp t="s">
        <v>#N/A N/A</v>
        <stp/>
        <stp>BDP|6508161836856480655</stp>
        <tr r="F1918" s="2"/>
      </tp>
      <tp t="s">
        <v>#N/A N/A</v>
        <stp/>
        <stp>BDP|6943112523212662396</stp>
        <tr r="T2121" s="2"/>
      </tp>
      <tp t="s">
        <v>#N/A N/A</v>
        <stp/>
        <stp>BDP|9165963551114607540</stp>
        <tr r="M404" s="2"/>
      </tp>
      <tp t="s">
        <v>#N/A N/A</v>
        <stp/>
        <stp>BDP|6134734746969138819</stp>
        <tr r="H153" s="2"/>
      </tp>
      <tp t="s">
        <v>#N/A N/A</v>
        <stp/>
        <stp>BDP|1156885209609620423</stp>
        <tr r="T1416" s="2"/>
      </tp>
      <tp t="s">
        <v>#N/A N/A</v>
        <stp/>
        <stp>BDP|4570828300731574968</stp>
        <tr r="D2124" s="2"/>
      </tp>
      <tp t="s">
        <v>#N/A N/A</v>
        <stp/>
        <stp>BDP|1223251725717232240</stp>
        <tr r="T314" s="2"/>
      </tp>
      <tp t="s">
        <v>#N/A N/A</v>
        <stp/>
        <stp>BDP|8466413977446726914</stp>
        <tr r="T88" s="2"/>
      </tp>
      <tp t="s">
        <v>#N/A N/A</v>
        <stp/>
        <stp>BDP|9516839255107579729</stp>
        <tr r="K281" s="2"/>
      </tp>
      <tp t="s">
        <v>#N/A N/A</v>
        <stp/>
        <stp>BDP|5599273244200094726</stp>
        <tr r="N2207" s="2"/>
      </tp>
      <tp t="s">
        <v>#N/A N/A</v>
        <stp/>
        <stp>BDP|1741305031615558075</stp>
        <tr r="E2209" s="2"/>
      </tp>
      <tp t="s">
        <v>#N/A N/A</v>
        <stp/>
        <stp>BDP|5172496921307473092</stp>
        <tr r="O1398" s="2"/>
      </tp>
      <tp t="s">
        <v>#N/A N/A</v>
        <stp/>
        <stp>BDP|5794239167765519021</stp>
        <tr r="M861" s="2"/>
      </tp>
      <tp t="s">
        <v>#N/A N/A</v>
        <stp/>
        <stp>BDP|3567146860379644931</stp>
        <tr r="D44" s="2"/>
      </tp>
      <tp t="s">
        <v>#N/A N/A</v>
        <stp/>
        <stp>BDP|2319139045117990486</stp>
        <tr r="C1468" s="2"/>
      </tp>
      <tp t="s">
        <v>#N/A N/A</v>
        <stp/>
        <stp>BDP|4162509964870954384</stp>
        <tr r="T275" s="2"/>
      </tp>
      <tp t="s">
        <v>#N/A N/A</v>
        <stp/>
        <stp>BDP|5608696698077161926</stp>
        <tr r="H1451" s="2"/>
      </tp>
      <tp t="s">
        <v>#N/A N/A</v>
        <stp/>
        <stp>BDP|7836420540186900574</stp>
        <tr r="H1746" s="2"/>
      </tp>
      <tp t="s">
        <v>#N/A N/A</v>
        <stp/>
        <stp>BDP|5009119322010176277</stp>
        <tr r="R363" s="2"/>
      </tp>
      <tp t="s">
        <v>#N/A N/A</v>
        <stp/>
        <stp>BDP|3773758713781742035</stp>
        <tr r="N664" s="2"/>
      </tp>
      <tp t="s">
        <v>#N/A N/A</v>
        <stp/>
        <stp>BDP|7155504270962639322</stp>
        <tr r="O736" s="2"/>
      </tp>
      <tp t="s">
        <v>#N/A N/A</v>
        <stp/>
        <stp>BDP|1415359558777822445</stp>
        <tr r="K1296" s="2"/>
      </tp>
      <tp t="s">
        <v>#N/A N/A</v>
        <stp/>
        <stp>BDP|1511218077628673800</stp>
        <tr r="H23" s="2"/>
      </tp>
      <tp t="s">
        <v>#N/A N/A</v>
        <stp/>
        <stp>BDP|8087672676024361974</stp>
        <tr r="K187" s="2"/>
      </tp>
      <tp t="s">
        <v>#N/A N/A</v>
        <stp/>
        <stp>BDP|4030220088899944367</stp>
        <tr r="D1970" s="2"/>
      </tp>
      <tp t="s">
        <v>#N/A N/A</v>
        <stp/>
        <stp>BDP|4586412392749345402</stp>
        <tr r="Q1103" s="2"/>
      </tp>
      <tp t="s">
        <v>#N/A N/A</v>
        <stp/>
        <stp>BDP|8246337686967132032</stp>
        <tr r="C268" s="2"/>
      </tp>
      <tp t="s">
        <v>#N/A N/A</v>
        <stp/>
        <stp>BDP|4567704139646892216</stp>
        <tr r="D1648" s="2"/>
      </tp>
      <tp t="s">
        <v>#N/A N/A</v>
        <stp/>
        <stp>BDP|1521668205400400375</stp>
        <tr r="N820" s="2"/>
      </tp>
      <tp t="s">
        <v>#N/A N/A</v>
        <stp/>
        <stp>BDP|9974998987484128832</stp>
        <tr r="D543" s="2"/>
      </tp>
      <tp t="s">
        <v>#N/A N/A</v>
        <stp/>
        <stp>BDP|5630516953820142102</stp>
        <tr r="O36" s="2"/>
      </tp>
      <tp t="s">
        <v>#N/A N/A</v>
        <stp/>
        <stp>BDP|4494876306159459140</stp>
        <tr r="T489" s="2"/>
      </tp>
      <tp t="s">
        <v>#N/A N/A</v>
        <stp/>
        <stp>BDP|1722823248090989913</stp>
        <tr r="R1084" s="2"/>
      </tp>
      <tp t="s">
        <v>#N/A N/A</v>
        <stp/>
        <stp>BDP|5136357114642582100</stp>
        <tr r="F1287" s="2"/>
      </tp>
      <tp t="s">
        <v>#N/A N/A</v>
        <stp/>
        <stp>BDP|8163924021253284452</stp>
        <tr r="D461" s="2"/>
      </tp>
      <tp t="s">
        <v>#N/A N/A</v>
        <stp/>
        <stp>BDP|2733055315804279303</stp>
        <tr r="M542" s="2"/>
      </tp>
      <tp t="s">
        <v>#N/A N/A</v>
        <stp/>
        <stp>BDP|7514852713158180277</stp>
        <tr r="P861" s="2"/>
      </tp>
      <tp t="s">
        <v>#N/A N/A</v>
        <stp/>
        <stp>BDP|3660527030194146509</stp>
        <tr r="R248" s="2"/>
      </tp>
      <tp t="s">
        <v>#N/A N/A</v>
        <stp/>
        <stp>BDP|5288678361078483955</stp>
        <tr r="O1922" s="2"/>
      </tp>
      <tp t="s">
        <v>#N/A N/A</v>
        <stp/>
        <stp>BDP|9013915189099492590</stp>
        <tr r="A444" s="2"/>
      </tp>
      <tp t="s">
        <v>#N/A N/A</v>
        <stp/>
        <stp>BDS|3676109048277928520</stp>
        <tr r="I476" s="2"/>
      </tp>
      <tp t="s">
        <v>#N/A N/A</v>
        <stp/>
        <stp>BDP|7782283855074856073</stp>
        <tr r="N622" s="2"/>
      </tp>
      <tp t="s">
        <v>#N/A N/A</v>
        <stp/>
        <stp>BDP|1250044177570313279</stp>
        <tr r="N939" s="2"/>
      </tp>
      <tp t="s">
        <v>#N/A N/A</v>
        <stp/>
        <stp>BDP|8538213936944720907</stp>
        <tr r="J1324" s="2"/>
      </tp>
      <tp t="s">
        <v>#N/A N/A</v>
        <stp/>
        <stp>BDP|5781260089478457395</stp>
        <tr r="T841" s="2"/>
      </tp>
      <tp t="s">
        <v>#N/A N/A</v>
        <stp/>
        <stp>BDP|3543447192763016969</stp>
        <tr r="N625" s="2"/>
      </tp>
      <tp t="s">
        <v>#N/A N/A</v>
        <stp/>
        <stp>BDS|5166923761538770608</stp>
        <tr r="I1577" s="2"/>
      </tp>
      <tp t="s">
        <v>#N/A N/A</v>
        <stp/>
        <stp>BDP|3220515769915778185</stp>
        <tr r="G216" s="2"/>
      </tp>
      <tp t="s">
        <v>#N/A N/A</v>
        <stp/>
        <stp>BDP|9950642879309296531</stp>
        <tr r="E22" s="2"/>
      </tp>
      <tp t="s">
        <v>#N/A N/A</v>
        <stp/>
        <stp>BDS|6325259746234039055</stp>
        <tr r="I1767" s="2"/>
      </tp>
      <tp t="s">
        <v>#N/A N/A</v>
        <stp/>
        <stp>BDP|3548930292290695770</stp>
        <tr r="M1610" s="2"/>
      </tp>
      <tp t="s">
        <v>#N/A N/A</v>
        <stp/>
        <stp>BDP|2171805411079193644</stp>
        <tr r="C733" s="2"/>
      </tp>
      <tp t="s">
        <v>#N/A N/A</v>
        <stp/>
        <stp>BDP|3213111103573138549</stp>
        <tr r="M214" s="2"/>
      </tp>
      <tp t="s">
        <v>#N/A N/A</v>
        <stp/>
        <stp>BDP|9142370083920365635</stp>
        <tr r="T1357" s="2"/>
      </tp>
      <tp t="s">
        <v>#N/A N/A</v>
        <stp/>
        <stp>BDP|3043651544396109358</stp>
        <tr r="J205" s="2"/>
      </tp>
      <tp t="s">
        <v>#N/A N/A</v>
        <stp/>
        <stp>BDP|3087101160727762726</stp>
        <tr r="O1565" s="2"/>
      </tp>
      <tp t="s">
        <v>#N/A N/A</v>
        <stp/>
        <stp>BDP|5393313537250651163</stp>
        <tr r="R874" s="2"/>
      </tp>
      <tp t="s">
        <v>#N/A N/A</v>
        <stp/>
        <stp>BDP|4191363720012204304</stp>
        <tr r="T546" s="2"/>
      </tp>
      <tp t="s">
        <v>#N/A N/A</v>
        <stp/>
        <stp>BDP|6231005725901645145</stp>
        <tr r="E731" s="2"/>
      </tp>
      <tp t="s">
        <v>#N/A N/A</v>
        <stp/>
        <stp>BDP|6025332204760537175</stp>
        <tr r="K709" s="2"/>
      </tp>
      <tp t="s">
        <v>#N/A N/A</v>
        <stp/>
        <stp>BDP|5457136457282206770</stp>
        <tr r="T292" s="2"/>
      </tp>
      <tp t="s">
        <v>#N/A N/A</v>
        <stp/>
        <stp>BDP|8496545781159289864</stp>
        <tr r="G203" s="2"/>
      </tp>
      <tp t="s">
        <v>#N/A N/A</v>
        <stp/>
        <stp>BDP|5227420085394956995</stp>
        <tr r="C1958" s="2"/>
      </tp>
      <tp t="s">
        <v>#N/A N/A</v>
        <stp/>
        <stp>BDP|1204933150930623928</stp>
        <tr r="M392" s="2"/>
      </tp>
      <tp t="s">
        <v>#N/A N/A</v>
        <stp/>
        <stp>BDP|2240665420575271733</stp>
        <tr r="N2067" s="2"/>
      </tp>
      <tp t="s">
        <v>#N/A N/A</v>
        <stp/>
        <stp>BDP|9193449717018476037</stp>
        <tr r="P922" s="2"/>
      </tp>
      <tp t="s">
        <v>#N/A N/A</v>
        <stp/>
        <stp>BDP|4363446842013895389</stp>
        <tr r="T1215" s="2"/>
      </tp>
      <tp t="s">
        <v>#N/A N/A</v>
        <stp/>
        <stp>BDP|6919375085521614880</stp>
        <tr r="D236" s="2"/>
      </tp>
      <tp t="s">
        <v>#N/A N/A</v>
        <stp/>
        <stp>BDP|5467959737938748342</stp>
        <tr r="T1829" s="2"/>
      </tp>
      <tp t="s">
        <v>#N/A N/A</v>
        <stp/>
        <stp>BDP|8002756383800795344</stp>
        <tr r="R1331" s="2"/>
      </tp>
      <tp t="s">
        <v>#N/A N/A</v>
        <stp/>
        <stp>BDP|1390740611537187427</stp>
        <tr r="P2146" s="2"/>
      </tp>
      <tp t="s">
        <v>#N/A N/A</v>
        <stp/>
        <stp>BDP|4802242544021456794</stp>
        <tr r="H567" s="2"/>
      </tp>
      <tp t="s">
        <v>#N/A N/A</v>
        <stp/>
        <stp>BDP|3383920882834366255</stp>
        <tr r="C389" s="2"/>
      </tp>
      <tp t="s">
        <v>#N/A N/A</v>
        <stp/>
        <stp>BDS|5671357834250414163</stp>
        <tr r="I1496" s="2"/>
      </tp>
      <tp t="s">
        <v>#N/A N/A</v>
        <stp/>
        <stp>BDP|1239457317171717127</stp>
        <tr r="N1683" s="2"/>
      </tp>
      <tp t="s">
        <v>#N/A N/A</v>
        <stp/>
        <stp>BDP|5448152884889942199</stp>
        <tr r="T960" s="2"/>
      </tp>
      <tp t="s">
        <v>#N/A N/A</v>
        <stp/>
        <stp>BDP|6441052127459412971</stp>
        <tr r="T322" s="2"/>
      </tp>
      <tp t="s">
        <v>#N/A N/A</v>
        <stp/>
        <stp>BDP|5621784859606078525</stp>
        <tr r="D512" s="2"/>
      </tp>
      <tp t="s">
        <v>#N/A N/A</v>
        <stp/>
        <stp>BDP|9559647890185631722</stp>
        <tr r="F373" s="2"/>
      </tp>
      <tp t="s">
        <v>#N/A N/A</v>
        <stp/>
        <stp>BDP|5920296242300249751</stp>
        <tr r="F779" s="2"/>
      </tp>
      <tp t="s">
        <v>#N/A N/A</v>
        <stp/>
        <stp>BDP|3379646890318174030</stp>
        <tr r="H339" s="2"/>
      </tp>
      <tp t="s">
        <v>#N/A N/A</v>
        <stp/>
        <stp>BDP|5898708439762428701</stp>
        <tr r="O747" s="2"/>
      </tp>
      <tp t="s">
        <v>#N/A N/A</v>
        <stp/>
        <stp>BDP|9033735529620667893</stp>
        <tr r="A516" s="2"/>
      </tp>
      <tp t="s">
        <v>#N/A N/A</v>
        <stp/>
        <stp>BDP|1610123943632596278</stp>
        <tr r="D1045" s="2"/>
      </tp>
      <tp t="s">
        <v>#N/A N/A</v>
        <stp/>
        <stp>BDP|4145277426544028451</stp>
        <tr r="N2229" s="2"/>
      </tp>
      <tp t="s">
        <v>#N/A N/A</v>
        <stp/>
        <stp>BDS|2899141269872861380</stp>
        <tr r="I137" s="2"/>
      </tp>
      <tp t="s">
        <v>#N/A N/A</v>
        <stp/>
        <stp>BDP|7857185844071757760</stp>
        <tr r="C722" s="2"/>
      </tp>
      <tp t="s">
        <v>#N/A N/A</v>
        <stp/>
        <stp>BDP|6555362885139736040</stp>
        <tr r="E185" s="2"/>
      </tp>
      <tp t="s">
        <v>#N/A N/A</v>
        <stp/>
        <stp>BDP|3252544124787070774</stp>
        <tr r="E1688" s="2"/>
      </tp>
      <tp t="s">
        <v>#N/A N/A</v>
        <stp/>
        <stp>BDP|3795545633188390961</stp>
        <tr r="A589" s="2"/>
      </tp>
      <tp t="s">
        <v>#N/A N/A</v>
        <stp/>
        <stp>BDP|4058657300467756176</stp>
        <tr r="R1834" s="2"/>
      </tp>
      <tp t="s">
        <v>#N/A N/A</v>
        <stp/>
        <stp>BDP|6635316172577778172</stp>
        <tr r="G2144" s="2"/>
      </tp>
      <tp t="s">
        <v>#N/A N/A</v>
        <stp/>
        <stp>BDP|6532665041230216051</stp>
        <tr r="H1932" s="2"/>
      </tp>
      <tp t="s">
        <v>#N/A N/A</v>
        <stp/>
        <stp>BDP|7158255941466240324</stp>
        <tr r="O2147" s="2"/>
      </tp>
      <tp t="s">
        <v>#N/A N/A</v>
        <stp/>
        <stp>BDP|2665368271916167455</stp>
        <tr r="A1803" s="2"/>
      </tp>
      <tp t="s">
        <v>#N/A N/A</v>
        <stp/>
        <stp>BDP|8670232381396767064</stp>
        <tr r="C1810" s="2"/>
      </tp>
      <tp t="s">
        <v>#N/A N/A</v>
        <stp/>
        <stp>BDP|3386008979014661492</stp>
        <tr r="H1128" s="2"/>
      </tp>
      <tp t="s">
        <v>#N/A N/A</v>
        <stp/>
        <stp>BDP|8029542198677916703</stp>
        <tr r="K1001" s="2"/>
      </tp>
      <tp t="s">
        <v>#N/A N/A</v>
        <stp/>
        <stp>BDP|3745911653108055306</stp>
        <tr r="J1392" s="2"/>
      </tp>
      <tp t="s">
        <v>#N/A N/A</v>
        <stp/>
        <stp>BDP|4172203211835425619</stp>
        <tr r="K76" s="2"/>
      </tp>
      <tp t="s">
        <v>#N/A N/A</v>
        <stp/>
        <stp>BDP|6767047055721092638</stp>
        <tr r="R1039" s="2"/>
      </tp>
      <tp t="s">
        <v>#N/A N/A</v>
        <stp/>
        <stp>BDP|6646426261361042102</stp>
        <tr r="C1908" s="2"/>
      </tp>
      <tp t="s">
        <v>#N/A N/A</v>
        <stp/>
        <stp>BDP|7264273248416006386</stp>
        <tr r="Q1791" s="2"/>
      </tp>
      <tp t="s">
        <v>#N/A N/A</v>
        <stp/>
        <stp>BDP|7905544838681974492</stp>
        <tr r="R184" s="2"/>
      </tp>
      <tp t="s">
        <v>#N/A N/A</v>
        <stp/>
        <stp>BDS|1110952120886678878</stp>
        <tr r="I2161" s="2"/>
      </tp>
      <tp t="s">
        <v>#N/A N/A</v>
        <stp/>
        <stp>BDP|9837993881759793529</stp>
        <tr r="R273" s="2"/>
      </tp>
      <tp t="s">
        <v>#N/A N/A</v>
        <stp/>
        <stp>BDP|2656395896658551494</stp>
        <tr r="J1085" s="2"/>
      </tp>
      <tp t="s">
        <v>#N/A N/A</v>
        <stp/>
        <stp>BDP|2686359966525779675</stp>
        <tr r="P233" s="2"/>
      </tp>
      <tp t="s">
        <v>#N/A N/A</v>
        <stp/>
        <stp>BDP|2598742805469010818</stp>
        <tr r="C1484" s="2"/>
      </tp>
      <tp t="s">
        <v>#N/A N/A</v>
        <stp/>
        <stp>BDP|1301371763107534775</stp>
        <tr r="C118" s="2"/>
      </tp>
      <tp t="s">
        <v>#N/A N/A</v>
        <stp/>
        <stp>BDP|6314375796438532025</stp>
        <tr r="R1422" s="2"/>
      </tp>
      <tp t="s">
        <v>#N/A N/A</v>
        <stp/>
        <stp>BDP|4408284656370640795</stp>
        <tr r="Q2094" s="2"/>
      </tp>
      <tp t="s">
        <v>#N/A N/A</v>
        <stp/>
        <stp>BDP|4536485917873991661</stp>
        <tr r="C2127" s="2"/>
      </tp>
      <tp t="s">
        <v>#N/A N/A</v>
        <stp/>
        <stp>BDP|8963614199592532112</stp>
        <tr r="E64" s="2"/>
      </tp>
      <tp t="s">
        <v>#N/A N/A</v>
        <stp/>
        <stp>BDP|6692233704766974723</stp>
        <tr r="M1660" s="2"/>
      </tp>
      <tp t="s">
        <v>#N/A N/A</v>
        <stp/>
        <stp>BDP|4439609118717419125</stp>
        <tr r="H1676" s="2"/>
      </tp>
      <tp t="s">
        <v>#N/A N/A</v>
        <stp/>
        <stp>BDP|3713280405912442644</stp>
        <tr r="T1464" s="2"/>
      </tp>
      <tp t="s">
        <v>#N/A N/A</v>
        <stp/>
        <stp>BDP|6685917443028764691</stp>
        <tr r="C2206" s="2"/>
      </tp>
      <tp t="s">
        <v>#N/A N/A</v>
        <stp/>
        <stp>BDP|6883447702343538417</stp>
        <tr r="A1371" s="2"/>
      </tp>
      <tp t="s">
        <v>#N/A N/A</v>
        <stp/>
        <stp>BDP|7488044109911582365</stp>
        <tr r="G540" s="2"/>
      </tp>
      <tp t="s">
        <v>#N/A N/A</v>
        <stp/>
        <stp>BDP|9086047369338071270</stp>
        <tr r="E209" s="2"/>
      </tp>
      <tp t="s">
        <v>#N/A N/A</v>
        <stp/>
        <stp>BDP|1773500221735482683</stp>
        <tr r="M1831" s="2"/>
      </tp>
      <tp t="s">
        <v>#N/A N/A</v>
        <stp/>
        <stp>BDP|8046596442044796860</stp>
        <tr r="P1693" s="2"/>
      </tp>
      <tp t="s">
        <v>#N/A N/A</v>
        <stp/>
        <stp>BDP|4053723279032683375</stp>
        <tr r="E261" s="2"/>
      </tp>
      <tp t="s">
        <v>#N/A N/A</v>
        <stp/>
        <stp>BDP|3800354700430736508</stp>
        <tr r="D425" s="2"/>
      </tp>
      <tp t="s">
        <v>#N/A N/A</v>
        <stp/>
        <stp>BDP|4189667051743532190</stp>
        <tr r="H461" s="2"/>
      </tp>
      <tp t="s">
        <v>#N/A N/A</v>
        <stp/>
        <stp>BDS|1999163199509813546</stp>
        <tr r="I819" s="2"/>
      </tp>
      <tp t="s">
        <v>#N/A N/A</v>
        <stp/>
        <stp>BDP|7956715355994249457</stp>
        <tr r="S605" s="2"/>
      </tp>
      <tp t="s">
        <v>#N/A N/A</v>
        <stp/>
        <stp>BDP|6485358553563990616</stp>
        <tr r="H2063" s="2"/>
      </tp>
      <tp t="s">
        <v>#N/A N/A</v>
        <stp/>
        <stp>BDP|7176069818597571406</stp>
        <tr r="M116" s="2"/>
      </tp>
      <tp t="s">
        <v>#N/A N/A</v>
        <stp/>
        <stp>BDP|2331670311948764886</stp>
        <tr r="O990" s="2"/>
      </tp>
      <tp t="s">
        <v>#N/A N/A</v>
        <stp/>
        <stp>BDP|8034998150776770741</stp>
        <tr r="S431" s="2"/>
      </tp>
      <tp t="s">
        <v>#N/A N/A</v>
        <stp/>
        <stp>BDP|7373340958971234577</stp>
        <tr r="K212" s="2"/>
      </tp>
      <tp t="s">
        <v>#N/A N/A</v>
        <stp/>
        <stp>BDS|9983947552796066657</stp>
        <tr r="I2017" s="2"/>
      </tp>
      <tp t="s">
        <v>#N/A N/A</v>
        <stp/>
        <stp>BDP|1006079158556168740</stp>
        <tr r="M1867" s="2"/>
      </tp>
      <tp t="s">
        <v>#N/A N/A</v>
        <stp/>
        <stp>BDP|2544348560270263295</stp>
        <tr r="P560" s="2"/>
      </tp>
      <tp t="s">
        <v>#N/A N/A</v>
        <stp/>
        <stp>BDP|6210205929285136608</stp>
        <tr r="M1558" s="2"/>
      </tp>
      <tp t="s">
        <v>#N/A N/A</v>
        <stp/>
        <stp>BDP|6964504053915144612</stp>
        <tr r="P1959" s="2"/>
      </tp>
      <tp t="s">
        <v>#N/A N/A</v>
        <stp/>
        <stp>BDP|3834531711871532355</stp>
        <tr r="H1619" s="2"/>
      </tp>
      <tp t="s">
        <v>#N/A N/A</v>
        <stp/>
        <stp>BDP|2820771959190560598</stp>
        <tr r="A1880" s="2"/>
      </tp>
      <tp t="s">
        <v>#N/A N/A</v>
        <stp/>
        <stp>BDP|4897778268364980446</stp>
        <tr r="M1283" s="2"/>
      </tp>
      <tp t="s">
        <v>#N/A N/A</v>
        <stp/>
        <stp>BDP|9975600927419691126</stp>
        <tr r="R1099" s="2"/>
      </tp>
      <tp t="s">
        <v>#N/A N/A</v>
        <stp/>
        <stp>BDP|8923647984756760548</stp>
        <tr r="C864" s="2"/>
      </tp>
      <tp t="s">
        <v>#N/A N/A</v>
        <stp/>
        <stp>BDP|4111720706433782582</stp>
        <tr r="H523" s="2"/>
      </tp>
      <tp t="s">
        <v>#N/A N/A</v>
        <stp/>
        <stp>BDP|3037129279635306523</stp>
        <tr r="G2050" s="2"/>
      </tp>
      <tp t="s">
        <v>#N/A N/A</v>
        <stp/>
        <stp>BDP|1212300728094871189</stp>
        <tr r="M347" s="2"/>
      </tp>
      <tp t="s">
        <v>#N/A N/A</v>
        <stp/>
        <stp>BDP|5093330148193444453</stp>
        <tr r="P1809" s="2"/>
      </tp>
      <tp t="s">
        <v>#N/A N/A</v>
        <stp/>
        <stp>BDS|4532449370670358284</stp>
        <tr r="I365" s="2"/>
      </tp>
      <tp t="s">
        <v>#N/A N/A</v>
        <stp/>
        <stp>BDP|4884659164988026934</stp>
        <tr r="R1621" s="2"/>
      </tp>
      <tp t="s">
        <v>#N/A N/A</v>
        <stp/>
        <stp>BDP|6885132505320686220</stp>
        <tr r="N2225" s="2"/>
      </tp>
      <tp t="s">
        <v>#N/A N/A</v>
        <stp/>
        <stp>BDP|5144658938595701018</stp>
        <tr r="A2048" s="2"/>
      </tp>
      <tp t="s">
        <v>#N/A N/A</v>
        <stp/>
        <stp>BDP|7765837704302235880</stp>
        <tr r="A172" s="2"/>
      </tp>
      <tp t="s">
        <v>#N/A N/A</v>
        <stp/>
        <stp>BDP|7124080666160306462</stp>
        <tr r="E1969" s="2"/>
      </tp>
      <tp t="s">
        <v>#N/A N/A</v>
        <stp/>
        <stp>BDS|5373255604490061282</stp>
        <tr r="I98" s="2"/>
      </tp>
      <tp t="s">
        <v>#N/A N/A</v>
        <stp/>
        <stp>BDP|8586005407818808504</stp>
        <tr r="Q1543" s="2"/>
      </tp>
      <tp t="s">
        <v>#N/A N/A</v>
        <stp/>
        <stp>BDS|3699389097215379906</stp>
        <tr r="I1854" s="2"/>
      </tp>
      <tp t="s">
        <v>#N/A N/A</v>
        <stp/>
        <stp>BDP|5539008559221017468</stp>
        <tr r="D892" s="2"/>
      </tp>
      <tp t="s">
        <v>#N/A N/A</v>
        <stp/>
        <stp>BDP|7853127220893293223</stp>
        <tr r="S821" s="2"/>
      </tp>
      <tp t="s">
        <v>#N/A N/A</v>
        <stp/>
        <stp>BDP|6775398681239367168</stp>
        <tr r="G2024" s="2"/>
      </tp>
      <tp t="s">
        <v>#N/A N/A</v>
        <stp/>
        <stp>BDP|7217096532022427376</stp>
        <tr r="D1681" s="2"/>
      </tp>
      <tp t="s">
        <v>#N/A N/A</v>
        <stp/>
        <stp>BDP|5275481249344823414</stp>
        <tr r="A1165" s="2"/>
      </tp>
      <tp t="s">
        <v>#N/A N/A</v>
        <stp/>
        <stp>BDP|2955174138131538490</stp>
        <tr r="T351" s="2"/>
      </tp>
      <tp t="s">
        <v>#N/A N/A</v>
        <stp/>
        <stp>BDS|6325566713157848041</stp>
        <tr r="I1167" s="2"/>
      </tp>
      <tp t="s">
        <v>#N/A N/A</v>
        <stp/>
        <stp>BDP|4835838386653017279</stp>
        <tr r="G248" s="2"/>
      </tp>
      <tp t="s">
        <v>#N/A N/A</v>
        <stp/>
        <stp>BDP|9003928066977960472</stp>
        <tr r="P551" s="2"/>
      </tp>
      <tp t="s">
        <v>#N/A N/A</v>
        <stp/>
        <stp>BDP|2145382070330053335</stp>
        <tr r="K608" s="2"/>
      </tp>
      <tp t="s">
        <v>#N/A N/A</v>
        <stp/>
        <stp>BDP|4405763164158567891</stp>
        <tr r="K1947" s="2"/>
      </tp>
      <tp t="s">
        <v>#N/A N/A</v>
        <stp/>
        <stp>BDP|7325602063065863723</stp>
        <tr r="N1532" s="2"/>
      </tp>
      <tp t="s">
        <v>#N/A N/A</v>
        <stp/>
        <stp>BDP|4472379725582460288</stp>
        <tr r="G388" s="2"/>
      </tp>
      <tp t="s">
        <v>#N/A N/A</v>
        <stp/>
        <stp>BDS|8477802251393864376</stp>
        <tr r="I2167" s="2"/>
      </tp>
      <tp t="s">
        <v>#N/A N/A</v>
        <stp/>
        <stp>BDP|7564570976693770393</stp>
        <tr r="R885" s="2"/>
      </tp>
      <tp t="s">
        <v>#N/A N/A</v>
        <stp/>
        <stp>BDP|6336661442612555385</stp>
        <tr r="Q499" s="2"/>
      </tp>
      <tp t="s">
        <v>#N/A N/A</v>
        <stp/>
        <stp>BDS|6381275577940017692</stp>
        <tr r="I989" s="2"/>
      </tp>
      <tp t="s">
        <v>#N/A N/A</v>
        <stp/>
        <stp>BDP|4839175103619329956</stp>
        <tr r="N1849" s="2"/>
      </tp>
      <tp t="s">
        <v>#N/A N/A</v>
        <stp/>
        <stp>BDP|5136727348030366326</stp>
        <tr r="A497" s="2"/>
      </tp>
      <tp t="s">
        <v>#N/A N/A</v>
        <stp/>
        <stp>BDP|4915660640590638333</stp>
        <tr r="T1778" s="2"/>
      </tp>
      <tp t="s">
        <v>#N/A N/A</v>
        <stp/>
        <stp>BDP|6899169863471129562</stp>
        <tr r="O1334" s="2"/>
      </tp>
      <tp t="s">
        <v>#N/A N/A</v>
        <stp/>
        <stp>BDP|4918042968013918466</stp>
        <tr r="A941" s="2"/>
      </tp>
      <tp t="s">
        <v>#N/A N/A</v>
        <stp/>
        <stp>BDP|4044276903246733597</stp>
        <tr r="M1799" s="2"/>
      </tp>
      <tp t="s">
        <v>#N/A N/A</v>
        <stp/>
        <stp>BDP|9434981896505966995</stp>
        <tr r="F1038" s="2"/>
      </tp>
      <tp t="s">
        <v>#N/A N/A</v>
        <stp/>
        <stp>BDP|1320494129652022095</stp>
        <tr r="N1627" s="2"/>
      </tp>
      <tp t="s">
        <v>#N/A N/A</v>
        <stp/>
        <stp>BDP|4106185901711578172</stp>
        <tr r="K280" s="2"/>
      </tp>
      <tp t="s">
        <v>#N/A N/A</v>
        <stp/>
        <stp>BDP|1540301139553723715</stp>
        <tr r="T1164" s="2"/>
      </tp>
      <tp t="s">
        <v>#N/A N/A</v>
        <stp/>
        <stp>BDP|2670225752585533593</stp>
        <tr r="M1396" s="2"/>
      </tp>
      <tp t="s">
        <v>#N/A N/A</v>
        <stp/>
        <stp>BDP|3995641866860977680</stp>
        <tr r="K2001" s="2"/>
      </tp>
      <tp t="s">
        <v>#N/A N/A</v>
        <stp/>
        <stp>BDP|6411896201803297840</stp>
        <tr r="P1956" s="2"/>
      </tp>
      <tp t="s">
        <v>#N/A N/A</v>
        <stp/>
        <stp>BDP|4968139867214291252</stp>
        <tr r="K409" s="2"/>
      </tp>
      <tp t="s">
        <v>#N/A N/A</v>
        <stp/>
        <stp>BDP|8295352963948739097</stp>
        <tr r="G1434" s="2"/>
      </tp>
      <tp t="s">
        <v>#N/A N/A</v>
        <stp/>
        <stp>BDP|1414896607298751476</stp>
        <tr r="A1593" s="2"/>
      </tp>
      <tp t="s">
        <v>#N/A N/A</v>
        <stp/>
        <stp>BDP|3867929627184077960</stp>
        <tr r="G145" s="2"/>
      </tp>
      <tp t="s">
        <v>#N/A N/A</v>
        <stp/>
        <stp>BDP|7668199864102569751</stp>
        <tr r="G1526" s="2"/>
      </tp>
      <tp t="s">
        <v>#N/A N/A</v>
        <stp/>
        <stp>BDP|3754307904674841109</stp>
        <tr r="N2057" s="2"/>
      </tp>
      <tp t="s">
        <v>#N/A N/A</v>
        <stp/>
        <stp>BDP|1651474845172799681</stp>
        <tr r="D1133" s="2"/>
      </tp>
      <tp t="s">
        <v>#N/A N/A</v>
        <stp/>
        <stp>BDP|8784475448478377506</stp>
        <tr r="K2247" s="2"/>
      </tp>
      <tp t="s">
        <v>#N/A N/A</v>
        <stp/>
        <stp>BDP|5785098903967508731</stp>
        <tr r="K1888" s="2"/>
      </tp>
      <tp t="s">
        <v>#N/A N/A</v>
        <stp/>
        <stp>BDP|6901931992920437373</stp>
        <tr r="T1135" s="2"/>
      </tp>
      <tp t="s">
        <v>#N/A N/A</v>
        <stp/>
        <stp>BDS|4914038681170928991</stp>
        <tr r="I1787" s="2"/>
      </tp>
      <tp t="s">
        <v>#N/A N/A</v>
        <stp/>
        <stp>BDP|1306005609996421256</stp>
        <tr r="J1013" s="2"/>
      </tp>
      <tp t="s">
        <v>#N/A N/A</v>
        <stp/>
        <stp>BDP|7166114765912708793</stp>
        <tr r="A1451" s="2"/>
      </tp>
      <tp t="s">
        <v>#N/A N/A</v>
        <stp/>
        <stp>BDP|3714272521960960637</stp>
        <tr r="N443" s="2"/>
      </tp>
      <tp t="s">
        <v>#N/A N/A</v>
        <stp/>
        <stp>BDP|4460780937272299726</stp>
        <tr r="F1741" s="2"/>
      </tp>
      <tp t="s">
        <v>#N/A N/A</v>
        <stp/>
        <stp>BDS|8247934708840593479</stp>
        <tr r="I1486" s="2"/>
      </tp>
      <tp t="s">
        <v>#N/A N/A</v>
        <stp/>
        <stp>BDP|3894949033554390877</stp>
        <tr r="O1576" s="2"/>
      </tp>
      <tp t="s">
        <v>#N/A N/A</v>
        <stp/>
        <stp>BDP|6042796531896543165</stp>
        <tr r="J1855" s="2"/>
      </tp>
      <tp t="s">
        <v>#N/A N/A</v>
        <stp/>
        <stp>BDP|1786774232797857715</stp>
        <tr r="E564" s="2"/>
      </tp>
      <tp t="s">
        <v>#N/A N/A</v>
        <stp/>
        <stp>BDP|1297007569146125417</stp>
        <tr r="P1146" s="2"/>
      </tp>
      <tp t="s">
        <v>#N/A N/A</v>
        <stp/>
        <stp>BDP|8875222736965067970</stp>
        <tr r="F522" s="2"/>
      </tp>
      <tp t="s">
        <v>#N/A N/A</v>
        <stp/>
        <stp>BDS|2744086394436399836</stp>
        <tr r="I1095" s="2"/>
      </tp>
      <tp t="s">
        <v>#N/A N/A</v>
        <stp/>
        <stp>BDP|2886663324972664179</stp>
        <tr r="A1597" s="2"/>
      </tp>
      <tp t="s">
        <v>#N/A N/A</v>
        <stp/>
        <stp>BDP|1204280294959241670</stp>
        <tr r="E1294" s="2"/>
      </tp>
      <tp t="s">
        <v>#N/A N/A</v>
        <stp/>
        <stp>BDP|4649283355533165519</stp>
        <tr r="R1693" s="2"/>
      </tp>
      <tp t="s">
        <v>#N/A N/A</v>
        <stp/>
        <stp>BDP|6685345088619249132</stp>
        <tr r="J1791" s="2"/>
      </tp>
      <tp t="s">
        <v>#N/A N/A</v>
        <stp/>
        <stp>BDS|2153495373217958399</stp>
        <tr r="I510" s="2"/>
      </tp>
      <tp t="s">
        <v>#N/A N/A</v>
        <stp/>
        <stp>BDP|3092885737765738835</stp>
        <tr r="Q856" s="2"/>
      </tp>
      <tp t="s">
        <v>#N/A N/A</v>
        <stp/>
        <stp>BDP|1460565700970800116</stp>
        <tr r="M917" s="2"/>
      </tp>
      <tp t="s">
        <v>#N/A N/A</v>
        <stp/>
        <stp>BDP|8746399085153822582</stp>
        <tr r="D2176" s="2"/>
      </tp>
      <tp t="s">
        <v>#N/A N/A</v>
        <stp/>
        <stp>BDP|3606853624334966859</stp>
        <tr r="E308" s="2"/>
      </tp>
      <tp t="s">
        <v>#N/A N/A</v>
        <stp/>
        <stp>BDP|2187584300694537676</stp>
        <tr r="F587" s="2"/>
      </tp>
      <tp t="s">
        <v>#N/A N/A</v>
        <stp/>
        <stp>BDP|3937019596679261674</stp>
        <tr r="S1115" s="2"/>
      </tp>
      <tp t="s">
        <v>#N/A N/A</v>
        <stp/>
        <stp>BDP|7903318546103522605</stp>
        <tr r="Q272" s="2"/>
      </tp>
      <tp t="s">
        <v>#N/A N/A</v>
        <stp/>
        <stp>BDP|9160536683017982636</stp>
        <tr r="N538" s="2"/>
      </tp>
      <tp t="s">
        <v>#N/A N/A</v>
        <stp/>
        <stp>BDP|4552236078845607135</stp>
        <tr r="M807" s="2"/>
      </tp>
      <tp t="s">
        <v>#N/A N/A</v>
        <stp/>
        <stp>BDP|2006899883023140403</stp>
        <tr r="H2057" s="2"/>
      </tp>
      <tp t="s">
        <v>#N/A N/A</v>
        <stp/>
        <stp>BDP|3592705459281662516</stp>
        <tr r="D1480" s="2"/>
      </tp>
      <tp t="s">
        <v>#N/A N/A</v>
        <stp/>
        <stp>BDP|1284602431669038881</stp>
        <tr r="O2168" s="2"/>
      </tp>
      <tp t="s">
        <v>#N/A N/A</v>
        <stp/>
        <stp>BDP|3862471815845465657</stp>
        <tr r="S495" s="2"/>
      </tp>
      <tp t="s">
        <v>#N/A N/A</v>
        <stp/>
        <stp>BDP|6230092542141515670</stp>
        <tr r="J80" s="2"/>
      </tp>
      <tp t="s">
        <v>#N/A N/A</v>
        <stp/>
        <stp>BDP|1813022247404414427</stp>
        <tr r="A433" s="2"/>
      </tp>
      <tp t="s">
        <v>#N/A N/A</v>
        <stp/>
        <stp>BDP|5932981096340493089</stp>
        <tr r="S226" s="2"/>
      </tp>
      <tp t="s">
        <v>#N/A N/A</v>
        <stp/>
        <stp>BDP|1939195984494748987</stp>
        <tr r="K788" s="2"/>
      </tp>
      <tp t="s">
        <v>#N/A N/A</v>
        <stp/>
        <stp>BDP|4426173818427724676</stp>
        <tr r="O2253" s="2"/>
      </tp>
      <tp t="s">
        <v>#N/A N/A</v>
        <stp/>
        <stp>BDP|2391090234887431313</stp>
        <tr r="P480" s="2"/>
      </tp>
      <tp t="s">
        <v>#N/A N/A</v>
        <stp/>
        <stp>BDP|9995670515392098903</stp>
        <tr r="C586" s="2"/>
      </tp>
      <tp t="s">
        <v>#N/A N/A</v>
        <stp/>
        <stp>BDP|8562185866982991893</stp>
        <tr r="G22" s="2"/>
      </tp>
      <tp t="s">
        <v>#N/A N/A</v>
        <stp/>
        <stp>BDP|2167388247710798020</stp>
        <tr r="S66" s="2"/>
      </tp>
      <tp t="s">
        <v>#N/A N/A</v>
        <stp/>
        <stp>BDP|2228418258431174719</stp>
        <tr r="P1284" s="2"/>
      </tp>
      <tp t="s">
        <v>#N/A N/A</v>
        <stp/>
        <stp>BDP|6310702883145333981</stp>
        <tr r="K2180" s="2"/>
      </tp>
      <tp t="s">
        <v>#N/A N/A</v>
        <stp/>
        <stp>BDP|2847517324299614900</stp>
        <tr r="N32" s="2"/>
      </tp>
      <tp t="s">
        <v>#N/A N/A</v>
        <stp/>
        <stp>BDP|8316740574594803904</stp>
        <tr r="A1370" s="2"/>
      </tp>
      <tp t="s">
        <v>#N/A N/A</v>
        <stp/>
        <stp>BDP|1736687042481124772</stp>
        <tr r="P1725" s="2"/>
      </tp>
      <tp t="s">
        <v>#N/A N/A</v>
        <stp/>
        <stp>BDP|3212506808794969786</stp>
        <tr r="A1786" s="2"/>
      </tp>
      <tp t="s">
        <v>#N/A N/A</v>
        <stp/>
        <stp>BDP|2578095778192637293</stp>
        <tr r="R863" s="2"/>
      </tp>
      <tp t="s">
        <v>#N/A N/A</v>
        <stp/>
        <stp>BDP|7421598531995141164</stp>
        <tr r="H1859" s="2"/>
      </tp>
      <tp t="s">
        <v>#N/A N/A</v>
        <stp/>
        <stp>BDS|7208059908195006748</stp>
        <tr r="I733" s="2"/>
      </tp>
      <tp t="s">
        <v>#N/A N/A</v>
        <stp/>
        <stp>BDS|4808520102232005632</stp>
        <tr r="I1945" s="2"/>
      </tp>
      <tp t="s">
        <v>#N/A N/A</v>
        <stp/>
        <stp>BDS|8182788071859288410</stp>
        <tr r="I1435" s="2"/>
      </tp>
      <tp t="s">
        <v>#N/A N/A</v>
        <stp/>
        <stp>BDP|6908821607313329842</stp>
        <tr r="S203" s="2"/>
      </tp>
      <tp t="s">
        <v>#N/A N/A</v>
        <stp/>
        <stp>BDP|5300041669645003355</stp>
        <tr r="D949" s="2"/>
      </tp>
      <tp t="s">
        <v>#N/A N/A</v>
        <stp/>
        <stp>BDP|3223987717798481628</stp>
        <tr r="G763" s="2"/>
      </tp>
      <tp t="s">
        <v>#N/A N/A</v>
        <stp/>
        <stp>BDP|6973876172779558521</stp>
        <tr r="T469" s="2"/>
      </tp>
      <tp t="s">
        <v>#N/A N/A</v>
        <stp/>
        <stp>BDP|6038389744862251655</stp>
        <tr r="D1152" s="2"/>
      </tp>
      <tp t="s">
        <v>#N/A N/A</v>
        <stp/>
        <stp>BDP|7266821438928085133</stp>
        <tr r="E487" s="2"/>
      </tp>
      <tp t="s">
        <v>#N/A N/A</v>
        <stp/>
        <stp>BDP|7737345290079863105</stp>
        <tr r="G189" s="2"/>
      </tp>
      <tp t="s">
        <v>#N/A N/A</v>
        <stp/>
        <stp>BDP|5024281307663792139</stp>
        <tr r="R915" s="2"/>
      </tp>
      <tp t="s">
        <v>#N/A N/A</v>
        <stp/>
        <stp>BDP|1043498830910164336</stp>
        <tr r="J1331" s="2"/>
      </tp>
      <tp t="s">
        <v>#N/A N/A</v>
        <stp/>
        <stp>BDP|7953930136949588121</stp>
        <tr r="H2181" s="2"/>
      </tp>
      <tp t="s">
        <v>#N/A N/A</v>
        <stp/>
        <stp>BDP|9072767682284775780</stp>
        <tr r="G55" s="2"/>
      </tp>
      <tp t="s">
        <v>#N/A N/A</v>
        <stp/>
        <stp>BDP|1814693658732027523</stp>
        <tr r="P1267" s="2"/>
      </tp>
      <tp t="s">
        <v>#N/A N/A</v>
        <stp/>
        <stp>BDP|4744504768660149256</stp>
        <tr r="G1926" s="2"/>
      </tp>
      <tp t="s">
        <v>#N/A N/A</v>
        <stp/>
        <stp>BDP|3408343764717955465</stp>
        <tr r="F771" s="2"/>
      </tp>
      <tp t="s">
        <v>#N/A N/A</v>
        <stp/>
        <stp>BDP|4121479207511897420</stp>
        <tr r="C2124" s="2"/>
      </tp>
      <tp t="s">
        <v>#N/A N/A</v>
        <stp/>
        <stp>BDP|2373697110554000412</stp>
        <tr r="F648" s="2"/>
      </tp>
      <tp t="s">
        <v>#N/A N/A</v>
        <stp/>
        <stp>BDP|4484698233723403710</stp>
        <tr r="O1493" s="2"/>
      </tp>
      <tp t="s">
        <v>#N/A N/A</v>
        <stp/>
        <stp>BDS|9361603298381605262</stp>
        <tr r="I616" s="2"/>
      </tp>
      <tp t="s">
        <v>#N/A N/A</v>
        <stp/>
        <stp>BDP|2059348036874861314</stp>
        <tr r="S979" s="2"/>
      </tp>
      <tp t="s">
        <v>#N/A N/A</v>
        <stp/>
        <stp>BDP|4453033806001879027</stp>
        <tr r="C1307" s="2"/>
      </tp>
      <tp t="s">
        <v>#N/A N/A</v>
        <stp/>
        <stp>BDP|6787119075005004087</stp>
        <tr r="P1609" s="2"/>
      </tp>
      <tp t="s">
        <v>#N/A N/A</v>
        <stp/>
        <stp>BDP|1318276166809986901</stp>
        <tr r="R448" s="2"/>
      </tp>
      <tp t="s">
        <v>#N/A N/A</v>
        <stp/>
        <stp>BDP|2539964938874798970</stp>
        <tr r="J1428" s="2"/>
      </tp>
      <tp t="s">
        <v>#N/A N/A</v>
        <stp/>
        <stp>BDP|2249296355712561205</stp>
        <tr r="A1005" s="2"/>
      </tp>
      <tp t="s">
        <v>#N/A N/A</v>
        <stp/>
        <stp>BDP|5424866889247722772</stp>
        <tr r="A744" s="2"/>
      </tp>
      <tp t="s">
        <v>#N/A N/A</v>
        <stp/>
        <stp>BDP|9989721698335887704</stp>
        <tr r="J1433" s="2"/>
      </tp>
      <tp t="s">
        <v>#N/A N/A</v>
        <stp/>
        <stp>BDP|7837748413377750304</stp>
        <tr r="F463" s="2"/>
      </tp>
      <tp t="s">
        <v>#N/A N/A</v>
        <stp/>
        <stp>BDP|6058347819934211573</stp>
        <tr r="P491" s="2"/>
      </tp>
      <tp t="s">
        <v>#N/A N/A</v>
        <stp/>
        <stp>BDP|5186927319609648144</stp>
        <tr r="F759" s="2"/>
      </tp>
      <tp t="s">
        <v>#N/A N/A</v>
        <stp/>
        <stp>BDP|4841687255955922740</stp>
        <tr r="H1020" s="2"/>
      </tp>
      <tp t="s">
        <v>#N/A N/A</v>
        <stp/>
        <stp>BDP|1951402180868367021</stp>
        <tr r="Q1166" s="2"/>
      </tp>
      <tp t="s">
        <v>#N/A N/A</v>
        <stp/>
        <stp>BDS|3007000939983617673</stp>
        <tr r="I669" s="2"/>
      </tp>
      <tp t="s">
        <v>#N/A N/A</v>
        <stp/>
        <stp>BDP|5992574406074422147</stp>
        <tr r="T1148" s="2"/>
      </tp>
      <tp t="s">
        <v>#N/A N/A</v>
        <stp/>
        <stp>BDP|7168995344737345878</stp>
        <tr r="G1462" s="2"/>
      </tp>
      <tp t="s">
        <v>#N/A N/A</v>
        <stp/>
        <stp>BDP|4182811015381425990</stp>
        <tr r="G2226" s="2"/>
      </tp>
      <tp t="s">
        <v>#N/A N/A</v>
        <stp/>
        <stp>BDP|6389537516456863165</stp>
        <tr r="O1250" s="2"/>
      </tp>
      <tp t="s">
        <v>#N/A N/A</v>
        <stp/>
        <stp>BDP|1450848048729397138</stp>
        <tr r="F452" s="2"/>
      </tp>
      <tp t="s">
        <v>#N/A N/A</v>
        <stp/>
        <stp>BDP|7857739233347556151</stp>
        <tr r="Q2191" s="2"/>
      </tp>
      <tp t="s">
        <v>#N/A N/A</v>
        <stp/>
        <stp>BDP|2514394212882272741</stp>
        <tr r="E1522" s="2"/>
      </tp>
      <tp t="s">
        <v>#N/A N/A</v>
        <stp/>
        <stp>BDP|4034882908551886807</stp>
        <tr r="H1584" s="2"/>
      </tp>
      <tp t="s">
        <v>#N/A N/A</v>
        <stp/>
        <stp>BDP|9267793199866378491</stp>
        <tr r="H2035" s="2"/>
      </tp>
      <tp t="s">
        <v>#N/A N/A</v>
        <stp/>
        <stp>BDP|5882630727982126658</stp>
        <tr r="T364" s="2"/>
      </tp>
      <tp t="s">
        <v>#N/A N/A</v>
        <stp/>
        <stp>BDP|1993111048327831602</stp>
        <tr r="K1679" s="2"/>
      </tp>
      <tp t="s">
        <v>#N/A N/A</v>
        <stp/>
        <stp>BDP|1760350473973172382</stp>
        <tr r="T1044" s="2"/>
      </tp>
      <tp t="s">
        <v>#N/A N/A</v>
        <stp/>
        <stp>BDP|5583306476544251094</stp>
        <tr r="N1558" s="2"/>
      </tp>
      <tp t="s">
        <v>#N/A N/A</v>
        <stp/>
        <stp>BDP|2560377859389303808</stp>
        <tr r="D2215" s="2"/>
      </tp>
      <tp t="s">
        <v>#N/A N/A</v>
        <stp/>
        <stp>BDP|3739760468882243532</stp>
        <tr r="P444" s="2"/>
      </tp>
      <tp t="s">
        <v>#N/A N/A</v>
        <stp/>
        <stp>BDP|3671063778718180916</stp>
        <tr r="T1004" s="2"/>
      </tp>
      <tp t="s">
        <v>#N/A N/A</v>
        <stp/>
        <stp>BDP|3754199237296358226</stp>
        <tr r="D1877" s="2"/>
      </tp>
      <tp t="s">
        <v>#N/A N/A</v>
        <stp/>
        <stp>BDP|4266463456569994934</stp>
        <tr r="P1975" s="2"/>
      </tp>
      <tp t="s">
        <v>#N/A N/A</v>
        <stp/>
        <stp>BDP|3557193641092727129</stp>
        <tr r="D1889" s="2"/>
      </tp>
      <tp t="s">
        <v>#N/A N/A</v>
        <stp/>
        <stp>BDP|9084388335415799920</stp>
        <tr r="O517" s="2"/>
      </tp>
      <tp t="s">
        <v>#N/A N/A</v>
        <stp/>
        <stp>BDP|7684736376690257290</stp>
        <tr r="H2028" s="2"/>
      </tp>
      <tp t="s">
        <v>#N/A N/A</v>
        <stp/>
        <stp>BDS|6238261607977279693</stp>
        <tr r="I434" s="2"/>
      </tp>
      <tp t="s">
        <v>#N/A N/A</v>
        <stp/>
        <stp>BDP|6510129362122460693</stp>
        <tr r="O191" s="2"/>
      </tp>
      <tp t="s">
        <v>#N/A N/A</v>
        <stp/>
        <stp>BDP|3351236105186564288</stp>
        <tr r="M395" s="2"/>
      </tp>
      <tp t="s">
        <v>#N/A N/A</v>
        <stp/>
        <stp>BDP|8870280893956903022</stp>
        <tr r="F647" s="2"/>
      </tp>
      <tp t="s">
        <v>#N/A N/A</v>
        <stp/>
        <stp>BDP|2125238563762099198</stp>
        <tr r="M756" s="2"/>
      </tp>
      <tp t="s">
        <v>#N/A N/A</v>
        <stp/>
        <stp>BDP|8336135923768880635</stp>
        <tr r="Q964" s="2"/>
      </tp>
      <tp t="s">
        <v>#N/A N/A</v>
        <stp/>
        <stp>BDP|9332690502989445342</stp>
        <tr r="D656" s="2"/>
      </tp>
      <tp t="s">
        <v>#N/A N/A</v>
        <stp/>
        <stp>BDP|1154514547822847772</stp>
        <tr r="J1060" s="2"/>
      </tp>
      <tp t="s">
        <v>#N/A N/A</v>
        <stp/>
        <stp>BDP|9986831109906273298</stp>
        <tr r="F1629" s="2"/>
      </tp>
      <tp t="s">
        <v>#N/A N/A</v>
        <stp/>
        <stp>BDP|8745989320480108666</stp>
        <tr r="K396" s="2"/>
      </tp>
      <tp t="s">
        <v>#N/A N/A</v>
        <stp/>
        <stp>BDP|9192904317296682288</stp>
        <tr r="J252" s="2"/>
      </tp>
      <tp t="s">
        <v>#N/A N/A</v>
        <stp/>
        <stp>BDS|8543581295084292520</stp>
        <tr r="I211" s="2"/>
      </tp>
      <tp t="s">
        <v>#N/A N/A</v>
        <stp/>
        <stp>BDP|9436053898086072319</stp>
        <tr r="C590" s="2"/>
      </tp>
      <tp t="s">
        <v>#N/A N/A</v>
        <stp/>
        <stp>BDP|6822138694218310347</stp>
        <tr r="K1502" s="2"/>
      </tp>
      <tp t="s">
        <v>#N/A N/A</v>
        <stp/>
        <stp>BDP|7200122671704091092</stp>
        <tr r="T223" s="2"/>
      </tp>
      <tp t="s">
        <v>#N/A N/A</v>
        <stp/>
        <stp>BDP|5071004109955414555</stp>
        <tr r="G1838" s="2"/>
      </tp>
      <tp t="s">
        <v>#N/A N/A</v>
        <stp/>
        <stp>BDP|8876023313169192502</stp>
        <tr r="N1121" s="2"/>
      </tp>
      <tp t="s">
        <v>#N/A N/A</v>
        <stp/>
        <stp>BDP|6969890954758496686</stp>
        <tr r="C1867" s="2"/>
      </tp>
      <tp t="s">
        <v>#N/A N/A</v>
        <stp/>
        <stp>BDP|9457555499042474249</stp>
        <tr r="J1911" s="2"/>
      </tp>
      <tp t="s">
        <v>#N/A N/A</v>
        <stp/>
        <stp>BDP|6876206828161884206</stp>
        <tr r="F747" s="2"/>
      </tp>
      <tp t="s">
        <v>#N/A N/A</v>
        <stp/>
        <stp>BDP|5851355774885730165</stp>
        <tr r="C465" s="2"/>
      </tp>
      <tp t="s">
        <v>#N/A N/A</v>
        <stp/>
        <stp>BDP|9664781876035310938</stp>
        <tr r="J1412" s="2"/>
      </tp>
      <tp t="s">
        <v>#N/A N/A</v>
        <stp/>
        <stp>BDP|1666884079728630397</stp>
        <tr r="O219" s="2"/>
      </tp>
      <tp t="s">
        <v>#N/A N/A</v>
        <stp/>
        <stp>BDS|7874050221260644023</stp>
        <tr r="I1579" s="2"/>
      </tp>
      <tp t="s">
        <v>#N/A N/A</v>
        <stp/>
        <stp>BDP|8486718789763332175</stp>
        <tr r="J607" s="2"/>
      </tp>
      <tp t="s">
        <v>#N/A N/A</v>
        <stp/>
        <stp>BDP|1465115207150914532</stp>
        <tr r="N463" s="2"/>
      </tp>
      <tp t="s">
        <v>#N/A N/A</v>
        <stp/>
        <stp>BDP|2952620516995181545</stp>
        <tr r="O1893" s="2"/>
      </tp>
      <tp t="s">
        <v>#N/A N/A</v>
        <stp/>
        <stp>BDP|3866524675007319342</stp>
        <tr r="Q1481" s="2"/>
      </tp>
      <tp t="s">
        <v>#N/A N/A</v>
        <stp/>
        <stp>BDP|5556285203792104076</stp>
        <tr r="M534" s="2"/>
      </tp>
      <tp t="s">
        <v>#N/A N/A</v>
        <stp/>
        <stp>BDP|7863414844252534002</stp>
        <tr r="E1032" s="2"/>
      </tp>
      <tp t="s">
        <v>#N/A N/A</v>
        <stp/>
        <stp>BDP|7379523609794872384</stp>
        <tr r="Q508" s="2"/>
      </tp>
      <tp t="s">
        <v>#N/A N/A</v>
        <stp/>
        <stp>BDP|6730300729197358557</stp>
        <tr r="D2013" s="2"/>
      </tp>
      <tp t="s">
        <v>#N/A N/A</v>
        <stp/>
        <stp>BDP|7680120036052313299</stp>
        <tr r="T1890" s="2"/>
      </tp>
      <tp t="s">
        <v>#N/A N/A</v>
        <stp/>
        <stp>BDP|5243022053432340786</stp>
        <tr r="P1336" s="2"/>
      </tp>
      <tp t="s">
        <v>#N/A N/A</v>
        <stp/>
        <stp>BDP|4450055729917894480</stp>
        <tr r="C673" s="2"/>
      </tp>
      <tp t="s">
        <v>#N/A N/A</v>
        <stp/>
        <stp>BDP|2619324243645757586</stp>
        <tr r="T1815" s="2"/>
      </tp>
      <tp t="s">
        <v>#N/A N/A</v>
        <stp/>
        <stp>BDP|4053202534463509393</stp>
        <tr r="D2175" s="2"/>
      </tp>
      <tp t="s">
        <v>#N/A N/A</v>
        <stp/>
        <stp>BDP|2974910591453666476</stp>
        <tr r="J1503" s="2"/>
      </tp>
      <tp t="s">
        <v>#N/A N/A</v>
        <stp/>
        <stp>BDP|3870388856466906678</stp>
        <tr r="A245" s="2"/>
      </tp>
      <tp t="s">
        <v>#N/A N/A</v>
        <stp/>
        <stp>BDP|3649664622474811626</stp>
        <tr r="A228" s="2"/>
      </tp>
      <tp t="s">
        <v>#N/A N/A</v>
        <stp/>
        <stp>BDP|2842028874839458923</stp>
        <tr r="K1395" s="2"/>
      </tp>
      <tp t="s">
        <v>#N/A N/A</v>
        <stp/>
        <stp>BDP|2879711626647255557</stp>
        <tr r="S1295" s="2"/>
      </tp>
      <tp t="s">
        <v>#N/A N/A</v>
        <stp/>
        <stp>BDP|3852083362336848623</stp>
        <tr r="G1008" s="2"/>
      </tp>
      <tp t="s">
        <v>#N/A N/A</v>
        <stp/>
        <stp>BDP|7201018668475315108</stp>
        <tr r="H1060" s="2"/>
      </tp>
      <tp t="s">
        <v>#N/A N/A</v>
        <stp/>
        <stp>BDS|1730861594535443095</stp>
        <tr r="I1885" s="2"/>
      </tp>
      <tp t="s">
        <v>#N/A N/A</v>
        <stp/>
        <stp>BDP|2461381879592577180</stp>
        <tr r="S1294" s="2"/>
      </tp>
      <tp t="s">
        <v>#N/A N/A</v>
        <stp/>
        <stp>BDP|7818465486547509954</stp>
        <tr r="K1263" s="2"/>
      </tp>
      <tp t="s">
        <v>#N/A N/A</v>
        <stp/>
        <stp>BDP|5266193666047277077</stp>
        <tr r="N849" s="2"/>
      </tp>
      <tp t="s">
        <v>#N/A N/A</v>
        <stp/>
        <stp>BDP|6599648938540028613</stp>
        <tr r="N2047" s="2"/>
      </tp>
      <tp t="s">
        <v>#N/A N/A</v>
        <stp/>
        <stp>BDP|9157428290036808738</stp>
        <tr r="H157" s="2"/>
      </tp>
      <tp t="s">
        <v>#N/A N/A</v>
        <stp/>
        <stp>BDP|8326884055283707311</stp>
        <tr r="G1996" s="2"/>
      </tp>
      <tp t="s">
        <v>#N/A N/A</v>
        <stp/>
        <stp>BDP|4449388426783590376</stp>
        <tr r="E1574" s="2"/>
      </tp>
      <tp t="s">
        <v>#N/A N/A</v>
        <stp/>
        <stp>BDP|3404408257140254798</stp>
        <tr r="A1093" s="2"/>
      </tp>
      <tp t="s">
        <v>#N/A N/A</v>
        <stp/>
        <stp>BDP|9771230518126776935</stp>
        <tr r="F1612" s="2"/>
      </tp>
      <tp t="s">
        <v>#N/A N/A</v>
        <stp/>
        <stp>BDP|4388298175297642312</stp>
        <tr r="J115" s="2"/>
      </tp>
      <tp t="s">
        <v>#N/A N/A</v>
        <stp/>
        <stp>BDP|4212537214606833357</stp>
        <tr r="P2203" s="2"/>
      </tp>
      <tp t="s">
        <v>#N/A N/A</v>
        <stp/>
        <stp>BDP|1631763975070852451</stp>
        <tr r="D1841" s="2"/>
      </tp>
      <tp t="s">
        <v>#N/A N/A</v>
        <stp/>
        <stp>BDP|8904530235423739803</stp>
        <tr r="R500" s="2"/>
      </tp>
      <tp t="s">
        <v>#N/A N/A</v>
        <stp/>
        <stp>BDP|9817443281221669132</stp>
        <tr r="S373" s="2"/>
      </tp>
      <tp t="s">
        <v>#N/A N/A</v>
        <stp/>
        <stp>BDP|6206002514203736194</stp>
        <tr r="D1999" s="2"/>
      </tp>
      <tp t="s">
        <v>#N/A N/A</v>
        <stp/>
        <stp>BDP|2073984267701106963</stp>
        <tr r="J895" s="2"/>
      </tp>
      <tp t="s">
        <v>#N/A N/A</v>
        <stp/>
        <stp>BDP|2737754300229826920</stp>
        <tr r="A1137" s="2"/>
      </tp>
      <tp t="s">
        <v>#N/A N/A</v>
        <stp/>
        <stp>BDP|6449104214204818704</stp>
        <tr r="J2021" s="2"/>
      </tp>
      <tp t="s">
        <v>#N/A N/A</v>
        <stp/>
        <stp>BDP|5231691157287066441</stp>
        <tr r="R906" s="2"/>
      </tp>
      <tp t="s">
        <v>#N/A N/A</v>
        <stp/>
        <stp>BDP|6309144376571043492</stp>
        <tr r="C1383" s="2"/>
      </tp>
      <tp t="s">
        <v>#N/A N/A</v>
        <stp/>
        <stp>BDP|9414383298366529094</stp>
        <tr r="Q1694" s="2"/>
      </tp>
      <tp t="s">
        <v>#N/A N/A</v>
        <stp/>
        <stp>BDP|4688252873946170292</stp>
        <tr r="F1515" s="2"/>
      </tp>
      <tp t="s">
        <v>#N/A N/A</v>
        <stp/>
        <stp>BDP|3832093929214856081</stp>
        <tr r="E1028" s="2"/>
      </tp>
      <tp t="s">
        <v>#N/A N/A</v>
        <stp/>
        <stp>BDP|5758673668725700577</stp>
        <tr r="Q198" s="2"/>
      </tp>
      <tp t="s">
        <v>#N/A N/A</v>
        <stp/>
        <stp>BDP|9070995651452585247</stp>
        <tr r="A1582" s="2"/>
      </tp>
      <tp t="s">
        <v>#N/A N/A</v>
        <stp/>
        <stp>BDP|2349560539265797426</stp>
        <tr r="K943" s="2"/>
      </tp>
      <tp t="s">
        <v>#N/A N/A</v>
        <stp/>
        <stp>BDP|5822111977900425631</stp>
        <tr r="C222" s="2"/>
      </tp>
      <tp t="s">
        <v>#N/A N/A</v>
        <stp/>
        <stp>BDP|4043637961380999120</stp>
        <tr r="R211" s="2"/>
      </tp>
      <tp t="s">
        <v>#N/A N/A</v>
        <stp/>
        <stp>BDP|2783286522474415303</stp>
        <tr r="D555" s="2"/>
      </tp>
      <tp t="s">
        <v>#N/A N/A</v>
        <stp/>
        <stp>BDP|9705022338826402902</stp>
        <tr r="D1033" s="2"/>
      </tp>
      <tp t="s">
        <v>#N/A N/A</v>
        <stp/>
        <stp>BDP|2887873097914187202</stp>
        <tr r="J1480" s="2"/>
      </tp>
      <tp t="s">
        <v>#N/A N/A</v>
        <stp/>
        <stp>BDP|4120650349290717339</stp>
        <tr r="A1684" s="2"/>
      </tp>
      <tp t="s">
        <v>#N/A N/A</v>
        <stp/>
        <stp>BDP|3987432836632544300</stp>
        <tr r="E1715" s="2"/>
      </tp>
      <tp t="s">
        <v>#N/A N/A</v>
        <stp/>
        <stp>BDP|5987448078596496584</stp>
        <tr r="O1873" s="2"/>
      </tp>
      <tp t="s">
        <v>#N/A N/A</v>
        <stp/>
        <stp>BDP|9782855262213022196</stp>
        <tr r="Q1910" s="2"/>
      </tp>
      <tp t="s">
        <v>#N/A N/A</v>
        <stp/>
        <stp>BDP|1294755440587800062</stp>
        <tr r="F1997" s="2"/>
      </tp>
      <tp t="s">
        <v>#N/A N/A</v>
        <stp/>
        <stp>BDP|5537679046560838257</stp>
        <tr r="Q2026" s="2"/>
      </tp>
      <tp t="s">
        <v>#N/A N/A</v>
        <stp/>
        <stp>BDP|1751016329380524638</stp>
        <tr r="G414" s="2"/>
      </tp>
      <tp t="s">
        <v>#N/A N/A</v>
        <stp/>
        <stp>BDP|6567406518886374075</stp>
        <tr r="E68" s="2"/>
      </tp>
      <tp t="s">
        <v>#N/A N/A</v>
        <stp/>
        <stp>BDP|9190088581022688673</stp>
        <tr r="F1973" s="2"/>
      </tp>
      <tp t="s">
        <v>#N/A N/A</v>
        <stp/>
        <stp>BDP|5436332331986975665</stp>
        <tr r="K1571" s="2"/>
      </tp>
      <tp t="s">
        <v>#N/A N/A</v>
        <stp/>
        <stp>BDP|6864643768897440493</stp>
        <tr r="G667" s="2"/>
      </tp>
      <tp t="s">
        <v>#N/A N/A</v>
        <stp/>
        <stp>BDP|9619492180816213640</stp>
        <tr r="M2130" s="2"/>
      </tp>
      <tp t="s">
        <v>#N/A N/A</v>
        <stp/>
        <stp>BDP|1355339578992682277</stp>
        <tr r="M1265" s="2"/>
      </tp>
      <tp t="s">
        <v>#N/A N/A</v>
        <stp/>
        <stp>BDP|4682441558462357205</stp>
        <tr r="C189" s="2"/>
      </tp>
      <tp t="s">
        <v>#N/A N/A</v>
        <stp/>
        <stp>BDP|4374748520697805364</stp>
        <tr r="O274" s="2"/>
      </tp>
      <tp t="s">
        <v>#N/A N/A</v>
        <stp/>
        <stp>BDP|9948075696993248631</stp>
        <tr r="C381" s="2"/>
      </tp>
      <tp t="s">
        <v>#N/A N/A</v>
        <stp/>
        <stp>BDP|5271822349999921593</stp>
        <tr r="R1044" s="2"/>
      </tp>
      <tp t="s">
        <v>#N/A N/A</v>
        <stp/>
        <stp>BDP|3344178870612959243</stp>
        <tr r="C857" s="2"/>
      </tp>
      <tp t="s">
        <v>#N/A N/A</v>
        <stp/>
        <stp>BDP|4032590766044795616</stp>
        <tr r="O343" s="2"/>
      </tp>
      <tp t="s">
        <v>#N/A N/A</v>
        <stp/>
        <stp>BDP|6490583038243440690</stp>
        <tr r="A1642" s="2"/>
      </tp>
      <tp t="s">
        <v>#N/A N/A</v>
        <stp/>
        <stp>BDP|5056638668532653241</stp>
        <tr r="M1713" s="2"/>
      </tp>
      <tp t="s">
        <v>#N/A N/A</v>
        <stp/>
        <stp>BDP|4473917385782800218</stp>
        <tr r="A783" s="2"/>
      </tp>
      <tp t="s">
        <v>#N/A N/A</v>
        <stp/>
        <stp>BDP|8268348048573136967</stp>
        <tr r="R937" s="2"/>
      </tp>
      <tp t="s">
        <v>#N/A N/A</v>
        <stp/>
        <stp>BDP|1983601141136577041</stp>
        <tr r="G1672" s="2"/>
      </tp>
      <tp t="s">
        <v>#N/A N/A</v>
        <stp/>
        <stp>BDP|4661184183111257968</stp>
        <tr r="G1933" s="2"/>
      </tp>
      <tp t="s">
        <v>#N/A N/A</v>
        <stp/>
        <stp>BDP|2611623450933426797</stp>
        <tr r="J374" s="2"/>
      </tp>
      <tp t="s">
        <v>#N/A N/A</v>
        <stp/>
        <stp>BDP|5883692069743547347</stp>
        <tr r="C1455" s="2"/>
      </tp>
      <tp t="s">
        <v>#N/A N/A</v>
        <stp/>
        <stp>BDP|6582653130737941106</stp>
        <tr r="H1059" s="2"/>
      </tp>
      <tp t="s">
        <v>#N/A N/A</v>
        <stp/>
        <stp>BDP|4267005119237466769</stp>
        <tr r="M113" s="2"/>
      </tp>
      <tp t="s">
        <v>#N/A N/A</v>
        <stp/>
        <stp>BDP|3595388414657642362</stp>
        <tr r="A1391" s="2"/>
      </tp>
      <tp t="s">
        <v>#N/A N/A</v>
        <stp/>
        <stp>BDP|2338379050569989846</stp>
        <tr r="P2181" s="2"/>
      </tp>
      <tp t="s">
        <v>#N/A N/A</v>
        <stp/>
        <stp>BDP|6913458815682570459</stp>
        <tr r="S1019" s="2"/>
      </tp>
      <tp t="s">
        <v>#N/A N/A</v>
        <stp/>
        <stp>BDP|7702469840794963618</stp>
        <tr r="Q1050" s="2"/>
      </tp>
      <tp t="s">
        <v>#N/A N/A</v>
        <stp/>
        <stp>BDP|6056986305049003343</stp>
        <tr r="R999" s="2"/>
      </tp>
      <tp t="s">
        <v>#N/A N/A</v>
        <stp/>
        <stp>BDP|6114087713131722345</stp>
        <tr r="G199" s="2"/>
      </tp>
      <tp t="s">
        <v>#N/A N/A</v>
        <stp/>
        <stp>BDP|6847795652540371190</stp>
        <tr r="J1467" s="2"/>
      </tp>
      <tp t="s">
        <v>#N/A N/A</v>
        <stp/>
        <stp>BDP|6590298032875220758</stp>
        <tr r="K1452" s="2"/>
      </tp>
      <tp t="s">
        <v>#N/A N/A</v>
        <stp/>
        <stp>BDP|3627074344450800241</stp>
        <tr r="C1105" s="2"/>
      </tp>
      <tp t="s">
        <v>#N/A N/A</v>
        <stp/>
        <stp>BDP|2552186575085350425</stp>
        <tr r="M1200" s="2"/>
      </tp>
      <tp t="s">
        <v>#N/A N/A</v>
        <stp/>
        <stp>BDP|4746790365484507473</stp>
        <tr r="J2038" s="2"/>
      </tp>
      <tp t="s">
        <v>#N/A N/A</v>
        <stp/>
        <stp>BDP|3237696464292551431</stp>
        <tr r="K548" s="2"/>
      </tp>
      <tp t="s">
        <v>#N/A N/A</v>
        <stp/>
        <stp>BDP|4264733693426853936</stp>
        <tr r="O1360" s="2"/>
      </tp>
      <tp t="s">
        <v>#N/A N/A</v>
        <stp/>
        <stp>BDP|9060614135239571085</stp>
        <tr r="O1066" s="2"/>
      </tp>
      <tp t="s">
        <v>#N/A N/A</v>
        <stp/>
        <stp>BDP|8374011957528540095</stp>
        <tr r="D261" s="2"/>
      </tp>
      <tp t="s">
        <v>#N/A N/A</v>
        <stp/>
        <stp>BDP|2149151475428004983</stp>
        <tr r="N1560" s="2"/>
      </tp>
      <tp t="s">
        <v>#N/A N/A</v>
        <stp/>
        <stp>BDP|2273783409881364198</stp>
        <tr r="J1027" s="2"/>
      </tp>
      <tp t="s">
        <v>#N/A N/A</v>
        <stp/>
        <stp>BDP|1573223025147932323</stp>
        <tr r="E921" s="2"/>
      </tp>
      <tp t="s">
        <v>#N/A N/A</v>
        <stp/>
        <stp>BDP|2802486962686965323</stp>
        <tr r="O2165" s="2"/>
      </tp>
      <tp t="s">
        <v>#N/A N/A</v>
        <stp/>
        <stp>BDP|2828039760513529279</stp>
        <tr r="O1093" s="2"/>
      </tp>
      <tp t="s">
        <v>#N/A N/A</v>
        <stp/>
        <stp>BDP|6803435664132561337</stp>
        <tr r="D438" s="2"/>
      </tp>
      <tp t="s">
        <v>#N/A N/A</v>
        <stp/>
        <stp>BDP|5648039549367224379</stp>
        <tr r="O910" s="2"/>
      </tp>
      <tp t="s">
        <v>#N/A N/A</v>
        <stp/>
        <stp>BDP|4127500658564871584</stp>
        <tr r="O1786" s="2"/>
      </tp>
      <tp t="s">
        <v>#N/A N/A</v>
        <stp/>
        <stp>BDP|5406622460634646494</stp>
        <tr r="G411" s="2"/>
      </tp>
      <tp t="s">
        <v>#N/A N/A</v>
        <stp/>
        <stp>BDP|4509632473358846841</stp>
        <tr r="O1389" s="2"/>
      </tp>
      <tp t="s">
        <v>#N/A N/A</v>
        <stp/>
        <stp>BDP|3286588326823098255</stp>
        <tr r="T821" s="2"/>
      </tp>
      <tp t="s">
        <v>#N/A N/A</v>
        <stp/>
        <stp>BDP|8959837193514106813</stp>
        <tr r="O1924" s="2"/>
      </tp>
      <tp t="s">
        <v>#N/A N/A</v>
        <stp/>
        <stp>BDP|5427748429784001109</stp>
        <tr r="A1402" s="2"/>
      </tp>
      <tp t="s">
        <v>#N/A N/A</v>
        <stp/>
        <stp>BDP|8015980486019525524</stp>
        <tr r="O370" s="2"/>
      </tp>
      <tp t="s">
        <v>#N/A N/A</v>
        <stp/>
        <stp>BDP|1356790601184178734</stp>
        <tr r="D887" s="2"/>
      </tp>
      <tp t="s">
        <v>#N/A N/A</v>
        <stp/>
        <stp>BDP|5442249937385912478</stp>
        <tr r="E2033" s="2"/>
      </tp>
      <tp t="s">
        <v>#N/A N/A</v>
        <stp/>
        <stp>BDP|8862643512398371246</stp>
        <tr r="E1408" s="2"/>
      </tp>
      <tp t="s">
        <v>#N/A N/A</v>
        <stp/>
        <stp>BDS|1090023401787894320</stp>
        <tr r="I1923" s="2"/>
      </tp>
      <tp t="s">
        <v>#N/A N/A</v>
        <stp/>
        <stp>BDP|4957139473096893182</stp>
        <tr r="T1387" s="2"/>
      </tp>
      <tp t="s">
        <v>#N/A N/A</v>
        <stp/>
        <stp>BDP|1635075207172995668</stp>
        <tr r="P1582" s="2"/>
      </tp>
      <tp t="s">
        <v>#N/A N/A</v>
        <stp/>
        <stp>BDP|4424977013531827814</stp>
        <tr r="O80" s="2"/>
      </tp>
      <tp t="s">
        <v>#N/A N/A</v>
        <stp/>
        <stp>BDP|2738087577052559247</stp>
        <tr r="T1602" s="2"/>
      </tp>
      <tp t="s">
        <v>#N/A N/A</v>
        <stp/>
        <stp>BDP|3040075773719937843</stp>
        <tr r="A257" s="2"/>
      </tp>
      <tp t="s">
        <v>#N/A N/A</v>
        <stp/>
        <stp>BDP|1390396393979778777</stp>
        <tr r="Q205" s="2"/>
      </tp>
      <tp t="s">
        <v>#N/A N/A</v>
        <stp/>
        <stp>BDP|5725896863416130855</stp>
        <tr r="D1795" s="2"/>
      </tp>
      <tp t="s">
        <v>#N/A N/A</v>
        <stp/>
        <stp>BDP|1928415755375035041</stp>
        <tr r="J516" s="2"/>
      </tp>
      <tp t="s">
        <v>#N/A N/A</v>
        <stp/>
        <stp>BDP|9763180501684013977</stp>
        <tr r="J1693" s="2"/>
      </tp>
      <tp t="s">
        <v>#N/A N/A</v>
        <stp/>
        <stp>BDP|7674085909313633184</stp>
        <tr r="E41" s="2"/>
      </tp>
      <tp t="s">
        <v>#N/A N/A</v>
        <stp/>
        <stp>BDP|7605530942871962278</stp>
        <tr r="R109" s="2"/>
      </tp>
      <tp t="s">
        <v>#N/A N/A</v>
        <stp/>
        <stp>BDP|4321858189475210436</stp>
        <tr r="A897" s="2"/>
      </tp>
      <tp t="s">
        <v>#N/A N/A</v>
        <stp/>
        <stp>BDP|8841864580858716570</stp>
        <tr r="C1467" s="2"/>
      </tp>
      <tp t="s">
        <v>#N/A N/A</v>
        <stp/>
        <stp>BDP|2575048546180078390</stp>
        <tr r="H1679" s="2"/>
      </tp>
      <tp t="s">
        <v>#N/A N/A</v>
        <stp/>
        <stp>BDP|5588301851361367795</stp>
        <tr r="A1691" s="2"/>
      </tp>
      <tp t="s">
        <v>#N/A N/A</v>
        <stp/>
        <stp>BDP|3637449638240429103</stp>
        <tr r="H1320" s="2"/>
      </tp>
      <tp t="s">
        <v>#N/A N/A</v>
        <stp/>
        <stp>BDP|1242792980263550808</stp>
        <tr r="M1581" s="2"/>
      </tp>
      <tp t="s">
        <v>#N/A N/A</v>
        <stp/>
        <stp>BDP|1426129639554948283</stp>
        <tr r="Q2218" s="2"/>
      </tp>
      <tp t="s">
        <v>#N/A N/A</v>
        <stp/>
        <stp>BDP|7454836090370880310</stp>
        <tr r="G1121" s="2"/>
      </tp>
      <tp t="s">
        <v>#N/A N/A</v>
        <stp/>
        <stp>BDP|3922310864300585371</stp>
        <tr r="E1852" s="2"/>
      </tp>
      <tp t="s">
        <v>#N/A N/A</v>
        <stp/>
        <stp>BDP|6106873391062098092</stp>
        <tr r="S1410" s="2"/>
      </tp>
      <tp t="s">
        <v>#N/A N/A</v>
        <stp/>
        <stp>BDP|2943781263673582590</stp>
        <tr r="G1215" s="2"/>
      </tp>
      <tp t="s">
        <v>#N/A N/A</v>
        <stp/>
        <stp>BDP|9385572369066271916</stp>
        <tr r="D605" s="2"/>
      </tp>
      <tp t="s">
        <v>#N/A N/A</v>
        <stp/>
        <stp>BDP|4313388422031348146</stp>
        <tr r="S737" s="2"/>
      </tp>
      <tp t="s">
        <v>#N/A N/A</v>
        <stp/>
        <stp>BDS|7484577931522533691</stp>
        <tr r="I315" s="2"/>
      </tp>
      <tp t="s">
        <v>#N/A N/A</v>
        <stp/>
        <stp>BDP|6885785932316864143</stp>
        <tr r="A1466" s="2"/>
      </tp>
      <tp t="s">
        <v>#N/A N/A</v>
        <stp/>
        <stp>BDP|9046185086201780471</stp>
        <tr r="J1608" s="2"/>
      </tp>
      <tp t="s">
        <v>#N/A N/A</v>
        <stp/>
        <stp>BDP|8288176859681258807</stp>
        <tr r="R1202" s="2"/>
      </tp>
      <tp t="s">
        <v>#N/A N/A</v>
        <stp/>
        <stp>BDP|4642518767385632786</stp>
        <tr r="N514" s="2"/>
      </tp>
      <tp t="s">
        <v>#N/A N/A</v>
        <stp/>
        <stp>BDP|9301273994386929178</stp>
        <tr r="C683" s="2"/>
      </tp>
      <tp t="s">
        <v>#N/A N/A</v>
        <stp/>
        <stp>BDP|7908175371681463558</stp>
        <tr r="K1823" s="2"/>
      </tp>
      <tp t="s">
        <v>#N/A N/A</v>
        <stp/>
        <stp>BDP|8423592983198083804</stp>
        <tr r="Q1303" s="2"/>
      </tp>
      <tp t="s">
        <v>#N/A N/A</v>
        <stp/>
        <stp>BDP|5088376050506955003</stp>
        <tr r="G451" s="2"/>
      </tp>
      <tp t="s">
        <v>#N/A N/A</v>
        <stp/>
        <stp>BDP|7304110565411098490</stp>
        <tr r="E74" s="2"/>
      </tp>
      <tp t="s">
        <v>#N/A N/A</v>
        <stp/>
        <stp>BDS|4776552557076236799</stp>
        <tr r="I197" s="2"/>
      </tp>
      <tp t="s">
        <v>#N/A N/A</v>
        <stp/>
        <stp>BDP|2945309035026389119</stp>
        <tr r="M159" s="2"/>
      </tp>
      <tp t="s">
        <v>#N/A N/A</v>
        <stp/>
        <stp>BDP|7237094294892917982</stp>
        <tr r="P995" s="2"/>
      </tp>
      <tp t="s">
        <v>#N/A N/A</v>
        <stp/>
        <stp>BDP|7410685727990658637</stp>
        <tr r="M1390" s="2"/>
      </tp>
      <tp t="s">
        <v>#N/A N/A</v>
        <stp/>
        <stp>BDP|8420044155938953025</stp>
        <tr r="O20" s="2"/>
      </tp>
      <tp t="s">
        <v>#N/A N/A</v>
        <stp/>
        <stp>BDP|2181983595334348313</stp>
        <tr r="D2060" s="2"/>
      </tp>
      <tp t="s">
        <v>#N/A N/A</v>
        <stp/>
        <stp>BDP|7022928385062832117</stp>
        <tr r="F832" s="2"/>
      </tp>
      <tp t="s">
        <v>#N/A N/A</v>
        <stp/>
        <stp>BDP|1275342540657143499</stp>
        <tr r="D792" s="2"/>
      </tp>
      <tp t="s">
        <v>#N/A N/A</v>
        <stp/>
        <stp>BDP|3535623627913919176</stp>
        <tr r="A1127" s="2"/>
      </tp>
      <tp t="s">
        <v>#N/A N/A</v>
        <stp/>
        <stp>BDP|8137319312397526895</stp>
        <tr r="T1490" s="2"/>
      </tp>
      <tp t="s">
        <v>#N/A N/A</v>
        <stp/>
        <stp>BDP|8041626170464813846</stp>
        <tr r="J159" s="2"/>
      </tp>
      <tp t="s">
        <v>#N/A N/A</v>
        <stp/>
        <stp>BDP|6640496114246087059</stp>
        <tr r="P2143" s="2"/>
      </tp>
      <tp t="s">
        <v>#N/A N/A</v>
        <stp/>
        <stp>BDS|4674197892308144125</stp>
        <tr r="I71" s="2"/>
      </tp>
      <tp t="s">
        <v>#N/A N/A</v>
        <stp/>
        <stp>BDP|6536946223281415987</stp>
        <tr r="D1054" s="2"/>
      </tp>
      <tp t="s">
        <v>#N/A N/A</v>
        <stp/>
        <stp>BDP|8782763589545562738</stp>
        <tr r="R46" s="2"/>
      </tp>
      <tp t="s">
        <v>#N/A N/A</v>
        <stp/>
        <stp>BDP|2919351501563777742</stp>
        <tr r="P1240" s="2"/>
      </tp>
      <tp t="s">
        <v>#N/A N/A</v>
        <stp/>
        <stp>BDP|5260192221404006743</stp>
        <tr r="T2140" s="2"/>
      </tp>
      <tp t="s">
        <v>#N/A N/A</v>
        <stp/>
        <stp>BDS|3176430566747863326</stp>
        <tr r="I1867" s="2"/>
      </tp>
      <tp t="s">
        <v>#N/A N/A</v>
        <stp/>
        <stp>BDP|1199087452852029357</stp>
        <tr r="J857" s="2"/>
      </tp>
      <tp t="s">
        <v>#N/A N/A</v>
        <stp/>
        <stp>BDP|3182126450974413695</stp>
        <tr r="A1695" s="2"/>
      </tp>
      <tp t="s">
        <v>#N/A N/A</v>
        <stp/>
        <stp>BDP|4144635978479152953</stp>
        <tr r="S1268" s="2"/>
      </tp>
      <tp t="s">
        <v>#N/A N/A</v>
        <stp/>
        <stp>BDP|4158186079546876162</stp>
        <tr r="T1283" s="2"/>
      </tp>
      <tp t="s">
        <v>#N/A N/A</v>
        <stp/>
        <stp>BDP|5003557063015046681</stp>
        <tr r="C689" s="2"/>
      </tp>
      <tp t="s">
        <v>#N/A N/A</v>
        <stp/>
        <stp>BDP|5390409505197809303</stp>
        <tr r="A315" s="2"/>
      </tp>
      <tp t="s">
        <v>#N/A N/A</v>
        <stp/>
        <stp>BDS|2144486419290951274</stp>
        <tr r="I1139" s="2"/>
      </tp>
      <tp t="s">
        <v>#N/A N/A</v>
        <stp/>
        <stp>BDP|9327684877859740458</stp>
        <tr r="D1514" s="2"/>
      </tp>
      <tp t="s">
        <v>#N/A N/A</v>
        <stp/>
        <stp>BDP|2980804965409349019</stp>
        <tr r="D1897" s="2"/>
      </tp>
      <tp t="s">
        <v>#N/A N/A</v>
        <stp/>
        <stp>BDP|4355184089111964953</stp>
        <tr r="J2133" s="2"/>
      </tp>
      <tp t="s">
        <v>#N/A N/A</v>
        <stp/>
        <stp>BDP|7676444578439450807</stp>
        <tr r="F517" s="2"/>
      </tp>
      <tp t="s">
        <v>#N/A N/A</v>
        <stp/>
        <stp>BDP|9908372103196750943</stp>
        <tr r="A1043" s="2"/>
      </tp>
      <tp t="s">
        <v>#N/A N/A</v>
        <stp/>
        <stp>BDP|2975856885883397445</stp>
        <tr r="R1680" s="2"/>
      </tp>
      <tp t="s">
        <v>#N/A N/A</v>
        <stp/>
        <stp>BDP|1307021012701504483</stp>
        <tr r="M38" s="2"/>
      </tp>
      <tp t="s">
        <v>#N/A N/A</v>
        <stp/>
        <stp>BDP|1099183464812749152</stp>
        <tr r="M579" s="2"/>
      </tp>
      <tp t="s">
        <v>#N/A N/A</v>
        <stp/>
        <stp>BDP|6943554443711273334</stp>
        <tr r="Q918" s="2"/>
      </tp>
      <tp t="s">
        <v>#N/A N/A</v>
        <stp/>
        <stp>BDP|7846662153229513861</stp>
        <tr r="A2049" s="2"/>
      </tp>
      <tp t="s">
        <v>#N/A N/A</v>
        <stp/>
        <stp>BDP|4465792338400864532</stp>
        <tr r="E1161" s="2"/>
      </tp>
      <tp t="s">
        <v>#N/A N/A</v>
        <stp/>
        <stp>BDP|4956972801388116002</stp>
        <tr r="F815" s="2"/>
      </tp>
      <tp t="s">
        <v>#N/A N/A</v>
        <stp/>
        <stp>BDS|2442120819434118305</stp>
        <tr r="I640" s="2"/>
      </tp>
      <tp t="s">
        <v>#N/A N/A</v>
        <stp/>
        <stp>BDP|2574119465707783786</stp>
        <tr r="K1045" s="2"/>
      </tp>
      <tp t="s">
        <v>#N/A N/A</v>
        <stp/>
        <stp>BDP|7433253919711757015</stp>
        <tr r="H1247" s="2"/>
      </tp>
      <tp t="s">
        <v>#N/A N/A</v>
        <stp/>
        <stp>BDP|8973811337150908680</stp>
        <tr r="D1091" s="2"/>
      </tp>
      <tp t="s">
        <v>#N/A N/A</v>
        <stp/>
        <stp>BDP|7244881690157369475</stp>
        <tr r="Q826" s="2"/>
      </tp>
      <tp t="s">
        <v>#N/A N/A</v>
        <stp/>
        <stp>BDS|2563378870386989551</stp>
        <tr r="I2050" s="2"/>
      </tp>
      <tp t="s">
        <v>#N/A N/A</v>
        <stp/>
        <stp>BDP|6651641788048646526</stp>
        <tr r="N1681" s="2"/>
      </tp>
      <tp t="s">
        <v>#N/A N/A</v>
        <stp/>
        <stp>BDP|4452620401603920407</stp>
        <tr r="O1416" s="2"/>
      </tp>
      <tp t="s">
        <v>#N/A N/A</v>
        <stp/>
        <stp>BDS|5923126006025682459</stp>
        <tr r="I1668" s="2"/>
      </tp>
      <tp t="s">
        <v>#N/A N/A</v>
        <stp/>
        <stp>BDP|6959297560284608386</stp>
        <tr r="C984" s="2"/>
      </tp>
      <tp t="s">
        <v>#N/A N/A</v>
        <stp/>
        <stp>BDP|3610124595097844977</stp>
        <tr r="N1948" s="2"/>
      </tp>
      <tp t="s">
        <v>#N/A N/A</v>
        <stp/>
        <stp>BDP|5391248368284632076</stp>
        <tr r="H1852" s="2"/>
      </tp>
      <tp t="s">
        <v>#N/A N/A</v>
        <stp/>
        <stp>BDP|1761953881370984548</stp>
        <tr r="N541" s="2"/>
      </tp>
      <tp t="s">
        <v>#N/A N/A</v>
        <stp/>
        <stp>BDP|5645379767977847219</stp>
        <tr r="F1707" s="2"/>
      </tp>
      <tp t="s">
        <v>#N/A N/A</v>
        <stp/>
        <stp>BDP|3855641212006659778</stp>
        <tr r="E2029" s="2"/>
      </tp>
      <tp t="s">
        <v>#N/A N/A</v>
        <stp/>
        <stp>BDP|7453728351774869405</stp>
        <tr r="M1271" s="2"/>
      </tp>
      <tp t="s">
        <v>#N/A N/A</v>
        <stp/>
        <stp>BDP|9682184560879384224</stp>
        <tr r="D1287" s="2"/>
      </tp>
      <tp t="s">
        <v>#N/A N/A</v>
        <stp/>
        <stp>BDP|4334179109634261402</stp>
        <tr r="D1415" s="2"/>
      </tp>
      <tp t="s">
        <v>#N/A N/A</v>
        <stp/>
        <stp>BDP|9819367801529034608</stp>
        <tr r="O1298" s="2"/>
      </tp>
      <tp t="s">
        <v>#N/A N/A</v>
        <stp/>
        <stp>BDP|3785238955869636883</stp>
        <tr r="N1919" s="2"/>
      </tp>
      <tp t="s">
        <v>#N/A N/A</v>
        <stp/>
        <stp>BDS|2790914809337876982</stp>
        <tr r="I1277" s="2"/>
      </tp>
      <tp t="s">
        <v>#N/A N/A</v>
        <stp/>
        <stp>BDP|7099536787508351787</stp>
        <tr r="J886" s="2"/>
      </tp>
      <tp t="s">
        <v>#N/A N/A</v>
        <stp/>
        <stp>BDP|7165000075387288296</stp>
        <tr r="J2139" s="2"/>
      </tp>
      <tp t="s">
        <v>#N/A N/A</v>
        <stp/>
        <stp>BDP|6833293512111437189</stp>
        <tr r="K665" s="2"/>
      </tp>
      <tp t="s">
        <v>#N/A N/A</v>
        <stp/>
        <stp>BDP|8173987335671455678</stp>
        <tr r="D645" s="2"/>
      </tp>
      <tp t="s">
        <v>#N/A N/A</v>
        <stp/>
        <stp>BDP|9377975831557284184</stp>
        <tr r="P205" s="2"/>
      </tp>
      <tp t="s">
        <v>#N/A N/A</v>
        <stp/>
        <stp>BDP|4654860466116868919</stp>
        <tr r="M925" s="2"/>
      </tp>
      <tp t="s">
        <v>#N/A N/A</v>
        <stp/>
        <stp>BDP|1917759840607525067</stp>
        <tr r="P1476" s="2"/>
      </tp>
      <tp t="s">
        <v>#N/A N/A</v>
        <stp/>
        <stp>BDP|2742646230931569396</stp>
        <tr r="F347" s="2"/>
      </tp>
      <tp t="s">
        <v>#N/A N/A</v>
        <stp/>
        <stp>BDP|6693191019375940605</stp>
        <tr r="M122" s="2"/>
      </tp>
      <tp t="s">
        <v>#N/A N/A</v>
        <stp/>
        <stp>BDP|2158266988718972599</stp>
        <tr r="C475" s="2"/>
      </tp>
      <tp t="s">
        <v>#N/A N/A</v>
        <stp/>
        <stp>BDP|3866184499936533832</stp>
        <tr r="K2063" s="2"/>
      </tp>
      <tp t="s">
        <v>#N/A N/A</v>
        <stp/>
        <stp>BDP|7016910489197337449</stp>
        <tr r="T1643" s="2"/>
      </tp>
      <tp t="s">
        <v>#N/A N/A</v>
        <stp/>
        <stp>BDP|2874500154314189326</stp>
        <tr r="C1736" s="2"/>
      </tp>
      <tp t="s">
        <v>#N/A N/A</v>
        <stp/>
        <stp>BDP|8723981977716286556</stp>
        <tr r="E635" s="2"/>
      </tp>
      <tp t="s">
        <v>#N/A N/A</v>
        <stp/>
        <stp>BDP|9243861238830357705</stp>
        <tr r="A2169" s="2"/>
      </tp>
      <tp t="s">
        <v>#N/A N/A</v>
        <stp/>
        <stp>BDP|4484418735560713689</stp>
        <tr r="F1099" s="2"/>
      </tp>
      <tp t="s">
        <v>#N/A N/A</v>
        <stp/>
        <stp>BDP|7404963995281957319</stp>
        <tr r="E892" s="2"/>
      </tp>
      <tp t="s">
        <v>#N/A N/A</v>
        <stp/>
        <stp>BDP|4855527335515534259</stp>
        <tr r="E506" s="2"/>
      </tp>
      <tp t="s">
        <v>#N/A N/A</v>
        <stp/>
        <stp>BDP|3825001958687718489</stp>
        <tr r="E2148" s="2"/>
      </tp>
      <tp t="s">
        <v>#N/A N/A</v>
        <stp/>
        <stp>BDP|5768928308669566073</stp>
        <tr r="T2153" s="2"/>
      </tp>
      <tp t="s">
        <v>#N/A N/A</v>
        <stp/>
        <stp>BDP|9829038014109671460</stp>
        <tr r="P2083" s="2"/>
      </tp>
      <tp t="s">
        <v>#N/A N/A</v>
        <stp/>
        <stp>BDP|5276780185996227920</stp>
        <tr r="P1973" s="2"/>
      </tp>
      <tp t="s">
        <v>#N/A N/A</v>
        <stp/>
        <stp>BDS|3084592834355763550</stp>
        <tr r="I678" s="2"/>
      </tp>
      <tp t="s">
        <v>#N/A N/A</v>
        <stp/>
        <stp>BDP|9987995354301222193</stp>
        <tr r="C1667" s="2"/>
      </tp>
      <tp t="s">
        <v>#N/A N/A</v>
        <stp/>
        <stp>BDP|9275348978029019111</stp>
        <tr r="D720" s="2"/>
      </tp>
      <tp t="s">
        <v>#N/A N/A</v>
        <stp/>
        <stp>BDP|7157806354678892723</stp>
        <tr r="O1123" s="2"/>
      </tp>
      <tp t="s">
        <v>#N/A N/A</v>
        <stp/>
        <stp>BDP|4811453289158344588</stp>
        <tr r="C185" s="2"/>
      </tp>
      <tp t="s">
        <v>#N/A N/A</v>
        <stp/>
        <stp>BDP|7051598647256730563</stp>
        <tr r="Q919" s="2"/>
      </tp>
      <tp t="s">
        <v>#N/A N/A</v>
        <stp/>
        <stp>BDP|5794082140830389434</stp>
        <tr r="P2150" s="2"/>
      </tp>
      <tp t="s">
        <v>#N/A N/A</v>
        <stp/>
        <stp>BDP|7984211273274064343</stp>
        <tr r="F418" s="2"/>
      </tp>
      <tp t="s">
        <v>#N/A N/A</v>
        <stp/>
        <stp>BDS|8616985010002084711</stp>
        <tr r="I2067" s="2"/>
      </tp>
      <tp t="s">
        <v>#N/A N/A</v>
        <stp/>
        <stp>BDS|2537391876194342765</stp>
        <tr r="I474" s="2"/>
      </tp>
      <tp t="s">
        <v>#N/A N/A</v>
        <stp/>
        <stp>BDP|4745514344447917744</stp>
        <tr r="H331" s="2"/>
      </tp>
      <tp t="s">
        <v>#N/A N/A</v>
        <stp/>
        <stp>BDP|8249360989434295208</stp>
        <tr r="A1144" s="2"/>
      </tp>
      <tp t="s">
        <v>#N/A N/A</v>
        <stp/>
        <stp>BDP|1303286147466743447</stp>
        <tr r="C42" s="2"/>
      </tp>
      <tp t="s">
        <v>#N/A N/A</v>
        <stp/>
        <stp>BDP|6875621620756796129</stp>
        <tr r="M711" s="2"/>
      </tp>
      <tp t="s">
        <v>#N/A N/A</v>
        <stp/>
        <stp>BDP|3955076631605042000</stp>
        <tr r="D1709" s="2"/>
      </tp>
      <tp t="s">
        <v>#N/A N/A</v>
        <stp/>
        <stp>BDP|5762593226615020270</stp>
        <tr r="S1048" s="2"/>
      </tp>
      <tp t="s">
        <v>#N/A N/A</v>
        <stp/>
        <stp>BDP|5668259459493288472</stp>
        <tr r="T1787" s="2"/>
      </tp>
      <tp t="s">
        <v>#N/A N/A</v>
        <stp/>
        <stp>BDS|7519443352326502593</stp>
        <tr r="I1222" s="2"/>
      </tp>
      <tp t="s">
        <v>#N/A N/A</v>
        <stp/>
        <stp>BDP|6365302068312562411</stp>
        <tr r="O1124" s="2"/>
      </tp>
      <tp t="s">
        <v>#N/A N/A</v>
        <stp/>
        <stp>BDP|9834642995993784010</stp>
        <tr r="G776" s="2"/>
      </tp>
      <tp t="s">
        <v>#N/A N/A</v>
        <stp/>
        <stp>BDP|9456838055809957840</stp>
        <tr r="N1690" s="2"/>
      </tp>
      <tp t="s">
        <v>#N/A N/A</v>
        <stp/>
        <stp>BDP|3019652900267354794</stp>
        <tr r="P1277" s="2"/>
      </tp>
      <tp t="s">
        <v>#N/A N/A</v>
        <stp/>
        <stp>BDP|3634806940089057390</stp>
        <tr r="F1173" s="2"/>
      </tp>
      <tp t="s">
        <v>#N/A N/A</v>
        <stp/>
        <stp>BDP|5026570569462219137</stp>
        <tr r="S143" s="2"/>
      </tp>
      <tp t="s">
        <v>#N/A N/A</v>
        <stp/>
        <stp>BDP|3607538128162795353</stp>
        <tr r="J587" s="2"/>
      </tp>
      <tp t="s">
        <v>#N/A N/A</v>
        <stp/>
        <stp>BDS|8052899522722780533</stp>
        <tr r="I1904" s="2"/>
      </tp>
      <tp t="s">
        <v>#N/A N/A</v>
        <stp/>
        <stp>BDP|2877423443381479623</stp>
        <tr r="C702" s="2"/>
      </tp>
      <tp t="s">
        <v>#N/A N/A</v>
        <stp/>
        <stp>BDP|5331310558431545700</stp>
        <tr r="P176" s="2"/>
      </tp>
      <tp t="s">
        <v>#N/A N/A</v>
        <stp/>
        <stp>BDP|6418886386743442017</stp>
        <tr r="C423" s="2"/>
      </tp>
      <tp t="s">
        <v>#N/A N/A</v>
        <stp/>
        <stp>BDP|8665882938177139184</stp>
        <tr r="P758" s="2"/>
      </tp>
      <tp t="s">
        <v>#N/A N/A</v>
        <stp/>
        <stp>BDP|8815683079338464425</stp>
        <tr r="G771" s="2"/>
      </tp>
      <tp t="s">
        <v>#N/A N/A</v>
        <stp/>
        <stp>BDP|5620436659923078238</stp>
        <tr r="O1051" s="2"/>
      </tp>
      <tp t="s">
        <v>#N/A N/A</v>
        <stp/>
        <stp>BDP|5095758289069408673</stp>
        <tr r="T1209" s="2"/>
      </tp>
      <tp t="s">
        <v>#N/A N/A</v>
        <stp/>
        <stp>BDP|5825208227176396637</stp>
        <tr r="G419" s="2"/>
      </tp>
      <tp t="s">
        <v>#N/A N/A</v>
        <stp/>
        <stp>BDS|8738789494621438209</stp>
        <tr r="I2248" s="2"/>
      </tp>
      <tp t="s">
        <v>#N/A N/A</v>
        <stp/>
        <stp>BDP|1190109331266622095</stp>
        <tr r="P417" s="2"/>
      </tp>
      <tp t="s">
        <v>#N/A N/A</v>
        <stp/>
        <stp>BDP|6363151579340565557</stp>
        <tr r="P1792" s="2"/>
      </tp>
      <tp t="s">
        <v>#N/A N/A</v>
        <stp/>
        <stp>BDP|2112341421337365180</stp>
        <tr r="T1922" s="2"/>
      </tp>
      <tp t="s">
        <v>#N/A N/A</v>
        <stp/>
        <stp>BDP|8304842160365810605</stp>
        <tr r="A2023" s="2"/>
      </tp>
      <tp t="s">
        <v>#N/A N/A</v>
        <stp/>
        <stp>BDP|2822307612511058450</stp>
        <tr r="F202" s="2"/>
      </tp>
      <tp t="s">
        <v>#N/A N/A</v>
        <stp/>
        <stp>BDP|5983461047562218258</stp>
        <tr r="P2023" s="2"/>
      </tp>
      <tp t="s">
        <v>#N/A N/A</v>
        <stp/>
        <stp>BDP|4145965818959357038</stp>
        <tr r="F20" s="2"/>
      </tp>
      <tp t="s">
        <v>#N/A N/A</v>
        <stp/>
        <stp>BDP|2577667480108424187</stp>
        <tr r="N1440" s="2"/>
      </tp>
      <tp t="s">
        <v>#N/A N/A</v>
        <stp/>
        <stp>BDP|7209119141850953740</stp>
        <tr r="H659" s="2"/>
      </tp>
      <tp t="s">
        <v>#N/A N/A</v>
        <stp/>
        <stp>BDP|1171802834018920733</stp>
        <tr r="M598" s="2"/>
      </tp>
      <tp t="s">
        <v>#N/A N/A</v>
        <stp/>
        <stp>BDP|7907713467447771477</stp>
        <tr r="E1420" s="2"/>
      </tp>
      <tp t="s">
        <v>#N/A N/A</v>
        <stp/>
        <stp>BDP|5947672742571427376</stp>
        <tr r="K2200" s="2"/>
      </tp>
      <tp t="s">
        <v>#N/A N/A</v>
        <stp/>
        <stp>BDP|1982354802247901089</stp>
        <tr r="H860" s="2"/>
      </tp>
      <tp t="s">
        <v>#N/A N/A</v>
        <stp/>
        <stp>BDP|9229252579349937087</stp>
        <tr r="K217" s="2"/>
      </tp>
      <tp t="s">
        <v>#N/A N/A</v>
        <stp/>
        <stp>BDP|7197095902850122241</stp>
        <tr r="D562" s="2"/>
      </tp>
      <tp t="s">
        <v>#N/A N/A</v>
        <stp/>
        <stp>BDP|7368302839120069255</stp>
        <tr r="K928" s="2"/>
      </tp>
      <tp t="s">
        <v>#N/A N/A</v>
        <stp/>
        <stp>BDP|6976692158101793134</stp>
        <tr r="F1498" s="2"/>
      </tp>
      <tp t="s">
        <v>#N/A N/A</v>
        <stp/>
        <stp>BDP|8072263156058982255</stp>
        <tr r="A879" s="2"/>
      </tp>
      <tp t="s">
        <v>#N/A N/A</v>
        <stp/>
        <stp>BDP|2876133539862850760</stp>
        <tr r="Q1156" s="2"/>
      </tp>
      <tp t="s">
        <v>#N/A N/A</v>
        <stp/>
        <stp>BDP|6010341468516880084</stp>
        <tr r="S2046" s="2"/>
      </tp>
      <tp t="s">
        <v>#N/A N/A</v>
        <stp/>
        <stp>BDP|2845619391599519110</stp>
        <tr r="D1425" s="2"/>
      </tp>
      <tp t="s">
        <v>#N/A N/A</v>
        <stp/>
        <stp>BDP|9866215561131036948</stp>
        <tr r="A1331" s="2"/>
      </tp>
      <tp t="s">
        <v>#N/A N/A</v>
        <stp/>
        <stp>BDP|2682040610723977571</stp>
        <tr r="T83" s="2"/>
      </tp>
      <tp t="s">
        <v>#N/A N/A</v>
        <stp/>
        <stp>BDP|9309092695772289714</stp>
        <tr r="R1646" s="2"/>
      </tp>
      <tp t="s">
        <v>#N/A N/A</v>
        <stp/>
        <stp>BDP|7703623008562197606</stp>
        <tr r="P632" s="2"/>
      </tp>
      <tp t="s">
        <v>#N/A N/A</v>
        <stp/>
        <stp>BDP|1006132235760851629</stp>
        <tr r="C377" s="2"/>
      </tp>
      <tp t="s">
        <v>#N/A N/A</v>
        <stp/>
        <stp>BDP|9298899797899285429</stp>
        <tr r="T1781" s="2"/>
      </tp>
      <tp t="s">
        <v>#N/A N/A</v>
        <stp/>
        <stp>BDP|4266338803651727393</stp>
        <tr r="M1850" s="2"/>
      </tp>
      <tp t="s">
        <v>#N/A N/A</v>
        <stp/>
        <stp>BDP|2385624437547852524</stp>
        <tr r="S1336" s="2"/>
      </tp>
      <tp t="s">
        <v>#N/A N/A</v>
        <stp/>
        <stp>BDP|4280338770872512781</stp>
        <tr r="H2234" s="2"/>
      </tp>
      <tp t="s">
        <v>#N/A N/A</v>
        <stp/>
        <stp>BDP|3340784815005285500</stp>
        <tr r="Q301" s="2"/>
      </tp>
      <tp t="s">
        <v>#N/A N/A</v>
        <stp/>
        <stp>BDP|2048718201709911952</stp>
        <tr r="F1506" s="2"/>
      </tp>
      <tp t="s">
        <v>#N/A N/A</v>
        <stp/>
        <stp>BDP|1597008152024230599</stp>
        <tr r="F2204" s="2"/>
      </tp>
      <tp t="s">
        <v>#N/A N/A</v>
        <stp/>
        <stp>BDP|7998164932276621676</stp>
        <tr r="Q1376" s="2"/>
      </tp>
      <tp t="s">
        <v>#N/A N/A</v>
        <stp/>
        <stp>BDP|3814145128154190197</stp>
        <tr r="Q2047" s="2"/>
      </tp>
      <tp t="s">
        <v>#N/A N/A</v>
        <stp/>
        <stp>BDP|1703360063385998471</stp>
        <tr r="F1688" s="2"/>
      </tp>
      <tp t="s">
        <v>#N/A N/A</v>
        <stp/>
        <stp>BDP|6447236275586746098</stp>
        <tr r="O1365" s="2"/>
      </tp>
      <tp t="s">
        <v>#N/A N/A</v>
        <stp/>
        <stp>BDP|8879854752073682350</stp>
        <tr r="D1923" s="2"/>
      </tp>
      <tp t="s">
        <v>#N/A N/A</v>
        <stp/>
        <stp>BDP|6621545778576294741</stp>
        <tr r="M1755" s="2"/>
      </tp>
      <tp t="s">
        <v>#N/A N/A</v>
        <stp/>
        <stp>BDP|9260690225128342019</stp>
        <tr r="G1359" s="2"/>
      </tp>
      <tp t="s">
        <v>#N/A N/A</v>
        <stp/>
        <stp>BDP|2369202907181093486</stp>
        <tr r="M464" s="2"/>
      </tp>
      <tp t="s">
        <v>#N/A N/A</v>
        <stp/>
        <stp>BDP|1951299506702364490</stp>
        <tr r="S721" s="2"/>
      </tp>
      <tp t="s">
        <v>#N/A N/A</v>
        <stp/>
        <stp>BDP|4386556379090000333</stp>
        <tr r="K1228" s="2"/>
      </tp>
      <tp t="s">
        <v>#N/A N/A</v>
        <stp/>
        <stp>BDS|4053725166650110098</stp>
        <tr r="I1213" s="2"/>
      </tp>
      <tp t="s">
        <v>#N/A N/A</v>
        <stp/>
        <stp>BDP|2138436288932496929</stp>
        <tr r="O654" s="2"/>
      </tp>
      <tp t="s">
        <v>#N/A N/A</v>
        <stp/>
        <stp>BDP|2548159769616157642</stp>
        <tr r="R642" s="2"/>
      </tp>
      <tp t="s">
        <v>#N/A N/A</v>
        <stp/>
        <stp>BDP|3307708942611967446</stp>
        <tr r="H2064" s="2"/>
      </tp>
      <tp t="s">
        <v>#N/A N/A</v>
        <stp/>
        <stp>BDP|6157598861779651931</stp>
        <tr r="O423" s="2"/>
      </tp>
      <tp t="s">
        <v>#N/A N/A</v>
        <stp/>
        <stp>BDP|9810168735777064979</stp>
        <tr r="E245" s="2"/>
      </tp>
      <tp t="s">
        <v>#N/A N/A</v>
        <stp/>
        <stp>BDP|4541214255636800057</stp>
        <tr r="P1751" s="2"/>
      </tp>
      <tp t="s">
        <v>#N/A N/A</v>
        <stp/>
        <stp>BDP|7666767170154982659</stp>
        <tr r="R1417" s="2"/>
      </tp>
      <tp t="s">
        <v>#N/A N/A</v>
        <stp/>
        <stp>BDP|9552824403303077784</stp>
        <tr r="D203" s="2"/>
      </tp>
      <tp t="s">
        <v>#N/A N/A</v>
        <stp/>
        <stp>BDP|2903119176918341915</stp>
        <tr r="R545" s="2"/>
      </tp>
      <tp t="s">
        <v>#N/A N/A</v>
        <stp/>
        <stp>BDP|6351510312555848245</stp>
        <tr r="F967" s="2"/>
      </tp>
      <tp t="s">
        <v>#N/A N/A</v>
        <stp/>
        <stp>BDP|1392291114995691249</stp>
        <tr r="R431" s="2"/>
      </tp>
      <tp t="s">
        <v>#N/A N/A</v>
        <stp/>
        <stp>BDP|6253064024336557797</stp>
        <tr r="Q1808" s="2"/>
      </tp>
      <tp t="s">
        <v>#N/A N/A</v>
        <stp/>
        <stp>BDP|3251587766757260223</stp>
        <tr r="Q1570" s="2"/>
      </tp>
      <tp t="s">
        <v>#N/A N/A</v>
        <stp/>
        <stp>BDS|1407515045664419181</stp>
        <tr r="I529" s="2"/>
      </tp>
      <tp t="s">
        <v>#N/A N/A</v>
        <stp/>
        <stp>BDP|1720646987093166991</stp>
        <tr r="E319" s="2"/>
      </tp>
      <tp t="s">
        <v>#N/A N/A</v>
        <stp/>
        <stp>BDP|2003381956189265805</stp>
        <tr r="A738" s="2"/>
      </tp>
      <tp t="s">
        <v>#N/A N/A</v>
        <stp/>
        <stp>BDP|6312897797301824394</stp>
        <tr r="O950" s="2"/>
      </tp>
      <tp t="s">
        <v>#N/A N/A</v>
        <stp/>
        <stp>BDP|8110413013369674195</stp>
        <tr r="H218" s="2"/>
      </tp>
      <tp t="s">
        <v>#N/A N/A</v>
        <stp/>
        <stp>BDP|4268242902686105591</stp>
        <tr r="G1302" s="2"/>
      </tp>
      <tp t="s">
        <v>#N/A N/A</v>
        <stp/>
        <stp>BDP|7725583516384482219</stp>
        <tr r="E347" s="2"/>
      </tp>
      <tp t="s">
        <v>#N/A N/A</v>
        <stp/>
        <stp>BDP|7677642464773802120</stp>
        <tr r="D1610" s="2"/>
      </tp>
      <tp t="s">
        <v>#N/A N/A</v>
        <stp/>
        <stp>BDP|6114285303411236041</stp>
        <tr r="R1937" s="2"/>
      </tp>
      <tp t="s">
        <v>#N/A N/A</v>
        <stp/>
        <stp>BDP|5179182703496615702</stp>
        <tr r="K1608" s="2"/>
      </tp>
      <tp t="s">
        <v>#N/A N/A</v>
        <stp/>
        <stp>BDP|5456735556565967741</stp>
        <tr r="C250" s="2"/>
      </tp>
      <tp t="s">
        <v>#N/A N/A</v>
        <stp/>
        <stp>BDP|3748575512376671487</stp>
        <tr r="M1561" s="2"/>
      </tp>
      <tp t="s">
        <v>#N/A N/A</v>
        <stp/>
        <stp>BDP|3464037465576731692</stp>
        <tr r="J2171" s="2"/>
      </tp>
      <tp t="s">
        <v>#N/A N/A</v>
        <stp/>
        <stp>BDP|4681736262943960324</stp>
        <tr r="C2028" s="2"/>
      </tp>
      <tp t="s">
        <v>#N/A N/A</v>
        <stp/>
        <stp>BDP|2332731010785869446</stp>
        <tr r="E736" s="2"/>
      </tp>
      <tp t="s">
        <v>#N/A N/A</v>
        <stp/>
        <stp>BDP|1994402167884411267</stp>
        <tr r="H222" s="2"/>
      </tp>
      <tp t="s">
        <v>#N/A N/A</v>
        <stp/>
        <stp>BDS|8497191014799702429</stp>
        <tr r="I1701" s="2"/>
      </tp>
      <tp t="s">
        <v>#N/A N/A</v>
        <stp/>
        <stp>BDP|8070562698689033825</stp>
        <tr r="C2097" s="2"/>
      </tp>
      <tp t="s">
        <v>#N/A N/A</v>
        <stp/>
        <stp>BDP|3034655732416865530</stp>
        <tr r="S1879" s="2"/>
      </tp>
      <tp t="s">
        <v>#N/A N/A</v>
        <stp/>
        <stp>BDP|3992109777420190039</stp>
        <tr r="G2010" s="2"/>
      </tp>
      <tp t="s">
        <v>#N/A N/A</v>
        <stp/>
        <stp>BDP|6469847058468518610</stp>
        <tr r="S603" s="2"/>
      </tp>
      <tp t="s">
        <v>#N/A N/A</v>
        <stp/>
        <stp>BDP|9370756968518598579</stp>
        <tr r="S1402" s="2"/>
      </tp>
      <tp t="s">
        <v>#N/A N/A</v>
        <stp/>
        <stp>BDP|1658089092698773579</stp>
        <tr r="E1492" s="2"/>
      </tp>
      <tp t="s">
        <v>#N/A N/A</v>
        <stp/>
        <stp>BDP|1674729716817820560</stp>
        <tr r="D1975" s="2"/>
      </tp>
      <tp t="s">
        <v>#N/A N/A</v>
        <stp/>
        <stp>BDP|4300501434000227797</stp>
        <tr r="K1345" s="2"/>
      </tp>
      <tp t="s">
        <v>#N/A N/A</v>
        <stp/>
        <stp>BDP|8896998947751333191</stp>
        <tr r="D2223" s="2"/>
      </tp>
      <tp t="s">
        <v>#N/A N/A</v>
        <stp/>
        <stp>BDP|7505290665210165643</stp>
        <tr r="M318" s="2"/>
      </tp>
      <tp t="s">
        <v>#N/A N/A</v>
        <stp/>
        <stp>BDP|6876958825468355079</stp>
        <tr r="G1421" s="2"/>
      </tp>
      <tp t="s">
        <v>#N/A N/A</v>
        <stp/>
        <stp>BDP|3989719612602281248</stp>
        <tr r="Q1567" s="2"/>
      </tp>
      <tp t="s">
        <v>#N/A N/A</v>
        <stp/>
        <stp>BDP|5237537764214879716</stp>
        <tr r="H1228" s="2"/>
      </tp>
      <tp t="s">
        <v>#N/A N/A</v>
        <stp/>
        <stp>BDP|7871014923096161673</stp>
        <tr r="K482" s="2"/>
      </tp>
      <tp t="s">
        <v>#N/A N/A</v>
        <stp/>
        <stp>BDP|5225154405590667183</stp>
        <tr r="D1615" s="2"/>
      </tp>
      <tp t="s">
        <v>#N/A N/A</v>
        <stp/>
        <stp>BDP|4468672511406976071</stp>
        <tr r="O1887" s="2"/>
      </tp>
      <tp t="s">
        <v>#N/A N/A</v>
        <stp/>
        <stp>BDP|6098684385594015900</stp>
        <tr r="S2061" s="2"/>
      </tp>
      <tp t="s">
        <v>#N/A N/A</v>
        <stp/>
        <stp>BDP|9454128796967852358</stp>
        <tr r="D2169" s="2"/>
      </tp>
      <tp t="s">
        <v>#N/A N/A</v>
        <stp/>
        <stp>BDP|7875934581774647719</stp>
        <tr r="O1508" s="2"/>
      </tp>
      <tp t="s">
        <v>#N/A N/A</v>
        <stp/>
        <stp>BDP|6098261938285346707</stp>
        <tr r="F959" s="2"/>
      </tp>
      <tp t="s">
        <v>#N/A N/A</v>
        <stp/>
        <stp>BDP|2198728710455681484</stp>
        <tr r="G973" s="2"/>
      </tp>
      <tp t="s">
        <v>#N/A N/A</v>
        <stp/>
        <stp>BDP|3192093675532373330</stp>
        <tr r="O1592" s="2"/>
      </tp>
      <tp t="s">
        <v>#N/A N/A</v>
        <stp/>
        <stp>BDP|8323913884884276896</stp>
        <tr r="G2235" s="2"/>
      </tp>
      <tp t="s">
        <v>#N/A N/A</v>
        <stp/>
        <stp>BDP|1741589005313010277</stp>
        <tr r="O399" s="2"/>
      </tp>
      <tp t="s">
        <v>#N/A N/A</v>
        <stp/>
        <stp>BDS|4283885596713168307</stp>
        <tr r="I364" s="2"/>
      </tp>
      <tp t="s">
        <v>#N/A N/A</v>
        <stp/>
        <stp>BDP|6674888993830686267</stp>
        <tr r="S1472" s="2"/>
      </tp>
      <tp t="s">
        <v>#N/A N/A</v>
        <stp/>
        <stp>BDP|3828100420004508109</stp>
        <tr r="H863" s="2"/>
      </tp>
      <tp t="s">
        <v>#N/A N/A</v>
        <stp/>
        <stp>BDP|1361322210874414286</stp>
        <tr r="Q866" s="2"/>
      </tp>
      <tp t="s">
        <v>#N/A N/A</v>
        <stp/>
        <stp>BDP|5644676246417385595</stp>
        <tr r="M1328" s="2"/>
      </tp>
      <tp t="s">
        <v>#N/A N/A</v>
        <stp/>
        <stp>BDP|5966328889508986368</stp>
        <tr r="A1960" s="2"/>
      </tp>
      <tp t="s">
        <v>#N/A N/A</v>
        <stp/>
        <stp>BDP|5196983992539507934</stp>
        <tr r="N1390" s="2"/>
      </tp>
      <tp t="s">
        <v>#N/A N/A</v>
        <stp/>
        <stp>BDP|9195955448407566644</stp>
        <tr r="K213" s="2"/>
      </tp>
      <tp t="s">
        <v>#N/A N/A</v>
        <stp/>
        <stp>BDP|9427925779700098223</stp>
        <tr r="N36" s="2"/>
      </tp>
      <tp t="s">
        <v>#N/A N/A</v>
        <stp/>
        <stp>BDP|3289603979214333357</stp>
        <tr r="N1429" s="2"/>
      </tp>
      <tp t="s">
        <v>#N/A N/A</v>
        <stp/>
        <stp>BDP|2937603206207286607</stp>
        <tr r="T185" s="2"/>
      </tp>
      <tp t="s">
        <v>#N/A N/A</v>
        <stp/>
        <stp>BDP|9882407093606277742</stp>
        <tr r="N1934" s="2"/>
      </tp>
      <tp t="s">
        <v>#N/A N/A</v>
        <stp/>
        <stp>BDP|1492781115500135252</stp>
        <tr r="K146" s="2"/>
      </tp>
      <tp t="s">
        <v>#N/A N/A</v>
        <stp/>
        <stp>BDP|4730335499838411343</stp>
        <tr r="G1252" s="2"/>
      </tp>
      <tp t="s">
        <v>#N/A N/A</v>
        <stp/>
        <stp>BDP|5062819668359460706</stp>
        <tr r="H847" s="2"/>
      </tp>
      <tp t="s">
        <v>#N/A N/A</v>
        <stp/>
        <stp>BDP|6804516863593267359</stp>
        <tr r="E636" s="2"/>
      </tp>
      <tp t="s">
        <v>#N/A N/A</v>
        <stp/>
        <stp>BDP|1358923775638981204</stp>
        <tr r="Q2025" s="2"/>
      </tp>
      <tp t="s">
        <v>#N/A N/A</v>
        <stp/>
        <stp>BDP|5723525959528875899</stp>
        <tr r="F1247" s="2"/>
      </tp>
      <tp t="s">
        <v>#N/A N/A</v>
        <stp/>
        <stp>BDP|4022420833470496683</stp>
        <tr r="R189" s="2"/>
      </tp>
      <tp t="s">
        <v>#N/A N/A</v>
        <stp/>
        <stp>BDS|4051584605964077003</stp>
        <tr r="I1581" s="2"/>
      </tp>
      <tp t="s">
        <v>#N/A N/A</v>
        <stp/>
        <stp>BDP|1933518015359071900</stp>
        <tr r="T876" s="2"/>
      </tp>
      <tp t="s">
        <v>#N/A N/A</v>
        <stp/>
        <stp>BDP|5288115134392821023</stp>
        <tr r="K795" s="2"/>
      </tp>
      <tp t="s">
        <v>#N/A N/A</v>
        <stp/>
        <stp>BDP|1798330146360902365</stp>
        <tr r="Q584" s="2"/>
      </tp>
      <tp t="s">
        <v>#N/A N/A</v>
        <stp/>
        <stp>BDP|8818601609842525995</stp>
        <tr r="N1474" s="2"/>
      </tp>
      <tp t="s">
        <v>#N/A N/A</v>
        <stp/>
        <stp>BDP|3974162528620957538</stp>
        <tr r="H568" s="2"/>
      </tp>
      <tp t="s">
        <v>#N/A N/A</v>
        <stp/>
        <stp>BDP|1643317319855355300</stp>
        <tr r="K1321" s="2"/>
      </tp>
      <tp t="s">
        <v>#N/A N/A</v>
        <stp/>
        <stp>BDP|3998185386186333990</stp>
        <tr r="C111" s="2"/>
      </tp>
      <tp t="s">
        <v>#N/A N/A</v>
        <stp/>
        <stp>BDP|2765952579278019169</stp>
        <tr r="R97" s="2"/>
      </tp>
      <tp t="s">
        <v>#N/A N/A</v>
        <stp/>
        <stp>BDP|4020468319491353515</stp>
        <tr r="T687" s="2"/>
      </tp>
      <tp t="s">
        <v>#N/A N/A</v>
        <stp/>
        <stp>BDP|5419405070603940008</stp>
        <tr r="O163" s="2"/>
      </tp>
      <tp t="s">
        <v>#N/A N/A</v>
        <stp/>
        <stp>BDP|4572710410800972709</stp>
        <tr r="R661" s="2"/>
      </tp>
      <tp t="s">
        <v>#N/A N/A</v>
        <stp/>
        <stp>BDP|6637477837001319584</stp>
        <tr r="Q1510" s="2"/>
      </tp>
      <tp t="s">
        <v>#N/A N/A</v>
        <stp/>
        <stp>BDP|7097241772867326083</stp>
        <tr r="Q2242" s="2"/>
      </tp>
      <tp t="s">
        <v>#N/A N/A</v>
        <stp/>
        <stp>BDP|7130500066320383199</stp>
        <tr r="P1170" s="2"/>
      </tp>
      <tp t="s">
        <v>#N/A N/A</v>
        <stp/>
        <stp>BDP|2827394989065367961</stp>
        <tr r="S284" s="2"/>
      </tp>
      <tp t="s">
        <v>#N/A N/A</v>
        <stp/>
        <stp>BDP|7433403292566348980</stp>
        <tr r="F1101" s="2"/>
      </tp>
      <tp t="s">
        <v>#N/A N/A</v>
        <stp/>
        <stp>BDP|1819018732664070369</stp>
        <tr r="R1622" s="2"/>
      </tp>
      <tp t="s">
        <v>#N/A N/A</v>
        <stp/>
        <stp>BDP|7230252025104938662</stp>
        <tr r="E1974" s="2"/>
      </tp>
      <tp t="s">
        <v>#N/A N/A</v>
        <stp/>
        <stp>BDP|9129872728043012530</stp>
        <tr r="N1070" s="2"/>
      </tp>
      <tp t="s">
        <v>#N/A N/A</v>
        <stp/>
        <stp>BDP|9375228392961739694</stp>
        <tr r="M2098" s="2"/>
      </tp>
      <tp t="s">
        <v>#N/A N/A</v>
        <stp/>
        <stp>BDP|5850135852695478101</stp>
        <tr r="O1653" s="2"/>
      </tp>
      <tp t="s">
        <v>#N/A N/A</v>
        <stp/>
        <stp>BDP|3912264680264217805</stp>
        <tr r="Q191" s="2"/>
      </tp>
      <tp t="s">
        <v>#N/A N/A</v>
        <stp/>
        <stp>BDP|1635676298803091847</stp>
        <tr r="H1450" s="2"/>
      </tp>
      <tp t="s">
        <v>#N/A N/A</v>
        <stp/>
        <stp>BDP|5573384328447803604</stp>
        <tr r="K2056" s="2"/>
      </tp>
      <tp t="s">
        <v>#N/A N/A</v>
        <stp/>
        <stp>BDP|1751280230075075021</stp>
        <tr r="D2040" s="2"/>
      </tp>
      <tp t="s">
        <v>#N/A N/A</v>
        <stp/>
        <stp>BDP|2072014050562908055</stp>
        <tr r="A359" s="2"/>
      </tp>
      <tp t="s">
        <v>#N/A N/A</v>
        <stp/>
        <stp>BDP|1966542572994084226</stp>
        <tr r="K474" s="2"/>
      </tp>
      <tp t="s">
        <v>#N/A N/A</v>
        <stp/>
        <stp>BDP|2620108578378085933</stp>
        <tr r="E1983" s="2"/>
      </tp>
      <tp t="s">
        <v>#N/A N/A</v>
        <stp/>
        <stp>BDP|3289603355893323693</stp>
        <tr r="H1975" s="2"/>
      </tp>
      <tp t="s">
        <v>#N/A N/A</v>
        <stp/>
        <stp>BDP|6666620759692239221</stp>
        <tr r="Q735" s="2"/>
      </tp>
      <tp t="s">
        <v>#N/A N/A</v>
        <stp/>
        <stp>BDP|4374190866662338420</stp>
        <tr r="M1913" s="2"/>
      </tp>
      <tp t="s">
        <v>#N/A N/A</v>
        <stp/>
        <stp>BDS|6550014559675030305</stp>
        <tr r="I1018" s="2"/>
      </tp>
      <tp t="s">
        <v>#N/A N/A</v>
        <stp/>
        <stp>BDP|5163192549795993058</stp>
        <tr r="D928" s="2"/>
      </tp>
      <tp t="s">
        <v>#N/A N/A</v>
        <stp/>
        <stp>BDP|2056590908352807044</stp>
        <tr r="E971" s="2"/>
      </tp>
      <tp t="s">
        <v>#N/A N/A</v>
        <stp/>
        <stp>BDP|7842819096450299302</stp>
        <tr r="K819" s="2"/>
      </tp>
      <tp t="s">
        <v>#N/A N/A</v>
        <stp/>
        <stp>BDP|8386749049528681659</stp>
        <tr r="K1443" s="2"/>
      </tp>
      <tp t="s">
        <v>#N/A N/A</v>
        <stp/>
        <stp>BDP|5596289716917297445</stp>
        <tr r="H1354" s="2"/>
      </tp>
      <tp t="s">
        <v>#N/A N/A</v>
        <stp/>
        <stp>BDP|3881173597428536609</stp>
        <tr r="K1654" s="2"/>
      </tp>
      <tp t="s">
        <v>#N/A N/A</v>
        <stp/>
        <stp>BDP|6263739449007786722</stp>
        <tr r="M733" s="2"/>
      </tp>
      <tp t="s">
        <v>#N/A N/A</v>
        <stp/>
        <stp>BDP|8681759192160474382</stp>
        <tr r="N1570" s="2"/>
      </tp>
      <tp t="s">
        <v>#N/A N/A</v>
        <stp/>
        <stp>BDP|2829609330964204677</stp>
        <tr r="A1200" s="2"/>
      </tp>
      <tp t="s">
        <v>#N/A N/A</v>
        <stp/>
        <stp>BDS|1174791724733159202</stp>
        <tr r="I1439" s="2"/>
      </tp>
      <tp t="s">
        <v>#N/A N/A</v>
        <stp/>
        <stp>BDP|6698435563464890534</stp>
        <tr r="G1898" s="2"/>
      </tp>
      <tp t="s">
        <v>#N/A N/A</v>
        <stp/>
        <stp>BDP|8829848221545224228</stp>
        <tr r="Q615" s="2"/>
      </tp>
      <tp t="s">
        <v>#N/A N/A</v>
        <stp/>
        <stp>BDP|5408138750227279389</stp>
        <tr r="D876" s="2"/>
      </tp>
      <tp t="s">
        <v>#N/A N/A</v>
        <stp/>
        <stp>BDS|5015856185564926447</stp>
        <tr r="I2086" s="2"/>
      </tp>
      <tp t="s">
        <v>#N/A N/A</v>
        <stp/>
        <stp>BDP|2326360849648767866</stp>
        <tr r="T1154" s="2"/>
      </tp>
      <tp t="s">
        <v>#N/A N/A</v>
        <stp/>
        <stp>BDP|6924054600281032213</stp>
        <tr r="M1393" s="2"/>
      </tp>
      <tp t="s">
        <v>#N/A N/A</v>
        <stp/>
        <stp>BDP|1923234906515929386</stp>
        <tr r="G261" s="2"/>
      </tp>
      <tp t="s">
        <v>#N/A N/A</v>
        <stp/>
        <stp>BDP|4325391506431631373</stp>
        <tr r="D468" s="2"/>
      </tp>
      <tp t="s">
        <v>#N/A N/A</v>
        <stp/>
        <stp>BDP|8451622299985780751</stp>
        <tr r="H394" s="2"/>
      </tp>
      <tp t="s">
        <v>#N/A N/A</v>
        <stp/>
        <stp>BDP|6075045499522895888</stp>
        <tr r="O2156" s="2"/>
      </tp>
      <tp t="s">
        <v>#N/A N/A</v>
        <stp/>
        <stp>BDP|8631723395836592597</stp>
        <tr r="C2209" s="2"/>
      </tp>
      <tp t="s">
        <v>#N/A N/A</v>
        <stp/>
        <stp>BDP|2878490594072965817</stp>
        <tr r="S231" s="2"/>
      </tp>
      <tp t="s">
        <v>#N/A N/A</v>
        <stp/>
        <stp>BDP|3438131729713171624</stp>
        <tr r="N1142" s="2"/>
      </tp>
      <tp t="s">
        <v>#N/A N/A</v>
        <stp/>
        <stp>BDP|6428788325764735238</stp>
        <tr r="H1028" s="2"/>
      </tp>
      <tp t="s">
        <v>#N/A N/A</v>
        <stp/>
        <stp>BDP|2737493320160459172</stp>
        <tr r="K414" s="2"/>
      </tp>
      <tp t="s">
        <v>#N/A N/A</v>
        <stp/>
        <stp>BDP|4759223729654470551</stp>
        <tr r="O175" s="2"/>
      </tp>
      <tp t="s">
        <v>#N/A N/A</v>
        <stp/>
        <stp>BDP|3285463741361291758</stp>
        <tr r="J1394" s="2"/>
      </tp>
      <tp t="s">
        <v>#N/A N/A</v>
        <stp/>
        <stp>BDP|7960137839981505141</stp>
        <tr r="H1896" s="2"/>
      </tp>
      <tp t="s">
        <v>#N/A N/A</v>
        <stp/>
        <stp>BDP|5828662945795199787</stp>
        <tr r="E714" s="2"/>
      </tp>
      <tp t="s">
        <v>#N/A N/A</v>
        <stp/>
        <stp>BDP|8576449906278509105</stp>
        <tr r="T1293" s="2"/>
      </tp>
      <tp t="s">
        <v>#N/A N/A</v>
        <stp/>
        <stp>BDP|3134579960594218167</stp>
        <tr r="Q1564" s="2"/>
      </tp>
      <tp t="s">
        <v>#N/A N/A</v>
        <stp/>
        <stp>BDP|6527327106635098533</stp>
        <tr r="D2062" s="2"/>
      </tp>
      <tp t="s">
        <v>#N/A N/A</v>
        <stp/>
        <stp>BDP|7084672857776661742</stp>
        <tr r="T2191" s="2"/>
      </tp>
      <tp t="s">
        <v>#N/A N/A</v>
        <stp/>
        <stp>BDP|2005229130812302439</stp>
        <tr r="Q376" s="2"/>
      </tp>
      <tp t="s">
        <v>#N/A N/A</v>
        <stp/>
        <stp>BDP|2176743678915831276</stp>
        <tr r="Q1213" s="2"/>
      </tp>
      <tp t="s">
        <v>#N/A N/A</v>
        <stp/>
        <stp>BDP|2228701005880611032</stp>
        <tr r="R1819" s="2"/>
      </tp>
      <tp t="s">
        <v>#N/A N/A</v>
        <stp/>
        <stp>BDP|7588036353635597229</stp>
        <tr r="G1190" s="2"/>
      </tp>
      <tp t="s">
        <v>#N/A N/A</v>
        <stp/>
        <stp>BDP|2900575731369853858</stp>
        <tr r="A1458" s="2"/>
      </tp>
      <tp t="s">
        <v>#N/A N/A</v>
        <stp/>
        <stp>BDP|7477620549016441698</stp>
        <tr r="O1409" s="2"/>
      </tp>
      <tp t="s">
        <v>#N/A N/A</v>
        <stp/>
        <stp>BDP|5484115292820478819</stp>
        <tr r="Q2028" s="2"/>
      </tp>
      <tp t="s">
        <v>#N/A N/A</v>
        <stp/>
        <stp>BDS|2035347502893604724</stp>
        <tr r="I1568" s="2"/>
      </tp>
      <tp t="s">
        <v>#N/A N/A</v>
        <stp/>
        <stp>BDP|5910482833904246325</stp>
        <tr r="A235" s="2"/>
      </tp>
      <tp t="s">
        <v>#N/A N/A</v>
        <stp/>
        <stp>BDP|2787412710617528515</stp>
        <tr r="R2048" s="2"/>
      </tp>
      <tp t="s">
        <v>#N/A N/A</v>
        <stp/>
        <stp>BDP|8723700904812052814</stp>
        <tr r="Q1214" s="2"/>
      </tp>
      <tp t="s">
        <v>#N/A N/A</v>
        <stp/>
        <stp>BDP|4193324356881694616</stp>
        <tr r="N1126" s="2"/>
      </tp>
      <tp t="s">
        <v>#N/A N/A</v>
        <stp/>
        <stp>BDP|9422900877411887394</stp>
        <tr r="J1098" s="2"/>
      </tp>
      <tp t="s">
        <v>#N/A N/A</v>
        <stp/>
        <stp>BDP|1685262073438429956</stp>
        <tr r="C1919" s="2"/>
      </tp>
      <tp t="s">
        <v>#N/A N/A</v>
        <stp/>
        <stp>BDP|6451644817192028658</stp>
        <tr r="G2202" s="2"/>
      </tp>
      <tp t="s">
        <v>#N/A N/A</v>
        <stp/>
        <stp>BDP|1084487937586454592</stp>
        <tr r="S1579" s="2"/>
      </tp>
      <tp t="s">
        <v>#N/A N/A</v>
        <stp/>
        <stp>BDP|2683233535831087726</stp>
        <tr r="G1715" s="2"/>
      </tp>
      <tp t="s">
        <v>#N/A N/A</v>
        <stp/>
        <stp>BDP|7574624744328143809</stp>
        <tr r="D48" s="2"/>
      </tp>
      <tp t="s">
        <v>#N/A N/A</v>
        <stp/>
        <stp>BDP|6124059271485722100</stp>
        <tr r="N522" s="2"/>
      </tp>
      <tp t="s">
        <v>#N/A N/A</v>
        <stp/>
        <stp>BDP|9785073950459463064</stp>
        <tr r="A462" s="2"/>
      </tp>
      <tp t="s">
        <v>#N/A N/A</v>
        <stp/>
        <stp>BDP|6518510440752788012</stp>
        <tr r="J1909" s="2"/>
      </tp>
      <tp t="s">
        <v>#N/A N/A</v>
        <stp/>
        <stp>BDP|8326801965752198151</stp>
        <tr r="R401" s="2"/>
      </tp>
      <tp t="s">
        <v>#N/A N/A</v>
        <stp/>
        <stp>BDP|9792417881191686138</stp>
        <tr r="F1383" s="2"/>
      </tp>
      <tp t="s">
        <v>#N/A N/A</v>
        <stp/>
        <stp>BDP|2469154912074540349</stp>
        <tr r="R1918" s="2"/>
      </tp>
      <tp t="s">
        <v>#N/A N/A</v>
        <stp/>
        <stp>BDP|4469605226594785171</stp>
        <tr r="T287" s="2"/>
      </tp>
      <tp t="s">
        <v>#N/A N/A</v>
        <stp/>
        <stp>BDP|4700611862806269740</stp>
        <tr r="P178" s="2"/>
      </tp>
      <tp t="s">
        <v>#N/A N/A</v>
        <stp/>
        <stp>BDP|6221361927603529148</stp>
        <tr r="D1467" s="2"/>
      </tp>
      <tp t="s">
        <v>#N/A N/A</v>
        <stp/>
        <stp>BDP|5676435182848239476</stp>
        <tr r="N21" s="2"/>
      </tp>
      <tp t="s">
        <v>#N/A N/A</v>
        <stp/>
        <stp>BDP|2190683028852250119</stp>
        <tr r="G1631" s="2"/>
      </tp>
      <tp t="s">
        <v>#N/A N/A</v>
        <stp/>
        <stp>BDP|9121956647435395427</stp>
        <tr r="T184" s="2"/>
      </tp>
      <tp t="s">
        <v>#N/A N/A</v>
        <stp/>
        <stp>BDP|2362422732679650979</stp>
        <tr r="N1369" s="2"/>
      </tp>
      <tp t="s">
        <v>#N/A N/A</v>
        <stp/>
        <stp>BDP|4607121055956110327</stp>
        <tr r="J1495" s="2"/>
      </tp>
      <tp t="s">
        <v>#N/A N/A</v>
        <stp/>
        <stp>BDP|3565957101749393601</stp>
        <tr r="G869" s="2"/>
      </tp>
      <tp t="s">
        <v>#N/A N/A</v>
        <stp/>
        <stp>BDP|3415707151283386742</stp>
        <tr r="P770" s="2"/>
      </tp>
      <tp t="s">
        <v>#N/A N/A</v>
        <stp/>
        <stp>BDP|8824906118423072626</stp>
        <tr r="P1152" s="2"/>
      </tp>
      <tp t="s">
        <v>#N/A N/A</v>
        <stp/>
        <stp>BDP|4389915676887730817</stp>
        <tr r="Q1643" s="2"/>
      </tp>
      <tp t="s">
        <v>#N/A N/A</v>
        <stp/>
        <stp>BDP|1715562334045562724</stp>
        <tr r="S2245" s="2"/>
      </tp>
      <tp t="s">
        <v>#N/A N/A</v>
        <stp/>
        <stp>BDP|5038251031399551835</stp>
        <tr r="R1124" s="2"/>
      </tp>
      <tp t="s">
        <v>#N/A N/A</v>
        <stp/>
        <stp>BDP|8631920512750562513</stp>
        <tr r="M413" s="2"/>
      </tp>
      <tp t="s">
        <v>#N/A N/A</v>
        <stp/>
        <stp>BDP|7609042154317517011</stp>
        <tr r="O803" s="2"/>
      </tp>
      <tp t="s">
        <v>#N/A N/A</v>
        <stp/>
        <stp>BDP|9500950567371576204</stp>
        <tr r="T305" s="2"/>
      </tp>
      <tp t="s">
        <v>#N/A N/A</v>
        <stp/>
        <stp>BDP|1325405204128253873</stp>
        <tr r="R1546" s="2"/>
      </tp>
      <tp t="s">
        <v>#N/A N/A</v>
        <stp/>
        <stp>BDP|9319545617781557976</stp>
        <tr r="P1694" s="2"/>
      </tp>
      <tp t="s">
        <v>#N/A N/A</v>
        <stp/>
        <stp>BDP|6292289162635331295</stp>
        <tr r="N510" s="2"/>
      </tp>
      <tp t="s">
        <v>#N/A N/A</v>
        <stp/>
        <stp>BDP|5528701255052560075</stp>
        <tr r="R1936" s="2"/>
      </tp>
      <tp t="s">
        <v>#N/A N/A</v>
        <stp/>
        <stp>BDP|7619348766461041669</stp>
        <tr r="P903" s="2"/>
      </tp>
      <tp t="s">
        <v>#N/A N/A</v>
        <stp/>
        <stp>BDP|1712401004647142701</stp>
        <tr r="A362" s="2"/>
      </tp>
      <tp t="s">
        <v>#N/A N/A</v>
        <stp/>
        <stp>BDP|5097219324278067877</stp>
        <tr r="P438" s="2"/>
      </tp>
      <tp t="s">
        <v>#N/A N/A</v>
        <stp/>
        <stp>BDP|5770964624529720207</stp>
        <tr r="P1599" s="2"/>
      </tp>
      <tp t="s">
        <v>#N/A N/A</v>
        <stp/>
        <stp>BDP|7306825301572121831</stp>
        <tr r="T1860" s="2"/>
      </tp>
      <tp t="s">
        <v>#N/A N/A</v>
        <stp/>
        <stp>BDP|5975032953541224491</stp>
        <tr r="A1406" s="2"/>
      </tp>
      <tp t="s">
        <v>#N/A N/A</v>
        <stp/>
        <stp>BDP|5169338670805362133</stp>
        <tr r="N19" s="2"/>
      </tp>
      <tp t="s">
        <v>#N/A N/A</v>
        <stp/>
        <stp>BDP|8359618947098267758</stp>
        <tr r="F2119" s="2"/>
      </tp>
      <tp t="s">
        <v>#N/A N/A</v>
        <stp/>
        <stp>BDP|5193332901144007719</stp>
        <tr r="A224" s="2"/>
      </tp>
      <tp t="s">
        <v>#N/A N/A</v>
        <stp/>
        <stp>BDP|8438411506131848895</stp>
        <tr r="D1180" s="2"/>
      </tp>
      <tp t="s">
        <v>#N/A N/A</v>
        <stp/>
        <stp>BDP|7131065474347510246</stp>
        <tr r="Q881" s="2"/>
      </tp>
      <tp t="s">
        <v>#N/A N/A</v>
        <stp/>
        <stp>BDP|3624977452903092917</stp>
        <tr r="E1012" s="2"/>
      </tp>
      <tp t="s">
        <v>#N/A N/A</v>
        <stp/>
        <stp>BDP|3298189711207805110</stp>
        <tr r="M617" s="2"/>
      </tp>
      <tp t="s">
        <v>#N/A N/A</v>
        <stp/>
        <stp>BDS|8055867526007601044</stp>
        <tr r="I866" s="2"/>
      </tp>
      <tp t="s">
        <v>#N/A N/A</v>
        <stp/>
        <stp>BDP|8112861773307507536</stp>
        <tr r="K269" s="2"/>
      </tp>
      <tp t="s">
        <v>#N/A N/A</v>
        <stp/>
        <stp>BDP|8605755240786950882</stp>
        <tr r="F1859" s="2"/>
      </tp>
      <tp t="s">
        <v>#N/A N/A</v>
        <stp/>
        <stp>BDP|4206761905584431273</stp>
        <tr r="C869" s="2"/>
      </tp>
      <tp t="s">
        <v>#N/A N/A</v>
        <stp/>
        <stp>BDP|4962043279246756016</stp>
        <tr r="K1641" s="2"/>
      </tp>
      <tp t="s">
        <v>#N/A N/A</v>
        <stp/>
        <stp>BDP|9111135004359417402</stp>
        <tr r="G2199" s="2"/>
      </tp>
      <tp t="s">
        <v>#N/A N/A</v>
        <stp/>
        <stp>BDP|7168113611497450573</stp>
        <tr r="F1643" s="2"/>
      </tp>
      <tp t="s">
        <v>#N/A N/A</v>
        <stp/>
        <stp>BDP|4706651625743598608</stp>
        <tr r="N210" s="2"/>
      </tp>
      <tp t="s">
        <v>#N/A N/A</v>
        <stp/>
        <stp>BDP|6072011126196253775</stp>
        <tr r="H177" s="2"/>
      </tp>
      <tp t="s">
        <v>#N/A N/A</v>
        <stp/>
        <stp>BDP|7096255814552360308</stp>
        <tr r="H2089" s="2"/>
      </tp>
      <tp t="s">
        <v>#N/A N/A</v>
        <stp/>
        <stp>BDP|8071428088237926619</stp>
        <tr r="E179" s="2"/>
      </tp>
      <tp t="s">
        <v>#N/A N/A</v>
        <stp/>
        <stp>BDP|4445740710117635040</stp>
        <tr r="P360" s="2"/>
      </tp>
      <tp t="s">
        <v>#N/A N/A</v>
        <stp/>
        <stp>BDP|9020835208515125186</stp>
        <tr r="G760" s="2"/>
      </tp>
      <tp t="s">
        <v>#N/A N/A</v>
        <stp/>
        <stp>BDP|1359054314493851686</stp>
        <tr r="T1140" s="2"/>
      </tp>
      <tp t="s">
        <v>#N/A N/A</v>
        <stp/>
        <stp>BDP|4673692413206675086</stp>
        <tr r="A1711" s="2"/>
      </tp>
      <tp t="s">
        <v>#N/A N/A</v>
        <stp/>
        <stp>BDS|4209527386615217965</stp>
        <tr r="I414" s="2"/>
      </tp>
      <tp t="s">
        <v>#N/A N/A</v>
        <stp/>
        <stp>BDP|7955001668296102220</stp>
        <tr r="F1493" s="2"/>
      </tp>
      <tp t="s">
        <v>#N/A N/A</v>
        <stp/>
        <stp>BDP|9740994656436385685</stp>
        <tr r="T1438" s="2"/>
      </tp>
      <tp t="s">
        <v>#N/A N/A</v>
        <stp/>
        <stp>BDP|7940900729729634059</stp>
        <tr r="N1621" s="2"/>
      </tp>
      <tp t="s">
        <v>#N/A N/A</v>
        <stp/>
        <stp>BDP|6767352232180640358</stp>
        <tr r="C154" s="2"/>
      </tp>
      <tp t="s">
        <v>#N/A N/A</v>
        <stp/>
        <stp>BDP|4212282934053991343</stp>
        <tr r="D1445" s="2"/>
      </tp>
      <tp t="s">
        <v>#N/A N/A</v>
        <stp/>
        <stp>BDP|9212834126380272668</stp>
        <tr r="A487" s="2"/>
      </tp>
      <tp t="s">
        <v>#N/A N/A</v>
        <stp/>
        <stp>BDP|7043279123053272152</stp>
        <tr r="A1948" s="2"/>
      </tp>
      <tp t="s">
        <v>#N/A N/A</v>
        <stp/>
        <stp>BDP|9295098773978293399</stp>
        <tr r="R2068" s="2"/>
      </tp>
      <tp t="s">
        <v>#N/A N/A</v>
        <stp/>
        <stp>BDP|8304954233624424328</stp>
        <tr r="G894" s="2"/>
      </tp>
      <tp t="s">
        <v>#N/A N/A</v>
        <stp/>
        <stp>BDP|7676778360223726057</stp>
        <tr r="R602" s="2"/>
      </tp>
      <tp t="s">
        <v>#N/A N/A</v>
        <stp/>
        <stp>BDP|5502397909406624509</stp>
        <tr r="Q1133" s="2"/>
      </tp>
      <tp t="s">
        <v>#N/A N/A</v>
        <stp/>
        <stp>BDP|7392175837670562054</stp>
        <tr r="M1014" s="2"/>
      </tp>
      <tp t="s">
        <v>#N/A N/A</v>
        <stp/>
        <stp>BDP|3102509267432529707</stp>
        <tr r="O1176" s="2"/>
      </tp>
      <tp t="s">
        <v>#N/A N/A</v>
        <stp/>
        <stp>BDP|9057189341209872022</stp>
        <tr r="P240" s="2"/>
      </tp>
      <tp t="s">
        <v>#N/A N/A</v>
        <stp/>
        <stp>BDP|9205745687433096023</stp>
        <tr r="C1748" s="2"/>
      </tp>
      <tp t="s">
        <v>#N/A N/A</v>
        <stp/>
        <stp>BDP|8467757525328696011</stp>
        <tr r="C1663" s="2"/>
      </tp>
      <tp t="s">
        <v>#N/A N/A</v>
        <stp/>
        <stp>BDP|5495062277124548334</stp>
        <tr r="H1720" s="2"/>
      </tp>
      <tp t="s">
        <v>#N/A N/A</v>
        <stp/>
        <stp>BDP|6928339453053378691</stp>
        <tr r="H1389" s="2"/>
      </tp>
      <tp t="s">
        <v>#N/A N/A</v>
        <stp/>
        <stp>BDP|7173853357829233622</stp>
        <tr r="G1250" s="2"/>
      </tp>
      <tp t="s">
        <v>#N/A N/A</v>
        <stp/>
        <stp>BDP|7346528617373276575</stp>
        <tr r="P1680" s="2"/>
      </tp>
      <tp t="s">
        <v>#N/A N/A</v>
        <stp/>
        <stp>BDP|4667137557913901685</stp>
        <tr r="O965" s="2"/>
      </tp>
      <tp t="s">
        <v>#N/A N/A</v>
        <stp/>
        <stp>BDP|9248854841864618434</stp>
        <tr r="N712" s="2"/>
      </tp>
      <tp t="s">
        <v>#N/A N/A</v>
        <stp/>
        <stp>BDP|9291375095062143424</stp>
        <tr r="S331" s="2"/>
      </tp>
      <tp t="s">
        <v>#N/A N/A</v>
        <stp/>
        <stp>BDP|4080613744726113571</stp>
        <tr r="G820" s="2"/>
      </tp>
      <tp t="s">
        <v>#N/A N/A</v>
        <stp/>
        <stp>BDP|4532769154233741030</stp>
        <tr r="A110" s="2"/>
      </tp>
      <tp t="s">
        <v>#N/A N/A</v>
        <stp/>
        <stp>BDP|9747780768955047845</stp>
        <tr r="E1691" s="2"/>
      </tp>
      <tp t="s">
        <v>#N/A N/A</v>
        <stp/>
        <stp>BDP|7570345528422934139</stp>
        <tr r="O933" s="2"/>
      </tp>
      <tp t="s">
        <v>#N/A N/A</v>
        <stp/>
        <stp>BDP|2138316962183402158</stp>
        <tr r="D508" s="2"/>
      </tp>
      <tp t="s">
        <v>#N/A N/A</v>
        <stp/>
        <stp>BDP|7181527088079925612</stp>
        <tr r="J914" s="2"/>
      </tp>
      <tp t="s">
        <v>#N/A N/A</v>
        <stp/>
        <stp>BDP|3572509190293207943</stp>
        <tr r="T1379" s="2"/>
      </tp>
      <tp t="s">
        <v>#N/A N/A</v>
        <stp/>
        <stp>BDP|7682222150172249750</stp>
        <tr r="P67" s="2"/>
      </tp>
      <tp t="s">
        <v>#N/A N/A</v>
        <stp/>
        <stp>BDP|9332893554197963648</stp>
        <tr r="R515" s="2"/>
      </tp>
      <tp t="s">
        <v>#N/A N/A</v>
        <stp/>
        <stp>BDP|3134136643895742656</stp>
        <tr r="S1739" s="2"/>
      </tp>
      <tp t="s">
        <v>#N/A N/A</v>
        <stp/>
        <stp>BDP|6399357356150174527</stp>
        <tr r="O443" s="2"/>
      </tp>
      <tp t="s">
        <v>#N/A N/A</v>
        <stp/>
        <stp>BDP|8601964201626354219</stp>
        <tr r="E1902" s="2"/>
      </tp>
      <tp t="s">
        <v>#N/A N/A</v>
        <stp/>
        <stp>BDS|1175469629743831157</stp>
        <tr r="I243" s="2"/>
      </tp>
      <tp t="s">
        <v>#N/A N/A</v>
        <stp/>
        <stp>BDP|6404945288425983727</stp>
        <tr r="N1380" s="2"/>
      </tp>
      <tp t="s">
        <v>#N/A N/A</v>
        <stp/>
        <stp>BDP|1528974598991014590</stp>
        <tr r="R1957" s="2"/>
      </tp>
      <tp t="s">
        <v>#N/A N/A</v>
        <stp/>
        <stp>BDP|4373498115311933551</stp>
        <tr r="P639" s="2"/>
      </tp>
      <tp t="s">
        <v>#N/A N/A</v>
        <stp/>
        <stp>BDP|3236498632075329497</stp>
        <tr r="O2021" s="2"/>
      </tp>
      <tp t="s">
        <v>#N/A N/A</v>
        <stp/>
        <stp>BDP|9922186998175824129</stp>
        <tr r="Q1731" s="2"/>
      </tp>
      <tp t="s">
        <v>#N/A N/A</v>
        <stp/>
        <stp>BDP|4224718069248980801</stp>
        <tr r="J413" s="2"/>
      </tp>
      <tp t="s">
        <v>#N/A N/A</v>
        <stp/>
        <stp>BDP|8918028588564059108</stp>
        <tr r="F1090" s="2"/>
      </tp>
      <tp t="s">
        <v>#N/A N/A</v>
        <stp/>
        <stp>BDP|5887469635657857003</stp>
        <tr r="T1657" s="2"/>
      </tp>
      <tp t="s">
        <v>#N/A N/A</v>
        <stp/>
        <stp>BDP|2384575962452187640</stp>
        <tr r="N59" s="2"/>
      </tp>
      <tp t="s">
        <v>#N/A N/A</v>
        <stp/>
        <stp>BDP|2692128343086321472</stp>
        <tr r="E981" s="2"/>
      </tp>
      <tp t="s">
        <v>#N/A N/A</v>
        <stp/>
        <stp>BDP|4699853788922068385</stp>
        <tr r="R971" s="2"/>
      </tp>
      <tp t="s">
        <v>#N/A N/A</v>
        <stp/>
        <stp>BDP|6841063551610923653</stp>
        <tr r="D2036" s="2"/>
      </tp>
      <tp t="s">
        <v>#N/A N/A</v>
        <stp/>
        <stp>BDS|7894148847557868001</stp>
        <tr r="I2171" s="2"/>
      </tp>
      <tp t="s">
        <v>#N/A N/A</v>
        <stp/>
        <stp>BDP|9283285362941948920</stp>
        <tr r="N822" s="2"/>
      </tp>
      <tp t="s">
        <v>#N/A N/A</v>
        <stp/>
        <stp>BDP|2859453557534070294</stp>
        <tr r="Q800" s="2"/>
      </tp>
      <tp t="s">
        <v>#N/A N/A</v>
        <stp/>
        <stp>BDP|7625776935241031775</stp>
        <tr r="M1376" s="2"/>
      </tp>
      <tp t="s">
        <v>#N/A N/A</v>
        <stp/>
        <stp>BDP|7072594042126927513</stp>
        <tr r="T1054" s="2"/>
      </tp>
      <tp t="s">
        <v>#N/A N/A</v>
        <stp/>
        <stp>BDP|9610092849398770024</stp>
        <tr r="Q1675" s="2"/>
      </tp>
      <tp t="s">
        <v>#N/A N/A</v>
        <stp/>
        <stp>BDP|6882173947895298399</stp>
        <tr r="R27" s="2"/>
      </tp>
      <tp t="s">
        <v>#N/A N/A</v>
        <stp/>
        <stp>BDP|5066033047612271656</stp>
        <tr r="G1614" s="2"/>
      </tp>
      <tp t="s">
        <v>#N/A N/A</v>
        <stp/>
        <stp>BDP|4029219315331498333</stp>
        <tr r="M590" s="2"/>
      </tp>
      <tp t="s">
        <v>#N/A N/A</v>
        <stp/>
        <stp>BDP|4755061914676160676</stp>
        <tr r="C751" s="2"/>
      </tp>
      <tp t="s">
        <v>#N/A N/A</v>
        <stp/>
        <stp>BDP|5095007570873573464</stp>
        <tr r="M2213" s="2"/>
      </tp>
      <tp t="s">
        <v>#N/A N/A</v>
        <stp/>
        <stp>BDP|8074157722506765836</stp>
        <tr r="M450" s="2"/>
      </tp>
      <tp t="s">
        <v>#N/A N/A</v>
        <stp/>
        <stp>BDP|7903657918042762704</stp>
        <tr r="M852" s="2"/>
      </tp>
      <tp t="s">
        <v>#N/A N/A</v>
        <stp/>
        <stp>BDP|6249120275623614606</stp>
        <tr r="S132" s="2"/>
      </tp>
      <tp t="s">
        <v>#N/A N/A</v>
        <stp/>
        <stp>BDP|9099933370822060001</stp>
        <tr r="S1974" s="2"/>
      </tp>
      <tp t="s">
        <v>#N/A N/A</v>
        <stp/>
        <stp>BDS|3518368005897119246</stp>
        <tr r="I471" s="2"/>
      </tp>
      <tp t="s">
        <v>#N/A N/A</v>
        <stp/>
        <stp>BDP|7526401431416538321</stp>
        <tr r="F1070" s="2"/>
      </tp>
      <tp t="s">
        <v>#N/A N/A</v>
        <stp/>
        <stp>BDP|5491419151904096574</stp>
        <tr r="H228" s="2"/>
      </tp>
      <tp t="s">
        <v>#N/A N/A</v>
        <stp/>
        <stp>BDP|5638539531392484435</stp>
        <tr r="G665" s="2"/>
      </tp>
      <tp t="s">
        <v>#N/A N/A</v>
        <stp/>
        <stp>BDP|3902847084736362092</stp>
        <tr r="P2201" s="2"/>
      </tp>
      <tp t="s">
        <v>#N/A N/A</v>
        <stp/>
        <stp>BDS|6598439857090204207</stp>
        <tr r="I28" s="2"/>
      </tp>
      <tp t="s">
        <v>#N/A N/A</v>
        <stp/>
        <stp>BDP|1472314845750137323</stp>
        <tr r="D1753" s="2"/>
      </tp>
      <tp t="s">
        <v>#N/A N/A</v>
        <stp/>
        <stp>BDP|4965724009586715062</stp>
        <tr r="F134" s="2"/>
      </tp>
      <tp t="s">
        <v>#N/A N/A</v>
        <stp/>
        <stp>BDP|6028750187224933887</stp>
        <tr r="E1800" s="2"/>
      </tp>
      <tp t="s">
        <v>#N/A N/A</v>
        <stp/>
        <stp>BDP|2407229726815635255</stp>
        <tr r="N8" s="2"/>
      </tp>
      <tp t="s">
        <v>#N/A N/A</v>
        <stp/>
        <stp>BDP|2521160734986498305</stp>
        <tr r="D574" s="2"/>
      </tp>
      <tp t="s">
        <v>#N/A N/A</v>
        <stp/>
        <stp>BDP|6323195160520111484</stp>
        <tr r="E1661" s="2"/>
      </tp>
      <tp t="s">
        <v>#N/A N/A</v>
        <stp/>
        <stp>BDP|3201608177260444729</stp>
        <tr r="C1662" s="2"/>
      </tp>
      <tp t="s">
        <v>#N/A N/A</v>
        <stp/>
        <stp>BDP|4483472224347769038</stp>
        <tr r="O1254" s="2"/>
      </tp>
      <tp t="s">
        <v>#N/A N/A</v>
        <stp/>
        <stp>BDS|7636521355315150731</stp>
        <tr r="I402" s="2"/>
      </tp>
      <tp t="s">
        <v>#N/A N/A</v>
        <stp/>
        <stp>BDP|2709545449552019497</stp>
        <tr r="D1066" s="2"/>
      </tp>
      <tp t="s">
        <v>#N/A N/A</v>
        <stp/>
        <stp>BDP|6354047956111162733</stp>
        <tr r="Q174" s="2"/>
      </tp>
      <tp t="s">
        <v>#N/A N/A</v>
        <stp/>
        <stp>BDP|2322036862551118039</stp>
        <tr r="S1538" s="2"/>
      </tp>
      <tp t="s">
        <v>#N/A N/A</v>
        <stp/>
        <stp>BDP|5348989072389022795</stp>
        <tr r="Q1979" s="2"/>
      </tp>
      <tp t="s">
        <v>#N/A N/A</v>
        <stp/>
        <stp>BDP|9470125094964665044</stp>
        <tr r="R1598" s="2"/>
      </tp>
      <tp t="s">
        <v>#N/A N/A</v>
        <stp/>
        <stp>BDP|2855765308909519931</stp>
        <tr r="D349" s="2"/>
      </tp>
      <tp t="s">
        <v>#N/A N/A</v>
        <stp/>
        <stp>BDP|2243718135852141178</stp>
        <tr r="N724" s="2"/>
      </tp>
      <tp t="s">
        <v>#N/A N/A</v>
        <stp/>
        <stp>BDP|3157568866585391029</stp>
        <tr r="E983" s="2"/>
      </tp>
      <tp t="s">
        <v>#N/A N/A</v>
        <stp/>
        <stp>BDP|3418968246392504912</stp>
        <tr r="P2215" s="2"/>
      </tp>
      <tp t="s">
        <v>#N/A N/A</v>
        <stp/>
        <stp>BDP|2291557574777403271</stp>
        <tr r="S1252" s="2"/>
      </tp>
      <tp t="s">
        <v>#N/A N/A</v>
        <stp/>
        <stp>BDP|1391217715120136764</stp>
        <tr r="S73" s="2"/>
      </tp>
      <tp t="s">
        <v>#N/A N/A</v>
        <stp/>
        <stp>BDP|6646926996780354318</stp>
        <tr r="C1753" s="2"/>
      </tp>
      <tp t="s">
        <v>#N/A N/A</v>
        <stp/>
        <stp>BDP|3523884575998132194</stp>
        <tr r="Q1383" s="2"/>
      </tp>
      <tp t="s">
        <v>#N/A N/A</v>
        <stp/>
        <stp>BDP|9789005314219650452</stp>
        <tr r="S274" s="2"/>
      </tp>
      <tp t="s">
        <v>#N/A N/A</v>
        <stp/>
        <stp>BDP|1537773175187588322</stp>
        <tr r="R1589" s="2"/>
      </tp>
      <tp t="s">
        <v>#N/A N/A</v>
        <stp/>
        <stp>BDP|2177608052005755141</stp>
        <tr r="P837" s="2"/>
      </tp>
      <tp t="s">
        <v>#N/A N/A</v>
        <stp/>
        <stp>BDP|1546669707373016145</stp>
        <tr r="A638" s="2"/>
      </tp>
      <tp t="s">
        <v>#N/A N/A</v>
        <stp/>
        <stp>BDP|8820851401133506698</stp>
        <tr r="H994" s="2"/>
      </tp>
      <tp t="s">
        <v>#N/A N/A</v>
        <stp/>
        <stp>BDP|6323252684309397010</stp>
        <tr r="R1030" s="2"/>
      </tp>
      <tp t="s">
        <v>#N/A N/A</v>
        <stp/>
        <stp>BDP|4305212669872317781</stp>
        <tr r="M1021" s="2"/>
      </tp>
      <tp t="s">
        <v>#N/A N/A</v>
        <stp/>
        <stp>BDP|4371217909432394187</stp>
        <tr r="R783" s="2"/>
      </tp>
      <tp t="s">
        <v>#N/A N/A</v>
        <stp/>
        <stp>BDP|2883469910992824067</stp>
        <tr r="J881" s="2"/>
      </tp>
      <tp t="s">
        <v>#N/A N/A</v>
        <stp/>
        <stp>BDP|2806463724581288083</stp>
        <tr r="Q1412" s="2"/>
      </tp>
      <tp t="s">
        <v>#N/A N/A</v>
        <stp/>
        <stp>BDP|1296155446185233433</stp>
        <tr r="O331" s="2"/>
      </tp>
      <tp t="s">
        <v>#N/A N/A</v>
        <stp/>
        <stp>BDP|1792229974365264438</stp>
        <tr r="F1905" s="2"/>
      </tp>
      <tp t="s">
        <v>#N/A N/A</v>
        <stp/>
        <stp>BDP|7750905816348997287</stp>
        <tr r="R254" s="2"/>
      </tp>
      <tp t="s">
        <v>#N/A N/A</v>
        <stp/>
        <stp>BDP|3160399009651040411</stp>
        <tr r="C1123" s="2"/>
      </tp>
      <tp t="s">
        <v>#N/A N/A</v>
        <stp/>
        <stp>BDP|1197212111140602776</stp>
        <tr r="K1006" s="2"/>
      </tp>
      <tp t="s">
        <v>#N/A N/A</v>
        <stp/>
        <stp>BDP|3563704954685213139</stp>
        <tr r="F711" s="2"/>
      </tp>
      <tp t="s">
        <v>#N/A N/A</v>
        <stp/>
        <stp>BDS|4403972069589988730</stp>
        <tr r="I1430" s="2"/>
      </tp>
      <tp t="s">
        <v>#N/A N/A</v>
        <stp/>
        <stp>BDP|5733680257785882600</stp>
        <tr r="H255" s="2"/>
      </tp>
      <tp t="s">
        <v>#N/A N/A</v>
        <stp/>
        <stp>BDP|1303235966981667105</stp>
        <tr r="H84" s="2"/>
      </tp>
      <tp t="s">
        <v>#N/A N/A</v>
        <stp/>
        <stp>BDP|5206037520642292037</stp>
        <tr r="A1134" s="2"/>
      </tp>
      <tp t="s">
        <v>#N/A N/A</v>
        <stp/>
        <stp>BDP|5074341435963146304</stp>
        <tr r="K108" s="2"/>
      </tp>
      <tp t="s">
        <v>#N/A N/A</v>
        <stp/>
        <stp>BDP|2676151866840147045</stp>
        <tr r="N382" s="2"/>
      </tp>
      <tp t="s">
        <v>#N/A N/A</v>
        <stp/>
        <stp>BDP|1293182393618079495</stp>
        <tr r="A502" s="2"/>
      </tp>
      <tp t="s">
        <v>#N/A N/A</v>
        <stp/>
        <stp>BDP|2556511638106939759</stp>
        <tr r="N1497" s="2"/>
      </tp>
      <tp t="s">
        <v>#N/A N/A</v>
        <stp/>
        <stp>BDP|9674514276616430858</stp>
        <tr r="D913" s="2"/>
      </tp>
      <tp t="s">
        <v>#N/A N/A</v>
        <stp/>
        <stp>BDP|5427389888409170256</stp>
        <tr r="T462" s="2"/>
      </tp>
      <tp t="s">
        <v>#N/A N/A</v>
        <stp/>
        <stp>BDP|1249354019901833764</stp>
        <tr r="C1982" s="2"/>
      </tp>
      <tp t="s">
        <v>#N/A N/A</v>
        <stp/>
        <stp>BDP|3853456349364102251</stp>
        <tr r="E1949" s="2"/>
      </tp>
      <tp t="s">
        <v>#N/A N/A</v>
        <stp/>
        <stp>BDP|8064029052410931899</stp>
        <tr r="S437" s="2"/>
      </tp>
      <tp t="s">
        <v>#N/A N/A</v>
        <stp/>
        <stp>BDP|8607972376140634311</stp>
        <tr r="F926" s="2"/>
      </tp>
      <tp t="s">
        <v>#N/A N/A</v>
        <stp/>
        <stp>BDP|5259858411220798917</stp>
        <tr r="C112" s="2"/>
      </tp>
      <tp t="s">
        <v>#N/A N/A</v>
        <stp/>
        <stp>BDP|9041375239235907972</stp>
        <tr r="C1568" s="2"/>
      </tp>
      <tp t="s">
        <v>#N/A N/A</v>
        <stp/>
        <stp>BDP|6478273120027678452</stp>
        <tr r="C1493" s="2"/>
      </tp>
      <tp t="s">
        <v>#N/A N/A</v>
        <stp/>
        <stp>BDP|1174895800825092982</stp>
        <tr r="E1512" s="2"/>
      </tp>
      <tp t="s">
        <v>#N/A N/A</v>
        <stp/>
        <stp>BDP|2034754905289529956</stp>
        <tr r="A266" s="2"/>
      </tp>
      <tp t="s">
        <v>#N/A N/A</v>
        <stp/>
        <stp>BDP|8163017021588433756</stp>
        <tr r="G322" s="2"/>
      </tp>
      <tp t="s">
        <v>#N/A N/A</v>
        <stp/>
        <stp>BDP|5614044302578365836</stp>
        <tr r="M95" s="2"/>
      </tp>
      <tp t="s">
        <v>#N/A N/A</v>
        <stp/>
        <stp>BDP|2005290030221125780</stp>
        <tr r="G478" s="2"/>
      </tp>
      <tp t="s">
        <v>#N/A N/A</v>
        <stp/>
        <stp>BDP|6429188919801233271</stp>
        <tr r="R279" s="2"/>
      </tp>
      <tp t="s">
        <v>#N/A N/A</v>
        <stp/>
        <stp>BDP|8537040404195217873</stp>
        <tr r="D1672" s="2"/>
      </tp>
      <tp t="s">
        <v>#N/A N/A</v>
        <stp/>
        <stp>BDP|9714385215008868622</stp>
        <tr r="N1082" s="2"/>
      </tp>
      <tp t="s">
        <v>#N/A N/A</v>
        <stp/>
        <stp>BDP|5971402362604318682</stp>
        <tr r="S2137" s="2"/>
      </tp>
      <tp t="s">
        <v>#N/A N/A</v>
        <stp/>
        <stp>BDP|4154557143848606819</stp>
        <tr r="E1004" s="2"/>
      </tp>
      <tp t="s">
        <v>#N/A N/A</v>
        <stp/>
        <stp>BDP|3281308507806525309</stp>
        <tr r="C1849" s="2"/>
      </tp>
      <tp t="s">
        <v>#N/A N/A</v>
        <stp/>
        <stp>BDP|4587711470829002842</stp>
        <tr r="P860" s="2"/>
      </tp>
      <tp t="s">
        <v>#N/A N/A</v>
        <stp/>
        <stp>BDP|7912455516071203687</stp>
        <tr r="A137" s="2"/>
      </tp>
      <tp t="s">
        <v>#N/A N/A</v>
        <stp/>
        <stp>BDP|2819885588514869305</stp>
        <tr r="D1664" s="2"/>
      </tp>
      <tp t="s">
        <v>#N/A N/A</v>
        <stp/>
        <stp>BDP|5212981745744914964</stp>
        <tr r="Q2194" s="2"/>
      </tp>
      <tp t="s">
        <v>#N/A N/A</v>
        <stp/>
        <stp>BDP|7272235116365428431</stp>
        <tr r="Q2109" s="2"/>
      </tp>
      <tp t="s">
        <v>#N/A N/A</v>
        <stp/>
        <stp>BDP|9337334706129419625</stp>
        <tr r="F1772" s="2"/>
      </tp>
      <tp t="s">
        <v>#N/A N/A</v>
        <stp/>
        <stp>BDP|8277460982098741916</stp>
        <tr r="Q444" s="2"/>
      </tp>
      <tp t="s">
        <v>#N/A N/A</v>
        <stp/>
        <stp>BDP|4037322739843897235</stp>
        <tr r="J977" s="2"/>
      </tp>
      <tp t="s">
        <v>#N/A N/A</v>
        <stp/>
        <stp>BDP|3668672855363548616</stp>
        <tr r="Q1341" s="2"/>
      </tp>
      <tp t="s">
        <v>#N/A N/A</v>
        <stp/>
        <stp>BDP|4249637265657390679</stp>
        <tr r="Q1061" s="2"/>
      </tp>
      <tp t="s">
        <v>#N/A N/A</v>
        <stp/>
        <stp>BDP|1715484989121557934</stp>
        <tr r="N547" s="2"/>
      </tp>
      <tp t="s">
        <v>#N/A N/A</v>
        <stp/>
        <stp>BDP|4959583352222392308</stp>
        <tr r="J1431" s="2"/>
      </tp>
      <tp t="s">
        <v>#N/A N/A</v>
        <stp/>
        <stp>BDP|1540944687940689504</stp>
        <tr r="R425" s="2"/>
      </tp>
      <tp t="s">
        <v>#N/A N/A</v>
        <stp/>
        <stp>BDP|1068573610092292258</stp>
        <tr r="N1382" s="2"/>
      </tp>
      <tp t="s">
        <v>#N/A N/A</v>
        <stp/>
        <stp>BDP|9880341573369670199</stp>
        <tr r="E1612" s="2"/>
      </tp>
      <tp t="s">
        <v>#N/A N/A</v>
        <stp/>
        <stp>BDS|7804817712019971227</stp>
        <tr r="I588" s="2"/>
      </tp>
      <tp t="s">
        <v>#N/A N/A</v>
        <stp/>
        <stp>BDP|1655163511247100303</stp>
        <tr r="P1425" s="2"/>
      </tp>
      <tp t="s">
        <v>#N/A N/A</v>
        <stp/>
        <stp>BDP|9987914716497869369</stp>
        <tr r="S385" s="2"/>
      </tp>
      <tp t="s">
        <v>#N/A N/A</v>
        <stp/>
        <stp>BDP|4172714146713273144</stp>
        <tr r="R114" s="2"/>
      </tp>
      <tp t="s">
        <v>#N/A N/A</v>
        <stp/>
        <stp>BDP|2447411865357777276</stp>
        <tr r="G1861" s="2"/>
      </tp>
      <tp t="s">
        <v>#N/A N/A</v>
        <stp/>
        <stp>BDP|2860143466380912030</stp>
        <tr r="H1850" s="2"/>
      </tp>
      <tp t="s">
        <v>#N/A N/A</v>
        <stp/>
        <stp>BDP|4128880128729954287</stp>
        <tr r="C1003" s="2"/>
      </tp>
      <tp t="s">
        <v>#N/A N/A</v>
        <stp/>
        <stp>BDP|4332250261193126667</stp>
        <tr r="P695" s="2"/>
      </tp>
      <tp t="s">
        <v>#N/A N/A</v>
        <stp/>
        <stp>BDP|8005943526382552472</stp>
        <tr r="E518" s="2"/>
      </tp>
      <tp t="s">
        <v>#N/A N/A</v>
        <stp/>
        <stp>BDP|9777351090900210608</stp>
        <tr r="H2018" s="2"/>
      </tp>
      <tp t="s">
        <v>#N/A N/A</v>
        <stp/>
        <stp>BDP|7378997061995892836</stp>
        <tr r="R1150" s="2"/>
      </tp>
      <tp t="s">
        <v>#N/A N/A</v>
        <stp/>
        <stp>BDP|6287751214120479579</stp>
        <tr r="D484" s="2"/>
      </tp>
      <tp t="s">
        <v>#N/A N/A</v>
        <stp/>
        <stp>BDP|9393714955337087970</stp>
        <tr r="A777" s="2"/>
      </tp>
      <tp t="s">
        <v>#N/A N/A</v>
        <stp/>
        <stp>BDP|5124280224602429290</stp>
        <tr r="S1286" s="2"/>
      </tp>
      <tp t="s">
        <v>#N/A N/A</v>
        <stp/>
        <stp>BDP|1442081897349297499</stp>
        <tr r="D551" s="2"/>
      </tp>
      <tp t="s">
        <v>#N/A N/A</v>
        <stp/>
        <stp>BDP|7853132237621885150</stp>
        <tr r="Q47" s="2"/>
      </tp>
      <tp t="s">
        <v>#N/A N/A</v>
        <stp/>
        <stp>BDP|6326756162904549600</stp>
        <tr r="T2063" s="2"/>
      </tp>
      <tp t="s">
        <v>#N/A N/A</v>
        <stp/>
        <stp>BDP|8574965857277412618</stp>
        <tr r="S2149" s="2"/>
      </tp>
      <tp t="s">
        <v>#N/A N/A</v>
        <stp/>
        <stp>BDP|5381611676931302068</stp>
        <tr r="N352" s="2"/>
      </tp>
      <tp t="s">
        <v>#N/A N/A</v>
        <stp/>
        <stp>BDP|7555127225314080531</stp>
        <tr r="C1126" s="2"/>
      </tp>
      <tp t="s">
        <v>#N/A N/A</v>
        <stp/>
        <stp>BDP|7515633743844701432</stp>
        <tr r="D806" s="2"/>
      </tp>
      <tp t="s">
        <v>#N/A N/A</v>
        <stp/>
        <stp>BDS|5387161565403975481</stp>
        <tr r="I387" s="2"/>
      </tp>
      <tp t="s">
        <v>#N/A N/A</v>
        <stp/>
        <stp>BDP|9801845510335594087</stp>
        <tr r="T709" s="2"/>
      </tp>
      <tp t="s">
        <v>#N/A N/A</v>
        <stp/>
        <stp>BDP|9059939228972244589</stp>
        <tr r="R704" s="2"/>
      </tp>
      <tp t="s">
        <v>#N/A N/A</v>
        <stp/>
        <stp>BDP|2977994901846221821</stp>
        <tr r="J2001" s="2"/>
      </tp>
      <tp t="s">
        <v>#N/A N/A</v>
        <stp/>
        <stp>BDP|9433564383983268223</stp>
        <tr r="G677" s="2"/>
      </tp>
      <tp t="s">
        <v>#N/A N/A</v>
        <stp/>
        <stp>BDP|8036641121800795938</stp>
        <tr r="P356" s="2"/>
      </tp>
      <tp t="s">
        <v>#N/A N/A</v>
        <stp/>
        <stp>BDP|3064196152846222481</stp>
        <tr r="Q708" s="2"/>
      </tp>
      <tp t="s">
        <v>#N/A N/A</v>
        <stp/>
        <stp>BDP|9094447147925254909</stp>
        <tr r="N511" s="2"/>
      </tp>
      <tp t="s">
        <v>#N/A N/A</v>
        <stp/>
        <stp>BDP|7552354873967620141</stp>
        <tr r="N2240" s="2"/>
      </tp>
      <tp t="s">
        <v>#N/A N/A</v>
        <stp/>
        <stp>BDP|7454343416808754801</stp>
        <tr r="H517" s="2"/>
      </tp>
      <tp t="s">
        <v>#N/A N/A</v>
        <stp/>
        <stp>BDP|7857017146161992770</stp>
        <tr r="D840" s="2"/>
      </tp>
      <tp t="s">
        <v>#N/A N/A</v>
        <stp/>
        <stp>BDP|2328209852465235526</stp>
        <tr r="O2115" s="2"/>
      </tp>
      <tp t="s">
        <v>#N/A N/A</v>
        <stp/>
        <stp>BDP|8380215197006732034</stp>
        <tr r="G1778" s="2"/>
      </tp>
      <tp t="s">
        <v>#N/A N/A</v>
        <stp/>
        <stp>BDP|9622542640509478478</stp>
        <tr r="T2225" s="2"/>
      </tp>
      <tp t="s">
        <v>#N/A N/A</v>
        <stp/>
        <stp>BDP|4864235390998913231</stp>
        <tr r="G1944" s="2"/>
      </tp>
      <tp t="s">
        <v>#N/A N/A</v>
        <stp/>
        <stp>BDP|7109164752123583517</stp>
        <tr r="K1112" s="2"/>
      </tp>
      <tp t="s">
        <v>#N/A N/A</v>
        <stp/>
        <stp>BDP|9590679167289296561</stp>
        <tr r="R1688" s="2"/>
      </tp>
      <tp t="s">
        <v>#N/A N/A</v>
        <stp/>
        <stp>BDP|9563528987241467050</stp>
        <tr r="Q546" s="2"/>
      </tp>
      <tp t="s">
        <v>#N/A N/A</v>
        <stp/>
        <stp>BDP|3570267195828049576</stp>
        <tr r="C329" s="2"/>
      </tp>
      <tp t="s">
        <v>#N/A N/A</v>
        <stp/>
        <stp>BDP|8041070309598890572</stp>
        <tr r="O715" s="2"/>
      </tp>
      <tp t="s">
        <v>#N/A N/A</v>
        <stp/>
        <stp>BDP|7981367130366683489</stp>
        <tr r="A666" s="2"/>
      </tp>
      <tp t="s">
        <v>#N/A N/A</v>
        <stp/>
        <stp>BDP|6176987590161947218</stp>
        <tr r="J838" s="2"/>
      </tp>
      <tp t="s">
        <v>#N/A N/A</v>
        <stp/>
        <stp>BDP|5652130552125109179</stp>
        <tr r="A2009" s="2"/>
      </tp>
      <tp t="s">
        <v>#N/A N/A</v>
        <stp/>
        <stp>BDP|7588914793702173071</stp>
        <tr r="G1820" s="2"/>
      </tp>
      <tp t="s">
        <v>#N/A N/A</v>
        <stp/>
        <stp>BDP|7557861937881279876</stp>
        <tr r="A1908" s="2"/>
      </tp>
      <tp t="s">
        <v>#N/A N/A</v>
        <stp/>
        <stp>BDP|3587828170678625108</stp>
        <tr r="F1181" s="2"/>
      </tp>
      <tp t="s">
        <v>#N/A N/A</v>
        <stp/>
        <stp>BDP|2364287172641934318</stp>
        <tr r="J619" s="2"/>
      </tp>
      <tp t="s">
        <v>#N/A N/A</v>
        <stp/>
        <stp>BDP|5042531635832701401</stp>
        <tr r="E2239" s="2"/>
      </tp>
      <tp t="s">
        <v>#N/A N/A</v>
        <stp/>
        <stp>BDP|9075272418899730692</stp>
        <tr r="D408" s="2"/>
      </tp>
      <tp t="s">
        <v>#N/A N/A</v>
        <stp/>
        <stp>BDP|3154158385078907792</stp>
        <tr r="G152" s="2"/>
      </tp>
      <tp t="s">
        <v>#N/A N/A</v>
        <stp/>
        <stp>BDP|1579238843293109152</stp>
        <tr r="A1258" s="2"/>
      </tp>
      <tp t="s">
        <v>#N/A N/A</v>
        <stp/>
        <stp>BDP|9245400636923772825</stp>
        <tr r="F1811" s="2"/>
      </tp>
      <tp t="s">
        <v>#N/A N/A</v>
        <stp/>
        <stp>BDS|3083804959269131291</stp>
        <tr r="I2078" s="2"/>
      </tp>
      <tp t="s">
        <v>#N/A N/A</v>
        <stp/>
        <stp>BDP|2489211219742928642</stp>
        <tr r="C1035" s="2"/>
      </tp>
      <tp t="s">
        <v>#N/A N/A</v>
        <stp/>
        <stp>BDP|7710403673952542301</stp>
        <tr r="F1572" s="2"/>
      </tp>
      <tp t="s">
        <v>#N/A N/A</v>
        <stp/>
        <stp>BDP|8651012055288336008</stp>
        <tr r="D501" s="2"/>
      </tp>
      <tp t="s">
        <v>#N/A N/A</v>
        <stp/>
        <stp>BDP|8290908482039067516</stp>
        <tr r="F672" s="2"/>
      </tp>
      <tp t="s">
        <v>#N/A N/A</v>
        <stp/>
        <stp>BDP|7873486374861187040</stp>
        <tr r="Q558" s="2"/>
      </tp>
      <tp t="s">
        <v>#N/A N/A</v>
        <stp/>
        <stp>BDP|3851680867786303053</stp>
        <tr r="T1305" s="2"/>
      </tp>
      <tp t="s">
        <v>#N/A N/A</v>
        <stp/>
        <stp>BDP|8715924134307617066</stp>
        <tr r="S1665" s="2"/>
      </tp>
      <tp t="s">
        <v>#N/A N/A</v>
        <stp/>
        <stp>BDS|5688015342446283263</stp>
        <tr r="I350" s="2"/>
      </tp>
      <tp t="s">
        <v>#N/A N/A</v>
        <stp/>
        <stp>BDP|1097818313688271511</stp>
        <tr r="Q171" s="2"/>
      </tp>
      <tp t="s">
        <v>#N/A N/A</v>
        <stp/>
        <stp>BDP|7900394171183722576</stp>
        <tr r="N1821" s="2"/>
      </tp>
      <tp t="s">
        <v>#N/A N/A</v>
        <stp/>
        <stp>BDP|7057417660453173311</stp>
        <tr r="N500" s="2"/>
      </tp>
      <tp t="s">
        <v>#N/A N/A</v>
        <stp/>
        <stp>BDP|8755621455727014912</stp>
        <tr r="K1980" s="2"/>
      </tp>
      <tp t="s">
        <v>#N/A N/A</v>
        <stp/>
        <stp>BDS|2760608377957467152</stp>
        <tr r="I2201" s="2"/>
      </tp>
      <tp t="s">
        <v>#N/A N/A</v>
        <stp/>
        <stp>BDP|9222593747015446895</stp>
        <tr r="E1586" s="2"/>
      </tp>
      <tp t="s">
        <v>#N/A N/A</v>
        <stp/>
        <stp>BDP|5026490409753878792</stp>
        <tr r="H330" s="2"/>
      </tp>
      <tp t="s">
        <v>#N/A N/A</v>
        <stp/>
        <stp>BDP|5510901992718630804</stp>
        <tr r="N1395" s="2"/>
      </tp>
      <tp t="s">
        <v>#N/A N/A</v>
        <stp/>
        <stp>BDP|5175532405991382454</stp>
        <tr r="A536" s="2"/>
      </tp>
      <tp t="s">
        <v>#N/A N/A</v>
        <stp/>
        <stp>BDP|6487779318930886523</stp>
        <tr r="M1523" s="2"/>
      </tp>
      <tp t="s">
        <v>#N/A N/A</v>
        <stp/>
        <stp>BDP|6691388208532311246</stp>
        <tr r="T1497" s="2"/>
      </tp>
      <tp t="s">
        <v>#N/A N/A</v>
        <stp/>
        <stp>BDP|1474612721049544902</stp>
        <tr r="S1690" s="2"/>
      </tp>
      <tp t="s">
        <v>#N/A N/A</v>
        <stp/>
        <stp>BDP|8669975934213529410</stp>
        <tr r="M802" s="2"/>
      </tp>
      <tp t="s">
        <v>#N/A N/A</v>
        <stp/>
        <stp>BDP|5544795377078319893</stp>
        <tr r="H1229" s="2"/>
      </tp>
      <tp t="s">
        <v>#N/A N/A</v>
        <stp/>
        <stp>BDP|2499890819647490914</stp>
        <tr r="M582" s="2"/>
      </tp>
      <tp t="s">
        <v>#N/A N/A</v>
        <stp/>
        <stp>BDP|2709638256475469178</stp>
        <tr r="J1261" s="2"/>
      </tp>
      <tp t="s">
        <v>#N/A N/A</v>
        <stp/>
        <stp>BDP|7238059585028299211</stp>
        <tr r="N1125" s="2"/>
      </tp>
      <tp t="s">
        <v>#N/A N/A</v>
        <stp/>
        <stp>BDP|1195566090569204148</stp>
        <tr r="S1426" s="2"/>
      </tp>
      <tp t="s">
        <v>#N/A N/A</v>
        <stp/>
        <stp>BDP|3197514589823037884</stp>
        <tr r="J1945" s="2"/>
      </tp>
      <tp t="s">
        <v>#N/A N/A</v>
        <stp/>
        <stp>BDP|4936495377525690708</stp>
        <tr r="O2028" s="2"/>
      </tp>
      <tp t="s">
        <v>#N/A N/A</v>
        <stp/>
        <stp>BDP|1109714758395816314</stp>
        <tr r="A13" s="2"/>
      </tp>
      <tp t="s">
        <v>#N/A N/A</v>
        <stp/>
        <stp>BDP|4307881779659056730</stp>
        <tr r="H1887" s="2"/>
      </tp>
      <tp t="s">
        <v>#N/A N/A</v>
        <stp/>
        <stp>BDP|3317216129782942436</stp>
        <tr r="F1791" s="2"/>
      </tp>
      <tp t="s">
        <v>#N/A N/A</v>
        <stp/>
        <stp>BDP|6718647550746775654</stp>
        <tr r="O1584" s="2"/>
      </tp>
      <tp t="s">
        <v>#N/A N/A</v>
        <stp/>
        <stp>BDP|3376706903639141801</stp>
        <tr r="E2031" s="2"/>
      </tp>
      <tp t="s">
        <v>#N/A N/A</v>
        <stp/>
        <stp>BDP|1543475624586264450</stp>
        <tr r="H1126" s="2"/>
      </tp>
      <tp t="s">
        <v>#N/A N/A</v>
        <stp/>
        <stp>BDP|1580036635590114738</stp>
        <tr r="D1605" s="2"/>
      </tp>
      <tp t="s">
        <v>#N/A N/A</v>
        <stp/>
        <stp>BDP|1010019072854509775</stp>
        <tr r="G1364" s="2"/>
      </tp>
      <tp t="s">
        <v>#N/A N/A</v>
        <stp/>
        <stp>BDP|3173548026760449169</stp>
        <tr r="C534" s="2"/>
      </tp>
      <tp t="s">
        <v>#N/A N/A</v>
        <stp/>
        <stp>BDP|5416530401291665410</stp>
        <tr r="C667" s="2"/>
      </tp>
      <tp t="s">
        <v>#N/A N/A</v>
        <stp/>
        <stp>BDP|9280209190571738642</stp>
        <tr r="K139" s="2"/>
      </tp>
      <tp t="s">
        <v>#N/A N/A</v>
        <stp/>
        <stp>BDP|4364326200361049302</stp>
        <tr r="G492" s="2"/>
      </tp>
      <tp t="s">
        <v>#N/A N/A</v>
        <stp/>
        <stp>BDP|9628463104008173043</stp>
        <tr r="C671" s="2"/>
      </tp>
      <tp t="s">
        <v>#N/A N/A</v>
        <stp/>
        <stp>BDP|1831362284778874735</stp>
        <tr r="N1599" s="2"/>
      </tp>
      <tp t="s">
        <v>#N/A N/A</v>
        <stp/>
        <stp>BDP|9406267598791326686</stp>
        <tr r="P493" s="2"/>
      </tp>
      <tp t="s">
        <v>#N/A N/A</v>
        <stp/>
        <stp>BDP|7678853630211112833</stp>
        <tr r="D452" s="2"/>
      </tp>
      <tp t="s">
        <v>#N/A N/A</v>
        <stp/>
        <stp>BDP|2242332167454779601</stp>
        <tr r="H1950" s="2"/>
      </tp>
      <tp t="s">
        <v>#N/A N/A</v>
        <stp/>
        <stp>BDP|1374406963177003114</stp>
        <tr r="G1266" s="2"/>
      </tp>
      <tp t="s">
        <v>#N/A N/A</v>
        <stp/>
        <stp>BDP|5409851773798352704</stp>
        <tr r="H284" s="2"/>
      </tp>
      <tp t="s">
        <v>#N/A N/A</v>
        <stp/>
        <stp>BDP|1858486100084920486</stp>
        <tr r="M1216" s="2"/>
      </tp>
      <tp t="s">
        <v>#N/A N/A</v>
        <stp/>
        <stp>BDP|6307029951954239234</stp>
        <tr r="Q1102" s="2"/>
      </tp>
      <tp t="s">
        <v>#N/A N/A</v>
        <stp/>
        <stp>BDP|4856707809394602267</stp>
        <tr r="Q1296" s="2"/>
      </tp>
      <tp t="s">
        <v>#N/A N/A</v>
        <stp/>
        <stp>BDP|5269220500087092519</stp>
        <tr r="J1114" s="2"/>
      </tp>
      <tp t="s">
        <v>#N/A N/A</v>
        <stp/>
        <stp>BDP|3346668752810627500</stp>
        <tr r="K2104" s="2"/>
      </tp>
      <tp t="s">
        <v>#N/A N/A</v>
        <stp/>
        <stp>BDP|1300306153187676576</stp>
        <tr r="H2197" s="2"/>
      </tp>
      <tp t="s">
        <v>#N/A N/A</v>
        <stp/>
        <stp>BDP|5286923742628289513</stp>
        <tr r="H1902" s="2"/>
      </tp>
      <tp t="s">
        <v>#N/A N/A</v>
        <stp/>
        <stp>BDP|4027186475307276099</stp>
        <tr r="G44" s="2"/>
      </tp>
      <tp t="s">
        <v>#N/A N/A</v>
        <stp/>
        <stp>BDP|9729551856004384812</stp>
        <tr r="R762" s="2"/>
      </tp>
      <tp t="s">
        <v>#N/A N/A</v>
        <stp/>
        <stp>BDP|8492058120958030772</stp>
        <tr r="J348" s="2"/>
      </tp>
      <tp t="s">
        <v>#N/A N/A</v>
        <stp/>
        <stp>BDP|2162573833926429777</stp>
        <tr r="Q2018" s="2"/>
      </tp>
      <tp t="s">
        <v>#N/A N/A</v>
        <stp/>
        <stp>BDP|6497440056264530651</stp>
        <tr r="O1607" s="2"/>
      </tp>
      <tp t="s">
        <v>#N/A N/A</v>
        <stp/>
        <stp>BDP|2585293039927725149</stp>
        <tr r="N670" s="2"/>
      </tp>
      <tp t="s">
        <v>#N/A N/A</v>
        <stp/>
        <stp>BDP|9485886777380454391</stp>
        <tr r="K854" s="2"/>
      </tp>
      <tp t="s">
        <v>#N/A N/A</v>
        <stp/>
        <stp>BDP|3369668403149032905</stp>
        <tr r="N1626" s="2"/>
      </tp>
      <tp t="s">
        <v>#N/A N/A</v>
        <stp/>
        <stp>BDP|8055207580744281345</stp>
        <tr r="H1306" s="2"/>
      </tp>
      <tp t="s">
        <v>#N/A N/A</v>
        <stp/>
        <stp>BDP|3185646164444577225</stp>
        <tr r="N999" s="2"/>
      </tp>
      <tp t="s">
        <v>#N/A N/A</v>
        <stp/>
        <stp>BDP|5708401993189589470</stp>
        <tr r="Q412" s="2"/>
      </tp>
      <tp t="s">
        <v>#N/A N/A</v>
        <stp/>
        <stp>BDP|3265609501139542902</stp>
        <tr r="N1107" s="2"/>
      </tp>
      <tp t="s">
        <v>#N/A N/A</v>
        <stp/>
        <stp>BDP|4331149921622563052</stp>
        <tr r="T1957" s="2"/>
      </tp>
      <tp t="s">
        <v>#N/A N/A</v>
        <stp/>
        <stp>BDP|4603779335685411066</stp>
        <tr r="S1103" s="2"/>
      </tp>
      <tp t="s">
        <v>#N/A N/A</v>
        <stp/>
        <stp>BDP|2553170125066770269</stp>
        <tr r="M1680" s="2"/>
      </tp>
      <tp t="s">
        <v>#N/A N/A</v>
        <stp/>
        <stp>BDP|1546636532928116931</stp>
        <tr r="D930" s="2"/>
      </tp>
      <tp t="s">
        <v>#N/A N/A</v>
        <stp/>
        <stp>BDP|3204365413394048019</stp>
        <tr r="D977" s="2"/>
      </tp>
      <tp t="s">
        <v>#N/A N/A</v>
        <stp/>
        <stp>BDP|6527808780032391108</stp>
        <tr r="A1893" s="2"/>
      </tp>
      <tp t="s">
        <v>#N/A N/A</v>
        <stp/>
        <stp>BDP|6054705544344608448</stp>
        <tr r="D945" s="2"/>
      </tp>
      <tp t="s">
        <v>#N/A N/A</v>
        <stp/>
        <stp>BDP|6415179856452051532</stp>
        <tr r="M19" s="2"/>
      </tp>
      <tp t="s">
        <v>#N/A N/A</v>
        <stp/>
        <stp>BDS|3691611860017251135</stp>
        <tr r="I183" s="2"/>
      </tp>
      <tp t="s">
        <v>#N/A N/A</v>
        <stp/>
        <stp>BDP|1126188856275953506</stp>
        <tr r="M1528" s="2"/>
      </tp>
      <tp t="s">
        <v>#N/A N/A</v>
        <stp/>
        <stp>BDP|8817340906239519798</stp>
        <tr r="M1933" s="2"/>
      </tp>
      <tp t="s">
        <v>#N/A N/A</v>
        <stp/>
        <stp>BDS|6564811660579121439</stp>
        <tr r="I2139" s="2"/>
      </tp>
      <tp t="s">
        <v>#N/A N/A</v>
        <stp/>
        <stp>BDP|4582202530660077031</stp>
        <tr r="C831" s="2"/>
      </tp>
      <tp t="s">
        <v>#N/A N/A</v>
        <stp/>
        <stp>BDP|9357369736408250477</stp>
        <tr r="Q1800" s="2"/>
      </tp>
      <tp t="s">
        <v>#N/A N/A</v>
        <stp/>
        <stp>BDP|6126402637542499646</stp>
        <tr r="D1044" s="2"/>
      </tp>
      <tp t="s">
        <v>#N/A N/A</v>
        <stp/>
        <stp>BDP|4699407251950140009</stp>
        <tr r="H1599" s="2"/>
      </tp>
      <tp t="s">
        <v>#N/A N/A</v>
        <stp/>
        <stp>BDP|2653179624611401577</stp>
        <tr r="A918" s="2"/>
      </tp>
      <tp t="s">
        <v>#N/A N/A</v>
        <stp/>
        <stp>BDS|7902208604148803837</stp>
        <tr r="I2003" s="2"/>
      </tp>
      <tp t="s">
        <v>#N/A N/A</v>
        <stp/>
        <stp>BDP|1163007961666791413</stp>
        <tr r="K24" s="2"/>
      </tp>
      <tp t="s">
        <v>#N/A N/A</v>
        <stp/>
        <stp>BDP|1203457043885330111</stp>
        <tr r="Q84" s="2"/>
      </tp>
      <tp t="s">
        <v>#N/A N/A</v>
        <stp/>
        <stp>BDP|2189052814486352056</stp>
        <tr r="M718" s="2"/>
      </tp>
      <tp t="s">
        <v>#N/A N/A</v>
        <stp/>
        <stp>BDP|7580010773341118407</stp>
        <tr r="H1674" s="2"/>
      </tp>
      <tp t="s">
        <v>#N/A N/A</v>
        <stp/>
        <stp>BDS|3566074219815822257</stp>
        <tr r="I1106" s="2"/>
      </tp>
      <tp t="s">
        <v>#N/A N/A</v>
        <stp/>
        <stp>BDP|6197163514767085459</stp>
        <tr r="J1680" s="2"/>
      </tp>
      <tp t="s">
        <v>#N/A N/A</v>
        <stp/>
        <stp>BDP|2635211190619109508</stp>
        <tr r="T1410" s="2"/>
      </tp>
      <tp t="s">
        <v>#N/A N/A</v>
        <stp/>
        <stp>BDP|5520347571180281440</stp>
        <tr r="G331" s="2"/>
      </tp>
      <tp t="s">
        <v>#N/A N/A</v>
        <stp/>
        <stp>BDP|8202179845259231144</stp>
        <tr r="P404" s="2"/>
      </tp>
      <tp t="s">
        <v>#N/A N/A</v>
        <stp/>
        <stp>BDP|8328736621951125960</stp>
        <tr r="D1556" s="2"/>
      </tp>
      <tp t="s">
        <v>#N/A N/A</v>
        <stp/>
        <stp>BDP|4597109014002386346</stp>
        <tr r="N1859" s="2"/>
      </tp>
      <tp t="s">
        <v>#N/A N/A</v>
        <stp/>
        <stp>BDP|1964860092515889035</stp>
        <tr r="S1073" s="2"/>
      </tp>
      <tp t="s">
        <v>#N/A N/A</v>
        <stp/>
        <stp>BDP|5215202346020488665</stp>
        <tr r="F2084" s="2"/>
      </tp>
      <tp t="s">
        <v>#N/A N/A</v>
        <stp/>
        <stp>BDP|8789049786850247513</stp>
        <tr r="G731" s="2"/>
      </tp>
      <tp t="s">
        <v>#N/A N/A</v>
        <stp/>
        <stp>BDP|3515341676097467558</stp>
        <tr r="J1937" s="2"/>
      </tp>
      <tp t="s">
        <v>#N/A N/A</v>
        <stp/>
        <stp>BDP|7010443566312699226</stp>
        <tr r="E2093" s="2"/>
      </tp>
      <tp t="s">
        <v>#N/A N/A</v>
        <stp/>
        <stp>BDS|5673493610721093498</stp>
        <tr r="I1677" s="2"/>
      </tp>
      <tp t="s">
        <v>#N/A N/A</v>
        <stp/>
        <stp>BDP|6124338249824532080</stp>
        <tr r="O537" s="2"/>
      </tp>
      <tp t="s">
        <v>#N/A N/A</v>
        <stp/>
        <stp>BDP|6793117540416481043</stp>
        <tr r="C1038" s="2"/>
      </tp>
      <tp t="s">
        <v>#N/A N/A</v>
        <stp/>
        <stp>BDP|1099714870217660318</stp>
        <tr r="P461" s="2"/>
      </tp>
      <tp t="s">
        <v>#N/A N/A</v>
        <stp/>
        <stp>BDP|5613357652610245655</stp>
        <tr r="H1390" s="2"/>
      </tp>
      <tp t="s">
        <v>#N/A N/A</v>
        <stp/>
        <stp>BDS|2236397135402145596</stp>
        <tr r="I632" s="2"/>
      </tp>
      <tp t="s">
        <v>#N/A N/A</v>
        <stp/>
        <stp>BDP|2667022615075455330</stp>
        <tr r="P1815" s="2"/>
      </tp>
      <tp t="s">
        <v>#N/A N/A</v>
        <stp/>
        <stp>BDP|6229872522061339822</stp>
        <tr r="D1517" s="2"/>
      </tp>
      <tp t="s">
        <v>#N/A N/A</v>
        <stp/>
        <stp>BDP|8244879053508189811</stp>
        <tr r="N1488" s="2"/>
      </tp>
      <tp t="s">
        <v>#N/A N/A</v>
        <stp/>
        <stp>BDP|1865992760122338947</stp>
        <tr r="R867" s="2"/>
      </tp>
      <tp t="s">
        <v>#N/A N/A</v>
        <stp/>
        <stp>BDP|4349941067468587638</stp>
        <tr r="Q481" s="2"/>
      </tp>
      <tp t="s">
        <v>#N/A N/A</v>
        <stp/>
        <stp>BDP|1821456251882242789</stp>
        <tr r="J1464" s="2"/>
      </tp>
      <tp t="s">
        <v>#N/A N/A</v>
        <stp/>
        <stp>BDP|4916146746905575189</stp>
        <tr r="E2107" s="2"/>
      </tp>
      <tp t="s">
        <v>#N/A N/A</v>
        <stp/>
        <stp>BDP|8382991251855530482</stp>
        <tr r="A1962" s="2"/>
      </tp>
      <tp t="s">
        <v>#N/A N/A</v>
        <stp/>
        <stp>BDP|1510926161662111910</stp>
        <tr r="N1482" s="2"/>
      </tp>
      <tp t="s">
        <v>#N/A N/A</v>
        <stp/>
        <stp>BDP|4102470879056998409</stp>
        <tr r="T690" s="2"/>
      </tp>
      <tp t="s">
        <v>#N/A N/A</v>
        <stp/>
        <stp>BDP|6325451401600056710</stp>
        <tr r="H225" s="2"/>
      </tp>
      <tp t="s">
        <v>#N/A N/A</v>
        <stp/>
        <stp>BDP|1627388912504877228</stp>
        <tr r="O838" s="2"/>
      </tp>
      <tp t="s">
        <v>#N/A N/A</v>
        <stp/>
        <stp>BDP|3569151870322678203</stp>
        <tr r="N1952" s="2"/>
      </tp>
      <tp t="s">
        <v>#N/A N/A</v>
        <stp/>
        <stp>BDP|3425070704216657076</stp>
        <tr r="O973" s="2"/>
      </tp>
      <tp t="s">
        <v>#N/A N/A</v>
        <stp/>
        <stp>BDP|7172563247946270549</stp>
        <tr r="G396" s="2"/>
      </tp>
      <tp t="s">
        <v>#N/A N/A</v>
        <stp/>
        <stp>BDP|2629028212985073307</stp>
        <tr r="E134" s="2"/>
      </tp>
      <tp t="s">
        <v>#N/A N/A</v>
        <stp/>
        <stp>BDP|4188322227033399310</stp>
        <tr r="Q761" s="2"/>
      </tp>
      <tp t="s">
        <v>#N/A N/A</v>
        <stp/>
        <stp>BDP|2682836066848637136</stp>
        <tr r="S381" s="2"/>
      </tp>
      <tp t="s">
        <v>#N/A N/A</v>
        <stp/>
        <stp>BDP|2211435943520449706</stp>
        <tr r="C1837" s="2"/>
      </tp>
      <tp t="s">
        <v>#N/A N/A</v>
        <stp/>
        <stp>BDP|6086017688548817378</stp>
        <tr r="H1384" s="2"/>
      </tp>
      <tp t="s">
        <v>#N/A N/A</v>
        <stp/>
        <stp>BDP|7518836415448085358</stp>
        <tr r="J957" s="2"/>
      </tp>
      <tp t="s">
        <v>#N/A N/A</v>
        <stp/>
        <stp>BDP|7850164608662859181</stp>
        <tr r="E1331" s="2"/>
      </tp>
      <tp t="s">
        <v>#N/A N/A</v>
        <stp/>
        <stp>BDP|5652955961239792638</stp>
        <tr r="K293" s="2"/>
      </tp>
      <tp t="s">
        <v>#N/A N/A</v>
        <stp/>
        <stp>BDP|7091441475075795403</stp>
        <tr r="T1088" s="2"/>
      </tp>
      <tp t="s">
        <v>#N/A N/A</v>
        <stp/>
        <stp>BDS|1500718137857433712</stp>
        <tr r="I348" s="2"/>
      </tp>
      <tp t="s">
        <v>#N/A N/A</v>
        <stp/>
        <stp>BDP|2290416725829574852</stp>
        <tr r="A655" s="2"/>
      </tp>
      <tp t="s">
        <v>#N/A N/A</v>
        <stp/>
        <stp>BDP|1591743055675775359</stp>
        <tr r="C846" s="2"/>
      </tp>
      <tp t="s">
        <v>#N/A N/A</v>
        <stp/>
        <stp>BDP|1662951496462413670</stp>
        <tr r="E2172" s="2"/>
      </tp>
      <tp t="s">
        <v>#N/A N/A</v>
        <stp/>
        <stp>BDP|5922346531282963232</stp>
        <tr r="J2250" s="2"/>
      </tp>
      <tp t="s">
        <v>#N/A N/A</v>
        <stp/>
        <stp>BDP|8322954471441856292</stp>
        <tr r="O1437" s="2"/>
      </tp>
      <tp t="s">
        <v>#N/A N/A</v>
        <stp/>
        <stp>BDP|4342506353045065461</stp>
        <tr r="M1442" s="2"/>
      </tp>
      <tp t="s">
        <v>#N/A N/A</v>
        <stp/>
        <stp>BDP|9730852356508273906</stp>
        <tr r="Q1157" s="2"/>
      </tp>
      <tp t="s">
        <v>#N/A N/A</v>
        <stp/>
        <stp>BDP|6663051571221695529</stp>
        <tr r="D2228" s="2"/>
      </tp>
      <tp t="s">
        <v>#N/A N/A</v>
        <stp/>
        <stp>BDP|4684366237944418553</stp>
        <tr r="P734" s="2"/>
      </tp>
      <tp t="s">
        <v>#N/A N/A</v>
        <stp/>
        <stp>BDP|2732587121153007381</stp>
        <tr r="P1610" s="2"/>
      </tp>
      <tp t="s">
        <v>#N/A N/A</v>
        <stp/>
        <stp>BDP|4301494061213941046</stp>
        <tr r="P262" s="2"/>
      </tp>
      <tp t="s">
        <v>#N/A N/A</v>
        <stp/>
        <stp>BDP|8901984034801293611</stp>
        <tr r="A2251" s="2"/>
      </tp>
      <tp t="s">
        <v>#N/A N/A</v>
        <stp/>
        <stp>BDP|2038767203658543862</stp>
        <tr r="G2071" s="2"/>
      </tp>
      <tp t="s">
        <v>#N/A N/A</v>
        <stp/>
        <stp>BDP|2636458825262896384</stp>
        <tr r="R581" s="2"/>
      </tp>
      <tp t="s">
        <v>#N/A N/A</v>
        <stp/>
        <stp>BDP|1086764470585445149</stp>
        <tr r="E1190" s="2"/>
      </tp>
      <tp t="s">
        <v>#N/A N/A</v>
        <stp/>
        <stp>BDP|8854299358992971866</stp>
        <tr r="K42" s="2"/>
      </tp>
      <tp t="s">
        <v>#N/A N/A</v>
        <stp/>
        <stp>BDP|8241404086290650143</stp>
        <tr r="Q972" s="2"/>
      </tp>
      <tp t="s">
        <v>#N/A N/A</v>
        <stp/>
        <stp>BDP|7708758249397989647</stp>
        <tr r="F1393" s="2"/>
      </tp>
      <tp t="s">
        <v>#N/A N/A</v>
        <stp/>
        <stp>BDP|5806231625720929010</stp>
        <tr r="K1042" s="2"/>
      </tp>
      <tp t="s">
        <v>#N/A N/A</v>
        <stp/>
        <stp>BDP|8323034246511644860</stp>
        <tr r="H1608" s="2"/>
      </tp>
      <tp t="s">
        <v>#N/A N/A</v>
        <stp/>
        <stp>BDS|5100522252560150066</stp>
        <tr r="I848" s="2"/>
      </tp>
      <tp t="s">
        <v>#N/A N/A</v>
        <stp/>
        <stp>BDP|1245475833295502654</stp>
        <tr r="E343" s="2"/>
      </tp>
      <tp t="s">
        <v>#N/A N/A</v>
        <stp/>
        <stp>BDP|6111642437533116550</stp>
        <tr r="T1967" s="2"/>
      </tp>
      <tp t="s">
        <v>#N/A N/A</v>
        <stp/>
        <stp>BDP|1089433326905738746</stp>
        <tr r="P1230" s="2"/>
      </tp>
      <tp t="s">
        <v>#N/A N/A</v>
        <stp/>
        <stp>BDP|5217619552570526328</stp>
        <tr r="H974" s="2"/>
      </tp>
      <tp t="s">
        <v>#N/A N/A</v>
        <stp/>
        <stp>BDP|3103001545617640545</stp>
        <tr r="R2089" s="2"/>
      </tp>
      <tp t="s">
        <v>#N/A N/A</v>
        <stp/>
        <stp>BDP|3740938799820872635</stp>
        <tr r="Q1719" s="2"/>
      </tp>
      <tp t="s">
        <v>#N/A N/A</v>
        <stp/>
        <stp>BDP|3735567579857735399</stp>
        <tr r="E1614" s="2"/>
      </tp>
      <tp t="s">
        <v>#N/A N/A</v>
        <stp/>
        <stp>BDP|9812656858458456770</stp>
        <tr r="E1112" s="2"/>
      </tp>
      <tp t="s">
        <v>#N/A N/A</v>
        <stp/>
        <stp>BDP|2963153757171809252</stp>
        <tr r="H87" s="2"/>
      </tp>
      <tp t="s">
        <v>#N/A N/A</v>
        <stp/>
        <stp>BDP|9676314847019775212</stp>
        <tr r="F655" s="2"/>
      </tp>
      <tp t="s">
        <v>#N/A N/A</v>
        <stp/>
        <stp>BDP|1390012747004335411</stp>
        <tr r="H1811" s="2"/>
      </tp>
      <tp t="s">
        <v>#N/A N/A</v>
        <stp/>
        <stp>BDP|6842062838805379520</stp>
        <tr r="G901" s="2"/>
      </tp>
      <tp t="s">
        <v>#N/A N/A</v>
        <stp/>
        <stp>BDP|9468470356249340419</stp>
        <tr r="K715" s="2"/>
      </tp>
      <tp t="s">
        <v>#N/A N/A</v>
        <stp/>
        <stp>BDP|3660109643664729752</stp>
        <tr r="C2057" s="2"/>
      </tp>
      <tp t="s">
        <v>#N/A N/A</v>
        <stp/>
        <stp>BDP|7244373017493084352</stp>
        <tr r="F2064" s="2"/>
      </tp>
      <tp t="s">
        <v>#N/A N/A</v>
        <stp/>
        <stp>BDP|4817645922990957500</stp>
        <tr r="P1088" s="2"/>
      </tp>
      <tp t="s">
        <v>#N/A N/A</v>
        <stp/>
        <stp>BDP|4320517434712894593</stp>
        <tr r="O473" s="2"/>
      </tp>
      <tp t="s">
        <v>#N/A N/A</v>
        <stp/>
        <stp>BDP|6413206807891561011</stp>
        <tr r="Q1938" s="2"/>
      </tp>
      <tp t="s">
        <v>#N/A N/A</v>
        <stp/>
        <stp>BDS|7317220991651357849</stp>
        <tr r="I1915" s="2"/>
      </tp>
      <tp t="s">
        <v>#N/A N/A</v>
        <stp/>
        <stp>BDP|5093802252344478917</stp>
        <tr r="M1411" s="2"/>
      </tp>
      <tp t="s">
        <v>#N/A N/A</v>
        <stp/>
        <stp>BDP|4046022552772332649</stp>
        <tr r="P1650" s="2"/>
      </tp>
      <tp t="s">
        <v>#N/A N/A</v>
        <stp/>
        <stp>BDP|6002210366030220729</stp>
        <tr r="H1429" s="2"/>
      </tp>
      <tp t="s">
        <v>#N/A N/A</v>
        <stp/>
        <stp>BDP|3760083272140368199</stp>
        <tr r="H596" s="2"/>
      </tp>
      <tp t="s">
        <v>#N/A N/A</v>
        <stp/>
        <stp>BDP|4847146499978687149</stp>
        <tr r="J260" s="2"/>
      </tp>
      <tp t="s">
        <v>#N/A N/A</v>
        <stp/>
        <stp>BDP|1016500750614749009</stp>
        <tr r="J1249" s="2"/>
      </tp>
      <tp t="s">
        <v>#N/A N/A</v>
        <stp/>
        <stp>BDP|1441415705157180765</stp>
        <tr r="A1501" s="2"/>
      </tp>
      <tp t="s">
        <v>#N/A N/A</v>
        <stp/>
        <stp>BDP|9966653788434151629</stp>
        <tr r="O1178" s="2"/>
      </tp>
      <tp t="s">
        <v>#N/A N/A</v>
        <stp/>
        <stp>BDS|5115876283663562379</stp>
        <tr r="I1306" s="2"/>
      </tp>
      <tp t="s">
        <v>#N/A N/A</v>
        <stp/>
        <stp>BDS|7089047743305955397</stp>
        <tr r="I714" s="2"/>
      </tp>
      <tp t="s">
        <v>#N/A N/A</v>
        <stp/>
        <stp>BDP|5035403621976732016</stp>
        <tr r="D1379" s="2"/>
      </tp>
      <tp t="s">
        <v>#N/A N/A</v>
        <stp/>
        <stp>BDP|3029708042112779723</stp>
        <tr r="D1032" s="2"/>
      </tp>
      <tp t="s">
        <v>#N/A N/A</v>
        <stp/>
        <stp>BDP|1226227259886832561</stp>
        <tr r="T2048" s="2"/>
      </tp>
      <tp t="s">
        <v>#N/A N/A</v>
        <stp/>
        <stp>BDP|4084944994465704407</stp>
        <tr r="S1702" s="2"/>
      </tp>
      <tp t="s">
        <v>#N/A N/A</v>
        <stp/>
        <stp>BDP|2949337622554682291</stp>
        <tr r="E1196" s="2"/>
      </tp>
      <tp t="s">
        <v>#N/A N/A</v>
        <stp/>
        <stp>BDP|1435795948914007320</stp>
        <tr r="A619" s="2"/>
      </tp>
      <tp t="s">
        <v>#N/A N/A</v>
        <stp/>
        <stp>BDP|4518726125337181343</stp>
        <tr r="F788" s="2"/>
      </tp>
      <tp t="s">
        <v>#N/A N/A</v>
        <stp/>
        <stp>BDP|1613078486555637961</stp>
        <tr r="E876" s="2"/>
      </tp>
      <tp t="s">
        <v>#N/A N/A</v>
        <stp/>
        <stp>BDP|3490560721622795338</stp>
        <tr r="D905" s="2"/>
      </tp>
      <tp t="s">
        <v>#N/A N/A</v>
        <stp/>
        <stp>BDP|6987529232980811567</stp>
        <tr r="O2030" s="2"/>
      </tp>
      <tp t="s">
        <v>#N/A N/A</v>
        <stp/>
        <stp>BDP|4450010834146358450</stp>
        <tr r="C509" s="2"/>
      </tp>
      <tp t="s">
        <v>#N/A N/A</v>
        <stp/>
        <stp>BDP|2672102505420375677</stp>
        <tr r="P717" s="2"/>
      </tp>
      <tp t="s">
        <v>#N/A N/A</v>
        <stp/>
        <stp>BDP|5639951906268747155</stp>
        <tr r="P905" s="2"/>
      </tp>
      <tp t="s">
        <v>#N/A N/A</v>
        <stp/>
        <stp>BDP|6579591675039874860</stp>
        <tr r="G587" s="2"/>
      </tp>
      <tp t="s">
        <v>#N/A N/A</v>
        <stp/>
        <stp>BDP|2533277831555314371</stp>
        <tr r="G1558" s="2"/>
      </tp>
      <tp t="s">
        <v>#N/A N/A</v>
        <stp/>
        <stp>BDP|7716931771594452861</stp>
        <tr r="H122" s="2"/>
      </tp>
      <tp t="s">
        <v>#N/A N/A</v>
        <stp/>
        <stp>BDP|7320636208486988268</stp>
        <tr r="G1366" s="2"/>
      </tp>
      <tp t="s">
        <v>#N/A N/A</v>
        <stp/>
        <stp>BDP|4598330245106384070</stp>
        <tr r="T418" s="2"/>
      </tp>
      <tp t="s">
        <v>#N/A N/A</v>
        <stp/>
        <stp>BDP|3464732319490806010</stp>
        <tr r="E87" s="2"/>
      </tp>
      <tp t="s">
        <v>#N/A N/A</v>
        <stp/>
        <stp>BDP|1584355007637090001</stp>
        <tr r="G1757" s="2"/>
      </tp>
      <tp t="s">
        <v>#N/A N/A</v>
        <stp/>
        <stp>BDS|9205169354730182866</stp>
        <tr r="I114" s="2"/>
      </tp>
      <tp t="s">
        <v>#N/A N/A</v>
        <stp/>
        <stp>BDP|4148370108230957200</stp>
        <tr r="R223" s="2"/>
      </tp>
      <tp t="s">
        <v>#N/A N/A</v>
        <stp/>
        <stp>BDP|1302511305305609461</stp>
        <tr r="K374" s="2"/>
      </tp>
      <tp t="s">
        <v>#N/A N/A</v>
        <stp/>
        <stp>BDP|4849907147455166992</stp>
        <tr r="P2103" s="2"/>
      </tp>
      <tp t="s">
        <v>#N/A N/A</v>
        <stp/>
        <stp>BDP|4677293198033521954</stp>
        <tr r="S1341" s="2"/>
      </tp>
      <tp t="s">
        <v>#N/A N/A</v>
        <stp/>
        <stp>BDP|3705528227861614033</stp>
        <tr r="Q1806" s="2"/>
      </tp>
      <tp t="s">
        <v>#N/A N/A</v>
        <stp/>
        <stp>BDS|6837220055395149195</stp>
        <tr r="I730" s="2"/>
      </tp>
      <tp t="s">
        <v>#N/A N/A</v>
        <stp/>
        <stp>BDP|4221061201155206400</stp>
        <tr r="D1450" s="2"/>
      </tp>
      <tp t="s">
        <v>#N/A N/A</v>
        <stp/>
        <stp>BDP|2294592135824936502</stp>
        <tr r="H62" s="2"/>
      </tp>
      <tp t="s">
        <v>#N/A N/A</v>
        <stp/>
        <stp>BDP|5125123406041248007</stp>
        <tr r="O826" s="2"/>
      </tp>
      <tp t="s">
        <v>#N/A N/A</v>
        <stp/>
        <stp>BDP|9091707520989005075</stp>
        <tr r="A1717" s="2"/>
      </tp>
      <tp t="s">
        <v>#N/A N/A</v>
        <stp/>
        <stp>BDP|9617396393184277293</stp>
        <tr r="J1841" s="2"/>
      </tp>
      <tp t="s">
        <v>#N/A N/A</v>
        <stp/>
        <stp>BDP|3200518309931515285</stp>
        <tr r="J1959" s="2"/>
      </tp>
      <tp t="s">
        <v>#N/A N/A</v>
        <stp/>
        <stp>BDP|6631573707646140007</stp>
        <tr r="M1927" s="2"/>
      </tp>
      <tp t="s">
        <v>#N/A N/A</v>
        <stp/>
        <stp>BDP|7637993899506072417</stp>
        <tr r="F1593" s="2"/>
      </tp>
      <tp t="s">
        <v>#N/A N/A</v>
        <stp/>
        <stp>BDP|8771362306589457740</stp>
        <tr r="P699" s="2"/>
      </tp>
      <tp t="s">
        <v>#N/A N/A</v>
        <stp/>
        <stp>BDP|6956388601866509620</stp>
        <tr r="M1668" s="2"/>
      </tp>
      <tp t="s">
        <v>#N/A N/A</v>
        <stp/>
        <stp>BDP|4589359947412821483</stp>
        <tr r="J124" s="2"/>
      </tp>
      <tp t="s">
        <v>#N/A N/A</v>
        <stp/>
        <stp>BDP|7576045306662793079</stp>
        <tr r="K1623" s="2"/>
      </tp>
      <tp t="s">
        <v>#N/A N/A</v>
        <stp/>
        <stp>BDP|2521334330471027614</stp>
        <tr r="K1076" s="2"/>
      </tp>
      <tp t="s">
        <v>#N/A N/A</v>
        <stp/>
        <stp>BDP|3862346868571041235</stp>
        <tr r="K1578" s="2"/>
      </tp>
      <tp t="s">
        <v>#N/A N/A</v>
        <stp/>
        <stp>BDP|3647600714197070656</stp>
        <tr r="T1476" s="2"/>
      </tp>
      <tp t="s">
        <v>#N/A N/A</v>
        <stp/>
        <stp>BDP|7403616542455118517</stp>
        <tr r="P1639" s="2"/>
      </tp>
      <tp t="s">
        <v>#N/A N/A</v>
        <stp/>
        <stp>BDP|4455456946283101216</stp>
        <tr r="N1113" s="2"/>
      </tp>
      <tp t="s">
        <v>#N/A N/A</v>
        <stp/>
        <stp>BDP|9769018247489095164</stp>
        <tr r="A119" s="2"/>
      </tp>
      <tp t="s">
        <v>#N/A N/A</v>
        <stp/>
        <stp>BDP|5596661076871406067</stp>
        <tr r="D2159" s="2"/>
      </tp>
      <tp t="s">
        <v>#N/A N/A</v>
        <stp/>
        <stp>BDP|7879895722669569115</stp>
        <tr r="A780" s="2"/>
      </tp>
      <tp t="s">
        <v>#N/A N/A</v>
        <stp/>
        <stp>BDP|5511166675747031114</stp>
        <tr r="N341" s="2"/>
      </tp>
      <tp t="s">
        <v>#N/A N/A</v>
        <stp/>
        <stp>BDP|7204183954262042492</stp>
        <tr r="O53" s="2"/>
      </tp>
      <tp t="s">
        <v>#N/A N/A</v>
        <stp/>
        <stp>BDP|5010656073280752167</stp>
        <tr r="H192" s="2"/>
      </tp>
      <tp t="s">
        <v>#N/A N/A</v>
        <stp/>
        <stp>BDP|3550738398070920809</stp>
        <tr r="H389" s="2"/>
      </tp>
      <tp t="s">
        <v>#N/A N/A</v>
        <stp/>
        <stp>BDP|9910720243456933960</stp>
        <tr r="J1131" s="2"/>
      </tp>
      <tp t="s">
        <v>#N/A N/A</v>
        <stp/>
        <stp>BDS|6801481277861153119</stp>
        <tr r="I1790" s="2"/>
      </tp>
      <tp t="s">
        <v>#N/A N/A</v>
        <stp/>
        <stp>BDP|4934749538976741351</stp>
        <tr r="H354" s="2"/>
      </tp>
      <tp t="s">
        <v>#N/A N/A</v>
        <stp/>
        <stp>BDP|3721129179918231897</stp>
        <tr r="N924" s="2"/>
      </tp>
      <tp t="s">
        <v>#N/A N/A</v>
        <stp/>
        <stp>BDP|9442625249317953911</stp>
        <tr r="C18" s="2"/>
      </tp>
      <tp t="s">
        <v>#N/A N/A</v>
        <stp/>
        <stp>BDP|8347213210467710924</stp>
        <tr r="G1803" s="2"/>
      </tp>
      <tp t="s">
        <v>#N/A N/A</v>
        <stp/>
        <stp>BDP|5579079521886209460</stp>
        <tr r="H101" s="2"/>
      </tp>
      <tp t="s">
        <v>#N/A N/A</v>
        <stp/>
        <stp>BDP|9773941840577161653</stp>
        <tr r="A956" s="2"/>
      </tp>
      <tp t="s">
        <v>#N/A N/A</v>
        <stp/>
        <stp>BDP|3203250335416179145</stp>
        <tr r="A1875" s="2"/>
      </tp>
      <tp t="s">
        <v>#N/A N/A</v>
        <stp/>
        <stp>BDP|9700353812497598928</stp>
        <tr r="S110" s="2"/>
      </tp>
      <tp t="s">
        <v>#N/A N/A</v>
        <stp/>
        <stp>BDP|4400340783498675225</stp>
        <tr r="P1241" s="2"/>
      </tp>
      <tp t="s">
        <v>#N/A N/A</v>
        <stp/>
        <stp>BDP|9259419231319411218</stp>
        <tr r="P2250" s="2"/>
      </tp>
      <tp t="s">
        <v>#N/A N/A</v>
        <stp/>
        <stp>BDP|3556219120474881289</stp>
        <tr r="E1659" s="2"/>
      </tp>
      <tp t="s">
        <v>#N/A N/A</v>
        <stp/>
        <stp>BDP|4498938065609184776</stp>
        <tr r="S144" s="2"/>
      </tp>
      <tp t="s">
        <v>#N/A N/A</v>
        <stp/>
        <stp>BDP|3760207764803698119</stp>
        <tr r="O1071" s="2"/>
      </tp>
      <tp t="s">
        <v>#N/A N/A</v>
        <stp/>
        <stp>BDP|1065794108041439218</stp>
        <tr r="H1135" s="2"/>
      </tp>
      <tp t="s">
        <v>#N/A N/A</v>
        <stp/>
        <stp>BDP|3582404922295027534</stp>
        <tr r="H1165" s="2"/>
      </tp>
      <tp t="s">
        <v>#N/A N/A</v>
        <stp/>
        <stp>BDP|5755579554705820581</stp>
        <tr r="M1364" s="2"/>
      </tp>
      <tp t="s">
        <v>#N/A N/A</v>
        <stp/>
        <stp>BDP|5965464729661785754</stp>
        <tr r="H1268" s="2"/>
      </tp>
      <tp t="s">
        <v>#N/A N/A</v>
        <stp/>
        <stp>BDP|9621372408949859654</stp>
        <tr r="C247" s="2"/>
      </tp>
      <tp t="s">
        <v>#N/A N/A</v>
        <stp/>
        <stp>BDP|9289263496140518730</stp>
        <tr r="R670" s="2"/>
      </tp>
      <tp t="s">
        <v>#N/A N/A</v>
        <stp/>
        <stp>BDP|8998151479362349924</stp>
        <tr r="H990" s="2"/>
      </tp>
      <tp t="s">
        <v>#N/A N/A</v>
        <stp/>
        <stp>BDP|5166760953142157019</stp>
        <tr r="F1508" s="2"/>
      </tp>
      <tp t="s">
        <v>#N/A N/A</v>
        <stp/>
        <stp>BDP|3564310674791686322</stp>
        <tr r="H676" s="2"/>
      </tp>
      <tp t="s">
        <v>#N/A N/A</v>
        <stp/>
        <stp>BDP|5058148979742938402</stp>
        <tr r="H1449" s="2"/>
      </tp>
      <tp t="s">
        <v>#N/A N/A</v>
        <stp/>
        <stp>BDP|1856499300598605832</stp>
        <tr r="O621" s="2"/>
      </tp>
      <tp t="s">
        <v>#N/A N/A</v>
        <stp/>
        <stp>BDP|5684786321385336085</stp>
        <tr r="S496" s="2"/>
      </tp>
      <tp t="s">
        <v>#N/A N/A</v>
        <stp/>
        <stp>BDP|1237253400760245619</stp>
        <tr r="Q1523" s="2"/>
      </tp>
      <tp t="s">
        <v>#N/A N/A</v>
        <stp/>
        <stp>BDP|4504112405292429218</stp>
        <tr r="K1427" s="2"/>
      </tp>
      <tp t="s">
        <v>#N/A N/A</v>
        <stp/>
        <stp>BDP|5224428421135692338</stp>
        <tr r="E646" s="2"/>
      </tp>
      <tp t="s">
        <v>#N/A N/A</v>
        <stp/>
        <stp>BDP|1795271923115524121</stp>
        <tr r="P1600" s="2"/>
      </tp>
      <tp t="s">
        <v>#N/A N/A</v>
        <stp/>
        <stp>BDP|5659409453239554841</stp>
        <tr r="E110" s="2"/>
      </tp>
      <tp t="s">
        <v>#N/A N/A</v>
        <stp/>
        <stp>BDP|6348257504941673007</stp>
        <tr r="S1274" s="2"/>
      </tp>
      <tp t="s">
        <v>#N/A N/A</v>
        <stp/>
        <stp>BDP|3013419630847654638</stp>
        <tr r="M1389" s="2"/>
      </tp>
      <tp t="s">
        <v>#N/A N/A</v>
        <stp/>
        <stp>BDP|8717992208970364411</stp>
        <tr r="K1183" s="2"/>
      </tp>
      <tp t="s">
        <v>#N/A N/A</v>
        <stp/>
        <stp>BDP|7071808700559430304</stp>
        <tr r="H2227" s="2"/>
      </tp>
      <tp t="s">
        <v>#N/A N/A</v>
        <stp/>
        <stp>BDP|1265092878826231552</stp>
        <tr r="R479" s="2"/>
      </tp>
      <tp t="s">
        <v>#N/A N/A</v>
        <stp/>
        <stp>BDP|2309603260094697316</stp>
        <tr r="H1180" s="2"/>
      </tp>
      <tp t="s">
        <v>#N/A N/A</v>
        <stp/>
        <stp>BDP|5206321191008695234</stp>
        <tr r="F304" s="2"/>
      </tp>
      <tp t="s">
        <v>#N/A N/A</v>
        <stp/>
        <stp>BDP|5355706318010874678</stp>
        <tr r="G448" s="2"/>
      </tp>
      <tp t="s">
        <v>#N/A N/A</v>
        <stp/>
        <stp>BDP|2992574938743670241</stp>
        <tr r="F1550" s="2"/>
      </tp>
      <tp t="s">
        <v>#N/A N/A</v>
        <stp/>
        <stp>BDP|7395462715930179759</stp>
        <tr r="A486" s="2"/>
      </tp>
      <tp t="s">
        <v>#N/A N/A</v>
        <stp/>
        <stp>BDP|8489824443448661972</stp>
        <tr r="K876" s="2"/>
      </tp>
      <tp t="s">
        <v>#N/A N/A</v>
        <stp/>
        <stp>BDP|6346976297130194365</stp>
        <tr r="R237" s="2"/>
      </tp>
      <tp t="s">
        <v>#N/A N/A</v>
        <stp/>
        <stp>BDP|4755511061793780144</stp>
        <tr r="F362" s="2"/>
      </tp>
      <tp t="s">
        <v>#N/A N/A</v>
        <stp/>
        <stp>BDP|9400981181995066891</stp>
        <tr r="E681" s="2"/>
      </tp>
      <tp t="s">
        <v>#N/A N/A</v>
        <stp/>
        <stp>BDP|5473148265866398121</stp>
        <tr r="C1992" s="2"/>
      </tp>
      <tp t="s">
        <v>#N/A N/A</v>
        <stp/>
        <stp>BDP|7782433661194727467</stp>
        <tr r="H25" s="2"/>
      </tp>
      <tp t="s">
        <v>#N/A N/A</v>
        <stp/>
        <stp>BDP|8359863240272226339</stp>
        <tr r="J738" s="2"/>
      </tp>
      <tp t="s">
        <v>#N/A N/A</v>
        <stp/>
        <stp>BDP|3261651604099085970</stp>
        <tr r="M1179" s="2"/>
      </tp>
      <tp t="s">
        <v>#N/A N/A</v>
        <stp/>
        <stp>BDP|7153638792308701530</stp>
        <tr r="R466" s="2"/>
      </tp>
      <tp t="s">
        <v>#N/A N/A</v>
        <stp/>
        <stp>BDP|1657344594936101836</stp>
        <tr r="D426" s="2"/>
      </tp>
      <tp t="s">
        <v>#N/A N/A</v>
        <stp/>
        <stp>BDP|3242438676213536663</stp>
        <tr r="F1165" s="2"/>
      </tp>
      <tp t="s">
        <v>#N/A N/A</v>
        <stp/>
        <stp>BDP|9708868779654951755</stp>
        <tr r="N1991" s="2"/>
      </tp>
      <tp t="s">
        <v>#N/A N/A</v>
        <stp/>
        <stp>BDP|1312482331756924577</stp>
        <tr r="Q1741" s="2"/>
      </tp>
      <tp t="s">
        <v>#N/A N/A</v>
        <stp/>
        <stp>BDP|6071675340140136121</stp>
        <tr r="J1410" s="2"/>
      </tp>
      <tp t="s">
        <v>#N/A N/A</v>
        <stp/>
        <stp>BDS|5585035772266444149</stp>
        <tr r="I1404" s="2"/>
      </tp>
      <tp t="s">
        <v>#N/A N/A</v>
        <stp/>
        <stp>BDP|2857592903605717711</stp>
        <tr r="N627" s="2"/>
      </tp>
      <tp t="s">
        <v>#N/A N/A</v>
        <stp/>
        <stp>BDP|7101271253102969787</stp>
        <tr r="K658" s="2"/>
      </tp>
      <tp t="s">
        <v>#N/A N/A</v>
        <stp/>
        <stp>BDP|7939626687144879803</stp>
        <tr r="H1812" s="2"/>
      </tp>
      <tp t="s">
        <v>#N/A N/A</v>
        <stp/>
        <stp>BDP|3643592229945099426</stp>
        <tr r="N1535" s="2"/>
      </tp>
      <tp t="s">
        <v>#N/A N/A</v>
        <stp/>
        <stp>BDP|9290868222360509672</stp>
        <tr r="T626" s="2"/>
      </tp>
      <tp t="s">
        <v>#N/A N/A</v>
        <stp/>
        <stp>BDP|2216638821842130152</stp>
        <tr r="S1318" s="2"/>
      </tp>
      <tp t="s">
        <v>#N/A N/A</v>
        <stp/>
        <stp>BDP|9975595344254246927</stp>
        <tr r="K1847" s="2"/>
      </tp>
      <tp t="s">
        <v>#N/A N/A</v>
        <stp/>
        <stp>BDP|7977353204679983859</stp>
        <tr r="D1694" s="2"/>
      </tp>
      <tp t="s">
        <v>#N/A N/A</v>
        <stp/>
        <stp>BDP|1934593250005105153</stp>
        <tr r="D445" s="2"/>
      </tp>
      <tp t="s">
        <v>#N/A N/A</v>
        <stp/>
        <stp>BDS|5037926787095800495</stp>
        <tr r="I1199" s="2"/>
      </tp>
      <tp t="s">
        <v>#N/A N/A</v>
        <stp/>
        <stp>BDP|7191469877778719934</stp>
        <tr r="S114" s="2"/>
      </tp>
      <tp t="s">
        <v>#N/A N/A</v>
        <stp/>
        <stp>BDP|6217865792835172739</stp>
        <tr r="M466" s="2"/>
      </tp>
      <tp t="s">
        <v>#N/A N/A</v>
        <stp/>
        <stp>BDP|6013513124703370720</stp>
        <tr r="M1845" s="2"/>
      </tp>
      <tp t="s">
        <v>#N/A N/A</v>
        <stp/>
        <stp>BDP|9906315445373079893</stp>
        <tr r="S604" s="2"/>
      </tp>
      <tp t="s">
        <v>#N/A N/A</v>
        <stp/>
        <stp>BDP|1028008044497435748</stp>
        <tr r="T1244" s="2"/>
      </tp>
      <tp t="s">
        <v>#N/A N/A</v>
        <stp/>
        <stp>BDS|8995156798943122612</stp>
        <tr r="I1050" s="2"/>
      </tp>
      <tp t="s">
        <v>#N/A N/A</v>
        <stp/>
        <stp>BDP|4823197407458404864</stp>
        <tr r="G1717" s="2"/>
      </tp>
      <tp t="s">
        <v>#N/A N/A</v>
        <stp/>
        <stp>BDP|5301240674175366042</stp>
        <tr r="N1293" s="2"/>
      </tp>
      <tp t="s">
        <v>#N/A N/A</v>
        <stp/>
        <stp>BDP|3529619903308651858</stp>
        <tr r="S2010" s="2"/>
      </tp>
      <tp t="s">
        <v>#N/A N/A</v>
        <stp/>
        <stp>BDP|5071476334273312446</stp>
        <tr r="N1466" s="2"/>
      </tp>
      <tp t="s">
        <v>#N/A N/A</v>
        <stp/>
        <stp>BDP|8394309956802784967</stp>
        <tr r="H1373" s="2"/>
      </tp>
      <tp t="s">
        <v>#N/A N/A</v>
        <stp/>
        <stp>BDP|5002144579550078691</stp>
        <tr r="R608" s="2"/>
      </tp>
      <tp t="s">
        <v>#N/A N/A</v>
        <stp/>
        <stp>BDP|9918172662572083989</stp>
        <tr r="J1330" s="2"/>
      </tp>
      <tp t="s">
        <v>#N/A N/A</v>
        <stp/>
        <stp>BDP|6879743676431769290</stp>
        <tr r="F2160" s="2"/>
      </tp>
      <tp t="s">
        <v>#N/A N/A</v>
        <stp/>
        <stp>BDP|6005435642353650035</stp>
        <tr r="G1965" s="2"/>
      </tp>
      <tp t="s">
        <v>#N/A N/A</v>
        <stp/>
        <stp>BDP|1177171104507626207</stp>
        <tr r="H2006" s="2"/>
      </tp>
      <tp t="s">
        <v>#N/A N/A</v>
        <stp/>
        <stp>BDP|1275859171308696342</stp>
        <tr r="P1673" s="2"/>
      </tp>
      <tp t="s">
        <v>#N/A N/A</v>
        <stp/>
        <stp>BDS|7096431005826416064</stp>
        <tr r="I1670" s="2"/>
      </tp>
      <tp t="s">
        <v>#N/A N/A</v>
        <stp/>
        <stp>BDP|3387426655602022513</stp>
        <tr r="E888" s="2"/>
      </tp>
      <tp t="s">
        <v>#N/A N/A</v>
        <stp/>
        <stp>BDP|9430912330937763177</stp>
        <tr r="M1251" s="2"/>
      </tp>
      <tp t="s">
        <v>#N/A N/A</v>
        <stp/>
        <stp>BDP|8574717705979643325</stp>
        <tr r="S762" s="2"/>
      </tp>
      <tp t="s">
        <v>#N/A N/A</v>
        <stp/>
        <stp>BDP|2088614302407008660</stp>
        <tr r="C908" s="2"/>
      </tp>
      <tp t="s">
        <v>#N/A N/A</v>
        <stp/>
        <stp>BDP|3114771720194385701</stp>
        <tr r="M1016" s="2"/>
      </tp>
      <tp t="s">
        <v>#N/A N/A</v>
        <stp/>
        <stp>BDP|9329648984112268045</stp>
        <tr r="T1327" s="2"/>
      </tp>
      <tp t="s">
        <v>#N/A N/A</v>
        <stp/>
        <stp>BDP|1300209985817212918</stp>
        <tr r="Q1091" s="2"/>
      </tp>
      <tp t="s">
        <v>#N/A N/A</v>
        <stp/>
        <stp>BDP|7094103484723358820</stp>
        <tr r="A862" s="2"/>
      </tp>
      <tp t="s">
        <v>#N/A N/A</v>
        <stp/>
        <stp>BDP|6086519932836277346</stp>
        <tr r="O712" s="2"/>
      </tp>
      <tp t="s">
        <v>#N/A N/A</v>
        <stp/>
        <stp>BDP|5863907889990266165</stp>
        <tr r="A1720" s="2"/>
      </tp>
      <tp t="s">
        <v>#N/A N/A</v>
        <stp/>
        <stp>BDP|8679458973738107643</stp>
        <tr r="K574" s="2"/>
      </tp>
      <tp t="s">
        <v>#N/A N/A</v>
        <stp/>
        <stp>BDP|3596363205115462076</stp>
        <tr r="C841" s="2"/>
      </tp>
      <tp t="s">
        <v>#N/A N/A</v>
        <stp/>
        <stp>BDP|1051477800524255409</stp>
        <tr r="O1721" s="2"/>
      </tp>
      <tp t="s">
        <v>#N/A N/A</v>
        <stp/>
        <stp>BDP|3257504854920112622</stp>
        <tr r="R1291" s="2"/>
      </tp>
      <tp t="s">
        <v>#N/A N/A</v>
        <stp/>
        <stp>BDP|7067874580983633143</stp>
        <tr r="N1231" s="2"/>
      </tp>
      <tp t="s">
        <v>#N/A N/A</v>
        <stp/>
        <stp>BDP|3234828405407343931</stp>
        <tr r="R421" s="2"/>
      </tp>
      <tp t="s">
        <v>#N/A N/A</v>
        <stp/>
        <stp>BDP|3560125867799198847</stp>
        <tr r="O1428" s="2"/>
      </tp>
      <tp t="s">
        <v>#N/A N/A</v>
        <stp/>
        <stp>BDP|4040671130525594174</stp>
        <tr r="C1091" s="2"/>
      </tp>
      <tp t="s">
        <v>#N/A N/A</v>
        <stp/>
        <stp>BDP|6211026434732851298</stp>
        <tr r="P2212" s="2"/>
      </tp>
      <tp t="s">
        <v>#N/A N/A</v>
        <stp/>
        <stp>BDP|2364210435506193037</stp>
        <tr r="C1136" s="2"/>
      </tp>
      <tp t="s">
        <v>#N/A N/A</v>
        <stp/>
        <stp>BDP|3418749133246622405</stp>
        <tr r="T2207" s="2"/>
      </tp>
      <tp t="s">
        <v>#N/A N/A</v>
        <stp/>
        <stp>BDP|1105199719125061142</stp>
        <tr r="J1343" s="2"/>
      </tp>
      <tp t="s">
        <v>#N/A N/A</v>
        <stp/>
        <stp>BDP|3923588316513152136</stp>
        <tr r="S1503" s="2"/>
      </tp>
      <tp t="s">
        <v>#N/A N/A</v>
        <stp/>
        <stp>BDP|7731529145310752320</stp>
        <tr r="N171" s="2"/>
      </tp>
      <tp t="s">
        <v>#N/A N/A</v>
        <stp/>
        <stp>BDP|1201435335387285432</stp>
        <tr r="J847" s="2"/>
      </tp>
      <tp t="s">
        <v>#N/A N/A</v>
        <stp/>
        <stp>BDP|1163786786443995832</stp>
        <tr r="P318" s="2"/>
      </tp>
      <tp t="s">
        <v>#N/A N/A</v>
        <stp/>
        <stp>BDP|7141521685649685654</stp>
        <tr r="F219" s="2"/>
      </tp>
      <tp t="s">
        <v>#N/A N/A</v>
        <stp/>
        <stp>BDP|3185163105262531525</stp>
        <tr r="M1072" s="2"/>
      </tp>
      <tp t="s">
        <v>#N/A N/A</v>
        <stp/>
        <stp>BDP|4010309054134650373</stp>
        <tr r="H1418" s="2"/>
      </tp>
      <tp t="s">
        <v>#N/A N/A</v>
        <stp/>
        <stp>BDP|7998454639127710272</stp>
        <tr r="R1854" s="2"/>
      </tp>
      <tp t="s">
        <v>#N/A N/A</v>
        <stp/>
        <stp>BDP|8994519211989570091</stp>
        <tr r="Q167" s="2"/>
      </tp>
      <tp t="s">
        <v>#N/A N/A</v>
        <stp/>
        <stp>BDP|6724228126252638104</stp>
        <tr r="N662" s="2"/>
      </tp>
      <tp t="s">
        <v>#N/A N/A</v>
        <stp/>
        <stp>BDP|8759632210002303828</stp>
        <tr r="F1449" s="2"/>
      </tp>
      <tp t="s">
        <v>#N/A N/A</v>
        <stp/>
        <stp>BDP|2128204812824398058</stp>
        <tr r="A445" s="2"/>
      </tp>
      <tp t="s">
        <v>#N/A N/A</v>
        <stp/>
        <stp>BDP|2782084922410900517</stp>
        <tr r="C581" s="2"/>
      </tp>
      <tp t="s">
        <v>#N/A N/A</v>
        <stp/>
        <stp>BDP|1687684309695776752</stp>
        <tr r="J268" s="2"/>
      </tp>
      <tp t="s">
        <v>#N/A N/A</v>
        <stp/>
        <stp>BDP|9104968724301136676</stp>
        <tr r="T833" s="2"/>
      </tp>
      <tp t="s">
        <v>#N/A N/A</v>
        <stp/>
        <stp>BDP|1821169175570655285</stp>
        <tr r="K693" s="2"/>
      </tp>
      <tp t="s">
        <v>#N/A N/A</v>
        <stp/>
        <stp>BDP|2734211626130259778</stp>
        <tr r="A1031" s="2"/>
      </tp>
      <tp t="s">
        <v>#N/A N/A</v>
        <stp/>
        <stp>BDP|9869952029743979485</stp>
        <tr r="G1963" s="2"/>
      </tp>
      <tp t="s">
        <v>#N/A N/A</v>
        <stp/>
        <stp>BDP|5357295654734824334</stp>
        <tr r="K1852" s="2"/>
      </tp>
      <tp t="s">
        <v>#N/A N/A</v>
        <stp/>
        <stp>BDP|8792593591919265884</stp>
        <tr r="Q503" s="2"/>
      </tp>
      <tp t="s">
        <v>#N/A N/A</v>
        <stp/>
        <stp>BDP|1767647421659378941</stp>
        <tr r="C2096" s="2"/>
      </tp>
      <tp t="s">
        <v>#N/A N/A</v>
        <stp/>
        <stp>BDP|3738898461938859027</stp>
        <tr r="J1756" s="2"/>
      </tp>
      <tp t="s">
        <v>#N/A N/A</v>
        <stp/>
        <stp>BDS|8097817217583191721</stp>
        <tr r="I2253" s="2"/>
      </tp>
      <tp t="s">
        <v>#N/A N/A</v>
        <stp/>
        <stp>BDP|7432179026539594855</stp>
        <tr r="H2196" s="2"/>
      </tp>
      <tp t="s">
        <v>#N/A N/A</v>
        <stp/>
        <stp>BDP|1697266066979006935</stp>
        <tr r="C1952" s="2"/>
      </tp>
      <tp t="s">
        <v>#N/A N/A</v>
        <stp/>
        <stp>BDP|6410488682266986920</stp>
        <tr r="J1094" s="2"/>
      </tp>
      <tp t="s">
        <v>#N/A N/A</v>
        <stp/>
        <stp>BDP|5415272432434555511</stp>
        <tr r="O762" s="2"/>
      </tp>
      <tp t="s">
        <v>#N/A N/A</v>
        <stp/>
        <stp>BDP|7443060946905485356</stp>
        <tr r="A69" s="2"/>
      </tp>
      <tp t="s">
        <v>#N/A N/A</v>
        <stp/>
        <stp>BDP|8768646435218136022</stp>
        <tr r="G436" s="2"/>
      </tp>
      <tp t="s">
        <v>#N/A N/A</v>
        <stp/>
        <stp>BDP|7833288629800823243</stp>
        <tr r="Q307" s="2"/>
      </tp>
      <tp t="s">
        <v>#N/A N/A</v>
        <stp/>
        <stp>BDP|5225194241110811574</stp>
        <tr r="M2124" s="2"/>
      </tp>
      <tp t="s">
        <v>#N/A N/A</v>
        <stp/>
        <stp>BDP|3963430373294454183</stp>
        <tr r="H2116" s="2"/>
      </tp>
      <tp t="s">
        <v>#N/A N/A</v>
        <stp/>
        <stp>BDP|6857215833255717781</stp>
        <tr r="H2156" s="2"/>
      </tp>
      <tp t="s">
        <v>#N/A N/A</v>
        <stp/>
        <stp>BDP|1400550816891729158</stp>
        <tr r="M475" s="2"/>
      </tp>
      <tp t="s">
        <v>#N/A N/A</v>
        <stp/>
        <stp>BDP|9415972946418464943</stp>
        <tr r="Q1585" s="2"/>
      </tp>
      <tp t="s">
        <v>#N/A N/A</v>
        <stp/>
        <stp>BDP|2973595823482615202</stp>
        <tr r="C563" s="2"/>
      </tp>
      <tp t="s">
        <v>#N/A N/A</v>
        <stp/>
        <stp>BDP|6222410531264037076</stp>
        <tr r="J1190" s="2"/>
      </tp>
      <tp t="s">
        <v>#N/A N/A</v>
        <stp/>
        <stp>BDP|7505134152726245032</stp>
        <tr r="H1665" s="2"/>
      </tp>
      <tp t="s">
        <v>#N/A N/A</v>
        <stp/>
        <stp>BDP|1220401741793655704</stp>
        <tr r="R1091" s="2"/>
      </tp>
      <tp t="s">
        <v>#N/A N/A</v>
        <stp/>
        <stp>BDP|9403505373839208708</stp>
        <tr r="N1794" s="2"/>
      </tp>
      <tp t="s">
        <v>#N/A N/A</v>
        <stp/>
        <stp>BDP|3561623101407637756</stp>
        <tr r="E667" s="2"/>
      </tp>
      <tp t="s">
        <v>#N/A N/A</v>
        <stp/>
        <stp>BDP|9123238312859432615</stp>
        <tr r="H1151" s="2"/>
      </tp>
      <tp t="s">
        <v>#N/A N/A</v>
        <stp/>
        <stp>BDP|3898872690521231689</stp>
        <tr r="C876" s="2"/>
      </tp>
      <tp t="s">
        <v>#N/A N/A</v>
        <stp/>
        <stp>BDP|1187247874724257569</stp>
        <tr r="M2153" s="2"/>
      </tp>
      <tp t="s">
        <v>#N/A N/A</v>
        <stp/>
        <stp>BDP|9177854555490621121</stp>
        <tr r="A2190" s="2"/>
      </tp>
      <tp t="s">
        <v>#N/A N/A</v>
        <stp/>
        <stp>BDP|2259337758631539090</stp>
        <tr r="M836" s="2"/>
      </tp>
      <tp t="s">
        <v>#N/A N/A</v>
        <stp/>
        <stp>BDP|4318110641843565738</stp>
        <tr r="J211" s="2"/>
      </tp>
      <tp t="s">
        <v>#N/A N/A</v>
        <stp/>
        <stp>BDP|7868137343856464198</stp>
        <tr r="G1273" s="2"/>
      </tp>
      <tp t="s">
        <v>#N/A N/A</v>
        <stp/>
        <stp>BDP|5077427441961271148</stp>
        <tr r="D991" s="2"/>
      </tp>
      <tp t="s">
        <v>#N/A N/A</v>
        <stp/>
        <stp>BDP|9727522552468341416</stp>
        <tr r="Q715" s="2"/>
      </tp>
      <tp t="s">
        <v>#N/A N/A</v>
        <stp/>
        <stp>BDP|2913496572324564024</stp>
        <tr r="H85" s="2"/>
      </tp>
      <tp t="s">
        <v>#N/A N/A</v>
        <stp/>
        <stp>BDP|8730557191695358451</stp>
        <tr r="Q1388" s="2"/>
      </tp>
      <tp t="s">
        <v>#N/A N/A</v>
        <stp/>
        <stp>BDP|7469440200591069753</stp>
        <tr r="D846" s="2"/>
      </tp>
      <tp t="s">
        <v>#N/A N/A</v>
        <stp/>
        <stp>BDP|6833100250323507779</stp>
        <tr r="R409" s="2"/>
      </tp>
      <tp t="s">
        <v>#N/A N/A</v>
        <stp/>
        <stp>BDP|7824962937482050938</stp>
        <tr r="D2208" s="2"/>
      </tp>
      <tp t="s">
        <v>#N/A N/A</v>
        <stp/>
        <stp>BDP|1376408807782665187</stp>
        <tr r="H493" s="2"/>
      </tp>
      <tp t="s">
        <v>#N/A N/A</v>
        <stp/>
        <stp>BDP|2337282047370623209</stp>
        <tr r="O1819" s="2"/>
      </tp>
      <tp t="s">
        <v>#N/A N/A</v>
        <stp/>
        <stp>BDP|6369775439652455639</stp>
        <tr r="Q955" s="2"/>
      </tp>
      <tp t="s">
        <v>#N/A N/A</v>
        <stp/>
        <stp>BDP|4095208878833010421</stp>
        <tr r="C2248" s="2"/>
      </tp>
      <tp t="s">
        <v>#N/A N/A</v>
        <stp/>
        <stp>BDP|8924834065683702329</stp>
        <tr r="D2200" s="2"/>
      </tp>
      <tp t="s">
        <v>#N/A N/A</v>
        <stp/>
        <stp>BDP|5442283285889075030</stp>
        <tr r="D1555" s="2"/>
      </tp>
      <tp t="s">
        <v>#N/A N/A</v>
        <stp/>
        <stp>BDP|9828777001898055043</stp>
        <tr r="C2101" s="2"/>
      </tp>
      <tp t="s">
        <v>#N/A N/A</v>
        <stp/>
        <stp>BDP|2090323390578022686</stp>
        <tr r="F1878" s="2"/>
      </tp>
      <tp t="s">
        <v>#N/A N/A</v>
        <stp/>
        <stp>BDP|2283257935815896005</stp>
        <tr r="M1398" s="2"/>
      </tp>
      <tp t="s">
        <v>#N/A N/A</v>
        <stp/>
        <stp>BDP|2593000228586757002</stp>
        <tr r="F556" s="2"/>
      </tp>
      <tp t="s">
        <v>#N/A N/A</v>
        <stp/>
        <stp>BDP|1115217899435006939</stp>
        <tr r="S1618" s="2"/>
      </tp>
      <tp t="s">
        <v>#N/A N/A</v>
        <stp/>
        <stp>BDP|1997297257058948841</stp>
        <tr r="D912" s="2"/>
      </tp>
      <tp t="s">
        <v>#N/A N/A</v>
        <stp/>
        <stp>BDP|7847762533681223459</stp>
        <tr r="F1503" s="2"/>
      </tp>
      <tp t="s">
        <v>#N/A N/A</v>
        <stp/>
        <stp>BDP|1733541777846803360</stp>
        <tr r="P1696" s="2"/>
      </tp>
      <tp t="s">
        <v>#N/A N/A</v>
        <stp/>
        <stp>BDP|3389551326421875320</stp>
        <tr r="G756" s="2"/>
      </tp>
      <tp t="s">
        <v>#N/A N/A</v>
        <stp/>
        <stp>BDP|2558252060346984636</stp>
        <tr r="F567" s="2"/>
      </tp>
      <tp t="s">
        <v>#N/A N/A</v>
        <stp/>
        <stp>BDP|4752000629883328372</stp>
        <tr r="O807" s="2"/>
      </tp>
      <tp t="s">
        <v>#N/A N/A</v>
        <stp/>
        <stp>BDP|2982809771979400265</stp>
        <tr r="F410" s="2"/>
      </tp>
      <tp t="s">
        <v>#N/A N/A</v>
        <stp/>
        <stp>BDP|1381542929090262061</stp>
        <tr r="R2148" s="2"/>
      </tp>
      <tp t="s">
        <v>#N/A N/A</v>
        <stp/>
        <stp>BDP|9341664255675828929</stp>
        <tr r="R2161" s="2"/>
      </tp>
      <tp t="s">
        <v>#N/A N/A</v>
        <stp/>
        <stp>BDP|7078089253832123609</stp>
        <tr r="E1594" s="2"/>
      </tp>
      <tp t="s">
        <v>#N/A N/A</v>
        <stp/>
        <stp>BDP|7852093418338080831</stp>
        <tr r="H1266" s="2"/>
      </tp>
      <tp t="s">
        <v>#N/A N/A</v>
        <stp/>
        <stp>BDP|1931166252901205250</stp>
        <tr r="K439" s="2"/>
      </tp>
      <tp t="s">
        <v>#N/A N/A</v>
        <stp/>
        <stp>BDP|5969200763193226429</stp>
        <tr r="S992" s="2"/>
      </tp>
      <tp t="s">
        <v>#N/A N/A</v>
        <stp/>
        <stp>BDP|1420714079975423222</stp>
        <tr r="M1697" s="2"/>
      </tp>
      <tp t="s">
        <v>#N/A N/A</v>
        <stp/>
        <stp>BDP|6123799623650064515</stp>
        <tr r="T318" s="2"/>
      </tp>
      <tp t="s">
        <v>#N/A N/A</v>
        <stp/>
        <stp>BDP|2222385549935932603</stp>
        <tr r="P1375" s="2"/>
      </tp>
      <tp t="s">
        <v>#N/A N/A</v>
        <stp/>
        <stp>BDP|6874225115264372769</stp>
        <tr r="F1267" s="2"/>
      </tp>
      <tp t="s">
        <v>#N/A N/A</v>
        <stp/>
        <stp>BDP|3536510712218583997</stp>
        <tr r="O942" s="2"/>
      </tp>
      <tp t="s">
        <v>#N/A N/A</v>
        <stp/>
        <stp>BDS|2906172555920242032</stp>
        <tr r="I1757" s="2"/>
      </tp>
      <tp t="s">
        <v>#N/A N/A</v>
        <stp/>
        <stp>BDP|8246180864619742038</stp>
        <tr r="D1377" s="2"/>
      </tp>
      <tp t="s">
        <v>#N/A N/A</v>
        <stp/>
        <stp>BDP|2315953082920969573</stp>
        <tr r="E1496" s="2"/>
      </tp>
      <tp t="s">
        <v>#N/A N/A</v>
        <stp/>
        <stp>BDP|3173302659792382114</stp>
        <tr r="D2020" s="2"/>
      </tp>
      <tp t="s">
        <v>#N/A N/A</v>
        <stp/>
        <stp>BDP|7699655892309228793</stp>
        <tr r="J85" s="2"/>
      </tp>
      <tp t="s">
        <v>#N/A N/A</v>
        <stp/>
        <stp>BDP|9802317673639182218</stp>
        <tr r="K1140" s="2"/>
      </tp>
      <tp t="s">
        <v>#N/A N/A</v>
        <stp/>
        <stp>BDP|3129074014167079381</stp>
        <tr r="H1632" s="2"/>
      </tp>
      <tp t="s">
        <v>#N/A N/A</v>
        <stp/>
        <stp>BDP|1961901187612123452</stp>
        <tr r="C966" s="2"/>
      </tp>
      <tp t="s">
        <v>#N/A N/A</v>
        <stp/>
        <stp>BDP|1510700924263204192</stp>
        <tr r="R1531" s="2"/>
      </tp>
      <tp t="s">
        <v>#N/A N/A</v>
        <stp/>
        <stp>BDP|2277596340160313521</stp>
        <tr r="G1329" s="2"/>
      </tp>
      <tp t="s">
        <v>#N/A N/A</v>
        <stp/>
        <stp>BDP|3986928684717543303</stp>
        <tr r="C1216" s="2"/>
      </tp>
      <tp t="s">
        <v>#N/A N/A</v>
        <stp/>
        <stp>BDP|5532398050364016169</stp>
        <tr r="G1028" s="2"/>
      </tp>
      <tp t="s">
        <v>#N/A N/A</v>
        <stp/>
        <stp>BDP|4308281777521172673</stp>
        <tr r="K952" s="2"/>
      </tp>
      <tp t="s">
        <v>#N/A N/A</v>
        <stp/>
        <stp>BDP|1789246798148593446</stp>
        <tr r="C1267" s="2"/>
      </tp>
      <tp t="s">
        <v>#N/A N/A</v>
        <stp/>
        <stp>BDP|1987119801613038537</stp>
        <tr r="C363" s="2"/>
      </tp>
      <tp t="s">
        <v>#N/A N/A</v>
        <stp/>
        <stp>BDS|2054396174760575023</stp>
        <tr r="I2110" s="2"/>
      </tp>
      <tp t="s">
        <v>#N/A N/A</v>
        <stp/>
        <stp>BDP|3210227109041434676</stp>
        <tr r="G2095" s="2"/>
      </tp>
      <tp t="s">
        <v>#N/A N/A</v>
        <stp/>
        <stp>BDP|8645616778996786920</stp>
        <tr r="N1270" s="2"/>
      </tp>
      <tp t="s">
        <v>#N/A N/A</v>
        <stp/>
        <stp>BDP|3014480753490612477</stp>
        <tr r="K1939" s="2"/>
      </tp>
      <tp t="s">
        <v>#N/A N/A</v>
        <stp/>
        <stp>BDP|3804205542293070003</stp>
        <tr r="F1583" s="2"/>
      </tp>
      <tp t="s">
        <v>#N/A N/A</v>
        <stp/>
        <stp>BDP|7379662462438876955</stp>
        <tr r="T2148" s="2"/>
      </tp>
      <tp t="s">
        <v>#N/A N/A</v>
        <stp/>
        <stp>BDP|3222298827685277049</stp>
        <tr r="T843" s="2"/>
      </tp>
      <tp t="s">
        <v>#N/A N/A</v>
        <stp/>
        <stp>BDP|2884568413500651012</stp>
        <tr r="F1944" s="2"/>
      </tp>
      <tp t="s">
        <v>#N/A N/A</v>
        <stp/>
        <stp>BDP|3552596453042233772</stp>
        <tr r="C744" s="2"/>
      </tp>
      <tp t="s">
        <v>#N/A N/A</v>
        <stp/>
        <stp>BDP|8526660009211766974</stp>
        <tr r="P1113" s="2"/>
      </tp>
      <tp t="s">
        <v>#N/A N/A</v>
        <stp/>
        <stp>BDP|3059737201102904011</stp>
        <tr r="A943" s="2"/>
      </tp>
      <tp t="s">
        <v>#N/A N/A</v>
        <stp/>
        <stp>BDP|4380744359757490707</stp>
        <tr r="O2113" s="2"/>
      </tp>
      <tp t="s">
        <v>#N/A N/A</v>
        <stp/>
        <stp>BDP|9920790452859077488</stp>
        <tr r="E2032" s="2"/>
      </tp>
      <tp t="s">
        <v>#N/A N/A</v>
        <stp/>
        <stp>BDP|6723258570105981016</stp>
        <tr r="Q1260" s="2"/>
      </tp>
      <tp t="s">
        <v>#N/A N/A</v>
        <stp/>
        <stp>BDP|1945096875173946362</stp>
        <tr r="R859" s="2"/>
      </tp>
      <tp t="s">
        <v>#N/A N/A</v>
        <stp/>
        <stp>BDP|3438249279074563469</stp>
        <tr r="A611" s="2"/>
      </tp>
      <tp t="s">
        <v>#N/A N/A</v>
        <stp/>
        <stp>BDP|4512558722605092082</stp>
        <tr r="M1813" s="2"/>
      </tp>
      <tp t="s">
        <v>#N/A N/A</v>
        <stp/>
        <stp>BDP|6964715157155073751</stp>
        <tr r="P1137" s="2"/>
      </tp>
      <tp t="s">
        <v>#N/A N/A</v>
        <stp/>
        <stp>BDP|5876575158426909542</stp>
        <tr r="F1087" s="2"/>
      </tp>
      <tp t="s">
        <v>#N/A N/A</v>
        <stp/>
        <stp>BDP|2320104839345307331</stp>
        <tr r="O1006" s="2"/>
      </tp>
      <tp t="s">
        <v>#N/A N/A</v>
        <stp/>
        <stp>BDP|5204665489189453435</stp>
        <tr r="T2039" s="2"/>
      </tp>
      <tp t="s">
        <v>#N/A N/A</v>
        <stp/>
        <stp>BDS|7571231093683672990</stp>
        <tr r="I1845" s="2"/>
      </tp>
      <tp t="s">
        <v>#N/A N/A</v>
        <stp/>
        <stp>BDP|1600228925780284790</stp>
        <tr r="D1552" s="2"/>
      </tp>
      <tp t="s">
        <v>#N/A N/A</v>
        <stp/>
        <stp>BDP|2649822818059316450</stp>
        <tr r="A975" s="2"/>
      </tp>
      <tp t="s">
        <v>#N/A N/A</v>
        <stp/>
        <stp>BDP|6165422057911697083</stp>
        <tr r="G1228" s="2"/>
      </tp>
      <tp t="s">
        <v>#N/A N/A</v>
        <stp/>
        <stp>BDP|1750473498482532876</stp>
        <tr r="G1485" s="2"/>
      </tp>
      <tp t="s">
        <v>#N/A N/A</v>
        <stp/>
        <stp>BDP|7576327059272478502</stp>
        <tr r="G345" s="2"/>
      </tp>
      <tp t="s">
        <v>#N/A N/A</v>
        <stp/>
        <stp>BDP|7538165029047396538</stp>
        <tr r="G1932" s="2"/>
      </tp>
      <tp t="s">
        <v>#N/A N/A</v>
        <stp/>
        <stp>BDP|1814964084347622162</stp>
        <tr r="C1892" s="2"/>
      </tp>
      <tp t="s">
        <v>#N/A N/A</v>
        <stp/>
        <stp>BDP|8761687262368019675</stp>
        <tr r="N390" s="2"/>
      </tp>
      <tp t="s">
        <v>#N/A N/A</v>
        <stp/>
        <stp>BDP|1839045366650820184</stp>
        <tr r="G85" s="2"/>
      </tp>
      <tp t="s">
        <v>#N/A N/A</v>
        <stp/>
        <stp>BDS|5889205917534377475</stp>
        <tr r="I1602" s="2"/>
      </tp>
      <tp t="s">
        <v>#N/A N/A</v>
        <stp/>
        <stp>BDP|2337523320443846029</stp>
        <tr r="R2071" s="2"/>
      </tp>
      <tp t="s">
        <v>#N/A N/A</v>
        <stp/>
        <stp>BDP|6005663327993368795</stp>
        <tr r="P1911" s="2"/>
      </tp>
      <tp t="s">
        <v>#N/A N/A</v>
        <stp/>
        <stp>BDP|4937424480818131615</stp>
        <tr r="J2027" s="2"/>
      </tp>
      <tp t="s">
        <v>#N/A N/A</v>
        <stp/>
        <stp>BDP|5341358862960956669</stp>
        <tr r="J1372" s="2"/>
      </tp>
      <tp t="s">
        <v>#N/A N/A</v>
        <stp/>
        <stp>BDP|4177290894920648912</stp>
        <tr r="N1644" s="2"/>
      </tp>
      <tp t="s">
        <v>#N/A N/A</v>
        <stp/>
        <stp>BDP|2506688913873709028</stp>
        <tr r="Q1639" s="2"/>
      </tp>
      <tp t="s">
        <v>#N/A N/A</v>
        <stp/>
        <stp>BDP|4327144778720713438</stp>
        <tr r="C2129" s="2"/>
      </tp>
      <tp t="s">
        <v>#N/A N/A</v>
        <stp/>
        <stp>BDP|4157494525767379359</stp>
        <tr r="D877" s="2"/>
      </tp>
      <tp t="s">
        <v>#N/A N/A</v>
        <stp/>
        <stp>BDP|4735456704983427596</stp>
        <tr r="M1112" s="2"/>
      </tp>
      <tp t="s">
        <v>#N/A N/A</v>
        <stp/>
        <stp>BDP|8880375982034637106</stp>
        <tr r="A1802" s="2"/>
      </tp>
      <tp t="s">
        <v>#N/A N/A</v>
        <stp/>
        <stp>BDP|5404060085922419980</stp>
        <tr r="F663" s="2"/>
      </tp>
      <tp t="s">
        <v>#N/A N/A</v>
        <stp/>
        <stp>BDP|2743094691289335479</stp>
        <tr r="M415" s="2"/>
      </tp>
      <tp t="s">
        <v>#N/A N/A</v>
        <stp/>
        <stp>BDP|7552678246382872171</stp>
        <tr r="J461" s="2"/>
      </tp>
      <tp t="s">
        <v>#N/A N/A</v>
        <stp/>
        <stp>BDP|1402865898955028315</stp>
        <tr r="T1533" s="2"/>
      </tp>
      <tp t="s">
        <v>#N/A N/A</v>
        <stp/>
        <stp>BDP|9292302295651957453</stp>
        <tr r="M1801" s="2"/>
      </tp>
      <tp t="s">
        <v>#N/A N/A</v>
        <stp/>
        <stp>BDP|8308893658527157488</stp>
        <tr r="H1049" s="2"/>
      </tp>
      <tp t="s">
        <v>#N/A N/A</v>
        <stp/>
        <stp>BDP|6329558338130079656</stp>
        <tr r="A1369" s="2"/>
      </tp>
      <tp t="s">
        <v>#N/A N/A</v>
        <stp/>
        <stp>BDP|7067184606560647039</stp>
        <tr r="D1210" s="2"/>
      </tp>
      <tp t="s">
        <v>#N/A N/A</v>
        <stp/>
        <stp>BDP|1801919042533160910</stp>
        <tr r="S894" s="2"/>
      </tp>
      <tp t="s">
        <v>#N/A N/A</v>
        <stp/>
        <stp>BDP|5716439027111905413</stp>
        <tr r="P1655" s="2"/>
      </tp>
      <tp t="s">
        <v>#N/A N/A</v>
        <stp/>
        <stp>BDP|5979258819756647686</stp>
        <tr r="G994" s="2"/>
      </tp>
      <tp t="s">
        <v>#N/A N/A</v>
        <stp/>
        <stp>BDP|6930183713348810818</stp>
        <tr r="O1441" s="2"/>
      </tp>
      <tp t="s">
        <v>#N/A N/A</v>
        <stp/>
        <stp>BDP|3146686824028792911</stp>
        <tr r="P270" s="2"/>
      </tp>
      <tp t="s">
        <v>#N/A N/A</v>
        <stp/>
        <stp>BDS|2694283355041859286</stp>
        <tr r="I1799" s="2"/>
      </tp>
      <tp t="s">
        <v>#N/A N/A</v>
        <stp/>
        <stp>BDP|6613168519172453260</stp>
        <tr r="S744" s="2"/>
      </tp>
      <tp t="s">
        <v>#N/A N/A</v>
        <stp/>
        <stp>BDP|9393240464623809802</stp>
        <tr r="E376" s="2"/>
      </tp>
      <tp t="s">
        <v>#N/A N/A</v>
        <stp/>
        <stp>BDP|5461372553385323088</stp>
        <tr r="G811" s="2"/>
      </tp>
      <tp t="s">
        <v>#N/A N/A</v>
        <stp/>
        <stp>BDP|4174020381453868918</stp>
        <tr r="C640" s="2"/>
      </tp>
      <tp t="s">
        <v>#N/A N/A</v>
        <stp/>
        <stp>BDP|4460366239865148710</stp>
        <tr r="P1360" s="2"/>
      </tp>
      <tp t="s">
        <v>#N/A N/A</v>
        <stp/>
        <stp>BDP|5244489115721246761</stp>
        <tr r="O941" s="2"/>
      </tp>
      <tp t="s">
        <v>#N/A N/A</v>
        <stp/>
        <stp>BDP|7626169532462948104</stp>
        <tr r="T1020" s="2"/>
      </tp>
      <tp t="s">
        <v>#N/A N/A</v>
        <stp/>
        <stp>BDP|3860400585828659104</stp>
        <tr r="D377" s="2"/>
      </tp>
      <tp t="s">
        <v>#N/A N/A</v>
        <stp/>
        <stp>BDP|2666778317093805151</stp>
        <tr r="T386" s="2"/>
      </tp>
      <tp t="s">
        <v>#N/A N/A</v>
        <stp/>
        <stp>BDP|5425898080411751215</stp>
        <tr r="H962" s="2"/>
      </tp>
      <tp t="s">
        <v>#N/A N/A</v>
        <stp/>
        <stp>BDP|2512896332837360867</stp>
        <tr r="J1565" s="2"/>
      </tp>
      <tp t="s">
        <v>#N/A N/A</v>
        <stp/>
        <stp>BDP|6420521865436984511</stp>
        <tr r="A2184" s="2"/>
      </tp>
      <tp t="s">
        <v>#N/A N/A</v>
        <stp/>
        <stp>BDP|7601627589298595732</stp>
        <tr r="A230" s="2"/>
      </tp>
      <tp t="s">
        <v>#N/A N/A</v>
        <stp/>
        <stp>BDS|9602504743528603683</stp>
        <tr r="I613" s="2"/>
      </tp>
      <tp t="s">
        <v>#N/A N/A</v>
        <stp/>
        <stp>BDP|9894541094273325009</stp>
        <tr r="J1277" s="2"/>
      </tp>
      <tp t="s">
        <v>#N/A N/A</v>
        <stp/>
        <stp>BDP|7274615598079865785</stp>
        <tr r="H1458" s="2"/>
      </tp>
      <tp t="s">
        <v>#N/A N/A</v>
        <stp/>
        <stp>BDP|3928414824522018173</stp>
        <tr r="N288" s="2"/>
      </tp>
      <tp t="s">
        <v>#N/A N/A</v>
        <stp/>
        <stp>BDP|1217072368689428827</stp>
        <tr r="Q2241" s="2"/>
      </tp>
      <tp t="s">
        <v>#N/A N/A</v>
        <stp/>
        <stp>BDP|3596409468532756510</stp>
        <tr r="S102" s="2"/>
      </tp>
      <tp t="s">
        <v>#N/A N/A</v>
        <stp/>
        <stp>BDP|9513479653666892827</stp>
        <tr r="E1599" s="2"/>
      </tp>
      <tp t="s">
        <v>#N/A N/A</v>
        <stp/>
        <stp>BDP|7497039396180271886</stp>
        <tr r="J634" s="2"/>
      </tp>
      <tp t="s">
        <v>#N/A N/A</v>
        <stp/>
        <stp>BDP|9641433084485889628</stp>
        <tr r="A837" s="2"/>
      </tp>
      <tp t="s">
        <v>#N/A N/A</v>
        <stp/>
        <stp>BDS|4918725117523558724</stp>
        <tr r="I2104" s="2"/>
      </tp>
      <tp t="s">
        <v>#N/A N/A</v>
        <stp/>
        <stp>BDP|3734397418546818153</stp>
        <tr r="J440" s="2"/>
      </tp>
      <tp t="s">
        <v>#N/A N/A</v>
        <stp/>
        <stp>BDP|3469267545222593199</stp>
        <tr r="D1297" s="2"/>
      </tp>
      <tp t="s">
        <v>#N/A N/A</v>
        <stp/>
        <stp>BDP|1693042120846149384</stp>
        <tr r="N690" s="2"/>
      </tp>
      <tp t="s">
        <v>#N/A N/A</v>
        <stp/>
        <stp>BDP|3104100703236988209</stp>
        <tr r="K1585" s="2"/>
      </tp>
      <tp t="s">
        <v>#N/A N/A</v>
        <stp/>
        <stp>BDP|3780198542507731704</stp>
        <tr r="F2148" s="2"/>
      </tp>
      <tp t="s">
        <v>#N/A N/A</v>
        <stp/>
        <stp>BDP|4414285773274630327</stp>
        <tr r="H209" s="2"/>
      </tp>
      <tp t="s">
        <v>#N/A N/A</v>
        <stp/>
        <stp>BDP|6316591701724876182</stp>
        <tr r="R104" s="2"/>
      </tp>
      <tp t="s">
        <v>#N/A N/A</v>
        <stp/>
        <stp>BDP|6874315737662350263</stp>
        <tr r="S1446" s="2"/>
      </tp>
      <tp t="s">
        <v>#N/A N/A</v>
        <stp/>
        <stp>BDP|6756917938309138340</stp>
        <tr r="N1871" s="2"/>
      </tp>
      <tp t="s">
        <v>#N/A N/A</v>
        <stp/>
        <stp>BDP|2037344399879381755</stp>
        <tr r="C2085" s="2"/>
      </tp>
      <tp t="s">
        <v>#N/A N/A</v>
        <stp/>
        <stp>BDP|9142525189265118700</stp>
        <tr r="T1692" s="2"/>
      </tp>
      <tp t="s">
        <v>#N/A N/A</v>
        <stp/>
        <stp>BDP|4544924839821580902</stp>
        <tr r="E1929" s="2"/>
      </tp>
      <tp t="s">
        <v>#N/A N/A</v>
        <stp/>
        <stp>BDP|1319203336951795790</stp>
        <tr r="O735" s="2"/>
      </tp>
      <tp t="s">
        <v>#N/A N/A</v>
        <stp/>
        <stp>BDP|5012441608804791304</stp>
        <tr r="S542" s="2"/>
      </tp>
      <tp t="s">
        <v>#N/A N/A</v>
        <stp/>
        <stp>BDP|8554880070433620206</stp>
        <tr r="G1374" s="2"/>
      </tp>
      <tp t="s">
        <v>#N/A N/A</v>
        <stp/>
        <stp>BDP|2789378058317548562</stp>
        <tr r="D1577" s="2"/>
      </tp>
      <tp t="s">
        <v>#N/A N/A</v>
        <stp/>
        <stp>BDP|5145371805288045886</stp>
        <tr r="O437" s="2"/>
      </tp>
      <tp t="s">
        <v>#N/A N/A</v>
        <stp/>
        <stp>BDP|7410096727170260335</stp>
        <tr r="Q550" s="2"/>
      </tp>
      <tp t="s">
        <v>#N/A N/A</v>
        <stp/>
        <stp>BDP|9700368476148581394</stp>
        <tr r="R478" s="2"/>
      </tp>
      <tp t="s">
        <v>#N/A N/A</v>
        <stp/>
        <stp>BDP|5766934884662854034</stp>
        <tr r="P1549" s="2"/>
      </tp>
      <tp t="s">
        <v>#N/A N/A</v>
        <stp/>
        <stp>BDP|2661092474886910598</stp>
        <tr r="J1997" s="2"/>
      </tp>
      <tp t="s">
        <v>#N/A N/A</v>
        <stp/>
        <stp>BDP|2329841838627169856</stp>
        <tr r="D2002" s="2"/>
      </tp>
      <tp t="s">
        <v>#N/A N/A</v>
        <stp/>
        <stp>BDP|5380716442780299094</stp>
        <tr r="G1597" s="2"/>
      </tp>
      <tp t="s">
        <v>#N/A N/A</v>
        <stp/>
        <stp>BDP|5112076429644362573</stp>
        <tr r="D724" s="2"/>
      </tp>
      <tp t="s">
        <v>#N/A N/A</v>
        <stp/>
        <stp>BDP|4330587347331643217</stp>
        <tr r="R2140" s="2"/>
      </tp>
      <tp t="s">
        <v>#N/A N/A</v>
        <stp/>
        <stp>BDP|4860664378072807156</stp>
        <tr r="G942" s="2"/>
      </tp>
      <tp t="s">
        <v>#N/A N/A</v>
        <stp/>
        <stp>BDP|5069700089735432966</stp>
        <tr r="A484" s="2"/>
      </tp>
      <tp t="s">
        <v>#N/A N/A</v>
        <stp/>
        <stp>BDP|4634677031823881433</stp>
        <tr r="F1968" s="2"/>
      </tp>
      <tp t="s">
        <v>#N/A N/A</v>
        <stp/>
        <stp>BDP|2889467115331485043</stp>
        <tr r="K973" s="2"/>
      </tp>
      <tp t="s">
        <v>#N/A N/A</v>
        <stp/>
        <stp>BDP|3520985221116360846</stp>
        <tr r="M1448" s="2"/>
      </tp>
      <tp t="s">
        <v>#N/A N/A</v>
        <stp/>
        <stp>BDP|3568980183273072755</stp>
        <tr r="N1914" s="2"/>
      </tp>
      <tp t="s">
        <v>#N/A N/A</v>
        <stp/>
        <stp>BDP|7403101021177729594</stp>
        <tr r="J1700" s="2"/>
      </tp>
      <tp t="s">
        <v>#N/A N/A</v>
        <stp/>
        <stp>BDP|1967000734984706019</stp>
        <tr r="A122" s="2"/>
      </tp>
      <tp t="s">
        <v>#N/A N/A</v>
        <stp/>
        <stp>BDP|3228474777136936002</stp>
        <tr r="P864" s="2"/>
      </tp>
      <tp t="s">
        <v>#N/A N/A</v>
        <stp/>
        <stp>BDP|4447647748589423972</stp>
        <tr r="H2176" s="2"/>
      </tp>
      <tp t="s">
        <v>#N/A N/A</v>
        <stp/>
        <stp>BDS|8707611882728449888</stp>
        <tr r="I2087" s="2"/>
      </tp>
      <tp t="s">
        <v>#N/A N/A</v>
        <stp/>
        <stp>BDP|3255173118922423714</stp>
        <tr r="M1829" s="2"/>
      </tp>
      <tp t="s">
        <v>#N/A N/A</v>
        <stp/>
        <stp>BDS|6695121078134060245</stp>
        <tr r="I120" s="2"/>
      </tp>
      <tp t="s">
        <v>#N/A N/A</v>
        <stp/>
        <stp>BDP|3297782805222352045</stp>
        <tr r="K1809" s="2"/>
      </tp>
      <tp t="s">
        <v>#N/A N/A</v>
        <stp/>
        <stp>BDP|9669848312691107790</stp>
        <tr r="S1328" s="2"/>
      </tp>
      <tp t="s">
        <v>#N/A N/A</v>
        <stp/>
        <stp>BDP|4913766852822338264</stp>
        <tr r="A2079" s="2"/>
      </tp>
      <tp t="s">
        <v>#N/A N/A</v>
        <stp/>
        <stp>BDP|6681594133013422506</stp>
        <tr r="J573" s="2"/>
      </tp>
      <tp t="s">
        <v>#N/A N/A</v>
        <stp/>
        <stp>BDP|6324150024804928730</stp>
        <tr r="H1244" s="2"/>
      </tp>
      <tp t="s">
        <v>#N/A N/A</v>
        <stp/>
        <stp>BDP|2586188402790784507</stp>
        <tr r="H419" s="2"/>
      </tp>
      <tp t="s">
        <v>#N/A N/A</v>
        <stp/>
        <stp>BDP|4579020256510097790</stp>
        <tr r="C903" s="2"/>
      </tp>
      <tp t="s">
        <v>#N/A N/A</v>
        <stp/>
        <stp>BDP|6467469316425599099</stp>
        <tr r="E102" s="2"/>
      </tp>
      <tp t="s">
        <v>#N/A N/A</v>
        <stp/>
        <stp>BDP|2954169339676638082</stp>
        <tr r="G1765" s="2"/>
      </tp>
      <tp t="s">
        <v>#N/A N/A</v>
        <stp/>
        <stp>BDP|7379114708198503878</stp>
        <tr r="H993" s="2"/>
      </tp>
      <tp t="s">
        <v>#N/A N/A</v>
        <stp/>
        <stp>BDP|5624898488336944567</stp>
        <tr r="A550" s="2"/>
      </tp>
      <tp t="s">
        <v>#N/A N/A</v>
        <stp/>
        <stp>BDP|5659397573273428408</stp>
        <tr r="E899" s="2"/>
      </tp>
      <tp t="s">
        <v>#N/A N/A</v>
        <stp/>
        <stp>BDP|6738419443954415498</stp>
        <tr r="M1534" s="2"/>
      </tp>
      <tp t="s">
        <v>#N/A N/A</v>
        <stp/>
        <stp>BDS|9259626456375694980</stp>
        <tr r="I1520" s="2"/>
      </tp>
      <tp t="s">
        <v>#N/A N/A</v>
        <stp/>
        <stp>BDP|3459838781510715593</stp>
        <tr r="N344" s="2"/>
      </tp>
      <tp t="s">
        <v>#N/A N/A</v>
        <stp/>
        <stp>BDP|5211380303359692976</stp>
        <tr r="M1941" s="2"/>
      </tp>
      <tp t="s">
        <v>#N/A N/A</v>
        <stp/>
        <stp>BDP|7173298462915720059</stp>
        <tr r="G1063" s="2"/>
      </tp>
      <tp t="s">
        <v>#N/A N/A</v>
        <stp/>
        <stp>BDP|1740951158929474266</stp>
        <tr r="R692" s="2"/>
      </tp>
      <tp t="s">
        <v>#N/A N/A</v>
        <stp/>
        <stp>BDP|1811039205806784115</stp>
        <tr r="R53" s="2"/>
      </tp>
      <tp t="s">
        <v>#N/A N/A</v>
        <stp/>
        <stp>BDP|8151254645091151989</stp>
        <tr r="H550" s="2"/>
      </tp>
      <tp t="s">
        <v>#N/A N/A</v>
        <stp/>
        <stp>BDS|6664169813978202898</stp>
        <tr r="I1239" s="2"/>
      </tp>
      <tp t="s">
        <v>#N/A N/A</v>
        <stp/>
        <stp>BDP|5488609258751688122</stp>
        <tr r="A741" s="2"/>
      </tp>
      <tp t="s">
        <v>#N/A N/A</v>
        <stp/>
        <stp>BDS|8457740898741159118</stp>
        <tr r="I736" s="2"/>
      </tp>
      <tp t="s">
        <v>#N/A N/A</v>
        <stp/>
        <stp>BDP|6207839468527272937</stp>
        <tr r="C314" s="2"/>
      </tp>
      <tp t="s">
        <v>#N/A N/A</v>
        <stp/>
        <stp>BDP|5888170130706504723</stp>
        <tr r="A472" s="2"/>
      </tp>
      <tp t="s">
        <v>#N/A N/A</v>
        <stp/>
        <stp>BDP|6486636371618631984</stp>
        <tr r="E1611" s="2"/>
      </tp>
      <tp t="s">
        <v>#N/A N/A</v>
        <stp/>
        <stp>BDS|5382799726856160053</stp>
        <tr r="I2037" s="2"/>
      </tp>
      <tp t="s">
        <v>#N/A N/A</v>
        <stp/>
        <stp>BDS|4041349345943115689</stp>
        <tr r="I542" s="2"/>
      </tp>
      <tp t="s">
        <v>#N/A N/A</v>
        <stp/>
        <stp>BDP|8750190314796744859</stp>
        <tr r="H1367" s="2"/>
      </tp>
      <tp t="s">
        <v>#N/A N/A</v>
        <stp/>
        <stp>BDP|6700500828315446238</stp>
        <tr r="S100" s="2"/>
      </tp>
      <tp t="s">
        <v>#N/A N/A</v>
        <stp/>
        <stp>BDP|7292385335697132667</stp>
        <tr r="R1895" s="2"/>
      </tp>
      <tp t="s">
        <v>#N/A N/A</v>
        <stp/>
        <stp>BDP|8809823143207248534</stp>
        <tr r="K1252" s="2"/>
      </tp>
      <tp t="s">
        <v>#N/A N/A</v>
        <stp/>
        <stp>BDP|2366631538648056905</stp>
        <tr r="G2019" s="2"/>
      </tp>
      <tp t="s">
        <v>#N/A N/A</v>
        <stp/>
        <stp>BDP|5622723564083077187</stp>
        <tr r="D638" s="2"/>
      </tp>
      <tp t="s">
        <v>#N/A N/A</v>
        <stp/>
        <stp>BDP|3652467746252919770</stp>
        <tr r="H1452" s="2"/>
      </tp>
      <tp t="s">
        <v>#N/A N/A</v>
        <stp/>
        <stp>BDP|9406905028452352674</stp>
        <tr r="E845" s="2"/>
      </tp>
      <tp t="s">
        <v>#N/A N/A</v>
        <stp/>
        <stp>BDP|1682728667453363582</stp>
        <tr r="M2019" s="2"/>
      </tp>
      <tp t="s">
        <v>#N/A N/A</v>
        <stp/>
        <stp>BDP|2827454039496959554</stp>
        <tr r="A373" s="2"/>
      </tp>
      <tp t="s">
        <v>#N/A N/A</v>
        <stp/>
        <stp>BDP|1278562790488577395</stp>
        <tr r="C920" s="2"/>
      </tp>
      <tp t="s">
        <v>#N/A N/A</v>
        <stp/>
        <stp>BDP|5981098165213831652</stp>
        <tr r="K1656" s="2"/>
      </tp>
      <tp t="s">
        <v>#N/A N/A</v>
        <stp/>
        <stp>BDP|2263387883268261736</stp>
        <tr r="M408" s="2"/>
      </tp>
      <tp t="s">
        <v>#N/A N/A</v>
        <stp/>
        <stp>BDP|2426796945292575553</stp>
        <tr r="Q559" s="2"/>
      </tp>
      <tp t="s">
        <v>#N/A N/A</v>
        <stp/>
        <stp>BDP|4917021907150672224</stp>
        <tr r="O1557" s="2"/>
      </tp>
      <tp t="s">
        <v>#N/A N/A</v>
        <stp/>
        <stp>BDP|5121157190192570991</stp>
        <tr r="D1199" s="2"/>
      </tp>
      <tp t="s">
        <v>#N/A N/A</v>
        <stp/>
        <stp>BDP|4915970033530348865</stp>
        <tr r="S1192" s="2"/>
      </tp>
      <tp t="s">
        <v>#N/A N/A</v>
        <stp/>
        <stp>BDP|2659796426006565740</stp>
        <tr r="Q1196" s="2"/>
      </tp>
      <tp t="s">
        <v>#N/A N/A</v>
        <stp/>
        <stp>BDP|4680442602945108396</stp>
        <tr r="R813" s="2"/>
      </tp>
      <tp t="s">
        <v>#N/A N/A</v>
        <stp/>
        <stp>BDP|9078781735743570803</stp>
        <tr r="M2144" s="2"/>
      </tp>
      <tp t="s">
        <v>#N/A N/A</v>
        <stp/>
        <stp>BDP|2053707450102813406</stp>
        <tr r="J1040" s="2"/>
      </tp>
      <tp t="s">
        <v>#N/A N/A</v>
        <stp/>
        <stp>BDP|3203552109138404827</stp>
        <tr r="T1241" s="2"/>
      </tp>
      <tp t="s">
        <v>#N/A N/A</v>
        <stp/>
        <stp>BDP|7507694540677363470</stp>
        <tr r="N238" s="2"/>
      </tp>
      <tp t="s">
        <v>#N/A N/A</v>
        <stp/>
        <stp>BDP|3075292797358556637</stp>
        <tr r="K297" s="2"/>
      </tp>
      <tp t="s">
        <v>#N/A N/A</v>
        <stp/>
        <stp>BDP|7357681411384605243</stp>
        <tr r="J1694" s="2"/>
      </tp>
      <tp t="s">
        <v>#N/A N/A</v>
        <stp/>
        <stp>BDP|7641017977497934113</stp>
        <tr r="F1112" s="2"/>
      </tp>
      <tp t="s">
        <v>#N/A N/A</v>
        <stp/>
        <stp>BDP|9013535971675928837</stp>
        <tr r="E275" s="2"/>
      </tp>
      <tp t="s">
        <v>#N/A N/A</v>
        <stp/>
        <stp>BDP|5914663630851190764</stp>
        <tr r="O447" s="2"/>
      </tp>
      <tp t="s">
        <v>#N/A N/A</v>
        <stp/>
        <stp>BDP|3857507677912042579</stp>
        <tr r="Q1957" s="2"/>
      </tp>
      <tp t="s">
        <v>#N/A N/A</v>
        <stp/>
        <stp>BDP|4512646159027043605</stp>
        <tr r="C452" s="2"/>
      </tp>
      <tp t="s">
        <v>#N/A N/A</v>
        <stp/>
        <stp>BDP|5274681956388406803</stp>
        <tr r="N1056" s="2"/>
      </tp>
      <tp t="s">
        <v>#N/A N/A</v>
        <stp/>
        <stp>BDP|5336696501054305103</stp>
        <tr r="R1635" s="2"/>
      </tp>
      <tp t="s">
        <v>#N/A N/A</v>
        <stp/>
        <stp>BDP|1950241636561609757</stp>
        <tr r="F27" s="2"/>
      </tp>
      <tp t="s">
        <v>#N/A N/A</v>
        <stp/>
        <stp>BDP|3065621967303815653</stp>
        <tr r="S928" s="2"/>
      </tp>
      <tp t="s">
        <v>#N/A N/A</v>
        <stp/>
        <stp>BDP|7060805792960921021</stp>
        <tr r="F143" s="2"/>
      </tp>
      <tp t="s">
        <v>#N/A N/A</v>
        <stp/>
        <stp>BDP|4991366541646282358</stp>
        <tr r="K1339" s="2"/>
      </tp>
      <tp t="s">
        <v>#N/A N/A</v>
        <stp/>
        <stp>BDP|7189358173900824562</stp>
        <tr r="Q448" s="2"/>
      </tp>
      <tp t="s">
        <v>#N/A N/A</v>
        <stp/>
        <stp>BDP|6420990427692695954</stp>
        <tr r="E684" s="2"/>
      </tp>
      <tp t="s">
        <v>#N/A N/A</v>
        <stp/>
        <stp>BDP|5599023201830732388</stp>
        <tr r="M428" s="2"/>
      </tp>
      <tp t="s">
        <v>#N/A N/A</v>
        <stp/>
        <stp>BDP|1937428501165661654</stp>
        <tr r="J752" s="2"/>
      </tp>
      <tp t="s">
        <v>#N/A N/A</v>
        <stp/>
        <stp>BDP|7873200676876120265</stp>
        <tr r="O1219" s="2"/>
      </tp>
      <tp t="s">
        <v>#N/A N/A</v>
        <stp/>
        <stp>BDP|4709582357241302328</stp>
        <tr r="M295" s="2"/>
      </tp>
      <tp t="s">
        <v>#N/A N/A</v>
        <stp/>
        <stp>BDP|9059947833266919379</stp>
        <tr r="Q1739" s="2"/>
      </tp>
      <tp t="s">
        <v>#N/A N/A</v>
        <stp/>
        <stp>BDP|7212972798142229368</stp>
        <tr r="H1614" s="2"/>
      </tp>
      <tp t="s">
        <v>#N/A N/A</v>
        <stp/>
        <stp>BDP|8110244948510482800</stp>
        <tr r="T1259" s="2"/>
      </tp>
      <tp t="s">
        <v>#N/A N/A</v>
        <stp/>
        <stp>BDP|9868864286879779666</stp>
        <tr r="K1253" s="2"/>
      </tp>
      <tp t="s">
        <v>#N/A N/A</v>
        <stp/>
        <stp>BDP|4345387169673963428</stp>
        <tr r="A144" s="2"/>
      </tp>
      <tp t="s">
        <v>#N/A N/A</v>
        <stp/>
        <stp>BDP|5137235469403293400</stp>
        <tr r="E236" s="2"/>
      </tp>
      <tp t="s">
        <v>#N/A N/A</v>
        <stp/>
        <stp>BDP|7311894546155461819</stp>
        <tr r="H1858" s="2"/>
      </tp>
      <tp t="s">
        <v>#N/A N/A</v>
        <stp/>
        <stp>BDP|6847804706919068174</stp>
        <tr r="H686" s="2"/>
      </tp>
      <tp t="s">
        <v>#N/A N/A</v>
        <stp/>
        <stp>BDP|8748181886821371630</stp>
        <tr r="S417" s="2"/>
      </tp>
      <tp t="s">
        <v>#N/A N/A</v>
        <stp/>
        <stp>BDP|7791611104451318687</stp>
        <tr r="J1253" s="2"/>
      </tp>
      <tp t="s">
        <v>#N/A N/A</v>
        <stp/>
        <stp>BDP|6369664303350730688</stp>
        <tr r="H106" s="2"/>
      </tp>
      <tp t="s">
        <v>#N/A N/A</v>
        <stp/>
        <stp>BDP|1105849795314005297</stp>
        <tr r="S836" s="2"/>
      </tp>
      <tp t="s">
        <v>#N/A N/A</v>
        <stp/>
        <stp>BDP|1438048664111548083</stp>
        <tr r="R1697" s="2"/>
      </tp>
      <tp t="s">
        <v>#N/A N/A</v>
        <stp/>
        <stp>BDP|6689871259589752464</stp>
        <tr r="J338" s="2"/>
      </tp>
      <tp t="s">
        <v>#N/A N/A</v>
        <stp/>
        <stp>BDP|3124793196938224357</stp>
        <tr r="S1473" s="2"/>
      </tp>
      <tp t="s">
        <v>#N/A N/A</v>
        <stp/>
        <stp>BDP|7910072943916544313</stp>
        <tr r="O2092" s="2"/>
      </tp>
      <tp t="s">
        <v>#N/A N/A</v>
        <stp/>
        <stp>BDP|6657192876841843786</stp>
        <tr r="H722" s="2"/>
      </tp>
      <tp t="s">
        <v>#N/A N/A</v>
        <stp/>
        <stp>BDS|6538079311171858021</stp>
        <tr r="I1271" s="2"/>
      </tp>
      <tp t="s">
        <v>#N/A N/A</v>
        <stp/>
        <stp>BDP|6983189879856119004</stp>
        <tr r="H1337" s="2"/>
      </tp>
      <tp t="s">
        <v>#N/A N/A</v>
        <stp/>
        <stp>BDP|7266056433916850450</stp>
        <tr r="A2168" s="2"/>
      </tp>
      <tp t="s">
        <v>#N/A N/A</v>
        <stp/>
        <stp>BDP|6593873717309458080</stp>
        <tr r="P585" s="2"/>
      </tp>
      <tp t="s">
        <v>#N/A N/A</v>
        <stp/>
        <stp>BDP|5824188132399263893</stp>
        <tr r="G1203" s="2"/>
      </tp>
      <tp t="s">
        <v>#N/A N/A</v>
        <stp/>
        <stp>BDP|7668899374709053721</stp>
        <tr r="T242" s="2"/>
      </tp>
      <tp t="s">
        <v>#N/A N/A</v>
        <stp/>
        <stp>BDP|3830040054998472851</stp>
        <tr r="F1732" s="2"/>
      </tp>
      <tp t="s">
        <v>#N/A N/A</v>
        <stp/>
        <stp>BDP|5294380211690448164</stp>
        <tr r="N236" s="2"/>
      </tp>
      <tp t="s">
        <v>#N/A N/A</v>
        <stp/>
        <stp>BDP|8678141498796777049</stp>
        <tr r="N708" s="2"/>
      </tp>
      <tp t="s">
        <v>#N/A N/A</v>
        <stp/>
        <stp>BDP|9940062042853797838</stp>
        <tr r="C2212" s="2"/>
      </tp>
      <tp t="s">
        <v>#N/A N/A</v>
        <stp/>
        <stp>BDP|4457106502336784586</stp>
        <tr r="G1297" s="2"/>
      </tp>
      <tp t="s">
        <v>#N/A N/A</v>
        <stp/>
        <stp>BDP|6809266890262620918</stp>
        <tr r="D157" s="2"/>
      </tp>
      <tp t="s">
        <v>#N/A N/A</v>
        <stp/>
        <stp>BDP|2497664259405034224</stp>
        <tr r="G320" s="2"/>
      </tp>
      <tp t="s">
        <v>#N/A N/A</v>
        <stp/>
        <stp>BDP|6830337092582794876</stp>
        <tr r="M1878" s="2"/>
      </tp>
      <tp t="s">
        <v>#N/A N/A</v>
        <stp/>
        <stp>BDP|8451706399836035649</stp>
        <tr r="S2193" s="2"/>
      </tp>
      <tp t="s">
        <v>#N/A N/A</v>
        <stp/>
        <stp>BDP|3491937499455385043</stp>
        <tr r="S707" s="2"/>
      </tp>
      <tp t="s">
        <v>#N/A N/A</v>
        <stp/>
        <stp>BDP|4567084861307758325</stp>
        <tr r="F937" s="2"/>
      </tp>
      <tp t="s">
        <v>#N/A N/A</v>
        <stp/>
        <stp>BDP|6649396724990226108</stp>
        <tr r="D1684" s="2"/>
      </tp>
      <tp t="s">
        <v>#N/A N/A</v>
        <stp/>
        <stp>BDP|2418094803804652019</stp>
        <tr r="J1537" s="2"/>
      </tp>
      <tp t="s">
        <v>#N/A N/A</v>
        <stp/>
        <stp>BDP|9256384207334138850</stp>
        <tr r="S581" s="2"/>
      </tp>
      <tp t="s">
        <v>#N/A N/A</v>
        <stp/>
        <stp>BDP|7817349593633695807</stp>
        <tr r="A1159" s="2"/>
      </tp>
      <tp t="s">
        <v>#N/A N/A</v>
        <stp/>
        <stp>BDP|9442000285027174093</stp>
        <tr r="T1994" s="2"/>
      </tp>
      <tp t="s">
        <v>#N/A N/A</v>
        <stp/>
        <stp>BDP|6834904524438015352</stp>
        <tr r="A159" s="2"/>
      </tp>
      <tp t="s">
        <v>#N/A N/A</v>
        <stp/>
        <stp>BDP|7755528986079399594</stp>
        <tr r="J63" s="2"/>
      </tp>
      <tp t="s">
        <v>#N/A N/A</v>
        <stp/>
        <stp>BDP|4723047088573535970</stp>
        <tr r="J689" s="2"/>
      </tp>
      <tp t="s">
        <v>#N/A N/A</v>
        <stp/>
        <stp>BDP|6898368706252078117</stp>
        <tr r="F942" s="2"/>
      </tp>
      <tp t="s">
        <v>#N/A N/A</v>
        <stp/>
        <stp>BDP|5194339267316898049</stp>
        <tr r="D1081" s="2"/>
      </tp>
      <tp t="s">
        <v>#N/A N/A</v>
        <stp/>
        <stp>BDP|8417784170566137841</stp>
        <tr r="Q1100" s="2"/>
      </tp>
      <tp t="s">
        <v>#N/A N/A</v>
        <stp/>
        <stp>BDP|9408528880743956168</stp>
        <tr r="T141" s="2"/>
      </tp>
      <tp t="s">
        <v>#N/A N/A</v>
        <stp/>
        <stp>BDP|4374364507172278397</stp>
        <tr r="D723" s="2"/>
      </tp>
      <tp t="s">
        <v>#N/A N/A</v>
        <stp/>
        <stp>BDP|1482879029698221517</stp>
        <tr r="D727" s="2"/>
      </tp>
      <tp t="s">
        <v>#N/A N/A</v>
        <stp/>
        <stp>BDP|2283899483152972682</stp>
        <tr r="C89" s="2"/>
      </tp>
      <tp t="s">
        <v>#N/A N/A</v>
        <stp/>
        <stp>BDS|6154487537514581329</stp>
        <tr r="I828" s="2"/>
      </tp>
      <tp t="s">
        <v>#N/A N/A</v>
        <stp/>
        <stp>BDP|1473800305007143896</stp>
        <tr r="F1757" s="2"/>
      </tp>
      <tp t="s">
        <v>#N/A N/A</v>
        <stp/>
        <stp>BDP|1276076704243969410</stp>
        <tr r="O1802" s="2"/>
      </tp>
      <tp t="s">
        <v>#N/A N/A</v>
        <stp/>
        <stp>BDP|8208606321172301892</stp>
        <tr r="P1174" s="2"/>
      </tp>
      <tp t="s">
        <v>#N/A N/A</v>
        <stp/>
        <stp>BDP|2153001163180232293</stp>
        <tr r="T2109" s="2"/>
      </tp>
      <tp t="s">
        <v>#N/A N/A</v>
        <stp/>
        <stp>BDP|3986904560292632868</stp>
        <tr r="Q40" s="2"/>
      </tp>
      <tp t="s">
        <v>#N/A N/A</v>
        <stp/>
        <stp>BDP|8654672894561573090</stp>
        <tr r="Q110" s="2"/>
      </tp>
      <tp t="s">
        <v>#N/A N/A</v>
        <stp/>
        <stp>BDP|3849655245162639577</stp>
        <tr r="P1322" s="2"/>
      </tp>
      <tp t="s">
        <v>#N/A N/A</v>
        <stp/>
        <stp>BDP|1656777729036503446</stp>
        <tr r="O819" s="2"/>
      </tp>
      <tp t="s">
        <v>#N/A N/A</v>
        <stp/>
        <stp>BDP|4353961212773675980</stp>
        <tr r="A1060" s="2"/>
      </tp>
      <tp t="s">
        <v>#N/A N/A</v>
        <stp/>
        <stp>BDP|6300682479512856336</stp>
        <tr r="S2109" s="2"/>
      </tp>
      <tp t="s">
        <v>#N/A N/A</v>
        <stp/>
        <stp>BDP|2583393261852678320</stp>
        <tr r="C533" s="2"/>
      </tp>
      <tp t="s">
        <v>#N/A N/A</v>
        <stp/>
        <stp>BDP|7631798972743202268</stp>
        <tr r="O1278" s="2"/>
      </tp>
      <tp t="s">
        <v>#N/A N/A</v>
        <stp/>
        <stp>BDP|8594889124073777770</stp>
        <tr r="G1755" s="2"/>
      </tp>
      <tp t="s">
        <v>#N/A N/A</v>
        <stp/>
        <stp>BDP|9560468681850225393</stp>
        <tr r="C1873" s="2"/>
      </tp>
      <tp t="s">
        <v>#N/A N/A</v>
        <stp/>
        <stp>BDP|2029533365321678692</stp>
        <tr r="M1324" s="2"/>
      </tp>
      <tp t="s">
        <v>#N/A N/A</v>
        <stp/>
        <stp>BDP|2270608363936931212</stp>
        <tr r="P129" s="2"/>
      </tp>
      <tp t="s">
        <v>#N/A N/A</v>
        <stp/>
        <stp>BDP|2176891540348049016</stp>
        <tr r="R1256" s="2"/>
      </tp>
      <tp t="s">
        <v>#N/A N/A</v>
        <stp/>
        <stp>BDP|7931187419527048612</stp>
        <tr r="F678" s="2"/>
      </tp>
      <tp t="s">
        <v>#N/A N/A</v>
        <stp/>
        <stp>BDP|5162631003055050084</stp>
        <tr r="E898" s="2"/>
      </tp>
      <tp t="s">
        <v>#N/A N/A</v>
        <stp/>
        <stp>BDP|8637991627702006713</stp>
        <tr r="R78" s="2"/>
      </tp>
      <tp t="s">
        <v>#N/A N/A</v>
        <stp/>
        <stp>BDP|6920157026415541663</stp>
        <tr r="J686" s="2"/>
      </tp>
      <tp t="s">
        <v>#N/A N/A</v>
        <stp/>
        <stp>BDP|7024484322807594061</stp>
        <tr r="S1150" s="2"/>
      </tp>
      <tp t="s">
        <v>#N/A N/A</v>
        <stp/>
        <stp>BDP|4980425807432287477</stp>
        <tr r="T108" s="2"/>
      </tp>
      <tp t="s">
        <v>#N/A N/A</v>
        <stp/>
        <stp>BDP|8979562323389696046</stp>
        <tr r="T1748" s="2"/>
      </tp>
      <tp t="s">
        <v>#N/A N/A</v>
        <stp/>
        <stp>BDP|3387510729203255176</stp>
        <tr r="A852" s="2"/>
      </tp>
      <tp t="s">
        <v>#N/A N/A</v>
        <stp/>
        <stp>BDP|6953703127877856283</stp>
        <tr r="Q1983" s="2"/>
      </tp>
      <tp t="s">
        <v>#N/A N/A</v>
        <stp/>
        <stp>BDS|2611738927708940951</stp>
        <tr r="I2219" s="2"/>
      </tp>
      <tp t="s">
        <v>#N/A N/A</v>
        <stp/>
        <stp>BDS|1879618039660916273</stp>
        <tr r="I511" s="2"/>
      </tp>
      <tp t="s">
        <v>#N/A N/A</v>
        <stp/>
        <stp>BDP|4825433275990564156</stp>
        <tr r="F2132" s="2"/>
      </tp>
      <tp t="s">
        <v>#N/A N/A</v>
        <stp/>
        <stp>BDS|2168985099153817768</stp>
        <tr r="I209" s="2"/>
      </tp>
      <tp t="s">
        <v>#N/A N/A</v>
        <stp/>
        <stp>BDP|1656280803094782146</stp>
        <tr r="R1415" s="2"/>
      </tp>
      <tp t="s">
        <v>#N/A N/A</v>
        <stp/>
        <stp>BDP|3102059751704843431</stp>
        <tr r="H1664" s="2"/>
      </tp>
      <tp t="s">
        <v>#N/A N/A</v>
        <stp/>
        <stp>BDP|4885544031403272714</stp>
        <tr r="A2121" s="2"/>
      </tp>
      <tp t="s">
        <v>#N/A N/A</v>
        <stp/>
        <stp>BDP|7229464906912542790</stp>
        <tr r="D1563" s="2"/>
      </tp>
      <tp t="s">
        <v>#N/A N/A</v>
        <stp/>
        <stp>BDP|5897750247281161156</stp>
        <tr r="G149" s="2"/>
      </tp>
      <tp t="s">
        <v>#N/A N/A</v>
        <stp/>
        <stp>BDP|6238699140340742226</stp>
        <tr r="J1070" s="2"/>
      </tp>
      <tp t="s">
        <v>#N/A N/A</v>
        <stp/>
        <stp>BDP|5408695136826750023</stp>
        <tr r="S1111" s="2"/>
      </tp>
      <tp t="s">
        <v>#N/A N/A</v>
        <stp/>
        <stp>BDP|9092376513374334995</stp>
        <tr r="G1152" s="2"/>
      </tp>
      <tp t="s">
        <v>#N/A N/A</v>
        <stp/>
        <stp>BDP|1883082867897914609</stp>
        <tr r="M177" s="2"/>
      </tp>
      <tp t="s">
        <v>#N/A N/A</v>
        <stp/>
        <stp>BDP|2809594042792516788</stp>
        <tr r="K881" s="2"/>
      </tp>
      <tp t="s">
        <v>#N/A N/A</v>
        <stp/>
        <stp>BDP|8347906489558056748</stp>
        <tr r="T801" s="2"/>
      </tp>
      <tp t="s">
        <v>#N/A N/A</v>
        <stp/>
        <stp>BDP|3703460171680648688</stp>
        <tr r="M2250" s="2"/>
      </tp>
      <tp t="s">
        <v>#N/A N/A</v>
        <stp/>
        <stp>BDP|5497301787658878053</stp>
        <tr r="P680" s="2"/>
      </tp>
      <tp t="s">
        <v>#N/A N/A</v>
        <stp/>
        <stp>BDP|5788722760100819237</stp>
        <tr r="G73" s="2"/>
      </tp>
      <tp t="s">
        <v>#N/A N/A</v>
        <stp/>
        <stp>BDP|7213979269219330714</stp>
        <tr r="C173" s="2"/>
      </tp>
      <tp t="s">
        <v>#N/A N/A</v>
        <stp/>
        <stp>BDP|4794472842221437387</stp>
        <tr r="Q1411" s="2"/>
      </tp>
      <tp t="s">
        <v>#N/A N/A</v>
        <stp/>
        <stp>BDP|3500086566021481212</stp>
        <tr r="C553" s="2"/>
      </tp>
      <tp t="s">
        <v>#N/A N/A</v>
        <stp/>
        <stp>BDP|4247215248931106544</stp>
        <tr r="A572" s="2"/>
      </tp>
      <tp t="s">
        <v>#N/A N/A</v>
        <stp/>
        <stp>BDP|5637891317279643308</stp>
        <tr r="K2023" s="2"/>
      </tp>
      <tp t="s">
        <v>#N/A N/A</v>
        <stp/>
        <stp>BDP|6892835275038010701</stp>
        <tr r="S914" s="2"/>
      </tp>
      <tp t="s">
        <v>#N/A N/A</v>
        <stp/>
        <stp>BDP|1809344336676759138</stp>
        <tr r="H132" s="2"/>
      </tp>
      <tp t="s">
        <v>#N/A N/A</v>
        <stp/>
        <stp>BDP|3289685975702272632</stp>
        <tr r="N1555" s="2"/>
      </tp>
      <tp t="s">
        <v>#N/A N/A</v>
        <stp/>
        <stp>BDP|6931920901710791932</stp>
        <tr r="J2137" s="2"/>
      </tp>
      <tp t="s">
        <v>#N/A N/A</v>
        <stp/>
        <stp>BDP|8938749646448523503</stp>
        <tr r="D2041" s="2"/>
      </tp>
      <tp t="s">
        <v>#N/A N/A</v>
        <stp/>
        <stp>BDP|3801818686653766666</stp>
        <tr r="R1308" s="2"/>
      </tp>
      <tp t="s">
        <v>#N/A N/A</v>
        <stp/>
        <stp>BDP|2503492920582184031</stp>
        <tr r="R1137" s="2"/>
      </tp>
      <tp t="s">
        <v>#N/A N/A</v>
        <stp/>
        <stp>BDP|7919095918281288140</stp>
        <tr r="O532" s="2"/>
      </tp>
      <tp t="s">
        <v>#N/A N/A</v>
        <stp/>
        <stp>BDP|5629128900933352198</stp>
        <tr r="A1116" s="2"/>
      </tp>
      <tp t="s">
        <v>#N/A N/A</v>
        <stp/>
        <stp>BDP|5395861913562878804</stp>
        <tr r="K311" s="2"/>
      </tp>
      <tp t="s">
        <v>#N/A N/A</v>
        <stp/>
        <stp>BDP|7888066002729636844</stp>
        <tr r="C1305" s="2"/>
      </tp>
      <tp t="s">
        <v>#N/A N/A</v>
        <stp/>
        <stp>BDP|8591412585703919163</stp>
        <tr r="P1519" s="2"/>
      </tp>
      <tp t="s">
        <v>#N/A N/A</v>
        <stp/>
        <stp>BDP|6821757341746158539</stp>
        <tr r="N1267" s="2"/>
      </tp>
      <tp t="s">
        <v>#N/A N/A</v>
        <stp/>
        <stp>BDP|9954855429227388284</stp>
        <tr r="S1004" s="2"/>
      </tp>
      <tp t="s">
        <v>#N/A N/A</v>
        <stp/>
        <stp>BDP|8095848560112221283</stp>
        <tr r="G380" s="2"/>
      </tp>
      <tp t="s">
        <v>#N/A N/A</v>
        <stp/>
        <stp>BDP|9509273634078975614</stp>
        <tr r="K75" s="2"/>
      </tp>
      <tp t="s">
        <v>#N/A N/A</v>
        <stp/>
        <stp>BDP|3001991387642208627</stp>
        <tr r="S1313" s="2"/>
      </tp>
      <tp t="s">
        <v>#N/A N/A</v>
        <stp/>
        <stp>BDP|8543950254785277784</stp>
        <tr r="F1088" s="2"/>
      </tp>
      <tp t="s">
        <v>#N/A N/A</v>
        <stp/>
        <stp>BDP|4000017527451037183</stp>
        <tr r="O355" s="2"/>
      </tp>
      <tp t="s">
        <v>#N/A N/A</v>
        <stp/>
        <stp>BDP|5020795794025332807</stp>
        <tr r="E421" s="2"/>
      </tp>
      <tp t="s">
        <v>#N/A N/A</v>
        <stp/>
        <stp>BDP|1536675358501299569</stp>
        <tr r="G1270" s="2"/>
      </tp>
      <tp t="s">
        <v>#N/A N/A</v>
        <stp/>
        <stp>BDP|2843537896148033032</stp>
        <tr r="A1564" s="2"/>
      </tp>
      <tp t="s">
        <v>#N/A N/A</v>
        <stp/>
        <stp>BDP|8258600309641613931</stp>
        <tr r="T1223" s="2"/>
      </tp>
      <tp t="s">
        <v>#N/A N/A</v>
        <stp/>
        <stp>BDP|6210406916840990535</stp>
        <tr r="O390" s="2"/>
      </tp>
      <tp t="s">
        <v>#N/A N/A</v>
        <stp/>
        <stp>BDS|2255508879562596401</stp>
        <tr r="I1658" s="2"/>
      </tp>
      <tp t="s">
        <v>#N/A N/A</v>
        <stp/>
        <stp>BDP|1920296945448337980</stp>
        <tr r="S1123" s="2"/>
      </tp>
      <tp t="s">
        <v>#N/A N/A</v>
        <stp/>
        <stp>BDP|7970102562776666036</stp>
        <tr r="M2037" s="2"/>
      </tp>
      <tp t="s">
        <v>#N/A N/A</v>
        <stp/>
        <stp>BDP|9820338552808241154</stp>
        <tr r="O2070" s="2"/>
      </tp>
      <tp t="s">
        <v>#N/A N/A</v>
        <stp/>
        <stp>BDP|7720298777622668618</stp>
        <tr r="R1190" s="2"/>
      </tp>
      <tp t="s">
        <v>#N/A N/A</v>
        <stp/>
        <stp>BDP|3169396340514431624</stp>
        <tr r="T1796" s="2"/>
      </tp>
      <tp t="s">
        <v>#N/A N/A</v>
        <stp/>
        <stp>BDP|2724532135782859077</stp>
        <tr r="M1348" s="2"/>
      </tp>
      <tp t="s">
        <v>#N/A N/A</v>
        <stp/>
        <stp>BDP|3532537817069638892</stp>
        <tr r="G609" s="2"/>
      </tp>
      <tp t="s">
        <v>#N/A N/A</v>
        <stp/>
        <stp>BDP|5256379586239937148</stp>
        <tr r="S103" s="2"/>
      </tp>
      <tp t="s">
        <v>#N/A N/A</v>
        <stp/>
        <stp>BDP|5359052879394129003</stp>
        <tr r="K310" s="2"/>
      </tp>
      <tp t="s">
        <v>#N/A N/A</v>
        <stp/>
        <stp>BDP|4781590811170783664</stp>
        <tr r="F704" s="2"/>
      </tp>
      <tp t="s">
        <v>#N/A N/A</v>
        <stp/>
        <stp>BDP|5491887282994310733</stp>
        <tr r="P305" s="2"/>
      </tp>
      <tp t="s">
        <v>#N/A N/A</v>
        <stp/>
        <stp>BDP|6098955386791486097</stp>
        <tr r="N1757" s="2"/>
      </tp>
      <tp t="s">
        <v>#N/A N/A</v>
        <stp/>
        <stp>BDP|3491226309510062718</stp>
        <tr r="O2142" s="2"/>
      </tp>
      <tp t="s">
        <v>#N/A N/A</v>
        <stp/>
        <stp>BDP|4978362210726356623</stp>
        <tr r="E268" s="2"/>
      </tp>
      <tp t="s">
        <v>#N/A N/A</v>
        <stp/>
        <stp>BDS|3550107059515528472</stp>
        <tr r="I951" s="2"/>
      </tp>
      <tp t="s">
        <v>#N/A N/A</v>
        <stp/>
        <stp>BDP|7496295025451499025</stp>
        <tr r="O887" s="2"/>
      </tp>
      <tp t="s">
        <v>#N/A N/A</v>
        <stp/>
        <stp>BDP|1808210714283462773</stp>
        <tr r="O1950" s="2"/>
      </tp>
      <tp t="s">
        <v>#N/A N/A</v>
        <stp/>
        <stp>BDP|5437662556427815723</stp>
        <tr r="J358" s="2"/>
      </tp>
      <tp t="s">
        <v>#N/A N/A</v>
        <stp/>
        <stp>BDS|9924127588056963047</stp>
        <tr r="I1742" s="2"/>
      </tp>
      <tp t="s">
        <v>#N/A N/A</v>
        <stp/>
        <stp>BDP|1841195013262837547</stp>
        <tr r="N2075" s="2"/>
      </tp>
      <tp t="s">
        <v>#N/A N/A</v>
        <stp/>
        <stp>BDP|2441689128480964038</stp>
        <tr r="R420" s="2"/>
      </tp>
      <tp t="s">
        <v>#N/A N/A</v>
        <stp/>
        <stp>BDP|6269612174537877611</stp>
        <tr r="K2166" s="2"/>
      </tp>
      <tp t="s">
        <v>#N/A N/A</v>
        <stp/>
        <stp>BDP|4457671256639229897</stp>
        <tr r="R1365" s="2"/>
      </tp>
      <tp t="s">
        <v>#N/A N/A</v>
        <stp/>
        <stp>BDP|3215401344483047687</stp>
        <tr r="M1827" s="2"/>
      </tp>
      <tp t="s">
        <v>#N/A N/A</v>
        <stp/>
        <stp>BDP|7844950475707665803</stp>
        <tr r="J1805" s="2"/>
      </tp>
      <tp t="s">
        <v>#N/A N/A</v>
        <stp/>
        <stp>BDS|3853919688895829173</stp>
        <tr r="I745" s="2"/>
      </tp>
      <tp t="s">
        <v>#N/A N/A</v>
        <stp/>
        <stp>BDP|5621095476770440432</stp>
        <tr r="Q916" s="2"/>
      </tp>
      <tp t="s">
        <v>#N/A N/A</v>
        <stp/>
        <stp>BDP|2926909966893955880</stp>
        <tr r="O1548" s="2"/>
      </tp>
      <tp t="s">
        <v>#N/A N/A</v>
        <stp/>
        <stp>BDP|1049495714576735441</stp>
        <tr r="P364" s="2"/>
      </tp>
      <tp t="s">
        <v>#N/A N/A</v>
        <stp/>
        <stp>BDP|5038529118827288073</stp>
        <tr r="M84" s="2"/>
      </tp>
      <tp t="s">
        <v>#N/A N/A</v>
        <stp/>
        <stp>BDP|6940494332857876057</stp>
        <tr r="G251" s="2"/>
      </tp>
      <tp t="s">
        <v>#N/A N/A</v>
        <stp/>
        <stp>BDP|8828167645563199851</stp>
        <tr r="R1128" s="2"/>
      </tp>
      <tp t="s">
        <v>#N/A N/A</v>
        <stp/>
        <stp>BDP|5949781819001082475</stp>
        <tr r="S1724" s="2"/>
      </tp>
      <tp t="s">
        <v>#N/A N/A</v>
        <stp/>
        <stp>BDP|3437319958622345110</stp>
        <tr r="J2214" s="2"/>
      </tp>
      <tp t="s">
        <v>#N/A N/A</v>
        <stp/>
        <stp>BDP|1262036238105724118</stp>
        <tr r="C253" s="2"/>
      </tp>
      <tp t="s">
        <v>#N/A N/A</v>
        <stp/>
        <stp>BDP|7846756381866497878</stp>
        <tr r="T1198" s="2"/>
      </tp>
      <tp t="s">
        <v>#N/A N/A</v>
        <stp/>
        <stp>BDP|9150029606609272686</stp>
        <tr r="R203" s="2"/>
      </tp>
      <tp t="s">
        <v>#N/A N/A</v>
        <stp/>
        <stp>BDS|2607965829329488626</stp>
        <tr r="I1903" s="2"/>
      </tp>
      <tp t="s">
        <v>#N/A N/A</v>
        <stp/>
        <stp>BDP|4915667912976106334</stp>
        <tr r="T515" s="2"/>
      </tp>
      <tp t="s">
        <v>#N/A N/A</v>
        <stp/>
        <stp>BDP|7948367300015315739</stp>
        <tr r="A2135" s="2"/>
      </tp>
      <tp t="s">
        <v>#N/A N/A</v>
        <stp/>
        <stp>BDP|2602287904497498111</stp>
        <tr r="N609" s="2"/>
      </tp>
      <tp t="s">
        <v>#N/A N/A</v>
        <stp/>
        <stp>BDP|8942630772987118866</stp>
        <tr r="O266" s="2"/>
      </tp>
      <tp t="s">
        <v>#N/A N/A</v>
        <stp/>
        <stp>BDS|6253814081065404598</stp>
        <tr r="I1431" s="2"/>
      </tp>
      <tp t="s">
        <v>#N/A N/A</v>
        <stp/>
        <stp>BDP|1817298672110919253</stp>
        <tr r="G1856" s="2"/>
      </tp>
      <tp t="s">
        <v>#N/A N/A</v>
        <stp/>
        <stp>BDP|2356323205644294394</stp>
        <tr r="C507" s="2"/>
      </tp>
      <tp t="s">
        <v>#N/A N/A</v>
        <stp/>
        <stp>BDP|9128178108367078913</stp>
        <tr r="E1006" s="2"/>
      </tp>
      <tp t="s">
        <v>#N/A N/A</v>
        <stp/>
        <stp>BDP|4931000503912764021</stp>
        <tr r="A1932" s="2"/>
      </tp>
      <tp t="s">
        <v>#N/A N/A</v>
        <stp/>
        <stp>BDP|4598851163609914552</stp>
        <tr r="K951" s="2"/>
      </tp>
      <tp t="s">
        <v>#N/A N/A</v>
        <stp/>
        <stp>BDP|2105781510570698200</stp>
        <tr r="A1785" s="2"/>
      </tp>
      <tp t="s">
        <v>#N/A N/A</v>
        <stp/>
        <stp>BDP|2383026224285360397</stp>
        <tr r="G1099" s="2"/>
      </tp>
      <tp t="s">
        <v>#N/A N/A</v>
        <stp/>
        <stp>BDP|5523061869606691331</stp>
        <tr r="E1248" s="2"/>
      </tp>
      <tp t="s">
        <v>#N/A N/A</v>
        <stp/>
        <stp>BDP|2268814483986713286</stp>
        <tr r="T500" s="2"/>
      </tp>
      <tp t="s">
        <v>#N/A N/A</v>
        <stp/>
        <stp>BDP|2111416146566198287</stp>
        <tr r="H1221" s="2"/>
      </tp>
      <tp t="s">
        <v>#N/A N/A</v>
        <stp/>
        <stp>BDP|6768516119892148610</stp>
        <tr r="H802" s="2"/>
      </tp>
      <tp t="s">
        <v>#N/A N/A</v>
        <stp/>
        <stp>BDP|8682192804836660928</stp>
        <tr r="O2215" s="2"/>
      </tp>
      <tp t="s">
        <v>#N/A N/A</v>
        <stp/>
        <stp>BDP|4352441058227095400</stp>
        <tr r="O625" s="2"/>
      </tp>
      <tp t="s">
        <v>#N/A N/A</v>
        <stp/>
        <stp>BDP|5556405340915261680</stp>
        <tr r="J99" s="2"/>
      </tp>
      <tp t="s">
        <v>#N/A N/A</v>
        <stp/>
        <stp>BDP|6533216687942446887</stp>
        <tr r="G153" s="2"/>
      </tp>
      <tp t="s">
        <v>#N/A N/A</v>
        <stp/>
        <stp>BDP|8795076692067582088</stp>
        <tr r="R2255" s="2"/>
      </tp>
      <tp t="s">
        <v>#N/A N/A</v>
        <stp/>
        <stp>BDP|4731526025201898471</stp>
        <tr r="E606" s="2"/>
      </tp>
      <tp t="s">
        <v>#N/A N/A</v>
        <stp/>
        <stp>BDP|2584145162377578496</stp>
        <tr r="Q1796" s="2"/>
      </tp>
      <tp t="s">
        <v>#N/A N/A</v>
        <stp/>
        <stp>BDP|6656189341082108712</stp>
        <tr r="D1142" s="2"/>
      </tp>
      <tp t="s">
        <v>#N/A N/A</v>
        <stp/>
        <stp>BDP|8689120894696859075</stp>
        <tr r="Q41" s="2"/>
      </tp>
      <tp t="s">
        <v>#N/A N/A</v>
        <stp/>
        <stp>BDP|9076185901619792713</stp>
        <tr r="O1112" s="2"/>
      </tp>
      <tp t="s">
        <v>#N/A N/A</v>
        <stp/>
        <stp>BDP|8911367740991192818</stp>
        <tr r="Q254" s="2"/>
      </tp>
      <tp t="s">
        <v>#N/A N/A</v>
        <stp/>
        <stp>BDS|1759124790839354691</stp>
        <tr r="I432" s="2"/>
      </tp>
      <tp t="s">
        <v>#N/A N/A</v>
        <stp/>
        <stp>BDP|9161734299449121855</stp>
        <tr r="H716" s="2"/>
      </tp>
      <tp t="s">
        <v>#N/A N/A</v>
        <stp/>
        <stp>BDP|7730790180636360822</stp>
        <tr r="Q1793" s="2"/>
      </tp>
      <tp t="s">
        <v>#N/A N/A</v>
        <stp/>
        <stp>BDP|9129501001679844370</stp>
        <tr r="G1781" s="2"/>
      </tp>
      <tp t="s">
        <v>#N/A N/A</v>
        <stp/>
        <stp>BDP|4112182463151027450</stp>
        <tr r="F2042" s="2"/>
      </tp>
      <tp t="s">
        <v>#N/A N/A</v>
        <stp/>
        <stp>BDP|8211851446664927674</stp>
        <tr r="M2211" s="2"/>
      </tp>
      <tp t="s">
        <v>#N/A N/A</v>
        <stp/>
        <stp>BDP|8356846223560916427</stp>
        <tr r="G1474" s="2"/>
      </tp>
      <tp t="s">
        <v>#N/A N/A</v>
        <stp/>
        <stp>BDP|2804843194324401130</stp>
        <tr r="S1096" s="2"/>
      </tp>
      <tp t="s">
        <v>#N/A N/A</v>
        <stp/>
        <stp>BDP|4922655756472740327</stp>
        <tr r="F1286" s="2"/>
      </tp>
      <tp t="s">
        <v>#N/A N/A</v>
        <stp/>
        <stp>BDP|1500287762782920192</stp>
        <tr r="T2194" s="2"/>
      </tp>
      <tp t="s">
        <v>#N/A N/A</v>
        <stp/>
        <stp>BDP|5902276957827092367</stp>
        <tr r="A729" s="2"/>
      </tp>
      <tp t="s">
        <v>#N/A N/A</v>
        <stp/>
        <stp>BDP|6851359233761281130</stp>
        <tr r="C1018" s="2"/>
      </tp>
      <tp t="s">
        <v>#N/A N/A</v>
        <stp/>
        <stp>BDP|6633124209537287609</stp>
        <tr r="P1419" s="2"/>
      </tp>
      <tp t="s">
        <v>#N/A N/A</v>
        <stp/>
        <stp>BDP|4617397702565250405</stp>
        <tr r="S1023" s="2"/>
      </tp>
      <tp t="s">
        <v>#N/A N/A</v>
        <stp/>
        <stp>BDP|7414265361667437282</stp>
        <tr r="R889" s="2"/>
      </tp>
      <tp t="s">
        <v>#N/A N/A</v>
        <stp/>
        <stp>BDP|5266160604931652399</stp>
        <tr r="N2201" s="2"/>
      </tp>
      <tp t="s">
        <v>#N/A N/A</v>
        <stp/>
        <stp>BDS|4512261627544901625</stp>
        <tr r="I1924" s="2"/>
      </tp>
      <tp t="s">
        <v>#N/A N/A</v>
        <stp/>
        <stp>BDP|5408303811451851020</stp>
        <tr r="M605" s="2"/>
      </tp>
      <tp t="s">
        <v>#N/A N/A</v>
        <stp/>
        <stp>BDP|5980236317930211004</stp>
        <tr r="J1113" s="2"/>
      </tp>
      <tp t="s">
        <v>#N/A N/A</v>
        <stp/>
        <stp>BDP|3808839312815364952</stp>
        <tr r="K816" s="2"/>
      </tp>
      <tp t="s">
        <v>#N/A N/A</v>
        <stp/>
        <stp>BDP|8258653468866635868</stp>
        <tr r="P499" s="2"/>
      </tp>
      <tp t="s">
        <v>#N/A N/A</v>
        <stp/>
        <stp>BDP|7421891381055105427</stp>
        <tr r="E2019" s="2"/>
      </tp>
      <tp t="s">
        <v>#N/A N/A</v>
        <stp/>
        <stp>BDP|6106889336978951391</stp>
        <tr r="G1078" s="2"/>
      </tp>
      <tp t="s">
        <v>#N/A N/A</v>
        <stp/>
        <stp>BDS|1018084618707750180</stp>
        <tr r="I656" s="2"/>
      </tp>
      <tp t="s">
        <v>#N/A N/A</v>
        <stp/>
        <stp>BDP|5990718270314512724</stp>
        <tr r="P414" s="2"/>
      </tp>
      <tp t="s">
        <v>#N/A N/A</v>
        <stp/>
        <stp>BDP|8048424683553879165</stp>
        <tr r="A785" s="2"/>
      </tp>
      <tp t="s">
        <v>#N/A N/A</v>
        <stp/>
        <stp>BDP|5579191130667441673</stp>
        <tr r="P1711" s="2"/>
      </tp>
      <tp t="s">
        <v>#N/A N/A</v>
        <stp/>
        <stp>BDP|5165324231286568580</stp>
        <tr r="P1413" s="2"/>
      </tp>
      <tp t="s">
        <v>#N/A N/A</v>
        <stp/>
        <stp>BDP|7891052843092843799</stp>
        <tr r="F1653" s="2"/>
      </tp>
      <tp t="s">
        <v>#N/A N/A</v>
        <stp/>
        <stp>BDP|5816145896412103946</stp>
        <tr r="E1780" s="2"/>
      </tp>
      <tp t="s">
        <v>#N/A N/A</v>
        <stp/>
        <stp>BDP|2396417899931680829</stp>
        <tr r="R456" s="2"/>
      </tp>
      <tp t="s">
        <v>#N/A N/A</v>
        <stp/>
        <stp>BDP|4009336538644177651</stp>
        <tr r="N1891" s="2"/>
      </tp>
      <tp t="s">
        <v>#N/A N/A</v>
        <stp/>
        <stp>BDP|6081895109790691895</stp>
        <tr r="D1757" s="2"/>
      </tp>
      <tp t="s">
        <v>#N/A N/A</v>
        <stp/>
        <stp>BDP|6512062506594316491</stp>
        <tr r="K1226" s="2"/>
      </tp>
      <tp t="s">
        <v>#N/A N/A</v>
        <stp/>
        <stp>BDP|3880302422977685302</stp>
        <tr r="N1215" s="2"/>
      </tp>
      <tp t="s">
        <v>#N/A N/A</v>
        <stp/>
        <stp>BDP|3062127089744067879</stp>
        <tr r="R1719" s="2"/>
      </tp>
      <tp t="s">
        <v>#N/A N/A</v>
        <stp/>
        <stp>BDP|8862762134112240848</stp>
        <tr r="C316" s="2"/>
      </tp>
      <tp t="s">
        <v>#N/A N/A</v>
        <stp/>
        <stp>BDP|9337176015236487996</stp>
        <tr r="Q297" s="2"/>
      </tp>
      <tp t="s">
        <v>#N/A N/A</v>
        <stp/>
        <stp>BDP|2817102072792792014</stp>
        <tr r="S1309" s="2"/>
      </tp>
      <tp t="s">
        <v>#N/A N/A</v>
        <stp/>
        <stp>BDP|1168986495463945499</stp>
        <tr r="F1708" s="2"/>
      </tp>
      <tp t="s">
        <v>#N/A N/A</v>
        <stp/>
        <stp>BDP|9882081774170878806</stp>
        <tr r="G2139" s="2"/>
      </tp>
      <tp t="s">
        <v>#N/A N/A</v>
        <stp/>
        <stp>BDP|8528738980736849720</stp>
        <tr r="Q1970" s="2"/>
      </tp>
      <tp t="s">
        <v>#N/A N/A</v>
        <stp/>
        <stp>BDP|8944491625830914804</stp>
        <tr r="M328" s="2"/>
      </tp>
      <tp t="s">
        <v>#N/A N/A</v>
        <stp/>
        <stp>BDP|1077925902918549697</stp>
        <tr r="K1344" s="2"/>
      </tp>
      <tp t="s">
        <v>#N/A N/A</v>
        <stp/>
        <stp>BDP|4020404751896562580</stp>
        <tr r="O1681" s="2"/>
      </tp>
      <tp t="s">
        <v>#N/A N/A</v>
        <stp/>
        <stp>BDP|5648437220855031090</stp>
        <tr r="G1580" s="2"/>
      </tp>
      <tp t="s">
        <v>#N/A N/A</v>
        <stp/>
        <stp>BDP|1388098537976543245</stp>
        <tr r="P601" s="2"/>
      </tp>
      <tp t="s">
        <v>#N/A N/A</v>
        <stp/>
        <stp>BDP|7510606853934201686</stp>
        <tr r="P716" s="2"/>
      </tp>
      <tp t="s">
        <v>#N/A N/A</v>
        <stp/>
        <stp>BDP|1224231811180510498</stp>
        <tr r="C1779" s="2"/>
      </tp>
      <tp t="s">
        <v>#N/A N/A</v>
        <stp/>
        <stp>BDP|4668627679893343026</stp>
        <tr r="R139" s="2"/>
      </tp>
      <tp t="s">
        <v>#N/A N/A</v>
        <stp/>
        <stp>BDP|3839339933015037042</stp>
        <tr r="K1325" s="2"/>
      </tp>
      <tp t="s">
        <v>#N/A N/A</v>
        <stp/>
        <stp>BDP|3891711091388755335</stp>
        <tr r="A1472" s="2"/>
      </tp>
      <tp t="s">
        <v>#N/A N/A</v>
        <stp/>
        <stp>BDP|4918099209562201076</stp>
        <tr r="P1954" s="2"/>
      </tp>
      <tp t="s">
        <v>#N/A N/A</v>
        <stp/>
        <stp>BDP|7306801093925509593</stp>
        <tr r="F2248" s="2"/>
      </tp>
      <tp t="s">
        <v>#N/A N/A</v>
        <stp/>
        <stp>BDP|8502992000934198319</stp>
        <tr r="C425" s="2"/>
      </tp>
      <tp t="s">
        <v>#N/A N/A</v>
        <stp/>
        <stp>BDP|6023525298974243840</stp>
        <tr r="A9" s="2"/>
      </tp>
      <tp t="s">
        <v>#N/A N/A</v>
        <stp/>
        <stp>BDP|5918700736776681154</stp>
        <tr r="E2009" s="2"/>
      </tp>
      <tp t="s">
        <v>#N/A N/A</v>
        <stp/>
        <stp>BDP|1742359303086833254</stp>
        <tr r="E69" s="2"/>
      </tp>
      <tp t="s">
        <v>#N/A N/A</v>
        <stp/>
        <stp>BDP|6022224735677840639</stp>
        <tr r="E959" s="2"/>
      </tp>
      <tp t="s">
        <v>#N/A N/A</v>
        <stp/>
        <stp>BDP|6886121013524026453</stp>
        <tr r="H1991" s="2"/>
      </tp>
      <tp t="s">
        <v>#N/A N/A</v>
        <stp/>
        <stp>BDP|1024029238650528432</stp>
        <tr r="M1311" s="2"/>
      </tp>
      <tp t="s">
        <v>#N/A N/A</v>
        <stp/>
        <stp>BDS|5857918748428456693</stp>
        <tr r="I249" s="2"/>
      </tp>
      <tp t="s">
        <v>#N/A N/A</v>
        <stp/>
        <stp>BDP|6633179537863275189</stp>
        <tr r="P1157" s="2"/>
      </tp>
      <tp t="s">
        <v>#N/A N/A</v>
        <stp/>
        <stp>BDP|8408812831560827509</stp>
        <tr r="S138" s="2"/>
      </tp>
      <tp t="s">
        <v>#N/A N/A</v>
        <stp/>
        <stp>BDP|9757608688341626050</stp>
        <tr r="E1115" s="2"/>
      </tp>
      <tp t="s">
        <v>#N/A N/A</v>
        <stp/>
        <stp>BDP|1969686979886420006</stp>
        <tr r="T769" s="2"/>
      </tp>
      <tp t="s">
        <v>#N/A N/A</v>
        <stp/>
        <stp>BDP|4859267311844266510</stp>
        <tr r="D1020" s="2"/>
      </tp>
      <tp t="s">
        <v>#N/A N/A</v>
        <stp/>
        <stp>BDP|3191468430201981324</stp>
        <tr r="Q1057" s="2"/>
      </tp>
      <tp t="s">
        <v>#N/A N/A</v>
        <stp/>
        <stp>BDP|4790311210833895326</stp>
        <tr r="C1251" s="2"/>
      </tp>
      <tp t="s">
        <v>#N/A N/A</v>
        <stp/>
        <stp>BDP|8090036668709040173</stp>
        <tr r="J48" s="2"/>
      </tp>
      <tp t="s">
        <v>#N/A N/A</v>
        <stp/>
        <stp>BDP|6740735315460524688</stp>
        <tr r="O19" s="2"/>
      </tp>
      <tp t="s">
        <v>#N/A N/A</v>
        <stp/>
        <stp>BDP|5868217215452631269</stp>
        <tr r="H1685" s="2"/>
      </tp>
      <tp t="s">
        <v>#N/A N/A</v>
        <stp/>
        <stp>BDP|4756734757937913767</stp>
        <tr r="P1345" s="2"/>
      </tp>
      <tp t="s">
        <v>#N/A N/A</v>
        <stp/>
        <stp>BDP|2165617069202631631</stp>
        <tr r="C1745" s="2"/>
      </tp>
      <tp t="s">
        <v>#N/A N/A</v>
        <stp/>
        <stp>BDP|6413966296107844703</stp>
        <tr r="Q2135" s="2"/>
      </tp>
      <tp t="s">
        <v>#N/A N/A</v>
        <stp/>
        <stp>BDP|6769748352462989043</stp>
        <tr r="F1546" s="2"/>
      </tp>
      <tp t="s">
        <v>#N/A N/A</v>
        <stp/>
        <stp>BDP|5345414974736249682</stp>
        <tr r="Q21" s="2"/>
      </tp>
      <tp t="s">
        <v>#N/A N/A</v>
        <stp/>
        <stp>BDP|4221347072134920217</stp>
        <tr r="S196" s="2"/>
      </tp>
      <tp t="s">
        <v>#N/A N/A</v>
        <stp/>
        <stp>BDP|7874802739772836850</stp>
        <tr r="M10" s="2"/>
      </tp>
      <tp t="s">
        <v>#N/A N/A</v>
        <stp/>
        <stp>BDP|3779156311575653090</stp>
        <tr r="A1502" s="2"/>
      </tp>
      <tp t="s">
        <v>#N/A N/A</v>
        <stp/>
        <stp>BDP|7805945321663308922</stp>
        <tr r="J1998" s="2"/>
      </tp>
      <tp t="s">
        <v>#N/A N/A</v>
        <stp/>
        <stp>BDP|4563275806174949416</stp>
        <tr r="G1060" s="2"/>
      </tp>
      <tp t="s">
        <v>#N/A N/A</v>
        <stp/>
        <stp>BDP|7449503834971491687</stp>
        <tr r="F1754" s="2"/>
      </tp>
      <tp t="s">
        <v>#N/A N/A</v>
        <stp/>
        <stp>BDP|9010817412447771185</stp>
        <tr r="C251" s="2"/>
      </tp>
      <tp t="s">
        <v>#N/A N/A</v>
        <stp/>
        <stp>BDP|2740492426174129655</stp>
        <tr r="P124" s="2"/>
      </tp>
      <tp t="s">
        <v>#N/A N/A</v>
        <stp/>
        <stp>BDP|9565304471602907917</stp>
        <tr r="D762" s="2"/>
      </tp>
      <tp t="s">
        <v>#N/A N/A</v>
        <stp/>
        <stp>BDP|6537580322720671750</stp>
        <tr r="E43" s="2"/>
      </tp>
      <tp t="s">
        <v>#N/A N/A</v>
        <stp/>
        <stp>BDP|6190809486755902524</stp>
        <tr r="S403" s="2"/>
      </tp>
      <tp t="s">
        <v>#N/A N/A</v>
        <stp/>
        <stp>BDP|3623559052946998348</stp>
        <tr r="G745" s="2"/>
      </tp>
      <tp t="s">
        <v>#N/A N/A</v>
        <stp/>
        <stp>BDP|3000967622077920917</stp>
        <tr r="Q1649" s="2"/>
      </tp>
      <tp t="s">
        <v>#N/A N/A</v>
        <stp/>
        <stp>BDP|8820315390006312264</stp>
        <tr r="D1405" s="2"/>
      </tp>
      <tp t="s">
        <v>#N/A N/A</v>
        <stp/>
        <stp>BDP|2858205168739410984</stp>
        <tr r="C369" s="2"/>
      </tp>
      <tp t="s">
        <v>#N/A N/A</v>
        <stp/>
        <stp>BDP|4697646702835429187</stp>
        <tr r="M1083" s="2"/>
      </tp>
      <tp t="s">
        <v>#N/A N/A</v>
        <stp/>
        <stp>BDP|4932914102448643302</stp>
        <tr r="E1192" s="2"/>
      </tp>
      <tp t="s">
        <v>#N/A N/A</v>
        <stp/>
        <stp>BDP|3467539719627780654</stp>
        <tr r="D753" s="2"/>
      </tp>
      <tp t="s">
        <v>#N/A N/A</v>
        <stp/>
        <stp>BDP|9635488792255449748</stp>
        <tr r="A324" s="2"/>
      </tp>
      <tp t="s">
        <v>#N/A N/A</v>
        <stp/>
        <stp>BDP|6027812198499680839</stp>
        <tr r="T262" s="2"/>
      </tp>
      <tp t="s">
        <v>#N/A N/A</v>
        <stp/>
        <stp>BDP|4088493223804762010</stp>
        <tr r="H961" s="2"/>
      </tp>
      <tp t="s">
        <v>#N/A N/A</v>
        <stp/>
        <stp>BDP|4815199496899311384</stp>
        <tr r="F700" s="2"/>
      </tp>
      <tp t="s">
        <v>#N/A N/A</v>
        <stp/>
        <stp>BDP|7621430878667816590</stp>
        <tr r="J1419" s="2"/>
      </tp>
      <tp t="s">
        <v>#N/A N/A</v>
        <stp/>
        <stp>BDP|6409284351997084011</stp>
        <tr r="O2150" s="2"/>
      </tp>
      <tp t="s">
        <v>#N/A N/A</v>
        <stp/>
        <stp>BDP|6274177205566961757</stp>
        <tr r="J2117" s="2"/>
      </tp>
      <tp t="s">
        <v>#N/A N/A</v>
        <stp/>
        <stp>BDP|7261624371692579287</stp>
        <tr r="M2230" s="2"/>
      </tp>
      <tp t="s">
        <v>#N/A N/A</v>
        <stp/>
        <stp>BDP|3395597217054991583</stp>
        <tr r="C1524" s="2"/>
      </tp>
      <tp t="s">
        <v>#N/A N/A</v>
        <stp/>
        <stp>BDP|3799119830766834120</stp>
        <tr r="N880" s="2"/>
      </tp>
      <tp t="s">
        <v>#N/A N/A</v>
        <stp/>
        <stp>BDP|7732043516953091394</stp>
        <tr r="E2064" s="2"/>
      </tp>
      <tp t="s">
        <v>#N/A N/A</v>
        <stp/>
        <stp>BDP|4449076760320926467</stp>
        <tr r="D2191" s="2"/>
      </tp>
      <tp t="s">
        <v>#N/A N/A</v>
        <stp/>
        <stp>BDP|6363911598299635902</stp>
        <tr r="T1737" s="2"/>
      </tp>
      <tp t="s">
        <v>#N/A N/A</v>
        <stp/>
        <stp>BDP|1243960669188529040</stp>
        <tr r="K669" s="2"/>
      </tp>
      <tp t="s">
        <v>#N/A N/A</v>
        <stp/>
        <stp>BDP|3760294346435095648</stp>
        <tr r="N11" s="2"/>
      </tp>
      <tp t="s">
        <v>#N/A N/A</v>
        <stp/>
        <stp>BDP|3856700023036275655</stp>
        <tr r="G1518" s="2"/>
      </tp>
      <tp t="s">
        <v>#N/A N/A</v>
        <stp/>
        <stp>BDP|4912819227689414178</stp>
        <tr r="A2041" s="2"/>
      </tp>
      <tp t="s">
        <v>#N/A N/A</v>
        <stp/>
        <stp>BDP|2221268747883720187</stp>
        <tr r="Q1849" s="2"/>
      </tp>
      <tp t="s">
        <v>#N/A N/A</v>
        <stp/>
        <stp>BDP|9066404898167201564</stp>
        <tr r="A70" s="2"/>
      </tp>
      <tp t="s">
        <v>#N/A N/A</v>
        <stp/>
        <stp>BDP|2447110443952980333</stp>
        <tr r="S1187" s="2"/>
      </tp>
      <tp t="s">
        <v>#N/A N/A</v>
        <stp/>
        <stp>BDP|4262116512044803656</stp>
        <tr r="E2122" s="2"/>
      </tp>
      <tp t="s">
        <v>#N/A N/A</v>
        <stp/>
        <stp>BDS|7466094006372363342</stp>
        <tr r="I2163" s="2"/>
      </tp>
      <tp t="s">
        <v>#N/A N/A</v>
        <stp/>
        <stp>BDP|2005181320996492107</stp>
        <tr r="C2249" s="2"/>
      </tp>
      <tp t="s">
        <v>#N/A N/A</v>
        <stp/>
        <stp>BDP|6489530247701895040</stp>
        <tr r="F2010" s="2"/>
      </tp>
      <tp t="s">
        <v>#N/A N/A</v>
        <stp/>
        <stp>BDP|7890255794502653825</stp>
        <tr r="F1390" s="2"/>
      </tp>
      <tp t="s">
        <v>#N/A N/A</v>
        <stp/>
        <stp>BDP|2966751110871477351</stp>
        <tr r="Q51" s="2"/>
      </tp>
      <tp t="s">
        <v>#N/A N/A</v>
        <stp/>
        <stp>BDP|7961418141674040545</stp>
        <tr r="T472" s="2"/>
      </tp>
      <tp t="s">
        <v>#N/A N/A</v>
        <stp/>
        <stp>BDP|9978501672775605808</stp>
        <tr r="Q1332" s="2"/>
      </tp>
      <tp t="s">
        <v>#N/A N/A</v>
        <stp/>
        <stp>BDP|9961079394392249450</stp>
        <tr r="N1010" s="2"/>
      </tp>
      <tp t="s">
        <v>#N/A N/A</v>
        <stp/>
        <stp>BDP|9538358939928230769</stp>
        <tr r="G32" s="2"/>
      </tp>
      <tp t="s">
        <v>#N/A N/A</v>
        <stp/>
        <stp>BDP|3109011458228422819</stp>
        <tr r="T1075" s="2"/>
      </tp>
      <tp t="s">
        <v>#N/A N/A</v>
        <stp/>
        <stp>BDP|3414979292323901650</stp>
        <tr r="H1414" s="2"/>
      </tp>
      <tp t="s">
        <v>#N/A N/A</v>
        <stp/>
        <stp>BDP|1637792977097336069</stp>
        <tr r="H1832" s="2"/>
      </tp>
      <tp t="s">
        <v>#N/A N/A</v>
        <stp/>
        <stp>BDS|5839377941470195421</stp>
        <tr r="I1327" s="2"/>
      </tp>
      <tp t="s">
        <v>#N/A N/A</v>
        <stp/>
        <stp>BDP|1547041062391692084</stp>
        <tr r="J1148" s="2"/>
      </tp>
      <tp t="s">
        <v>#N/A N/A</v>
        <stp/>
        <stp>BDP|2537530945401996475</stp>
        <tr r="A667" s="2"/>
      </tp>
      <tp t="s">
        <v>#N/A N/A</v>
        <stp/>
        <stp>BDP|7348763673001256099</stp>
        <tr r="T550" s="2"/>
      </tp>
      <tp t="s">
        <v>#N/A N/A</v>
        <stp/>
        <stp>BDP|9423481211919240324</stp>
        <tr r="D693" s="2"/>
      </tp>
      <tp t="s">
        <v>#N/A N/A</v>
        <stp/>
        <stp>BDP|2099937700168722597</stp>
        <tr r="G950" s="2"/>
      </tp>
      <tp t="s">
        <v>#N/A N/A</v>
        <stp/>
        <stp>BDP|1598197728294933002</stp>
        <tr r="G1961" s="2"/>
      </tp>
      <tp t="s">
        <v>#N/A N/A</v>
        <stp/>
        <stp>BDP|3455884342411211819</stp>
        <tr r="H1892" s="2"/>
      </tp>
      <tp t="s">
        <v>#N/A N/A</v>
        <stp/>
        <stp>BDP|3574626037117486795</stp>
        <tr r="D1031" s="2"/>
      </tp>
      <tp t="s">
        <v>#N/A N/A</v>
        <stp/>
        <stp>BDP|5956541966925381558</stp>
        <tr r="A1591" s="2"/>
      </tp>
      <tp t="s">
        <v>#N/A N/A</v>
        <stp/>
        <stp>BDS|3740926009295096917</stp>
        <tr r="I701" s="2"/>
      </tp>
      <tp t="s">
        <v>#N/A N/A</v>
        <stp/>
        <stp>BDP|5535155129597697727</stp>
        <tr r="T1975" s="2"/>
      </tp>
      <tp t="s">
        <v>#N/A N/A</v>
        <stp/>
        <stp>BDP|6508618402726964024</stp>
        <tr r="F1966" s="2"/>
      </tp>
      <tp t="s">
        <v>#N/A N/A</v>
        <stp/>
        <stp>BDP|1258842259968227201</stp>
        <tr r="G2166" s="2"/>
      </tp>
      <tp t="s">
        <v>#N/A N/A</v>
        <stp/>
        <stp>BDP|8914153583751780651</stp>
        <tr r="D316" s="2"/>
      </tp>
      <tp t="s">
        <v>#N/A N/A</v>
        <stp/>
        <stp>BDP|9843529135858414168</stp>
        <tr r="M1135" s="2"/>
      </tp>
      <tp t="s">
        <v>#N/A N/A</v>
        <stp/>
        <stp>BDP|4470532108812288509</stp>
        <tr r="H1318" s="2"/>
      </tp>
      <tp t="s">
        <v>#N/A N/A</v>
        <stp/>
        <stp>BDP|4984243852096340310</stp>
        <tr r="S783" s="2"/>
      </tp>
      <tp t="s">
        <v>#N/A N/A</v>
        <stp/>
        <stp>BDS|2314847021127921929</stp>
        <tr r="I805" s="2"/>
      </tp>
      <tp t="s">
        <v>#N/A N/A</v>
        <stp/>
        <stp>BDP|3310789713502216173</stp>
        <tr r="R1112" s="2"/>
      </tp>
      <tp t="s">
        <v>#N/A N/A</v>
        <stp/>
        <stp>BDP|6961583858693281364</stp>
        <tr r="A2233" s="2"/>
      </tp>
      <tp t="s">
        <v>#N/A N/A</v>
        <stp/>
        <stp>BDP|5009578914016953172</stp>
        <tr r="H1528" s="2"/>
      </tp>
      <tp t="s">
        <v>#N/A N/A</v>
        <stp/>
        <stp>BDP|5879971734819433022</stp>
        <tr r="J2010" s="2"/>
      </tp>
      <tp t="s">
        <v>#N/A N/A</v>
        <stp/>
        <stp>BDP|7040608355684032686</stp>
        <tr r="J2114" s="2"/>
      </tp>
      <tp t="s">
        <v>#N/A N/A</v>
        <stp/>
        <stp>BDP|8848474754807658803</stp>
        <tr r="T1243" s="2"/>
      </tp>
      <tp t="s">
        <v>#N/A N/A</v>
        <stp/>
        <stp>BDP|2455249565904117495</stp>
        <tr r="D2039" s="2"/>
      </tp>
      <tp t="s">
        <v>#N/A N/A</v>
        <stp/>
        <stp>BDP|8800993561438558983</stp>
        <tr r="E835" s="2"/>
      </tp>
      <tp t="s">
        <v>#N/A N/A</v>
        <stp/>
        <stp>BDP|1634483278184266096</stp>
        <tr r="A1454" s="2"/>
      </tp>
      <tp t="s">
        <v>#N/A N/A</v>
        <stp/>
        <stp>BDP|8719825077329953863</stp>
        <tr r="N691" s="2"/>
      </tp>
      <tp t="s">
        <v>#N/A N/A</v>
        <stp/>
        <stp>BDP|1549984974669701036</stp>
        <tr r="E1036" s="2"/>
      </tp>
      <tp t="s">
        <v>#N/A N/A</v>
        <stp/>
        <stp>BDP|5802046261567067205</stp>
        <tr r="S2258" s="2"/>
      </tp>
      <tp t="s">
        <v>#N/A N/A</v>
        <stp/>
        <stp>BDP|2414177404247968232</stp>
        <tr r="D1640" s="2"/>
      </tp>
      <tp t="s">
        <v>#N/A N/A</v>
        <stp/>
        <stp>BDS|2557581920957560458</stp>
        <tr r="I1282" s="2"/>
      </tp>
      <tp t="s">
        <v>#N/A N/A</v>
        <stp/>
        <stp>BDP|5914413940082271176</stp>
        <tr r="D1951" s="2"/>
      </tp>
      <tp t="s">
        <v>#N/A N/A</v>
        <stp/>
        <stp>BDP|4374141641786946126</stp>
        <tr r="R911" s="2"/>
      </tp>
      <tp t="s">
        <v>#N/A N/A</v>
        <stp/>
        <stp>BDP|5557296415199691928</stp>
        <tr r="T1866" s="2"/>
      </tp>
      <tp t="s">
        <v>#N/A N/A</v>
        <stp/>
        <stp>BDP|1007174603342933406</stp>
        <tr r="J707" s="2"/>
      </tp>
      <tp t="s">
        <v>#N/A N/A</v>
        <stp/>
        <stp>BDP|8937427054496509972</stp>
        <tr r="G239" s="2"/>
      </tp>
      <tp t="s">
        <v>#N/A N/A</v>
        <stp/>
        <stp>BDP|4865710323212646512</stp>
        <tr r="F684" s="2"/>
      </tp>
      <tp t="s">
        <v>#N/A N/A</v>
        <stp/>
        <stp>BDP|2644111658644785459</stp>
        <tr r="A2054" s="2"/>
      </tp>
      <tp t="s">
        <v>#N/A N/A</v>
        <stp/>
        <stp>BDP|4133753639031755777</stp>
        <tr r="O923" s="2"/>
      </tp>
      <tp t="s">
        <v>#N/A N/A</v>
        <stp/>
        <stp>BDP|3905703960164677027</stp>
        <tr r="E1029" s="2"/>
      </tp>
      <tp t="s">
        <v>#N/A N/A</v>
        <stp/>
        <stp>BDP|7647507976146887558</stp>
        <tr r="N253" s="2"/>
      </tp>
      <tp t="s">
        <v>#N/A N/A</v>
        <stp/>
        <stp>BDP|6238670649037574546</stp>
        <tr r="C26" s="2"/>
      </tp>
      <tp t="s">
        <v>#N/A N/A</v>
        <stp/>
        <stp>BDP|4650596911417412174</stp>
        <tr r="A1294" s="2"/>
      </tp>
      <tp t="s">
        <v>#N/A N/A</v>
        <stp/>
        <stp>BDP|2443821263238869203</stp>
        <tr r="C2163" s="2"/>
      </tp>
      <tp t="s">
        <v>#N/A N/A</v>
        <stp/>
        <stp>BDP|3267142529694470267</stp>
        <tr r="M839" s="2"/>
      </tp>
      <tp t="s">
        <v>#N/A N/A</v>
        <stp/>
        <stp>BDP|2245287340492309042</stp>
        <tr r="A1087" s="2"/>
      </tp>
      <tp t="s">
        <v>#N/A N/A</v>
        <stp/>
        <stp>BDP|1844490449582138547</stp>
        <tr r="K846" s="2"/>
      </tp>
      <tp t="s">
        <v>#N/A N/A</v>
        <stp/>
        <stp>BDP|6834653445071746321</stp>
        <tr r="O1583" s="2"/>
      </tp>
      <tp t="s">
        <v>#N/A N/A</v>
        <stp/>
        <stp>BDP|5986976662314983880</stp>
        <tr r="F1879" s="2"/>
      </tp>
      <tp t="s">
        <v>#N/A N/A</v>
        <stp/>
        <stp>BDP|6104646128674707074</stp>
        <tr r="Q2190" s="2"/>
      </tp>
      <tp t="s">
        <v>#N/A N/A</v>
        <stp/>
        <stp>BDP|7887769325241725515</stp>
        <tr r="Q279" s="2"/>
      </tp>
      <tp t="s">
        <v>#N/A N/A</v>
        <stp/>
        <stp>BDP|3955410333555372753</stp>
        <tr r="J1297" s="2"/>
      </tp>
      <tp t="s">
        <v>#N/A N/A</v>
        <stp/>
        <stp>BDP|1162487234725778575</stp>
        <tr r="C877" s="2"/>
      </tp>
      <tp t="s">
        <v>#N/A N/A</v>
        <stp/>
        <stp>BDP|5113012573125821167</stp>
        <tr r="S672" s="2"/>
      </tp>
      <tp t="s">
        <v>#N/A N/A</v>
        <stp/>
        <stp>BDP|2195297437527593275</stp>
        <tr r="T33" s="2"/>
      </tp>
      <tp t="s">
        <v>#N/A N/A</v>
        <stp/>
        <stp>BDP|6517243229936094655</stp>
        <tr r="M1809" s="2"/>
      </tp>
      <tp t="s">
        <v>#N/A N/A</v>
        <stp/>
        <stp>BDP|9510064841583703887</stp>
        <tr r="E1182" s="2"/>
      </tp>
      <tp t="s">
        <v>#N/A N/A</v>
        <stp/>
        <stp>BDP|9519412580520873316</stp>
        <tr r="K5" s="2"/>
      </tp>
      <tp t="s">
        <v>#N/A N/A</v>
        <stp/>
        <stp>BDP|2646680300780152221</stp>
        <tr r="E1273" s="2"/>
      </tp>
      <tp t="s">
        <v>#N/A N/A</v>
        <stp/>
        <stp>BDP|3837714655007389028</stp>
        <tr r="A665" s="2"/>
      </tp>
      <tp t="s">
        <v>#N/A N/A</v>
        <stp/>
        <stp>BDS|1130644030323048184</stp>
        <tr r="I560" s="2"/>
      </tp>
      <tp t="s">
        <v>#N/A N/A</v>
        <stp/>
        <stp>BDP|1535648319236271678</stp>
        <tr r="E438" s="2"/>
      </tp>
      <tp t="s">
        <v>#N/A N/A</v>
        <stp/>
        <stp>BDP|2116498406152592267</stp>
        <tr r="T1103" s="2"/>
      </tp>
      <tp t="s">
        <v>#N/A N/A</v>
        <stp/>
        <stp>BDP|1360260479961684371</stp>
        <tr r="D1804" s="2"/>
      </tp>
      <tp t="s">
        <v>#N/A N/A</v>
        <stp/>
        <stp>BDP|5721422551142117086</stp>
        <tr r="P2221" s="2"/>
      </tp>
      <tp t="s">
        <v>#N/A N/A</v>
        <stp/>
        <stp>BDP|2329963785462538780</stp>
        <tr r="T2215" s="2"/>
      </tp>
      <tp t="s">
        <v>#N/A N/A</v>
        <stp/>
        <stp>BDP|8654540068834225959</stp>
        <tr r="O780" s="2"/>
      </tp>
      <tp t="s">
        <v>#N/A N/A</v>
        <stp/>
        <stp>BDP|5737777685384857804</stp>
        <tr r="N1973" s="2"/>
      </tp>
      <tp t="s">
        <v>#N/A N/A</v>
        <stp/>
        <stp>BDP|6876071585128478036</stp>
        <tr r="N628" s="2"/>
      </tp>
      <tp t="s">
        <v>#N/A N/A</v>
        <stp/>
        <stp>BDP|7373001382378541168</stp>
        <tr r="T1079" s="2"/>
      </tp>
      <tp t="s">
        <v>#N/A N/A</v>
        <stp/>
        <stp>BDP|1583671980200656967</stp>
        <tr r="C2256" s="2"/>
      </tp>
      <tp t="s">
        <v>#N/A N/A</v>
        <stp/>
        <stp>BDP|6769754540355194611</stp>
        <tr r="E78" s="2"/>
      </tp>
      <tp t="s">
        <v>#N/A N/A</v>
        <stp/>
        <stp>BDP|9986445881325936674</stp>
        <tr r="J544" s="2"/>
      </tp>
      <tp t="s">
        <v>#N/A N/A</v>
        <stp/>
        <stp>BDP|4300015811345069618</stp>
        <tr r="C873" s="2"/>
      </tp>
      <tp t="s">
        <v>#N/A N/A</v>
        <stp/>
        <stp>BDP|2696787546712924533</stp>
        <tr r="C1073" s="2"/>
      </tp>
      <tp t="s">
        <v>#N/A N/A</v>
        <stp/>
        <stp>BDP|4365577040077511438</stp>
        <tr r="H1469" s="2"/>
      </tp>
      <tp t="s">
        <v>#N/A N/A</v>
        <stp/>
        <stp>BDP|7016753374003186222</stp>
        <tr r="M1567" s="2"/>
      </tp>
      <tp t="s">
        <v>#N/A N/A</v>
        <stp/>
        <stp>BDP|9771929650343759000</stp>
        <tr r="E817" s="2"/>
      </tp>
      <tp t="s">
        <v>#N/A N/A</v>
        <stp/>
        <stp>BDP|5058763216873226604</stp>
        <tr r="C589" s="2"/>
      </tp>
      <tp t="s">
        <v>#N/A N/A</v>
        <stp/>
        <stp>BDP|7866726175838532980</stp>
        <tr r="K2223" s="2"/>
      </tp>
      <tp t="s">
        <v>#N/A N/A</v>
        <stp/>
        <stp>BDP|5243040683832751902</stp>
        <tr r="T623" s="2"/>
      </tp>
      <tp t="s">
        <v>#N/A N/A</v>
        <stp/>
        <stp>BDP|4230331754355792103</stp>
        <tr r="O1627" s="2"/>
      </tp>
      <tp t="s">
        <v>#N/A N/A</v>
        <stp/>
        <stp>BDP|9696534100408735201</stp>
        <tr r="J1469" s="2"/>
      </tp>
      <tp t="s">
        <v>#N/A N/A</v>
        <stp/>
        <stp>BDP|7456539949465525591</stp>
        <tr r="Q853" s="2"/>
      </tp>
      <tp t="s">
        <v>#N/A N/A</v>
        <stp/>
        <stp>BDP|8599520241158212762</stp>
        <tr r="G789" s="2"/>
      </tp>
      <tp t="s">
        <v>#N/A N/A</v>
        <stp/>
        <stp>BDP|3348377017405155209</stp>
        <tr r="O918" s="2"/>
      </tp>
      <tp t="s">
        <v>#N/A N/A</v>
        <stp/>
        <stp>BDP|7708978572537026804</stp>
        <tr r="J165" s="2"/>
      </tp>
      <tp t="s">
        <v>#N/A N/A</v>
        <stp/>
        <stp>BDP|6075999470018917625</stp>
        <tr r="C1363" s="2"/>
      </tp>
      <tp t="s">
        <v>#N/A N/A</v>
        <stp/>
        <stp>BDP|8507376048559888001</stp>
        <tr r="G846" s="2"/>
      </tp>
      <tp t="s">
        <v>#N/A N/A</v>
        <stp/>
        <stp>BDP|5192618841404771548</stp>
        <tr r="C366" s="2"/>
      </tp>
      <tp t="s">
        <v>#N/A N/A</v>
        <stp/>
        <stp>BDP|7332510119401888415</stp>
        <tr r="M1475" s="2"/>
      </tp>
      <tp t="s">
        <v>#N/A N/A</v>
        <stp/>
        <stp>BDP|5696421294449487769</stp>
        <tr r="R1949" s="2"/>
      </tp>
      <tp t="s">
        <v>#N/A N/A</v>
        <stp/>
        <stp>BDP|4534211871950061770</stp>
        <tr r="C719" s="2"/>
      </tp>
      <tp t="s">
        <v>#N/A N/A</v>
        <stp/>
        <stp>BDP|9501206466239193201</stp>
        <tr r="F1182" s="2"/>
      </tp>
      <tp t="s">
        <v>#N/A N/A</v>
        <stp/>
        <stp>BDP|5947975807388367288</stp>
        <tr r="T1907" s="2"/>
      </tp>
      <tp t="s">
        <v>#N/A N/A</v>
        <stp/>
        <stp>BDP|4050871997776373518</stp>
        <tr r="H197" s="2"/>
      </tp>
      <tp t="s">
        <v>#N/A N/A</v>
        <stp/>
        <stp>BDP|7061481790605898924</stp>
        <tr r="T1978" s="2"/>
      </tp>
      <tp t="s">
        <v>#N/A N/A</v>
        <stp/>
        <stp>BDP|8332307644231729828</stp>
        <tr r="D1574" s="2"/>
      </tp>
      <tp t="s">
        <v>#N/A N/A</v>
        <stp/>
        <stp>BDP|5750909269418479483</stp>
        <tr r="M1292" s="2"/>
      </tp>
      <tp t="s">
        <v>#N/A N/A</v>
        <stp/>
        <stp>BDS|3640180350584590597</stp>
        <tr r="I1159" s="2"/>
      </tp>
      <tp t="s">
        <v>#N/A N/A</v>
        <stp/>
        <stp>BDP|1972928548322401853</stp>
        <tr r="K966" s="2"/>
      </tp>
      <tp t="s">
        <v>#N/A N/A</v>
        <stp/>
        <stp>BDS|8622661114329157079</stp>
        <tr r="I1332" s="2"/>
      </tp>
      <tp t="s">
        <v>#N/A N/A</v>
        <stp/>
        <stp>BDP|4453820646918705653</stp>
        <tr r="J1159" s="2"/>
      </tp>
      <tp t="s">
        <v>#N/A N/A</v>
        <stp/>
        <stp>BDP|6720557666436484526</stp>
        <tr r="M888" s="2"/>
      </tp>
      <tp t="s">
        <v>#N/A N/A</v>
        <stp/>
        <stp>BDP|4783134955485651352</stp>
        <tr r="S251" s="2"/>
      </tp>
      <tp t="s">
        <v>#N/A N/A</v>
        <stp/>
        <stp>BDP|3361596920700805208</stp>
        <tr r="C233" s="2"/>
      </tp>
      <tp t="s">
        <v>#N/A N/A</v>
        <stp/>
        <stp>BDP|7771633307871463654</stp>
        <tr r="Q1036" s="2"/>
      </tp>
      <tp t="s">
        <v>#N/A N/A</v>
        <stp/>
        <stp>BDP|2282143516220455462</stp>
        <tr r="R193" s="2"/>
      </tp>
      <tp t="s">
        <v>#N/A N/A</v>
        <stp/>
        <stp>BDP|7499772343131129336</stp>
        <tr r="H750" s="2"/>
      </tp>
      <tp t="s">
        <v>#N/A N/A</v>
        <stp/>
        <stp>BDP|1481120345952465059</stp>
        <tr r="N941" s="2"/>
      </tp>
      <tp t="s">
        <v>#N/A N/A</v>
        <stp/>
        <stp>BDP|7082660626502137730</stp>
        <tr r="S241" s="2"/>
      </tp>
      <tp t="s">
        <v>#N/A N/A</v>
        <stp/>
        <stp>BDP|4100159815971670359</stp>
        <tr r="E717" s="2"/>
      </tp>
      <tp t="s">
        <v>#N/A N/A</v>
        <stp/>
        <stp>BDP|3354306225812623628</stp>
        <tr r="H609" s="2"/>
      </tp>
      <tp t="s">
        <v>#N/A N/A</v>
        <stp/>
        <stp>BDP|2552057452398339933</stp>
        <tr r="S291" s="2"/>
      </tp>
      <tp t="s">
        <v>#N/A N/A</v>
        <stp/>
        <stp>BDP|5042365984348019002</stp>
        <tr r="D1600" s="2"/>
      </tp>
      <tp t="s">
        <v>#N/A N/A</v>
        <stp/>
        <stp>BDP|3336955284471774574</stp>
        <tr r="G1557" s="2"/>
      </tp>
      <tp t="s">
        <v>#N/A N/A</v>
        <stp/>
        <stp>BDP|5111360153862587730</stp>
        <tr r="Q1224" s="2"/>
      </tp>
      <tp t="s">
        <v>#N/A N/A</v>
        <stp/>
        <stp>BDP|5219367876425960295</stp>
        <tr r="N1499" s="2"/>
      </tp>
      <tp t="s">
        <v>#N/A N/A</v>
        <stp/>
        <stp>BDP|5102693078994035628</stp>
        <tr r="Q2173" s="2"/>
      </tp>
      <tp t="s">
        <v>#N/A N/A</v>
        <stp/>
        <stp>BDP|4999879725258034090</stp>
        <tr r="S1287" s="2"/>
      </tp>
      <tp t="s">
        <v>#N/A N/A</v>
        <stp/>
        <stp>BDP|3654505355370425551</stp>
        <tr r="H1213" s="2"/>
      </tp>
      <tp t="s">
        <v>#N/A N/A</v>
        <stp/>
        <stp>BDP|3778756828573962312</stp>
        <tr r="O1499" s="2"/>
      </tp>
      <tp t="s">
        <v>#N/A N/A</v>
        <stp/>
        <stp>BDP|6608236350555728201</stp>
        <tr r="G991" s="2"/>
      </tp>
      <tp t="s">
        <v>#N/A N/A</v>
        <stp/>
        <stp>BDP|2639514327657468467</stp>
        <tr r="M1273" s="2"/>
      </tp>
      <tp t="s">
        <v>#N/A N/A</v>
        <stp/>
        <stp>BDP|4237313321271673265</stp>
        <tr r="E1904" s="2"/>
      </tp>
      <tp t="s">
        <v>#N/A N/A</v>
        <stp/>
        <stp>BDP|7286225228013348299</stp>
        <tr r="S1675" s="2"/>
      </tp>
      <tp t="s">
        <v>#N/A N/A</v>
        <stp/>
        <stp>BDP|9103956801302403435</stp>
        <tr r="K756" s="2"/>
      </tp>
      <tp t="s">
        <v>#N/A N/A</v>
        <stp/>
        <stp>BDP|6167259937411936088</stp>
        <tr r="O2038" s="2"/>
      </tp>
      <tp t="s">
        <v>#N/A N/A</v>
        <stp/>
        <stp>BDP|7594149874501545621</stp>
        <tr r="N54" s="2"/>
      </tp>
      <tp t="s">
        <v>#N/A N/A</v>
        <stp/>
        <stp>BDP|1554021004086847190</stp>
        <tr r="Q1344" s="2"/>
      </tp>
      <tp t="s">
        <v>#N/A N/A</v>
        <stp/>
        <stp>BDP|5725212963575220257</stp>
        <tr r="H793" s="2"/>
      </tp>
      <tp t="s">
        <v>#N/A N/A</v>
        <stp/>
        <stp>BDP|8405702415320477875</stp>
        <tr r="A495" s="2"/>
      </tp>
      <tp t="s">
        <v>#N/A N/A</v>
        <stp/>
        <stp>BDP|8757808147645111739</stp>
        <tr r="F196" s="2"/>
      </tp>
      <tp t="s">
        <v>#N/A N/A</v>
        <stp/>
        <stp>BDP|9013058811797341959</stp>
        <tr r="O1024" s="2"/>
      </tp>
      <tp t="s">
        <v>#N/A N/A</v>
        <stp/>
        <stp>BDP|5664524371989010879</stp>
        <tr r="E427" s="2"/>
      </tp>
      <tp t="s">
        <v>#N/A N/A</v>
        <stp/>
        <stp>BDP|2768263479513244287</stp>
        <tr r="O1368" s="2"/>
      </tp>
      <tp t="s">
        <v>#N/A N/A</v>
        <stp/>
        <stp>BDP|5124527367346508635</stp>
        <tr r="K1370" s="2"/>
      </tp>
      <tp t="s">
        <v>#N/A N/A</v>
        <stp/>
        <stp>BDP|6609934826763871896</stp>
        <tr r="E1999" s="2"/>
      </tp>
      <tp t="s">
        <v>#N/A N/A</v>
        <stp/>
        <stp>BDP|2424154921350258702</stp>
        <tr r="N386" s="2"/>
      </tp>
      <tp t="s">
        <v>#N/A N/A</v>
        <stp/>
        <stp>BDP|7892102331147387480</stp>
        <tr r="J624" s="2"/>
      </tp>
      <tp t="s">
        <v>#N/A N/A</v>
        <stp/>
        <stp>BDS|8334075369498922061</stp>
        <tr r="I251" s="2"/>
      </tp>
      <tp t="s">
        <v>#N/A N/A</v>
        <stp/>
        <stp>BDP|3639005152015611505</stp>
        <tr r="P96" s="2"/>
      </tp>
      <tp t="s">
        <v>#N/A N/A</v>
        <stp/>
        <stp>BDP|3968888197092748638</stp>
        <tr r="N1240" s="2"/>
      </tp>
      <tp t="s">
        <v>#N/A N/A</v>
        <stp/>
        <stp>BDP|1308565474414246117</stp>
        <tr r="C497" s="2"/>
      </tp>
      <tp t="s">
        <v>#N/A N/A</v>
        <stp/>
        <stp>BDS|1050484027246573782</stp>
        <tr r="I998" s="2"/>
      </tp>
      <tp t="s">
        <v>#N/A N/A</v>
        <stp/>
        <stp>BDP|5323449034962715666</stp>
        <tr r="N668" s="2"/>
      </tp>
      <tp t="s">
        <v>#N/A N/A</v>
        <stp/>
        <stp>BDS|8442422622710647803</stp>
        <tr r="I617" s="2"/>
      </tp>
      <tp t="s">
        <v>#N/A N/A</v>
        <stp/>
        <stp>BDP|4820385953552361621</stp>
        <tr r="N1613" s="2"/>
      </tp>
      <tp t="s">
        <v>#N/A N/A</v>
        <stp/>
        <stp>BDP|7797049816105117565</stp>
        <tr r="J1586" s="2"/>
      </tp>
      <tp t="s">
        <v>#N/A N/A</v>
        <stp/>
        <stp>BDP|8427016423075611921</stp>
        <tr r="D1774" s="2"/>
      </tp>
      <tp t="s">
        <v>#N/A N/A</v>
        <stp/>
        <stp>BDP|1832955093557437084</stp>
        <tr r="T353" s="2"/>
      </tp>
      <tp t="s">
        <v>#N/A N/A</v>
        <stp/>
        <stp>BDP|5870519216566564189</stp>
        <tr r="S1087" s="2"/>
      </tp>
      <tp t="s">
        <v>#N/A N/A</v>
        <stp/>
        <stp>BDP|7915502773063026085</stp>
        <tr r="D499" s="2"/>
      </tp>
      <tp t="s">
        <v>#N/A N/A</v>
        <stp/>
        <stp>BDP|1893508828224477460</stp>
        <tr r="C1248" s="2"/>
      </tp>
      <tp t="s">
        <v>#N/A N/A</v>
        <stp/>
        <stp>BDP|5607674905226602302</stp>
        <tr r="C1306" s="2"/>
      </tp>
      <tp t="s">
        <v>#N/A N/A</v>
        <stp/>
        <stp>BDP|1431129272189664809</stp>
        <tr r="T763" s="2"/>
      </tp>
      <tp t="s">
        <v>#N/A N/A</v>
        <stp/>
        <stp>BDS|2423275663779274903</stp>
        <tr r="I1132" s="2"/>
      </tp>
      <tp t="s">
        <v>#N/A N/A</v>
        <stp/>
        <stp>BDP|1345282482088914520</stp>
        <tr r="K118" s="2"/>
      </tp>
      <tp t="s">
        <v>#N/A N/A</v>
        <stp/>
        <stp>BDP|2484620292862310957</stp>
        <tr r="S1529" s="2"/>
      </tp>
      <tp t="s">
        <v>#N/A N/A</v>
        <stp/>
        <stp>BDP|9607921232737735233</stp>
        <tr r="T208" s="2"/>
      </tp>
      <tp t="s">
        <v>#N/A N/A</v>
        <stp/>
        <stp>BDP|4063066525296275633</stp>
        <tr r="F786" s="2"/>
      </tp>
      <tp t="s">
        <v>#N/A N/A</v>
        <stp/>
        <stp>BDP|9602429622321660835</stp>
        <tr r="M1408" s="2"/>
      </tp>
      <tp t="s">
        <v>#N/A N/A</v>
        <stp/>
        <stp>BDP|4013414510927075022</stp>
        <tr r="K721" s="2"/>
      </tp>
      <tp t="s">
        <v>#N/A N/A</v>
        <stp/>
        <stp>BDP|9981919314905651294</stp>
        <tr r="A2006" s="2"/>
      </tp>
      <tp t="s">
        <v>#N/A N/A</v>
        <stp/>
        <stp>BDP|1865268651148441883</stp>
        <tr r="G79" s="2"/>
      </tp>
      <tp t="s">
        <v>#N/A N/A</v>
        <stp/>
        <stp>BDP|6374546532707466128</stp>
        <tr r="S1216" s="2"/>
      </tp>
      <tp t="s">
        <v>#N/A N/A</v>
        <stp/>
        <stp>BDP|5008663175892801083</stp>
        <tr r="Q12" s="2"/>
      </tp>
      <tp t="s">
        <v>#N/A N/A</v>
        <stp/>
        <stp>BDP|9220814232570287403</stp>
        <tr r="P1387" s="2"/>
      </tp>
      <tp t="s">
        <v>#N/A N/A</v>
        <stp/>
        <stp>BDP|7627508650768144941</stp>
        <tr r="N1144" s="2"/>
      </tp>
      <tp t="s">
        <v>#N/A N/A</v>
        <stp/>
        <stp>BDP|7601369163397103312</stp>
        <tr r="O2024" s="2"/>
      </tp>
      <tp t="s">
        <v>#N/A N/A</v>
        <stp/>
        <stp>BDP|8111412450407480874</stp>
        <tr r="D284" s="2"/>
      </tp>
      <tp t="s">
        <v>#N/A N/A</v>
        <stp/>
        <stp>BDP|9546775584715293574</stp>
        <tr r="R274" s="2"/>
      </tp>
      <tp t="s">
        <v>#N/A N/A</v>
        <stp/>
        <stp>BDP|3754039372391413315</stp>
        <tr r="R1919" s="2"/>
      </tp>
      <tp t="s">
        <v>#N/A N/A</v>
        <stp/>
        <stp>BDP|7350143614686791772</stp>
        <tr r="T1830" s="2"/>
      </tp>
      <tp t="s">
        <v>#N/A N/A</v>
        <stp/>
        <stp>BDP|2936769048153176456</stp>
        <tr r="F518" s="2"/>
      </tp>
      <tp t="s">
        <v>#N/A N/A</v>
        <stp/>
        <stp>BDP|4692770072131444346</stp>
        <tr r="G859" s="2"/>
      </tp>
      <tp t="s">
        <v>#N/A N/A</v>
        <stp/>
        <stp>BDP|9082561750257046855</stp>
        <tr r="D1334" s="2"/>
      </tp>
      <tp t="s">
        <v>#N/A N/A</v>
        <stp/>
        <stp>BDP|1805482174125406139</stp>
        <tr r="F1440" s="2"/>
      </tp>
      <tp t="s">
        <v>#N/A N/A</v>
        <stp/>
        <stp>BDP|5219226222935235637</stp>
        <tr r="T1155" s="2"/>
      </tp>
      <tp t="s">
        <v>#N/A N/A</v>
        <stp/>
        <stp>BDP|8632278977419064253</stp>
        <tr r="P90" s="2"/>
      </tp>
      <tp t="s">
        <v>#N/A N/A</v>
        <stp/>
        <stp>BDP|3031444627417893487</stp>
        <tr r="E1096" s="2"/>
      </tp>
      <tp t="s">
        <v>#N/A N/A</v>
        <stp/>
        <stp>BDP|7690093619342204274</stp>
        <tr r="T932" s="2"/>
      </tp>
      <tp t="s">
        <v>#N/A N/A</v>
        <stp/>
        <stp>BDP|3844670416886884429</stp>
        <tr r="T404" s="2"/>
      </tp>
      <tp t="s">
        <v>#N/A N/A</v>
        <stp/>
        <stp>BDP|6249737642743886081</stp>
        <tr r="C905" s="2"/>
      </tp>
      <tp t="s">
        <v>#N/A N/A</v>
        <stp/>
        <stp>BDP|5496477585318568706</stp>
        <tr r="R864" s="2"/>
      </tp>
      <tp t="s">
        <v>#N/A N/A</v>
        <stp/>
        <stp>BDP|9806684013870951895</stp>
        <tr r="N1456" s="2"/>
      </tp>
      <tp t="s">
        <v>#N/A N/A</v>
        <stp/>
        <stp>BDP|5607508862227363740</stp>
        <tr r="T1896" s="2"/>
      </tp>
      <tp t="s">
        <v>#N/A N/A</v>
        <stp/>
        <stp>BDP|9895853358804579639</stp>
        <tr r="N1447" s="2"/>
      </tp>
      <tp t="s">
        <v>#N/A N/A</v>
        <stp/>
        <stp>BDP|5699324355521773453</stp>
        <tr r="O857" s="2"/>
      </tp>
      <tp t="s">
        <v>#N/A N/A</v>
        <stp/>
        <stp>BDP|9813815936556968258</stp>
        <tr r="H933" s="2"/>
      </tp>
      <tp t="s">
        <v>#N/A N/A</v>
        <stp/>
        <stp>BDP|4723694634253130488</stp>
        <tr r="D1636" s="2"/>
      </tp>
      <tp t="s">
        <v>#N/A N/A</v>
        <stp/>
        <stp>BDP|4125943462929441403</stp>
        <tr r="E129" s="2"/>
      </tp>
      <tp t="s">
        <v>#N/A N/A</v>
        <stp/>
        <stp>BDP|8659517398631934358</stp>
        <tr r="K630" s="2"/>
      </tp>
      <tp t="s">
        <v>#N/A N/A</v>
        <stp/>
        <stp>BDP|7353708819234971307</stp>
        <tr r="N481" s="2"/>
      </tp>
      <tp t="s">
        <v>#N/A N/A</v>
        <stp/>
        <stp>BDP|9740254644848366160</stp>
        <tr r="F599" s="2"/>
      </tp>
      <tp t="s">
        <v>#N/A N/A</v>
        <stp/>
        <stp>BDS|5628013342742182573</stp>
        <tr r="I1454" s="2"/>
      </tp>
      <tp t="s">
        <v>#N/A N/A</v>
        <stp/>
        <stp>BDP|1280710809442162284</stp>
        <tr r="D41" s="2"/>
      </tp>
      <tp t="s">
        <v>#N/A N/A</v>
        <stp/>
        <stp>BDP|9098843767703121211</stp>
        <tr r="K1879" s="2"/>
      </tp>
      <tp t="s">
        <v>#N/A N/A</v>
        <stp/>
        <stp>BDP|4976516451044279688</stp>
        <tr r="P348" s="2"/>
      </tp>
      <tp t="s">
        <v>#N/A N/A</v>
        <stp/>
        <stp>BDS|4985589045890113365</stp>
        <tr r="I1092" s="2"/>
      </tp>
      <tp t="s">
        <v>#N/A N/A</v>
        <stp/>
        <stp>BDP|2453870961938561244</stp>
        <tr r="Q793" s="2"/>
      </tp>
      <tp t="s">
        <v>#N/A N/A</v>
        <stp/>
        <stp>BDP|3784090450905937543</stp>
        <tr r="N898" s="2"/>
      </tp>
      <tp t="s">
        <v>#N/A N/A</v>
        <stp/>
        <stp>BDP|9737140790227285028</stp>
        <tr r="T204" s="2"/>
      </tp>
      <tp t="s">
        <v>#N/A N/A</v>
        <stp/>
        <stp>BDP|8731560464815684802</stp>
        <tr r="M411" s="2"/>
      </tp>
      <tp t="s">
        <v>#N/A N/A</v>
        <stp/>
        <stp>BDS|7025529332330495773</stp>
        <tr r="I1241" s="2"/>
      </tp>
      <tp t="s">
        <v>#N/A N/A</v>
        <stp/>
        <stp>BDP|8866254387543172781</stp>
        <tr r="T587" s="2"/>
      </tp>
      <tp t="s">
        <v>#N/A N/A</v>
        <stp/>
        <stp>BDP|5413812587795971682</stp>
        <tr r="K1289" s="2"/>
      </tp>
      <tp t="s">
        <v>#N/A N/A</v>
        <stp/>
        <stp>BDP|1071944683494371271</stp>
        <tr r="Q2120" s="2"/>
      </tp>
      <tp t="s">
        <v>#N/A N/A</v>
        <stp/>
        <stp>BDS|2039743026661255031</stp>
        <tr r="I2218" s="2"/>
      </tp>
      <tp t="s">
        <v>#N/A N/A</v>
        <stp/>
        <stp>BDP|2590061950947296629</stp>
        <tr r="Q2089" s="2"/>
      </tp>
      <tp t="s">
        <v>#N/A N/A</v>
        <stp/>
        <stp>BDP|4973774175104849607</stp>
        <tr r="S438" s="2"/>
      </tp>
      <tp t="s">
        <v>#N/A N/A</v>
        <stp/>
        <stp>BDP|2844024427601924774</stp>
        <tr r="C1356" s="2"/>
      </tp>
      <tp t="s">
        <v>#N/A N/A</v>
        <stp/>
        <stp>BDP|2223021566301413311</stp>
        <tr r="M196" s="2"/>
      </tp>
      <tp t="s">
        <v>#N/A N/A</v>
        <stp/>
        <stp>BDP|3315024744504547534</stp>
        <tr r="Q1922" s="2"/>
      </tp>
      <tp t="s">
        <v>#N/A N/A</v>
        <stp/>
        <stp>BDP|1978268297154988826</stp>
        <tr r="H1199" s="2"/>
      </tp>
      <tp t="s">
        <v>#N/A N/A</v>
        <stp/>
        <stp>BDP|4244560116441933783</stp>
        <tr r="J98" s="2"/>
      </tp>
      <tp t="s">
        <v>#N/A N/A</v>
        <stp/>
        <stp>BDP|7796459552457744740</stp>
        <tr r="K66" s="2"/>
      </tp>
      <tp t="s">
        <v>#N/A N/A</v>
        <stp/>
        <stp>BDP|9976997509776337094</stp>
        <tr r="J2132" s="2"/>
      </tp>
      <tp t="s">
        <v>#N/A N/A</v>
        <stp/>
        <stp>BDP|7134532903711052523</stp>
        <tr r="J156" s="2"/>
      </tp>
      <tp t="s">
        <v>#N/A N/A</v>
        <stp/>
        <stp>BDP|6749099186450287891</stp>
        <tr r="E1652" s="2"/>
      </tp>
      <tp t="s">
        <v>#N/A N/A</v>
        <stp/>
        <stp>BDP|8826629398867058616</stp>
        <tr r="T230" s="2"/>
      </tp>
      <tp t="s">
        <v>#N/A N/A</v>
        <stp/>
        <stp>BDP|7480211422776456708</stp>
        <tr r="O796" s="2"/>
      </tp>
      <tp t="s">
        <v>#N/A N/A</v>
        <stp/>
        <stp>BDP|7205287850536898018</stp>
        <tr r="J871" s="2"/>
      </tp>
      <tp t="s">
        <v>#N/A N/A</v>
        <stp/>
        <stp>BDS|6022423124617314166</stp>
        <tr r="I540" s="2"/>
      </tp>
      <tp t="s">
        <v>#N/A N/A</v>
        <stp/>
        <stp>BDP|4250443627165250101</stp>
        <tr r="J2128" s="2"/>
      </tp>
      <tp t="s">
        <v>#N/A N/A</v>
        <stp/>
        <stp>BDP|8386920402375697261</stp>
        <tr r="F1756" s="2"/>
      </tp>
      <tp t="s">
        <v>#N/A N/A</v>
        <stp/>
        <stp>BDP|2361957167509203207</stp>
        <tr r="H1804" s="2"/>
      </tp>
      <tp t="s">
        <v>#N/A N/A</v>
        <stp/>
        <stp>BDP|8156472989712503093</stp>
        <tr r="A1219" s="2"/>
      </tp>
      <tp t="s">
        <v>#N/A N/A</v>
        <stp/>
        <stp>BDS|4422503057697123515</stp>
        <tr r="I515" s="2"/>
      </tp>
      <tp t="s">
        <v>#N/A N/A</v>
        <stp/>
        <stp>BDP|2308501128394159794</stp>
        <tr r="F221" s="2"/>
      </tp>
      <tp t="s">
        <v>#N/A N/A</v>
        <stp/>
        <stp>BDP|5137090509772140132</stp>
        <tr r="N2170" s="2"/>
      </tp>
      <tp t="s">
        <v>#N/A N/A</v>
        <stp/>
        <stp>BDP|5354497242367937420</stp>
        <tr r="T1430" s="2"/>
      </tp>
      <tp t="s">
        <v>#N/A N/A</v>
        <stp/>
        <stp>BDP|1889155669691486131</stp>
        <tr r="D1327" s="2"/>
      </tp>
      <tp t="s">
        <v>#N/A N/A</v>
        <stp/>
        <stp>BDP|4995108251345971327</stp>
        <tr r="F1682" s="2"/>
      </tp>
      <tp t="s">
        <v>#N/A N/A</v>
        <stp/>
        <stp>BDP|3291749830624416515</stp>
        <tr r="C543" s="2"/>
      </tp>
      <tp t="s">
        <v>#N/A N/A</v>
        <stp/>
        <stp>BDP|8879374224269833600</stp>
        <tr r="C2241" s="2"/>
      </tp>
      <tp t="s">
        <v>#N/A N/A</v>
        <stp/>
        <stp>BDP|8639823034937085233</stp>
        <tr r="A1545" s="2"/>
      </tp>
      <tp t="s">
        <v>#N/A N/A</v>
        <stp/>
        <stp>BDP|5175504453243624076</stp>
        <tr r="A853" s="2"/>
      </tp>
      <tp t="s">
        <v>#N/A N/A</v>
        <stp/>
        <stp>BDP|5589866861135223838</stp>
        <tr r="E872" s="2"/>
      </tp>
      <tp t="s">
        <v>#N/A N/A</v>
        <stp/>
        <stp>BDP|3547633255930485643</stp>
        <tr r="M1767" s="2"/>
      </tp>
      <tp t="s">
        <v>#N/A N/A</v>
        <stp/>
        <stp>BDP|6621772255191364342</stp>
        <tr r="E2150" s="2"/>
      </tp>
      <tp t="s">
        <v>#N/A N/A</v>
        <stp/>
        <stp>BDP|9578304147378411054</stp>
        <tr r="K667" s="2"/>
      </tp>
      <tp t="s">
        <v>#N/A N/A</v>
        <stp/>
        <stp>BDS|3893515634140980372</stp>
        <tr r="I1237" s="2"/>
      </tp>
      <tp t="s">
        <v>#N/A N/A</v>
        <stp/>
        <stp>BDP|5300876900333628813</stp>
        <tr r="C188" s="2"/>
      </tp>
      <tp t="s">
        <v>#N/A N/A</v>
        <stp/>
        <stp>BDP|1369130917957188053</stp>
        <tr r="F312" s="2"/>
      </tp>
      <tp t="s">
        <v>#N/A N/A</v>
        <stp/>
        <stp>BDP|7167900895036236751</stp>
        <tr r="G1296" s="2"/>
      </tp>
      <tp t="s">
        <v>#N/A N/A</v>
        <stp/>
        <stp>BDP|5539962090663048004</stp>
        <tr r="P75" s="2"/>
      </tp>
      <tp t="s">
        <v>#N/A N/A</v>
        <stp/>
        <stp>BDP|5214814200552831984</stp>
        <tr r="G730" s="2"/>
      </tp>
      <tp t="s">
        <v>#N/A N/A</v>
        <stp/>
        <stp>BDP|2745608311632649139</stp>
        <tr r="O374" s="2"/>
      </tp>
      <tp t="s">
        <v>#N/A N/A</v>
        <stp/>
        <stp>BDP|6097491241897900727</stp>
        <tr r="T913" s="2"/>
      </tp>
      <tp t="s">
        <v>#N/A N/A</v>
        <stp/>
        <stp>BDP|6533886782441578191</stp>
        <tr r="G1437" s="2"/>
      </tp>
      <tp t="s">
        <v>#N/A N/A</v>
        <stp/>
        <stp>BDP|3410708725989066921</stp>
        <tr r="D1261" s="2"/>
      </tp>
      <tp t="s">
        <v>#N/A N/A</v>
        <stp/>
        <stp>BDP|7611767807257115152</stp>
        <tr r="O1317" s="2"/>
      </tp>
      <tp t="s">
        <v>#N/A N/A</v>
        <stp/>
        <stp>BDP|8184717575336426828</stp>
        <tr r="F768" s="2"/>
      </tp>
      <tp t="s">
        <v>#N/A N/A</v>
        <stp/>
        <stp>BDP|3087866680856483318</stp>
        <tr r="K83" s="2"/>
      </tp>
      <tp t="s">
        <v>#N/A N/A</v>
        <stp/>
        <stp>BDP|2378242361534422414</stp>
        <tr r="C967" s="2"/>
      </tp>
      <tp t="s">
        <v>#N/A N/A</v>
        <stp/>
        <stp>BDP|4888589735775503130</stp>
        <tr r="R483" s="2"/>
      </tp>
      <tp t="s">
        <v>#N/A N/A</v>
        <stp/>
        <stp>BDP|7386123911426596760</stp>
        <tr r="F2223" s="2"/>
      </tp>
      <tp t="s">
        <v>#N/A N/A</v>
        <stp/>
        <stp>BDS|6433341427343258261</stp>
        <tr r="I427" s="2"/>
      </tp>
      <tp t="s">
        <v>#N/A N/A</v>
        <stp/>
        <stp>BDP|3523978589806322289</stp>
        <tr r="D415" s="2"/>
      </tp>
      <tp t="s">
        <v>#N/A N/A</v>
        <stp/>
        <stp>BDP|1787987780150965661</stp>
        <tr r="N1060" s="2"/>
      </tp>
      <tp t="s">
        <v>#N/A N/A</v>
        <stp/>
        <stp>BDP|7794441300371150427</stp>
        <tr r="E125" s="2"/>
      </tp>
      <tp t="s">
        <v>#N/A N/A</v>
        <stp/>
        <stp>BDP|2713066020052065418</stp>
        <tr r="Q893" s="2"/>
      </tp>
      <tp t="s">
        <v>#N/A N/A</v>
        <stp/>
        <stp>BDP|4591149923827275606</stp>
        <tr r="D959" s="2"/>
      </tp>
      <tp t="s">
        <v>#N/A N/A</v>
        <stp/>
        <stp>BDP|8512923123984373175</stp>
        <tr r="E2221" s="2"/>
      </tp>
      <tp t="s">
        <v>#N/A N/A</v>
        <stp/>
        <stp>BDP|1712964817827772813</stp>
        <tr r="M1127" s="2"/>
      </tp>
      <tp t="s">
        <v>#N/A N/A</v>
        <stp/>
        <stp>BDP|6972200599218897384</stp>
        <tr r="Q1935" s="2"/>
      </tp>
      <tp t="s">
        <v>#N/A N/A</v>
        <stp/>
        <stp>BDP|4711014997699033218</stp>
        <tr r="F961" s="2"/>
      </tp>
      <tp t="s">
        <v>#N/A N/A</v>
        <stp/>
        <stp>BDP|4268792100937249291</stp>
        <tr r="A1912" s="2"/>
      </tp>
      <tp t="s">
        <v>#N/A N/A</v>
        <stp/>
        <stp>BDP|1752545055960118770</stp>
        <tr r="K1668" s="2"/>
      </tp>
      <tp t="s">
        <v>#N/A N/A</v>
        <stp/>
        <stp>BDP|7659035030874662636</stp>
        <tr r="H1494" s="2"/>
      </tp>
      <tp t="s">
        <v>#N/A N/A</v>
        <stp/>
        <stp>BDP|6179177614814426462</stp>
        <tr r="Q339" s="2"/>
      </tp>
      <tp t="s">
        <v>#N/A N/A</v>
        <stp/>
        <stp>BDP|7164479643093502207</stp>
        <tr r="Q387" s="2"/>
      </tp>
      <tp t="s">
        <v>#N/A N/A</v>
        <stp/>
        <stp>BDP|7438421047831071015</stp>
        <tr r="F1971" s="2"/>
      </tp>
      <tp t="s">
        <v>#N/A N/A</v>
        <stp/>
        <stp>BDP|8509593954928077686</stp>
        <tr r="E1621" s="2"/>
      </tp>
      <tp t="s">
        <v>#N/A N/A</v>
        <stp/>
        <stp>BDS|1279751185950418866</stp>
        <tr r="I775" s="2"/>
      </tp>
      <tp t="s">
        <v>#N/A N/A</v>
        <stp/>
        <stp>BDP|6915765775052880227</stp>
        <tr r="D1090" s="2"/>
      </tp>
      <tp t="s">
        <v>#N/A N/A</v>
        <stp/>
        <stp>BDP|5716975998824930714</stp>
        <tr r="H1905" s="2"/>
      </tp>
      <tp t="s">
        <v>#N/A N/A</v>
        <stp/>
        <stp>BDP|2429459686831689911</stp>
        <tr r="K935" s="2"/>
      </tp>
      <tp t="s">
        <v>#N/A N/A</v>
        <stp/>
        <stp>BDS|7961823331579810328</stp>
        <tr r="I2144" s="2"/>
      </tp>
      <tp t="s">
        <v>#N/A N/A</v>
        <stp/>
        <stp>BDP|2383592739007593569</stp>
        <tr r="A1984" s="2"/>
      </tp>
      <tp t="s">
        <v>#N/A N/A</v>
        <stp/>
        <stp>BDP|6712703511957550134</stp>
        <tr r="S434" s="2"/>
      </tp>
      <tp t="s">
        <v>#N/A N/A</v>
        <stp/>
        <stp>BDP|3028096506975727085</stp>
        <tr r="S694" s="2"/>
      </tp>
      <tp t="s">
        <v>#N/A N/A</v>
        <stp/>
        <stp>BDP|5694000375724438077</stp>
        <tr r="S1840" s="2"/>
      </tp>
      <tp t="s">
        <v>#N/A N/A</v>
        <stp/>
        <stp>BDP|9280851900006134160</stp>
        <tr r="A815" s="2"/>
      </tp>
      <tp t="s">
        <v>#N/A N/A</v>
        <stp/>
        <stp>BDP|2624601486883197918</stp>
        <tr r="J1307" s="2"/>
      </tp>
      <tp t="s">
        <v>#N/A N/A</v>
        <stp/>
        <stp>BDP|5568168594768761302</stp>
        <tr r="P1376" s="2"/>
      </tp>
      <tp t="s">
        <v>#N/A N/A</v>
        <stp/>
        <stp>BDP|7311554435282689553</stp>
        <tr r="S1484" s="2"/>
      </tp>
      <tp t="s">
        <v>#N/A N/A</v>
        <stp/>
        <stp>BDP|3514279676572693228</stp>
        <tr r="H1660" s="2"/>
      </tp>
      <tp t="s">
        <v>#N/A N/A</v>
        <stp/>
        <stp>BDP|7374672555903842194</stp>
        <tr r="F1482" s="2"/>
      </tp>
      <tp t="s">
        <v>#N/A N/A</v>
        <stp/>
        <stp>BDP|2644462754176028349</stp>
        <tr r="K888" s="2"/>
      </tp>
      <tp t="s">
        <v>#N/A N/A</v>
        <stp/>
        <stp>BDS|2614537854213685773</stp>
        <tr r="I788" s="2"/>
      </tp>
      <tp t="s">
        <v>#N/A N/A</v>
        <stp/>
        <stp>BDP|1651110748236611499</stp>
        <tr r="P566" s="2"/>
      </tp>
      <tp t="s">
        <v>#N/A N/A</v>
        <stp/>
        <stp>BDP|2638443572700518759</stp>
        <tr r="O1130" s="2"/>
      </tp>
      <tp t="s">
        <v>#N/A N/A</v>
        <stp/>
        <stp>BDP|1000414652303201518</stp>
        <tr r="O1982" s="2"/>
      </tp>
      <tp t="s">
        <v>#N/A N/A</v>
        <stp/>
        <stp>BDP|6625579451551324133</stp>
        <tr r="N320" s="2"/>
      </tp>
      <tp t="s">
        <v>#N/A N/A</v>
        <stp/>
        <stp>BDP|1518112769046485694</stp>
        <tr r="O72" s="2"/>
      </tp>
      <tp t="s">
        <v>#N/A N/A</v>
        <stp/>
        <stp>BDP|3716478582638349114</stp>
        <tr r="T480" s="2"/>
      </tp>
      <tp t="s">
        <v>#N/A N/A</v>
        <stp/>
        <stp>BDP|9640806314877323116</stp>
        <tr r="C313" s="2"/>
      </tp>
      <tp t="s">
        <v>#N/A N/A</v>
        <stp/>
        <stp>BDP|2997565582211981848</stp>
        <tr r="A2250" s="2"/>
      </tp>
      <tp t="s">
        <v>#N/A N/A</v>
        <stp/>
        <stp>BDP|4070501306844685308</stp>
        <tr r="Q2250" s="2"/>
      </tp>
      <tp t="s">
        <v>#N/A N/A</v>
        <stp/>
        <stp>BDP|4813488626381371553</stp>
        <tr r="O133" s="2"/>
      </tp>
      <tp t="s">
        <v>#N/A N/A</v>
        <stp/>
        <stp>BDP|1742046946273183046</stp>
        <tr r="P1086" s="2"/>
      </tp>
      <tp t="s">
        <v>#N/A N/A</v>
        <stp/>
        <stp>BDP|2017920025728701707</stp>
        <tr r="O1817" s="2"/>
      </tp>
      <tp t="s">
        <v>#N/A N/A</v>
        <stp/>
        <stp>BDP|9893914483847346990</stp>
        <tr r="T385" s="2"/>
      </tp>
      <tp t="s">
        <v>#N/A N/A</v>
        <stp/>
        <stp>BDS|4717825083371675302</stp>
        <tr r="I61" s="2"/>
      </tp>
      <tp t="s">
        <v>#N/A N/A</v>
        <stp/>
        <stp>BDP|2743644192653466851</stp>
        <tr r="G1068" s="2"/>
      </tp>
      <tp t="s">
        <v>#N/A N/A</v>
        <stp/>
        <stp>BDP|1621459098742249899</stp>
        <tr r="S1883" s="2"/>
      </tp>
      <tp t="s">
        <v>#N/A N/A</v>
        <stp/>
        <stp>BDP|2086862320807178974</stp>
        <tr r="H614" s="2"/>
      </tp>
      <tp t="s">
        <v>#N/A N/A</v>
        <stp/>
        <stp>BDP|4928127404575773686</stp>
        <tr r="F1412" s="2"/>
      </tp>
      <tp t="s">
        <v>#N/A N/A</v>
        <stp/>
        <stp>BDP|5777634902171220441</stp>
        <tr r="R1262" s="2"/>
      </tp>
      <tp t="s">
        <v>#N/A N/A</v>
        <stp/>
        <stp>BDP|7410802979229820752</stp>
        <tr r="Q213" s="2"/>
      </tp>
      <tp t="s">
        <v>#N/A N/A</v>
        <stp/>
        <stp>BDP|8835382696250072464</stp>
        <tr r="O904" s="2"/>
      </tp>
      <tp t="s">
        <v>#N/A N/A</v>
        <stp/>
        <stp>BDP|6366238157824670311</stp>
        <tr r="M1008" s="2"/>
      </tp>
      <tp t="s">
        <v>#N/A N/A</v>
        <stp/>
        <stp>BDP|1970365666655925706</stp>
        <tr r="P2176" s="2"/>
      </tp>
      <tp t="s">
        <v>#N/A N/A</v>
        <stp/>
        <stp>BDP|4504391050924410089</stp>
        <tr r="Q696" s="2"/>
      </tp>
      <tp t="s">
        <v>#N/A N/A</v>
        <stp/>
        <stp>BDP|8182641527852394818</stp>
        <tr r="K1463" s="2"/>
      </tp>
      <tp t="s">
        <v>#N/A N/A</v>
        <stp/>
        <stp>BDP|9475576124031121963</stp>
        <tr r="A2055" s="2"/>
      </tp>
      <tp t="s">
        <v>#N/A N/A</v>
        <stp/>
        <stp>BDP|6526020752592038754</stp>
        <tr r="D107" s="2"/>
      </tp>
      <tp t="s">
        <v>#N/A N/A</v>
        <stp/>
        <stp>BDP|8096344066058692344</stp>
        <tr r="K841" s="2"/>
      </tp>
      <tp t="s">
        <v>#N/A N/A</v>
        <stp/>
        <stp>BDP|3315594507401812150</stp>
        <tr r="D1208" s="2"/>
      </tp>
      <tp t="s">
        <v>#N/A N/A</v>
        <stp/>
        <stp>BDP|3922700752514946323</stp>
        <tr r="E1622" s="2"/>
      </tp>
      <tp t="s">
        <v>#N/A N/A</v>
        <stp/>
        <stp>BDP|3838772602124470697</stp>
        <tr r="E948" s="2"/>
      </tp>
      <tp t="s">
        <v>#N/A N/A</v>
        <stp/>
        <stp>BDP|8821762564328828721</stp>
        <tr r="N678" s="2"/>
      </tp>
      <tp t="s">
        <v>#N/A N/A</v>
        <stp/>
        <stp>BDP|1873957539279709432</stp>
        <tr r="E1907" s="2"/>
      </tp>
      <tp t="s">
        <v>#N/A N/A</v>
        <stp/>
        <stp>BDP|8443486709563264972</stp>
        <tr r="M1078" s="2"/>
      </tp>
      <tp t="s">
        <v>#N/A N/A</v>
        <stp/>
        <stp>BDP|5103626070425146725</stp>
        <tr r="P1999" s="2"/>
      </tp>
      <tp t="s">
        <v>#N/A N/A</v>
        <stp/>
        <stp>BDP|5146512731147427256</stp>
        <tr r="R346" s="2"/>
      </tp>
      <tp t="s">
        <v>#N/A N/A</v>
        <stp/>
        <stp>BDP|3618885549769017071</stp>
        <tr r="Q276" s="2"/>
      </tp>
      <tp t="s">
        <v>#N/A N/A</v>
        <stp/>
        <stp>BDP|7351425427182632501</stp>
        <tr r="G118" s="2"/>
      </tp>
      <tp t="s">
        <v>#N/A N/A</v>
        <stp/>
        <stp>BDP|2937290253091365206</stp>
        <tr r="N1540" s="2"/>
      </tp>
      <tp t="s">
        <v>#N/A N/A</v>
        <stp/>
        <stp>BDP|6762020907510461066</stp>
        <tr r="H1456" s="2"/>
      </tp>
      <tp t="s">
        <v>#N/A N/A</v>
        <stp/>
        <stp>BDP|7117606953480540275</stp>
        <tr r="A537" s="2"/>
      </tp>
      <tp t="s">
        <v>#N/A N/A</v>
        <stp/>
        <stp>BDP|1732203851180255046</stp>
        <tr r="Q1903" s="2"/>
      </tp>
      <tp t="s">
        <v>#N/A N/A</v>
        <stp/>
        <stp>BDP|8480089029075724921</stp>
        <tr r="N1643" s="2"/>
      </tp>
      <tp t="s">
        <v>#N/A N/A</v>
        <stp/>
        <stp>BDP|9757405465115661845</stp>
        <tr r="G1360" s="2"/>
      </tp>
      <tp t="s">
        <v>#N/A N/A</v>
        <stp/>
        <stp>BDP|2906585722494764745</stp>
        <tr r="J2046" s="2"/>
      </tp>
      <tp t="s">
        <v>#N/A N/A</v>
        <stp/>
        <stp>BDP|6146637251216539560</stp>
        <tr r="J623" s="2"/>
      </tp>
      <tp t="s">
        <v>#N/A N/A</v>
        <stp/>
        <stp>BDP|1339992150272955934</stp>
        <tr r="D212" s="2"/>
      </tp>
      <tp t="s">
        <v>#N/A N/A</v>
        <stp/>
        <stp>BDP|7557316904173508157</stp>
        <tr r="J851" s="2"/>
      </tp>
      <tp t="s">
        <v>#N/A N/A</v>
        <stp/>
        <stp>BDP|9844109358533285825</stp>
        <tr r="P644" s="2"/>
      </tp>
      <tp t="s">
        <v>#N/A N/A</v>
        <stp/>
        <stp>BDP|4073232153686744372</stp>
        <tr r="J1596" s="2"/>
      </tp>
      <tp t="s">
        <v>#N/A N/A</v>
        <stp/>
        <stp>BDP|1045307180299939596</stp>
        <tr r="H1477" s="2"/>
      </tp>
      <tp t="s">
        <v>#N/A N/A</v>
        <stp/>
        <stp>BDP|5026949472459423429</stp>
        <tr r="S909" s="2"/>
      </tp>
      <tp t="s">
        <v>#N/A N/A</v>
        <stp/>
        <stp>BDP|6722993023312835955</stp>
        <tr r="E301" s="2"/>
      </tp>
      <tp t="s">
        <v>#N/A N/A</v>
        <stp/>
        <stp>BDP|1152237654057563730</stp>
        <tr r="C2203" s="2"/>
      </tp>
      <tp t="s">
        <v>#N/A N/A</v>
        <stp/>
        <stp>BDP|9605196895472302596</stp>
        <tr r="H1833" s="2"/>
      </tp>
      <tp t="s">
        <v>#N/A N/A</v>
        <stp/>
        <stp>BDP|4308836551239724662</stp>
        <tr r="G188" s="2"/>
      </tp>
      <tp t="s">
        <v>#N/A N/A</v>
        <stp/>
        <stp>BDP|6919220518376630555</stp>
        <tr r="F149" s="2"/>
      </tp>
      <tp t="s">
        <v>#N/A N/A</v>
        <stp/>
        <stp>BDP|4543411555612243130</stp>
        <tr r="N1745" s="2"/>
      </tp>
      <tp t="s">
        <v>#N/A N/A</v>
        <stp/>
        <stp>BDP|9528149997840543730</stp>
        <tr r="R1907" s="2"/>
      </tp>
      <tp t="s">
        <v>#N/A N/A</v>
        <stp/>
        <stp>BDP|2998316894677886946</stp>
        <tr r="J712" s="2"/>
      </tp>
      <tp t="s">
        <v>#N/A N/A</v>
        <stp/>
        <stp>BDP|4536008133899733817</stp>
        <tr r="H1433" s="2"/>
      </tp>
      <tp t="s">
        <v>#N/A N/A</v>
        <stp/>
        <stp>BDP|3905343717755269285</stp>
        <tr r="R719" s="2"/>
      </tp>
      <tp t="s">
        <v>#N/A N/A</v>
        <stp/>
        <stp>BDP|1922259500912852741</stp>
        <tr r="P1430" s="2"/>
      </tp>
      <tp t="s">
        <v>#N/A N/A</v>
        <stp/>
        <stp>BDP|3038344959116816551</stp>
        <tr r="O1973" s="2"/>
      </tp>
      <tp t="s">
        <v>#N/A N/A</v>
        <stp/>
        <stp>BDP|6550507271242170051</stp>
        <tr r="S982" s="2"/>
      </tp>
      <tp t="s">
        <v>#N/A N/A</v>
        <stp/>
        <stp>BDP|5569572676277508610</stp>
        <tr r="M1428" s="2"/>
      </tp>
      <tp t="s">
        <v>#N/A N/A</v>
        <stp/>
        <stp>BDP|5000171159295859260</stp>
        <tr r="M427" s="2"/>
      </tp>
      <tp t="s">
        <v>#N/A N/A</v>
        <stp/>
        <stp>BDP|6129624760795525565</stp>
        <tr r="R1485" s="2"/>
      </tp>
      <tp t="s">
        <v>#N/A N/A</v>
        <stp/>
        <stp>BDP|6465238907957885589</stp>
        <tr r="H385" s="2"/>
      </tp>
      <tp t="s">
        <v>#N/A N/A</v>
        <stp/>
        <stp>BDP|8102030541903068939</stp>
        <tr r="H231" s="2"/>
      </tp>
      <tp t="s">
        <v>#N/A N/A</v>
        <stp/>
        <stp>BDP|8499804015224584341</stp>
        <tr r="O422" s="2"/>
      </tp>
      <tp t="s">
        <v>#N/A N/A</v>
        <stp/>
        <stp>BDP|5418088063641648482</stp>
        <tr r="D1424" s="2"/>
      </tp>
      <tp t="s">
        <v>#N/A N/A</v>
        <stp/>
        <stp>BDP|9523871777956153656</stp>
        <tr r="F1570" s="2"/>
      </tp>
      <tp t="s">
        <v>#N/A N/A</v>
        <stp/>
        <stp>BDP|7997539259480346119</stp>
        <tr r="R2101" s="2"/>
      </tp>
      <tp t="s">
        <v>#N/A N/A</v>
        <stp/>
        <stp>BDS|8680848415576082166</stp>
        <tr r="I1779" s="2"/>
      </tp>
      <tp t="s">
        <v>#N/A N/A</v>
        <stp/>
        <stp>BDP|5554913213182371958</stp>
        <tr r="T346" s="2"/>
      </tp>
      <tp t="s">
        <v>#N/A N/A</v>
        <stp/>
        <stp>BDS|6045101269866844101</stp>
        <tr r="I1478" s="2"/>
      </tp>
      <tp t="s">
        <v>#N/A N/A</v>
        <stp/>
        <stp>BDP|8054999676909675989</stp>
        <tr r="H1013" s="2"/>
      </tp>
      <tp t="s">
        <v>#N/A N/A</v>
        <stp/>
        <stp>BDP|8224458748909684780</stp>
        <tr r="K1496" s="2"/>
      </tp>
      <tp t="s">
        <v>#N/A N/A</v>
        <stp/>
        <stp>BDS|7532778591929582672</stp>
        <tr r="I712" s="2"/>
      </tp>
      <tp t="s">
        <v>#N/A N/A</v>
        <stp/>
        <stp>BDP|9692865614933365568</stp>
        <tr r="F1720" s="2"/>
      </tp>
      <tp t="s">
        <v>#N/A N/A</v>
        <stp/>
        <stp>BDP|5395555434343439677</stp>
        <tr r="F283" s="2"/>
      </tp>
      <tp t="s">
        <v>#N/A N/A</v>
        <stp/>
        <stp>BDP|3209915790002095727</stp>
        <tr r="J1876" s="2"/>
      </tp>
      <tp t="s">
        <v>#N/A N/A</v>
        <stp/>
        <stp>BDP|7501419951967639729</stp>
        <tr r="N1589" s="2"/>
      </tp>
      <tp t="s">
        <v>#N/A N/A</v>
        <stp/>
        <stp>BDS|5131054802222658119</stp>
        <tr r="I291" s="2"/>
      </tp>
      <tp t="s">
        <v>#N/A N/A</v>
        <stp/>
        <stp>BDP|9794163886236142076</stp>
        <tr r="O2229" s="2"/>
      </tp>
      <tp t="s">
        <v>#N/A N/A</v>
        <stp/>
        <stp>BDP|1268567726217310708</stp>
        <tr r="N526" s="2"/>
      </tp>
      <tp t="s">
        <v>#N/A N/A</v>
        <stp/>
        <stp>BDP|7523954055884012945</stp>
        <tr r="M429" s="2"/>
      </tp>
      <tp t="s">
        <v>#N/A N/A</v>
        <stp/>
        <stp>BDP|2001410006632724219</stp>
        <tr r="H2195" s="2"/>
      </tp>
      <tp t="s">
        <v>#N/A N/A</v>
        <stp/>
        <stp>BDP|8455375186306591316</stp>
        <tr r="N867" s="2"/>
      </tp>
      <tp t="s">
        <v>#N/A N/A</v>
        <stp/>
        <stp>BDP|2824402029324181617</stp>
        <tr r="G1092" s="2"/>
      </tp>
      <tp t="s">
        <v>#N/A N/A</v>
        <stp/>
        <stp>BDP|8281200450058641150</stp>
        <tr r="R2095" s="2"/>
      </tp>
      <tp t="s">
        <v>#N/A N/A</v>
        <stp/>
        <stp>BDP|4176473761303432328</stp>
        <tr r="H178" s="2"/>
      </tp>
      <tp t="s">
        <v>#N/A N/A</v>
        <stp/>
        <stp>BDP|7732728969476404693</stp>
        <tr r="R1188" s="2"/>
      </tp>
      <tp t="s">
        <v>#N/A N/A</v>
        <stp/>
        <stp>BDP|7360539463437301514</stp>
        <tr r="N1852" s="2"/>
      </tp>
      <tp t="s">
        <v>#N/A N/A</v>
        <stp/>
        <stp>BDP|8674721248075583881</stp>
        <tr r="A1555" s="2"/>
      </tp>
      <tp t="s">
        <v>#N/A N/A</v>
        <stp/>
        <stp>BDP|2503970551899133134</stp>
        <tr r="Q1324" s="2"/>
      </tp>
      <tp t="s">
        <v>#N/A N/A</v>
        <stp/>
        <stp>BDP|3559502562903632502</stp>
        <tr r="R1373" s="2"/>
      </tp>
      <tp t="s">
        <v>#N/A N/A</v>
        <stp/>
        <stp>BDP|3057849275728348230</stp>
        <tr r="A1730" s="2"/>
      </tp>
      <tp t="s">
        <v>#N/A N/A</v>
        <stp/>
        <stp>BDP|8043870933641251478</stp>
        <tr r="F1804" s="2"/>
      </tp>
      <tp t="s">
        <v>#N/A N/A</v>
        <stp/>
        <stp>BDP|9818964020087799383</stp>
        <tr r="D1195" s="2"/>
      </tp>
      <tp t="s">
        <v>#N/A N/A</v>
        <stp/>
        <stp>BDP|2645740971294493061</stp>
        <tr r="S1338" s="2"/>
      </tp>
      <tp t="s">
        <v>#N/A N/A</v>
        <stp/>
        <stp>BDP|1112550542257155168</stp>
        <tr r="S1024" s="2"/>
      </tp>
      <tp t="s">
        <v>#N/A N/A</v>
        <stp/>
        <stp>BDP|1327628375617406112</stp>
        <tr r="E537" s="2"/>
      </tp>
      <tp t="s">
        <v>#N/A N/A</v>
        <stp/>
        <stp>BDP|1589771940346477273</stp>
        <tr r="E1458" s="2"/>
      </tp>
      <tp t="s">
        <v>#N/A N/A</v>
        <stp/>
        <stp>BDP|9931946048540666228</stp>
        <tr r="J262" s="2"/>
      </tp>
      <tp t="s">
        <v>#N/A N/A</v>
        <stp/>
        <stp>BDP|6629998689527771606</stp>
        <tr r="K178" s="2"/>
      </tp>
      <tp t="s">
        <v>#N/A N/A</v>
        <stp/>
        <stp>BDS|7673049945445011066</stp>
        <tr r="I1325" s="2"/>
      </tp>
      <tp t="s">
        <v>#N/A N/A</v>
        <stp/>
        <stp>BDP|7400908476589654656</stp>
        <tr r="K1541" s="2"/>
      </tp>
      <tp t="s">
        <v>#N/A N/A</v>
        <stp/>
        <stp>BDP|6412073252875383033</stp>
        <tr r="M1194" s="2"/>
      </tp>
      <tp t="s">
        <v>#N/A N/A</v>
        <stp/>
        <stp>BDS|3629311488996710899</stp>
        <tr r="I1859" s="2"/>
      </tp>
      <tp t="s">
        <v>#N/A N/A</v>
        <stp/>
        <stp>BDP|7936282764322365775</stp>
        <tr r="D2000" s="2"/>
      </tp>
      <tp t="s">
        <v>#N/A N/A</v>
        <stp/>
        <stp>BDP|9770724548329991558</stp>
        <tr r="H1691" s="2"/>
      </tp>
      <tp t="s">
        <v>#N/A N/A</v>
        <stp/>
        <stp>BDP|1543084738213546717</stp>
        <tr r="H1045" s="2"/>
      </tp>
      <tp t="s">
        <v>#N/A N/A</v>
        <stp/>
        <stp>BDP|4527459840985931781</stp>
        <tr r="F1046" s="2"/>
      </tp>
      <tp t="s">
        <v>#N/A N/A</v>
        <stp/>
        <stp>BDP|4668638946999569971</stp>
        <tr r="S958" s="2"/>
      </tp>
      <tp t="s">
        <v>#N/A N/A</v>
        <stp/>
        <stp>BDS|9043364733259510610</stp>
        <tr r="I272" s="2"/>
      </tp>
      <tp t="s">
        <v>#N/A N/A</v>
        <stp/>
        <stp>BDP|3578049246792181371</stp>
        <tr r="F1600" s="2"/>
      </tp>
      <tp t="s">
        <v>#N/A N/A</v>
        <stp/>
        <stp>BDP|3822291234514639025</stp>
        <tr r="F28" s="2"/>
      </tp>
      <tp t="s">
        <v>#N/A N/A</v>
        <stp/>
        <stp>BDP|4445032961603705700</stp>
        <tr r="M139" s="2"/>
      </tp>
      <tp t="s">
        <v>#N/A N/A</v>
        <stp/>
        <stp>BDP|4039719047442786306</stp>
        <tr r="R910" s="2"/>
      </tp>
      <tp t="s">
        <v>#N/A N/A</v>
        <stp/>
        <stp>BDP|3100019415240490401</stp>
        <tr r="D1122" s="2"/>
      </tp>
      <tp t="s">
        <v>#N/A N/A</v>
        <stp/>
        <stp>BDP|7907111545355599198</stp>
        <tr r="T797" s="2"/>
      </tp>
      <tp t="s">
        <v>#N/A N/A</v>
        <stp/>
        <stp>BDP|4575575760294251516</stp>
        <tr r="J1083" s="2"/>
      </tp>
      <tp t="s">
        <v>#N/A N/A</v>
        <stp/>
        <stp>BDP|1654145426854630039</stp>
        <tr r="R1534" s="2"/>
      </tp>
      <tp t="s">
        <v>#N/A N/A</v>
        <stp/>
        <stp>BDP|7467003764744261336</stp>
        <tr r="M2140" s="2"/>
      </tp>
      <tp t="s">
        <v>#N/A N/A</v>
        <stp/>
        <stp>BDP|5081339765207180169</stp>
        <tr r="C85" s="2"/>
      </tp>
      <tp t="s">
        <v>#N/A N/A</v>
        <stp/>
        <stp>BDP|8374823450961197216</stp>
        <tr r="A1264" s="2"/>
      </tp>
      <tp t="s">
        <v>#N/A N/A</v>
        <stp/>
        <stp>BDP|7758063723561474276</stp>
        <tr r="J1595" s="2"/>
      </tp>
      <tp t="s">
        <v>#N/A N/A</v>
        <stp/>
        <stp>BDP|8822118269299034019</stp>
        <tr r="E501" s="2"/>
      </tp>
      <tp t="s">
        <v>#N/A N/A</v>
        <stp/>
        <stp>BDP|6899328180513876831</stp>
        <tr r="A26" s="2"/>
      </tp>
      <tp t="s">
        <v>#N/A N/A</v>
        <stp/>
        <stp>BDP|1858845357373374996</stp>
        <tr r="F778" s="2"/>
      </tp>
      <tp t="s">
        <v>#N/A N/A</v>
        <stp/>
        <stp>BDP|3214821435948642628</stp>
        <tr r="H2121" s="2"/>
      </tp>
      <tp t="s">
        <v>#N/A N/A</v>
        <stp/>
        <stp>BDP|4376086029093558361</stp>
        <tr r="Q1490" s="2"/>
      </tp>
      <tp t="s">
        <v>#N/A N/A</v>
        <stp/>
        <stp>BDP|3213683940136831135</stp>
        <tr r="K1472" s="2"/>
      </tp>
      <tp t="s">
        <v>#N/A N/A</v>
        <stp/>
        <stp>BDP|9456525483405778736</stp>
        <tr r="F1045" s="2"/>
      </tp>
      <tp t="s">
        <v>#N/A N/A</v>
        <stp/>
        <stp>BDP|5347621672265733750</stp>
        <tr r="G260" s="2"/>
      </tp>
      <tp t="s">
        <v>#N/A N/A</v>
        <stp/>
        <stp>BDP|6095017125357604539</stp>
        <tr r="F107" s="2"/>
      </tp>
      <tp t="s">
        <v>#N/A N/A</v>
        <stp/>
        <stp>BDP|9246448173975286969</stp>
        <tr r="G1343" s="2"/>
      </tp>
      <tp t="s">
        <v>#N/A N/A</v>
        <stp/>
        <stp>BDP|2377787118325774750</stp>
        <tr r="F1547" s="2"/>
      </tp>
      <tp t="s">
        <v>#N/A N/A</v>
        <stp/>
        <stp>BDP|2657803384341270516</stp>
        <tr r="O153" s="2"/>
      </tp>
      <tp t="s">
        <v>#N/A N/A</v>
        <stp/>
        <stp>BDP|6810806219529245021</stp>
        <tr r="Q1913" s="2"/>
      </tp>
      <tp t="s">
        <v>#N/A N/A</v>
        <stp/>
        <stp>BDP|4092219791650300921</stp>
        <tr r="K1528" s="2"/>
      </tp>
      <tp t="s">
        <v>#N/A N/A</v>
        <stp/>
        <stp>BDP|9356928561470785066</stp>
        <tr r="E161" s="2"/>
      </tp>
      <tp t="s">
        <v>#N/A N/A</v>
        <stp/>
        <stp>BDP|7926372520443965365</stp>
        <tr r="M1037" s="2"/>
      </tp>
      <tp t="s">
        <v>#N/A N/A</v>
        <stp/>
        <stp>BDP|7569439050759690916</stp>
        <tr r="P2220" s="2"/>
      </tp>
      <tp t="s">
        <v>#N/A N/A</v>
        <stp/>
        <stp>BDP|4487508308306829156</stp>
        <tr r="S1392" s="2"/>
      </tp>
      <tp t="s">
        <v>#N/A N/A</v>
        <stp/>
        <stp>BDP|3256182925300827661</stp>
        <tr r="M997" s="2"/>
      </tp>
      <tp t="s">
        <v>#N/A N/A</v>
        <stp/>
        <stp>BDP|6223075958125561097</stp>
        <tr r="M1884" s="2"/>
      </tp>
      <tp t="s">
        <v>#N/A N/A</v>
        <stp/>
        <stp>BDP|2524022335694034332</stp>
        <tr r="F1761" s="2"/>
      </tp>
      <tp t="s">
        <v>#N/A N/A</v>
        <stp/>
        <stp>BDS|3373751310580123365</stp>
        <tr r="I320" s="2"/>
      </tp>
      <tp t="s">
        <v>#N/A N/A</v>
        <stp/>
        <stp>BDP|7572882585096028791</stp>
        <tr r="F1803" s="2"/>
      </tp>
      <tp t="s">
        <v>#N/A N/A</v>
        <stp/>
        <stp>BDP|2896896020956853885</stp>
        <tr r="E1602" s="2"/>
      </tp>
      <tp t="s">
        <v>#N/A N/A</v>
        <stp/>
        <stp>BDP|1201100716640471717</stp>
        <tr r="A20" s="2"/>
      </tp>
      <tp t="s">
        <v>#N/A N/A</v>
        <stp/>
        <stp>BDP|6839641208575500301</stp>
        <tr r="R811" s="2"/>
      </tp>
      <tp t="s">
        <v>#N/A N/A</v>
        <stp/>
        <stp>BDP|5632766663537758553</stp>
        <tr r="M1862" s="2"/>
      </tp>
      <tp t="s">
        <v>#N/A N/A</v>
        <stp/>
        <stp>BDP|2969494903211096150</stp>
        <tr r="O931" s="2"/>
      </tp>
      <tp t="s">
        <v>#N/A N/A</v>
        <stp/>
        <stp>BDP|7374329503142336075</stp>
        <tr r="T267" s="2"/>
      </tp>
      <tp t="s">
        <v>#N/A N/A</v>
        <stp/>
        <stp>BDP|9807784294154743558</stp>
        <tr r="Q114" s="2"/>
      </tp>
      <tp t="s">
        <v>#N/A N/A</v>
        <stp/>
        <stp>BDP|6000552336037229179</stp>
        <tr r="F229" s="2"/>
      </tp>
      <tp t="s">
        <v>#N/A N/A</v>
        <stp/>
        <stp>BDP|6465731676888532825</stp>
        <tr r="Q1190" s="2"/>
      </tp>
      <tp t="s">
        <v>#N/A N/A</v>
        <stp/>
        <stp>BDP|6216174254683526728</stp>
        <tr r="J740" s="2"/>
      </tp>
      <tp t="s">
        <v>#N/A N/A</v>
        <stp/>
        <stp>BDP|7304883216058989023</stp>
        <tr r="F1002" s="2"/>
      </tp>
      <tp t="s">
        <v>#N/A N/A</v>
        <stp/>
        <stp>BDP|2396041049408042883</stp>
        <tr r="Q321" s="2"/>
      </tp>
      <tp t="s">
        <v>#N/A N/A</v>
        <stp/>
        <stp>BDP|9057258300194729945</stp>
        <tr r="E2070" s="2"/>
      </tp>
      <tp t="s">
        <v>#N/A N/A</v>
        <stp/>
        <stp>BDP|9326870362935593459</stp>
        <tr r="J1566" s="2"/>
      </tp>
      <tp t="s">
        <v>#N/A N/A</v>
        <stp/>
        <stp>BDP|3882649885042788982</stp>
        <tr r="J1008" s="2"/>
      </tp>
      <tp t="s">
        <v>#N/A N/A</v>
        <stp/>
        <stp>BDP|9050869435746390269</stp>
        <tr r="R1268" s="2"/>
      </tp>
      <tp t="s">
        <v>#N/A N/A</v>
        <stp/>
        <stp>BDS|5055159600455406770</stp>
        <tr r="I1048" s="2"/>
      </tp>
      <tp t="s">
        <v>#N/A N/A</v>
        <stp/>
        <stp>BDP|4699557973196748610</stp>
        <tr r="N1617" s="2"/>
      </tp>
      <tp t="s">
        <v>#N/A N/A</v>
        <stp/>
        <stp>BDS|6358563663363794074</stp>
        <tr r="I1378" s="2"/>
      </tp>
      <tp t="s">
        <v>#N/A N/A</v>
        <stp/>
        <stp>BDP|3452475355603888785</stp>
        <tr r="N1451" s="2"/>
      </tp>
      <tp t="s">
        <v>#N/A N/A</v>
        <stp/>
        <stp>BDP|7197961447865625908</stp>
        <tr r="Q1608" s="2"/>
      </tp>
      <tp t="s">
        <v>#N/A N/A</v>
        <stp/>
        <stp>BDP|1204071665991015063</stp>
        <tr r="A1552" s="2"/>
      </tp>
      <tp t="s">
        <v>#N/A N/A</v>
        <stp/>
        <stp>BDS|8669906319311192783</stp>
        <tr r="I1246" s="2"/>
      </tp>
      <tp t="s">
        <v>#N/A N/A</v>
        <stp/>
        <stp>BDP|1715315549631008198</stp>
        <tr r="D1978" s="2"/>
      </tp>
      <tp t="s">
        <v>#N/A N/A</v>
        <stp/>
        <stp>BDP|9926826212554644298</stp>
        <tr r="P1820" s="2"/>
      </tp>
      <tp t="s">
        <v>#N/A N/A</v>
        <stp/>
        <stp>BDP|8933061155822960951</stp>
        <tr r="F958" s="2"/>
      </tp>
      <tp t="s">
        <v>#N/A N/A</v>
        <stp/>
        <stp>BDP|3830790280253555929</stp>
        <tr r="R58" s="2"/>
      </tp>
      <tp t="s">
        <v>#N/A N/A</v>
        <stp/>
        <stp>BDP|2231011884845114906</stp>
        <tr r="P840" s="2"/>
      </tp>
      <tp t="s">
        <v>#N/A N/A</v>
        <stp/>
        <stp>BDP|5652869104429334217</stp>
        <tr r="A2063" s="2"/>
      </tp>
      <tp t="s">
        <v>#N/A N/A</v>
        <stp/>
        <stp>BDP|6875551453856157697</stp>
        <tr r="M1395" s="2"/>
      </tp>
      <tp t="s">
        <v>#N/A N/A</v>
        <stp/>
        <stp>BDP|7915023346526988323</stp>
        <tr r="A1121" s="2"/>
      </tp>
      <tp t="s">
        <v>#N/A N/A</v>
        <stp/>
        <stp>BDP|2574697273300898516</stp>
        <tr r="R1402" s="2"/>
      </tp>
      <tp t="s">
        <v>#N/A N/A</v>
        <stp/>
        <stp>BDS|3807455380240221999</stp>
        <tr r="I1331" s="2"/>
      </tp>
      <tp t="s">
        <v>#N/A N/A</v>
        <stp/>
        <stp>BDP|2338658397149101265</stp>
        <tr r="G1002" s="2"/>
      </tp>
      <tp t="s">
        <v>#N/A N/A</v>
        <stp/>
        <stp>BDP|2584149645479185833</stp>
        <tr r="J780" s="2"/>
      </tp>
      <tp t="s">
        <v>#N/A N/A</v>
        <stp/>
        <stp>BDP|7445607648940225386</stp>
        <tr r="C2020" s="2"/>
      </tp>
      <tp t="s">
        <v>#N/A N/A</v>
        <stp/>
        <stp>BDP|8964639157318356587</stp>
        <tr r="P630" s="2"/>
      </tp>
      <tp t="s">
        <v>#N/A N/A</v>
        <stp/>
        <stp>BDP|3323772652255553259</stp>
        <tr r="C2253" s="2"/>
      </tp>
      <tp t="s">
        <v>#N/A N/A</v>
        <stp/>
        <stp>BDP|1788220532364440251</stp>
        <tr r="D1825" s="2"/>
      </tp>
      <tp t="s">
        <v>#N/A N/A</v>
        <stp/>
        <stp>BDP|6131062283721135934</stp>
        <tr r="F86" s="2"/>
      </tp>
      <tp t="s">
        <v>#N/A N/A</v>
        <stp/>
        <stp>BDP|8052311836298674670</stp>
        <tr r="T985" s="2"/>
      </tp>
      <tp t="s">
        <v>#N/A N/A</v>
        <stp/>
        <stp>BDP|2681950600988263576</stp>
        <tr r="K707" s="2"/>
      </tp>
      <tp t="s">
        <v>#N/A N/A</v>
        <stp/>
        <stp>BDP|4519329567703170479</stp>
        <tr r="S701" s="2"/>
      </tp>
      <tp t="s">
        <v>#N/A N/A</v>
        <stp/>
        <stp>BDP|5815491369595967472</stp>
        <tr r="D1143" s="2"/>
      </tp>
      <tp t="s">
        <v>#N/A N/A</v>
        <stp/>
        <stp>BDP|3168944092365787068</stp>
        <tr r="C768" s="2"/>
      </tp>
      <tp t="s">
        <v>#N/A N/A</v>
        <stp/>
        <stp>BDP|2181598759646516227</stp>
        <tr r="M265" s="2"/>
      </tp>
      <tp t="s">
        <v>#N/A N/A</v>
        <stp/>
        <stp>BDP|1436135496019614617</stp>
        <tr r="G589" s="2"/>
      </tp>
      <tp t="s">
        <v>#N/A N/A</v>
        <stp/>
        <stp>BDP|7834998293801425001</stp>
        <tr r="G676" s="2"/>
      </tp>
      <tp t="s">
        <v>#N/A N/A</v>
        <stp/>
        <stp>BDP|3029422206129585879</stp>
        <tr r="N1124" s="2"/>
      </tp>
      <tp t="s">
        <v>#N/A N/A</v>
        <stp/>
        <stp>BDP|9639113031168973596</stp>
        <tr r="O1578" s="2"/>
      </tp>
      <tp t="s">
        <v>#N/A N/A</v>
        <stp/>
        <stp>BDP|6062863795849049859</stp>
        <tr r="S2120" s="2"/>
      </tp>
      <tp t="s">
        <v>#N/A N/A</v>
        <stp/>
        <stp>BDP|3918441166320971744</stp>
        <tr r="A2132" s="2"/>
      </tp>
      <tp t="s">
        <v>#N/A N/A</v>
        <stp/>
        <stp>BDP|7343141786061269953</stp>
        <tr r="P1768" s="2"/>
      </tp>
      <tp t="s">
        <v>#N/A N/A</v>
        <stp/>
        <stp>BDP|2722291108437901194</stp>
        <tr r="T1276" s="2"/>
      </tp>
      <tp t="s">
        <v>#N/A N/A</v>
        <stp/>
        <stp>BDP|6338284688258309266</stp>
        <tr r="T80" s="2"/>
      </tp>
      <tp t="s">
        <v>#N/A N/A</v>
        <stp/>
        <stp>BDP|1041320663135329744</stp>
        <tr r="O850" s="2"/>
      </tp>
      <tp t="s">
        <v>#N/A N/A</v>
        <stp/>
        <stp>BDP|9239340097557013274</stp>
        <tr r="D18" s="2"/>
      </tp>
      <tp t="s">
        <v>#N/A N/A</v>
        <stp/>
        <stp>BDP|9749995611460043792</stp>
        <tr r="P807" s="2"/>
      </tp>
      <tp t="s">
        <v>#N/A N/A</v>
        <stp/>
        <stp>BDP|1562759734900470363</stp>
        <tr r="M6" s="2"/>
      </tp>
      <tp t="s">
        <v>#N/A N/A</v>
        <stp/>
        <stp>BDP|4490668570000702333</stp>
        <tr r="G1062" s="2"/>
      </tp>
      <tp t="s">
        <v>#N/A N/A</v>
        <stp/>
        <stp>BDP|8183227571363797837</stp>
        <tr r="O1766" s="2"/>
      </tp>
      <tp t="s">
        <v>#N/A N/A</v>
        <stp/>
        <stp>BDP|8306023675549523076</stp>
        <tr r="D572" s="2"/>
      </tp>
      <tp t="s">
        <v>#N/A N/A</v>
        <stp/>
        <stp>BDP|5661475203590734737</stp>
        <tr r="T243" s="2"/>
      </tp>
      <tp t="s">
        <v>#N/A N/A</v>
        <stp/>
        <stp>BDP|6525871488811818148</stp>
        <tr r="M62" s="2"/>
      </tp>
      <tp t="s">
        <v>#N/A N/A</v>
        <stp/>
        <stp>BDP|3995946283092997614</stp>
        <tr r="M231" s="2"/>
      </tp>
      <tp t="s">
        <v>#N/A N/A</v>
        <stp/>
        <stp>BDP|4174405014294634351</stp>
        <tr r="S1745" s="2"/>
      </tp>
      <tp t="s">
        <v>#N/A N/A</v>
        <stp/>
        <stp>BDP|7955270238799827982</stp>
        <tr r="D1997" s="2"/>
      </tp>
      <tp t="s">
        <v>#N/A N/A</v>
        <stp/>
        <stp>BDP|1286428910532626005</stp>
        <tr r="F1801" s="2"/>
      </tp>
      <tp t="s">
        <v>#N/A N/A</v>
        <stp/>
        <stp>BDP|9270440385117627431</stp>
        <tr r="R2013" s="2"/>
      </tp>
      <tp t="s">
        <v>#N/A N/A</v>
        <stp/>
        <stp>BDP|9356122781134175274</stp>
        <tr r="C1241" s="2"/>
      </tp>
      <tp t="s">
        <v>#N/A N/A</v>
        <stp/>
        <stp>BDP|5791564073969096848</stp>
        <tr r="P2115" s="2"/>
      </tp>
      <tp t="s">
        <v>#N/A N/A</v>
        <stp/>
        <stp>BDP|6544932990574759473</stp>
        <tr r="D1347" s="2"/>
      </tp>
      <tp t="s">
        <v>#N/A N/A</v>
        <stp/>
        <stp>BDP|4493542410087593137</stp>
        <tr r="Q1842" s="2"/>
      </tp>
      <tp t="s">
        <v>#N/A N/A</v>
        <stp/>
        <stp>BDP|9161652672586012805</stp>
        <tr r="M2177" s="2"/>
      </tp>
      <tp t="s">
        <v>#N/A N/A</v>
        <stp/>
        <stp>BDP|2349640284552140840</stp>
        <tr r="P1980" s="2"/>
      </tp>
      <tp t="s">
        <v>#N/A N/A</v>
        <stp/>
        <stp>BDP|1531198578225259409</stp>
        <tr r="O884" s="2"/>
      </tp>
      <tp t="s">
        <v>#N/A N/A</v>
        <stp/>
        <stp>BDP|3653751914083106000</stp>
        <tr r="M1178" s="2"/>
      </tp>
      <tp t="s">
        <v>#N/A N/A</v>
        <stp/>
        <stp>BDP|9828177994137984048</stp>
        <tr r="F124" s="2"/>
      </tp>
      <tp t="s">
        <v>#N/A N/A</v>
        <stp/>
        <stp>BDP|5712773314603260606</stp>
        <tr r="A1944" s="2"/>
      </tp>
      <tp t="s">
        <v>#N/A N/A</v>
        <stp/>
        <stp>BDP|5315487558071645336</stp>
        <tr r="N748" s="2"/>
      </tp>
      <tp t="s">
        <v>#N/A N/A</v>
        <stp/>
        <stp>BDP|1003064421504228137</stp>
        <tr r="K556" s="2"/>
      </tp>
      <tp t="s">
        <v>#N/A N/A</v>
        <stp/>
        <stp>BDP|1822794240982630618</stp>
        <tr r="G782" s="2"/>
      </tp>
      <tp t="s">
        <v>#N/A N/A</v>
        <stp/>
        <stp>BDP|6422035153645203006</stp>
        <tr r="H349" s="2"/>
      </tp>
      <tp t="s">
        <v>#N/A N/A</v>
        <stp/>
        <stp>BDP|5902456209477701045</stp>
        <tr r="R362" s="2"/>
      </tp>
      <tp t="s">
        <v>#N/A N/A</v>
        <stp/>
        <stp>BDP|3916854541401272891</stp>
        <tr r="G2041" s="2"/>
      </tp>
      <tp t="s">
        <v>#N/A N/A</v>
        <stp/>
        <stp>BDP|7674026281359452070</stp>
        <tr r="K1402" s="2"/>
      </tp>
      <tp t="s">
        <v>#N/A N/A</v>
        <stp/>
        <stp>BDP|9328643667259147670</stp>
        <tr r="R996" s="2"/>
      </tp>
      <tp t="s">
        <v>#N/A N/A</v>
        <stp/>
        <stp>BDP|3402340837722917781</stp>
        <tr r="T1527" s="2"/>
      </tp>
      <tp t="s">
        <v>#N/A N/A</v>
        <stp/>
        <stp>BDP|5321441276770260054</stp>
        <tr r="P2077" s="2"/>
      </tp>
      <tp t="s">
        <v>#N/A N/A</v>
        <stp/>
        <stp>BDP|6547713837672158642</stp>
        <tr r="N2237" s="2"/>
      </tp>
      <tp t="s">
        <v>#N/A N/A</v>
        <stp/>
        <stp>BDP|5645666559259657993</stp>
        <tr r="A673" s="2"/>
      </tp>
      <tp t="s">
        <v>#N/A N/A</v>
        <stp/>
        <stp>BDP|9479491949036758955</stp>
        <tr r="Q219" s="2"/>
      </tp>
      <tp t="s">
        <v>#N/A N/A</v>
        <stp/>
        <stp>BDS|5165563010580036716</stp>
        <tr r="I1547" s="2"/>
      </tp>
      <tp t="s">
        <v>#N/A N/A</v>
        <stp/>
        <stp>BDP|2178744843342894590</stp>
        <tr r="K2036" s="2"/>
      </tp>
      <tp t="s">
        <v>#N/A N/A</v>
        <stp/>
        <stp>BDP|9912268049339661075</stp>
        <tr r="H811" s="2"/>
      </tp>
      <tp t="s">
        <v>#N/A N/A</v>
        <stp/>
        <stp>BDP|3177459899779239183</stp>
        <tr r="N142" s="2"/>
      </tp>
      <tp t="s">
        <v>#N/A N/A</v>
        <stp/>
        <stp>BDP|7070655250057386513</stp>
        <tr r="J1977" s="2"/>
      </tp>
      <tp t="s">
        <v>#N/A N/A</v>
        <stp/>
        <stp>BDP|9292891820924980150</stp>
        <tr r="H1436" s="2"/>
      </tp>
      <tp t="s">
        <v>#N/A N/A</v>
        <stp/>
        <stp>BDS|7297829499986642687</stp>
        <tr r="I1777" s="2"/>
      </tp>
      <tp t="s">
        <v>#N/A N/A</v>
        <stp/>
        <stp>BDP|1273355111953940687</stp>
        <tr r="J1301" s="2"/>
      </tp>
      <tp t="s">
        <v>#N/A N/A</v>
        <stp/>
        <stp>BDP|1964684120776641509</stp>
        <tr r="S669" s="2"/>
      </tp>
      <tp t="s">
        <v>#N/A N/A</v>
        <stp/>
        <stp>BDP|6309334425689239809</stp>
        <tr r="P1427" s="2"/>
      </tp>
      <tp t="s">
        <v>#N/A N/A</v>
        <stp/>
        <stp>BDP|2972384807445463259</stp>
        <tr r="T908" s="2"/>
      </tp>
      <tp t="s">
        <v>#N/A N/A</v>
        <stp/>
        <stp>BDP|3599771394418373323</stp>
        <tr r="G217" s="2"/>
      </tp>
      <tp t="s">
        <v>#N/A N/A</v>
        <stp/>
        <stp>BDP|8213931125892510761</stp>
        <tr r="P575" s="2"/>
      </tp>
      <tp t="s">
        <v>#N/A N/A</v>
        <stp/>
        <stp>BDP|6557754152415173749</stp>
        <tr r="D104" s="2"/>
      </tp>
      <tp t="s">
        <v>#N/A N/A</v>
        <stp/>
        <stp>BDP|2597295361314230487</stp>
        <tr r="E85" s="2"/>
      </tp>
      <tp t="s">
        <v>#N/A N/A</v>
        <stp/>
        <stp>BDP|8755626274066686900</stp>
        <tr r="P1816" s="2"/>
      </tp>
      <tp t="s">
        <v>#N/A N/A</v>
        <stp/>
        <stp>BDP|7505839616201281958</stp>
        <tr r="T464" s="2"/>
      </tp>
      <tp t="s">
        <v>#N/A N/A</v>
        <stp/>
        <stp>BDS|1317749215646042752</stp>
        <tr r="I335" s="2"/>
      </tp>
      <tp t="s">
        <v>#N/A N/A</v>
        <stp/>
        <stp>BDP|2994519023507469488</stp>
        <tr r="P515" s="2"/>
      </tp>
      <tp t="s">
        <v>#N/A N/A</v>
        <stp/>
        <stp>BDP|5363505660836139653</stp>
        <tr r="E979" s="2"/>
      </tp>
      <tp t="s">
        <v>#N/A N/A</v>
        <stp/>
        <stp>BDP|8532878961162724233</stp>
        <tr r="K754" s="2"/>
      </tp>
      <tp t="s">
        <v>#N/A N/A</v>
        <stp/>
        <stp>BDP|4455280376705992241</stp>
        <tr r="Q847" s="2"/>
      </tp>
      <tp t="s">
        <v>#N/A N/A</v>
        <stp/>
        <stp>BDP|9581596288452022032</stp>
        <tr r="R752" s="2"/>
      </tp>
      <tp t="s">
        <v>#N/A N/A</v>
        <stp/>
        <stp>BDP|3811216861872828377</stp>
        <tr r="C373" s="2"/>
      </tp>
      <tp t="s">
        <v>#N/A N/A</v>
        <stp/>
        <stp>BDP|8232039425754436873</stp>
        <tr r="F397" s="2"/>
      </tp>
      <tp t="s">
        <v>#N/A N/A</v>
        <stp/>
        <stp>BDS|3998689618183770198</stp>
        <tr r="I1135" s="2"/>
      </tp>
      <tp t="s">
        <v>#N/A N/A</v>
        <stp/>
        <stp>BDP|6172774334537135348</stp>
        <tr r="K97" s="2"/>
      </tp>
      <tp t="s">
        <v>#N/A N/A</v>
        <stp/>
        <stp>BDP|6220090209299289975</stp>
        <tr r="M1820" s="2"/>
      </tp>
      <tp t="s">
        <v>#N/A N/A</v>
        <stp/>
        <stp>BDP|7468324273521426468</stp>
        <tr r="T166" s="2"/>
      </tp>
      <tp t="s">
        <v>#N/A N/A</v>
        <stp/>
        <stp>BDP|5480988859216781957</stp>
        <tr r="J1540" s="2"/>
      </tp>
      <tp t="s">
        <v>#N/A N/A</v>
        <stp/>
        <stp>BDP|3885165692515229897</stp>
        <tr r="S239" s="2"/>
      </tp>
      <tp t="s">
        <v>#N/A N/A</v>
        <stp/>
        <stp>BDP|6460580273901977314</stp>
        <tr r="Q1730" s="2"/>
      </tp>
      <tp t="s">
        <v>#N/A N/A</v>
        <stp/>
        <stp>BDP|2070595896019198197</stp>
        <tr r="R1474" s="2"/>
      </tp>
      <tp t="s">
        <v>#N/A N/A</v>
        <stp/>
        <stp>BDP|6121320162674514139</stp>
        <tr r="G2045" s="2"/>
      </tp>
      <tp t="s">
        <v>#N/A N/A</v>
        <stp/>
        <stp>BDP|3268740325612595215</stp>
        <tr r="E1966" s="2"/>
      </tp>
      <tp t="s">
        <v>#N/A N/A</v>
        <stp/>
        <stp>BDP|6222530441834050570</stp>
        <tr r="M98" s="2"/>
      </tp>
      <tp t="s">
        <v>#N/A N/A</v>
        <stp/>
        <stp>BDP|1021136362152330259</stp>
        <tr r="E2136" s="2"/>
      </tp>
      <tp t="s">
        <v>#N/A N/A</v>
        <stp/>
        <stp>BDP|6342523384239432469</stp>
        <tr r="A1076" s="2"/>
      </tp>
      <tp t="s">
        <v>#N/A N/A</v>
        <stp/>
        <stp>BDS|7157471975891095349</stp>
        <tr r="I683" s="2"/>
      </tp>
      <tp t="s">
        <v>#N/A N/A</v>
        <stp/>
        <stp>BDP|6766578406315348026</stp>
        <tr r="D488" s="2"/>
      </tp>
      <tp t="s">
        <v>#N/A N/A</v>
        <stp/>
        <stp>BDP|7399030244380437577</stp>
        <tr r="M222" s="2"/>
      </tp>
      <tp t="s">
        <v>#N/A N/A</v>
        <stp/>
        <stp>BDP|9640428145267186878</stp>
        <tr r="H406" s="2"/>
      </tp>
      <tp t="s">
        <v>#N/A N/A</v>
        <stp/>
        <stp>BDP|8284072221558341405</stp>
        <tr r="E895" s="2"/>
      </tp>
      <tp t="s">
        <v>#N/A N/A</v>
        <stp/>
        <stp>BDP|4110830451266617923</stp>
        <tr r="D190" s="2"/>
      </tp>
      <tp t="s">
        <v>#N/A N/A</v>
        <stp/>
        <stp>BDP|5677072722757423601</stp>
        <tr r="F1675" s="2"/>
      </tp>
      <tp t="s">
        <v>#N/A N/A</v>
        <stp/>
        <stp>BDP|4571015055417367051</stp>
        <tr r="H1686" s="2"/>
      </tp>
      <tp t="s">
        <v>#N/A N/A</v>
        <stp/>
        <stp>BDP|7555256506090869394</stp>
        <tr r="F896" s="2"/>
      </tp>
      <tp t="s">
        <v>#N/A N/A</v>
        <stp/>
        <stp>BDP|7611854654609566554</stp>
        <tr r="C859" s="2"/>
      </tp>
      <tp t="s">
        <v>#N/A N/A</v>
        <stp/>
        <stp>BDP|1338231975052076024</stp>
        <tr r="K1055" s="2"/>
      </tp>
      <tp t="s">
        <v>#N/A N/A</v>
        <stp/>
        <stp>BDP|3910144857452411391</stp>
        <tr r="A570" s="2"/>
      </tp>
      <tp t="s">
        <v>#N/A N/A</v>
        <stp/>
        <stp>BDP|7848295048221934671</stp>
        <tr r="E2171" s="2"/>
      </tp>
      <tp t="s">
        <v>#N/A N/A</v>
        <stp/>
        <stp>BDS|2291239579283704280</stp>
        <tr r="I1690" s="2"/>
      </tp>
      <tp t="s">
        <v>#N/A N/A</v>
        <stp/>
        <stp>BDP|6800597374953483166</stp>
        <tr r="O2053" s="2"/>
      </tp>
      <tp t="s">
        <v>#N/A N/A</v>
        <stp/>
        <stp>BDP|2245657658276912110</stp>
        <tr r="F586" s="2"/>
      </tp>
      <tp t="s">
        <v>#N/A N/A</v>
        <stp/>
        <stp>BDP|3886692364940777554</stp>
        <tr r="K1637" s="2"/>
      </tp>
      <tp t="s">
        <v>#N/A N/A</v>
        <stp/>
        <stp>BDP|4651339016769327979</stp>
        <tr r="R1539" s="2"/>
      </tp>
      <tp t="s">
        <v>#N/A N/A</v>
        <stp/>
        <stp>BDP|3917479328703985087</stp>
        <tr r="M1232" s="2"/>
      </tp>
      <tp t="s">
        <v>#N/A N/A</v>
        <stp/>
        <stp>BDP|2147370852183165123</stp>
        <tr r="C71" s="2"/>
      </tp>
      <tp t="s">
        <v>#N/A N/A</v>
        <stp/>
        <stp>BDP|8278681372596860975</stp>
        <tr r="O752" s="2"/>
      </tp>
      <tp t="s">
        <v>#N/A N/A</v>
        <stp/>
        <stp>BDP|9365363827537251975</stp>
        <tr r="H1606" s="2"/>
      </tp>
      <tp t="s">
        <v>#N/A N/A</v>
        <stp/>
        <stp>BDP|2040131969512440194</stp>
        <tr r="E1252" s="2"/>
      </tp>
      <tp t="s">
        <v>#N/A N/A</v>
        <stp/>
        <stp>BDP|3019610817115148704</stp>
        <tr r="T1149" s="2"/>
      </tp>
      <tp t="s">
        <v>#N/A N/A</v>
        <stp/>
        <stp>BDP|4537150693912138859</stp>
        <tr r="F1912" s="2"/>
      </tp>
      <tp t="s">
        <v>#N/A N/A</v>
        <stp/>
        <stp>BDP|7921645078587721750</stp>
        <tr r="Q1130" s="2"/>
      </tp>
      <tp t="s">
        <v>#N/A N/A</v>
        <stp/>
        <stp>BDP|4957657644034758487</stp>
        <tr r="G1140" s="2"/>
      </tp>
      <tp t="s">
        <v>#N/A N/A</v>
        <stp/>
        <stp>BDP|5452420181136654962</stp>
        <tr r="E1649" s="2"/>
      </tp>
      <tp t="s">
        <v>#N/A N/A</v>
        <stp/>
        <stp>BDP|3792217052902457071</stp>
        <tr r="M883" s="2"/>
      </tp>
      <tp t="s">
        <v>#N/A N/A</v>
        <stp/>
        <stp>BDP|7746722771965382404</stp>
        <tr r="O1487" s="2"/>
      </tp>
      <tp t="s">
        <v>#N/A N/A</v>
        <stp/>
        <stp>BDP|3578147595899686453</stp>
        <tr r="M748" s="2"/>
      </tp>
      <tp t="s">
        <v>#N/A N/A</v>
        <stp/>
        <stp>BDP|4132916529158630184</stp>
        <tr r="H1628" s="2"/>
      </tp>
      <tp t="s">
        <v>#N/A N/A</v>
        <stp/>
        <stp>BDP|3898916055330968929</stp>
        <tr r="S260" s="2"/>
      </tp>
      <tp t="s">
        <v>#N/A N/A</v>
        <stp/>
        <stp>BDP|4645534765779756801</stp>
        <tr r="H1977" s="2"/>
      </tp>
      <tp t="s">
        <v>#N/A N/A</v>
        <stp/>
        <stp>BDP|5781430146416762529</stp>
        <tr r="O1659" s="2"/>
      </tp>
      <tp t="s">
        <v>#N/A N/A</v>
        <stp/>
        <stp>BDP|9073161947289171370</stp>
        <tr r="E2223" s="2"/>
      </tp>
      <tp t="s">
        <v>#N/A N/A</v>
        <stp/>
        <stp>BDP|9278394557879394081</stp>
        <tr r="D667" s="2"/>
      </tp>
      <tp t="s">
        <v>#N/A N/A</v>
        <stp/>
        <stp>BDP|9217796699539318860</stp>
        <tr r="C1698" s="2"/>
      </tp>
      <tp t="s">
        <v>#N/A N/A</v>
        <stp/>
        <stp>BDP|4317789610016987252</stp>
        <tr r="H2072" s="2"/>
      </tp>
      <tp t="s">
        <v>#N/A N/A</v>
        <stp/>
        <stp>BDP|3060197659715037477</stp>
        <tr r="C1420" s="2"/>
      </tp>
      <tp t="s">
        <v>#N/A N/A</v>
        <stp/>
        <stp>BDP|7253245961407122214</stp>
        <tr r="T1879" s="2"/>
      </tp>
      <tp t="s">
        <v>#N/A N/A</v>
        <stp/>
        <stp>BDP|6395139665620421761</stp>
        <tr r="G1440" s="2"/>
      </tp>
      <tp t="s">
        <v>#N/A N/A</v>
        <stp/>
        <stp>BDP|8637080290711908601</stp>
        <tr r="P1450" s="2"/>
      </tp>
      <tp t="s">
        <v>#N/A N/A</v>
        <stp/>
        <stp>BDP|1066407099673668984</stp>
        <tr r="N351" s="2"/>
      </tp>
      <tp t="s">
        <v>#N/A N/A</v>
        <stp/>
        <stp>BDS|2101335613312612400</stp>
        <tr r="I1185" s="2"/>
      </tp>
      <tp t="s">
        <v>#N/A N/A</v>
        <stp/>
        <stp>BDP|1402374007600214417</stp>
        <tr r="D431" s="2"/>
      </tp>
      <tp t="s">
        <v>#N/A N/A</v>
        <stp/>
        <stp>BDP|1582485028878193938</stp>
        <tr r="O980" s="2"/>
      </tp>
      <tp t="s">
        <v>#N/A N/A</v>
        <stp/>
        <stp>BDP|4454014721555611551</stp>
        <tr r="C1926" s="2"/>
      </tp>
      <tp t="s">
        <v>#N/A N/A</v>
        <stp/>
        <stp>BDP|4408600894519163467</stp>
        <tr r="F674" s="2"/>
      </tp>
      <tp t="s">
        <v>#N/A N/A</v>
        <stp/>
        <stp>BDP|7668807355408256464</stp>
        <tr r="H741" s="2"/>
      </tp>
      <tp t="s">
        <v>#N/A N/A</v>
        <stp/>
        <stp>BDP|7650606611415819382</stp>
        <tr r="N1763" s="2"/>
      </tp>
      <tp t="s">
        <v>#N/A N/A</v>
        <stp/>
        <stp>BDP|3345287714603077585</stp>
        <tr r="K616" s="2"/>
      </tp>
      <tp t="s">
        <v>#N/A N/A</v>
        <stp/>
        <stp>BDP|9053936393759252656</stp>
        <tr r="R36" s="2"/>
      </tp>
      <tp t="s">
        <v>#N/A N/A</v>
        <stp/>
        <stp>BDP|2004353762010353131</stp>
        <tr r="F1502" s="2"/>
      </tp>
      <tp t="s">
        <v>#N/A N/A</v>
        <stp/>
        <stp>BDS|9503279322156548928</stp>
        <tr r="I258" s="2"/>
      </tp>
      <tp t="s">
        <v>#N/A N/A</v>
        <stp/>
        <stp>BDP|8271777924012222945</stp>
        <tr r="D1587" s="2"/>
      </tp>
      <tp t="s">
        <v>#N/A N/A</v>
        <stp/>
        <stp>BDP|7100879430888209237</stp>
        <tr r="H1749" s="2"/>
      </tp>
      <tp t="s">
        <v>#N/A N/A</v>
        <stp/>
        <stp>BDP|7132680255005227797</stp>
        <tr r="M610" s="2"/>
      </tp>
      <tp t="s">
        <v>#N/A N/A</v>
        <stp/>
        <stp>BDP|2530320324544155155</stp>
        <tr r="K112" s="2"/>
      </tp>
      <tp t="s">
        <v>#N/A N/A</v>
        <stp/>
        <stp>BDP|4429942898651716381</stp>
        <tr r="J1504" s="2"/>
      </tp>
      <tp t="s">
        <v>#N/A N/A</v>
        <stp/>
        <stp>BDP|5345375821091058322</stp>
        <tr r="O214" s="2"/>
      </tp>
      <tp t="s">
        <v>#N/A N/A</v>
        <stp/>
        <stp>BDP|6699580751870124095</stp>
        <tr r="N362" s="2"/>
      </tp>
      <tp t="s">
        <v>#N/A N/A</v>
        <stp/>
        <stp>BDP|6645044594081036815</stp>
        <tr r="R730" s="2"/>
      </tp>
      <tp t="s">
        <v>#N/A N/A</v>
        <stp/>
        <stp>BDP|5462071964702620764</stp>
        <tr r="D1749" s="2"/>
      </tp>
      <tp t="s">
        <v>#N/A N/A</v>
        <stp/>
        <stp>BDS|5903525479244478515</stp>
        <tr r="I2073" s="2"/>
      </tp>
      <tp t="s">
        <v>#N/A N/A</v>
        <stp/>
        <stp>BDP|9007804770930340070</stp>
        <tr r="S2224" s="2"/>
      </tp>
      <tp t="s">
        <v>#N/A N/A</v>
        <stp/>
        <stp>BDP|6639704705273294455</stp>
        <tr r="J480" s="2"/>
      </tp>
      <tp t="s">
        <v>#N/A N/A</v>
        <stp/>
        <stp>BDP|7720707933806577353</stp>
        <tr r="Q1561" s="2"/>
      </tp>
      <tp t="s">
        <v>#N/A N/A</v>
        <stp/>
        <stp>BDP|8373698480095765590</stp>
        <tr r="O1686" s="2"/>
      </tp>
      <tp t="s">
        <v>#N/A N/A</v>
        <stp/>
        <stp>BDP|5816948190724011787</stp>
        <tr r="J622" s="2"/>
      </tp>
      <tp t="s">
        <v>#N/A N/A</v>
        <stp/>
        <stp>BDP|3667692550312984427</stp>
        <tr r="R1620" s="2"/>
      </tp>
      <tp t="s">
        <v>#N/A N/A</v>
        <stp/>
        <stp>BDP|8094112389370437783</stp>
        <tr r="O926" s="2"/>
      </tp>
      <tp t="s">
        <v>#N/A N/A</v>
        <stp/>
        <stp>BDP|4406053277844521171</stp>
        <tr r="K2097" s="2"/>
      </tp>
      <tp t="s">
        <v>#N/A N/A</v>
        <stp/>
        <stp>BDP|6496734982279159602</stp>
        <tr r="A1192" s="2"/>
      </tp>
      <tp t="s">
        <v>#N/A N/A</v>
        <stp/>
        <stp>BDP|2585626219231858221</stp>
        <tr r="R2174" s="2"/>
      </tp>
      <tp t="s">
        <v>#N/A N/A</v>
        <stp/>
        <stp>BDP|7085239900160117369</stp>
        <tr r="N2223" s="2"/>
      </tp>
      <tp t="s">
        <v>#N/A N/A</v>
        <stp/>
        <stp>BDP|2117413938814575795</stp>
        <tr r="S816" s="2"/>
      </tp>
      <tp t="s">
        <v>#N/A N/A</v>
        <stp/>
        <stp>BDP|7561318997509403233</stp>
        <tr r="N1843" s="2"/>
      </tp>
      <tp t="s">
        <v>#N/A N/A</v>
        <stp/>
        <stp>BDP|5266856680346782540</stp>
        <tr r="P1802" s="2"/>
      </tp>
      <tp t="s">
        <v>#N/A N/A</v>
        <stp/>
        <stp>BDP|6624308174376175275</stp>
        <tr r="C1803" s="2"/>
      </tp>
      <tp t="s">
        <v>#N/A N/A</v>
        <stp/>
        <stp>BDP|1177220555908043821</stp>
        <tr r="G1315" s="2"/>
      </tp>
      <tp t="s">
        <v>#N/A N/A</v>
        <stp/>
        <stp>BDP|4335537589947567880</stp>
        <tr r="N940" s="2"/>
      </tp>
      <tp t="s">
        <v>#N/A N/A</v>
        <stp/>
        <stp>BDP|6440369778665722192</stp>
        <tr r="P1591" s="2"/>
      </tp>
      <tp t="s">
        <v>#N/A N/A</v>
        <stp/>
        <stp>BDP|4408151732046025678</stp>
        <tr r="N935" s="2"/>
      </tp>
      <tp t="s">
        <v>#N/A N/A</v>
        <stp/>
        <stp>BDP|8375406676154198902</stp>
        <tr r="F1774" s="2"/>
      </tp>
      <tp t="s">
        <v>#N/A N/A</v>
        <stp/>
        <stp>BDP|2401678827259953994</stp>
        <tr r="T1177" s="2"/>
      </tp>
      <tp t="s">
        <v>#N/A N/A</v>
        <stp/>
        <stp>BDP|8693632427772258842</stp>
        <tr r="G884" s="2"/>
      </tp>
      <tp t="s">
        <v>#N/A N/A</v>
        <stp/>
        <stp>BDP|5284271623721639246</stp>
        <tr r="T293" s="2"/>
      </tp>
      <tp t="s">
        <v>#N/A N/A</v>
        <stp/>
        <stp>BDP|7361459942641235021</stp>
        <tr r="S1389" s="2"/>
      </tp>
      <tp t="s">
        <v>#N/A N/A</v>
        <stp/>
        <stp>BDP|4878827504588995236</stp>
        <tr r="O113" s="2"/>
      </tp>
      <tp t="s">
        <v>#N/A N/A</v>
        <stp/>
        <stp>BDP|4166623707976268220</stp>
        <tr r="J145" s="2"/>
      </tp>
      <tp t="s">
        <v>#N/A N/A</v>
        <stp/>
        <stp>BDP|4579652169946503486</stp>
        <tr r="T479" s="2"/>
      </tp>
      <tp t="s">
        <v>#N/A N/A</v>
        <stp/>
        <stp>BDP|3206211567859712875</stp>
        <tr r="A2131" s="2"/>
      </tp>
      <tp t="s">
        <v>#N/A N/A</v>
        <stp/>
        <stp>BDP|8999484377465228806</stp>
        <tr r="G464" s="2"/>
      </tp>
      <tp t="s">
        <v>#N/A N/A</v>
        <stp/>
        <stp>BDP|9217978159751060285</stp>
        <tr r="O954" s="2"/>
      </tp>
      <tp t="s">
        <v>#N/A N/A</v>
        <stp/>
        <stp>BDP|7059161234637396456</stp>
        <tr r="K866" s="2"/>
      </tp>
      <tp t="s">
        <v>#N/A N/A</v>
        <stp/>
        <stp>BDP|5149745138841059690</stp>
        <tr r="Q967" s="2"/>
      </tp>
      <tp t="s">
        <v>#N/A N/A</v>
        <stp/>
        <stp>BDP|4622101820841419066</stp>
        <tr r="P1732" s="2"/>
      </tp>
      <tp t="s">
        <v>#N/A N/A</v>
        <stp/>
        <stp>BDP|1852671218058798841</stp>
        <tr r="H1574" s="2"/>
      </tp>
      <tp t="s">
        <v>#N/A N/A</v>
        <stp/>
        <stp>BDP|4812006859880406710</stp>
        <tr r="S1725" s="2"/>
      </tp>
      <tp t="s">
        <v>#N/A N/A</v>
        <stp/>
        <stp>BDP|5741395625803822174</stp>
        <tr r="F642" s="2"/>
      </tp>
      <tp t="s">
        <v>#N/A N/A</v>
        <stp/>
        <stp>BDP|6604275837620798155</stp>
        <tr r="S1832" s="2"/>
      </tp>
      <tp t="s">
        <v>#N/A N/A</v>
        <stp/>
        <stp>BDP|8680820079250144181</stp>
        <tr r="R613" s="2"/>
      </tp>
      <tp t="s">
        <v>#N/A N/A</v>
        <stp/>
        <stp>BDP|8510677784978353815</stp>
        <tr r="S1953" s="2"/>
      </tp>
      <tp t="s">
        <v>#N/A N/A</v>
        <stp/>
        <stp>BDP|6554526140712233319</stp>
        <tr r="T5" s="2"/>
      </tp>
      <tp t="s">
        <v>#N/A N/A</v>
        <stp/>
        <stp>BDP|4827169688522693949</stp>
        <tr r="C1706" s="2"/>
      </tp>
      <tp t="s">
        <v>#N/A N/A</v>
        <stp/>
        <stp>BDP|7273341073951384429</stp>
        <tr r="J129" s="2"/>
      </tp>
      <tp t="s">
        <v>#N/A N/A</v>
        <stp/>
        <stp>BDP|8677937739611113599</stp>
        <tr r="O1534" s="2"/>
      </tp>
      <tp t="s">
        <v>#N/A N/A</v>
        <stp/>
        <stp>BDP|3548612906553757018</stp>
        <tr r="M1773" s="2"/>
      </tp>
      <tp t="s">
        <v>#N/A N/A</v>
        <stp/>
        <stp>BDP|7578166996299497054</stp>
        <tr r="R1042" s="2"/>
      </tp>
      <tp t="s">
        <v>#N/A N/A</v>
        <stp/>
        <stp>BDP|6748516162455215629</stp>
        <tr r="Q106" s="2"/>
      </tp>
      <tp t="s">
        <v>#N/A N/A</v>
        <stp/>
        <stp>BDP|8681479763595486922</stp>
        <tr r="A1380" s="2"/>
      </tp>
      <tp t="s">
        <v>#N/A N/A</v>
        <stp/>
        <stp>BDS|1341984708129530720</stp>
        <tr r="I1968" s="2"/>
      </tp>
      <tp t="s">
        <v>#N/A N/A</v>
        <stp/>
        <stp>BDS|7360110401362202257</stp>
        <tr r="I806" s="2"/>
      </tp>
      <tp t="s">
        <v>#N/A N/A</v>
        <stp/>
        <stp>BDP|6557210650115232226</stp>
        <tr r="P997" s="2"/>
      </tp>
      <tp t="s">
        <v>#N/A N/A</v>
        <stp/>
        <stp>BDP|6586614862650429069</stp>
        <tr r="S1789" s="2"/>
      </tp>
      <tp t="s">
        <v>#N/A N/A</v>
        <stp/>
        <stp>BDP|6104315857420006630</stp>
        <tr r="D1103" s="2"/>
      </tp>
      <tp t="s">
        <v>#N/A N/A</v>
        <stp/>
        <stp>BDP|1262836502736721905</stp>
        <tr r="J853" s="2"/>
      </tp>
      <tp t="s">
        <v>#N/A N/A</v>
        <stp/>
        <stp>BDP|4057432977068558952</stp>
        <tr r="G1191" s="2"/>
      </tp>
      <tp t="s">
        <v>#N/A N/A</v>
        <stp/>
        <stp>BDP|5008776222837099117</stp>
        <tr r="D1365" s="2"/>
      </tp>
      <tp t="s">
        <v>#N/A N/A</v>
        <stp/>
        <stp>BDP|8137896588577594919</stp>
        <tr r="S1712" s="2"/>
      </tp>
      <tp t="s">
        <v>#N/A N/A</v>
        <stp/>
        <stp>BDP|5048681579931796325</stp>
        <tr r="E1846" s="2"/>
      </tp>
      <tp t="s">
        <v>#N/A N/A</v>
        <stp/>
        <stp>BDP|4323752520793546473</stp>
        <tr r="J444" s="2"/>
      </tp>
      <tp t="s">
        <v>#N/A N/A</v>
        <stp/>
        <stp>BDP|5557247492009369144</stp>
        <tr r="O259" s="2"/>
      </tp>
      <tp t="s">
        <v>#N/A N/A</v>
        <stp/>
        <stp>BDP|6492182678631682766</stp>
        <tr r="F611" s="2"/>
      </tp>
      <tp t="s">
        <v>#N/A N/A</v>
        <stp/>
        <stp>BDP|8973224095775921035</stp>
        <tr r="G1218" s="2"/>
      </tp>
      <tp t="s">
        <v>#N/A N/A</v>
        <stp/>
        <stp>BDP|7351485734093338580</stp>
        <tr r="R729" s="2"/>
      </tp>
      <tp t="s">
        <v>#N/A N/A</v>
        <stp/>
        <stp>BDP|5740476865680870190</stp>
        <tr r="J505" s="2"/>
      </tp>
      <tp t="s">
        <v>#N/A N/A</v>
        <stp/>
        <stp>BDP|5690172537135307419</stp>
        <tr r="D303" s="2"/>
      </tp>
      <tp t="s">
        <v>#N/A N/A</v>
        <stp/>
        <stp>BDP|6488844872987759813</stp>
        <tr r="J1225" s="2"/>
      </tp>
      <tp t="s">
        <v>#N/A N/A</v>
        <stp/>
        <stp>BDP|6508216776180764512</stp>
        <tr r="J908" s="2"/>
      </tp>
      <tp t="s">
        <v>#N/A N/A</v>
        <stp/>
        <stp>BDP|1740712261485123323</stp>
        <tr r="S1706" s="2"/>
      </tp>
      <tp t="s">
        <v>#N/A N/A</v>
        <stp/>
        <stp>BDP|6021866793589477855</stp>
        <tr r="N1566" s="2"/>
      </tp>
      <tp t="s">
        <v>#N/A N/A</v>
        <stp/>
        <stp>BDP|1547447860134057154</stp>
        <tr r="E1851" s="2"/>
      </tp>
      <tp t="s">
        <v>#N/A N/A</v>
        <stp/>
        <stp>BDP|2453243359127909444</stp>
        <tr r="H36" s="2"/>
      </tp>
      <tp t="s">
        <v>#N/A N/A</v>
        <stp/>
        <stp>BDP|2641270276244251511</stp>
        <tr r="E1970" s="2"/>
      </tp>
      <tp t="s">
        <v>#N/A N/A</v>
        <stp/>
        <stp>BDP|4933074662152976613</stp>
        <tr r="C124" s="2"/>
      </tp>
      <tp t="s">
        <v>#N/A N/A</v>
        <stp/>
        <stp>BDP|2567898097834848170</stp>
        <tr r="N1844" s="2"/>
      </tp>
      <tp t="s">
        <v>#N/A N/A</v>
        <stp/>
        <stp>BDP|4536450116390426760</stp>
        <tr r="J1740" s="2"/>
      </tp>
      <tp t="s">
        <v>#N/A N/A</v>
        <stp/>
        <stp>BDP|1360450431646145621</stp>
        <tr r="R4" s="2"/>
      </tp>
      <tp t="s">
        <v>#N/A N/A</v>
        <stp/>
        <stp>BDS|4741425265338426806</stp>
        <tr r="I829" s="2"/>
      </tp>
      <tp t="s">
        <v>#N/A N/A</v>
        <stp/>
        <stp>BDP|1224722837222639154</stp>
        <tr r="N1923" s="2"/>
      </tp>
      <tp t="s">
        <v>#N/A N/A</v>
        <stp/>
        <stp>BDP|4516150309313874050</stp>
        <tr r="N1808" s="2"/>
      </tp>
      <tp t="s">
        <v>#N/A N/A</v>
        <stp/>
        <stp>BDP|7528090309077815696</stp>
        <tr r="F1895" s="2"/>
      </tp>
      <tp t="s">
        <v>#N/A N/A</v>
        <stp/>
        <stp>BDS|2428369472827317774</stp>
        <tr r="I525" s="2"/>
      </tp>
      <tp t="s">
        <v>#N/A N/A</v>
        <stp/>
        <stp>BDP|6976965782423157287</stp>
        <tr r="S2162" s="2"/>
      </tp>
      <tp t="s">
        <v>#N/A N/A</v>
        <stp/>
        <stp>BDP|2770222160173363326</stp>
        <tr r="E2243" s="2"/>
      </tp>
      <tp t="s">
        <v>#N/A N/A</v>
        <stp/>
        <stp>BDP|4133678514630000569</stp>
        <tr r="J503" s="2"/>
      </tp>
      <tp t="s">
        <v>#N/A N/A</v>
        <stp/>
        <stp>BDP|6410223613482459157</stp>
        <tr r="S1843" s="2"/>
      </tp>
      <tp t="s">
        <v>#N/A N/A</v>
        <stp/>
        <stp>BDP|3720414300657716655</stp>
        <tr r="D593" s="2"/>
      </tp>
      <tp t="s">
        <v>#N/A N/A</v>
        <stp/>
        <stp>BDP|9724996962095037583</stp>
        <tr r="R451" s="2"/>
      </tp>
      <tp t="s">
        <v>#N/A N/A</v>
        <stp/>
        <stp>BDP|1947640120423979003</stp>
        <tr r="H348" s="2"/>
      </tp>
      <tp t="s">
        <v>#N/A N/A</v>
        <stp/>
        <stp>BDP|2503977936876130818</stp>
        <tr r="T379" s="2"/>
      </tp>
      <tp t="s">
        <v>#N/A N/A</v>
        <stp/>
        <stp>BDP|4457126993783322921</stp>
        <tr r="A1217" s="2"/>
      </tp>
      <tp t="s">
        <v>#N/A N/A</v>
        <stp/>
        <stp>BDP|7612801559668914420</stp>
        <tr r="O1284" s="2"/>
      </tp>
      <tp t="s">
        <v>#N/A N/A</v>
        <stp/>
        <stp>BDP|2825652256177646092</stp>
        <tr r="K1891" s="2"/>
      </tp>
      <tp t="s">
        <v>#N/A N/A</v>
        <stp/>
        <stp>BDP|5539362603141449103</stp>
        <tr r="K1453" s="2"/>
      </tp>
      <tp t="s">
        <v>#N/A N/A</v>
        <stp/>
        <stp>BDP|7605835692397786749</stp>
        <tr r="G1767" s="2"/>
      </tp>
      <tp t="s">
        <v>#N/A N/A</v>
        <stp/>
        <stp>BDP|7439631267467623623</stp>
        <tr r="F1646" s="2"/>
      </tp>
      <tp t="s">
        <v>#N/A N/A</v>
        <stp/>
        <stp>BDP|4429677828894997263</stp>
        <tr r="P1966" s="2"/>
      </tp>
      <tp t="s">
        <v>#N/A N/A</v>
        <stp/>
        <stp>BDP|4050762448347918632</stp>
        <tr r="E1181" s="2"/>
      </tp>
      <tp t="s">
        <v>#N/A N/A</v>
        <stp/>
        <stp>BDP|4735922495586430400</stp>
        <tr r="C170" s="2"/>
      </tp>
      <tp t="s">
        <v>#N/A N/A</v>
        <stp/>
        <stp>BDP|8461333984414020174</stp>
        <tr r="C2098" s="2"/>
      </tp>
      <tp t="s">
        <v>#N/A N/A</v>
        <stp/>
        <stp>BDP|4679946486651063206</stp>
        <tr r="G111" s="2"/>
      </tp>
      <tp t="s">
        <v>#N/A N/A</v>
        <stp/>
        <stp>BDP|9151982284568143680</stp>
        <tr r="F1213" s="2"/>
      </tp>
      <tp t="s">
        <v>#N/A N/A</v>
        <stp/>
        <stp>BDP|7009847297156229652</stp>
        <tr r="H1259" s="2"/>
      </tp>
      <tp t="s">
        <v>#N/A N/A</v>
        <stp/>
        <stp>BDP|9355657923548069317</stp>
        <tr r="O93" s="2"/>
      </tp>
      <tp t="s">
        <v>#N/A N/A</v>
        <stp/>
        <stp>BDP|8309071180222828487</stp>
        <tr r="D2055" s="2"/>
      </tp>
      <tp t="s">
        <v>#N/A N/A</v>
        <stp/>
        <stp>BDP|8415632186522224272</stp>
        <tr r="D1907" s="2"/>
      </tp>
      <tp t="s">
        <v>#N/A N/A</v>
        <stp/>
        <stp>BDP|2359871660152406843</stp>
        <tr r="Q332" s="2"/>
      </tp>
      <tp t="s">
        <v>#N/A N/A</v>
        <stp/>
        <stp>BDP|9375118005087687951</stp>
        <tr r="S1703" s="2"/>
      </tp>
      <tp t="s">
        <v>#N/A N/A</v>
        <stp/>
        <stp>BDP|2096904261798446318</stp>
        <tr r="O2050" s="2"/>
      </tp>
      <tp t="s">
        <v>#N/A N/A</v>
        <stp/>
        <stp>BDP|1342913295395349219</stp>
        <tr r="G693" s="2"/>
      </tp>
      <tp t="s">
        <v>#N/A N/A</v>
        <stp/>
        <stp>BDP|3734624706607593431</stp>
        <tr r="S26" s="2"/>
      </tp>
      <tp t="s">
        <v>#N/A N/A</v>
        <stp/>
        <stp>BDP|8368084015028294792</stp>
        <tr r="D444" s="2"/>
      </tp>
      <tp t="s">
        <v>#N/A N/A</v>
        <stp/>
        <stp>BDP|7600747877840004106</stp>
        <tr r="E279" s="2"/>
      </tp>
      <tp t="s">
        <v>#N/A N/A</v>
        <stp/>
        <stp>BDP|9136458362475139825</stp>
        <tr r="N300" s="2"/>
      </tp>
      <tp t="s">
        <v>#N/A N/A</v>
        <stp/>
        <stp>BDP|7664735662065420569</stp>
        <tr r="J812" s="2"/>
      </tp>
      <tp t="s">
        <v>#N/A N/A</v>
        <stp/>
        <stp>BDP|7612844877859718774</stp>
        <tr r="K1340" s="2"/>
      </tp>
      <tp t="s">
        <v>#N/A N/A</v>
        <stp/>
        <stp>BDP|2787206246535156756</stp>
        <tr r="H1640" s="2"/>
      </tp>
      <tp t="s">
        <v>#N/A N/A</v>
        <stp/>
        <stp>BDS|1321834055042645869</stp>
        <tr r="I1426" s="2"/>
      </tp>
      <tp t="s">
        <v>#N/A N/A</v>
        <stp/>
        <stp>BDP|3983739198253634818</stp>
        <tr r="O1883" s="2"/>
      </tp>
      <tp t="s">
        <v>#N/A N/A</v>
        <stp/>
        <stp>BDP|2292409035693485066</stp>
        <tr r="J1263" s="2"/>
      </tp>
      <tp t="s">
        <v>#N/A N/A</v>
        <stp/>
        <stp>BDP|5002623232967139141</stp>
        <tr r="A356" s="2"/>
      </tp>
      <tp t="s">
        <v>#N/A N/A</v>
        <stp/>
        <stp>BDP|7569485168043799071</stp>
        <tr r="O1990" s="2"/>
      </tp>
      <tp t="s">
        <v>#N/A N/A</v>
        <stp/>
        <stp>BDP|5790055003612187159</stp>
        <tr r="A1808" s="2"/>
      </tp>
      <tp t="s">
        <v>#N/A N/A</v>
        <stp/>
        <stp>BDP|3452628210634403670</stp>
        <tr r="R1509" s="2"/>
      </tp>
      <tp t="s">
        <v>#N/A N/A</v>
        <stp/>
        <stp>BDP|2224107451814510437</stp>
        <tr r="H919" s="2"/>
      </tp>
      <tp t="s">
        <v>#N/A N/A</v>
        <stp/>
        <stp>BDP|4363411355492294101</stp>
        <tr r="M789" s="2"/>
      </tp>
      <tp t="s">
        <v>#N/A N/A</v>
        <stp/>
        <stp>BDP|5709453606135002219</stp>
        <tr r="C799" s="2"/>
      </tp>
      <tp t="s">
        <v>#N/A N/A</v>
        <stp/>
        <stp>BDP|9418073363801462817</stp>
        <tr r="D2083" s="2"/>
      </tp>
      <tp t="s">
        <v>#N/A N/A</v>
        <stp/>
        <stp>BDP|2064170724877753011</stp>
        <tr r="O124" s="2"/>
      </tp>
      <tp t="s">
        <v>#N/A N/A</v>
        <stp/>
        <stp>BDP|8362699342004941841</stp>
        <tr r="O1166" s="2"/>
      </tp>
      <tp t="s">
        <v>#N/A N/A</v>
        <stp/>
        <stp>BDP|1615910931225390800</stp>
        <tr r="J1619" s="2"/>
      </tp>
      <tp t="s">
        <v>#N/A N/A</v>
        <stp/>
        <stp>BDP|6005765052567387525</stp>
        <tr r="J1914" s="2"/>
      </tp>
      <tp t="s">
        <v>#N/A N/A</v>
        <stp/>
        <stp>BDP|1247024738861910544</stp>
        <tr r="D47" s="2"/>
      </tp>
      <tp t="s">
        <v>#N/A N/A</v>
        <stp/>
        <stp>BDP|6783707441364602751</stp>
        <tr r="N1828" s="2"/>
      </tp>
      <tp t="s">
        <v>#N/A N/A</v>
        <stp/>
        <stp>BDP|1133137868157692791</stp>
        <tr r="A2025" s="2"/>
      </tp>
      <tp t="s">
        <v>#N/A N/A</v>
        <stp/>
        <stp>BDP|3185292368998594907</stp>
        <tr r="P777" s="2"/>
      </tp>
      <tp t="s">
        <v>#N/A N/A</v>
        <stp/>
        <stp>BDP|2871641423913901333</stp>
        <tr r="E1772" s="2"/>
      </tp>
      <tp t="s">
        <v>#N/A N/A</v>
        <stp/>
        <stp>BDP|5604747358425784487</stp>
        <tr r="F979" s="2"/>
      </tp>
      <tp t="s">
        <v>#N/A N/A</v>
        <stp/>
        <stp>BDP|4546485738556219329</stp>
        <tr r="O1279" s="2"/>
      </tp>
      <tp t="s">
        <v>#N/A N/A</v>
        <stp/>
        <stp>BDP|6494403067956655409</stp>
        <tr r="H1071" s="2"/>
      </tp>
      <tp t="s">
        <v>#N/A N/A</v>
        <stp/>
        <stp>BDP|6043087273817873063</stp>
        <tr r="N1015" s="2"/>
      </tp>
      <tp t="s">
        <v>#N/A N/A</v>
        <stp/>
        <stp>BDP|6442612592696471968</stp>
        <tr r="T927" s="2"/>
      </tp>
      <tp t="s">
        <v>#N/A N/A</v>
        <stp/>
        <stp>BDP|4013323152580011459</stp>
        <tr r="R893" s="2"/>
      </tp>
      <tp t="s">
        <v>#N/A N/A</v>
        <stp/>
        <stp>BDP|1377646472963220524</stp>
        <tr r="C555" s="2"/>
      </tp>
      <tp t="s">
        <v>#N/A N/A</v>
        <stp/>
        <stp>BDP|5421465312332186442</stp>
        <tr r="S1759" s="2"/>
      </tp>
      <tp t="s">
        <v>#N/A N/A</v>
        <stp/>
        <stp>BDP|5280687449742671301</stp>
        <tr r="A1042" s="2"/>
      </tp>
      <tp t="s">
        <v>#N/A N/A</v>
        <stp/>
        <stp>BDP|9733551766025544948</stp>
        <tr r="M916" s="2"/>
      </tp>
      <tp t="s">
        <v>#N/A N/A</v>
        <stp/>
        <stp>BDP|1177050093688293606</stp>
        <tr r="M1495" s="2"/>
      </tp>
      <tp t="s">
        <v>#N/A N/A</v>
        <stp/>
        <stp>BDP|6239654363485899594</stp>
        <tr r="D439" s="2"/>
      </tp>
      <tp t="s">
        <v>#N/A N/A</v>
        <stp/>
        <stp>BDP|4224583338321650516</stp>
        <tr r="E883" s="2"/>
      </tp>
      <tp t="s">
        <v>#N/A N/A</v>
        <stp/>
        <stp>BDP|5512725379063261093</stp>
        <tr r="T726" s="2"/>
      </tp>
      <tp t="s">
        <v>#N/A N/A</v>
        <stp/>
        <stp>BDP|7757565304247133310</stp>
        <tr r="S1561" s="2"/>
      </tp>
      <tp t="s">
        <v>#N/A N/A</v>
        <stp/>
        <stp>BDP|8250252581283413775</stp>
        <tr r="Q2033" s="2"/>
      </tp>
      <tp t="s">
        <v>#N/A N/A</v>
        <stp/>
        <stp>BDP|4136371599738232086</stp>
        <tr r="M1914" s="2"/>
      </tp>
      <tp t="s">
        <v>#N/A N/A</v>
        <stp/>
        <stp>BDP|1916445710651027380</stp>
        <tr r="M1161" s="2"/>
      </tp>
      <tp t="s">
        <v>#N/A N/A</v>
        <stp/>
        <stp>BDP|4520998027589965079</stp>
        <tr r="Q594" s="2"/>
      </tp>
      <tp t="s">
        <v>#N/A N/A</v>
        <stp/>
        <stp>BDP|4621507356596744424</stp>
        <tr r="N1641" s="2"/>
      </tp>
      <tp t="s">
        <v>#N/A N/A</v>
        <stp/>
        <stp>BDP|3031565949933290786</stp>
        <tr r="P2156" s="2"/>
      </tp>
      <tp t="s">
        <v>#N/A N/A</v>
        <stp/>
        <stp>BDP|6133841046175012961</stp>
        <tr r="J690" s="2"/>
      </tp>
      <tp t="s">
        <v>#N/A N/A</v>
        <stp/>
        <stp>BDP|3532393229241539552</stp>
        <tr r="E144" s="2"/>
      </tp>
      <tp t="s">
        <v>#N/A N/A</v>
        <stp/>
        <stp>BDP|4890275815247853678</stp>
        <tr r="S2219" s="2"/>
      </tp>
      <tp t="s">
        <v>#N/A N/A</v>
        <stp/>
        <stp>BDP|8144571531781743955</stp>
        <tr r="S1815" s="2"/>
      </tp>
      <tp t="s">
        <v>#N/A N/A</v>
        <stp/>
        <stp>BDP|5866261056800883455</stp>
        <tr r="C1696" s="2"/>
      </tp>
      <tp t="s">
        <v>#N/A N/A</v>
        <stp/>
        <stp>BDP|1167101364204643463</stp>
        <tr r="N918" s="2"/>
      </tp>
      <tp t="s">
        <v>#N/A N/A</v>
        <stp/>
        <stp>BDP|1642332241138324827</stp>
        <tr r="H1123" s="2"/>
      </tp>
      <tp t="s">
        <v>#N/A N/A</v>
        <stp/>
        <stp>BDP|4818004060580547486</stp>
        <tr r="M498" s="2"/>
      </tp>
      <tp t="s">
        <v>#N/A N/A</v>
        <stp/>
        <stp>BDP|4308641941264679456</stp>
        <tr r="G1739" s="2"/>
      </tp>
      <tp t="s">
        <v>#N/A N/A</v>
        <stp/>
        <stp>BDP|9183054865870202966</stp>
        <tr r="E567" s="2"/>
      </tp>
      <tp t="s">
        <v>#N/A N/A</v>
        <stp/>
        <stp>BDP|7062726482697037957</stp>
        <tr r="D1323" s="2"/>
      </tp>
      <tp t="s">
        <v>#N/A N/A</v>
        <stp/>
        <stp>BDP|8763437617569716210</stp>
        <tr r="P1050" s="2"/>
      </tp>
      <tp t="s">
        <v>#N/A N/A</v>
        <stp/>
        <stp>BDP|4724000386649462307</stp>
        <tr r="N1005" s="2"/>
      </tp>
      <tp t="s">
        <v>#N/A N/A</v>
        <stp/>
        <stp>BDP|9949394662002041871</stp>
        <tr r="S1828" s="2"/>
      </tp>
      <tp t="s">
        <v>#N/A N/A</v>
        <stp/>
        <stp>BDP|5246414346131632266</stp>
        <tr r="K590" s="2"/>
      </tp>
      <tp t="s">
        <v>#N/A N/A</v>
        <stp/>
        <stp>BDP|1031290171502541086</stp>
        <tr r="E1316" s="2"/>
      </tp>
      <tp t="s">
        <v>#N/A N/A</v>
        <stp/>
        <stp>BDP|9300727499819827859</stp>
        <tr r="O2217" s="2"/>
      </tp>
      <tp t="s">
        <v>#N/A N/A</v>
        <stp/>
        <stp>BDP|4815218737203950029</stp>
        <tr r="H302" s="2"/>
      </tp>
      <tp t="s">
        <v>#N/A N/A</v>
        <stp/>
        <stp>BDP|7878657338206108215</stp>
        <tr r="Q1699" s="2"/>
      </tp>
      <tp t="s">
        <v>#N/A N/A</v>
        <stp/>
        <stp>BDP|9546416005429367277</stp>
        <tr r="E135" s="2"/>
      </tp>
      <tp t="s">
        <v>#N/A N/A</v>
        <stp/>
        <stp>BDP|2137068066997715534</stp>
        <tr r="O771" s="2"/>
      </tp>
      <tp t="s">
        <v>#N/A N/A</v>
        <stp/>
        <stp>BDP|8506747439362431891</stp>
        <tr r="H2099" s="2"/>
      </tp>
      <tp t="s">
        <v>#N/A N/A</v>
        <stp/>
        <stp>BDP|6812124914293855334</stp>
        <tr r="D5" s="2"/>
      </tp>
      <tp t="s">
        <v>#N/A N/A</v>
        <stp/>
        <stp>BDP|5560236482040131905</stp>
        <tr r="P1309" s="2"/>
      </tp>
      <tp t="s">
        <v>#N/A N/A</v>
        <stp/>
        <stp>BDP|2173883082924738098</stp>
        <tr r="D1583" s="2"/>
      </tp>
      <tp t="s">
        <v>#N/A N/A</v>
        <stp/>
        <stp>BDP|4567537874163650313</stp>
        <tr r="P2257" s="2"/>
      </tp>
      <tp t="s">
        <v>#N/A N/A</v>
        <stp/>
        <stp>BDP|8543238597845048046</stp>
        <tr r="C158" s="2"/>
      </tp>
      <tp t="s">
        <v>#N/A N/A</v>
        <stp/>
        <stp>BDP|9954656305811271915</stp>
        <tr r="A1469" s="2"/>
      </tp>
      <tp t="s">
        <v>#N/A N/A</v>
        <stp/>
        <stp>BDP|7356947450164824858</stp>
        <tr r="O822" s="2"/>
      </tp>
      <tp t="s">
        <v>#N/A N/A</v>
        <stp/>
        <stp>BDP|5611435663859950950</stp>
        <tr r="C194" s="2"/>
      </tp>
      <tp t="s">
        <v>#N/A N/A</v>
        <stp/>
        <stp>BDP|7074928490716059684</stp>
        <tr r="P1503" s="2"/>
      </tp>
      <tp t="s">
        <v>#N/A N/A</v>
        <stp/>
        <stp>BDP|4990398189939566166</stp>
        <tr r="R2162" s="2"/>
      </tp>
      <tp t="s">
        <v>#N/A N/A</v>
        <stp/>
        <stp>BDP|8019908570697901637</stp>
        <tr r="T1949" s="2"/>
      </tp>
      <tp t="s">
        <v>#N/A N/A</v>
        <stp/>
        <stp>BDP|3937698628121224100</stp>
        <tr r="A1855" s="2"/>
      </tp>
      <tp t="s">
        <v>#N/A N/A</v>
        <stp/>
        <stp>BDP|2205474388248082176</stp>
        <tr r="O138" s="2"/>
      </tp>
      <tp t="s">
        <v>#N/A N/A</v>
        <stp/>
        <stp>BDP|6135264659237050148</stp>
        <tr r="S988" s="2"/>
      </tp>
      <tp t="s">
        <v>#N/A N/A</v>
        <stp/>
        <stp>BDP|2457392756845517646</stp>
        <tr r="T805" s="2"/>
      </tp>
      <tp t="s">
        <v>#N/A N/A</v>
        <stp/>
        <stp>BDP|5041817910242910928</stp>
        <tr r="D474" s="2"/>
      </tp>
      <tp t="s">
        <v>#N/A N/A</v>
        <stp/>
        <stp>BDP|9382780494524449411</stp>
        <tr r="G876" s="2"/>
      </tp>
      <tp t="s">
        <v>#N/A N/A</v>
        <stp/>
        <stp>BDP|6352596324670389675</stp>
        <tr r="R511" s="2"/>
      </tp>
      <tp t="s">
        <v>#N/A N/A</v>
        <stp/>
        <stp>BDP|3794846954360833957</stp>
        <tr r="P1465" s="2"/>
      </tp>
      <tp t="s">
        <v>#N/A N/A</v>
        <stp/>
        <stp>BDP|9887108043903046816</stp>
        <tr r="D1588" s="2"/>
      </tp>
      <tp t="s">
        <v>#N/A N/A</v>
        <stp/>
        <stp>BDS|5586905734149907124</stp>
        <tr r="I1541" s="2"/>
      </tp>
      <tp t="s">
        <v>#N/A N/A</v>
        <stp/>
        <stp>BDP|7907267746102443479</stp>
        <tr r="N982" s="2"/>
      </tp>
      <tp t="s">
        <v>#N/A N/A</v>
        <stp/>
        <stp>BDP|4519082929186984770</stp>
        <tr r="E390" s="2"/>
      </tp>
      <tp t="s">
        <v>#N/A N/A</v>
        <stp/>
        <stp>BDP|9755667649098706458</stp>
        <tr r="N1957" s="2"/>
      </tp>
      <tp t="s">
        <v>#N/A N/A</v>
        <stp/>
        <stp>BDP|4173408606502415596</stp>
        <tr r="Q2068" s="2"/>
      </tp>
      <tp t="s">
        <v>#N/A N/A</v>
        <stp/>
        <stp>BDP|7434208575317974223</stp>
        <tr r="D1330" s="2"/>
      </tp>
      <tp t="s">
        <v>#N/A N/A</v>
        <stp/>
        <stp>BDP|7924184677236505098</stp>
        <tr r="M100" s="2"/>
      </tp>
      <tp t="s">
        <v>#N/A N/A</v>
        <stp/>
        <stp>BDP|9927736783372625359</stp>
        <tr r="G1247" s="2"/>
      </tp>
      <tp t="s">
        <v>#N/A N/A</v>
        <stp/>
        <stp>BDP|5451737120052499597</stp>
        <tr r="H381" s="2"/>
      </tp>
      <tp t="s">
        <v>#N/A N/A</v>
        <stp/>
        <stp>BDP|3774083904494759069</stp>
        <tr r="G2101" s="2"/>
      </tp>
      <tp t="s">
        <v>#N/A N/A</v>
        <stp/>
        <stp>BDP|6412473856201780184</stp>
        <tr r="F175" s="2"/>
      </tp>
      <tp t="s">
        <v>#N/A N/A</v>
        <stp/>
        <stp>BDP|5223381161596892190</stp>
        <tr r="T397" s="2"/>
      </tp>
      <tp t="s">
        <v>#N/A N/A</v>
        <stp/>
        <stp>BDP|2967597795921777881</stp>
        <tr r="J116" s="2"/>
      </tp>
      <tp t="s">
        <v>#N/A N/A</v>
        <stp/>
        <stp>BDP|5780691752348406924</stp>
        <tr r="F1604" s="2"/>
      </tp>
      <tp t="s">
        <v>#N/A N/A</v>
        <stp/>
        <stp>BDP|3545499823687746521</stp>
        <tr r="A21" s="2"/>
      </tp>
      <tp t="s">
        <v>#N/A N/A</v>
        <stp/>
        <stp>BDP|6803120443717019338</stp>
        <tr r="G824" s="2"/>
      </tp>
      <tp t="s">
        <v>#N/A N/A</v>
        <stp/>
        <stp>BDP|5158248477352160596</stp>
        <tr r="T423" s="2"/>
      </tp>
      <tp t="s">
        <v>#N/A N/A</v>
        <stp/>
        <stp>BDP|5392408712066254195</stp>
        <tr r="H465" s="2"/>
      </tp>
      <tp t="s">
        <v>#N/A N/A</v>
        <stp/>
        <stp>BDP|8266674081401865061</stp>
        <tr r="S468" s="2"/>
      </tp>
      <tp t="s">
        <v>#N/A N/A</v>
        <stp/>
        <stp>BDP|7340176965186957126</stp>
        <tr r="G1884" s="2"/>
      </tp>
      <tp t="s">
        <v>#N/A N/A</v>
        <stp/>
        <stp>BDP|1122607621186920436</stp>
        <tr r="J1940" s="2"/>
      </tp>
      <tp t="s">
        <v>#N/A N/A</v>
        <stp/>
        <stp>BDP|7708126021204770793</stp>
        <tr r="O1450" s="2"/>
      </tp>
      <tp t="s">
        <v>#N/A N/A</v>
        <stp/>
        <stp>BDP|9082641612188914159</stp>
        <tr r="R1908" s="2"/>
      </tp>
      <tp t="s">
        <v>#N/A N/A</v>
        <stp/>
        <stp>BDP|7778609967812236286</stp>
        <tr r="Q1197" s="2"/>
      </tp>
      <tp t="s">
        <v>#N/A N/A</v>
        <stp/>
        <stp>BDP|2654595727277015520</stp>
        <tr r="P1914" s="2"/>
      </tp>
      <tp t="s">
        <v>#N/A N/A</v>
        <stp/>
        <stp>BDP|9643391685266051301</stp>
        <tr r="N293" s="2"/>
      </tp>
      <tp t="s">
        <v>#N/A N/A</v>
        <stp/>
        <stp>BDP|9371035673508079193</stp>
        <tr r="T1673" s="2"/>
      </tp>
      <tp t="s">
        <v>#N/A N/A</v>
        <stp/>
        <stp>BDP|8623495241496462906</stp>
        <tr r="D392" s="2"/>
      </tp>
      <tp t="s">
        <v>#N/A N/A</v>
        <stp/>
        <stp>BDP|3631172239595301317</stp>
        <tr r="A86" s="2"/>
      </tp>
      <tp t="s">
        <v>#N/A N/A</v>
        <stp/>
        <stp>BDP|6947661839765572196</stp>
        <tr r="H1161" s="2"/>
      </tp>
      <tp t="s">
        <v>#N/A N/A</v>
        <stp/>
        <stp>BDP|7539334625751839011</stp>
        <tr r="Q536" s="2"/>
      </tp>
      <tp t="s">
        <v>#N/A N/A</v>
        <stp/>
        <stp>BDP|6075976889152135251</stp>
        <tr r="O1936" s="2"/>
      </tp>
      <tp t="s">
        <v>#N/A N/A</v>
        <stp/>
        <stp>BDP|1213441843286674090</stp>
        <tr r="F1749" s="2"/>
      </tp>
      <tp t="s">
        <v>#N/A N/A</v>
        <stp/>
        <stp>BDP|5996165105722964198</stp>
        <tr r="N1220" s="2"/>
      </tp>
      <tp t="s">
        <v>#N/A N/A</v>
        <stp/>
        <stp>BDP|8567708738369285250</stp>
        <tr r="M1735" s="2"/>
      </tp>
      <tp t="s">
        <v>#N/A N/A</v>
        <stp/>
        <stp>BDP|7086452926954915207</stp>
        <tr r="K1182" s="2"/>
      </tp>
      <tp t="s">
        <v>#N/A N/A</v>
        <stp/>
        <stp>BDP|4369286346991289454</stp>
        <tr r="D1593" s="2"/>
      </tp>
      <tp t="s">
        <v>#N/A N/A</v>
        <stp/>
        <stp>BDP|7460627829186571203</stp>
        <tr r="R1912" s="2"/>
      </tp>
      <tp t="s">
        <v>#N/A N/A</v>
        <stp/>
        <stp>BDP|2140206996168443693</stp>
        <tr r="G2189" s="2"/>
      </tp>
      <tp t="s">
        <v>#N/A N/A</v>
        <stp/>
        <stp>BDP|7269161108443100277</stp>
        <tr r="R145" s="2"/>
      </tp>
      <tp t="s">
        <v>#N/A N/A</v>
        <stp/>
        <stp>BDP|2897010963051591254</stp>
        <tr r="P1232" s="2"/>
      </tp>
      <tp t="s">
        <v>#N/A N/A</v>
        <stp/>
        <stp>BDP|2521565465697577192</stp>
        <tr r="N665" s="2"/>
      </tp>
      <tp t="s">
        <v>#N/A N/A</v>
        <stp/>
        <stp>BDP|6366840618110064856</stp>
        <tr r="O1460" s="2"/>
      </tp>
      <tp t="s">
        <v>#N/A N/A</v>
        <stp/>
        <stp>BDP|2815505525121635311</stp>
        <tr r="G1723" s="2"/>
      </tp>
      <tp t="s">
        <v>#N/A N/A</v>
        <stp/>
        <stp>BDP|2931136826796340051</stp>
        <tr r="T1199" s="2"/>
      </tp>
      <tp t="s">
        <v>#N/A N/A</v>
        <stp/>
        <stp>BDP|4613441992886869829</stp>
        <tr r="G1171" s="2"/>
      </tp>
      <tp t="s">
        <v>#N/A N/A</v>
        <stp/>
        <stp>BDP|7719140006464839570</stp>
        <tr r="D726" s="2"/>
      </tp>
      <tp t="s">
        <v>#N/A N/A</v>
        <stp/>
        <stp>BDP|1633521459317074170</stp>
        <tr r="T1406" s="2"/>
      </tp>
      <tp t="s">
        <v>#N/A N/A</v>
        <stp/>
        <stp>BDP|4084008767786578386</stp>
        <tr r="J160" s="2"/>
      </tp>
      <tp t="s">
        <v>#N/A N/A</v>
        <stp/>
        <stp>BDP|4114427200077072097</stp>
        <tr r="S469" s="2"/>
      </tp>
      <tp t="s">
        <v>#N/A N/A</v>
        <stp/>
        <stp>BDP|4166491770942706258</stp>
        <tr r="J203" s="2"/>
      </tp>
      <tp t="s">
        <v>#N/A N/A</v>
        <stp/>
        <stp>BDP|8928963672073745203</stp>
        <tr r="O673" s="2"/>
      </tp>
      <tp t="s">
        <v>#N/A N/A</v>
        <stp/>
        <stp>BDP|1568822302309636792</stp>
        <tr r="J431" s="2"/>
      </tp>
      <tp t="s">
        <v>#N/A N/A</v>
        <stp/>
        <stp>BDP|4318463753252537095</stp>
        <tr r="P552" s="2"/>
      </tp>
      <tp t="s">
        <v>#N/A N/A</v>
        <stp/>
        <stp>BDP|3386336928127392210</stp>
        <tr r="S789" s="2"/>
      </tp>
      <tp t="s">
        <v>#N/A N/A</v>
        <stp/>
        <stp>BDP|3069224617361950662</stp>
        <tr r="J1505" s="2"/>
      </tp>
      <tp t="s">
        <v>#N/A N/A</v>
        <stp/>
        <stp>BDP|1217076368082506221</stp>
        <tr r="D1654" s="2"/>
      </tp>
      <tp t="s">
        <v>#N/A N/A</v>
        <stp/>
        <stp>BDP|1819341240117784600</stp>
        <tr r="O201" s="2"/>
      </tp>
      <tp t="s">
        <v>#N/A N/A</v>
        <stp/>
        <stp>BDP|1497411653313459497</stp>
        <tr r="N1274" s="2"/>
      </tp>
      <tp t="s">
        <v>#N/A N/A</v>
        <stp/>
        <stp>BDP|9912853062690390064</stp>
        <tr r="P253" s="2"/>
      </tp>
      <tp t="s">
        <v>#N/A N/A</v>
        <stp/>
        <stp>BDP|7504988103779606037</stp>
        <tr r="M637" s="2"/>
      </tp>
      <tp t="s">
        <v>#N/A N/A</v>
        <stp/>
        <stp>BDS|6524005318871061162</stp>
        <tr r="I1428" s="2"/>
      </tp>
      <tp t="s">
        <v>#N/A N/A</v>
        <stp/>
        <stp>BDP|1984136058381030396</stp>
        <tr r="A1611" s="2"/>
      </tp>
      <tp t="s">
        <v>#N/A N/A</v>
        <stp/>
        <stp>BDP|1971775412827079775</stp>
        <tr r="Q1168" s="2"/>
      </tp>
      <tp t="s">
        <v>#N/A N/A</v>
        <stp/>
        <stp>BDP|2894107514334409135</stp>
        <tr r="D150" s="2"/>
      </tp>
      <tp t="s">
        <v>#N/A N/A</v>
        <stp/>
        <stp>BDP|2607742310706062598</stp>
        <tr r="C658" s="2"/>
      </tp>
      <tp t="s">
        <v>#N/A N/A</v>
        <stp/>
        <stp>BDP|7144689441471120320</stp>
        <tr r="O1815" s="2"/>
      </tp>
      <tp t="s">
        <v>#N/A N/A</v>
        <stp/>
        <stp>BDP|9748318034868189687</stp>
        <tr r="H1942" s="2"/>
      </tp>
      <tp t="s">
        <v>#N/A N/A</v>
        <stp/>
        <stp>BDP|6961638477706612602</stp>
        <tr r="D491" s="2"/>
      </tp>
      <tp t="s">
        <v>#N/A N/A</v>
        <stp/>
        <stp>BDP|7194097001534716450</stp>
        <tr r="N1775" s="2"/>
      </tp>
      <tp t="s">
        <v>#N/A N/A</v>
        <stp/>
        <stp>BDS|6737479918335553165</stp>
        <tr r="I97" s="2"/>
      </tp>
      <tp t="s">
        <v>#N/A N/A</v>
        <stp/>
        <stp>BDP|1460460299808046307</stp>
        <tr r="Q1384" s="2"/>
      </tp>
      <tp t="s">
        <v>#N/A N/A</v>
        <stp/>
        <stp>BDP|5545579309934500359</stp>
        <tr r="H1250" s="2"/>
      </tp>
      <tp t="s">
        <v>#N/A N/A</v>
        <stp/>
        <stp>BDP|3936612541866015025</stp>
        <tr r="T335" s="2"/>
      </tp>
      <tp t="s">
        <v>#N/A N/A</v>
        <stp/>
        <stp>BDP|2922740138317993675</stp>
        <tr r="A1650" s="2"/>
      </tp>
      <tp t="s">
        <v>#N/A N/A</v>
        <stp/>
        <stp>BDP|3309358561985855449</stp>
        <tr r="R71" s="2"/>
      </tp>
      <tp t="s">
        <v>#N/A N/A</v>
        <stp/>
        <stp>BDP|7791967884604641581</stp>
        <tr r="C100" s="2"/>
      </tp>
      <tp t="s">
        <v>#N/A N/A</v>
        <stp/>
        <stp>BDP|3240255565186949608</stp>
        <tr r="C1074" s="2"/>
      </tp>
      <tp t="s">
        <v>#N/A N/A</v>
        <stp/>
        <stp>BDP|6056649237631052583</stp>
        <tr r="S1882" s="2"/>
      </tp>
      <tp t="s">
        <v>#N/A N/A</v>
        <stp/>
        <stp>BDP|2763796345295781376</stp>
        <tr r="K360" s="2"/>
      </tp>
      <tp t="s">
        <v>#N/A N/A</v>
        <stp/>
        <stp>BDP|6226508076971947268</stp>
        <tr r="N1577" s="2"/>
      </tp>
      <tp t="s">
        <v>#N/A N/A</v>
        <stp/>
        <stp>BDP|5603392165960334727</stp>
        <tr r="K116" s="2"/>
      </tp>
      <tp t="s">
        <v>#N/A N/A</v>
        <stp/>
        <stp>BDP|5907265809827930741</stp>
        <tr r="S1684" s="2"/>
      </tp>
      <tp t="s">
        <v>#N/A N/A</v>
        <stp/>
        <stp>BDP|1398007778737374631</stp>
        <tr r="S1646" s="2"/>
      </tp>
      <tp t="s">
        <v>#N/A N/A</v>
        <stp/>
        <stp>BDP|5831652852727381671</stp>
        <tr r="T751" s="2"/>
      </tp>
      <tp t="s">
        <v>#N/A N/A</v>
        <stp/>
        <stp>BDP|6135354578236086373</stp>
        <tr r="A45" s="2"/>
      </tp>
      <tp t="s">
        <v>#N/A N/A</v>
        <stp/>
        <stp>BDS|4582204263154456395</stp>
        <tr r="I30" s="2"/>
      </tp>
      <tp t="s">
        <v>#N/A N/A</v>
        <stp/>
        <stp>BDP|2893321190369669673</stp>
        <tr r="D336" s="2"/>
      </tp>
      <tp t="s">
        <v>#N/A N/A</v>
        <stp/>
        <stp>BDP|6878389048421665752</stp>
        <tr r="M1687" s="2"/>
      </tp>
      <tp t="s">
        <v>#N/A N/A</v>
        <stp/>
        <stp>BDP|3829669329151957151</stp>
        <tr r="A164" s="2"/>
      </tp>
      <tp t="s">
        <v>#N/A N/A</v>
        <stp/>
        <stp>BDP|1904651534735734644</stp>
        <tr r="T671" s="2"/>
      </tp>
      <tp t="s">
        <v>#N/A N/A</v>
        <stp/>
        <stp>BDS|8597342279842477976</stp>
        <tr r="I1838" s="2"/>
      </tp>
      <tp t="s">
        <v>#N/A N/A</v>
        <stp/>
        <stp>BDP|9314037673541831801</stp>
        <tr r="O1180" s="2"/>
      </tp>
      <tp t="s">
        <v>#N/A N/A</v>
        <stp/>
        <stp>BDP|5298105809041654268</stp>
        <tr r="H2127" s="2"/>
      </tp>
      <tp t="s">
        <v>#N/A N/A</v>
        <stp/>
        <stp>BDP|1843711500491655045</stp>
        <tr r="N418" s="2"/>
      </tp>
      <tp t="s">
        <v>#N/A N/A</v>
        <stp/>
        <stp>BDP|5964482969296143622</stp>
        <tr r="Q1058" s="2"/>
      </tp>
      <tp t="s">
        <v>#N/A N/A</v>
        <stp/>
        <stp>BDP|5674667839782104537</stp>
        <tr r="G758" s="2"/>
      </tp>
      <tp t="s">
        <v>#N/A N/A</v>
        <stp/>
        <stp>BDP|2291208618466272032</stp>
        <tr r="R286" s="2"/>
      </tp>
      <tp t="s">
        <v>#N/A N/A</v>
        <stp/>
        <stp>BDP|6112084471005074331</stp>
        <tr r="R345" s="2"/>
      </tp>
      <tp t="s">
        <v>#N/A N/A</v>
        <stp/>
        <stp>BDP|6402791946565840783</stp>
        <tr r="A1827" s="2"/>
      </tp>
      <tp t="s">
        <v>#N/A N/A</v>
        <stp/>
        <stp>BDP|8698086296533507569</stp>
        <tr r="F527" s="2"/>
      </tp>
      <tp t="s">
        <v>#N/A N/A</v>
        <stp/>
        <stp>BDP|4645342425914898645</stp>
        <tr r="F1385" s="2"/>
      </tp>
      <tp t="s">
        <v>#N/A N/A</v>
        <stp/>
        <stp>BDP|2017816079362625854</stp>
        <tr r="H1687" s="2"/>
      </tp>
      <tp t="s">
        <v>#N/A N/A</v>
        <stp/>
        <stp>BDP|3761705758820391670</stp>
        <tr r="R427" s="2"/>
      </tp>
      <tp t="s">
        <v>#N/A N/A</v>
        <stp/>
        <stp>BDP|8241413962755368894</stp>
        <tr r="P1397" s="2"/>
      </tp>
      <tp t="s">
        <v>#N/A N/A</v>
        <stp/>
        <stp>BDP|9200065589764006260</stp>
        <tr r="J485" s="2"/>
      </tp>
      <tp t="s">
        <v>#N/A N/A</v>
        <stp/>
        <stp>BDP|5834126261325772073</stp>
        <tr r="K1432" s="2"/>
      </tp>
      <tp t="s">
        <v>#N/A N/A</v>
        <stp/>
        <stp>BDP|7827003145236797218</stp>
        <tr r="D1391" s="2"/>
      </tp>
      <tp t="s">
        <v>#N/A N/A</v>
        <stp/>
        <stp>BDP|5125551037723174791</stp>
        <tr r="R272" s="2"/>
      </tp>
      <tp t="s">
        <v>#N/A N/A</v>
        <stp/>
        <stp>BDP|4630110428805788531</stp>
        <tr r="J545" s="2"/>
      </tp>
      <tp t="s">
        <v>#N/A N/A</v>
        <stp/>
        <stp>BDP|1081605284651773989</stp>
        <tr r="K2143" s="2"/>
      </tp>
      <tp t="s">
        <v>#N/A N/A</v>
        <stp/>
        <stp>BDP|6908239467162299744</stp>
        <tr r="M1267" s="2"/>
      </tp>
      <tp t="s">
        <v>#N/A N/A</v>
        <stp/>
        <stp>BDP|3140691660074568066</stp>
        <tr r="K2027" s="2"/>
      </tp>
      <tp t="s">
        <v>#N/A N/A</v>
        <stp/>
        <stp>BDP|8689859239644374025</stp>
        <tr r="A1222" s="2"/>
      </tp>
      <tp t="s">
        <v>#N/A N/A</v>
        <stp/>
        <stp>BDP|5044114419815097735</stp>
        <tr r="E1369" s="2"/>
      </tp>
      <tp t="s">
        <v>#N/A N/A</v>
        <stp/>
        <stp>BDP|7630592215564383028</stp>
        <tr r="R108" s="2"/>
      </tp>
      <tp t="s">
        <v>#N/A N/A</v>
        <stp/>
        <stp>BDP|8303496553627514975</stp>
        <tr r="A227" s="2"/>
      </tp>
      <tp t="s">
        <v>#N/A N/A</v>
        <stp/>
        <stp>BDP|2691883779472582892</stp>
        <tr r="E2127" s="2"/>
      </tp>
      <tp t="s">
        <v>#N/A N/A</v>
        <stp/>
        <stp>BDP|3247042075630017385</stp>
        <tr r="E1238" s="2"/>
      </tp>
      <tp t="s">
        <v>#N/A N/A</v>
        <stp/>
        <stp>BDP|6848464500957494214</stp>
        <tr r="J43" s="2"/>
      </tp>
      <tp t="s">
        <v>#N/A N/A</v>
        <stp/>
        <stp>BDP|2672641939201733173</stp>
        <tr r="M99" s="2"/>
      </tp>
      <tp t="s">
        <v>#N/A N/A</v>
        <stp/>
        <stp>BDP|1308796492659603154</stp>
        <tr r="G249" s="2"/>
      </tp>
      <tp t="s">
        <v>#N/A N/A</v>
        <stp/>
        <stp>BDP|4448497896257923994</stp>
        <tr r="P784" s="2"/>
      </tp>
      <tp t="s">
        <v>#N/A N/A</v>
        <stp/>
        <stp>BDP|7119764118541450702</stp>
        <tr r="D1549" s="2"/>
      </tp>
      <tp t="s">
        <v>#N/A N/A</v>
        <stp/>
        <stp>BDP|1144378063091724299</stp>
        <tr r="Q1532" s="2"/>
      </tp>
      <tp t="s">
        <v>#N/A N/A</v>
        <stp/>
        <stp>BDP|5703601747606370686</stp>
        <tr r="K512" s="2"/>
      </tp>
      <tp t="s">
        <v>#N/A N/A</v>
        <stp/>
        <stp>BDP|1001916305006663996</stp>
        <tr r="N455" s="2"/>
      </tp>
      <tp t="s">
        <v>#N/A N/A</v>
        <stp/>
        <stp>BDP|7218057886471316995</stp>
        <tr r="R70" s="2"/>
      </tp>
      <tp t="s">
        <v>#N/A N/A</v>
        <stp/>
        <stp>BDP|1731224456384941516</stp>
        <tr r="N1593" s="2"/>
      </tp>
      <tp t="s">
        <v>#N/A N/A</v>
        <stp/>
        <stp>BDP|5451399318994825461</stp>
        <tr r="N1115" s="2"/>
      </tp>
      <tp t="s">
        <v>#N/A N/A</v>
        <stp/>
        <stp>BDP|9862270200599547511</stp>
        <tr r="D1766" s="2"/>
      </tp>
      <tp t="s">
        <v>#N/A N/A</v>
        <stp/>
        <stp>BDP|9347991622485603057</stp>
        <tr r="D39" s="2"/>
      </tp>
      <tp t="s">
        <v>#N/A N/A</v>
        <stp/>
        <stp>BDP|7242129372377931134</stp>
        <tr r="T968" s="2"/>
      </tp>
      <tp t="s">
        <v>#N/A N/A</v>
        <stp/>
        <stp>BDP|2006974282461491590</stp>
        <tr r="F1431" s="2"/>
      </tp>
      <tp t="s">
        <v>#N/A N/A</v>
        <stp/>
        <stp>BDP|5913434903117855198</stp>
        <tr r="E1562" s="2"/>
      </tp>
      <tp t="s">
        <v>#N/A N/A</v>
        <stp/>
        <stp>BDP|3120751871646946248</stp>
        <tr r="M1430" s="2"/>
      </tp>
      <tp t="s">
        <v>#N/A N/A</v>
        <stp/>
        <stp>BDS|2886624332658404841</stp>
        <tr r="I1619" s="2"/>
      </tp>
      <tp t="s">
        <v>#N/A N/A</v>
        <stp/>
        <stp>BDP|7338124233715399791</stp>
        <tr r="F1299" s="2"/>
      </tp>
      <tp t="s">
        <v>#N/A N/A</v>
        <stp/>
        <stp>BDP|5792030077545325086</stp>
        <tr r="M64" s="2"/>
      </tp>
      <tp t="s">
        <v>#N/A N/A</v>
        <stp/>
        <stp>BDP|1399253723664903244</stp>
        <tr r="K1469" s="2"/>
      </tp>
      <tp t="s">
        <v>#N/A N/A</v>
        <stp/>
        <stp>BDP|1874509671557423352</stp>
        <tr r="N2111" s="2"/>
      </tp>
      <tp t="s">
        <v>#N/A N/A</v>
        <stp/>
        <stp>BDP|7347632140164146698</stp>
        <tr r="C359" s="2"/>
      </tp>
      <tp t="s">
        <v>#N/A N/A</v>
        <stp/>
        <stp>BDP|4487419693816601882</stp>
        <tr r="R59" s="2"/>
      </tp>
      <tp t="s">
        <v>#N/A N/A</v>
        <stp/>
        <stp>BDP|5021792551936126610</stp>
        <tr r="S1209" s="2"/>
      </tp>
      <tp t="s">
        <v>#N/A N/A</v>
        <stp/>
        <stp>BDP|6360136692919335091</stp>
        <tr r="D169" s="2"/>
      </tp>
      <tp t="s">
        <v>#N/A N/A</v>
        <stp/>
        <stp>BDP|6896119424967636531</stp>
        <tr r="E1013" s="2"/>
      </tp>
      <tp t="s">
        <v>#N/A N/A</v>
        <stp/>
        <stp>BDP|6944976496509283824</stp>
        <tr r="T505" s="2"/>
      </tp>
      <tp t="s">
        <v>#N/A N/A</v>
        <stp/>
        <stp>BDP|9226895667019098945</stp>
        <tr r="M72" s="2"/>
      </tp>
      <tp t="s">
        <v>#N/A N/A</v>
        <stp/>
        <stp>BDP|5101677154465993430</stp>
        <tr r="M635" s="2"/>
      </tp>
      <tp t="s">
        <v>#N/A N/A</v>
        <stp/>
        <stp>BDP|6093616219417895188</stp>
        <tr r="M1716" s="2"/>
      </tp>
      <tp t="s">
        <v>#N/A N/A</v>
        <stp/>
        <stp>BDP|1305823625444490884</stp>
        <tr r="R1338" s="2"/>
      </tp>
      <tp t="s">
        <v>#N/A N/A</v>
        <stp/>
        <stp>BDP|3357189207031144452</stp>
        <tr r="E469" s="2"/>
      </tp>
      <tp t="s">
        <v>#N/A N/A</v>
        <stp/>
        <stp>BDP|6200136278217761068</stp>
        <tr r="T728" s="2"/>
      </tp>
      <tp t="s">
        <v>#N/A N/A</v>
        <stp/>
        <stp>BDP|6684993532152607930</stp>
        <tr r="S650" s="2"/>
      </tp>
      <tp t="s">
        <v>#N/A N/A</v>
        <stp/>
        <stp>BDP|4470729790735768895</stp>
        <tr r="O628" s="2"/>
      </tp>
      <tp t="s">
        <v>#N/A N/A</v>
        <stp/>
        <stp>BDP|4868696940009186885</stp>
        <tr r="D1464" s="2"/>
      </tp>
      <tp t="s">
        <v>#N/A N/A</v>
        <stp/>
        <stp>BDP|1307270537966316185</stp>
        <tr r="H238" s="2"/>
      </tp>
      <tp t="s">
        <v>#N/A N/A</v>
        <stp/>
        <stp>BDP|2291111258492219310</stp>
        <tr r="A880" s="2"/>
      </tp>
      <tp t="s">
        <v>#N/A N/A</v>
        <stp/>
        <stp>BDP|4926630276964471601</stp>
        <tr r="N1495" s="2"/>
      </tp>
      <tp t="s">
        <v>#N/A N/A</v>
        <stp/>
        <stp>BDP|6833756531873637622</stp>
        <tr r="F748" s="2"/>
      </tp>
      <tp t="s">
        <v>#N/A N/A</v>
        <stp/>
        <stp>BDP|2410036329065392252</stp>
        <tr r="D576" s="2"/>
      </tp>
      <tp t="s">
        <v>#N/A N/A</v>
        <stp/>
        <stp>BDP|5027205476802852566</stp>
        <tr r="K210" s="2"/>
      </tp>
      <tp t="s">
        <v>#N/A N/A</v>
        <stp/>
        <stp>BDP|9623986023786173348</stp>
        <tr r="F1537" s="2"/>
      </tp>
      <tp t="s">
        <v>#N/A N/A</v>
        <stp/>
        <stp>BDP|9819405882867652546</stp>
        <tr r="N1573" s="2"/>
      </tp>
      <tp t="s">
        <v>#N/A N/A</v>
        <stp/>
        <stp>BDP|3138000768577916588</stp>
        <tr r="G1381" s="2"/>
      </tp>
      <tp t="s">
        <v>#N/A N/A</v>
        <stp/>
        <stp>BDP|1138130465671791083</stp>
        <tr r="A506" s="2"/>
      </tp>
      <tp t="s">
        <v>#N/A N/A</v>
        <stp/>
        <stp>BDP|1763587816970416256</stp>
        <tr r="D1222" s="2"/>
      </tp>
      <tp t="s">
        <v>#N/A N/A</v>
        <stp/>
        <stp>BDP|5859804895526392563</stp>
        <tr r="Q870" s="2"/>
      </tp>
      <tp t="s">
        <v>#N/A N/A</v>
        <stp/>
        <stp>BDP|1640703963032484591</stp>
        <tr r="A1130" s="2"/>
      </tp>
      <tp t="s">
        <v>#N/A N/A</v>
        <stp/>
        <stp>BDP|2713094577841147308</stp>
        <tr r="F1460" s="2"/>
      </tp>
      <tp t="s">
        <v>#N/A N/A</v>
        <stp/>
        <stp>BDP|3151862719229131477</stp>
        <tr r="G1262" s="2"/>
      </tp>
      <tp t="s">
        <v>#N/A N/A</v>
        <stp/>
        <stp>BDP|6164764889639539736</stp>
        <tr r="R297" s="2"/>
      </tp>
      <tp t="s">
        <v>#N/A N/A</v>
        <stp/>
        <stp>BDP|4164156667781371581</stp>
        <tr r="T1482" s="2"/>
      </tp>
      <tp t="s">
        <v>#N/A N/A</v>
        <stp/>
        <stp>BDP|4321294870017138135</stp>
        <tr r="G1625" s="2"/>
      </tp>
      <tp t="s">
        <v>#N/A N/A</v>
        <stp/>
        <stp>BDP|9851044833025439832</stp>
        <tr r="R1382" s="2"/>
      </tp>
      <tp t="s">
        <v>#N/A N/A</v>
        <stp/>
        <stp>BDP|6731005307352961310</stp>
        <tr r="G636" s="2"/>
      </tp>
      <tp t="s">
        <v>#N/A N/A</v>
        <stp/>
        <stp>BDS|2470491723634214741</stp>
        <tr r="I834" s="2"/>
      </tp>
      <tp t="s">
        <v>#N/A N/A</v>
        <stp/>
        <stp>BDP|4147341535060046382</stp>
        <tr r="E935" s="2"/>
      </tp>
      <tp t="s">
        <v>#N/A N/A</v>
        <stp/>
        <stp>BDP|2874503097898790106</stp>
        <tr r="E1776" s="2"/>
      </tp>
      <tp t="s">
        <v>#N/A N/A</v>
        <stp/>
        <stp>BDP|8228762180023924351</stp>
        <tr r="H181" s="2"/>
      </tp>
      <tp t="s">
        <v>#N/A N/A</v>
        <stp/>
        <stp>BDP|6071065989571556821</stp>
        <tr r="E1775" s="2"/>
      </tp>
      <tp t="s">
        <v>#N/A N/A</v>
        <stp/>
        <stp>BDP|3262308648177298405</stp>
        <tr r="E1080" s="2"/>
      </tp>
      <tp t="s">
        <v>#N/A N/A</v>
        <stp/>
        <stp>BDP|4728394219424853574</stp>
        <tr r="T1466" s="2"/>
      </tp>
      <tp t="s">
        <v>#N/A N/A</v>
        <stp/>
        <stp>BDP|3459895898364823153</stp>
        <tr r="C1441" s="2"/>
      </tp>
      <tp t="s">
        <v>#N/A N/A</v>
        <stp/>
        <stp>BDP|8440893694637472954</stp>
        <tr r="R1097" s="2"/>
      </tp>
      <tp t="s">
        <v>#N/A N/A</v>
        <stp/>
        <stp>BDP|6922178524935716750</stp>
        <tr r="C847" s="2"/>
      </tp>
      <tp t="s">
        <v>#N/A N/A</v>
        <stp/>
        <stp>BDP|2510521149443606706</stp>
        <tr r="N141" s="2"/>
      </tp>
      <tp t="s">
        <v>#N/A N/A</v>
        <stp/>
        <stp>BDP|9340270903768976466</stp>
        <tr r="H1597" s="2"/>
      </tp>
      <tp t="s">
        <v>#N/A N/A</v>
        <stp/>
        <stp>BDP|8877142081007594109</stp>
        <tr r="T1759" s="2"/>
      </tp>
      <tp t="s">
        <v>#N/A N/A</v>
        <stp/>
        <stp>BDP|9256791636442768823</stp>
        <tr r="H1641" s="2"/>
      </tp>
      <tp t="s">
        <v>#N/A N/A</v>
        <stp/>
        <stp>BDP|7891988360396022985</stp>
        <tr r="J1049" s="2"/>
      </tp>
      <tp t="s">
        <v>#N/A N/A</v>
        <stp/>
        <stp>BDP|4374520778401149002</stp>
        <tr r="C2118" s="2"/>
      </tp>
      <tp t="s">
        <v>#N/A N/A</v>
        <stp/>
        <stp>BDP|1213790532660974284</stp>
        <tr r="H2032" s="2"/>
      </tp>
      <tp t="s">
        <v>#N/A N/A</v>
        <stp/>
        <stp>BDP|1361313212120167496</stp>
        <tr r="G230" s="2"/>
      </tp>
      <tp t="s">
        <v>#N/A N/A</v>
        <stp/>
        <stp>BDP|2968417710950746078</stp>
        <tr r="K1376" s="2"/>
      </tp>
      <tp t="s">
        <v>#N/A N/A</v>
        <stp/>
        <stp>BDP|6508734608902192470</stp>
        <tr r="J733" s="2"/>
      </tp>
      <tp t="s">
        <v>#N/A N/A</v>
        <stp/>
        <stp>BDP|6257044208703758217</stp>
        <tr r="R1748" s="2"/>
      </tp>
      <tp t="s">
        <v>#N/A N/A</v>
        <stp/>
        <stp>BDP|4468105060147413387</stp>
        <tr r="A2225" s="2"/>
      </tp>
      <tp t="s">
        <v>#N/A N/A</v>
        <stp/>
        <stp>BDP|6373954384237219784</stp>
        <tr r="D952" s="2"/>
      </tp>
      <tp t="s">
        <v>#N/A N/A</v>
        <stp/>
        <stp>BDP|9588668995260731196</stp>
        <tr r="G2124" s="2"/>
      </tp>
      <tp t="s">
        <v>#N/A N/A</v>
        <stp/>
        <stp>BDP|3116802127229642782</stp>
        <tr r="J654" s="2"/>
      </tp>
      <tp t="s">
        <v>#N/A N/A</v>
        <stp/>
        <stp>BDP|3373051538961494620</stp>
        <tr r="T1935" s="2"/>
      </tp>
      <tp t="s">
        <v>#N/A N/A</v>
        <stp/>
        <stp>BDP|6575195367167074132</stp>
        <tr r="D1576" s="2"/>
      </tp>
      <tp t="s">
        <v>#N/A N/A</v>
        <stp/>
        <stp>BDP|6263287625710191169</stp>
        <tr r="Q1786" s="2"/>
      </tp>
      <tp t="s">
        <v>#N/A N/A</v>
        <stp/>
        <stp>BDP|8571885365477353635</stp>
        <tr r="T956" s="2"/>
      </tp>
      <tp t="s">
        <v>#N/A N/A</v>
        <stp/>
        <stp>BDP|8714755628109764355</stp>
        <tr r="Q751" s="2"/>
      </tp>
      <tp t="s">
        <v>#N/A N/A</v>
        <stp/>
        <stp>BDP|5598117070277498383</stp>
        <tr r="O59" s="2"/>
      </tp>
      <tp t="s">
        <v>#N/A N/A</v>
        <stp/>
        <stp>BDP|2298236711886047085</stp>
        <tr r="K549" s="2"/>
      </tp>
      <tp t="s">
        <v>#N/A N/A</v>
        <stp/>
        <stp>BDP|4038885841138793768</stp>
        <tr r="P1649" s="2"/>
      </tp>
      <tp t="s">
        <v>#N/A N/A</v>
        <stp/>
        <stp>BDP|1024375502043567687</stp>
        <tr r="A84" s="2"/>
      </tp>
      <tp t="s">
        <v>#N/A N/A</v>
        <stp/>
        <stp>BDP|7850323763730759562</stp>
        <tr r="A1594" s="2"/>
      </tp>
      <tp t="s">
        <v>#N/A N/A</v>
        <stp/>
        <stp>BDS|5944244073803600412</stp>
        <tr r="I318" s="2"/>
      </tp>
      <tp t="s">
        <v>#N/A N/A</v>
        <stp/>
        <stp>BDP|1908302283799243418</stp>
        <tr r="G1010" s="2"/>
      </tp>
      <tp t="s">
        <v>#N/A N/A</v>
        <stp/>
        <stp>BDS|1464730553775436198</stp>
        <tr r="I207" s="2"/>
      </tp>
      <tp t="s">
        <v>#N/A N/A</v>
        <stp/>
        <stp>BDP|7223702475860939072</stp>
        <tr r="N41" s="2"/>
      </tp>
      <tp t="s">
        <v>#N/A N/A</v>
        <stp/>
        <stp>BDP|3577487106070005028</stp>
        <tr r="F950" s="2"/>
      </tp>
      <tp t="s">
        <v>#N/A N/A</v>
        <stp/>
        <stp>BDP|3745368225252827754</stp>
        <tr r="Q2045" s="2"/>
      </tp>
      <tp t="s">
        <v>#N/A N/A</v>
        <stp/>
        <stp>BDS|3484462438246461575</stp>
        <tr r="I1998" s="2"/>
      </tp>
      <tp t="s">
        <v>#N/A N/A</v>
        <stp/>
        <stp>BDP|7637003014607971629</stp>
        <tr r="D1921" s="2"/>
      </tp>
      <tp t="s">
        <v>#N/A N/A</v>
        <stp/>
        <stp>BDP|7776204609233411138</stp>
        <tr r="D743" s="2"/>
      </tp>
      <tp t="s">
        <v>#N/A N/A</v>
        <stp/>
        <stp>BDP|5863483144670598282</stp>
        <tr r="J332" s="2"/>
      </tp>
      <tp t="s">
        <v>#N/A N/A</v>
        <stp/>
        <stp>BDP|2702616105267993436</stp>
        <tr r="N2071" s="2"/>
      </tp>
      <tp t="s">
        <v>#N/A N/A</v>
        <stp/>
        <stp>BDP|3138021349468085835</stp>
        <tr r="D51" s="2"/>
      </tp>
      <tp t="s">
        <v>#N/A N/A</v>
        <stp/>
        <stp>BDP|2103148665935893712</stp>
        <tr r="Q2062" s="2"/>
      </tp>
      <tp t="s">
        <v>#N/A N/A</v>
        <stp/>
        <stp>BDP|1361056189986178874</stp>
        <tr r="P1847" s="2"/>
      </tp>
      <tp t="s">
        <v>#N/A N/A</v>
        <stp/>
        <stp>BDP|4431543178359894890</stp>
        <tr r="A841" s="2"/>
      </tp>
      <tp t="s">
        <v>#N/A N/A</v>
        <stp/>
        <stp>BDP|5451782362201593226</stp>
        <tr r="N1064" s="2"/>
      </tp>
      <tp t="s">
        <v>#N/A N/A</v>
        <stp/>
        <stp>BDP|2086703020302934201</stp>
        <tr r="Q305" s="2"/>
      </tp>
      <tp t="s">
        <v>#N/A N/A</v>
        <stp/>
        <stp>BDP|9748387234928452665</stp>
        <tr r="K1293" s="2"/>
      </tp>
      <tp t="s">
        <v>#N/A N/A</v>
        <stp/>
        <stp>BDP|1226316098819630542</stp>
        <tr r="K1515" s="2"/>
      </tp>
      <tp t="s">
        <v>#N/A N/A</v>
        <stp/>
        <stp>BDS|1001754999831104942</stp>
        <tr r="I1728" s="2"/>
      </tp>
      <tp t="s">
        <v>#N/A N/A</v>
        <stp/>
        <stp>BDP|1723800902839560791</stp>
        <tr r="H2184" s="2"/>
      </tp>
      <tp t="s">
        <v>#N/A N/A</v>
        <stp/>
        <stp>BDP|5834139374620353455</stp>
        <tr r="K806" s="2"/>
      </tp>
      <tp t="s">
        <v>#N/A N/A</v>
        <stp/>
        <stp>BDP|9166469595070802333</stp>
        <tr r="G1665" s="2"/>
      </tp>
      <tp t="s">
        <v>#N/A N/A</v>
        <stp/>
        <stp>BDP|8659320956848296198</stp>
        <tr r="M299" s="2"/>
      </tp>
      <tp t="s">
        <v>#N/A N/A</v>
        <stp/>
        <stp>BDP|7633104059113000769</stp>
        <tr r="S544" s="2"/>
      </tp>
      <tp t="s">
        <v>#N/A N/A</v>
        <stp/>
        <stp>BDP|9910117187462781514</stp>
        <tr r="G1521" s="2"/>
      </tp>
      <tp t="s">
        <v>#N/A N/A</v>
        <stp/>
        <stp>BDP|3407117966507240488</stp>
        <tr r="G1711" s="2"/>
      </tp>
      <tp t="s">
        <v>#N/A N/A</v>
        <stp/>
        <stp>BDP|4697517569655629514</stp>
        <tr r="Q128" s="2"/>
      </tp>
      <tp t="s">
        <v>#N/A N/A</v>
        <stp/>
        <stp>BDP|9835242776049121222</stp>
        <tr r="R1676" s="2"/>
      </tp>
      <tp t="s">
        <v>#N/A N/A</v>
        <stp/>
        <stp>BDP|1609378953958337883</stp>
        <tr r="C656" s="2"/>
      </tp>
      <tp t="s">
        <v>#N/A N/A</v>
        <stp/>
        <stp>BDP|9819235800494383819</stp>
        <tr r="M375" s="2"/>
      </tp>
      <tp t="s">
        <v>#N/A N/A</v>
        <stp/>
        <stp>BDS|9992048555169577244</stp>
        <tr r="I787" s="2"/>
      </tp>
      <tp t="s">
        <v>#N/A N/A</v>
        <stp/>
        <stp>BDP|4915309890481452849</stp>
        <tr r="H1659" s="2"/>
      </tp>
      <tp t="s">
        <v>#N/A N/A</v>
        <stp/>
        <stp>BDP|1153145012797926175</stp>
        <tr r="G237" s="2"/>
      </tp>
      <tp t="s">
        <v>#N/A N/A</v>
        <stp/>
        <stp>BDP|4470288527493230008</stp>
        <tr r="J1364" s="2"/>
      </tp>
      <tp t="s">
        <v>#N/A N/A</v>
        <stp/>
        <stp>BDP|9480589809269947257</stp>
        <tr r="Q626" s="2"/>
      </tp>
      <tp t="s">
        <v>#N/A N/A</v>
        <stp/>
        <stp>BDP|3325291265558607805</stp>
        <tr r="H864" s="2"/>
      </tp>
      <tp t="s">
        <v>#N/A N/A</v>
        <stp/>
        <stp>BDP|8289140407999842706</stp>
        <tr r="M1416" s="2"/>
      </tp>
      <tp t="s">
        <v>#N/A N/A</v>
        <stp/>
        <stp>BDP|4797185030128765918</stp>
        <tr r="P1313" s="2"/>
      </tp>
      <tp t="s">
        <v>#N/A N/A</v>
        <stp/>
        <stp>BDP|7719044654580847567</stp>
        <tr r="H1303" s="2"/>
      </tp>
      <tp t="s">
        <v>#N/A N/A</v>
        <stp/>
        <stp>BDP|2919533235204459726</stp>
        <tr r="R1481" s="2"/>
      </tp>
      <tp t="s">
        <v>#N/A N/A</v>
        <stp/>
        <stp>BDP|5632549527336536399</stp>
        <tr r="T883" s="2"/>
      </tp>
      <tp t="s">
        <v>#N/A N/A</v>
        <stp/>
        <stp>BDP|7376192435246275443</stp>
        <tr r="D86" s="2"/>
      </tp>
      <tp t="s">
        <v>#N/A N/A</v>
        <stp/>
        <stp>BDP|8528340228029814780</stp>
        <tr r="P721" s="2"/>
      </tp>
      <tp t="s">
        <v>#N/A N/A</v>
        <stp/>
        <stp>BDP|1274915999974590261</stp>
        <tr r="Q898" s="2"/>
      </tp>
      <tp t="s">
        <v>#N/A N/A</v>
        <stp/>
        <stp>BDP|1015216165505841754</stp>
        <tr r="K1090" s="2"/>
      </tp>
      <tp t="s">
        <v>#N/A N/A</v>
        <stp/>
        <stp>BDP|6423590101050632433</stp>
        <tr r="S1074" s="2"/>
      </tp>
      <tp t="s">
        <v>#N/A N/A</v>
        <stp/>
        <stp>BDP|4811006642523002430</stp>
        <tr r="D2026" s="2"/>
      </tp>
      <tp t="s">
        <v>#N/A N/A</v>
        <stp/>
        <stp>BDP|5860524376428670833</stp>
        <tr r="N446" s="2"/>
      </tp>
      <tp t="s">
        <v>#N/A N/A</v>
        <stp/>
        <stp>BDP|1263957413337968946</stp>
        <tr r="J1477" s="2"/>
      </tp>
      <tp t="s">
        <v>#N/A N/A</v>
        <stp/>
        <stp>BDP|9828145490751125740</stp>
        <tr r="G1522" s="2"/>
      </tp>
      <tp t="s">
        <v>#N/A N/A</v>
        <stp/>
        <stp>BDS|5325398750820178424</stp>
        <tr r="I1745" s="2"/>
      </tp>
      <tp t="s">
        <v>#N/A N/A</v>
        <stp/>
        <stp>BDP|9038686817038125172</stp>
        <tr r="G1187" s="2"/>
      </tp>
      <tp t="s">
        <v>#N/A N/A</v>
        <stp/>
        <stp>BDP|3348331959744438644</stp>
        <tr r="K1754" s="2"/>
      </tp>
      <tp t="s">
        <v>#N/A N/A</v>
        <stp/>
        <stp>BDP|3625081813816172359</stp>
        <tr r="D1130" s="2"/>
      </tp>
      <tp t="s">
        <v>#N/A N/A</v>
        <stp/>
        <stp>BDP|1275035317515604293</stp>
        <tr r="J1246" s="2"/>
      </tp>
      <tp t="s">
        <v>#N/A N/A</v>
        <stp/>
        <stp>BDP|1111544771793972741</stp>
        <tr r="Q1878" s="2"/>
      </tp>
      <tp t="s">
        <v>#N/A N/A</v>
        <stp/>
        <stp>BDP|7613795945453462072</stp>
        <tr r="F59" s="2"/>
      </tp>
      <tp t="s">
        <v>#N/A N/A</v>
        <stp/>
        <stp>BDP|6738562409473885799</stp>
        <tr r="F1281" s="2"/>
      </tp>
      <tp t="s">
        <v>#N/A N/A</v>
        <stp/>
        <stp>BDP|4378960196875986633</stp>
        <tr r="Q477" s="2"/>
      </tp>
      <tp t="s">
        <v>#N/A N/A</v>
        <stp/>
        <stp>BDP|1814017040480076201</stp>
        <tr r="P319" s="2"/>
      </tp>
      <tp t="s">
        <v>#N/A N/A</v>
        <stp/>
        <stp>BDP|3707722757586233090</stp>
        <tr r="M351" s="2"/>
      </tp>
      <tp t="s">
        <v>#N/A N/A</v>
        <stp/>
        <stp>BDP|8406407983520738396</stp>
        <tr r="N498" s="2"/>
      </tp>
      <tp t="s">
        <v>#N/A N/A</v>
        <stp/>
        <stp>BDP|3372981123736326924</stp>
        <tr r="H766" s="2"/>
      </tp>
      <tp t="s">
        <v>#N/A N/A</v>
        <stp/>
        <stp>BDP|7456390347636000134</stp>
        <tr r="E188" s="2"/>
      </tp>
      <tp t="s">
        <v>#N/A N/A</v>
        <stp/>
        <stp>BDP|8141822148162011121</stp>
        <tr r="C1847" s="2"/>
      </tp>
      <tp t="s">
        <v>#N/A N/A</v>
        <stp/>
        <stp>BDP|7443062771123389498</stp>
        <tr r="O505" s="2"/>
      </tp>
      <tp t="s">
        <v>#N/A N/A</v>
        <stp/>
        <stp>BDP|1891567943961607620</stp>
        <tr r="C1728" s="2"/>
      </tp>
      <tp t="s">
        <v>#N/A N/A</v>
        <stp/>
        <stp>BDP|4913426456864346602</stp>
        <tr r="N1658" s="2"/>
      </tp>
      <tp t="s">
        <v>#N/A N/A</v>
        <stp/>
        <stp>BDP|3743993920456190913</stp>
        <tr r="N1645" s="2"/>
      </tp>
      <tp t="s">
        <v>#N/A N/A</v>
        <stp/>
        <stp>BDP|5942144246831574607</stp>
        <tr r="N823" s="2"/>
      </tp>
      <tp t="s">
        <v>#N/A N/A</v>
        <stp/>
        <stp>BDP|6325733268564293445</stp>
        <tr r="P244" s="2"/>
      </tp>
      <tp t="s">
        <v>#N/A N/A</v>
        <stp/>
        <stp>BDP|3734398691268897698</stp>
        <tr r="A463" s="2"/>
      </tp>
      <tp t="s">
        <v>#N/A N/A</v>
        <stp/>
        <stp>BDP|1725737148835208005</stp>
        <tr r="O2195" s="2"/>
      </tp>
      <tp t="s">
        <v>#N/A N/A</v>
        <stp/>
        <stp>BDP|2454332868627785761</stp>
        <tr r="M1620" s="2"/>
      </tp>
      <tp t="s">
        <v>#N/A N/A</v>
        <stp/>
        <stp>BDP|8810949151774022736</stp>
        <tr r="E521" s="2"/>
      </tp>
      <tp t="s">
        <v>#N/A N/A</v>
        <stp/>
        <stp>BDS|7846642461601285110</stp>
        <tr r="I1451" s="2"/>
      </tp>
      <tp t="s">
        <v>#N/A N/A</v>
        <stp/>
        <stp>BDP|3559138402295277083</stp>
        <tr r="Q1814" s="2"/>
      </tp>
      <tp t="s">
        <v>#N/A N/A</v>
        <stp/>
        <stp>BDP|6656972918389183066</stp>
        <tr r="T558" s="2"/>
      </tp>
      <tp t="s">
        <v>#N/A N/A</v>
        <stp/>
        <stp>BDP|9993780009940330959</stp>
        <tr r="G375" s="2"/>
      </tp>
      <tp t="s">
        <v>#N/A N/A</v>
        <stp/>
        <stp>BDP|5552377228015792631</stp>
        <tr r="N207" s="2"/>
      </tp>
      <tp t="s">
        <v>#N/A N/A</v>
        <stp/>
        <stp>BDS|5334107998488771229</stp>
        <tr r="I1910" s="2"/>
      </tp>
      <tp t="s">
        <v>#N/A N/A</v>
        <stp/>
        <stp>BDP|5628239919644053525</stp>
        <tr r="C27" s="2"/>
      </tp>
      <tp t="s">
        <v>#N/A N/A</v>
        <stp/>
        <stp>BDP|2461684974762099661</stp>
        <tr r="M713" s="2"/>
      </tp>
      <tp t="s">
        <v>#N/A N/A</v>
        <stp/>
        <stp>BDP|6749683980996559946</stp>
        <tr r="G1788" s="2"/>
      </tp>
      <tp t="s">
        <v>#N/A N/A</v>
        <stp/>
        <stp>BDP|6408642451175765788</stp>
        <tr r="T1422" s="2"/>
      </tp>
      <tp t="s">
        <v>#N/A N/A</v>
        <stp/>
        <stp>BDP|6945461093289535579</stp>
        <tr r="K776" s="2"/>
      </tp>
      <tp t="s">
        <v>#N/A N/A</v>
        <stp/>
        <stp>BDP|2523258106644855305</stp>
        <tr r="F590" s="2"/>
      </tp>
      <tp t="s">
        <v>#N/A N/A</v>
        <stp/>
        <stp>BDP|1902582847911142693</stp>
        <tr r="E9" s="2"/>
      </tp>
      <tp t="s">
        <v>#N/A N/A</v>
        <stp/>
        <stp>BDP|2892216298368851676</stp>
        <tr r="Q1574" s="2"/>
      </tp>
      <tp t="s">
        <v>#N/A N/A</v>
        <stp/>
        <stp>BDP|7445343632954845445</stp>
        <tr r="E2135" s="2"/>
      </tp>
      <tp t="s">
        <v>#N/A N/A</v>
        <stp/>
        <stp>BDP|6559288210574644653</stp>
        <tr r="D1448" s="2"/>
      </tp>
      <tp t="s">
        <v>#N/A N/A</v>
        <stp/>
        <stp>BDP|4029593944997525564</stp>
        <tr r="O510" s="2"/>
      </tp>
      <tp t="s">
        <v>#N/A N/A</v>
        <stp/>
        <stp>BDP|4283595943276710410</stp>
        <tr r="O2061" s="2"/>
      </tp>
      <tp t="s">
        <v>#N/A N/A</v>
        <stp/>
        <stp>BDP|2059873987825678087</stp>
        <tr r="A310" s="2"/>
      </tp>
      <tp t="s">
        <v>#N/A N/A</v>
        <stp/>
        <stp>BDP|5444973798077560500</stp>
        <tr r="T635" s="2"/>
      </tp>
      <tp t="s">
        <v>#N/A N/A</v>
        <stp/>
        <stp>BDS|1894081937700888515</stp>
        <tr r="I339" s="2"/>
      </tp>
      <tp t="s">
        <v>#N/A N/A</v>
        <stp/>
        <stp>BDP|5212289015236292732</stp>
        <tr r="S784" s="2"/>
      </tp>
      <tp t="s">
        <v>#N/A N/A</v>
        <stp/>
        <stp>BDP|1727093144526729437</stp>
        <tr r="F1556" s="2"/>
      </tp>
      <tp t="s">
        <v>#N/A N/A</v>
        <stp/>
        <stp>BDP|2339711668373027742</stp>
        <tr r="G723" s="2"/>
      </tp>
      <tp t="s">
        <v>#N/A N/A</v>
        <stp/>
        <stp>BDP|1121540153377141195</stp>
        <tr r="F137" s="2"/>
      </tp>
      <tp t="s">
        <v>#N/A N/A</v>
        <stp/>
        <stp>BDP|7464092674426440134</stp>
        <tr r="J1278" s="2"/>
      </tp>
      <tp t="s">
        <v>#N/A N/A</v>
        <stp/>
        <stp>BDP|9854503597381758360</stp>
        <tr r="F927" s="2"/>
      </tp>
      <tp t="s">
        <v>#N/A N/A</v>
        <stp/>
        <stp>BDP|1967004446787676572</stp>
        <tr r="K2044" s="2"/>
      </tp>
      <tp t="s">
        <v>#N/A N/A</v>
        <stp/>
        <stp>BDP|4821160553482352503</stp>
        <tr r="A1064" s="2"/>
      </tp>
      <tp t="s">
        <v>#N/A N/A</v>
        <stp/>
        <stp>BDP|7340737157684941601</stp>
        <tr r="A2222" s="2"/>
      </tp>
      <tp t="s">
        <v>#N/A N/A</v>
        <stp/>
        <stp>BDP|3613304480087926817</stp>
        <tr r="T837" s="2"/>
      </tp>
      <tp t="s">
        <v>#N/A N/A</v>
        <stp/>
        <stp>BDP|6309943106338942064</stp>
        <tr r="J583" s="2"/>
      </tp>
      <tp t="s">
        <v>#N/A N/A</v>
        <stp/>
        <stp>BDS|5160004942315531381</stp>
        <tr r="I1500" s="2"/>
      </tp>
      <tp t="s">
        <v>#N/A N/A</v>
        <stp/>
        <stp>BDP|5094235937964841721</stp>
        <tr r="D896" s="2"/>
      </tp>
      <tp t="s">
        <v>#N/A N/A</v>
        <stp/>
        <stp>BDP|6127658260923913231</stp>
        <tr r="H1371" s="2"/>
      </tp>
      <tp t="s">
        <v>#N/A N/A</v>
        <stp/>
        <stp>BDP|1620183309531977600</stp>
        <tr r="C1974" s="2"/>
      </tp>
      <tp t="s">
        <v>#N/A N/A</v>
        <stp/>
        <stp>BDP|4133335076287869021</stp>
        <tr r="J1918" s="2"/>
      </tp>
      <tp t="s">
        <v>#N/A N/A</v>
        <stp/>
        <stp>BDP|8467384495492249751</stp>
        <tr r="Q1223" s="2"/>
      </tp>
      <tp t="s">
        <v>#N/A N/A</v>
        <stp/>
        <stp>BDP|5621452918451361661</stp>
        <tr r="F2095" s="2"/>
      </tp>
      <tp t="s">
        <v>#N/A N/A</v>
        <stp/>
        <stp>BDP|3505235848526672464</stp>
        <tr r="D1756" s="2"/>
      </tp>
      <tp t="s">
        <v>#N/A N/A</v>
        <stp/>
        <stp>BDP|4185995621981236954</stp>
        <tr r="S1197" s="2"/>
      </tp>
      <tp t="s">
        <v>#N/A N/A</v>
        <stp/>
        <stp>BDP|8970037681123159447</stp>
        <tr r="D1572" s="2"/>
      </tp>
      <tp t="s">
        <v>#N/A N/A</v>
        <stp/>
        <stp>BDP|5410705636696804041</stp>
        <tr r="R1820" s="2"/>
      </tp>
      <tp t="s">
        <v>#N/A N/A</v>
        <stp/>
        <stp>BDP|3924821647840513878</stp>
        <tr r="S1917" s="2"/>
      </tp>
      <tp t="s">
        <v>#N/A N/A</v>
        <stp/>
        <stp>BDP|8975807611075242346</stp>
        <tr r="H1897" s="2"/>
      </tp>
      <tp t="s">
        <v>#N/A N/A</v>
        <stp/>
        <stp>BDP|6705352976924202189</stp>
        <tr r="O1891" s="2"/>
      </tp>
      <tp t="s">
        <v>#N/A N/A</v>
        <stp/>
        <stp>BDP|8440831926900891577</stp>
        <tr r="T1561" s="2"/>
      </tp>
      <tp t="s">
        <v>#N/A N/A</v>
        <stp/>
        <stp>BDS|4881749483168529443</stp>
        <tr r="I10" s="2"/>
      </tp>
      <tp t="s">
        <v>#N/A N/A</v>
        <stp/>
        <stp>BDS|8033422059106179846</stp>
        <tr r="I411" s="2"/>
      </tp>
      <tp t="s">
        <v>#N/A N/A</v>
        <stp/>
        <stp>BDP|2262886134137245920</stp>
        <tr r="O655" s="2"/>
      </tp>
      <tp t="s">
        <v>#N/A N/A</v>
        <stp/>
        <stp>BDP|4378191531029109843</stp>
        <tr r="E1257" s="2"/>
      </tp>
      <tp t="s">
        <v>#N/A N/A</v>
        <stp/>
        <stp>BDP|6310013346406334390</stp>
        <tr r="G400" s="2"/>
      </tp>
      <tp t="s">
        <v>#N/A N/A</v>
        <stp/>
        <stp>BDP|1144905599081009764</stp>
        <tr r="T1053" s="2"/>
      </tp>
      <tp t="s">
        <v>#N/A N/A</v>
        <stp/>
        <stp>BDP|4948262704991697033</stp>
        <tr r="R1014" s="2"/>
      </tp>
      <tp t="s">
        <v>#N/A N/A</v>
        <stp/>
        <stp>BDP|7746575432072874443</stp>
        <tr r="F769" s="2"/>
      </tp>
      <tp t="s">
        <v>#N/A N/A</v>
        <stp/>
        <stp>BDP|6902599439220769708</stp>
        <tr r="F1922" s="2"/>
      </tp>
      <tp t="s">
        <v>#N/A N/A</v>
        <stp/>
        <stp>BDP|8769523983235858707</stp>
        <tr r="T599" s="2"/>
      </tp>
      <tp t="s">
        <v>#N/A N/A</v>
        <stp/>
        <stp>BDP|7718573034645811321</stp>
        <tr r="M1573" s="2"/>
      </tp>
      <tp t="s">
        <v>#N/A N/A</v>
        <stp/>
        <stp>BDP|2602666029997524629</stp>
        <tr r="F1212" s="2"/>
      </tp>
      <tp t="s">
        <v>#N/A N/A</v>
        <stp/>
        <stp>BDP|1211700906314223584</stp>
        <tr r="G2014" s="2"/>
      </tp>
      <tp t="s">
        <v>#N/A N/A</v>
        <stp/>
        <stp>BDP|7894408656266401744</stp>
        <tr r="J223" s="2"/>
      </tp>
      <tp t="s">
        <v>#N/A N/A</v>
        <stp/>
        <stp>BDP|3829205910443402424</stp>
        <tr r="H1681" s="2"/>
      </tp>
      <tp t="s">
        <v>#N/A N/A</v>
        <stp/>
        <stp>BDP|7966283010391686299</stp>
        <tr r="J2116" s="2"/>
      </tp>
      <tp t="s">
        <v>#N/A N/A</v>
        <stp/>
        <stp>BDP|9338106584201047694</stp>
        <tr r="M2075" s="2"/>
      </tp>
      <tp t="s">
        <v>#N/A N/A</v>
        <stp/>
        <stp>BDS|1380344639036501059</stp>
        <tr r="I502" s="2"/>
      </tp>
      <tp t="s">
        <v>#N/A N/A</v>
        <stp/>
        <stp>BDP|2971692159703662512</stp>
        <tr r="C1254" s="2"/>
      </tp>
      <tp t="s">
        <v>#N/A N/A</v>
        <stp/>
        <stp>BDP|1669469829082295250</stp>
        <tr r="N565" s="2"/>
      </tp>
      <tp t="s">
        <v>#N/A N/A</v>
        <stp/>
        <stp>BDP|8382955792587292887</stp>
        <tr r="D227" s="2"/>
      </tp>
      <tp t="s">
        <v>#N/A N/A</v>
        <stp/>
        <stp>BDP|4304244660535005288</stp>
        <tr r="F1736" s="2"/>
      </tp>
      <tp t="s">
        <v>#N/A N/A</v>
        <stp/>
        <stp>BDP|7099444736652458597</stp>
        <tr r="E470" s="2"/>
      </tp>
      <tp t="s">
        <v>#N/A N/A</v>
        <stp/>
        <stp>BDP|3157988648961789894</stp>
        <tr r="M871" s="2"/>
      </tp>
      <tp t="s">
        <v>#N/A N/A</v>
        <stp/>
        <stp>BDS|5255481861365793535</stp>
        <tr r="I779" s="2"/>
      </tp>
      <tp t="s">
        <v>#N/A N/A</v>
        <stp/>
        <stp>BDS|6289892146358424560</stp>
        <tr r="I1596" s="2"/>
      </tp>
      <tp t="s">
        <v>#N/A N/A</v>
        <stp/>
        <stp>BDP|9991426172495652806</stp>
        <tr r="D763" s="2"/>
      </tp>
      <tp t="s">
        <v>#N/A N/A</v>
        <stp/>
        <stp>BDP|2545781221953045333</stp>
        <tr r="R1159" s="2"/>
      </tp>
      <tp t="s">
        <v>#N/A N/A</v>
        <stp/>
        <stp>BDP|4566281015559590920</stp>
        <tr r="S1461" s="2"/>
      </tp>
      <tp t="s">
        <v>#N/A N/A</v>
        <stp/>
        <stp>BDP|9381027839029157461</stp>
        <tr r="A958" s="2"/>
      </tp>
      <tp t="s">
        <v>#N/A N/A</v>
        <stp/>
        <stp>BDS|6011649864069883878</stp>
        <tr r="I46" s="2"/>
      </tp>
      <tp t="s">
        <v>#N/A N/A</v>
        <stp/>
        <stp>BDP|6718104441017080396</stp>
        <tr r="J2107" s="2"/>
      </tp>
      <tp t="s">
        <v>#N/A N/A</v>
        <stp/>
        <stp>BDP|1596886867661213973</stp>
        <tr r="S957" s="2"/>
      </tp>
      <tp t="s">
        <v>#N/A N/A</v>
        <stp/>
        <stp>BDP|3800449613632126317</stp>
        <tr r="S2118" s="2"/>
      </tp>
      <tp t="s">
        <v>#N/A N/A</v>
        <stp/>
        <stp>BDP|5994850691052654146</stp>
        <tr r="K759" s="2"/>
      </tp>
      <tp t="s">
        <v>#N/A N/A</v>
        <stp/>
        <stp>BDP|6455397472506842389</stp>
        <tr r="G484" s="2"/>
      </tp>
      <tp t="s">
        <v>#N/A N/A</v>
        <stp/>
        <stp>BDS|6969853409140284985</stp>
        <tr r="I1892" s="2"/>
      </tp>
      <tp t="s">
        <v>#N/A N/A</v>
        <stp/>
        <stp>BDP|4774643518894720034</stp>
        <tr r="H1079" s="2"/>
      </tp>
      <tp t="s">
        <v>#N/A N/A</v>
        <stp/>
        <stp>BDP|3580555528916611518</stp>
        <tr r="Q597" s="2"/>
      </tp>
      <tp t="s">
        <v>#N/A N/A</v>
        <stp/>
        <stp>BDP|1666046806016259098</stp>
        <tr r="J2248" s="2"/>
      </tp>
      <tp t="s">
        <v>#N/A N/A</v>
        <stp/>
        <stp>BDP|6024251754747791190</stp>
        <tr r="O1530" s="2"/>
      </tp>
      <tp t="s">
        <v>#N/A N/A</v>
        <stp/>
        <stp>BDP|4612188264362504607</stp>
        <tr r="S212" s="2"/>
      </tp>
      <tp t="s">
        <v>#N/A N/A</v>
        <stp/>
        <stp>BDP|3502119948535727443</stp>
        <tr r="P682" s="2"/>
      </tp>
      <tp t="s">
        <v>#N/A N/A</v>
        <stp/>
        <stp>BDP|6447575172881646280</stp>
        <tr r="F664" s="2"/>
      </tp>
      <tp t="s">
        <v>#N/A N/A</v>
        <stp/>
        <stp>BDP|6713233925918853963</stp>
        <tr r="G441" s="2"/>
      </tp>
      <tp t="s">
        <v>#N/A N/A</v>
        <stp/>
        <stp>BDP|2373520015246283791</stp>
        <tr r="E633" s="2"/>
      </tp>
      <tp t="s">
        <v>#N/A N/A</v>
        <stp/>
        <stp>BDP|4189571306776918063</stp>
        <tr r="K1997" s="2"/>
      </tp>
      <tp t="s">
        <v>#N/A N/A</v>
        <stp/>
        <stp>BDP|6934272615116446408</stp>
        <tr r="F1105" s="2"/>
      </tp>
      <tp t="s">
        <v>#N/A N/A</v>
        <stp/>
        <stp>BDP|8556137115709414688</stp>
        <tr r="S285" s="2"/>
      </tp>
      <tp t="s">
        <v>#N/A N/A</v>
        <stp/>
        <stp>BDP|3039268172423261295</stp>
        <tr r="S2096" s="2"/>
      </tp>
      <tp t="s">
        <v>#N/A N/A</v>
        <stp/>
        <stp>BDP|8222962109242591474</stp>
        <tr r="G560" s="2"/>
      </tp>
      <tp t="s">
        <v>#N/A N/A</v>
        <stp/>
        <stp>BDP|4790202310807844708</stp>
        <tr r="G1962" s="2"/>
      </tp>
      <tp t="s">
        <v>#N/A N/A</v>
        <stp/>
        <stp>BDP|6516935427908870265</stp>
        <tr r="Q703" s="2"/>
      </tp>
      <tp t="s">
        <v>#N/A N/A</v>
        <stp/>
        <stp>BDP|5107644663204895611</stp>
        <tr r="N2015" s="2"/>
      </tp>
      <tp t="s">
        <v>#N/A N/A</v>
        <stp/>
        <stp>BDS|7751559704800803519</stp>
        <tr r="I948" s="2"/>
      </tp>
      <tp t="s">
        <v>#N/A N/A</v>
        <stp/>
        <stp>BDP|5407343167512873500</stp>
        <tr r="S590" s="2"/>
      </tp>
      <tp t="s">
        <v>#N/A N/A</v>
        <stp/>
        <stp>BDP|8458365230677539884</stp>
        <tr r="K895" s="2"/>
      </tp>
      <tp t="s">
        <v>#N/A N/A</v>
        <stp/>
        <stp>BDS|4824902169179775594</stp>
        <tr r="I1358" s="2"/>
      </tp>
      <tp t="s">
        <v>#N/A N/A</v>
        <stp/>
        <stp>BDP|1611303963805326699</stp>
        <tr r="R675" s="2"/>
      </tp>
      <tp t="s">
        <v>#N/A N/A</v>
        <stp/>
        <stp>BDP|3862930801735792829</stp>
        <tr r="Q1235" s="2"/>
      </tp>
      <tp t="s">
        <v>#N/A N/A</v>
        <stp/>
        <stp>BDP|3953749109811838236</stp>
        <tr r="D1459" s="2"/>
      </tp>
      <tp t="s">
        <v>#N/A N/A</v>
        <stp/>
        <stp>BDP|1064939881986530185</stp>
        <tr r="P472" s="2"/>
      </tp>
      <tp t="s">
        <v>#N/A N/A</v>
        <stp/>
        <stp>BDP|6279335082649519395</stp>
        <tr r="D1302" s="2"/>
      </tp>
      <tp t="s">
        <v>#N/A N/A</v>
        <stp/>
        <stp>BDP|6514207723120075190</stp>
        <tr r="E395" s="2"/>
      </tp>
      <tp t="s">
        <v>#N/A N/A</v>
        <stp/>
        <stp>BDP|7130806101731825970</stp>
        <tr r="J411" s="2"/>
      </tp>
      <tp t="s">
        <v>#N/A N/A</v>
        <stp/>
        <stp>BDP|5199649953580879112</stp>
        <tr r="R2050" s="2"/>
      </tp>
      <tp t="s">
        <v>#N/A N/A</v>
        <stp/>
        <stp>BDP|8746054508536164940</stp>
        <tr r="S1334" s="2"/>
      </tp>
      <tp t="s">
        <v>#N/A N/A</v>
        <stp/>
        <stp>BDP|3663768010642991062</stp>
        <tr r="D390" s="2"/>
      </tp>
      <tp t="s">
        <v>#N/A N/A</v>
        <stp/>
        <stp>BDP|9791401198546863588</stp>
        <tr r="C698" s="2"/>
      </tp>
      <tp t="s">
        <v>#N/A N/A</v>
        <stp/>
        <stp>BDP|2943082235615310382</stp>
        <tr r="C849" s="2"/>
      </tp>
      <tp t="s">
        <v>#N/A N/A</v>
        <stp/>
        <stp>BDP|9370472337308963153</stp>
        <tr r="N1735" s="2"/>
      </tp>
      <tp t="s">
        <v>#N/A N/A</v>
        <stp/>
        <stp>BDP|3853500119273976373</stp>
        <tr r="S1037" s="2"/>
      </tp>
      <tp t="s">
        <v>#N/A N/A</v>
        <stp/>
        <stp>BDP|9059473599142654171</stp>
        <tr r="E1676" s="2"/>
      </tp>
      <tp t="s">
        <v>#N/A N/A</v>
        <stp/>
        <stp>BDP|1639643223732946070</stp>
        <tr r="C1570" s="2"/>
      </tp>
      <tp t="s">
        <v>#N/A N/A</v>
        <stp/>
        <stp>BDP|3738892951590111916</stp>
        <tr r="M1605" s="2"/>
      </tp>
      <tp t="s">
        <v>#N/A N/A</v>
        <stp/>
        <stp>BDP|8320655546374968961</stp>
        <tr r="J1208" s="2"/>
      </tp>
      <tp t="s">
        <v>#N/A N/A</v>
        <stp/>
        <stp>BDP|7274798243316682516</stp>
        <tr r="H1829" s="2"/>
      </tp>
      <tp t="s">
        <v>#N/A N/A</v>
        <stp/>
        <stp>BDP|4872950265548528422</stp>
        <tr r="Q1442" s="2"/>
      </tp>
      <tp t="s">
        <v>#N/A N/A</v>
        <stp/>
        <stp>BDP|9164891860647636710</stp>
        <tr r="G1823" s="2"/>
      </tp>
      <tp t="s">
        <v>#N/A N/A</v>
        <stp/>
        <stp>BDP|9662087996686129167</stp>
        <tr r="E1977" s="2"/>
      </tp>
      <tp t="s">
        <v>#N/A N/A</v>
        <stp/>
        <stp>BDP|5537990000403431871</stp>
        <tr r="T478" s="2"/>
      </tp>
      <tp t="s">
        <v>#N/A N/A</v>
        <stp/>
        <stp>BDP|7093607000421982767</stp>
        <tr r="P384" s="2"/>
      </tp>
      <tp t="s">
        <v>#N/A N/A</v>
        <stp/>
        <stp>BDP|6895742070282045338</stp>
        <tr r="C263" s="2"/>
      </tp>
      <tp t="s">
        <v>#N/A N/A</v>
        <stp/>
        <stp>BDP|2829346132845409058</stp>
        <tr r="Q810" s="2"/>
      </tp>
      <tp t="s">
        <v>#N/A N/A</v>
        <stp/>
        <stp>BDP|5767351025470925315</stp>
        <tr r="E1927" s="2"/>
      </tp>
      <tp t="s">
        <v>#N/A N/A</v>
        <stp/>
        <stp>BDP|5565367154715154197</stp>
        <tr r="A2147" s="2"/>
      </tp>
      <tp t="s">
        <v>#N/A N/A</v>
        <stp/>
        <stp>BDP|8355718089141336178</stp>
        <tr r="P1752" s="2"/>
      </tp>
      <tp t="s">
        <v>#N/A N/A</v>
        <stp/>
        <stp>BDP|9620355891451924546</stp>
        <tr r="O1393" s="2"/>
      </tp>
      <tp t="s">
        <v>#N/A N/A</v>
        <stp/>
        <stp>BDP|9182487331871761807</stp>
        <tr r="O1580" s="2"/>
      </tp>
      <tp t="s">
        <v>#N/A N/A</v>
        <stp/>
        <stp>BDP|8793498623931476869</stp>
        <tr r="T691" s="2"/>
      </tp>
      <tp t="s">
        <v>#N/A N/A</v>
        <stp/>
        <stp>BDP|3964025257723225210</stp>
        <tr r="M1551" s="2"/>
      </tp>
      <tp t="s">
        <v>#N/A N/A</v>
        <stp/>
        <stp>BDP|9832255024127712910</stp>
        <tr r="H393" s="2"/>
      </tp>
      <tp t="s">
        <v>#N/A N/A</v>
        <stp/>
        <stp>BDP|6183795223281217568</stp>
        <tr r="G151" s="2"/>
      </tp>
      <tp t="s">
        <v>#N/A N/A</v>
        <stp/>
        <stp>BDP|6652672668499762813</stp>
        <tr r="J833" s="2"/>
      </tp>
      <tp t="s">
        <v>#N/A N/A</v>
        <stp/>
        <stp>BDP|5877493233395816050</stp>
        <tr r="F1581" s="2"/>
      </tp>
      <tp t="s">
        <v>#N/A N/A</v>
        <stp/>
        <stp>BDP|4466283680160193914</stp>
        <tr r="P1824" s="2"/>
      </tp>
      <tp t="s">
        <v>#N/A N/A</v>
        <stp/>
        <stp>BDP|3413378375565341591</stp>
        <tr r="K124" s="2"/>
      </tp>
      <tp t="s">
        <v>#N/A N/A</v>
        <stp/>
        <stp>BDP|6493634521081349490</stp>
        <tr r="G1409" s="2"/>
      </tp>
      <tp t="s">
        <v>#N/A N/A</v>
        <stp/>
        <stp>BDP|4013318649523137756</stp>
        <tr r="P933" s="2"/>
      </tp>
      <tp t="s">
        <v>#N/A N/A</v>
        <stp/>
        <stp>BDP|3113309284849017698</stp>
        <tr r="T1575" s="2"/>
      </tp>
      <tp t="s">
        <v>#N/A N/A</v>
        <stp/>
        <stp>BDP|5453228132237139495</stp>
        <tr r="G1234" s="2"/>
      </tp>
      <tp t="s">
        <v>#N/A N/A</v>
        <stp/>
        <stp>BDP|6549721335233680686</stp>
        <tr r="A2216" s="2"/>
      </tp>
      <tp t="s">
        <v>#N/A N/A</v>
        <stp/>
        <stp>BDS|7117757249742621178</stp>
        <tr r="I122" s="2"/>
      </tp>
      <tp t="s">
        <v>#N/A N/A</v>
        <stp/>
        <stp>BDP|6642491948611932028</stp>
        <tr r="S661" s="2"/>
      </tp>
      <tp t="s">
        <v>#N/A N/A</v>
        <stp/>
        <stp>BDP|7661348313516875457</stp>
        <tr r="N1568" s="2"/>
      </tp>
      <tp t="s">
        <v>#N/A N/A</v>
        <stp/>
        <stp>BDP|4334621721391529698</stp>
        <tr r="E1903" s="2"/>
      </tp>
      <tp t="s">
        <v>#N/A N/A</v>
        <stp/>
        <stp>BDP|6898042582198778156</stp>
        <tr r="G1221" s="2"/>
      </tp>
      <tp t="s">
        <v>#N/A N/A</v>
        <stp/>
        <stp>BDP|4077902811463822858</stp>
        <tr r="A155" s="2"/>
      </tp>
      <tp t="s">
        <v>#N/A N/A</v>
        <stp/>
        <stp>BDP|3688161401216909341</stp>
        <tr r="N956" s="2"/>
      </tp>
      <tp t="s">
        <v>#N/A N/A</v>
        <stp/>
        <stp>BDP|7642463422983738597</stp>
        <tr r="R1785" s="2"/>
      </tp>
      <tp t="s">
        <v>#N/A N/A</v>
        <stp/>
        <stp>BDP|8530278079413153960</stp>
        <tr r="P126" s="2"/>
      </tp>
      <tp t="s">
        <v>#N/A N/A</v>
        <stp/>
        <stp>BDP|6325549372287107483</stp>
        <tr r="A1061" s="2"/>
      </tp>
      <tp t="s">
        <v>#N/A N/A</v>
        <stp/>
        <stp>BDP|8671419813548886209</stp>
        <tr r="N550" s="2"/>
      </tp>
      <tp t="s">
        <v>#N/A N/A</v>
        <stp/>
        <stp>BDP|9394840554763642097</stp>
        <tr r="J1986" s="2"/>
      </tp>
      <tp t="s">
        <v>#N/A N/A</v>
        <stp/>
        <stp>BDP|9200188291447140165</stp>
        <tr r="C1965" s="2"/>
      </tp>
      <tp t="s">
        <v>#N/A N/A</v>
        <stp/>
        <stp>BDP|7725240842436424099</stp>
        <tr r="Q1797" s="2"/>
      </tp>
      <tp t="s">
        <v>#N/A N/A</v>
        <stp/>
        <stp>BDP|8258605602151450889</stp>
        <tr r="T1586" s="2"/>
      </tp>
      <tp t="s">
        <v>#N/A N/A</v>
        <stp/>
        <stp>BDS|1525998460570750975</stp>
        <tr r="I1102" s="2"/>
      </tp>
      <tp t="s">
        <v>#N/A N/A</v>
        <stp/>
        <stp>BDP|6675507984779929579</stp>
        <tr r="K739" s="2"/>
      </tp>
      <tp t="s">
        <v>#N/A N/A</v>
        <stp/>
        <stp>BDP|2592075814162202681</stp>
        <tr r="O1980" s="2"/>
      </tp>
      <tp t="s">
        <v>#N/A N/A</v>
        <stp/>
        <stp>BDS|5068156557877854162</stp>
        <tr r="I1009" s="2"/>
      </tp>
      <tp t="s">
        <v>#N/A N/A</v>
        <stp/>
        <stp>BDP|4496438920731283492</stp>
        <tr r="E1992" s="2"/>
      </tp>
      <tp t="s">
        <v>#N/A N/A</v>
        <stp/>
        <stp>BDP|6378042059835630142</stp>
        <tr r="S1802" s="2"/>
      </tp>
      <tp t="s">
        <v>#N/A N/A</v>
        <stp/>
        <stp>BDP|4106650957799611999</stp>
        <tr r="D497" s="2"/>
      </tp>
      <tp t="s">
        <v>#N/A N/A</v>
        <stp/>
        <stp>BDP|6672231058227331128</stp>
        <tr r="D110" s="2"/>
      </tp>
      <tp t="s">
        <v>#N/A N/A</v>
        <stp/>
        <stp>BDP|4836661541829779842</stp>
        <tr r="E274" s="2"/>
      </tp>
      <tp t="s">
        <v>#N/A N/A</v>
        <stp/>
        <stp>BDP|1973972889437983026</stp>
        <tr r="P988" s="2"/>
      </tp>
      <tp t="s">
        <v>#N/A N/A</v>
        <stp/>
        <stp>BDP|4546015366112905771</stp>
        <tr r="G64" s="2"/>
      </tp>
      <tp t="s">
        <v>#N/A N/A</v>
        <stp/>
        <stp>BDP|4329480185077563875</stp>
        <tr r="Q1276" s="2"/>
      </tp>
      <tp t="s">
        <v>#N/A N/A</v>
        <stp/>
        <stp>BDP|2376391856740157315</stp>
        <tr r="C2089" s="2"/>
      </tp>
      <tp t="s">
        <v>#N/A N/A</v>
        <stp/>
        <stp>BDP|3875639374283080635</stp>
        <tr r="K2095" s="2"/>
      </tp>
      <tp t="s">
        <v>#N/A N/A</v>
        <stp/>
        <stp>BDP|9651710896837995745</stp>
        <tr r="R1645" s="2"/>
      </tp>
      <tp t="s">
        <v>#N/A N/A</v>
        <stp/>
        <stp>BDP|1452168258880630207</stp>
        <tr r="A1422" s="2"/>
      </tp>
      <tp t="s">
        <v>#N/A N/A</v>
        <stp/>
        <stp>BDP|2752173576896387597</stp>
        <tr r="C621" s="2"/>
      </tp>
      <tp t="s">
        <v>#N/A N/A</v>
        <stp/>
        <stp>BDP|1273756556175852155</stp>
        <tr r="Q1030" s="2"/>
      </tp>
      <tp t="s">
        <v>#N/A N/A</v>
        <stp/>
        <stp>BDP|3761816776329478284</stp>
        <tr r="C848" s="2"/>
      </tp>
      <tp t="s">
        <v>#N/A N/A</v>
        <stp/>
        <stp>BDP|9099022703308593681</stp>
        <tr r="C254" s="2"/>
      </tp>
      <tp t="s">
        <v>#N/A N/A</v>
        <stp/>
        <stp>BDP|6185127956350943508</stp>
        <tr r="H4" s="2"/>
      </tp>
      <tp t="s">
        <v>#N/A N/A</v>
        <stp/>
        <stp>BDP|2328121527220324693</stp>
        <tr r="R1036" s="2"/>
      </tp>
      <tp t="s">
        <v>#N/A N/A</v>
        <stp/>
        <stp>BDP|6429484173442347006</stp>
        <tr r="T1776" s="2"/>
      </tp>
      <tp t="s">
        <v>#N/A N/A</v>
        <stp/>
        <stp>BDP|1109970370191847926</stp>
        <tr r="C1025" s="2"/>
      </tp>
      <tp t="s">
        <v>#N/A N/A</v>
        <stp/>
        <stp>BDP|6400264080028953372</stp>
        <tr r="C1613" s="2"/>
      </tp>
      <tp t="s">
        <v>#N/A N/A</v>
        <stp/>
        <stp>BDP|1354670372253200484</stp>
        <tr r="S1349" s="2"/>
      </tp>
      <tp t="s">
        <v>#N/A N/A</v>
        <stp/>
        <stp>BDP|3766103092834978809</stp>
        <tr r="N1458" s="2"/>
      </tp>
      <tp t="s">
        <v>#N/A N/A</v>
        <stp/>
        <stp>BDP|6948535986728428447</stp>
        <tr r="F1833" s="2"/>
      </tp>
      <tp t="s">
        <v>#N/A N/A</v>
        <stp/>
        <stp>BDP|7473636683997027989</stp>
        <tr r="F14" s="2"/>
      </tp>
      <tp t="s">
        <v>#N/A N/A</v>
        <stp/>
        <stp>BDP|8961600535102260823</stp>
        <tr r="M1461" s="2"/>
      </tp>
      <tp t="s">
        <v>#N/A N/A</v>
        <stp/>
        <stp>BDP|4045509238914543112</stp>
        <tr r="H281" s="2"/>
      </tp>
      <tp t="s">
        <v>#N/A N/A</v>
        <stp/>
        <stp>BDP|5765505655595879763</stp>
        <tr r="E719" s="2"/>
      </tp>
      <tp t="s">
        <v>#N/A N/A</v>
        <stp/>
        <stp>BDP|9970630616788435141</stp>
        <tr r="O1484" s="2"/>
      </tp>
      <tp t="s">
        <v>#N/A N/A</v>
        <stp/>
        <stp>BDP|4127604577374935633</stp>
        <tr r="K2092" s="2"/>
      </tp>
      <tp t="s">
        <v>#N/A N/A</v>
        <stp/>
        <stp>BDP|8647002535079675594</stp>
        <tr r="E1351" s="2"/>
      </tp>
      <tp t="s">
        <v>#N/A N/A</v>
        <stp/>
        <stp>BDP|3353977218744424842</stp>
        <tr r="S540" s="2"/>
      </tp>
      <tp t="s">
        <v>#N/A N/A</v>
        <stp/>
        <stp>BDP|5395889685865246709</stp>
        <tr r="A1998" s="2"/>
      </tp>
      <tp t="s">
        <v>#N/A N/A</v>
        <stp/>
        <stp>BDP|7881412731424329379</stp>
        <tr r="R727" s="2"/>
      </tp>
      <tp t="s">
        <v>#N/A N/A</v>
        <stp/>
        <stp>BDP|6919671205037271052</stp>
        <tr r="N178" s="2"/>
      </tp>
      <tp t="s">
        <v>#N/A N/A</v>
        <stp/>
        <stp>BDP|6557719408810817681</stp>
        <tr r="K2207" s="2"/>
      </tp>
      <tp t="s">
        <v>#N/A N/A</v>
        <stp/>
        <stp>BDP|8324556709143474976</stp>
        <tr r="S1539" s="2"/>
      </tp>
      <tp t="s">
        <v>#N/A N/A</v>
        <stp/>
        <stp>BDP|1359348584718895577</stp>
        <tr r="C445" s="2"/>
      </tp>
      <tp t="s">
        <v>#N/A N/A</v>
        <stp/>
        <stp>BDP|5068425371237722687</stp>
        <tr r="E1267" s="2"/>
      </tp>
      <tp t="s">
        <v>#N/A N/A</v>
        <stp/>
        <stp>BDP|7981636334871700451</stp>
        <tr r="E1542" s="2"/>
      </tp>
      <tp t="s">
        <v>#N/A N/A</v>
        <stp/>
        <stp>BDP|5536114386709668281</stp>
        <tr r="K307" s="2"/>
      </tp>
      <tp t="s">
        <v>#N/A N/A</v>
        <stp/>
        <stp>BDP|1272927548569409202</stp>
        <tr r="J1978" s="2"/>
      </tp>
      <tp t="s">
        <v>#N/A N/A</v>
        <stp/>
        <stp>BDP|7044604816901976639</stp>
        <tr r="A696" s="2"/>
      </tp>
      <tp t="s">
        <v>#N/A N/A</v>
        <stp/>
        <stp>BDP|9443601280462052282</stp>
        <tr r="F374" s="2"/>
      </tp>
      <tp t="s">
        <v>#N/A N/A</v>
        <stp/>
        <stp>BDP|2464517625907574599</stp>
        <tr r="F2018" s="2"/>
      </tp>
      <tp t="s">
        <v>#N/A N/A</v>
        <stp/>
        <stp>BDP|6157454344651887049</stp>
        <tr r="O716" s="2"/>
      </tp>
      <tp t="s">
        <v>#N/A N/A</v>
        <stp/>
        <stp>BDP|6625229238536183610</stp>
        <tr r="C2070" s="2"/>
      </tp>
      <tp t="s">
        <v>#N/A N/A</v>
        <stp/>
        <stp>BDP|2482593600957502744</stp>
        <tr r="F273" s="2"/>
      </tp>
      <tp t="s">
        <v>#N/A N/A</v>
        <stp/>
        <stp>BDP|7651204560991892527</stp>
        <tr r="S453" s="2"/>
      </tp>
      <tp t="s">
        <v>#N/A N/A</v>
        <stp/>
        <stp>BDP|4153008179421068549</stp>
        <tr r="E534" s="2"/>
      </tp>
      <tp t="s">
        <v>#N/A N/A</v>
        <stp/>
        <stp>BDP|4363154277581891458</stp>
        <tr r="N1972" s="2"/>
      </tp>
      <tp t="s">
        <v>#N/A N/A</v>
        <stp/>
        <stp>BDP|3696046656808180986</stp>
        <tr r="D976" s="2"/>
      </tp>
      <tp t="s">
        <v>#N/A N/A</v>
        <stp/>
        <stp>BDP|3090297648426556496</stp>
        <tr r="A394" s="2"/>
      </tp>
      <tp t="s">
        <v>#N/A N/A</v>
        <stp/>
        <stp>BDP|3519560235330237298</stp>
        <tr r="A595" s="2"/>
      </tp>
      <tp t="s">
        <v>#N/A N/A</v>
        <stp/>
        <stp>BDP|3749272369075184557</stp>
        <tr r="G1319" s="2"/>
      </tp>
      <tp t="s">
        <v>#N/A N/A</v>
        <stp/>
        <stp>BDP|7261115399898300042</stp>
        <tr r="N1706" s="2"/>
      </tp>
      <tp t="s">
        <v>#N/A N/A</v>
        <stp/>
        <stp>BDP|8474879768567711612</stp>
        <tr r="Q1560" s="2"/>
      </tp>
      <tp t="s">
        <v>#N/A N/A</v>
        <stp/>
        <stp>BDP|2378400176994063280</stp>
        <tr r="S1271" s="2"/>
      </tp>
      <tp t="s">
        <v>#N/A N/A</v>
        <stp/>
        <stp>BDP|3937997488761299472</stp>
        <tr r="M1022" s="2"/>
      </tp>
      <tp t="s">
        <v>#N/A N/A</v>
        <stp/>
        <stp>BDP|8174780082814608407</stp>
        <tr r="D358" s="2"/>
      </tp>
      <tp t="s">
        <v>#N/A N/A</v>
        <stp/>
        <stp>BDP|7452449975770949314</stp>
        <tr r="E153" s="2"/>
      </tp>
      <tp t="s">
        <v>#N/A N/A</v>
        <stp/>
        <stp>BDP|6891822557144020803</stp>
        <tr r="S462" s="2"/>
      </tp>
      <tp t="s">
        <v>#N/A N/A</v>
        <stp/>
        <stp>BDP|6341323289898475213</stp>
        <tr r="D1214" s="2"/>
      </tp>
      <tp t="s">
        <v>#N/A N/A</v>
        <stp/>
        <stp>BDS|8152854068878923982</stp>
        <tr r="I1339" s="2"/>
      </tp>
      <tp t="s">
        <v>#N/A N/A</v>
        <stp/>
        <stp>BDP|5827378365442703504</stp>
        <tr r="S967" s="2"/>
      </tp>
      <tp t="s">
        <v>#N/A N/A</v>
        <stp/>
        <stp>BDP|9844993239485701129</stp>
        <tr r="O223" s="2"/>
      </tp>
      <tp t="s">
        <v>#N/A N/A</v>
        <stp/>
        <stp>BDP|5467652075801993208</stp>
        <tr r="P341" s="2"/>
      </tp>
      <tp t="s">
        <v>#N/A N/A</v>
        <stp/>
        <stp>BDP|8907557897893212043</stp>
        <tr r="S1236" s="2"/>
      </tp>
      <tp t="s">
        <v>#N/A N/A</v>
        <stp/>
        <stp>BDP|9295678398023490245</stp>
        <tr r="A742" s="2"/>
      </tp>
      <tp t="s">
        <v>#N/A N/A</v>
        <stp/>
        <stp>BDP|7193575151709351993</stp>
        <tr r="O2245" s="2"/>
      </tp>
      <tp t="s">
        <v>#N/A N/A</v>
        <stp/>
        <stp>BDP|9925695229708149259</stp>
        <tr r="P529" s="2"/>
      </tp>
      <tp t="s">
        <v>#N/A N/A</v>
        <stp/>
        <stp>BDP|6759703872303009288</stp>
        <tr r="C443" s="2"/>
      </tp>
      <tp t="s">
        <v>#N/A N/A</v>
        <stp/>
        <stp>BDP|7399781422577573217</stp>
        <tr r="C638" s="2"/>
      </tp>
      <tp t="s">
        <v>#N/A N/A</v>
        <stp/>
        <stp>BDP|2490152000683803740</stp>
        <tr r="H1583" s="2"/>
      </tp>
      <tp t="s">
        <v>#N/A N/A</v>
        <stp/>
        <stp>BDP|5835518744136315537</stp>
        <tr r="Q2158" s="2"/>
      </tp>
      <tp t="s">
        <v>#N/A N/A</v>
        <stp/>
        <stp>BDP|1323622695868006194</stp>
        <tr r="C1529" s="2"/>
      </tp>
      <tp t="s">
        <v>#N/A N/A</v>
        <stp/>
        <stp>BDP|9597006030424033984</stp>
        <tr r="H492" s="2"/>
      </tp>
      <tp t="s">
        <v>#N/A N/A</v>
        <stp/>
        <stp>BDP|3336450009247452768</stp>
        <tr r="G2040" s="2"/>
      </tp>
      <tp t="s">
        <v>#N/A N/A</v>
        <stp/>
        <stp>BDP|3536423138890053321</stp>
        <tr r="E2006" s="2"/>
      </tp>
      <tp t="s">
        <v>#N/A N/A</v>
        <stp/>
        <stp>BDP|9992316885041245427</stp>
        <tr r="F2147" s="2"/>
      </tp>
      <tp t="s">
        <v>#N/A N/A</v>
        <stp/>
        <stp>BDP|7128690377780382112</stp>
        <tr r="M5" s="2"/>
      </tp>
      <tp t="s">
        <v>#N/A N/A</v>
        <stp/>
        <stp>BDP|1822748068353175481</stp>
        <tr r="D178" s="2"/>
      </tp>
      <tp t="s">
        <v>#N/A N/A</v>
        <stp/>
        <stp>BDP|6224893109430734989</stp>
        <tr r="J1489" s="2"/>
      </tp>
      <tp t="s">
        <v>#N/A N/A</v>
        <stp/>
        <stp>BDP|7477258442227943176</stp>
        <tr r="C1569" s="2"/>
      </tp>
      <tp t="s">
        <v>#N/A N/A</v>
        <stp/>
        <stp>BDP|6683001331784294688</stp>
        <tr r="G1637" s="2"/>
      </tp>
      <tp t="s">
        <v>#N/A N/A</v>
        <stp/>
        <stp>BDP|1097023117727811002</stp>
        <tr r="H1927" s="2"/>
      </tp>
      <tp t="s">
        <v>#N/A N/A</v>
        <stp/>
        <stp>BDP|2813903950411408818</stp>
        <tr r="S2182" s="2"/>
      </tp>
      <tp t="s">
        <v>#N/A N/A</v>
        <stp/>
        <stp>BDP|1133797262651620611</stp>
        <tr r="C2201" s="2"/>
      </tp>
      <tp t="s">
        <v>#N/A N/A</v>
        <stp/>
        <stp>BDP|8467556780147419581</stp>
        <tr r="K137" s="2"/>
      </tp>
      <tp t="s">
        <v>#N/A N/A</v>
        <stp/>
        <stp>BDP|5757389119580984020</stp>
        <tr r="C1624" s="2"/>
      </tp>
      <tp t="s">
        <v>#N/A N/A</v>
        <stp/>
        <stp>BDP|1995467508182393097</stp>
        <tr r="P613" s="2"/>
      </tp>
      <tp t="s">
        <v>#N/A N/A</v>
        <stp/>
        <stp>BDP|4969485007944296392</stp>
        <tr r="G1465" s="2"/>
      </tp>
      <tp t="s">
        <v>#N/A N/A</v>
        <stp/>
        <stp>BDP|7068292646725367314</stp>
        <tr r="S1399" s="2"/>
      </tp>
      <tp t="s">
        <v>#N/A N/A</v>
        <stp/>
        <stp>BDP|7475057593838696191</stp>
        <tr r="C2005" s="2"/>
      </tp>
      <tp t="s">
        <v>#N/A N/A</v>
        <stp/>
        <stp>BDP|6021780067761117134</stp>
        <tr r="N1027" s="2"/>
      </tp>
      <tp t="s">
        <v>#N/A N/A</v>
        <stp/>
        <stp>BDP|5497304240026986305</stp>
        <tr r="S1970" s="2"/>
      </tp>
      <tp t="s">
        <v>#N/A N/A</v>
        <stp/>
        <stp>BDP|4860654000392420743</stp>
        <tr r="N1692" s="2"/>
      </tp>
      <tp t="s">
        <v>#N/A N/A</v>
        <stp/>
        <stp>BDP|2428472310962817268</stp>
        <tr r="G2253" s="2"/>
      </tp>
      <tp t="s">
        <v>#N/A N/A</v>
        <stp/>
        <stp>BDP|9759565028300442907</stp>
        <tr r="P979" s="2"/>
      </tp>
      <tp t="s">
        <v>#N/A N/A</v>
        <stp/>
        <stp>BDP|6903364600013112136</stp>
        <tr r="H396" s="2"/>
      </tp>
      <tp t="s">
        <v>#N/A N/A</v>
        <stp/>
        <stp>BDP|7549320924307647680</stp>
        <tr r="G146" s="2"/>
      </tp>
      <tp t="s">
        <v>#N/A N/A</v>
        <stp/>
        <stp>BDP|9283396233169095755</stp>
        <tr r="F894" s="2"/>
      </tp>
      <tp t="s">
        <v>#N/A N/A</v>
        <stp/>
        <stp>BDP|5795591102076420159</stp>
        <tr r="R761" s="2"/>
      </tp>
      <tp t="s">
        <v>#N/A N/A</v>
        <stp/>
        <stp>BDP|9153600888912695226</stp>
        <tr r="O1098" s="2"/>
      </tp>
      <tp t="s">
        <v>#N/A N/A</v>
        <stp/>
        <stp>BDS|3086598210485769533</stp>
        <tr r="I1509" s="2"/>
      </tp>
      <tp t="s">
        <v>#N/A N/A</v>
        <stp/>
        <stp>BDP|2406504265783501591</stp>
        <tr r="N854" s="2"/>
      </tp>
      <tp t="s">
        <v>#N/A N/A</v>
        <stp/>
        <stp>BDP|5956276122086631472</stp>
        <tr r="O1376" s="2"/>
      </tp>
      <tp t="s">
        <v>#N/A N/A</v>
        <stp/>
        <stp>BDP|2932540331110279337</stp>
        <tr r="M1794" s="2"/>
      </tp>
      <tp t="s">
        <v>#N/A N/A</v>
        <stp/>
        <stp>BDP|3331204903460957644</stp>
        <tr r="E2251" s="2"/>
      </tp>
      <tp t="s">
        <v>#N/A N/A</v>
        <stp/>
        <stp>BDP|4905417007650574773</stp>
        <tr r="A1712" s="2"/>
      </tp>
      <tp t="s">
        <v>#N/A N/A</v>
        <stp/>
        <stp>BDP|7461930289641006035</stp>
        <tr r="R1191" s="2"/>
      </tp>
      <tp t="s">
        <v>#N/A N/A</v>
        <stp/>
        <stp>BDP|4807330137437646475</stp>
        <tr r="Q1134" s="2"/>
      </tp>
      <tp t="s">
        <v>#N/A N/A</v>
        <stp/>
        <stp>BDP|5740620299069648475</stp>
        <tr r="A1220" s="2"/>
      </tp>
      <tp t="s">
        <v>#N/A N/A</v>
        <stp/>
        <stp>BDP|2782243977548825819</stp>
        <tr r="T792" s="2"/>
      </tp>
      <tp t="s">
        <v>#N/A N/A</v>
        <stp/>
        <stp>BDP|2610033842193954232</stp>
        <tr r="D1127" s="2"/>
      </tp>
      <tp t="s">
        <v>#N/A N/A</v>
        <stp/>
        <stp>BDS|1148881691232035553</stp>
        <tr r="I1893" s="2"/>
      </tp>
      <tp t="s">
        <v>#N/A N/A</v>
        <stp/>
        <stp>BDP|8092498916099458360</stp>
        <tr r="T195" s="2"/>
      </tp>
      <tp t="s">
        <v>#N/A N/A</v>
        <stp/>
        <stp>BDP|3443691150416376131</stp>
        <tr r="P1337" s="2"/>
      </tp>
      <tp t="s">
        <v>#N/A N/A</v>
        <stp/>
        <stp>BDP|5951514318026976041</stp>
        <tr r="O1997" s="2"/>
      </tp>
      <tp t="s">
        <v>#N/A N/A</v>
        <stp/>
        <stp>BDP|6567711949781220325</stp>
        <tr r="A298" s="2"/>
      </tp>
      <tp t="s">
        <v>#N/A N/A</v>
        <stp/>
        <stp>BDP|4993165417804067755</stp>
        <tr r="E628" s="2"/>
      </tp>
      <tp t="s">
        <v>#N/A N/A</v>
        <stp/>
        <stp>BDP|5967216072304147360</stp>
        <tr r="C1355" s="2"/>
      </tp>
      <tp t="s">
        <v>#N/A N/A</v>
        <stp/>
        <stp>BDP|6591688851213225136</stp>
        <tr r="H123" s="2"/>
      </tp>
      <tp t="s">
        <v>#N/A N/A</v>
        <stp/>
        <stp>BDP|8130832932642511680</stp>
        <tr r="E2090" s="2"/>
      </tp>
      <tp t="s">
        <v>#N/A N/A</v>
        <stp/>
        <stp>BDP|6108694115646902094</stp>
        <tr r="D653" s="2"/>
      </tp>
      <tp t="s">
        <v>#N/A N/A</v>
        <stp/>
        <stp>BDP|6024484444999938875</stp>
        <tr r="K1025" s="2"/>
      </tp>
      <tp t="s">
        <v>#N/A N/A</v>
        <stp/>
        <stp>BDP|1630142579224132488</stp>
        <tr r="P362" s="2"/>
      </tp>
      <tp t="s">
        <v>#N/A N/A</v>
        <stp/>
        <stp>BDP|4241531696547215879</stp>
        <tr r="K653" s="2"/>
      </tp>
      <tp t="s">
        <v>#N/A N/A</v>
        <stp/>
        <stp>BDP|7925345609500725318</stp>
        <tr r="N521" s="2"/>
      </tp>
      <tp t="s">
        <v>#N/A N/A</v>
        <stp/>
        <stp>BDP|1489598932006502688</stp>
        <tr r="Q712" s="2"/>
      </tp>
      <tp t="s">
        <v>#N/A N/A</v>
        <stp/>
        <stp>BDP|2737027846751129009</stp>
        <tr r="J1250" s="2"/>
      </tp>
      <tp t="s">
        <v>#N/A N/A</v>
        <stp/>
        <stp>BDP|4191380844491644592</stp>
        <tr r="J1780" s="2"/>
      </tp>
      <tp t="s">
        <v>#N/A N/A</v>
        <stp/>
        <stp>BDP|9248393432399891736</stp>
        <tr r="P1794" s="2"/>
      </tp>
      <tp t="s">
        <v>#N/A N/A</v>
        <stp/>
        <stp>BDP|6036728175353054256</stp>
        <tr r="N1314" s="2"/>
      </tp>
      <tp t="s">
        <v>#N/A N/A</v>
        <stp/>
        <stp>BDP|9750240106969160561</stp>
        <tr r="Q1123" s="2"/>
      </tp>
      <tp t="s">
        <v>#N/A N/A</v>
        <stp/>
        <stp>BDP|8019236866558616318</stp>
        <tr r="T533" s="2"/>
      </tp>
      <tp t="s">
        <v>#N/A N/A</v>
        <stp/>
        <stp>BDP|9266648405860099814</stp>
        <tr r="D866" s="2"/>
      </tp>
      <tp t="s">
        <v>#N/A N/A</v>
        <stp/>
        <stp>BDP|2597469414084224479</stp>
        <tr r="D2234" s="2"/>
      </tp>
      <tp t="s">
        <v>#N/A N/A</v>
        <stp/>
        <stp>BDP|4725288901537966652</stp>
        <tr r="S895" s="2"/>
      </tp>
      <tp t="s">
        <v>#N/A N/A</v>
        <stp/>
        <stp>BDP|3043062433014552329</stp>
        <tr r="O307" s="2"/>
      </tp>
      <tp t="s">
        <v>#N/A N/A</v>
        <stp/>
        <stp>BDP|3334548526962083130</stp>
        <tr r="C1039" s="2"/>
      </tp>
      <tp t="s">
        <v>#N/A N/A</v>
        <stp/>
        <stp>BDP|9922025165738486082</stp>
        <tr r="O601" s="2"/>
      </tp>
      <tp t="s">
        <v>#N/A N/A</v>
        <stp/>
        <stp>BDP|6211239569765255080</stp>
        <tr r="T321" s="2"/>
      </tp>
      <tp t="s">
        <v>#N/A N/A</v>
        <stp/>
        <stp>BDP|5946401650010970328</stp>
        <tr r="J1621" s="2"/>
      </tp>
      <tp t="s">
        <v>#N/A N/A</v>
        <stp/>
        <stp>BDP|6176791001236979029</stp>
        <tr r="D849" s="2"/>
      </tp>
      <tp t="s">
        <v>#N/A N/A</v>
        <stp/>
        <stp>BDP|6415516835435183231</stp>
        <tr r="J1999" s="2"/>
      </tp>
      <tp t="s">
        <v>#N/A N/A</v>
        <stp/>
        <stp>BDP|8684876566158359960</stp>
        <tr r="K140" s="2"/>
      </tp>
      <tp t="s">
        <v>#N/A N/A</v>
        <stp/>
        <stp>BDP|3879630297212995976</stp>
        <tr r="H2051" s="2"/>
      </tp>
      <tp t="s">
        <v>#N/A N/A</v>
        <stp/>
        <stp>BDP|3889885777782249974</stp>
        <tr r="P1746" s="2"/>
      </tp>
      <tp t="s">
        <v>#N/A N/A</v>
        <stp/>
        <stp>BDP|8283830470363057333</stp>
        <tr r="J998" s="2"/>
      </tp>
      <tp t="s">
        <v>#N/A N/A</v>
        <stp/>
        <stp>BDP|3276756511731580313</stp>
        <tr r="T620" s="2"/>
      </tp>
      <tp t="s">
        <v>#N/A N/A</v>
        <stp/>
        <stp>BDP|8617728783118760823</stp>
        <tr r="T1531" s="2"/>
      </tp>
      <tp t="s">
        <v>#N/A N/A</v>
        <stp/>
        <stp>BDP|9649970311837603141</stp>
        <tr r="E1666" s="2"/>
      </tp>
      <tp t="s">
        <v>#N/A N/A</v>
        <stp/>
        <stp>BDS|2122710420899665942</stp>
        <tr r="I82" s="2"/>
      </tp>
      <tp t="s">
        <v>#N/A N/A</v>
        <stp/>
        <stp>BDP|5655759409420165592</stp>
        <tr r="J861" s="2"/>
      </tp>
      <tp t="s">
        <v>#N/A N/A</v>
        <stp/>
        <stp>BDP|9453436583704194671</stp>
        <tr r="T869" s="2"/>
      </tp>
      <tp t="s">
        <v>#N/A N/A</v>
        <stp/>
        <stp>BDP|3335472426044048609</stp>
        <tr r="C1550" s="2"/>
      </tp>
      <tp t="s">
        <v>#N/A N/A</v>
        <stp/>
        <stp>BDP|5355948859476857840</stp>
        <tr r="F2173" s="2"/>
      </tp>
      <tp t="s">
        <v>#N/A N/A</v>
        <stp/>
        <stp>BDP|5958332834462569099</stp>
        <tr r="S1651" s="2"/>
      </tp>
      <tp t="s">
        <v>#N/A N/A</v>
        <stp/>
        <stp>BDP|2189543811682010360</stp>
        <tr r="K1931" s="2"/>
      </tp>
      <tp t="s">
        <v>#N/A N/A</v>
        <stp/>
        <stp>BDP|2921759080592643886</stp>
        <tr r="S897" s="2"/>
      </tp>
      <tp t="s">
        <v>#N/A N/A</v>
        <stp/>
        <stp>BDP|3745692952707997074</stp>
        <tr r="H351" s="2"/>
      </tp>
      <tp t="s">
        <v>#N/A N/A</v>
        <stp/>
        <stp>BDP|9120520275298650429</stp>
        <tr r="Q1092" s="2"/>
      </tp>
      <tp t="s">
        <v>#N/A N/A</v>
        <stp/>
        <stp>BDP|5158434435980100547</stp>
        <tr r="F81" s="2"/>
      </tp>
      <tp t="s">
        <v>#N/A N/A</v>
        <stp/>
        <stp>BDP|5740005234724810598</stp>
        <tr r="J372" s="2"/>
      </tp>
      <tp t="s">
        <v>#N/A N/A</v>
        <stp/>
        <stp>BDP|9330809220232430654</stp>
        <tr r="T669" s="2"/>
      </tp>
      <tp t="s">
        <v>#N/A N/A</v>
        <stp/>
        <stp>BDP|6675821958839721593</stp>
        <tr r="E1488" s="2"/>
      </tp>
      <tp t="s">
        <v>#N/A N/A</v>
        <stp/>
        <stp>BDP|9306448272474217953</stp>
        <tr r="F618" s="2"/>
      </tp>
      <tp t="s">
        <v>#N/A N/A</v>
        <stp/>
        <stp>BDP|2463732440854515203</stp>
        <tr r="P1214" s="2"/>
      </tp>
      <tp t="s">
        <v>#N/A N/A</v>
        <stp/>
        <stp>BDP|6775880179666275868</stp>
        <tr r="C246" s="2"/>
      </tp>
      <tp t="s">
        <v>#N/A N/A</v>
        <stp/>
        <stp>BDP|4918568923510660484</stp>
        <tr r="P1550" s="2"/>
      </tp>
      <tp t="s">
        <v>#N/A N/A</v>
        <stp/>
        <stp>BDP|5334581955882575093</stp>
        <tr r="A962" s="2"/>
      </tp>
      <tp t="s">
        <v>#N/A N/A</v>
        <stp/>
        <stp>BDP|6959377794859963212</stp>
        <tr r="F431" s="2"/>
      </tp>
      <tp t="s">
        <v>#N/A N/A</v>
        <stp/>
        <stp>BDP|2715644923937589675</stp>
        <tr r="J457" s="2"/>
      </tp>
      <tp t="s">
        <v>#N/A N/A</v>
        <stp/>
        <stp>BDP|4622010773720231447</stp>
        <tr r="D1624" s="2"/>
      </tp>
      <tp t="s">
        <v>#N/A N/A</v>
        <stp/>
        <stp>BDP|4084599668411323106</stp>
        <tr r="S844" s="2"/>
      </tp>
      <tp t="s">
        <v>#N/A N/A</v>
        <stp/>
        <stp>BDP|2356671857190509644</stp>
        <tr r="C1122" s="2"/>
      </tp>
      <tp t="s">
        <v>#N/A N/A</v>
        <stp/>
        <stp>BDP|8130996858232001126</stp>
        <tr r="G2197" s="2"/>
      </tp>
      <tp t="s">
        <v>#N/A N/A</v>
        <stp/>
        <stp>BDP|9494833960594488417</stp>
        <tr r="N504" s="2"/>
      </tp>
      <tp t="s">
        <v>#N/A N/A</v>
        <stp/>
        <stp>BDP|7228797531103953711</stp>
        <tr r="H723" s="2"/>
      </tp>
      <tp t="s">
        <v>#N/A N/A</v>
        <stp/>
        <stp>BDS|4168454255266563465</stp>
        <tr r="I850" s="2"/>
      </tp>
      <tp t="s">
        <v>#N/A N/A</v>
        <stp/>
        <stp>BDP|7257891958678021510</stp>
        <tr r="M176" s="2"/>
      </tp>
      <tp t="s">
        <v>#N/A N/A</v>
        <stp/>
        <stp>BDP|6517529952939236852</stp>
        <tr r="H629" s="2"/>
      </tp>
      <tp t="s">
        <v>#N/A N/A</v>
        <stp/>
        <stp>BDP|1519764800649781868</stp>
        <tr r="R300" s="2"/>
      </tp>
      <tp t="s">
        <v>#N/A N/A</v>
        <stp/>
        <stp>BDP|2042355580769277752</stp>
        <tr r="P320" s="2"/>
      </tp>
      <tp t="s">
        <v>#N/A N/A</v>
        <stp/>
        <stp>BDP|5689704531945640332</stp>
        <tr r="K849" s="2"/>
      </tp>
      <tp t="s">
        <v>#N/A N/A</v>
        <stp/>
        <stp>BDP|8641533801938543239</stp>
        <tr r="S1491" s="2"/>
      </tp>
      <tp t="s">
        <v>#N/A N/A</v>
        <stp/>
        <stp>BDS|2344612396099144372</stp>
        <tr r="I121" s="2"/>
      </tp>
      <tp t="s">
        <v>#N/A N/A</v>
        <stp/>
        <stp>BDS|8197781356665990846</stp>
        <tr r="I1519" s="2"/>
      </tp>
      <tp t="s">
        <v>#N/A N/A</v>
        <stp/>
        <stp>BDP|5732064924303535325</stp>
        <tr r="K184" s="2"/>
      </tp>
      <tp t="s">
        <v>#N/A N/A</v>
        <stp/>
        <stp>BDP|8046267731469218774</stp>
        <tr r="F1656" s="2"/>
      </tp>
      <tp t="s">
        <v>#N/A N/A</v>
        <stp/>
        <stp>BDP|7701596509630512504</stp>
        <tr r="O2084" s="2"/>
      </tp>
      <tp t="s">
        <v>#N/A N/A</v>
        <stp/>
        <stp>BDP|6657059456976362246</stp>
        <tr r="K63" s="2"/>
      </tp>
      <tp t="s">
        <v>#N/A N/A</v>
        <stp/>
        <stp>BDP|9804198471150593875</stp>
        <tr r="G1251" s="2"/>
      </tp>
      <tp t="s">
        <v>#N/A N/A</v>
        <stp/>
        <stp>BDP|7522226576075340005</stp>
        <tr r="H1951" s="2"/>
      </tp>
      <tp t="s">
        <v>#N/A N/A</v>
        <stp/>
        <stp>BDP|5895367464925122290</stp>
        <tr r="G1598" s="2"/>
      </tp>
      <tp t="s">
        <v>#N/A N/A</v>
        <stp/>
        <stp>BDP|9268406279588083598</stp>
        <tr r="G2161" s="2"/>
      </tp>
      <tp t="s">
        <v>#N/A N/A</v>
        <stp/>
        <stp>BDP|7573794938190240443</stp>
        <tr r="O272" s="2"/>
      </tp>
      <tp t="s">
        <v>#N/A N/A</v>
        <stp/>
        <stp>BDP|1986182413643808589</stp>
        <tr r="R2097" s="2"/>
      </tp>
      <tp t="s">
        <v>#N/A N/A</v>
        <stp/>
        <stp>BDP|9753574837321223975</stp>
        <tr r="T1373" s="2"/>
      </tp>
      <tp t="s">
        <v>#N/A N/A</v>
        <stp/>
        <stp>BDP|4861384461861288717</stp>
        <tr r="S608" s="2"/>
      </tp>
      <tp t="s">
        <v>#N/A N/A</v>
        <stp/>
        <stp>BDP|7634338289313850869</stp>
        <tr r="N1812" s="2"/>
      </tp>
      <tp t="s">
        <v>#N/A N/A</v>
        <stp/>
        <stp>BDP|9346914602900580775</stp>
        <tr r="H593" s="2"/>
      </tp>
      <tp t="s">
        <v>#N/A N/A</v>
        <stp/>
        <stp>BDP|7046914043115626867</stp>
        <tr r="S2004" s="2"/>
      </tp>
      <tp t="s">
        <v>#N/A N/A</v>
        <stp/>
        <stp>BDP|1714570653632173404</stp>
        <tr r="C1094" s="2"/>
      </tp>
      <tp t="s">
        <v>#N/A N/A</v>
        <stp/>
        <stp>BDP|3034947614004381818</stp>
        <tr r="J1624" s="2"/>
      </tp>
      <tp t="s">
        <v>#N/A N/A</v>
        <stp/>
        <stp>BDP|8210805081488404754</stp>
        <tr r="D1156" s="2"/>
      </tp>
      <tp t="s">
        <v>#N/A N/A</v>
        <stp/>
        <stp>BDP|9980650884752880223</stp>
        <tr r="D545" s="2"/>
      </tp>
      <tp t="s">
        <v>#N/A N/A</v>
        <stp/>
        <stp>BDP|4952324665141464781</stp>
        <tr r="E1375" s="2"/>
      </tp>
      <tp t="s">
        <v>#N/A N/A</v>
        <stp/>
        <stp>BDP|3150835992384254101</stp>
        <tr r="S1398" s="2"/>
      </tp>
      <tp t="s">
        <v>#N/A N/A</v>
        <stp/>
        <stp>BDP|9344143042269204252</stp>
        <tr r="T66" s="2"/>
      </tp>
      <tp t="s">
        <v>#N/A N/A</v>
        <stp/>
        <stp>BDP|5979243367034165295</stp>
        <tr r="T398" s="2"/>
      </tp>
      <tp t="s">
        <v>#N/A N/A</v>
        <stp/>
        <stp>BDP|9274502923270163926</stp>
        <tr r="E1541" s="2"/>
      </tp>
      <tp t="s">
        <v>#N/A N/A</v>
        <stp/>
        <stp>BDP|7382903082634734548</stp>
        <tr r="N1546" s="2"/>
      </tp>
      <tp t="s">
        <v>#N/A N/A</v>
        <stp/>
        <stp>BDP|1160869838265932848</stp>
        <tr r="C1903" s="2"/>
      </tp>
      <tp t="s">
        <v>#N/A N/A</v>
        <stp/>
        <stp>BDP|2632726413877729429</stp>
        <tr r="S254" s="2"/>
      </tp>
      <tp t="s">
        <v>#N/A N/A</v>
        <stp/>
        <stp>BDP|6023970940128203475</stp>
        <tr r="R61" s="2"/>
      </tp>
      <tp t="s">
        <v>#N/A N/A</v>
        <stp/>
        <stp>BDP|5000102663832811782</stp>
        <tr r="A131" s="2"/>
      </tp>
      <tp t="s">
        <v>#N/A N/A</v>
        <stp/>
        <stp>BDP|6123523194855167856</stp>
        <tr r="T1789" s="2"/>
      </tp>
      <tp t="s">
        <v>#N/A N/A</v>
        <stp/>
        <stp>BDP|4800498065201723001</stp>
        <tr r="T1869" s="2"/>
      </tp>
      <tp t="s">
        <v>#N/A N/A</v>
        <stp/>
        <stp>BDP|8607338859528731187</stp>
        <tr r="E2076" s="2"/>
      </tp>
      <tp t="s">
        <v>#N/A N/A</v>
        <stp/>
        <stp>BDS|8694861244520549323</stp>
        <tr r="I1046" s="2"/>
      </tp>
      <tp t="s">
        <v>#N/A N/A</v>
        <stp/>
        <stp>BDS|9969807113221815618</stp>
        <tr r="I867" s="2"/>
      </tp>
      <tp t="s">
        <v>#N/A N/A</v>
        <stp/>
        <stp>BDS|1774225254359028829</stp>
        <tr r="I1989" s="2"/>
      </tp>
      <tp t="s">
        <v>#N/A N/A</v>
        <stp/>
        <stp>BDP|3298745850602704422</stp>
        <tr r="A902" s="2"/>
      </tp>
      <tp t="s">
        <v>#N/A N/A</v>
        <stp/>
        <stp>BDP|4830549208025414333</stp>
        <tr r="P1456" s="2"/>
      </tp>
      <tp t="s">
        <v>#N/A N/A</v>
        <stp/>
        <stp>BDP|5484892793714906745</stp>
        <tr r="S800" s="2"/>
      </tp>
      <tp t="s">
        <v>#N/A N/A</v>
        <stp/>
        <stp>BDP|7765947596413650308</stp>
        <tr r="H58" s="2"/>
      </tp>
      <tp t="s">
        <v>#N/A N/A</v>
        <stp/>
        <stp>BDP|9432694374419881623</stp>
        <tr r="D756" s="2"/>
      </tp>
      <tp t="s">
        <v>#N/A N/A</v>
        <stp/>
        <stp>BDP|1021076355955745661</stp>
        <tr r="N1810" s="2"/>
      </tp>
      <tp t="s">
        <v>#N/A N/A</v>
        <stp/>
        <stp>BDP|2009639112273733150</stp>
        <tr r="A1763" s="2"/>
      </tp>
      <tp t="s">
        <v>#N/A N/A</v>
        <stp/>
        <stp>BDP|5093312019443850331</stp>
        <tr r="C773" s="2"/>
      </tp>
      <tp t="s">
        <v>#N/A N/A</v>
        <stp/>
        <stp>BDP|7414250052253513459</stp>
        <tr r="K2" s="2"/>
      </tp>
      <tp t="s">
        <v>#N/A N/A</v>
        <stp/>
        <stp>BDP|2991148239927722001</stp>
        <tr r="E397" s="2"/>
      </tp>
      <tp t="s">
        <v>#N/A N/A</v>
        <stp/>
        <stp>BDP|7444473681945645971</stp>
        <tr r="G852" s="2"/>
      </tp>
      <tp t="s">
        <v>#N/A N/A</v>
        <stp/>
        <stp>BDS|3559715787758886387</stp>
        <tr r="I1126" s="2"/>
      </tp>
      <tp t="s">
        <v>#N/A N/A</v>
        <stp/>
        <stp>BDP|6429801593832791239</stp>
        <tr r="G633" s="2"/>
      </tp>
      <tp t="s">
        <v>#N/A N/A</v>
        <stp/>
        <stp>BDP|2486384528605568127</stp>
        <tr r="D286" s="2"/>
      </tp>
      <tp t="s">
        <v>#N/A N/A</v>
        <stp/>
        <stp>BDP|7229591561520998305</stp>
        <tr r="P380" s="2"/>
      </tp>
      <tp t="s">
        <v>#N/A N/A</v>
        <stp/>
        <stp>BDP|7201346471853710735</stp>
        <tr r="M1783" s="2"/>
      </tp>
      <tp t="s">
        <v>#N/A N/A</v>
        <stp/>
        <stp>BDP|2574340956512780130</stp>
        <tr r="K1717" s="2"/>
      </tp>
      <tp t="s">
        <v>#N/A N/A</v>
        <stp/>
        <stp>BDP|1717520911600540229</stp>
        <tr r="J1721" s="2"/>
      </tp>
      <tp t="s">
        <v>#N/A N/A</v>
        <stp/>
        <stp>BDP|8553704300960658807</stp>
        <tr r="N1102" s="2"/>
      </tp>
      <tp t="s">
        <v>#N/A N/A</v>
        <stp/>
        <stp>BDP|4512144313351620279</stp>
        <tr r="A1568" s="2"/>
      </tp>
      <tp t="s">
        <v>#N/A N/A</v>
        <stp/>
        <stp>BDP|8892566754048976705</stp>
        <tr r="D1683" s="2"/>
      </tp>
      <tp t="s">
        <v>#N/A N/A</v>
        <stp/>
        <stp>BDP|6168747947620693273</stp>
        <tr r="A1330" s="2"/>
      </tp>
      <tp t="s">
        <v>#N/A N/A</v>
        <stp/>
        <stp>BDP|1295740567441179637</stp>
        <tr r="R580" s="2"/>
      </tp>
      <tp t="s">
        <v>#N/A N/A</v>
        <stp/>
        <stp>BDP|4750508890467143850</stp>
        <tr r="K1655" s="2"/>
      </tp>
      <tp t="s">
        <v>#N/A N/A</v>
        <stp/>
        <stp>BDP|1049231996865268846</stp>
        <tr r="G1674" s="2"/>
      </tp>
      <tp t="s">
        <v>#N/A N/A</v>
        <stp/>
        <stp>BDP|2763679271284456065</stp>
        <tr r="O479" s="2"/>
      </tp>
      <tp t="s">
        <v>#N/A N/A</v>
        <stp/>
        <stp>BDS|4819384014825673414</stp>
        <tr r="I1983" s="2"/>
      </tp>
      <tp t="s">
        <v>#N/A N/A</v>
        <stp/>
        <stp>BDP|4333972080240480237</stp>
        <tr r="O1523" s="2"/>
      </tp>
      <tp t="s">
        <v>#N/A N/A</v>
        <stp/>
        <stp>BDP|9185273065008905297</stp>
        <tr r="P1020" s="2"/>
      </tp>
      <tp t="s">
        <v>#N/A N/A</v>
        <stp/>
        <stp>BDP|3969984471552239818</stp>
        <tr r="Q562" s="2"/>
      </tp>
      <tp t="s">
        <v>#N/A N/A</v>
        <stp/>
        <stp>BDP|5428339629505931641</stp>
        <tr r="F765" s="2"/>
      </tp>
      <tp t="s">
        <v>#N/A N/A</v>
        <stp/>
        <stp>BDP|1952904286686593192</stp>
        <tr r="T581" s="2"/>
      </tp>
      <tp t="s">
        <v>#N/A N/A</v>
        <stp/>
        <stp>BDP|2779764998659290283</stp>
        <tr r="M757" s="2"/>
      </tp>
      <tp t="s">
        <v>#N/A N/A</v>
        <stp/>
        <stp>BDP|7266465449251667188</stp>
        <tr r="R869" s="2"/>
      </tp>
      <tp t="s">
        <v>#N/A N/A</v>
        <stp/>
        <stp>BDP|4446314075233381404</stp>
        <tr r="J1963" s="2"/>
      </tp>
      <tp t="s">
        <v>#N/A N/A</v>
        <stp/>
        <stp>BDP|9581503606068754370</stp>
        <tr r="Q515" s="2"/>
      </tp>
      <tp t="s">
        <v>#N/A N/A</v>
        <stp/>
        <stp>BDP|2692923652408642134</stp>
        <tr r="D416" s="2"/>
      </tp>
      <tp t="s">
        <v>#N/A N/A</v>
        <stp/>
        <stp>BDP|1626464415153617008</stp>
        <tr r="J1258" s="2"/>
      </tp>
      <tp t="s">
        <v>#N/A N/A</v>
        <stp/>
        <stp>BDP|7742400603190331448</stp>
        <tr r="R378" s="2"/>
      </tp>
      <tp t="s">
        <v>#N/A N/A</v>
        <stp/>
        <stp>BDP|3049140230661183764</stp>
        <tr r="C1433" s="2"/>
      </tp>
      <tp t="s">
        <v>#N/A N/A</v>
        <stp/>
        <stp>BDP|3629762480422181922</stp>
        <tr r="N1193" s="2"/>
      </tp>
      <tp t="s">
        <v>#N/A N/A</v>
        <stp/>
        <stp>BDP|1677610651281526409</stp>
        <tr r="R1246" s="2"/>
      </tp>
      <tp t="s">
        <v>#N/A N/A</v>
        <stp/>
        <stp>BDP|5859131187279628295</stp>
        <tr r="P762" s="2"/>
      </tp>
      <tp t="s">
        <v>#N/A N/A</v>
        <stp/>
        <stp>BDP|8653873880538258706</stp>
        <tr r="O1841" s="2"/>
      </tp>
      <tp t="s">
        <v>#N/A N/A</v>
        <stp/>
        <stp>BDS|9201461788711847371</stp>
        <tr r="I1449" s="2"/>
      </tp>
      <tp t="s">
        <v>#N/A N/A</v>
        <stp/>
        <stp>BDP|1266923978898398084</stp>
        <tr r="A1384" s="2"/>
      </tp>
      <tp t="s">
        <v>#N/A N/A</v>
        <stp/>
        <stp>BDP|5441328045237097204</stp>
        <tr r="H490" s="2"/>
      </tp>
      <tp t="s">
        <v>#N/A N/A</v>
        <stp/>
        <stp>BDP|3974882305049254553</stp>
        <tr r="K107" s="2"/>
      </tp>
      <tp t="s">
        <v>#N/A N/A</v>
        <stp/>
        <stp>BDP|5719625894638235502</stp>
        <tr r="Q1422" s="2"/>
      </tp>
      <tp t="s">
        <v>#N/A N/A</v>
        <stp/>
        <stp>BDP|7276435144420749011</stp>
        <tr r="F1007" s="2"/>
      </tp>
      <tp t="s">
        <v>#N/A N/A</v>
        <stp/>
        <stp>BDP|9074556972579025545</stp>
        <tr r="R2047" s="2"/>
      </tp>
      <tp t="s">
        <v>#N/A N/A</v>
        <stp/>
        <stp>BDP|5747516787366646947</stp>
        <tr r="T2117" s="2"/>
      </tp>
      <tp t="s">
        <v>#N/A N/A</v>
        <stp/>
        <stp>BDP|3860281140764206612</stp>
        <tr r="D1820" s="2"/>
      </tp>
      <tp t="s">
        <v>#N/A N/A</v>
        <stp/>
        <stp>BDP|4818865593014770691</stp>
        <tr r="D350" s="2"/>
      </tp>
      <tp t="s">
        <v>#N/A N/A</v>
        <stp/>
        <stp>BDP|6360007544397670227</stp>
        <tr r="A584" s="2"/>
      </tp>
      <tp t="s">
        <v>#N/A N/A</v>
        <stp/>
        <stp>BDP|7992788824406273340</stp>
        <tr r="H1413" s="2"/>
      </tp>
      <tp t="s">
        <v>#N/A N/A</v>
        <stp/>
        <stp>BDP|9711632080322538221</stp>
        <tr r="E1547" s="2"/>
      </tp>
      <tp t="s">
        <v>#N/A N/A</v>
        <stp/>
        <stp>BDP|6493831080824764533</stp>
        <tr r="H1541" s="2"/>
      </tp>
      <tp t="s">
        <v>#N/A N/A</v>
        <stp/>
        <stp>BDP|9780023906157889987</stp>
        <tr r="D678" s="2"/>
      </tp>
      <tp t="s">
        <v>#N/A N/A</v>
        <stp/>
        <stp>BDP|3516417905173069324</stp>
        <tr r="A302" s="2"/>
      </tp>
      <tp t="s">
        <v>#N/A N/A</v>
        <stp/>
        <stp>BDP|2510372059031151293</stp>
        <tr r="C1678" s="2"/>
      </tp>
      <tp t="s">
        <v>#N/A N/A</v>
        <stp/>
        <stp>BDP|3249767550795347345</stp>
        <tr r="O793" s="2"/>
      </tp>
      <tp t="s">
        <v>#N/A N/A</v>
        <stp/>
        <stp>BDP|3924080394019625405</stp>
        <tr r="M2248" s="2"/>
      </tp>
      <tp t="s">
        <v>#N/A N/A</v>
        <stp/>
        <stp>BDP|6545148442610593456</stp>
        <tr r="G653" s="2"/>
      </tp>
      <tp t="s">
        <v>#N/A N/A</v>
        <stp/>
        <stp>BDP|4114688826620990753</stp>
        <tr r="T1356" s="2"/>
      </tp>
      <tp t="s">
        <v>#N/A N/A</v>
        <stp/>
        <stp>BDP|4050047871036632204</stp>
        <tr r="N1507" s="2"/>
      </tp>
      <tp t="s">
        <v>#N/A N/A</v>
        <stp/>
        <stp>BDS|1825025398348459757</stp>
        <tr r="I1407" s="2"/>
      </tp>
      <tp t="s">
        <v>#N/A N/A</v>
        <stp/>
        <stp>BDP|6594072055355545118</stp>
        <tr r="J933" s="2"/>
      </tp>
      <tp t="s">
        <v>#N/A N/A</v>
        <stp/>
        <stp>BDP|1646524659062754491</stp>
        <tr r="K847" s="2"/>
      </tp>
      <tp t="s">
        <v>#N/A N/A</v>
        <stp/>
        <stp>BDP|5571571601203765476</stp>
        <tr r="Q181" s="2"/>
      </tp>
      <tp t="s">
        <v>#N/A N/A</v>
        <stp/>
        <stp>BDS|1385699700644044494</stp>
        <tr r="I1739" s="2"/>
      </tp>
      <tp t="s">
        <v>#N/A N/A</v>
        <stp/>
        <stp>BDP|9902596836600674833</stp>
        <tr r="G2033" s="2"/>
      </tp>
      <tp t="s">
        <v>#N/A N/A</v>
        <stp/>
        <stp>BDP|9173923664877599611</stp>
        <tr r="T1005" s="2"/>
      </tp>
      <tp t="s">
        <v>#N/A N/A</v>
        <stp/>
        <stp>BDP|6036925468077020993</stp>
        <tr r="M720" s="2"/>
      </tp>
      <tp t="s">
        <v>#N/A N/A</v>
        <stp/>
        <stp>BDS|9302005684020310670</stp>
        <tr r="I1422" s="2"/>
      </tp>
      <tp t="s">
        <v>#N/A N/A</v>
        <stp/>
        <stp>BDP|7298456317594653158</stp>
        <tr r="N1119" s="2"/>
      </tp>
      <tp t="s">
        <v>#N/A N/A</v>
        <stp/>
        <stp>BDP|2146632321965210429</stp>
        <tr r="F238" s="2"/>
      </tp>
      <tp t="s">
        <v>#N/A N/A</v>
        <stp/>
        <stp>BDP|7779808286862125232</stp>
        <tr r="A1150" s="2"/>
      </tp>
      <tp t="s">
        <v>#N/A N/A</v>
        <stp/>
        <stp>BDP|1252330801515252012</stp>
        <tr r="Q928" s="2"/>
      </tp>
      <tp t="s">
        <v>#N/A N/A</v>
        <stp/>
        <stp>BDP|9425213290151155473</stp>
        <tr r="K539" s="2"/>
      </tp>
      <tp t="s">
        <v>#N/A N/A</v>
        <stp/>
        <stp>BDP|5070432716735576233</stp>
        <tr r="K1029" s="2"/>
      </tp>
      <tp t="s">
        <v>#N/A N/A</v>
        <stp/>
        <stp>BDP|1654592155631925705</stp>
        <tr r="A723" s="2"/>
      </tp>
      <tp t="s">
        <v>#N/A N/A</v>
        <stp/>
        <stp>BDP|3099779884778535352</stp>
        <tr r="M1745" s="2"/>
      </tp>
      <tp t="s">
        <v>#N/A N/A</v>
        <stp/>
        <stp>BDS|9432158491993765541</stp>
        <tr r="I1972" s="2"/>
      </tp>
      <tp t="s">
        <v>#N/A N/A</v>
        <stp/>
        <stp>BDP|2284693623074917513</stp>
        <tr r="A959" s="2"/>
      </tp>
      <tp t="s">
        <v>#N/A N/A</v>
        <stp/>
        <stp>BDP|2575426406071384020</stp>
        <tr r="C2238" s="2"/>
      </tp>
      <tp t="s">
        <v>#N/A N/A</v>
        <stp/>
        <stp>BDP|5030595468226155708</stp>
        <tr r="O987" s="2"/>
      </tp>
      <tp t="s">
        <v>#N/A N/A</v>
        <stp/>
        <stp>BDS|6614614525771405468</stp>
        <tr r="I208" s="2"/>
      </tp>
      <tp t="s">
        <v>#N/A N/A</v>
        <stp/>
        <stp>BDP|6165400132013068539</stp>
        <tr r="E346" s="2"/>
      </tp>
      <tp t="s">
        <v>#N/A N/A</v>
        <stp/>
        <stp>BDP|7340452951564222558</stp>
        <tr r="H1172" s="2"/>
      </tp>
      <tp t="s">
        <v>#N/A N/A</v>
        <stp/>
        <stp>BDP|4308972304013524959</stp>
        <tr r="M2221" s="2"/>
      </tp>
      <tp t="s">
        <v>#N/A N/A</v>
        <stp/>
        <stp>BDP|9591132887213833493</stp>
        <tr r="A1969" s="2"/>
      </tp>
      <tp t="s">
        <v>#N/A N/A</v>
        <stp/>
        <stp>BDP|3150604081022116818</stp>
        <tr r="S208" s="2"/>
      </tp>
      <tp t="s">
        <v>#N/A N/A</v>
        <stp/>
        <stp>BDP|4006831285612270148</stp>
        <tr r="O1691" s="2"/>
      </tp>
      <tp t="s">
        <v>#N/A N/A</v>
        <stp/>
        <stp>BDP|6203032292341303909</stp>
        <tr r="T2" s="2"/>
      </tp>
      <tp t="s">
        <v>#N/A N/A</v>
        <stp/>
        <stp>BDP|1769696795961388889</stp>
        <tr r="G1487" s="2"/>
      </tp>
      <tp t="s">
        <v>#N/A N/A</v>
        <stp/>
        <stp>BDP|5729968483282795159</stp>
        <tr r="J1036" s="2"/>
      </tp>
      <tp t="s">
        <v>#N/A N/A</v>
        <stp/>
        <stp>BDP|5064164360223599631</stp>
        <tr r="D641" s="2"/>
      </tp>
      <tp t="s">
        <v>#N/A N/A</v>
        <stp/>
        <stp>BDP|8236977928337491396</stp>
        <tr r="K2106" s="2"/>
      </tp>
      <tp t="s">
        <v>#N/A N/A</v>
        <stp/>
        <stp>BDP|7442979897341414107</stp>
        <tr r="A1546" s="2"/>
      </tp>
      <tp t="s">
        <v>#N/A N/A</v>
        <stp/>
        <stp>BDP|3995365806183920404</stp>
        <tr r="Q757" s="2"/>
      </tp>
      <tp t="s">
        <v>#N/A N/A</v>
        <stp/>
        <stp>BDP|8874603994184560498</stp>
        <tr r="C1948" s="2"/>
      </tp>
      <tp t="s">
        <v>#N/A N/A</v>
        <stp/>
        <stp>BDP|9020851661532780235</stp>
        <tr r="G2077" s="2"/>
      </tp>
      <tp t="s">
        <v>#N/A N/A</v>
        <stp/>
        <stp>BDP|5611358040702761743</stp>
        <tr r="N331" s="2"/>
      </tp>
      <tp t="s">
        <v>#N/A N/A</v>
        <stp/>
        <stp>BDP|1890325561245202695</stp>
        <tr r="S359" s="2"/>
      </tp>
      <tp t="s">
        <v>#N/A N/A</v>
        <stp/>
        <stp>BDP|5222611168822352085</stp>
        <tr r="A1168" s="2"/>
      </tp>
      <tp t="s">
        <v>#N/A N/A</v>
        <stp/>
        <stp>BDP|8304632602241795852</stp>
        <tr r="G821" s="2"/>
      </tp>
      <tp t="s">
        <v>#N/A N/A</v>
        <stp/>
        <stp>BDS|3332305246940408317</stp>
        <tr r="I1858" s="2"/>
      </tp>
      <tp t="s">
        <v>#N/A N/A</v>
        <stp/>
        <stp>BDP|7482124813130447012</stp>
        <tr r="H234" s="2"/>
      </tp>
      <tp t="s">
        <v>#N/A N/A</v>
        <stp/>
        <stp>BDP|7517336543554109349</stp>
        <tr r="T1507" s="2"/>
      </tp>
      <tp t="s">
        <v>#N/A N/A</v>
        <stp/>
        <stp>BDP|5432011475160118519</stp>
        <tr r="A1148" s="2"/>
      </tp>
      <tp t="s">
        <v>#N/A N/A</v>
        <stp/>
        <stp>BDP|6026424220605094223</stp>
        <tr r="P1271" s="2"/>
      </tp>
      <tp t="s">
        <v>#N/A N/A</v>
        <stp/>
        <stp>BDP|6228793513360807708</stp>
        <tr r="P547" s="2"/>
      </tp>
      <tp t="s">
        <v>#N/A N/A</v>
        <stp/>
        <stp>BDP|3731441046795467119</stp>
        <tr r="R1775" s="2"/>
      </tp>
      <tp t="s">
        <v>#N/A N/A</v>
        <stp/>
        <stp>BDP|6865355155947039083</stp>
        <tr r="J1635" s="2"/>
      </tp>
      <tp t="s">
        <v>#N/A N/A</v>
        <stp/>
        <stp>BDP|7909545772874773680</stp>
        <tr r="C1017" s="2"/>
      </tp>
      <tp t="s">
        <v>#N/A N/A</v>
        <stp/>
        <stp>BDP|3405634014764174729</stp>
        <tr r="R355" s="2"/>
      </tp>
      <tp t="s">
        <v>#N/A N/A</v>
        <stp/>
        <stp>BDP|8582759981887830797</stp>
        <tr r="K41" s="2"/>
      </tp>
      <tp t="s">
        <v>#N/A N/A</v>
        <stp/>
        <stp>BDP|8000229728747852827</stp>
        <tr r="E248" s="2"/>
      </tp>
      <tp t="s">
        <v>#N/A N/A</v>
        <stp/>
        <stp>BDP|4645478974423666332</stp>
        <tr r="T873" s="2"/>
      </tp>
      <tp t="s">
        <v>#N/A N/A</v>
        <stp/>
        <stp>BDP|2438950817519707419</stp>
        <tr r="N369" s="2"/>
      </tp>
      <tp t="s">
        <v>#N/A N/A</v>
        <stp/>
        <stp>BDP|3523353403820164720</stp>
        <tr r="J1919" s="2"/>
      </tp>
      <tp t="s">
        <v>#N/A N/A</v>
        <stp/>
        <stp>BDP|1664866803959604756</stp>
        <tr r="S1100" s="2"/>
      </tp>
      <tp t="s">
        <v>#N/A N/A</v>
        <stp/>
        <stp>BDP|7090862000678569034</stp>
        <tr r="A515" s="2"/>
      </tp>
      <tp t="s">
        <v>#N/A N/A</v>
        <stp/>
        <stp>BDP|6402692679990518014</stp>
        <tr r="Q2063" s="2"/>
      </tp>
      <tp t="s">
        <v>#N/A N/A</v>
        <stp/>
        <stp>BDP|5770223533434775719</stp>
        <tr r="M371" s="2"/>
      </tp>
      <tp t="s">
        <v>#N/A N/A</v>
        <stp/>
        <stp>BDP|6916251069194360169</stp>
        <tr r="D703" s="2"/>
      </tp>
      <tp t="s">
        <v>#N/A N/A</v>
        <stp/>
        <stp>BDP|6919378658621632602</stp>
        <tr r="J1568" s="2"/>
      </tp>
      <tp t="s">
        <v>#N/A N/A</v>
        <stp/>
        <stp>BDS|5024214836724081774</stp>
        <tr r="I1128" s="2"/>
      </tp>
      <tp t="s">
        <v>#N/A N/A</v>
        <stp/>
        <stp>BDP|9359398769228387309</stp>
        <tr r="P1867" s="2"/>
      </tp>
      <tp t="s">
        <v>#N/A N/A</v>
        <stp/>
        <stp>BDP|8546807359015964754</stp>
        <tr r="O765" s="2"/>
      </tp>
      <tp t="s">
        <v>#N/A N/A</v>
        <stp/>
        <stp>BDP|4540694682248753596</stp>
        <tr r="R1692" s="2"/>
      </tp>
      <tp t="s">
        <v>#N/A N/A</v>
        <stp/>
        <stp>BDP|2357051326034135316</stp>
        <tr r="M827" s="2"/>
      </tp>
      <tp t="s">
        <v>#N/A N/A</v>
        <stp/>
        <stp>BDP|2335216741685339601</stp>
        <tr r="E378" s="2"/>
      </tp>
      <tp t="s">
        <v>#N/A N/A</v>
        <stp/>
        <stp>BDP|7713910590000335053</stp>
        <tr r="K1310" s="2"/>
      </tp>
      <tp t="s">
        <v>#N/A N/A</v>
        <stp/>
        <stp>BDP|2466425735351769347</stp>
        <tr r="K633" s="2"/>
      </tp>
      <tp t="s">
        <v>#N/A N/A</v>
        <stp/>
        <stp>BDP|8809540243326964864</stp>
        <tr r="K1417" s="2"/>
      </tp>
      <tp t="s">
        <v>#N/A N/A</v>
        <stp/>
        <stp>BDP|5582265902633986382</stp>
        <tr r="M2117" s="2"/>
      </tp>
      <tp t="s">
        <v>#N/A N/A</v>
        <stp/>
        <stp>BDP|9210075541799002342</stp>
        <tr r="Q1113" s="2"/>
      </tp>
      <tp t="s">
        <v>#N/A N/A</v>
        <stp/>
        <stp>BDS|5628608280918125473</stp>
        <tr r="I2025" s="2"/>
      </tp>
      <tp t="s">
        <v>#N/A N/A</v>
        <stp/>
        <stp>BDP|3396832540188332038</stp>
        <tr r="Q661" s="2"/>
      </tp>
      <tp t="s">
        <v>#N/A N/A</v>
        <stp/>
        <stp>BDP|6125204265765538013</stp>
        <tr r="P514" s="2"/>
      </tp>
      <tp t="s">
        <v>#N/A N/A</v>
        <stp/>
        <stp>BDP|8445665733538108205</stp>
        <tr r="A1471" s="2"/>
      </tp>
      <tp t="s">
        <v>#N/A N/A</v>
        <stp/>
        <stp>BDP|2336618867766292374</stp>
        <tr r="E1091" s="2"/>
      </tp>
      <tp t="s">
        <v>#N/A N/A</v>
        <stp/>
        <stp>BDP|2772490949653488639</stp>
        <tr r="D708" s="2"/>
      </tp>
      <tp t="s">
        <v>#N/A N/A</v>
        <stp/>
        <stp>BDP|1767827090053163447</stp>
        <tr r="T1162" s="2"/>
      </tp>
      <tp t="s">
        <v>#N/A N/A</v>
        <stp/>
        <stp>BDS|3107993032946202889</stp>
        <tr r="I1203" s="2"/>
      </tp>
      <tp t="s">
        <v>#N/A N/A</v>
        <stp/>
        <stp>BDP|2739052830616272000</stp>
        <tr r="M1443" s="2"/>
      </tp>
      <tp t="s">
        <v>#N/A N/A</v>
        <stp/>
        <stp>BDP|3448141913564385008</stp>
        <tr r="K2220" s="2"/>
      </tp>
      <tp t="s">
        <v>#N/A N/A</v>
        <stp/>
        <stp>BDP|3744555275227237150</stp>
        <tr r="R542" s="2"/>
      </tp>
      <tp t="s">
        <v>#N/A N/A</v>
        <stp/>
        <stp>BDP|8016430092706822497</stp>
        <tr r="H2257" s="2"/>
      </tp>
      <tp t="s">
        <v>#N/A N/A</v>
        <stp/>
        <stp>BDP|2674164747870492031</stp>
        <tr r="A1901" s="2"/>
      </tp>
      <tp t="s">
        <v>#N/A N/A</v>
        <stp/>
        <stp>BDP|8560067108099269694</stp>
        <tr r="T1049" s="2"/>
      </tp>
      <tp t="s">
        <v>#N/A N/A</v>
        <stp/>
        <stp>BDP|2287511761187584173</stp>
        <tr r="T1799" s="2"/>
      </tp>
      <tp t="s">
        <v>#N/A N/A</v>
        <stp/>
        <stp>BDP|2940888524886331964</stp>
        <tr r="S974" s="2"/>
      </tp>
      <tp t="s">
        <v>#N/A N/A</v>
        <stp/>
        <stp>BDP|6099188139256473557</stp>
        <tr r="C303" s="2"/>
      </tp>
      <tp t="s">
        <v>#N/A N/A</v>
        <stp/>
        <stp>BDP|2831842553499934165</stp>
        <tr r="E1087" s="2"/>
      </tp>
      <tp t="s">
        <v>#N/A N/A</v>
        <stp/>
        <stp>BDP|7034017770355611274</stp>
        <tr r="O608" s="2"/>
      </tp>
      <tp t="s">
        <v>#N/A N/A</v>
        <stp/>
        <stp>BDP|7268933157189756513</stp>
        <tr r="R1677" s="2"/>
      </tp>
      <tp t="s">
        <v>#N/A N/A</v>
        <stp/>
        <stp>BDP|1645476160916909289</stp>
        <tr r="K1633" s="2"/>
      </tp>
      <tp t="s">
        <v>#N/A N/A</v>
        <stp/>
        <stp>BDP|1521664832237657473</stp>
        <tr r="G21" s="2"/>
      </tp>
      <tp t="s">
        <v>#N/A N/A</v>
        <stp/>
        <stp>BDP|2012923927508265673</stp>
        <tr r="F246" s="2"/>
      </tp>
      <tp t="s">
        <v>#N/A N/A</v>
        <stp/>
        <stp>BDP|3891766904031884225</stp>
        <tr r="D308" s="2"/>
      </tp>
      <tp t="s">
        <v>#N/A N/A</v>
        <stp/>
        <stp>BDP|8336537861328454450</stp>
        <tr r="C2180" s="2"/>
      </tp>
      <tp t="s">
        <v>#N/A N/A</v>
        <stp/>
        <stp>BDP|5084555525090372538</stp>
        <tr r="O603" s="2"/>
      </tp>
      <tp t="s">
        <v>#N/A N/A</v>
        <stp/>
        <stp>BDP|2077618076885644111</stp>
        <tr r="O216" s="2"/>
      </tp>
      <tp t="s">
        <v>#N/A N/A</v>
        <stp/>
        <stp>BDS|5241136011152061003</stp>
        <tr r="I1896" s="2"/>
      </tp>
      <tp t="s">
        <v>#N/A N/A</v>
        <stp/>
        <stp>BDP|4369804522809572048</stp>
        <tr r="O2109" s="2"/>
      </tp>
      <tp t="s">
        <v>#N/A N/A</v>
        <stp/>
        <stp>BDP|9138276786765406147</stp>
        <tr r="F1391" s="2"/>
      </tp>
      <tp t="s">
        <v>#N/A N/A</v>
        <stp/>
        <stp>BDP|5840245624183056180</stp>
        <tr r="O741" s="2"/>
      </tp>
      <tp t="s">
        <v>#N/A N/A</v>
        <stp/>
        <stp>BDS|4372449201586049168</stp>
        <tr r="I1809" s="2"/>
      </tp>
      <tp t="s">
        <v>#N/A N/A</v>
        <stp/>
        <stp>BDP|9607715030338636211</stp>
        <tr r="C1763" s="2"/>
      </tp>
      <tp t="s">
        <v>#N/A N/A</v>
        <stp/>
        <stp>BDP|9301548061988120577</stp>
        <tr r="N1953" s="2"/>
      </tp>
      <tp t="s">
        <v>#N/A N/A</v>
        <stp/>
        <stp>BDP|4524262193901470949</stp>
        <tr r="F1755" s="2"/>
      </tp>
      <tp t="s">
        <v>#N/A N/A</v>
        <stp/>
        <stp>BDP|9761536282856380557</stp>
        <tr r="N65" s="2"/>
      </tp>
      <tp t="s">
        <v>#N/A N/A</v>
        <stp/>
        <stp>BDP|8913895711306793069</stp>
        <tr r="O1896" s="2"/>
      </tp>
      <tp t="s">
        <v>#N/A N/A</v>
        <stp/>
        <stp>BDP|4220175224773324325</stp>
        <tr r="M1060" s="2"/>
      </tp>
      <tp t="s">
        <v>#N/A N/A</v>
        <stp/>
        <stp>BDP|9655154258413214993</stp>
        <tr r="K2186" s="2"/>
      </tp>
      <tp t="s">
        <v>#N/A N/A</v>
        <stp/>
        <stp>BDP|6774414292418378477</stp>
        <tr r="R2213" s="2"/>
      </tp>
      <tp t="s">
        <v>#N/A N/A</v>
        <stp/>
        <stp>BDP|5103583059334538654</stp>
        <tr r="T1404" s="2"/>
      </tp>
      <tp t="s">
        <v>#N/A N/A</v>
        <stp/>
        <stp>BDP|4772564316717419032</stp>
        <tr r="M1165" s="2"/>
      </tp>
      <tp t="s">
        <v>#N/A N/A</v>
        <stp/>
        <stp>BDP|7539680200546866057</stp>
        <tr r="S953" s="2"/>
      </tp>
      <tp t="s">
        <v>#N/A N/A</v>
        <stp/>
        <stp>BDP|1422686158077641226</stp>
        <tr r="G2213" s="2"/>
      </tp>
      <tp t="s">
        <v>#N/A N/A</v>
        <stp/>
        <stp>BDP|5557030543651311764</stp>
        <tr r="S1887" s="2"/>
      </tp>
      <tp t="s">
        <v>#N/A N/A</v>
        <stp/>
        <stp>BDP|2729171737165469232</stp>
        <tr r="M577" s="2"/>
      </tp>
      <tp t="s">
        <v>#N/A N/A</v>
        <stp/>
        <stp>BDP|7494906260547580814</stp>
        <tr r="C1026" s="2"/>
      </tp>
      <tp t="s">
        <v>#N/A N/A</v>
        <stp/>
        <stp>BDP|8170954174673518252</stp>
        <tr r="T966" s="2"/>
      </tp>
      <tp t="s">
        <v>#N/A N/A</v>
        <stp/>
        <stp>BDS|4016049740726262173</stp>
        <tr r="I1753" s="2"/>
      </tp>
      <tp t="s">
        <v>#N/A N/A</v>
        <stp/>
        <stp>BDP|2883521635106989579</stp>
        <tr r="O341" s="2"/>
      </tp>
      <tp t="s">
        <v>#N/A N/A</v>
        <stp/>
        <stp>BDP|7143805084487480704</stp>
        <tr r="O677" s="2"/>
      </tp>
      <tp t="s">
        <v>#N/A N/A</v>
        <stp/>
        <stp>BDP|6636652206801200661</stp>
        <tr r="J950" s="2"/>
      </tp>
      <tp t="s">
        <v>#N/A N/A</v>
        <stp/>
        <stp>BDP|3026207548124944608</stp>
        <tr r="O1369" s="2"/>
      </tp>
      <tp t="s">
        <v>#N/A N/A</v>
        <stp/>
        <stp>BDP|1415042654956316563</stp>
        <tr r="G1599" s="2"/>
      </tp>
      <tp t="s">
        <v>#N/A N/A</v>
        <stp/>
        <stp>BDP|8783003157812883893</stp>
        <tr r="C1953" s="2"/>
      </tp>
      <tp t="s">
        <v>#N/A N/A</v>
        <stp/>
        <stp>BDS|6753433031162056449</stp>
        <tr r="I1329" s="2"/>
      </tp>
      <tp t="s">
        <v>#N/A N/A</v>
        <stp/>
        <stp>BDP|3394079601307284360</stp>
        <tr r="H987" s="2"/>
      </tp>
      <tp t="s">
        <v>#N/A N/A</v>
        <stp/>
        <stp>BDP|7661337362145620009</stp>
        <tr r="N451" s="2"/>
      </tp>
      <tp t="s">
        <v>#N/A N/A</v>
        <stp/>
        <stp>BDP|5612079100654157610</stp>
        <tr r="P1778" s="2"/>
      </tp>
      <tp t="s">
        <v>#N/A N/A</v>
        <stp/>
        <stp>BDS|9082021761540022826</stp>
        <tr r="I1574" s="2"/>
      </tp>
      <tp t="s">
        <v>#N/A N/A</v>
        <stp/>
        <stp>BDP|1349209450400313113</stp>
        <tr r="E998" s="2"/>
      </tp>
      <tp t="s">
        <v>#N/A N/A</v>
        <stp/>
        <stp>BDP|6576545800607176318</stp>
        <tr r="K492" s="2"/>
      </tp>
      <tp t="s">
        <v>#N/A N/A</v>
        <stp/>
        <stp>BDS|5774611670527394443</stp>
        <tr r="I2190" s="2"/>
      </tp>
      <tp t="s">
        <v>#N/A N/A</v>
        <stp/>
        <stp>BDP|1698067057294544732</stp>
        <tr r="R1664" s="2"/>
      </tp>
      <tp t="s">
        <v>#N/A N/A</v>
        <stp/>
        <stp>BDP|7802268001420860260</stp>
        <tr r="F313" s="2"/>
      </tp>
      <tp t="s">
        <v>#N/A N/A</v>
        <stp/>
        <stp>BDP|2641954184876004262</stp>
        <tr r="P1514" s="2"/>
      </tp>
      <tp t="s">
        <v>#N/A N/A</v>
        <stp/>
        <stp>BDP|9410809661187201763</stp>
        <tr r="P1136" s="2"/>
      </tp>
      <tp t="s">
        <v>#N/A N/A</v>
        <stp/>
        <stp>BDP|7172473420573685514</stp>
        <tr r="K1534" s="2"/>
      </tp>
      <tp t="s">
        <v>#N/A N/A</v>
        <stp/>
        <stp>BDS|9499855920320627463</stp>
        <tr r="I384" s="2"/>
      </tp>
      <tp t="s">
        <v>#N/A N/A</v>
        <stp/>
        <stp>BDP|1455476958182272588</stp>
        <tr r="N546" s="2"/>
      </tp>
      <tp t="s">
        <v>#N/A N/A</v>
        <stp/>
        <stp>BDP|1373413366921195549</stp>
        <tr r="S666" s="2"/>
      </tp>
      <tp t="s">
        <v>#N/A N/A</v>
        <stp/>
        <stp>BDP|5443788188438763523</stp>
        <tr r="E773" s="2"/>
      </tp>
      <tp t="s">
        <v>#N/A N/A</v>
        <stp/>
        <stp>BDP|5976894080987416556</stp>
        <tr r="G1088" s="2"/>
      </tp>
      <tp t="s">
        <v>#N/A N/A</v>
        <stp/>
        <stp>BDP|9487836975001456076</stp>
        <tr r="C1755" s="2"/>
      </tp>
      <tp t="s">
        <v>#N/A N/A</v>
        <stp/>
        <stp>BDP|1587067790716704954</stp>
        <tr r="O498" s="2"/>
      </tp>
      <tp t="s">
        <v>#N/A N/A</v>
        <stp/>
        <stp>BDP|5485303347713402660</stp>
        <tr r="C1323" s="2"/>
      </tp>
      <tp t="s">
        <v>#N/A N/A</v>
        <stp/>
        <stp>BDP|1311699693051965812</stp>
        <tr r="S1839" s="2"/>
      </tp>
      <tp t="s">
        <v>#N/A N/A</v>
        <stp/>
        <stp>BDP|6527390339635600428</stp>
        <tr r="N1077" s="2"/>
      </tp>
      <tp t="s">
        <v>#N/A N/A</v>
        <stp/>
        <stp>BDP|6003355254552546558</stp>
        <tr r="O1513" s="2"/>
      </tp>
      <tp t="s">
        <v>#N/A N/A</v>
        <stp/>
        <stp>BDP|8814330389491690550</stp>
        <tr r="T228" s="2"/>
      </tp>
      <tp t="s">
        <v>#N/A N/A</v>
        <stp/>
        <stp>BDS|3213151825807261011</stp>
        <tr r="I1192" s="2"/>
      </tp>
      <tp t="s">
        <v>#N/A N/A</v>
        <stp/>
        <stp>BDP|2457253175582498215</stp>
        <tr r="M2188" s="2"/>
      </tp>
      <tp t="s">
        <v>#N/A N/A</v>
        <stp/>
        <stp>BDP|5784148444422798512</stp>
        <tr r="C731" s="2"/>
      </tp>
      <tp t="s">
        <v>#N/A N/A</v>
        <stp/>
        <stp>BDP|6122566274103497062</stp>
        <tr r="C1514" s="2"/>
      </tp>
      <tp t="s">
        <v>#N/A N/A</v>
        <stp/>
        <stp>BDP|4241193930996953735</stp>
        <tr r="S1844" s="2"/>
      </tp>
      <tp t="s">
        <v>#N/A N/A</v>
        <stp/>
        <stp>BDP|6805695566353606208</stp>
        <tr r="Q865" s="2"/>
      </tp>
      <tp t="s">
        <v>#N/A N/A</v>
        <stp/>
        <stp>BDP|7833489982525474976</stp>
        <tr r="F178" s="2"/>
      </tp>
      <tp t="s">
        <v>#N/A N/A</v>
        <stp/>
        <stp>BDP|3394401074593232440</stp>
        <tr r="R1608" s="2"/>
      </tp>
      <tp t="s">
        <v>#N/A N/A</v>
        <stp/>
        <stp>BDP|1318725545950661535</stp>
        <tr r="A1994" s="2"/>
      </tp>
      <tp t="s">
        <v>#N/A N/A</v>
        <stp/>
        <stp>BDP|8155190018007801894</stp>
        <tr r="K1346" s="2"/>
      </tp>
      <tp t="s">
        <v>#N/A N/A</v>
        <stp/>
        <stp>BDP|9482933539841976565</stp>
        <tr r="N775" s="2"/>
      </tp>
      <tp t="s">
        <v>#N/A N/A</v>
        <stp/>
        <stp>BDP|2347171607597239302</stp>
        <tr r="M366" s="2"/>
      </tp>
      <tp t="s">
        <v>#N/A N/A</v>
        <stp/>
        <stp>BDP|7394455573042559118</stp>
        <tr r="C91" s="2"/>
      </tp>
      <tp t="s">
        <v>#N/A N/A</v>
        <stp/>
        <stp>BDS|6757672803755532271</stp>
        <tr r="I1981" s="2"/>
      </tp>
      <tp t="s">
        <v>#N/A N/A</v>
        <stp/>
        <stp>BDP|7281840792825661436</stp>
        <tr r="D1082" s="2"/>
      </tp>
      <tp t="s">
        <v>#N/A N/A</v>
        <stp/>
        <stp>BDP|4536469134316014268</stp>
        <tr r="H565" s="2"/>
      </tp>
      <tp t="s">
        <v>#N/A N/A</v>
        <stp/>
        <stp>BDP|6571793518211117647</stp>
        <tr r="M1835" s="2"/>
      </tp>
      <tp t="s">
        <v>#N/A N/A</v>
        <stp/>
        <stp>BDP|4267802888316821535</stp>
        <tr r="Q7" s="2"/>
      </tp>
      <tp t="s">
        <v>#N/A N/A</v>
        <stp/>
        <stp>BDP|1065319407702399741</stp>
        <tr r="S793" s="2"/>
      </tp>
      <tp t="s">
        <v>#N/A N/A</v>
        <stp/>
        <stp>BDP|5713433510085706222</stp>
        <tr r="C1001" s="2"/>
      </tp>
      <tp t="s">
        <v>#N/A N/A</v>
        <stp/>
        <stp>BDP|4835737322255939315</stp>
        <tr r="Q1522" s="2"/>
      </tp>
      <tp t="s">
        <v>#N/A N/A</v>
        <stp/>
        <stp>BDP|1824666909758348854</stp>
        <tr r="D19" s="2"/>
      </tp>
      <tp t="s">
        <v>#N/A N/A</v>
        <stp/>
        <stp>BDP|2538122190585251842</stp>
        <tr r="O1800" s="2"/>
      </tp>
      <tp t="s">
        <v>#N/A N/A</v>
        <stp/>
        <stp>BDP|9364032996546119163</stp>
        <tr r="C1321" s="2"/>
      </tp>
      <tp t="s">
        <v>#N/A N/A</v>
        <stp/>
        <stp>BDP|8432828156354525649</stp>
        <tr r="N1486" s="2"/>
      </tp>
      <tp t="s">
        <v>#N/A N/A</v>
        <stp/>
        <stp>BDP|4878255068021622623</stp>
        <tr r="M1419" s="2"/>
      </tp>
      <tp t="s">
        <v>#N/A N/A</v>
        <stp/>
        <stp>BDP|7466873681294013435</stp>
        <tr r="O1039" s="2"/>
      </tp>
      <tp t="s">
        <v>#N/A N/A</v>
        <stp/>
        <stp>BDP|3040410351557852296</stp>
        <tr r="K330" s="2"/>
      </tp>
      <tp t="s">
        <v>#N/A N/A</v>
        <stp/>
        <stp>BDP|7690516130872012464</stp>
        <tr r="D133" s="2"/>
      </tp>
      <tp t="s">
        <v>#N/A N/A</v>
        <stp/>
        <stp>BDP|8131641986381354016</stp>
        <tr r="D1194" s="2"/>
      </tp>
      <tp t="s">
        <v>#N/A N/A</v>
        <stp/>
        <stp>BDP|2207544643537447307</stp>
        <tr r="G14" s="2"/>
      </tp>
      <tp t="s">
        <v>#N/A N/A</v>
        <stp/>
        <stp>BDP|3612819378802757997</stp>
        <tr r="T429" s="2"/>
      </tp>
      <tp t="s">
        <v>#N/A N/A</v>
        <stp/>
        <stp>BDP|2902086946681004062</stp>
        <tr r="R1959" s="2"/>
      </tp>
      <tp t="s">
        <v>#N/A N/A</v>
        <stp/>
        <stp>BDP|3940465007321902100</stp>
        <tr r="C296" s="2"/>
      </tp>
      <tp t="s">
        <v>#N/A N/A</v>
        <stp/>
        <stp>BDP|1017179060386391750</stp>
        <tr r="O1347" s="2"/>
      </tp>
      <tp t="s">
        <v>#N/A N/A</v>
        <stp/>
        <stp>BDP|3375067545421396128</stp>
        <tr r="T98" s="2"/>
      </tp>
      <tp t="s">
        <v>#N/A N/A</v>
        <stp/>
        <stp>BDP|1865186669351851003</stp>
        <tr r="F2188" s="2"/>
      </tp>
      <tp t="s">
        <v>#N/A N/A</v>
        <stp/>
        <stp>BDP|5412256138803193093</stp>
        <tr r="C694" s="2"/>
      </tp>
      <tp t="s">
        <v>#N/A N/A</v>
        <stp/>
        <stp>BDP|9289428386700446236</stp>
        <tr r="D839" s="2"/>
      </tp>
      <tp t="s">
        <v>#N/A N/A</v>
        <stp/>
        <stp>BDP|8576844772292021226</stp>
        <tr r="F744" s="2"/>
      </tp>
      <tp t="s">
        <v>#N/A N/A</v>
        <stp/>
        <stp>BDP|3074162611794070060</stp>
        <tr r="A1804" s="2"/>
      </tp>
      <tp t="s">
        <v>#N/A N/A</v>
        <stp/>
        <stp>BDP|4886074632395922558</stp>
        <tr r="T1529" s="2"/>
      </tp>
      <tp t="s">
        <v>#N/A N/A</v>
        <stp/>
        <stp>BDP|2394389354127801465</stp>
        <tr r="E1991" s="2"/>
      </tp>
      <tp t="s">
        <v>#N/A N/A</v>
        <stp/>
        <stp>BDP|5776498578213284251</stp>
        <tr r="J1531" s="2"/>
      </tp>
      <tp t="s">
        <v>#N/A N/A</v>
        <stp/>
        <stp>BDP|7012135073034913281</stp>
        <tr r="Q644" s="2"/>
      </tp>
      <tp t="s">
        <v>#N/A N/A</v>
        <stp/>
        <stp>BDP|3514056114587323264</stp>
        <tr r="R1506" s="2"/>
      </tp>
      <tp t="s">
        <v>#N/A N/A</v>
        <stp/>
        <stp>BDP|2351118167050091243</stp>
        <tr r="S1634" s="2"/>
      </tp>
      <tp t="s">
        <v>#N/A N/A</v>
        <stp/>
        <stp>BDP|6420639102113395474</stp>
        <tr r="T893" s="2"/>
      </tp>
      <tp t="s">
        <v>#N/A N/A</v>
        <stp/>
        <stp>BDP|3289753640011049668</stp>
        <tr r="R1831" s="2"/>
      </tp>
      <tp t="s">
        <v>#N/A N/A</v>
        <stp/>
        <stp>BDP|9096236393165580041</stp>
        <tr r="Q1518" s="2"/>
      </tp>
      <tp t="s">
        <v>#N/A N/A</v>
        <stp/>
        <stp>BDP|1959494411125251622</stp>
        <tr r="O516" s="2"/>
      </tp>
      <tp t="s">
        <v>#N/A N/A</v>
        <stp/>
        <stp>BDP|5026862384675068737</stp>
        <tr r="N871" s="2"/>
      </tp>
      <tp t="s">
        <v>#N/A N/A</v>
        <stp/>
        <stp>BDP|7631423952725701400</stp>
        <tr r="O2087" s="2"/>
      </tp>
      <tp t="s">
        <v>#N/A N/A</v>
        <stp/>
        <stp>BDP|4766347192000003907</stp>
        <tr r="J720" s="2"/>
      </tp>
      <tp t="s">
        <v>#N/A N/A</v>
        <stp/>
        <stp>BDP|2231516713255346425</stp>
        <tr r="J1417" s="2"/>
      </tp>
      <tp t="s">
        <v>#N/A N/A</v>
        <stp/>
        <stp>BDP|3487778792513614962</stp>
        <tr r="S351" s="2"/>
      </tp>
      <tp t="s">
        <v>#N/A N/A</v>
        <stp/>
        <stp>BDP|4960045458580709630</stp>
        <tr r="P1994" s="2"/>
      </tp>
      <tp t="s">
        <v>#N/A N/A</v>
        <stp/>
        <stp>BDP|7389650210785286251</stp>
        <tr r="Q654" s="2"/>
      </tp>
      <tp t="s">
        <v>#N/A N/A</v>
        <stp/>
        <stp>BDP|5163386854280555491</stp>
        <tr r="S1751" s="2"/>
      </tp>
      <tp t="s">
        <v>#N/A N/A</v>
        <stp/>
        <stp>BDS|9550274136067471813</stp>
        <tr r="I1047" s="2"/>
      </tp>
      <tp t="s">
        <v>#N/A N/A</v>
        <stp/>
        <stp>BDP|5252866426530212811</stp>
        <tr r="Q1048" s="2"/>
      </tp>
      <tp t="s">
        <v>#N/A N/A</v>
        <stp/>
        <stp>BDP|8526159511867277822</stp>
        <tr r="T952" s="2"/>
      </tp>
      <tp t="s">
        <v>#N/A N/A</v>
        <stp/>
        <stp>BDP|5482622528365046384</stp>
        <tr r="P1001" s="2"/>
      </tp>
      <tp t="s">
        <v>#N/A N/A</v>
        <stp/>
        <stp>BDP|5823117363947827247</stp>
        <tr r="P85" s="2"/>
      </tp>
      <tp t="s">
        <v>#N/A N/A</v>
        <stp/>
        <stp>BDP|7680101054111185558</stp>
        <tr r="S880" s="2"/>
      </tp>
      <tp t="s">
        <v>#N/A N/A</v>
        <stp/>
        <stp>BDP|7238619702647507124</stp>
        <tr r="K1802" s="2"/>
      </tp>
      <tp t="s">
        <v>#N/A N/A</v>
        <stp/>
        <stp>BDS|7093377937172440220</stp>
        <tr r="I1093" s="2"/>
      </tp>
      <tp t="s">
        <v>#N/A N/A</v>
        <stp/>
        <stp>BDP|1195029041974088649</stp>
        <tr r="A1084" s="2"/>
      </tp>
      <tp t="s">
        <v>#N/A N/A</v>
        <stp/>
        <stp>BDP|2225239857601336336</stp>
        <tr r="S1002" s="2"/>
      </tp>
      <tp t="s">
        <v>#N/A N/A</v>
        <stp/>
        <stp>BDP|3887120198565636925</stp>
        <tr r="H2148" s="2"/>
      </tp>
      <tp t="s">
        <v>#N/A N/A</v>
        <stp/>
        <stp>BDP|1388512802367146476</stp>
        <tr r="E2054" s="2"/>
      </tp>
      <tp t="s">
        <v>#N/A N/A</v>
        <stp/>
        <stp>BDP|5953147336900533083</stp>
        <tr r="A992" s="2"/>
      </tp>
      <tp t="s">
        <v>#N/A N/A</v>
        <stp/>
        <stp>BDP|3054138506387774242</stp>
        <tr r="N967" s="2"/>
      </tp>
      <tp t="s">
        <v>#N/A N/A</v>
        <stp/>
        <stp>BDP|9298193899494606225</stp>
        <tr r="J724" s="2"/>
      </tp>
      <tp t="s">
        <v>#N/A N/A</v>
        <stp/>
        <stp>BDP|7939095977742899592</stp>
        <tr r="Q1337" s="2"/>
      </tp>
      <tp t="s">
        <v>#N/A N/A</v>
        <stp/>
        <stp>BDP|7642108571771938782</stp>
        <tr r="R536" s="2"/>
      </tp>
      <tp t="s">
        <v>#N/A N/A</v>
        <stp/>
        <stp>BDP|2014559825760100275</stp>
        <tr r="C502" s="2"/>
      </tp>
      <tp t="s">
        <v>#N/A N/A</v>
        <stp/>
        <stp>BDP|5793130266232715737</stp>
        <tr r="A196" s="2"/>
      </tp>
      <tp t="s">
        <v>#N/A N/A</v>
        <stp/>
        <stp>BDP|4769689018797610374</stp>
        <tr r="C1632" s="2"/>
      </tp>
      <tp t="s">
        <v>#N/A N/A</v>
        <stp/>
        <stp>BDS|4094653007677442206</stp>
        <tr r="I1400" s="2"/>
      </tp>
      <tp t="s">
        <v>#N/A N/A</v>
        <stp/>
        <stp>BDP|2774161626050188603</stp>
        <tr r="O939" s="2"/>
      </tp>
      <tp t="s">
        <v>#N/A N/A</v>
        <stp/>
        <stp>BDP|8086758195512012368</stp>
        <tr r="A390" s="2"/>
      </tp>
      <tp t="s">
        <v>#N/A N/A</v>
        <stp/>
        <stp>BDP|8676553525949323133</stp>
        <tr r="M1696" s="2"/>
      </tp>
      <tp t="s">
        <v>#N/A N/A</v>
        <stp/>
        <stp>BDP|4251075632666180602</stp>
        <tr r="N1797" s="2"/>
      </tp>
      <tp t="s">
        <v>#N/A N/A</v>
        <stp/>
        <stp>BDP|8008190783652988452</stp>
        <tr r="P381" s="2"/>
      </tp>
      <tp t="s">
        <v>#N/A N/A</v>
        <stp/>
        <stp>BDP|2351590217616346788</stp>
        <tr r="N1059" s="2"/>
      </tp>
      <tp t="s">
        <v>#N/A N/A</v>
        <stp/>
        <stp>BDP|1270313847499074828</stp>
        <tr r="A702" s="2"/>
      </tp>
      <tp t="s">
        <v>#N/A N/A</v>
        <stp/>
        <stp>BDP|9065484148516303858</stp>
        <tr r="H1551" s="2"/>
      </tp>
      <tp t="s">
        <v>#N/A N/A</v>
        <stp/>
        <stp>BDP|4795628704900725505</stp>
        <tr r="A817" s="2"/>
      </tp>
      <tp t="s">
        <v>#N/A N/A</v>
        <stp/>
        <stp>BDP|7651186211553191380</stp>
        <tr r="E1367" s="2"/>
      </tp>
      <tp t="s">
        <v>#N/A N/A</v>
        <stp/>
        <stp>BDP|1115939837469243517</stp>
        <tr r="F1763" s="2"/>
      </tp>
      <tp t="s">
        <v>#N/A N/A</v>
        <stp/>
        <stp>BDS|6712827627922563914</stp>
        <tr r="I1448" s="2"/>
      </tp>
      <tp t="s">
        <v>#N/A N/A</v>
        <stp/>
        <stp>BDP|1660473253836636120</stp>
        <tr r="Q492" s="2"/>
      </tp>
      <tp t="s">
        <v>#N/A N/A</v>
        <stp/>
        <stp>BDP|2171658445505635217</stp>
        <tr r="S310" s="2"/>
      </tp>
      <tp t="s">
        <v>#N/A N/A</v>
        <stp/>
        <stp>BDP|3711379414567430160</stp>
        <tr r="N139" s="2"/>
      </tp>
      <tp t="s">
        <v>#N/A N/A</v>
        <stp/>
        <stp>BDP|1384603142500368446</stp>
        <tr r="S1666" s="2"/>
      </tp>
      <tp t="s">
        <v>#N/A N/A</v>
        <stp/>
        <stp>BDP|2689062529625613293</stp>
        <tr r="S1697" s="2"/>
      </tp>
      <tp t="s">
        <v>#N/A N/A</v>
        <stp/>
        <stp>BDP|2786007420282755566</stp>
        <tr r="D161" s="2"/>
      </tp>
      <tp t="s">
        <v>#N/A N/A</v>
        <stp/>
        <stp>BDP|4604039331879164936</stp>
        <tr r="Q493" s="2"/>
      </tp>
      <tp t="s">
        <v>#N/A N/A</v>
        <stp/>
        <stp>BDP|6572393006661922351</stp>
        <tr r="R365" s="2"/>
      </tp>
      <tp t="s">
        <v>#N/A N/A</v>
        <stp/>
        <stp>BDS|2154638506546583572</stp>
        <tr r="I2169" s="2"/>
      </tp>
      <tp t="s">
        <v>#N/A N/A</v>
        <stp/>
        <stp>BDP|7139665496217150860</stp>
        <tr r="O254" s="2"/>
      </tp>
      <tp t="s">
        <v>#N/A N/A</v>
        <stp/>
        <stp>BDP|8258714012631652813</stp>
        <tr r="A1636" s="2"/>
      </tp>
      <tp t="s">
        <v>#N/A N/A</v>
        <stp/>
        <stp>BDP|9109190356253978915</stp>
        <tr r="C239" s="2"/>
      </tp>
      <tp t="s">
        <v>#N/A N/A</v>
        <stp/>
        <stp>BDP|9733579373769551508</stp>
        <tr r="C1641" s="2"/>
      </tp>
      <tp t="s">
        <v>#N/A N/A</v>
        <stp/>
        <stp>BDP|2112665246463117461</stp>
        <tr r="E997" s="2"/>
      </tp>
      <tp t="s">
        <v>#N/A N/A</v>
        <stp/>
        <stp>BDP|5482348536102085009</stp>
        <tr r="E2104" s="2"/>
      </tp>
      <tp t="s">
        <v>#N/A N/A</v>
        <stp/>
        <stp>BDP|5274238676744788360</stp>
        <tr r="N2186" s="2"/>
      </tp>
      <tp t="s">
        <v>#N/A N/A</v>
        <stp/>
        <stp>BDS|1618610472740541761</stp>
        <tr r="I266" s="2"/>
      </tp>
      <tp t="s">
        <v>#N/A N/A</v>
        <stp/>
        <stp>BDP|3340245265649152951</stp>
        <tr r="O1827" s="2"/>
      </tp>
      <tp t="s">
        <v>#N/A N/A</v>
        <stp/>
        <stp>BDP|3534606000802564068</stp>
        <tr r="F1645" s="2"/>
      </tp>
      <tp t="s">
        <v>#N/A N/A</v>
        <stp/>
        <stp>BDP|9441875227303083729</stp>
        <tr r="E311" s="2"/>
      </tp>
      <tp t="s">
        <v>#N/A N/A</v>
        <stp/>
        <stp>BDP|7076671717307340052</stp>
        <tr r="P1220" s="2"/>
      </tp>
      <tp t="s">
        <v>#N/A N/A</v>
        <stp/>
        <stp>BDP|1813755470391973723</stp>
        <tr r="S336" s="2"/>
      </tp>
      <tp t="s">
        <v>#N/A N/A</v>
        <stp/>
        <stp>BDP|6249534258072831370</stp>
        <tr r="D1728" s="2"/>
      </tp>
      <tp t="s">
        <v>#N/A N/A</v>
        <stp/>
        <stp>BDP|2678408117622621218</stp>
        <tr r="H1113" s="2"/>
      </tp>
      <tp t="s">
        <v>#N/A N/A</v>
        <stp/>
        <stp>BDP|5988366621843921017</stp>
        <tr r="S348" s="2"/>
      </tp>
      <tp t="s">
        <v>#N/A N/A</v>
        <stp/>
        <stp>BDP|8119976346942748018</stp>
        <tr r="J381" s="2"/>
      </tp>
      <tp t="s">
        <v>#N/A N/A</v>
        <stp/>
        <stp>BDP|4315980602643930966</stp>
        <tr r="R1881" s="2"/>
      </tp>
      <tp t="s">
        <v>#N/A N/A</v>
        <stp/>
        <stp>BDP|1109016609463745584</stp>
        <tr r="O948" s="2"/>
      </tp>
      <tp t="s">
        <v>#N/A N/A</v>
        <stp/>
        <stp>BDP|3315182456686234694</stp>
        <tr r="O1443" s="2"/>
      </tp>
      <tp t="s">
        <v>#N/A N/A</v>
        <stp/>
        <stp>BDP|1049322515200424454</stp>
        <tr r="A232" s="2"/>
      </tp>
      <tp t="s">
        <v>#N/A N/A</v>
        <stp/>
        <stp>BDP|3610585927032813177</stp>
        <tr r="A651" s="2"/>
      </tp>
      <tp t="s">
        <v>#N/A N/A</v>
        <stp/>
        <stp>BDP|6606030144777135261</stp>
        <tr r="N2239" s="2"/>
      </tp>
      <tp t="s">
        <v>#N/A N/A</v>
        <stp/>
        <stp>BDP|6634133183758205022</stp>
        <tr r="O193" s="2"/>
      </tp>
      <tp t="s">
        <v>#N/A N/A</v>
        <stp/>
        <stp>BDP|2415863405124030915</stp>
        <tr r="R1017" s="2"/>
      </tp>
      <tp t="s">
        <v>#N/A N/A</v>
        <stp/>
        <stp>BDP|3630733810534472677</stp>
        <tr r="C942" s="2"/>
      </tp>
      <tp t="s">
        <v>#N/A N/A</v>
        <stp/>
        <stp>BDP|8355249062932312900</stp>
        <tr r="Q1135" s="2"/>
      </tp>
      <tp t="s">
        <v>#N/A N/A</v>
        <stp/>
        <stp>BDP|4721530424305210144</stp>
        <tr r="G1047" s="2"/>
      </tp>
      <tp t="s">
        <v>#N/A N/A</v>
        <stp/>
        <stp>BDP|6831049892790907819</stp>
        <tr r="D683" s="2"/>
      </tp>
      <tp t="s">
        <v>#N/A N/A</v>
        <stp/>
        <stp>BDP|4691634102854417150</stp>
        <tr r="R1789" s="2"/>
      </tp>
      <tp t="s">
        <v>#N/A N/A</v>
        <stp/>
        <stp>BDP|3605155258029826953</stp>
        <tr r="C45" s="2"/>
      </tp>
      <tp t="s">
        <v>#N/A N/A</v>
        <stp/>
        <stp>BDP|5290272898471226899</stp>
        <tr r="T639" s="2"/>
      </tp>
      <tp t="s">
        <v>#N/A N/A</v>
        <stp/>
        <stp>BDP|2864919154931930822</stp>
        <tr r="T825" s="2"/>
      </tp>
      <tp t="s">
        <v>#N/A N/A</v>
        <stp/>
        <stp>BDP|1187866532904455975</stp>
        <tr r="G18" s="2"/>
      </tp>
      <tp t="s">
        <v>#N/A N/A</v>
        <stp/>
        <stp>BDP|4909998845707312909</stp>
        <tr r="S679" s="2"/>
      </tp>
      <tp t="s">
        <v>#N/A N/A</v>
        <stp/>
        <stp>BDS|3957755908002303114</stp>
        <tr r="I1992" s="2"/>
      </tp>
      <tp t="s">
        <v>#N/A N/A</v>
        <stp/>
        <stp>BDP|1479223892465123834</stp>
        <tr r="K117" s="2"/>
      </tp>
      <tp t="s">
        <v>#N/A N/A</v>
        <stp/>
        <stp>BDP|2003074406827288252</stp>
        <tr r="T1072" s="2"/>
      </tp>
      <tp t="s">
        <v>#N/A N/A</v>
        <stp/>
        <stp>BDP|8788779165326160822</stp>
        <tr r="C925" s="2"/>
      </tp>
      <tp t="s">
        <v>#N/A N/A</v>
        <stp/>
        <stp>BDP|6381274771015447161</stp>
        <tr r="F57" s="2"/>
      </tp>
      <tp t="s">
        <v>#N/A N/A</v>
        <stp/>
        <stp>BDP|5390574404564713300</stp>
        <tr r="N1366" s="2"/>
      </tp>
      <tp t="s">
        <v>#N/A N/A</v>
        <stp/>
        <stp>BDP|3365965093950722461</stp>
        <tr r="Q2027" s="2"/>
      </tp>
      <tp t="s">
        <v>#N/A N/A</v>
        <stp/>
        <stp>BDP|4235893194381180392</stp>
        <tr r="K367" s="2"/>
      </tp>
      <tp t="s">
        <v>#N/A N/A</v>
        <stp/>
        <stp>BDP|4774304288930149897</stp>
        <tr r="H1236" s="2"/>
      </tp>
      <tp t="s">
        <v>#N/A N/A</v>
        <stp/>
        <stp>BDP|6319613203055394252</stp>
        <tr r="C21" s="2"/>
      </tp>
      <tp t="s">
        <v>#N/A N/A</v>
        <stp/>
        <stp>BDP|7745143514951071101</stp>
        <tr r="N785" s="2"/>
      </tp>
      <tp t="s">
        <v>#N/A N/A</v>
        <stp/>
        <stp>BDP|8006428202083619811</stp>
        <tr r="O970" s="2"/>
      </tp>
      <tp t="s">
        <v>#N/A N/A</v>
        <stp/>
        <stp>BDP|8375719096424564564</stp>
        <tr r="N2051" s="2"/>
      </tp>
      <tp t="s">
        <v>#N/A N/A</v>
        <stp/>
        <stp>BDP|6239899480278424982</stp>
        <tr r="C1676" s="2"/>
      </tp>
      <tp t="s">
        <v>#N/A N/A</v>
        <stp/>
        <stp>BDP|6269069441144016127</stp>
        <tr r="Q418" s="2"/>
      </tp>
      <tp t="s">
        <v>#N/A N/A</v>
        <stp/>
        <stp>BDP|5453125863781298406</stp>
        <tr r="F2227" s="2"/>
      </tp>
      <tp t="s">
        <v>#N/A N/A</v>
        <stp/>
        <stp>BDP|6337206422800535135</stp>
        <tr r="K988" s="2"/>
      </tp>
      <tp t="s">
        <v>#N/A N/A</v>
        <stp/>
        <stp>BDP|4686096041412865517</stp>
        <tr r="M685" s="2"/>
      </tp>
      <tp t="s">
        <v>#N/A N/A</v>
        <stp/>
        <stp>BDP|4971550029237681346</stp>
        <tr r="S363" s="2"/>
      </tp>
      <tp t="s">
        <v>#N/A N/A</v>
        <stp/>
        <stp>BDP|4417638058057109792</stp>
        <tr r="C639" s="2"/>
      </tp>
      <tp t="s">
        <v>#N/A N/A</v>
        <stp/>
        <stp>BDP|5430123510760296234</stp>
        <tr r="E176" s="2"/>
      </tp>
      <tp t="s">
        <v>#N/A N/A</v>
        <stp/>
        <stp>BDP|1094113734423560772</stp>
        <tr r="S1808" s="2"/>
      </tp>
      <tp t="s">
        <v>#N/A N/A</v>
        <stp/>
        <stp>BDP|6418421022986228111</stp>
        <tr r="F1862" s="2"/>
      </tp>
      <tp t="s">
        <v>#N/A N/A</v>
        <stp/>
        <stp>BDP|8524287694942756694</stp>
        <tr r="A1580" s="2"/>
      </tp>
      <tp t="s">
        <v>#N/A N/A</v>
        <stp/>
        <stp>BDP|8094995122253812742</stp>
        <tr r="Q1576" s="2"/>
      </tp>
      <tp t="s">
        <v>#N/A N/A</v>
        <stp/>
        <stp>BDP|4483008866913274673</stp>
        <tr r="F2153" s="2"/>
      </tp>
      <tp t="s">
        <v>#N/A N/A</v>
        <stp/>
        <stp>BDP|4314539960315743502</stp>
        <tr r="D1868" s="2"/>
      </tp>
      <tp t="s">
        <v>#N/A N/A</v>
        <stp/>
        <stp>BDP|2223244555780457209</stp>
        <tr r="D870" s="2"/>
      </tp>
      <tp t="s">
        <v>#N/A N/A</v>
        <stp/>
        <stp>BDP|4551315531772287103</stp>
        <tr r="A1215" s="2"/>
      </tp>
      <tp t="s">
        <v>#N/A N/A</v>
        <stp/>
        <stp>BDP|5548509764089093868</stp>
        <tr r="Q1355" s="2"/>
      </tp>
      <tp t="s">
        <v>#N/A N/A</v>
        <stp/>
        <stp>BDP|9334828977701659075</stp>
        <tr r="D2057" s="2"/>
      </tp>
      <tp t="s">
        <v>#N/A N/A</v>
        <stp/>
        <stp>BDP|1885196320967090262</stp>
        <tr r="Q731" s="2"/>
      </tp>
      <tp t="s">
        <v>#N/A N/A</v>
        <stp/>
        <stp>BDP|2455228743073487069</stp>
        <tr r="G455" s="2"/>
      </tp>
      <tp t="s">
        <v>#N/A N/A</v>
        <stp/>
        <stp>BDP|1759313456921553126</stp>
        <tr r="R708" s="2"/>
      </tp>
      <tp t="s">
        <v>#N/A N/A</v>
        <stp/>
        <stp>BDP|6141495107403988611</stp>
        <tr r="T1363" s="2"/>
      </tp>
      <tp t="s">
        <v>#N/A N/A</v>
        <stp/>
        <stp>BDP|7638206454515295275</stp>
        <tr r="E1427" s="2"/>
      </tp>
      <tp t="s">
        <v>#N/A N/A</v>
        <stp/>
        <stp>BDP|5538339972281142720</stp>
        <tr r="A1870" s="2"/>
      </tp>
      <tp t="s">
        <v>#N/A N/A</v>
        <stp/>
        <stp>BDP|2776743713210291350</stp>
        <tr r="D1900" s="2"/>
      </tp>
      <tp t="s">
        <v>#N/A N/A</v>
        <stp/>
        <stp>BDP|6501864867186624959</stp>
        <tr r="A1981" s="2"/>
      </tp>
      <tp t="s">
        <v>#N/A N/A</v>
        <stp/>
        <stp>BDP|5744763717111700568</stp>
        <tr r="G1595" s="2"/>
      </tp>
      <tp t="s">
        <v>#N/A N/A</v>
        <stp/>
        <stp>BDP|1829388522473337463</stp>
        <tr r="S367" s="2"/>
      </tp>
      <tp t="s">
        <v>#N/A N/A</v>
        <stp/>
        <stp>BDP|8842862275887465786</stp>
        <tr r="J1465" s="2"/>
      </tp>
      <tp t="s">
        <v>#N/A N/A</v>
        <stp/>
        <stp>BDP|2741052156979609951</stp>
        <tr r="S207" s="2"/>
      </tp>
      <tp t="s">
        <v>#N/A N/A</v>
        <stp/>
        <stp>BDP|2646794928111888188</stp>
        <tr r="G1542" s="2"/>
      </tp>
      <tp t="s">
        <v>#N/A N/A</v>
        <stp/>
        <stp>BDP|9750517970788057411</stp>
        <tr r="T487" s="2"/>
      </tp>
      <tp t="s">
        <v>#N/A N/A</v>
        <stp/>
        <stp>BDS|1835290250742573331</stp>
        <tr r="I698" s="2"/>
      </tp>
      <tp t="s">
        <v>#N/A N/A</v>
        <stp/>
        <stp>BDP|1100924489642932540</stp>
        <tr r="A1320" s="2"/>
      </tp>
      <tp t="s">
        <v>#N/A N/A</v>
        <stp/>
        <stp>BDP|4700172571433225645</stp>
        <tr r="H1711" s="2"/>
      </tp>
      <tp t="s">
        <v>#N/A N/A</v>
        <stp/>
        <stp>BDP|2072266980019927682</stp>
        <tr r="S2036" s="2"/>
      </tp>
      <tp t="s">
        <v>#N/A N/A</v>
        <stp/>
        <stp>BDP|5425945894603147124</stp>
        <tr r="S1418" s="2"/>
      </tp>
      <tp t="s">
        <v>#N/A N/A</v>
        <stp/>
        <stp>BDP|2854755307025461796</stp>
        <tr r="H1021" s="2"/>
      </tp>
      <tp t="s">
        <v>#N/A N/A</v>
        <stp/>
        <stp>BDP|3155055722000627672</stp>
        <tr r="N1263" s="2"/>
      </tp>
      <tp t="s">
        <v>#N/A N/A</v>
        <stp/>
        <stp>BDP|6954735183106667887</stp>
        <tr r="H935" s="2"/>
      </tp>
      <tp t="s">
        <v>#N/A N/A</v>
        <stp/>
        <stp>BDP|3128111099415865961</stp>
        <tr r="E649" s="2"/>
      </tp>
      <tp t="s">
        <v>#N/A N/A</v>
        <stp/>
        <stp>BDP|3899398511567505124</stp>
        <tr r="G2054" s="2"/>
      </tp>
      <tp t="s">
        <v>#N/A N/A</v>
        <stp/>
        <stp>BDP|5425803045239759716</stp>
        <tr r="P1303" s="2"/>
      </tp>
      <tp t="s">
        <v>#N/A N/A</v>
        <stp/>
        <stp>BDP|5660603795049328477</stp>
        <tr r="M166" s="2"/>
      </tp>
      <tp t="s">
        <v>#N/A N/A</v>
        <stp/>
        <stp>BDP|8593264381016665338</stp>
        <tr r="A1819" s="2"/>
      </tp>
      <tp t="s">
        <v>#N/A N/A</v>
        <stp/>
        <stp>BDP|8399684869866058953</stp>
        <tr r="E1296" s="2"/>
      </tp>
      <tp t="s">
        <v>#N/A N/A</v>
        <stp/>
        <stp>BDP|4757585135484966141</stp>
        <tr r="Q1483" s="2"/>
      </tp>
      <tp t="s">
        <v>#N/A N/A</v>
        <stp/>
        <stp>BDP|9160319480886374343</stp>
        <tr r="N927" s="2"/>
      </tp>
      <tp t="s">
        <v>#N/A N/A</v>
        <stp/>
        <stp>BDP|9247650413228239116</stp>
        <tr r="M889" s="2"/>
      </tp>
      <tp t="s">
        <v>#N/A N/A</v>
        <stp/>
        <stp>BDP|4092367891809930096</stp>
        <tr r="J111" s="2"/>
      </tp>
      <tp t="s">
        <v>#N/A N/A</v>
        <stp/>
        <stp>BDS|3307204330872149758</stp>
        <tr r="I455" s="2"/>
      </tp>
      <tp t="s">
        <v>#N/A N/A</v>
        <stp/>
        <stp>BDP|3220915523218440733</stp>
        <tr r="Q82" s="2"/>
      </tp>
      <tp t="s">
        <v>#N/A N/A</v>
        <stp/>
        <stp>BDP|4234501135762916796</stp>
        <tr r="H1716" s="2"/>
      </tp>
      <tp t="s">
        <v>#N/A N/A</v>
        <stp/>
        <stp>BDP|7846074262670971633</stp>
        <tr r="A1021" s="2"/>
      </tp>
      <tp t="s">
        <v>#N/A N/A</v>
        <stp/>
        <stp>BDP|2309560172617635067</stp>
        <tr r="D1853" s="2"/>
      </tp>
      <tp t="s">
        <v>#N/A N/A</v>
        <stp/>
        <stp>BDP|3040668962707597360</stp>
        <tr r="S825" s="2"/>
      </tp>
      <tp t="s">
        <v>#N/A N/A</v>
        <stp/>
        <stp>BDP|7921485827142606474</stp>
        <tr r="D1953" s="2"/>
      </tp>
      <tp t="s">
        <v>#N/A N/A</v>
        <stp/>
        <stp>BDP|5673311215696015654</stp>
        <tr r="H67" s="2"/>
      </tp>
      <tp t="s">
        <v>#N/A N/A</v>
        <stp/>
        <stp>BDP|5294409866533095339</stp>
        <tr r="T1630" s="2"/>
      </tp>
      <tp t="s">
        <v>#N/A N/A</v>
        <stp/>
        <stp>BDP|3847007915603965636</stp>
        <tr r="S155" s="2"/>
      </tp>
      <tp t="s">
        <v>#N/A N/A</v>
        <stp/>
        <stp>BDS|1089302394485499971</stp>
        <tr r="I1383" s="2"/>
      </tp>
      <tp t="s">
        <v>#N/A N/A</v>
        <stp/>
        <stp>BDP|6820593611423691618</stp>
        <tr r="K1612" s="2"/>
      </tp>
      <tp t="s">
        <v>#N/A N/A</v>
        <stp/>
        <stp>BDP|5290155881092106908</stp>
        <tr r="J1357" s="2"/>
      </tp>
      <tp t="s">
        <v>#N/A N/A</v>
        <stp/>
        <stp>BDP|2200776185358054274</stp>
        <tr r="N706" s="2"/>
      </tp>
      <tp t="s">
        <v>#N/A N/A</v>
        <stp/>
        <stp>BDP|1280355052893768357</stp>
        <tr r="A1686" s="2"/>
      </tp>
      <tp t="s">
        <v>#N/A N/A</v>
        <stp/>
        <stp>BDP|3188641023838309825</stp>
        <tr r="Q1418" s="2"/>
      </tp>
      <tp t="s">
        <v>#N/A N/A</v>
        <stp/>
        <stp>BDP|7409103500622393308</stp>
        <tr r="D1528" s="2"/>
      </tp>
      <tp t="s">
        <v>#N/A N/A</v>
        <stp/>
        <stp>BDP|3912627139620438117</stp>
        <tr r="T2115" s="2"/>
      </tp>
      <tp t="s">
        <v>#N/A N/A</v>
        <stp/>
        <stp>BDP|4215414873679463931</stp>
        <tr r="C371" s="2"/>
      </tp>
      <tp t="s">
        <v>#N/A N/A</v>
        <stp/>
        <stp>BDP|8655952243140338241</stp>
        <tr r="N199" s="2"/>
      </tp>
      <tp t="s">
        <v>#N/A N/A</v>
        <stp/>
        <stp>BDP|6307125956535919096</stp>
        <tr r="D1083" s="2"/>
      </tp>
      <tp t="s">
        <v>#N/A N/A</v>
        <stp/>
        <stp>BDP|7556766067724727541</stp>
        <tr r="A301" s="2"/>
      </tp>
      <tp t="s">
        <v>#N/A N/A</v>
        <stp/>
        <stp>BDP|8336580470575408881</stp>
        <tr r="N1951" s="2"/>
      </tp>
      <tp t="s">
        <v>#N/A N/A</v>
        <stp/>
        <stp>BDP|1215380727306979132</stp>
        <tr r="D1500" s="2"/>
      </tp>
      <tp t="s">
        <v>#N/A N/A</v>
        <stp/>
        <stp>BDP|2449302962158371826</stp>
        <tr r="D242" s="2"/>
      </tp>
      <tp t="s">
        <v>#N/A N/A</v>
        <stp/>
        <stp>BDP|4207588774123183287</stp>
        <tr r="J1314" s="2"/>
      </tp>
      <tp t="s">
        <v>#N/A N/A</v>
        <stp/>
        <stp>BDP|9969960042022859125</stp>
        <tr r="Q83" s="2"/>
      </tp>
      <tp t="s">
        <v>#N/A N/A</v>
        <stp/>
        <stp>BDP|7489016302243731379</stp>
        <tr r="J971" s="2"/>
      </tp>
      <tp t="s">
        <v>#N/A N/A</v>
        <stp/>
        <stp>BDP|4519259346820553543</stp>
        <tr r="K987" s="2"/>
      </tp>
      <tp t="s">
        <v>#N/A N/A</v>
        <stp/>
        <stp>BDP|5637138645325277266</stp>
        <tr r="N2122" s="2"/>
      </tp>
      <tp t="s">
        <v>#N/A N/A</v>
        <stp/>
        <stp>BDP|2450558552516451334</stp>
        <tr r="N1362" s="2"/>
      </tp>
      <tp t="s">
        <v>#N/A N/A</v>
        <stp/>
        <stp>BDP|1077644300907674764</stp>
        <tr r="O2240" s="2"/>
      </tp>
      <tp t="s">
        <v>#N/A N/A</v>
        <stp/>
        <stp>BDP|5333241205097095762</stp>
        <tr r="Q506" s="2"/>
      </tp>
      <tp t="s">
        <v>#N/A N/A</v>
        <stp/>
        <stp>BDP|5511589924637523285</stp>
        <tr r="J354" s="2"/>
      </tp>
      <tp t="s">
        <v>#N/A N/A</v>
        <stp/>
        <stp>BDP|3746132950834455442</stp>
        <tr r="C954" s="2"/>
      </tp>
      <tp t="s">
        <v>#N/A N/A</v>
        <stp/>
        <stp>BDP|5051329981189644011</stp>
        <tr r="T1766" s="2"/>
      </tp>
      <tp t="s">
        <v>#N/A N/A</v>
        <stp/>
        <stp>BDP|1900693291060621939</stp>
        <tr r="G2152" s="2"/>
      </tp>
      <tp t="s">
        <v>#N/A N/A</v>
        <stp/>
        <stp>BDP|1110130756643163119</stp>
        <tr r="O956" s="2"/>
      </tp>
      <tp t="s">
        <v>#N/A N/A</v>
        <stp/>
        <stp>BDP|4184667116326237277</stp>
        <tr r="C527" s="2"/>
      </tp>
      <tp t="s">
        <v>#N/A N/A</v>
        <stp/>
        <stp>BDP|3657031357881216045</stp>
        <tr r="E1051" s="2"/>
      </tp>
      <tp t="s">
        <v>#N/A N/A</v>
        <stp/>
        <stp>BDP|5176634514912393718</stp>
        <tr r="J1558" s="2"/>
      </tp>
      <tp t="s">
        <v>#N/A N/A</v>
        <stp/>
        <stp>BDP|5740031010617010409</stp>
        <tr r="D515" s="2"/>
      </tp>
      <tp t="s">
        <v>#N/A N/A</v>
        <stp/>
        <stp>BDP|6094104936730371316</stp>
        <tr r="K920" s="2"/>
      </tp>
      <tp t="s">
        <v>#N/A N/A</v>
        <stp/>
        <stp>BDP|4732181324607888777</stp>
        <tr r="H2082" s="2"/>
      </tp>
      <tp t="s">
        <v>#N/A N/A</v>
        <stp/>
        <stp>BDP|2269809891863740709</stp>
        <tr r="O171" s="2"/>
      </tp>
      <tp t="s">
        <v>#N/A N/A</v>
        <stp/>
        <stp>BDP|3146448272205023236</stp>
        <tr r="F1291" s="2"/>
      </tp>
      <tp t="s">
        <v>#N/A N/A</v>
        <stp/>
        <stp>BDP|5387708914841636551</stp>
        <tr r="A2065" s="2"/>
      </tp>
      <tp t="s">
        <v>#N/A N/A</v>
        <stp/>
        <stp>BDP|9310923104491587644</stp>
        <tr r="A1473" s="2"/>
      </tp>
      <tp t="s">
        <v>#N/A N/A</v>
        <stp/>
        <stp>BDP|2093217717084078224</stp>
        <tr r="S77" s="2"/>
      </tp>
      <tp t="s">
        <v>#N/A N/A</v>
        <stp/>
        <stp>BDP|4497001230936482644</stp>
        <tr r="A406" s="2"/>
      </tp>
      <tp t="s">
        <v>#N/A N/A</v>
        <stp/>
        <stp>BDP|8623478489300942350</stp>
        <tr r="Q48" s="2"/>
      </tp>
      <tp t="s">
        <v>#N/A N/A</v>
        <stp/>
        <stp>BDP|6375552097449596405</stp>
        <tr r="P1878" s="2"/>
      </tp>
      <tp t="s">
        <v>#N/A N/A</v>
        <stp/>
        <stp>BDP|3738298103794960207</stp>
        <tr r="O1495" s="2"/>
      </tp>
      <tp t="s">
        <v>#N/A N/A</v>
        <stp/>
        <stp>BDP|1126388414657146385</stp>
        <tr r="G1604" s="2"/>
      </tp>
      <tp t="s">
        <v>#N/A N/A</v>
        <stp/>
        <stp>BDS|5395307350574373042</stp>
        <tr r="I1299" s="2"/>
      </tp>
      <tp t="s">
        <v>#N/A N/A</v>
        <stp/>
        <stp>BDP|5783464508534958241</stp>
        <tr r="J526" s="2"/>
      </tp>
      <tp t="s">
        <v>#N/A N/A</v>
        <stp/>
        <stp>BDS|6426433931864517276</stp>
        <tr r="I1230" s="2"/>
      </tp>
      <tp t="s">
        <v>#N/A N/A</v>
        <stp/>
        <stp>BDP|7918335862280527599</stp>
        <tr r="D1870" s="2"/>
      </tp>
      <tp t="s">
        <v>#N/A N/A</v>
        <stp/>
        <stp>BDP|9048609799940914148</stp>
        <tr r="G114" s="2"/>
      </tp>
      <tp t="s">
        <v>#N/A N/A</v>
        <stp/>
        <stp>BDP|4554207090080974888</stp>
        <tr r="Q1873" s="2"/>
      </tp>
      <tp t="s">
        <v>#N/A N/A</v>
        <stp/>
        <stp>BDP|5105228767594441244</stp>
        <tr r="R1048" s="2"/>
      </tp>
      <tp t="s">
        <v>#N/A N/A</v>
        <stp/>
        <stp>BDP|7411534434417540129</stp>
        <tr r="M423" s="2"/>
      </tp>
      <tp t="s">
        <v>#N/A N/A</v>
        <stp/>
        <stp>BDP|3677058148735977563</stp>
        <tr r="J1557" s="2"/>
      </tp>
      <tp t="s">
        <v>#N/A N/A</v>
        <stp/>
        <stp>BDP|4089026825058516963</stp>
        <tr r="G1892" s="2"/>
      </tp>
      <tp t="s">
        <v>#N/A N/A</v>
        <stp/>
        <stp>BDP|5099709305863421656</stp>
        <tr r="R1815" s="2"/>
      </tp>
      <tp t="s">
        <v>#N/A N/A</v>
        <stp/>
        <stp>BDP|1295394759088660807</stp>
        <tr r="O1705" s="2"/>
      </tp>
      <tp t="s">
        <v>#N/A N/A</v>
        <stp/>
        <stp>BDP|2343368584147789929</stp>
        <tr r="K2051" s="2"/>
      </tp>
      <tp t="s">
        <v>#N/A N/A</v>
        <stp/>
        <stp>BDP|5943098227708606854</stp>
        <tr r="P2159" s="2"/>
      </tp>
      <tp t="s">
        <v>#N/A N/A</v>
        <stp/>
        <stp>BDP|5037249839701012293</stp>
        <tr r="P1202" s="2"/>
      </tp>
      <tp t="s">
        <v>#N/A N/A</v>
        <stp/>
        <stp>BDP|2939323238554384142</stp>
        <tr r="K969" s="2"/>
      </tp>
      <tp t="s">
        <v>#N/A N/A</v>
        <stp/>
        <stp>BDP|2331164760354788663</stp>
        <tr r="K1758" s="2"/>
      </tp>
      <tp t="s">
        <v>#N/A N/A</v>
        <stp/>
        <stp>BDS|4522868492986673439</stp>
        <tr r="I101" s="2"/>
      </tp>
      <tp t="s">
        <v>#N/A N/A</v>
        <stp/>
        <stp>BDP|4499540231534666134</stp>
        <tr r="S1230" s="2"/>
      </tp>
      <tp t="s">
        <v>#N/A N/A</v>
        <stp/>
        <stp>BDP|5675101026147599610</stp>
        <tr r="Q1818" s="2"/>
      </tp>
      <tp t="s">
        <v>#N/A N/A</v>
        <stp/>
        <stp>BDP|7528656364500571058</stp>
        <tr r="P116" s="2"/>
      </tp>
      <tp t="s">
        <v>#N/A N/A</v>
        <stp/>
        <stp>BDP|2186122239270748792</stp>
        <tr r="A848" s="2"/>
      </tp>
      <tp t="s">
        <v>#N/A N/A</v>
        <stp/>
        <stp>BDP|4003602754202480249</stp>
        <tr r="R1000" s="2"/>
      </tp>
      <tp t="s">
        <v>#N/A N/A</v>
        <stp/>
        <stp>BDP|4540091552613856527</stp>
        <tr r="O1385" s="2"/>
      </tp>
      <tp t="s">
        <v>#N/A N/A</v>
        <stp/>
        <stp>BDP|5314583282227897858</stp>
        <tr r="C1815" s="2"/>
      </tp>
      <tp t="s">
        <v>#N/A N/A</v>
        <stp/>
        <stp>BDP|1804092334196317323</stp>
        <tr r="N1432" s="2"/>
      </tp>
      <tp t="s">
        <v>#N/A N/A</v>
        <stp/>
        <stp>BDP|8973994972206430723</stp>
        <tr r="O952" s="2"/>
      </tp>
      <tp t="s">
        <v>#N/A N/A</v>
        <stp/>
        <stp>BDP|5809340534044983659</stp>
        <tr r="J2230" s="2"/>
      </tp>
      <tp t="s">
        <v>#N/A N/A</v>
        <stp/>
        <stp>BDP|9801734934569215391</stp>
        <tr r="C825" s="2"/>
      </tp>
      <tp t="s">
        <v>#N/A N/A</v>
        <stp/>
        <stp>BDP|5402940416709163331</stp>
        <tr r="N770" s="2"/>
      </tp>
      <tp t="s">
        <v>#N/A N/A</v>
        <stp/>
        <stp>BDP|9306159306828312770</stp>
        <tr r="N1205" s="2"/>
      </tp>
      <tp t="s">
        <v>#N/A N/A</v>
        <stp/>
        <stp>BDP|1840686631105220671</stp>
        <tr r="F745" s="2"/>
      </tp>
      <tp t="s">
        <v>#N/A N/A</v>
        <stp/>
        <stp>BDP|2243690375977841329</stp>
        <tr r="R1726" s="2"/>
      </tp>
      <tp t="s">
        <v>#N/A N/A</v>
        <stp/>
        <stp>BDP|1805916172700856874</stp>
        <tr r="D1239" s="2"/>
      </tp>
      <tp t="s">
        <v>#N/A N/A</v>
        <stp/>
        <stp>BDP|4748410826131257463</stp>
        <tr r="E937" s="2"/>
      </tp>
      <tp t="s">
        <v>#N/A N/A</v>
        <stp/>
        <stp>BDP|3297708106305576656</stp>
        <tr r="K1957" s="2"/>
      </tp>
      <tp t="s">
        <v>#N/A N/A</v>
        <stp/>
        <stp>BDP|6825208359974580208</stp>
        <tr r="M1671" s="2"/>
      </tp>
      <tp t="s">
        <v>#N/A N/A</v>
        <stp/>
        <stp>BDP|4627615636066175043</stp>
        <tr r="A971" s="2"/>
      </tp>
      <tp t="s">
        <v>#N/A N/A</v>
        <stp/>
        <stp>BDP|6702498522841071684</stp>
        <tr r="J1288" s="2"/>
      </tp>
      <tp t="s">
        <v>#N/A N/A</v>
        <stp/>
        <stp>BDP|1424070415663538474</stp>
        <tr r="D1074" s="2"/>
      </tp>
      <tp t="s">
        <v>#N/A N/A</v>
        <stp/>
        <stp>BDP|9068716584949382822</stp>
        <tr r="A1344" s="2"/>
      </tp>
      <tp t="s">
        <v>#N/A N/A</v>
        <stp/>
        <stp>BDP|3571519391850733867</stp>
        <tr r="H1907" s="2"/>
      </tp>
      <tp t="s">
        <v>#N/A N/A</v>
        <stp/>
        <stp>BDP|3955336883429508685</stp>
        <tr r="E811" s="2"/>
      </tp>
      <tp t="s">
        <v>#N/A N/A</v>
        <stp/>
        <stp>BDP|6988163238886255514</stp>
        <tr r="A1104" s="2"/>
      </tp>
      <tp t="s">
        <v>#N/A N/A</v>
        <stp/>
        <stp>BDP|7075581508526773336</stp>
        <tr r="M974" s="2"/>
      </tp>
      <tp t="s">
        <v>#N/A N/A</v>
        <stp/>
        <stp>BDP|7631435636374011376</stp>
        <tr r="T2178" s="2"/>
      </tp>
      <tp t="s">
        <v>#N/A N/A</v>
        <stp/>
        <stp>BDP|5862227465125877335</stp>
        <tr r="K604" s="2"/>
      </tp>
      <tp t="s">
        <v>#N/A N/A</v>
        <stp/>
        <stp>BDP|9004171741483425865</stp>
        <tr r="F2093" s="2"/>
      </tp>
      <tp t="s">
        <v>#N/A N/A</v>
        <stp/>
        <stp>BDP|8629079938574993842</stp>
        <tr r="H1197" s="2"/>
      </tp>
      <tp t="s">
        <v>#N/A N/A</v>
        <stp/>
        <stp>BDP|8677774315529132010</stp>
        <tr r="R64" s="2"/>
      </tp>
      <tp t="s">
        <v>#N/A N/A</v>
        <stp/>
        <stp>BDP|5435079434827155622</stp>
        <tr r="P1889" s="2"/>
      </tp>
      <tp t="s">
        <v>#N/A N/A</v>
        <stp/>
        <stp>BDP|4714300036306605537</stp>
        <tr r="Q451" s="2"/>
      </tp>
      <tp t="s">
        <v>#N/A N/A</v>
        <stp/>
        <stp>BDP|4464960722510331875</stp>
        <tr r="M86" s="2"/>
      </tp>
      <tp t="s">
        <v>#N/A N/A</v>
        <stp/>
        <stp>BDP|7489909238762934810</stp>
        <tr r="J588" s="2"/>
      </tp>
      <tp t="s">
        <v>#N/A N/A</v>
        <stp/>
        <stp>BDP|9392112847113761869</stp>
        <tr r="A1167" s="2"/>
      </tp>
      <tp t="s">
        <v>#N/A N/A</v>
        <stp/>
        <stp>BDP|2564866399317732394</stp>
        <tr r="S1914" s="2"/>
      </tp>
      <tp t="s">
        <v>#N/A N/A</v>
        <stp/>
        <stp>BDP|5966877103079855310</stp>
        <tr r="K1753" s="2"/>
      </tp>
      <tp t="s">
        <v>#N/A N/A</v>
        <stp/>
        <stp>BDP|9064372288647367280</stp>
        <tr r="E1474" s="2"/>
      </tp>
      <tp t="s">
        <v>#N/A N/A</v>
        <stp/>
        <stp>BDP|4877313958181518400</stp>
        <tr r="N649" s="2"/>
      </tp>
      <tp t="s">
        <v>#N/A N/A</v>
        <stp/>
        <stp>BDP|4549303097658058163</stp>
        <tr r="K1384" s="2"/>
      </tp>
      <tp t="s">
        <v>#N/A N/A</v>
        <stp/>
        <stp>BDP|9480801756863345052</stp>
        <tr r="F404" s="2"/>
      </tp>
      <tp t="s">
        <v>#N/A N/A</v>
        <stp/>
        <stp>BDP|3018014323477219147</stp>
        <tr r="H1911" s="2"/>
      </tp>
      <tp t="s">
        <v>#N/A N/A</v>
        <stp/>
        <stp>BDP|2368327820432745626</stp>
        <tr r="P392" s="2"/>
      </tp>
      <tp t="s">
        <v>#N/A N/A</v>
        <stp/>
        <stp>BDP|8489627328422999935</stp>
        <tr r="H481" s="2"/>
      </tp>
      <tp t="s">
        <v>#N/A N/A</v>
        <stp/>
        <stp>BDP|2580729897288212365</stp>
        <tr r="Q2232" s="2"/>
      </tp>
      <tp t="s">
        <v>#N/A N/A</v>
        <stp/>
        <stp>BDP|7255438188875571985</stp>
        <tr r="Q2035" s="2"/>
      </tp>
      <tp t="s">
        <v>#N/A N/A</v>
        <stp/>
        <stp>BDP|4424543034554679164</stp>
        <tr r="E1382" s="2"/>
      </tp>
      <tp t="s">
        <v>#N/A N/A</v>
        <stp/>
        <stp>BDP|1047686979140327767</stp>
        <tr r="N283" s="2"/>
      </tp>
      <tp t="s">
        <v>#N/A N/A</v>
        <stp/>
        <stp>BDP|4839162726621522193</stp>
        <tr r="A740" s="2"/>
      </tp>
      <tp t="s">
        <v>#N/A N/A</v>
        <stp/>
        <stp>BDS|3493330073360453055</stp>
        <tr r="I1913" s="2"/>
      </tp>
      <tp t="s">
        <v>#N/A N/A</v>
        <stp/>
        <stp>BDS|4417349713738361953</stp>
        <tr r="I242" s="2"/>
      </tp>
      <tp t="s">
        <v>#N/A N/A</v>
        <stp/>
        <stp>BDP|2692962824888631679</stp>
        <tr r="F1149" s="2"/>
      </tp>
      <tp t="s">
        <v>#N/A N/A</v>
        <stp/>
        <stp>BDS|9098126492165671333</stp>
        <tr r="I1166" s="2"/>
      </tp>
      <tp t="s">
        <v>#N/A N/A</v>
        <stp/>
        <stp>BDP|2306707672261342479</stp>
        <tr r="C788" s="2"/>
      </tp>
      <tp t="s">
        <v>#N/A N/A</v>
        <stp/>
        <stp>BDP|2306608267321740467</stp>
        <tr r="N1857" s="2"/>
      </tp>
      <tp t="s">
        <v>#N/A N/A</v>
        <stp/>
        <stp>BDP|2355495838022393041</stp>
        <tr r="O581" s="2"/>
      </tp>
      <tp t="s">
        <v>#N/A N/A</v>
        <stp/>
        <stp>BDP|2707165032985171273</stp>
        <tr r="M341" s="2"/>
      </tp>
      <tp t="s">
        <v>#N/A N/A</v>
        <stp/>
        <stp>BDP|2981043858502801286</stp>
        <tr r="P1891" s="2"/>
      </tp>
      <tp t="s">
        <v>#N/A N/A</v>
        <stp/>
        <stp>BDP|1585601110173827281</stp>
        <tr r="R151" s="2"/>
      </tp>
      <tp t="s">
        <v>#N/A N/A</v>
        <stp/>
        <stp>BDP|2281850186017341277</stp>
        <tr r="N1470" s="2"/>
      </tp>
      <tp t="s">
        <v>#N/A N/A</v>
        <stp/>
        <stp>BDP|2686845159161853962</stp>
        <tr r="F936" s="2"/>
      </tp>
      <tp t="s">
        <v>#N/A N/A</v>
        <stp/>
        <stp>BDP|3477890744671534999</stp>
        <tr r="E1436" s="2"/>
      </tp>
      <tp t="s">
        <v>#N/A N/A</v>
        <stp/>
        <stp>BDP|2675020820303688476</stp>
        <tr r="S19" s="2"/>
      </tp>
      <tp t="s">
        <v>#N/A N/A</v>
        <stp/>
        <stp>BDP|1554538245591438621</stp>
        <tr r="C951" s="2"/>
      </tp>
      <tp t="s">
        <v>#N/A N/A</v>
        <stp/>
        <stp>BDP|4833618849427111644</stp>
        <tr r="P958" s="2"/>
      </tp>
      <tp t="s">
        <v>#N/A N/A</v>
        <stp/>
        <stp>BDP|6091914896275217404</stp>
        <tr r="H1898" s="2"/>
      </tp>
      <tp t="s">
        <v>#N/A N/A</v>
        <stp/>
        <stp>BDP|2241464405062256368</stp>
        <tr r="G2183" s="2"/>
      </tp>
      <tp t="s">
        <v>#N/A N/A</v>
        <stp/>
        <stp>BDP|4884616457237386789</stp>
        <tr r="A1059" s="2"/>
      </tp>
      <tp t="s">
        <v>#N/A N/A</v>
        <stp/>
        <stp>BDP|1215130269996575782</stp>
        <tr r="D563" s="2"/>
      </tp>
      <tp t="s">
        <v>#N/A N/A</v>
        <stp/>
        <stp>BDP|8690481234600916863</stp>
        <tr r="G1831" s="2"/>
      </tp>
      <tp t="s">
        <v>#N/A N/A</v>
        <stp/>
        <stp>BDP|1399306912714776033</stp>
        <tr r="H1924" s="2"/>
      </tp>
      <tp t="s">
        <v>#N/A N/A</v>
        <stp/>
        <stp>BDP|7423332702553709079</stp>
        <tr r="G2053" s="2"/>
      </tp>
      <tp t="s">
        <v>#N/A N/A</v>
        <stp/>
        <stp>BDP|4058542507517485126</stp>
        <tr r="J574" s="2"/>
      </tp>
      <tp t="s">
        <v>#N/A N/A</v>
        <stp/>
        <stp>BDP|6674744310896049170</stp>
        <tr r="O1137" s="2"/>
      </tp>
      <tp t="s">
        <v>#N/A N/A</v>
        <stp/>
        <stp>BDP|5184282013578840974</stp>
        <tr r="F442" s="2"/>
      </tp>
      <tp t="s">
        <v>#N/A N/A</v>
        <stp/>
        <stp>BDP|6624035184380420909</stp>
        <tr r="C853" s="2"/>
      </tp>
      <tp t="s">
        <v>#N/A N/A</v>
        <stp/>
        <stp>BDP|4343015755826218007</stp>
        <tr r="K408" s="2"/>
      </tp>
      <tp t="s">
        <v>#N/A N/A</v>
        <stp/>
        <stp>BDP|5151423551834118760</stp>
        <tr r="A1575" s="2"/>
      </tp>
      <tp t="s">
        <v>#N/A N/A</v>
        <stp/>
        <stp>BDP|6193439554197760748</stp>
        <tr r="D660" s="2"/>
      </tp>
      <tp t="s">
        <v>#N/A N/A</v>
        <stp/>
        <stp>BDP|4396204556401068500</stp>
        <tr r="C708" s="2"/>
      </tp>
      <tp t="s">
        <v>#N/A N/A</v>
        <stp/>
        <stp>BDP|8603916573017687670</stp>
        <tr r="A1891" s="2"/>
      </tp>
      <tp t="s">
        <v>#N/A N/A</v>
        <stp/>
        <stp>BDP|3157632413266034548</stp>
        <tr r="S316" s="2"/>
      </tp>
      <tp t="s">
        <v>#N/A N/A</v>
        <stp/>
        <stp>BDP|4765350723377184553</stp>
        <tr r="Q1012" s="2"/>
      </tp>
      <tp t="s">
        <v>#N/A N/A</v>
        <stp/>
        <stp>BDS|7815306551767895144</stp>
        <tr r="I1450" s="2"/>
      </tp>
      <tp t="s">
        <v>#N/A N/A</v>
        <stp/>
        <stp>BDP|1161060342962788079</stp>
        <tr r="T953" s="2"/>
      </tp>
      <tp t="s">
        <v>#N/A N/A</v>
        <stp/>
        <stp>BDP|7289951266818792736</stp>
        <tr r="F105" s="2"/>
      </tp>
      <tp t="s">
        <v>#N/A N/A</v>
        <stp/>
        <stp>BDP|1948629088299665108</stp>
        <tr r="J1345" s="2"/>
      </tp>
      <tp t="s">
        <v>#N/A N/A</v>
        <stp/>
        <stp>BDP|9138549767155139869</stp>
        <tr r="S584" s="2"/>
      </tp>
      <tp t="s">
        <v>#N/A N/A</v>
        <stp/>
        <stp>BDP|3057234714290401762</stp>
        <tr r="E2014" s="2"/>
      </tp>
      <tp t="s">
        <v>#N/A N/A</v>
        <stp/>
        <stp>BDP|7300501235452062433</stp>
        <tr r="J266" s="2"/>
      </tp>
      <tp t="s">
        <v>#N/A N/A</v>
        <stp/>
        <stp>BDP|8584882452211986330</stp>
        <tr r="F1491" s="2"/>
      </tp>
      <tp t="s">
        <v>#N/A N/A</v>
        <stp/>
        <stp>BDP|1466308860816212537</stp>
        <tr r="N1740" s="2"/>
      </tp>
      <tp t="s">
        <v>#N/A N/A</v>
        <stp/>
        <stp>BDP|1552425226482770233</stp>
        <tr r="P1365" s="2"/>
      </tp>
      <tp t="s">
        <v>#N/A N/A</v>
        <stp/>
        <stp>BDP|2349310904882451479</stp>
        <tr r="J555" s="2"/>
      </tp>
      <tp t="s">
        <v>#N/A N/A</v>
        <stp/>
        <stp>BDP|8338111287715060303</stp>
        <tr r="Q119" s="2"/>
      </tp>
      <tp t="s">
        <v>#N/A N/A</v>
        <stp/>
        <stp>BDP|8465508266209590526</stp>
        <tr r="R89" s="2"/>
      </tp>
      <tp t="s">
        <v>#N/A N/A</v>
        <stp/>
        <stp>BDP|4424015417703352146</stp>
        <tr r="T2032" s="2"/>
      </tp>
      <tp t="s">
        <v>#N/A N/A</v>
        <stp/>
        <stp>BDP|2639049939337690183</stp>
        <tr r="D1469" s="2"/>
      </tp>
      <tp t="s">
        <v>#N/A N/A</v>
        <stp/>
        <stp>BDP|4876726521495951373</stp>
        <tr r="G496" s="2"/>
      </tp>
      <tp t="s">
        <v>#N/A N/A</v>
        <stp/>
        <stp>BDP|7735708500954581378</stp>
        <tr r="S1880" s="2"/>
      </tp>
      <tp t="s">
        <v>#N/A N/A</v>
        <stp/>
        <stp>BDP|9736945349000610395</stp>
        <tr r="C1864" s="2"/>
      </tp>
      <tp t="s">
        <v>#N/A N/A</v>
        <stp/>
        <stp>BDP|1173085551793518086</stp>
        <tr r="E1045" s="2"/>
      </tp>
      <tp t="s">
        <v>#N/A N/A</v>
        <stp/>
        <stp>BDP|9537883917382764587</stp>
        <tr r="K347" s="2"/>
      </tp>
      <tp t="s">
        <v>#N/A N/A</v>
        <stp/>
        <stp>BDP|6587728200581361711</stp>
        <tr r="H592" s="2"/>
      </tp>
      <tp t="s">
        <v>#N/A N/A</v>
        <stp/>
        <stp>BDP|7123466263687554545</stp>
        <tr r="C1881" s="2"/>
      </tp>
      <tp t="s">
        <v>#N/A N/A</v>
        <stp/>
        <stp>BDP|7682167494169289134</stp>
        <tr r="T700" s="2"/>
      </tp>
      <tp t="s">
        <v>#N/A N/A</v>
        <stp/>
        <stp>BDP|6538616314445775324</stp>
        <tr r="O184" s="2"/>
      </tp>
      <tp t="s">
        <v>#N/A N/A</v>
        <stp/>
        <stp>BDS|8233734711690236973</stp>
        <tr r="I63" s="2"/>
      </tp>
      <tp t="s">
        <v>#N/A N/A</v>
        <stp/>
        <stp>BDP|3581529541426512361</stp>
        <tr r="F2214" s="2"/>
      </tp>
      <tp t="s">
        <v>#N/A N/A</v>
        <stp/>
        <stp>BDP|9486181498425807398</stp>
        <tr r="M815" s="2"/>
      </tp>
      <tp t="s">
        <v>#N/A N/A</v>
        <stp/>
        <stp>BDP|9905889275169450858</stp>
        <tr r="C1060" s="2"/>
      </tp>
      <tp t="s">
        <v>#N/A N/A</v>
        <stp/>
        <stp>BDP|6313187479264082379</stp>
        <tr r="R1926" s="2"/>
      </tp>
      <tp t="s">
        <v>#N/A N/A</v>
        <stp/>
        <stp>BDP|3978724025022342382</stp>
        <tr r="C1464" s="2"/>
      </tp>
      <tp t="s">
        <v>#N/A N/A</v>
        <stp/>
        <stp>BDP|1029800812427448837</stp>
        <tr r="S526" s="2"/>
      </tp>
      <tp t="s">
        <v>#N/A N/A</v>
        <stp/>
        <stp>BDP|7336337974656017217</stp>
        <tr r="P492" s="2"/>
      </tp>
      <tp t="s">
        <v>#N/A N/A</v>
        <stp/>
        <stp>BDP|6105893948534101942</stp>
        <tr r="K463" s="2"/>
      </tp>
      <tp t="s">
        <v>#N/A N/A</v>
        <stp/>
        <stp>BDS|6979265815252822076</stp>
        <tr r="I2075" s="2"/>
      </tp>
      <tp t="s">
        <v>#N/A N/A</v>
        <stp/>
        <stp>BDP|7173379560895458074</stp>
        <tr r="K838" s="2"/>
      </tp>
      <tp t="s">
        <v>#N/A N/A</v>
        <stp/>
        <stp>BDP|2783269435663111701</stp>
        <tr r="C746" s="2"/>
      </tp>
      <tp t="s">
        <v>#N/A N/A</v>
        <stp/>
        <stp>BDP|3656242166263261334</stp>
        <tr r="O1905" s="2"/>
      </tp>
      <tp t="s">
        <v>#N/A N/A</v>
        <stp/>
        <stp>BDP|1022040816646766105</stp>
        <tr r="O1187" s="2"/>
      </tp>
      <tp t="s">
        <v>#N/A N/A</v>
        <stp/>
        <stp>BDP|6739003404254500535</stp>
        <tr r="G171" s="2"/>
      </tp>
      <tp t="s">
        <v>#N/A N/A</v>
        <stp/>
        <stp>BDP|1503134855637441521</stp>
        <tr r="E81" s="2"/>
      </tp>
      <tp t="s">
        <v>#N/A N/A</v>
        <stp/>
        <stp>BDP|7644701096649525707</stp>
        <tr r="F1826" s="2"/>
      </tp>
      <tp t="s">
        <v>#N/A N/A</v>
        <stp/>
        <stp>BDP|3807779238831651142</stp>
        <tr r="T1958" s="2"/>
      </tp>
      <tp t="s">
        <v>#N/A N/A</v>
        <stp/>
        <stp>BDP|2003778424675510539</stp>
        <tr r="D689" s="2"/>
      </tp>
      <tp t="s">
        <v>#N/A N/A</v>
        <stp/>
        <stp>BDP|4378296623665918650</stp>
        <tr r="S586" s="2"/>
      </tp>
      <tp t="s">
        <v>#N/A N/A</v>
        <stp/>
        <stp>BDP|7513526152902292221</stp>
        <tr r="R574" s="2"/>
      </tp>
      <tp t="s">
        <v>#N/A N/A</v>
        <stp/>
        <stp>BDP|5636151265131546461</stp>
        <tr r="H590" s="2"/>
      </tp>
      <tp t="s">
        <v>#N/A N/A</v>
        <stp/>
        <stp>BDP|3513052291338661520</stp>
        <tr r="C711" s="2"/>
      </tp>
      <tp t="s">
        <v>#N/A N/A</v>
        <stp/>
        <stp>BDP|3304726615166569447</stp>
        <tr r="S1617" s="2"/>
      </tp>
      <tp t="s">
        <v>#N/A N/A</v>
        <stp/>
        <stp>BDP|8370003916108907693</stp>
        <tr r="O1926" s="2"/>
      </tp>
      <tp t="s">
        <v>#N/A N/A</v>
        <stp/>
        <stp>BDP|1211203463202800739</stp>
        <tr r="R1479" s="2"/>
      </tp>
      <tp t="s">
        <v>#N/A N/A</v>
        <stp/>
        <stp>BDP|3829044426513929298</stp>
        <tr r="N623" s="2"/>
      </tp>
      <tp t="s">
        <v>#N/A N/A</v>
        <stp/>
        <stp>BDS|6457193364027540668</stp>
        <tr r="I2038" s="2"/>
      </tp>
      <tp t="s">
        <v>#N/A N/A</v>
        <stp/>
        <stp>BDP|2642088450507367076</stp>
        <tr r="T1622" s="2"/>
      </tp>
      <tp t="s">
        <v>#N/A N/A</v>
        <stp/>
        <stp>BDP|3375399935273516004</stp>
        <tr r="G1914" s="2"/>
      </tp>
      <tp t="s">
        <v>#N/A N/A</v>
        <stp/>
        <stp>BDP|8337327905049784295</stp>
        <tr r="R222" s="2"/>
      </tp>
      <tp t="s">
        <v>#N/A N/A</v>
        <stp/>
        <stp>BDP|4597611315586344580</stp>
        <tr r="C1716" s="2"/>
      </tp>
      <tp t="s">
        <v>#N/A N/A</v>
        <stp/>
        <stp>BDP|5800024423033040438</stp>
        <tr r="N1636" s="2"/>
      </tp>
      <tp t="s">
        <v>#N/A N/A</v>
        <stp/>
        <stp>BDP|7198670878151362776</stp>
        <tr r="A606" s="2"/>
      </tp>
      <tp t="s">
        <v>#N/A N/A</v>
        <stp/>
        <stp>BDP|5953946403934676825</stp>
        <tr r="O929" s="2"/>
      </tp>
      <tp t="s">
        <v>#N/A N/A</v>
        <stp/>
        <stp>BDP|2824114600587431478</stp>
        <tr r="J902" s="2"/>
      </tp>
      <tp t="s">
        <v>#N/A N/A</v>
        <stp/>
        <stp>BDP|6810238796308432532</stp>
        <tr r="E879" s="2"/>
      </tp>
      <tp t="s">
        <v>#N/A N/A</v>
        <stp/>
        <stp>BDP|5704865872139968309</stp>
        <tr r="N705" s="2"/>
      </tp>
      <tp t="s">
        <v>#N/A N/A</v>
        <stp/>
        <stp>BDP|7173394224017098161</stp>
        <tr r="F1473" s="2"/>
      </tp>
      <tp t="s">
        <v>#N/A N/A</v>
        <stp/>
        <stp>BDP|1027558093099874446</stp>
        <tr r="J2015" s="2"/>
      </tp>
      <tp t="s">
        <v>#N/A N/A</v>
        <stp/>
        <stp>BDP|2705596555941734366</stp>
        <tr r="Q373" s="2"/>
      </tp>
      <tp t="s">
        <v>#N/A N/A</v>
        <stp/>
        <stp>BDP|2311096691629334228</stp>
        <tr r="S1546" s="2"/>
      </tp>
      <tp t="s">
        <v>#N/A N/A</v>
        <stp/>
        <stp>BDP|8994874651895497016</stp>
        <tr r="A1262" s="2"/>
      </tp>
      <tp t="s">
        <v>#N/A N/A</v>
        <stp/>
        <stp>BDP|7610224881835945863</stp>
        <tr r="G1245" s="2"/>
      </tp>
      <tp t="s">
        <v>#N/A N/A</v>
        <stp/>
        <stp>BDP|9821941615715468478</stp>
        <tr r="S516" s="2"/>
      </tp>
      <tp t="s">
        <v>#N/A N/A</v>
        <stp/>
        <stp>BDP|2974720861034956798</stp>
        <tr r="K480" s="2"/>
      </tp>
      <tp t="s">
        <v>#N/A N/A</v>
        <stp/>
        <stp>BDP|4990370730356079247</stp>
        <tr r="J1819" s="2"/>
      </tp>
      <tp t="s">
        <v>#N/A N/A</v>
        <stp/>
        <stp>BDP|6128928422148963527</stp>
        <tr r="P409" s="2"/>
      </tp>
      <tp t="s">
        <v>#N/A N/A</v>
        <stp/>
        <stp>BDP|5359318418591710674</stp>
        <tr r="N397" s="2"/>
      </tp>
      <tp t="s">
        <v>#N/A N/A</v>
        <stp/>
        <stp>BDP|6253538081009836223</stp>
        <tr r="K1014" s="2"/>
      </tp>
      <tp t="s">
        <v>#N/A N/A</v>
        <stp/>
        <stp>BDP|2281262108595761514</stp>
        <tr r="T1887" s="2"/>
      </tp>
      <tp t="s">
        <v>#N/A N/A</v>
        <stp/>
        <stp>BDP|8510786112126738828</stp>
        <tr r="M1207" s="2"/>
      </tp>
      <tp t="s">
        <v>#N/A N/A</v>
        <stp/>
        <stp>BDP|2844308475533777502</stp>
        <tr r="N1063" s="2"/>
      </tp>
      <tp t="s">
        <v>#N/A N/A</v>
        <stp/>
        <stp>BDP|8513915208651653008</stp>
        <tr r="E1208" s="2"/>
      </tp>
      <tp t="s">
        <v>#N/A N/A</v>
        <stp/>
        <stp>BDP|4121706966250418599</stp>
        <tr r="S1936" s="2"/>
      </tp>
      <tp t="s">
        <v>#N/A N/A</v>
        <stp/>
        <stp>BDP|2784809704778084290</stp>
        <tr r="K944" s="2"/>
      </tp>
      <tp t="s">
        <v>#N/A N/A</v>
        <stp/>
        <stp>BDP|1348691026490170578</stp>
        <tr r="H1586" s="2"/>
      </tp>
      <tp t="s">
        <v>#N/A N/A</v>
        <stp/>
        <stp>BDP|5190618458252192434</stp>
        <tr r="T809" s="2"/>
      </tp>
      <tp t="s">
        <v>#N/A N/A</v>
        <stp/>
        <stp>BDP|9446873702857357684</stp>
        <tr r="N79" s="2"/>
      </tp>
      <tp t="s">
        <v>#N/A N/A</v>
        <stp/>
        <stp>BDP|2277496274888735924</stp>
        <tr r="N166" s="2"/>
      </tp>
      <tp t="s">
        <v>#N/A N/A</v>
        <stp/>
        <stp>BDP|3629199922589571927</stp>
        <tr r="Q1455" s="2"/>
      </tp>
      <tp t="s">
        <v>#N/A N/A</v>
        <stp/>
        <stp>BDP|6895155267064768574</stp>
        <tr r="F1718" s="2"/>
      </tp>
      <tp t="s">
        <v>#N/A N/A</v>
        <stp/>
        <stp>BDP|9080261418043710939</stp>
        <tr r="S1176" s="2"/>
      </tp>
      <tp t="s">
        <v>#N/A N/A</v>
        <stp/>
        <stp>BDP|7730211726942892523</stp>
        <tr r="D2197" s="2"/>
      </tp>
      <tp t="s">
        <v>#N/A N/A</v>
        <stp/>
        <stp>BDP|3890465292767586932</stp>
        <tr r="A920" s="2"/>
      </tp>
      <tp t="s">
        <v>#N/A N/A</v>
        <stp/>
        <stp>BDP|3215177971750735593</stp>
        <tr r="G779" s="2"/>
      </tp>
      <tp t="s">
        <v>#N/A N/A</v>
        <stp/>
        <stp>BDP|8510592893002426610</stp>
        <tr r="P503" s="2"/>
      </tp>
      <tp t="s">
        <v>#N/A N/A</v>
        <stp/>
        <stp>BDP|4983349442177628433</stp>
        <tr r="H1179" s="2"/>
      </tp>
      <tp t="s">
        <v>#N/A N/A</v>
        <stp/>
        <stp>BDP|6982291369312084032</stp>
        <tr r="M2184" s="2"/>
      </tp>
      <tp t="s">
        <v>#N/A N/A</v>
        <stp/>
        <stp>BDP|6939011713280810791</stp>
        <tr r="Q1862" s="2"/>
      </tp>
      <tp t="s">
        <v>#N/A N/A</v>
        <stp/>
        <stp>BDP|7303631825722979161</stp>
        <tr r="A1233" s="2"/>
      </tp>
      <tp t="s">
        <v>#N/A N/A</v>
        <stp/>
        <stp>BDP|5700230619391111762</stp>
        <tr r="S1279" s="2"/>
      </tp>
      <tp t="s">
        <v>#N/A N/A</v>
        <stp/>
        <stp>BDP|4871713560767636253</stp>
        <tr r="H1765" s="2"/>
      </tp>
      <tp t="s">
        <v>#N/A N/A</v>
        <stp/>
        <stp>BDP|9285804863231958628</stp>
        <tr r="F783" s="2"/>
      </tp>
      <tp t="s">
        <v>#N/A N/A</v>
        <stp/>
        <stp>BDP|5395078148832596333</stp>
        <tr r="O2106" s="2"/>
      </tp>
      <tp t="s">
        <v>#N/A N/A</v>
        <stp/>
        <stp>BDP|7142153138337672200</stp>
        <tr r="R1787" s="2"/>
      </tp>
      <tp t="s">
        <v>#N/A N/A</v>
        <stp/>
        <stp>BDP|3720600314942914609</stp>
        <tr r="J2190" s="2"/>
      </tp>
      <tp t="s">
        <v>#N/A N/A</v>
        <stp/>
        <stp>BDP|5811332564485510505</stp>
        <tr r="O546" s="2"/>
      </tp>
      <tp t="s">
        <v>#N/A N/A</v>
        <stp/>
        <stp>BDP|4887742425592194325</stp>
        <tr r="H1146" s="2"/>
      </tp>
      <tp t="s">
        <v>#N/A N/A</v>
        <stp/>
        <stp>BDP|7275417945957486082</stp>
        <tr r="E1179" s="2"/>
      </tp>
      <tp t="s">
        <v>#N/A N/A</v>
        <stp/>
        <stp>BDP|3494316041656999273</stp>
        <tr r="R1626" s="2"/>
      </tp>
      <tp t="s">
        <v>#N/A N/A</v>
        <stp/>
        <stp>BDP|8217990376451458733</stp>
        <tr r="H945" s="2"/>
      </tp>
      <tp t="s">
        <v>#N/A N/A</v>
        <stp/>
        <stp>BDP|1901434700525203023</stp>
        <tr r="G827" s="2"/>
      </tp>
      <tp t="s">
        <v>#N/A N/A</v>
        <stp/>
        <stp>BDP|7986274469417884452</stp>
        <tr r="Q1038" s="2"/>
      </tp>
      <tp t="s">
        <v>#N/A N/A</v>
        <stp/>
        <stp>BDP|8379484237699665601</stp>
        <tr r="N75" s="2"/>
      </tp>
      <tp t="s">
        <v>#N/A N/A</v>
        <stp/>
        <stp>BDP|8813050481469563931</stp>
        <tr r="M727" s="2"/>
      </tp>
      <tp t="s">
        <v>#N/A N/A</v>
        <stp/>
        <stp>BDP|6335308799268599452</stp>
        <tr r="M1966" s="2"/>
      </tp>
      <tp t="s">
        <v>#N/A N/A</v>
        <stp/>
        <stp>BDP|9379150038352746932</stp>
        <tr r="O1968" s="2"/>
      </tp>
      <tp t="s">
        <v>#N/A N/A</v>
        <stp/>
        <stp>BDS|3455160269450679477</stp>
        <tr r="I1524" s="2"/>
      </tp>
      <tp t="s">
        <v>#N/A N/A</v>
        <stp/>
        <stp>BDP|2519628315776930318</stp>
        <tr r="N1747" s="2"/>
      </tp>
      <tp t="s">
        <v>#N/A N/A</v>
        <stp/>
        <stp>BDP|7984772640044679028</stp>
        <tr r="M866" s="2"/>
      </tp>
      <tp t="s">
        <v>#N/A N/A</v>
        <stp/>
        <stp>BDP|4612690535308332935</stp>
        <tr r="Q1352" s="2"/>
      </tp>
      <tp t="s">
        <v>#N/A N/A</v>
        <stp/>
        <stp>BDP|4133153353608817853</stp>
        <tr r="H910" s="2"/>
      </tp>
      <tp t="s">
        <v>#N/A N/A</v>
        <stp/>
        <stp>BDP|3628283210435789539</stp>
        <tr r="J58" s="2"/>
      </tp>
      <tp t="s">
        <v>#N/A N/A</v>
        <stp/>
        <stp>BDP|8850813602849082912</stp>
        <tr r="E105" s="2"/>
      </tp>
      <tp t="s">
        <v>#N/A N/A</v>
        <stp/>
        <stp>BDP|6121732712393851322</stp>
        <tr r="R2080" s="2"/>
      </tp>
      <tp t="s">
        <v>#N/A N/A</v>
        <stp/>
        <stp>BDP|7809311337430000741</stp>
        <tr r="A218" s="2"/>
      </tp>
      <tp t="s">
        <v>#N/A N/A</v>
        <stp/>
        <stp>BDP|3043185410052248101</stp>
        <tr r="N42" s="2"/>
      </tp>
      <tp t="s">
        <v>#N/A N/A</v>
        <stp/>
        <stp>BDP|5604684231196624633</stp>
        <tr r="N1907" s="2"/>
      </tp>
      <tp t="s">
        <v>#N/A N/A</v>
        <stp/>
        <stp>BDP|4475040877993813058</stp>
        <tr r="E1634" s="2"/>
      </tp>
      <tp t="s">
        <v>#N/A N/A</v>
        <stp/>
        <stp>BDP|9372579300739865568</stp>
        <tr r="K74" s="2"/>
      </tp>
      <tp t="s">
        <v>#N/A N/A</v>
        <stp/>
        <stp>BDP|4349203907390704693</stp>
        <tr r="E685" s="2"/>
      </tp>
      <tp t="s">
        <v>#N/A N/A</v>
        <stp/>
        <stp>BDP|9990900974962762501</stp>
        <tr r="H1290" s="2"/>
      </tp>
      <tp t="s">
        <v>#N/A N/A</v>
        <stp/>
        <stp>BDP|5058319558301516269</stp>
        <tr r="E1451" s="2"/>
      </tp>
      <tp t="s">
        <v>#N/A N/A</v>
        <stp/>
        <stp>BDP|1726298104875435647</stp>
        <tr r="K2098" s="2"/>
      </tp>
      <tp t="s">
        <v>#N/A N/A</v>
        <stp/>
        <stp>BDS|3794112137075274499</stp>
        <tr r="I2124" s="2"/>
      </tp>
      <tp t="s">
        <v>#N/A N/A</v>
        <stp/>
        <stp>BDP|7812201699768942425</stp>
        <tr r="E342" s="2"/>
      </tp>
      <tp t="s">
        <v>#N/A N/A</v>
        <stp/>
        <stp>BDP|9511303189040606204</stp>
        <tr r="K380" s="2"/>
      </tp>
      <tp t="s">
        <v>#N/A N/A</v>
        <stp/>
        <stp>BDP|7355941085403848502</stp>
        <tr r="A832" s="2"/>
      </tp>
      <tp t="s">
        <v>#N/A N/A</v>
        <stp/>
        <stp>BDP|7558010678751173173</stp>
        <tr r="K783" s="2"/>
      </tp>
      <tp t="s">
        <v>#N/A N/A</v>
        <stp/>
        <stp>BDP|5116749535001989029</stp>
        <tr r="D320" s="2"/>
      </tp>
      <tp t="s">
        <v>#N/A N/A</v>
        <stp/>
        <stp>BDP|4674361945227942478</stp>
        <tr r="R1468" s="2"/>
      </tp>
      <tp t="s">
        <v>#N/A N/A</v>
        <stp/>
        <stp>BDP|7023710487608462099</stp>
        <tr r="M1686" s="2"/>
      </tp>
      <tp t="s">
        <v>#N/A N/A</v>
        <stp/>
        <stp>BDP|4358652362632988662</stp>
        <tr r="O228" s="2"/>
      </tp>
      <tp t="s">
        <v>#N/A N/A</v>
        <stp/>
        <stp>BDP|7556222074102045089</stp>
        <tr r="K1299" s="2"/>
      </tp>
      <tp t="s">
        <v>#N/A N/A</v>
        <stp/>
        <stp>BDP|3531280571875736302</stp>
        <tr r="F1871" s="2"/>
      </tp>
      <tp t="s">
        <v>#N/A N/A</v>
        <stp/>
        <stp>BDP|6472831099842004554</stp>
        <tr r="N1494" s="2"/>
      </tp>
      <tp t="s">
        <v>#N/A N/A</v>
        <stp/>
        <stp>BDP|1284005406998987966</stp>
        <tr r="A1418" s="2"/>
      </tp>
      <tp t="s">
        <v>#N/A N/A</v>
        <stp/>
        <stp>BDP|9058796802277429949</stp>
        <tr r="J1095" s="2"/>
      </tp>
      <tp t="s">
        <v>#N/A N/A</v>
        <stp/>
        <stp>BDP|3145006420734384590</stp>
        <tr r="P219" s="2"/>
      </tp>
      <tp t="s">
        <v>#N/A N/A</v>
        <stp/>
        <stp>BDP|7268099392209428762</stp>
        <tr r="K2161" s="2"/>
      </tp>
      <tp t="s">
        <v>#N/A N/A</v>
        <stp/>
        <stp>BDP|7296484378200116483</stp>
        <tr r="D1883" s="2"/>
      </tp>
      <tp t="s">
        <v>#N/A N/A</v>
        <stp/>
        <stp>BDP|2808032913855058632</stp>
        <tr r="M1895" s="2"/>
      </tp>
      <tp t="s">
        <v>#N/A N/A</v>
        <stp/>
        <stp>BDP|2659202120326504489</stp>
        <tr r="Q618" s="2"/>
      </tp>
      <tp t="s">
        <v>#N/A N/A</v>
        <stp/>
        <stp>BDP|1213520818901663453</stp>
        <tr r="K508" s="2"/>
      </tp>
      <tp t="s">
        <v>#N/A N/A</v>
        <stp/>
        <stp>BDP|5704131723732984452</stp>
        <tr r="H535" s="2"/>
      </tp>
      <tp t="s">
        <v>#N/A N/A</v>
        <stp/>
        <stp>BDP|1932645895197284913</stp>
        <tr r="K1101" s="2"/>
      </tp>
      <tp t="s">
        <v>#N/A N/A</v>
        <stp/>
        <stp>BDP|8683695345662541843</stp>
        <tr r="N1860" s="2"/>
      </tp>
      <tp t="s">
        <v>#N/A N/A</v>
        <stp/>
        <stp>BDP|6883595028079084829</stp>
        <tr r="E2011" s="2"/>
      </tp>
      <tp t="s">
        <v>#N/A N/A</v>
        <stp/>
        <stp>BDP|6374092850221380223</stp>
        <tr r="K82" s="2"/>
      </tp>
      <tp t="s">
        <v>#N/A N/A</v>
        <stp/>
        <stp>BDP|9140309580393322190</stp>
        <tr r="N2175" s="2"/>
      </tp>
      <tp t="s">
        <v>#N/A N/A</v>
        <stp/>
        <stp>BDP|9865864949816803346</stp>
        <tr r="A75" s="2"/>
      </tp>
      <tp t="s">
        <v>#N/A N/A</v>
        <stp/>
        <stp>BDP|3167019151866302098</stp>
        <tr r="J415" s="2"/>
      </tp>
      <tp t="s">
        <v>#N/A N/A</v>
        <stp/>
        <stp>BDP|7257412514501858348</stp>
        <tr r="C1796" s="2"/>
      </tp>
      <tp t="s">
        <v>#N/A N/A</v>
        <stp/>
        <stp>BDP|2952606904396599236</stp>
        <tr r="E406" s="2"/>
      </tp>
      <tp t="s">
        <v>#N/A N/A</v>
        <stp/>
        <stp>BDP|9923739390322019516</stp>
        <tr r="T753" s="2"/>
      </tp>
      <tp t="s">
        <v>#N/A N/A</v>
        <stp/>
        <stp>BDP|5620297529056829359</stp>
        <tr r="E1060" s="2"/>
      </tp>
      <tp t="s">
        <v>#N/A N/A</v>
        <stp/>
        <stp>BDP|6471184646412510147</stp>
        <tr r="C1862" s="2"/>
      </tp>
      <tp t="s">
        <v>#N/A N/A</v>
        <stp/>
        <stp>BDP|3606591832587716214</stp>
        <tr r="G2073" s="2"/>
      </tp>
      <tp t="s">
        <v>#N/A N/A</v>
        <stp/>
        <stp>BDP|6426178862790857129</stp>
        <tr r="N2172" s="2"/>
      </tp>
      <tp t="s">
        <v>#N/A N/A</v>
        <stp/>
        <stp>BDP|7117619200210925129</stp>
        <tr r="K714" s="2"/>
      </tp>
      <tp t="s">
        <v>#N/A N/A</v>
        <stp/>
        <stp>BDP|7884015730875209104</stp>
        <tr r="S547" s="2"/>
      </tp>
      <tp t="s">
        <v>#N/A N/A</v>
        <stp/>
        <stp>BDP|6622110030726569292</stp>
        <tr r="S2087" s="2"/>
      </tp>
      <tp t="s">
        <v>#N/A N/A</v>
        <stp/>
        <stp>BDP|7777403909942693135</stp>
        <tr r="T1212" s="2"/>
      </tp>
      <tp t="s">
        <v>#N/A N/A</v>
        <stp/>
        <stp>BDP|3939163747625446373</stp>
        <tr r="A653" s="2"/>
      </tp>
      <tp t="s">
        <v>#N/A N/A</v>
        <stp/>
        <stp>BDS|6737360300631853423</stp>
        <tr r="I486" s="2"/>
      </tp>
      <tp t="s">
        <v>#N/A N/A</v>
        <stp/>
        <stp>BDP|6536442120685809527</stp>
        <tr r="Q724" s="2"/>
      </tp>
      <tp t="s">
        <v>#N/A N/A</v>
        <stp/>
        <stp>BDP|3912420311995587340</stp>
        <tr r="R649" s="2"/>
      </tp>
      <tp t="s">
        <v>#N/A N/A</v>
        <stp/>
        <stp>BDP|9854654946779242222</stp>
        <tr r="D67" s="2"/>
      </tp>
      <tp t="s">
        <v>#N/A N/A</v>
        <stp/>
        <stp>BDP|9949506082566905297</stp>
        <tr r="P255" s="2"/>
      </tp>
      <tp t="s">
        <v>#N/A N/A</v>
        <stp/>
        <stp>BDP|1075182883238525055</stp>
        <tr r="R1220" s="2"/>
      </tp>
      <tp t="s">
        <v>#N/A N/A</v>
        <stp/>
        <stp>BDP|5562642706171844242</stp>
        <tr r="R1768" s="2"/>
      </tp>
      <tp t="s">
        <v>#N/A N/A</v>
        <stp/>
        <stp>BDP|7035830450722944813</stp>
        <tr r="S733" s="2"/>
      </tp>
      <tp t="s">
        <v>#N/A N/A</v>
        <stp/>
        <stp>BDP|1623384566403656754</stp>
        <tr r="S1528" s="2"/>
      </tp>
      <tp t="s">
        <v>#N/A N/A</v>
        <stp/>
        <stp>BDP|6585405433504581583</stp>
        <tr r="T1573" s="2"/>
      </tp>
      <tp t="s">
        <v>#N/A N/A</v>
        <stp/>
        <stp>BDP|3752183628636534690</stp>
        <tr r="S1121" s="2"/>
      </tp>
      <tp t="s">
        <v>#N/A N/A</v>
        <stp/>
        <stp>BDP|4298272336936983319</stp>
        <tr r="E1286" s="2"/>
      </tp>
      <tp t="s">
        <v>#N/A N/A</v>
        <stp/>
        <stp>BDP|2701598478436971649</stp>
        <tr r="O265" s="2"/>
      </tp>
      <tp t="s">
        <v>#N/A N/A</v>
        <stp/>
        <stp>BDP|2728984180397357472</stp>
        <tr r="D1231" s="2"/>
      </tp>
      <tp t="s">
        <v>#N/A N/A</v>
        <stp/>
        <stp>BDP|9181985214933610207</stp>
        <tr r="K44" s="2"/>
      </tp>
      <tp t="s">
        <v>#N/A N/A</v>
        <stp/>
        <stp>BDP|7008585438965365488</stp>
        <tr r="D1324" s="2"/>
      </tp>
      <tp t="s">
        <v>#N/A N/A</v>
        <stp/>
        <stp>BDP|7289764915297998632</stp>
        <tr r="N460" s="2"/>
      </tp>
      <tp t="s">
        <v>#N/A N/A</v>
        <stp/>
        <stp>BDP|1621113754341120495</stp>
        <tr r="F2124" s="2"/>
      </tp>
      <tp t="s">
        <v>#N/A N/A</v>
        <stp/>
        <stp>BDP|5782245545480953349</stp>
        <tr r="T1698" s="2"/>
      </tp>
      <tp t="s">
        <v>#N/A N/A</v>
        <stp/>
        <stp>BDP|2343716365895873648</stp>
        <tr r="C393" s="2"/>
      </tp>
      <tp t="s">
        <v>#N/A N/A</v>
        <stp/>
        <stp>BDP|1878456840834186575</stp>
        <tr r="R1346" s="2"/>
      </tp>
      <tp t="s">
        <v>#N/A N/A</v>
        <stp/>
        <stp>BDP|4321181127761783608</stp>
        <tr r="R902" s="2"/>
      </tp>
      <tp t="s">
        <v>#N/A N/A</v>
        <stp/>
        <stp>BDP|4794370442727927408</stp>
        <tr r="C240" s="2"/>
      </tp>
      <tp t="s">
        <v>#N/A N/A</v>
        <stp/>
        <stp>BDP|7493716502048835848</stp>
        <tr r="D684" s="2"/>
      </tp>
      <tp t="s">
        <v>#N/A N/A</v>
        <stp/>
        <stp>BDP|7027776829443448110</stp>
        <tr r="S1687" s="2"/>
      </tp>
      <tp t="s">
        <v>#N/A N/A</v>
        <stp/>
        <stp>BDP|7755272398988190423</stp>
        <tr r="M438" s="2"/>
      </tp>
      <tp t="s">
        <v>#N/A N/A</v>
        <stp/>
        <stp>BDP|1614129710047698695</stp>
        <tr r="D1317" s="2"/>
      </tp>
      <tp t="s">
        <v>#N/A N/A</v>
        <stp/>
        <stp>BDP|6989830376590493933</stp>
        <tr r="C447" s="2"/>
      </tp>
      <tp t="s">
        <v>#N/A N/A</v>
        <stp/>
        <stp>BDP|4871468315840994199</stp>
        <tr r="F630" s="2"/>
      </tp>
      <tp t="s">
        <v>#N/A N/A</v>
        <stp/>
        <stp>BDP|2666321402041585088</stp>
        <tr r="E1913" s="2"/>
      </tp>
      <tp t="s">
        <v>#N/A N/A</v>
        <stp/>
        <stp>BDP|3324482171251363123</stp>
        <tr r="O1323" s="2"/>
      </tp>
      <tp t="s">
        <v>#N/A N/A</v>
        <stp/>
        <stp>BDP|7701513132801943068</stp>
        <tr r="M1899" s="2"/>
      </tp>
      <tp t="s">
        <v>#N/A N/A</v>
        <stp/>
        <stp>BDP|8879343637558067000</stp>
        <tr r="C7" s="2"/>
      </tp>
      <tp t="s">
        <v>#N/A N/A</v>
        <stp/>
        <stp>BDP|8945691627525937955</stp>
        <tr r="J40" s="2"/>
      </tp>
      <tp t="s">
        <v>#N/A N/A</v>
        <stp/>
        <stp>BDP|4898939382037508276</stp>
        <tr r="C1775" s="2"/>
      </tp>
      <tp t="s">
        <v>#N/A N/A</v>
        <stp/>
        <stp>BDP|4384449200284960453</stp>
        <tr r="Q450" s="2"/>
      </tp>
      <tp t="s">
        <v>#N/A N/A</v>
        <stp/>
        <stp>BDP|5224586990231020812</stp>
        <tr r="D1518" s="2"/>
      </tp>
      <tp t="s">
        <v>#N/A N/A</v>
        <stp/>
        <stp>BDP|6942405917477213472</stp>
        <tr r="J627" s="2"/>
      </tp>
      <tp t="s">
        <v>#N/A N/A</v>
        <stp/>
        <stp>BDP|4257135276086789481</stp>
        <tr r="N1162" s="2"/>
      </tp>
      <tp t="s">
        <v>#N/A N/A</v>
        <stp/>
        <stp>BDP|2569402299539289660</stp>
        <tr r="E734" s="2"/>
      </tp>
      <tp t="s">
        <v>#N/A N/A</v>
        <stp/>
        <stp>BDS|2912463214947778046</stp>
        <tr r="I72" s="2"/>
      </tp>
      <tp t="s">
        <v>#N/A N/A</v>
        <stp/>
        <stp>BDP|7315932869639688176</stp>
        <tr r="R1649" s="2"/>
      </tp>
      <tp t="s">
        <v>#N/A N/A</v>
        <stp/>
        <stp>BDP|8191046154929882415</stp>
        <tr r="T605" s="2"/>
      </tp>
      <tp t="s">
        <v>#N/A N/A</v>
        <stp/>
        <stp>BDP|6182695042985381117</stp>
        <tr r="J796" s="2"/>
      </tp>
      <tp t="s">
        <v>#N/A N/A</v>
        <stp/>
        <stp>BDP|3415777218094696155</stp>
        <tr r="M709" s="2"/>
      </tp>
      <tp t="s">
        <v>#N/A N/A</v>
        <stp/>
        <stp>BDP|4232774239905735530</stp>
        <tr r="J2192" s="2"/>
      </tp>
      <tp t="s">
        <v>#N/A N/A</v>
        <stp/>
        <stp>BDP|1759699384686430964</stp>
        <tr r="D1192" s="2"/>
      </tp>
      <tp t="s">
        <v>#N/A N/A</v>
        <stp/>
        <stp>BDP|7630911348063369949</stp>
        <tr r="D206" s="2"/>
      </tp>
      <tp t="s">
        <v>#N/A N/A</v>
        <stp/>
        <stp>BDP|4183482072914468378</stp>
        <tr r="M672" s="2"/>
      </tp>
      <tp t="s">
        <v>#N/A N/A</v>
        <stp/>
        <stp>BDP|1286477895184120890</stp>
        <tr r="C1020" s="2"/>
      </tp>
      <tp t="s">
        <v>#N/A N/A</v>
        <stp/>
        <stp>BDP|2147643371377405488</stp>
        <tr r="P645" s="2"/>
      </tp>
      <tp t="s">
        <v>#N/A N/A</v>
        <stp/>
        <stp>BDP|7673604409514186562</stp>
        <tr r="J539" s="2"/>
      </tp>
      <tp t="s">
        <v>#N/A N/A</v>
        <stp/>
        <stp>BDP|2852430587656373878</stp>
        <tr r="E1961" s="2"/>
      </tp>
      <tp t="s">
        <v>#N/A N/A</v>
        <stp/>
        <stp>BDP|1538069464196767181</stp>
        <tr r="J1710" s="2"/>
      </tp>
      <tp t="s">
        <v>#N/A N/A</v>
        <stp/>
        <stp>BDP|4204070367302965039</stp>
        <tr r="F2004" s="2"/>
      </tp>
      <tp t="s">
        <v>#N/A N/A</v>
        <stp/>
        <stp>BDP|7981432637409154947</stp>
        <tr r="R1447" s="2"/>
      </tp>
      <tp t="s">
        <v>#N/A N/A</v>
        <stp/>
        <stp>BDP|9004535815054795990</stp>
        <tr r="Q543" s="2"/>
      </tp>
      <tp t="s">
        <v>#N/A N/A</v>
        <stp/>
        <stp>BDP|7788856197324486299</stp>
        <tr r="R1380" s="2"/>
      </tp>
      <tp t="s">
        <v>#N/A N/A</v>
        <stp/>
        <stp>BDP|8387537489021248437</stp>
        <tr r="A1491" s="2"/>
      </tp>
      <tp t="s">
        <v>#N/A N/A</v>
        <stp/>
        <stp>BDP|6918807467781681906</stp>
        <tr r="M1975" s="2"/>
      </tp>
      <tp t="s">
        <v>#N/A N/A</v>
        <stp/>
        <stp>BDP|5942325165994547433</stp>
        <tr r="H166" s="2"/>
      </tp>
      <tp t="s">
        <v>#N/A N/A</v>
        <stp/>
        <stp>BDP|8823028384403332353</stp>
        <tr r="F223" s="2"/>
      </tp>
      <tp t="s">
        <v>#N/A N/A</v>
        <stp/>
        <stp>BDP|9124904924001413399</stp>
        <tr r="A2136" s="2"/>
      </tp>
      <tp t="s">
        <v>#N/A N/A</v>
        <stp/>
        <stp>BDP|1694060166075697281</stp>
        <tr r="H1642" s="2"/>
      </tp>
      <tp t="s">
        <v>#N/A N/A</v>
        <stp/>
        <stp>BDP|2405253208054237431</stp>
        <tr r="O21" s="2"/>
      </tp>
      <tp t="s">
        <v>#N/A N/A</v>
        <stp/>
        <stp>BDP|4145590464513056445</stp>
        <tr r="D2129" s="2"/>
      </tp>
      <tp t="s">
        <v>#N/A N/A</v>
        <stp/>
        <stp>BDP|1629204315644399688</stp>
        <tr r="T2240" s="2"/>
      </tp>
      <tp t="s">
        <v>#N/A N/A</v>
        <stp/>
        <stp>BDP|6685299335004795359</stp>
        <tr r="P743" s="2"/>
      </tp>
      <tp t="s">
        <v>#N/A N/A</v>
        <stp/>
        <stp>BDP|5478906254600137995</stp>
        <tr r="M45" s="2"/>
      </tp>
      <tp t="s">
        <v>#N/A N/A</v>
        <stp/>
        <stp>BDP|9839821050101721550</stp>
        <tr r="P1101" s="2"/>
      </tp>
      <tp t="s">
        <v>#N/A N/A</v>
        <stp/>
        <stp>BDS|6499423730542840369</stp>
        <tr r="I1504" s="2"/>
      </tp>
      <tp t="s">
        <v>#N/A N/A</v>
        <stp/>
        <stp>BDP|1911052592578578030</stp>
        <tr r="D1929" s="2"/>
      </tp>
      <tp t="s">
        <v>#N/A N/A</v>
        <stp/>
        <stp>BDP|3151171573207471291</stp>
        <tr r="H2219" s="2"/>
      </tp>
      <tp t="s">
        <v>#N/A N/A</v>
        <stp/>
        <stp>BDP|2522026907381071380</stp>
        <tr r="K640" s="2"/>
      </tp>
      <tp t="s">
        <v>#N/A N/A</v>
        <stp/>
        <stp>BDP|5917125196728646537</stp>
        <tr r="D935" s="2"/>
      </tp>
      <tp t="s">
        <v>#N/A N/A</v>
        <stp/>
        <stp>BDP|1949495321367877015</stp>
        <tr r="A1737" s="2"/>
      </tp>
      <tp t="s">
        <v>#N/A N/A</v>
        <stp/>
        <stp>BDP|5038207310062826406</stp>
        <tr r="P450" s="2"/>
      </tp>
      <tp t="s">
        <v>#N/A N/A</v>
        <stp/>
        <stp>BDP|1814143632052080169</stp>
        <tr r="G1328" s="2"/>
      </tp>
      <tp t="s">
        <v>#N/A N/A</v>
        <stp/>
        <stp>BDP|7857747073792129564</stp>
        <tr r="R92" s="2"/>
      </tp>
      <tp t="s">
        <v>#N/A N/A</v>
        <stp/>
        <stp>BDP|7444676783288077184</stp>
        <tr r="O936" s="2"/>
      </tp>
      <tp t="s">
        <v>#N/A N/A</v>
        <stp/>
        <stp>BDP|7647898186294143309</stp>
        <tr r="D869" s="2"/>
      </tp>
      <tp t="s">
        <v>#N/A N/A</v>
        <stp/>
        <stp>BDP|5142721264280876473</stp>
        <tr r="D1274" s="2"/>
      </tp>
      <tp t="s">
        <v>#N/A N/A</v>
        <stp/>
        <stp>BDP|1812542660792446003</stp>
        <tr r="T1168" s="2"/>
      </tp>
      <tp t="s">
        <v>#N/A N/A</v>
        <stp/>
        <stp>BDP|2305444526201867512</stp>
        <tr r="F1621" s="2"/>
      </tp>
      <tp t="s">
        <v>#N/A N/A</v>
        <stp/>
        <stp>BDS|2549390469125548280</stp>
        <tr r="I2204" s="2"/>
      </tp>
      <tp t="s">
        <v>#N/A N/A</v>
        <stp/>
        <stp>BDP|5047644138395167557</stp>
        <tr r="J1000" s="2"/>
      </tp>
      <tp t="s">
        <v>#N/A N/A</v>
        <stp/>
        <stp>BDP|5200521363952280495</stp>
        <tr r="G1156" s="2"/>
      </tp>
      <tp t="s">
        <v>#N/A N/A</v>
        <stp/>
        <stp>BDP|6393868486610314683</stp>
        <tr r="N1229" s="2"/>
      </tp>
      <tp t="s">
        <v>#N/A N/A</v>
        <stp/>
        <stp>BDP|9679689295955163324</stp>
        <tr r="H1125" s="2"/>
      </tp>
      <tp t="s">
        <v>#N/A N/A</v>
        <stp/>
        <stp>BDP|5207733822606394689</stp>
        <tr r="Q122" s="2"/>
      </tp>
      <tp t="s">
        <v>#N/A N/A</v>
        <stp/>
        <stp>BDP|4126962306459865416</stp>
        <tr r="N157" s="2"/>
      </tp>
      <tp t="s">
        <v>#N/A N/A</v>
        <stp/>
        <stp>BDP|5991196119242303729</stp>
        <tr r="O1920" s="2"/>
      </tp>
      <tp t="s">
        <v>#N/A N/A</v>
        <stp/>
        <stp>BDP|1887751043070491224</stp>
        <tr r="F1432" s="2"/>
      </tp>
      <tp t="s">
        <v>#N/A N/A</v>
        <stp/>
        <stp>BDP|1171246747525877227</stp>
        <tr r="F445" s="2"/>
      </tp>
      <tp t="s">
        <v>#N/A N/A</v>
        <stp/>
        <stp>BDP|1029699633854631044</stp>
        <tr r="J2134" s="2"/>
      </tp>
      <tp t="s">
        <v>#N/A N/A</v>
        <stp/>
        <stp>BDP|8153700601547074880</stp>
        <tr r="E455" s="2"/>
      </tp>
      <tp t="s">
        <v>#N/A N/A</v>
        <stp/>
        <stp>BDP|1256635773748225882</stp>
        <tr r="H1622" s="2"/>
      </tp>
      <tp t="s">
        <v>#N/A N/A</v>
        <stp/>
        <stp>BDP|2105251403196778680</stp>
        <tr r="A1550" s="2"/>
      </tp>
      <tp t="s">
        <v>#N/A N/A</v>
        <stp/>
        <stp>BDP|1513555456245742495</stp>
        <tr r="R984" s="2"/>
      </tp>
      <tp t="s">
        <v>#N/A N/A</v>
        <stp/>
        <stp>BDP|5579059268153887080</stp>
        <tr r="K313" s="2"/>
      </tp>
      <tp t="s">
        <v>#N/A N/A</v>
        <stp/>
        <stp>BDP|9173644413176934877</stp>
        <tr r="K1405" s="2"/>
      </tp>
      <tp t="s">
        <v>#N/A N/A</v>
        <stp/>
        <stp>BDP|9903208263574532978</stp>
        <tr r="G1953" s="2"/>
      </tp>
      <tp t="s">
        <v>#N/A N/A</v>
        <stp/>
        <stp>BDP|7423403651073530584</stp>
        <tr r="K493" s="2"/>
      </tp>
      <tp t="s">
        <v>#N/A N/A</v>
        <stp/>
        <stp>BDP|9818200599586916403</stp>
        <tr r="F849" s="2"/>
      </tp>
      <tp t="s">
        <v>#N/A N/A</v>
        <stp/>
        <stp>BDP|6505727566584871313</stp>
        <tr r="N1786" s="2"/>
      </tp>
      <tp t="s">
        <v>#N/A N/A</v>
        <stp/>
        <stp>BDP|8297406389846469277</stp>
        <tr r="O559" s="2"/>
      </tp>
      <tp t="s">
        <v>#N/A N/A</v>
        <stp/>
        <stp>BDP|3872334136867560414</stp>
        <tr r="P1477" s="2"/>
      </tp>
      <tp t="s">
        <v>#N/A N/A</v>
        <stp/>
        <stp>BDP|2291299328154200688</stp>
        <tr r="M780" s="2"/>
      </tp>
      <tp t="s">
        <v>#N/A N/A</v>
        <stp/>
        <stp>BDP|3331090999798946239</stp>
        <tr r="P590" s="2"/>
      </tp>
      <tp t="s">
        <v>#N/A N/A</v>
        <stp/>
        <stp>BDP|5906649835874084410</stp>
        <tr r="P591" s="2"/>
      </tp>
      <tp t="s">
        <v>#N/A N/A</v>
        <stp/>
        <stp>BDP|4847639344182248440</stp>
        <tr r="J2073" s="2"/>
      </tp>
      <tp t="s">
        <v>#N/A N/A</v>
        <stp/>
        <stp>BDP|7487942463879391193</stp>
        <tr r="N607" s="2"/>
      </tp>
      <tp t="s">
        <v>#N/A N/A</v>
        <stp/>
        <stp>BDP|3840459206907645048</stp>
        <tr r="J994" s="2"/>
      </tp>
      <tp t="s">
        <v>#N/A N/A</v>
        <stp/>
        <stp>BDP|3051675128493699405</stp>
        <tr r="C529" s="2"/>
      </tp>
      <tp t="s">
        <v>#N/A N/A</v>
        <stp/>
        <stp>BDP|6695112078137455727</stp>
        <tr r="S81" s="2"/>
      </tp>
      <tp t="s">
        <v>#N/A N/A</v>
        <stp/>
        <stp>BDS|8309368369009619432</stp>
        <tr r="I1073" s="2"/>
      </tp>
      <tp t="s">
        <v>#N/A N/A</v>
        <stp/>
        <stp>BDP|7288064709546232162</stp>
        <tr r="N696" s="2"/>
      </tp>
      <tp t="s">
        <v>#N/A N/A</v>
        <stp/>
        <stp>BDP|7437006736787992323</stp>
        <tr r="D1095" s="2"/>
      </tp>
      <tp t="s">
        <v>#N/A N/A</v>
        <stp/>
        <stp>BDP|1604781101125234348</stp>
        <tr r="M1434" s="2"/>
      </tp>
      <tp t="s">
        <v>#N/A N/A</v>
        <stp/>
        <stp>BDP|8879348147156056920</stp>
        <tr r="Q1423" s="2"/>
      </tp>
      <tp t="s">
        <v>#N/A N/A</v>
        <stp/>
        <stp>BDP|6677389032943746529</stp>
        <tr r="D34" s="2"/>
      </tp>
      <tp t="s">
        <v>#N/A N/A</v>
        <stp/>
        <stp>BDP|2902101542352504578</stp>
        <tr r="N1631" s="2"/>
      </tp>
      <tp t="s">
        <v>#N/A N/A</v>
        <stp/>
        <stp>BDP|5416276758944205604</stp>
        <tr r="K1097" s="2"/>
      </tp>
      <tp t="s">
        <v>#N/A N/A</v>
        <stp/>
        <stp>BDP|5517030409380108578</stp>
        <tr r="O2018" s="2"/>
      </tp>
      <tp t="s">
        <v>#N/A N/A</v>
        <stp/>
        <stp>BDS|6364938434075812951</stp>
        <tr r="I1365" s="2"/>
      </tp>
      <tp t="s">
        <v>#N/A N/A</v>
        <stp/>
        <stp>BDP|6941848680181469706</stp>
        <tr r="G287" s="2"/>
      </tp>
      <tp t="s">
        <v>#N/A N/A</v>
        <stp/>
        <stp>BDP|9941408602715456863</stp>
        <tr r="E258" s="2"/>
      </tp>
      <tp t="s">
        <v>#N/A N/A</v>
        <stp/>
        <stp>BDP|1020720153526992513</stp>
        <tr r="E1587" s="2"/>
      </tp>
      <tp t="s">
        <v>#N/A N/A</v>
        <stp/>
        <stp>BDP|7321501115180789387</stp>
        <tr r="Q1933" s="2"/>
      </tp>
      <tp t="s">
        <v>#N/A N/A</v>
        <stp/>
        <stp>BDP|5704946125058799682</stp>
        <tr r="C1890" s="2"/>
      </tp>
      <tp t="s">
        <v>#N/A N/A</v>
        <stp/>
        <stp>BDP|7850365900801132566</stp>
        <tr r="K1433" s="2"/>
      </tp>
      <tp t="s">
        <v>#N/A N/A</v>
        <stp/>
        <stp>BDP|4958175832601284772</stp>
        <tr r="T624" s="2"/>
      </tp>
      <tp t="s">
        <v>#N/A N/A</v>
        <stp/>
        <stp>BDP|1910760605866122027</stp>
        <tr r="T2145" s="2"/>
      </tp>
      <tp t="s">
        <v>#N/A N/A</v>
        <stp/>
        <stp>BDP|5053748103507930577</stp>
        <tr r="S192" s="2"/>
      </tp>
      <tp t="s">
        <v>#N/A N/A</v>
        <stp/>
        <stp>BDP|6673595165915610056</stp>
        <tr r="O743" s="2"/>
      </tp>
      <tp t="s">
        <v>#N/A N/A</v>
        <stp/>
        <stp>BDP|3703685701481391444</stp>
        <tr r="S1108" s="2"/>
      </tp>
      <tp t="s">
        <v>#N/A N/A</v>
        <stp/>
        <stp>BDP|1792991245478577474</stp>
        <tr r="K1576" s="2"/>
      </tp>
      <tp t="s">
        <v>#N/A N/A</v>
        <stp/>
        <stp>BDS|4847279076036007701</stp>
        <tr r="I1900" s="2"/>
      </tp>
      <tp t="s">
        <v>#N/A N/A</v>
        <stp/>
        <stp>BDP|7869677767001195607</stp>
        <tr r="S1923" s="2"/>
      </tp>
      <tp t="s">
        <v>#N/A N/A</v>
        <stp/>
        <stp>BDP|9334894617947770737</stp>
        <tr r="H2114" s="2"/>
      </tp>
      <tp t="s">
        <v>#N/A N/A</v>
        <stp/>
        <stp>BDP|1730871196342776288</stp>
        <tr r="A1537" s="2"/>
      </tp>
      <tp t="s">
        <v>#N/A N/A</v>
        <stp/>
        <stp>BDP|2352079925496061680</stp>
        <tr r="R945" s="2"/>
      </tp>
      <tp t="s">
        <v>#N/A N/A</v>
        <stp/>
        <stp>BDP|7123695800660591146</stp>
        <tr r="G1216" s="2"/>
      </tp>
      <tp t="s">
        <v>#N/A N/A</v>
        <stp/>
        <stp>BDP|4974729926259102852</stp>
        <tr r="H687" s="2"/>
      </tp>
      <tp t="s">
        <v>#N/A N/A</v>
        <stp/>
        <stp>BDP|9084942838653133041</stp>
        <tr r="T724" s="2"/>
      </tp>
      <tp t="s">
        <v>#N/A N/A</v>
        <stp/>
        <stp>BDP|1889832394205351553</stp>
        <tr r="P276" s="2"/>
      </tp>
      <tp t="s">
        <v>#N/A N/A</v>
        <stp/>
        <stp>BDP|7755697913280640025</stp>
        <tr r="O1173" s="2"/>
      </tp>
      <tp t="s">
        <v>#N/A N/A</v>
        <stp/>
        <stp>BDP|5837293778857314738</stp>
        <tr r="M1358" s="2"/>
      </tp>
      <tp t="s">
        <v>#N/A N/A</v>
        <stp/>
        <stp>BDP|3695901086534085694</stp>
        <tr r="J224" s="2"/>
      </tp>
      <tp t="s">
        <v>#N/A N/A</v>
        <stp/>
        <stp>BDP|2171461315082811536</stp>
        <tr r="G321" s="2"/>
      </tp>
      <tp t="s">
        <v>#N/A N/A</v>
        <stp/>
        <stp>BDP|2060193561416705361</stp>
        <tr r="O526" s="2"/>
      </tp>
      <tp t="s">
        <v>#N/A N/A</v>
        <stp/>
        <stp>BDP|8887946938970828255</stp>
        <tr r="T454" s="2"/>
      </tp>
      <tp t="s">
        <v>#N/A N/A</v>
        <stp/>
        <stp>BDP|3456180843304137275</stp>
        <tr r="Q437" s="2"/>
      </tp>
      <tp t="s">
        <v>#N/A N/A</v>
        <stp/>
        <stp>BDP|3672304701071878164</stp>
        <tr r="O1921" s="2"/>
      </tp>
      <tp t="s">
        <v>#N/A N/A</v>
        <stp/>
        <stp>BDP|1069139449391091536</stp>
        <tr r="E2207" s="2"/>
      </tp>
      <tp t="s">
        <v>#N/A N/A</v>
        <stp/>
        <stp>BDS|2619359402094811509</stp>
        <tr r="I1705" s="2"/>
      </tp>
      <tp t="s">
        <v>#N/A N/A</v>
        <stp/>
        <stp>BDP|2263746415433802727</stp>
        <tr r="R1822" s="2"/>
      </tp>
      <tp t="s">
        <v>#N/A N/A</v>
        <stp/>
        <stp>BDP|1795575048802725265</stp>
        <tr r="H1774" s="2"/>
      </tp>
      <tp t="s">
        <v>#N/A N/A</v>
        <stp/>
        <stp>BDP|5508886597771476575</stp>
        <tr r="S1269" s="2"/>
      </tp>
      <tp t="s">
        <v>#N/A N/A</v>
        <stp/>
        <stp>BDP|4608142468630547363</stp>
        <tr r="N315" s="2"/>
      </tp>
      <tp t="s">
        <v>#N/A N/A</v>
        <stp/>
        <stp>BDP|2545948809213955888</stp>
        <tr r="K1842" s="2"/>
      </tp>
      <tp t="s">
        <v>#N/A N/A</v>
        <stp/>
        <stp>BDP|5136663979270341445</stp>
        <tr r="J1588" s="2"/>
      </tp>
      <tp t="s">
        <v>#N/A N/A</v>
        <stp/>
        <stp>BDP|7808522539177810621</stp>
        <tr r="S1015" s="2"/>
      </tp>
      <tp t="s">
        <v>#N/A N/A</v>
        <stp/>
        <stp>BDS|9141468785031297494</stp>
        <tr r="I1899" s="2"/>
      </tp>
      <tp t="s">
        <v>#N/A N/A</v>
        <stp/>
        <stp>BDP|4209942983170549595</stp>
        <tr r="O2041" s="2"/>
      </tp>
      <tp t="s">
        <v>#N/A N/A</v>
        <stp/>
        <stp>BDP|9073535594191977476</stp>
        <tr r="N875" s="2"/>
      </tp>
      <tp t="s">
        <v>#N/A N/A</v>
        <stp/>
        <stp>BDP|4749504579502069476</stp>
        <tr r="G1508" s="2"/>
      </tp>
      <tp t="s">
        <v>#N/A N/A</v>
        <stp/>
        <stp>BDS|4801301004742523502</stp>
        <tr r="I708" s="2"/>
      </tp>
      <tp t="s">
        <v>#N/A N/A</v>
        <stp/>
        <stp>BDP|1450286931260718035</stp>
        <tr r="P648" s="2"/>
      </tp>
      <tp t="s">
        <v>#N/A N/A</v>
        <stp/>
        <stp>BDP|5363582864370173675</stp>
        <tr r="F2152" s="2"/>
      </tp>
      <tp t="s">
        <v>#N/A N/A</v>
        <stp/>
        <stp>BDP|8522698939779404488</stp>
        <tr r="R612" s="2"/>
      </tp>
      <tp t="s">
        <v>#N/A N/A</v>
        <stp/>
        <stp>BDP|6149916407897760898</stp>
        <tr r="S878" s="2"/>
      </tp>
      <tp t="s">
        <v>#N/A N/A</v>
        <stp/>
        <stp>BDP|9212111383522975206</stp>
        <tr r="F987" s="2"/>
      </tp>
      <tp t="s">
        <v>#N/A N/A</v>
        <stp/>
        <stp>BDP|3939655153481113177</stp>
        <tr r="K1343" s="2"/>
      </tp>
      <tp t="s">
        <v>#N/A N/A</v>
        <stp/>
        <stp>BDP|3028267706265034490</stp>
        <tr r="N1385" s="2"/>
      </tp>
      <tp t="s">
        <v>#N/A N/A</v>
        <stp/>
        <stp>BDP|8707785467539948080</stp>
        <tr r="D2171" s="2"/>
      </tp>
      <tp t="s">
        <v>#N/A N/A</v>
        <stp/>
        <stp>BDS|6291831388815809387</stp>
        <tr r="I1580" s="2"/>
      </tp>
      <tp t="s">
        <v>#N/A N/A</v>
        <stp/>
        <stp>BDP|9380674839834760836</stp>
        <tr r="A819" s="2"/>
      </tp>
      <tp t="s">
        <v>#N/A N/A</v>
        <stp/>
        <stp>BDP|1463896228709977257</stp>
        <tr r="H1066" s="2"/>
      </tp>
      <tp t="s">
        <v>#N/A N/A</v>
        <stp/>
        <stp>BDP|9342971272201636693</stp>
        <tr r="S645" s="2"/>
      </tp>
      <tp t="s">
        <v>#N/A N/A</v>
        <stp/>
        <stp>BDP|7204354428093179574</stp>
        <tr r="K1031" s="2"/>
      </tp>
      <tp t="s">
        <v>#N/A N/A</v>
        <stp/>
        <stp>BDP|4682918756478913012</stp>
        <tr r="R1322" s="2"/>
      </tp>
      <tp t="s">
        <v>#N/A N/A</v>
        <stp/>
        <stp>BDP|7417892191760071654</stp>
        <tr r="A279" s="2"/>
      </tp>
      <tp t="s">
        <v>#N/A N/A</v>
        <stp/>
        <stp>BDP|1670552339130342707</stp>
        <tr r="M1462" s="2"/>
      </tp>
      <tp t="s">
        <v>#N/A N/A</v>
        <stp/>
        <stp>BDS|2921620357590009153</stp>
        <tr r="I863" s="2"/>
      </tp>
      <tp t="s">
        <v>#N/A N/A</v>
        <stp/>
        <stp>BDP|8884923563934207324</stp>
        <tr r="E1867" s="2"/>
      </tp>
      <tp t="s">
        <v>#N/A N/A</v>
        <stp/>
        <stp>BDP|9433581285905642169</stp>
        <tr r="H1941" s="2"/>
      </tp>
      <tp t="s">
        <v>#N/A N/A</v>
        <stp/>
        <stp>BDP|4978057095419345436</stp>
        <tr r="F318" s="2"/>
      </tp>
      <tp t="s">
        <v>#N/A N/A</v>
        <stp/>
        <stp>BDP|8084996660457273054</stp>
        <tr r="A636" s="2"/>
      </tp>
      <tp t="s">
        <v>#N/A N/A</v>
        <stp/>
        <stp>BDP|9759017015370598881</stp>
        <tr r="A317" s="2"/>
      </tp>
      <tp t="s">
        <v>#N/A N/A</v>
        <stp/>
        <stp>BDP|9906322184066087413</stp>
        <tr r="F1554" s="2"/>
      </tp>
      <tp t="s">
        <v>#N/A N/A</v>
        <stp/>
        <stp>BDP|4474429613182861330</stp>
        <tr r="T1928" s="2"/>
      </tp>
      <tp t="s">
        <v>#N/A N/A</v>
        <stp/>
        <stp>BDP|2418434465505415589</stp>
        <tr r="A1817" s="2"/>
      </tp>
      <tp t="s">
        <v>#N/A N/A</v>
        <stp/>
        <stp>BDP|3471129663875289196</stp>
        <tr r="G866" s="2"/>
      </tp>
      <tp t="s">
        <v>#N/A N/A</v>
        <stp/>
        <stp>BDP|6085365579483269134</stp>
        <tr r="D680" s="2"/>
      </tp>
      <tp t="s">
        <v>#N/A N/A</v>
        <stp/>
        <stp>BDP|2239642742877910733</stp>
        <tr r="S556" s="2"/>
      </tp>
      <tp t="s">
        <v>#N/A N/A</v>
        <stp/>
        <stp>BDP|1849955298880375184</stp>
        <tr r="Q1445" s="2"/>
      </tp>
      <tp t="s">
        <v>#N/A N/A</v>
        <stp/>
        <stp>BDS|6276531431306985674</stp>
        <tr r="I1549" s="2"/>
      </tp>
      <tp t="s">
        <v>#N/A N/A</v>
        <stp/>
        <stp>BDP|5579118278293231004</stp>
        <tr r="G559" s="2"/>
      </tp>
      <tp t="s">
        <v>#N/A N/A</v>
        <stp/>
        <stp>BDP|2091149595428778289</stp>
        <tr r="R220" s="2"/>
      </tp>
      <tp t="s">
        <v>#N/A N/A</v>
        <stp/>
        <stp>BDP|5337430929366796503</stp>
        <tr r="G766" s="2"/>
      </tp>
      <tp t="s">
        <v>#N/A N/A</v>
        <stp/>
        <stp>BDP|7341521242970920643</stp>
        <tr r="E1745" s="2"/>
      </tp>
      <tp t="s">
        <v>#N/A N/A</v>
        <stp/>
        <stp>BDP|5269588964477631164</stp>
        <tr r="N926" s="2"/>
      </tp>
      <tp t="s">
        <v>#N/A N/A</v>
        <stp/>
        <stp>BDP|2083832957229818624</stp>
        <tr r="F1076" s="2"/>
      </tp>
      <tp t="s">
        <v>#N/A N/A</v>
        <stp/>
        <stp>BDP|3707185621462747278</stp>
        <tr r="O511" s="2"/>
      </tp>
      <tp t="s">
        <v>#N/A N/A</v>
        <stp/>
        <stp>BDP|8275838368963583522</stp>
        <tr r="J1814" s="2"/>
      </tp>
      <tp t="s">
        <v>#N/A N/A</v>
        <stp/>
        <stp>BDP|3277564708876452061</stp>
        <tr r="D1344" s="2"/>
      </tp>
      <tp t="s">
        <v>#N/A N/A</v>
        <stp/>
        <stp>BDP|3890166532430440160</stp>
        <tr r="E579" s="2"/>
      </tp>
      <tp t="s">
        <v>#N/A N/A</v>
        <stp/>
        <stp>BDP|8326531617794139888</stp>
        <tr r="M1684" s="2"/>
      </tp>
      <tp t="s">
        <v>#N/A N/A</v>
        <stp/>
        <stp>BDP|6860365355072155249</stp>
        <tr r="T1291" s="2"/>
      </tp>
      <tp t="s">
        <v>#N/A N/A</v>
        <stp/>
        <stp>BDP|3874765960594406648</stp>
        <tr r="F1064" s="2"/>
      </tp>
      <tp t="s">
        <v>#N/A N/A</v>
        <stp/>
        <stp>BDP|8141658732335121893</stp>
        <tr r="O1340" s="2"/>
      </tp>
      <tp t="s">
        <v>#N/A N/A</v>
        <stp/>
        <stp>BDP|3274001128829202860</stp>
        <tr r="F1232" s="2"/>
      </tp>
      <tp t="s">
        <v>#N/A N/A</v>
        <stp/>
        <stp>BDP|8606818634066561580</stp>
        <tr r="R1612" s="2"/>
      </tp>
      <tp t="s">
        <v>#N/A N/A</v>
        <stp/>
        <stp>BDS|6392390454170963093</stp>
        <tr r="I1012" s="2"/>
      </tp>
      <tp t="s">
        <v>#N/A N/A</v>
        <stp/>
        <stp>BDP|3475164879384366168</stp>
        <tr r="K2249" s="2"/>
      </tp>
      <tp t="s">
        <v>#N/A N/A</v>
        <stp/>
        <stp>BDP|1803300503035014750</stp>
        <tr r="R470" s="2"/>
      </tp>
      <tp t="s">
        <v>#N/A N/A</v>
        <stp/>
        <stp>BDP|4613132876811887352</stp>
        <tr r="F252" s="2"/>
      </tp>
      <tp t="s">
        <v>#N/A N/A</v>
        <stp/>
        <stp>BDP|5552363751512439181</stp>
        <tr r="M1023" s="2"/>
      </tp>
      <tp t="s">
        <v>#N/A N/A</v>
        <stp/>
        <stp>BDP|5977897184011219480</stp>
        <tr r="Q348" s="2"/>
      </tp>
      <tp t="s">
        <v>#N/A N/A</v>
        <stp/>
        <stp>BDP|9169801722430415393</stp>
        <tr r="S1013" s="2"/>
      </tp>
      <tp t="s">
        <v>#N/A N/A</v>
        <stp/>
        <stp>BDP|3479731972163362081</stp>
        <tr r="K726" s="2"/>
      </tp>
      <tp t="s">
        <v>#N/A N/A</v>
        <stp/>
        <stp>BDP|3113193627416732665</stp>
        <tr r="E385" s="2"/>
      </tp>
      <tp t="s">
        <v>#N/A N/A</v>
        <stp/>
        <stp>BDP|6906259239876893138</stp>
        <tr r="Q1736" s="2"/>
      </tp>
      <tp t="s">
        <v>#N/A N/A</v>
        <stp/>
        <stp>BDP|5067701551787734083</stp>
        <tr r="M2064" s="2"/>
      </tp>
      <tp t="s">
        <v>#N/A N/A</v>
        <stp/>
        <stp>BDP|6130573803102303181</stp>
        <tr r="R1587" s="2"/>
      </tp>
      <tp t="s">
        <v>#N/A N/A</v>
        <stp/>
        <stp>BDP|5817727824438158814</stp>
        <tr r="K1399" s="2"/>
      </tp>
      <tp t="s">
        <v>#N/A N/A</v>
        <stp/>
        <stp>BDP|9072508941588813078</stp>
        <tr r="M842" s="2"/>
      </tp>
      <tp t="s">
        <v>#N/A N/A</v>
        <stp/>
        <stp>BDP|9428031989114910590</stp>
        <tr r="H828" s="2"/>
      </tp>
      <tp t="s">
        <v>#N/A N/A</v>
        <stp/>
        <stp>BDP|7897109963183004352</stp>
        <tr r="O1156" s="2"/>
      </tp>
      <tp t="s">
        <v>#N/A N/A</v>
        <stp/>
        <stp>BDP|4915907755171336917</stp>
        <tr r="J2088" s="2"/>
      </tp>
      <tp t="s">
        <v>#N/A N/A</v>
        <stp/>
        <stp>BDP|7801017711387602107</stp>
        <tr r="M1852" s="2"/>
      </tp>
      <tp t="s">
        <v>#N/A N/A</v>
        <stp/>
        <stp>BDP|2674020505183844171</stp>
        <tr r="F1514" s="2"/>
      </tp>
      <tp t="s">
        <v>#N/A N/A</v>
        <stp/>
        <stp>BDP|2828218884891576966</stp>
        <tr r="G253" s="2"/>
      </tp>
      <tp t="s">
        <v>#N/A N/A</v>
        <stp/>
        <stp>BDP|7219143329606413256</stp>
        <tr r="O630" s="2"/>
      </tp>
      <tp t="s">
        <v>#N/A N/A</v>
        <stp/>
        <stp>BDP|8014896026345354723</stp>
        <tr r="M2192" s="2"/>
      </tp>
      <tp t="s">
        <v>#N/A N/A</v>
        <stp/>
        <stp>BDP|1869672375492535211</stp>
        <tr r="O620" s="2"/>
      </tp>
      <tp t="s">
        <v>#N/A N/A</v>
        <stp/>
        <stp>BDP|7021266289455766864</stp>
        <tr r="E2156" s="2"/>
      </tp>
      <tp t="s">
        <v>#N/A N/A</v>
        <stp/>
        <stp>BDP|1967414546182602361</stp>
        <tr r="R304" s="2"/>
      </tp>
      <tp t="s">
        <v>#N/A N/A</v>
        <stp/>
        <stp>BDP|3473654079786573431</stp>
        <tr r="G543" s="2"/>
      </tp>
      <tp t="s">
        <v>#N/A N/A</v>
        <stp/>
        <stp>BDP|2565295053736902381</stp>
        <tr r="P458" s="2"/>
      </tp>
      <tp t="s">
        <v>#N/A N/A</v>
        <stp/>
        <stp>BDP|2627273682459571187</stp>
        <tr r="E130" s="2"/>
      </tp>
      <tp t="s">
        <v>#N/A N/A</v>
        <stp/>
        <stp>BDP|9162872365073523483</stp>
        <tr r="O50" s="2"/>
      </tp>
      <tp t="s">
        <v>#N/A N/A</v>
        <stp/>
        <stp>BDP|2802033456275206214</stp>
        <tr r="D310" s="2"/>
      </tp>
      <tp t="s">
        <v>#N/A N/A</v>
        <stp/>
        <stp>BDP|3322087306151753244</stp>
        <tr r="C206" s="2"/>
      </tp>
      <tp t="s">
        <v>#N/A N/A</v>
        <stp/>
        <stp>BDP|7934038845690404358</stp>
        <tr r="J1679" s="2"/>
      </tp>
      <tp t="s">
        <v>#N/A N/A</v>
        <stp/>
        <stp>BDP|1028396537602032304</stp>
        <tr r="P1339" s="2"/>
      </tp>
      <tp t="s">
        <v>#N/A N/A</v>
        <stp/>
        <stp>BDP|4450544728575119670</stp>
        <tr r="G822" s="2"/>
      </tp>
      <tp t="s">
        <v>#N/A N/A</v>
        <stp/>
        <stp>BDP|9384249697756723490</stp>
        <tr r="A2249" s="2"/>
      </tp>
      <tp t="s">
        <v>#N/A N/A</v>
        <stp/>
        <stp>BDP|7280678308374042533</stp>
        <tr r="H2020" s="2"/>
      </tp>
      <tp t="s">
        <v>#N/A N/A</v>
        <stp/>
        <stp>BDP|7346366948795746545</stp>
        <tr r="S2031" s="2"/>
      </tp>
      <tp t="s">
        <v>#N/A N/A</v>
        <stp/>
        <stp>BDP|6646290270482171103</stp>
        <tr r="M1919" s="2"/>
      </tp>
      <tp t="s">
        <v>#N/A N/A</v>
        <stp/>
        <stp>BDP|8515102558758098439</stp>
        <tr r="R1269" s="2"/>
      </tp>
      <tp t="s">
        <v>#N/A N/A</v>
        <stp/>
        <stp>BDP|6512621974974842359</stp>
        <tr r="M1481" s="2"/>
      </tp>
      <tp t="s">
        <v>#N/A N/A</v>
        <stp/>
        <stp>BDP|6362182713786612006</stp>
        <tr r="F1679" s="2"/>
      </tp>
      <tp t="s">
        <v>#N/A N/A</v>
        <stp/>
        <stp>BDP|6568022235666904356</stp>
        <tr r="C1683" s="2"/>
      </tp>
      <tp t="s">
        <v>#N/A N/A</v>
        <stp/>
        <stp>BDP|9974229366544469979</stp>
        <tr r="N642" s="2"/>
      </tp>
      <tp t="s">
        <v>#N/A N/A</v>
        <stp/>
        <stp>BDP|6647641877355951227</stp>
        <tr r="T1567" s="2"/>
      </tp>
      <tp t="s">
        <v>#N/A N/A</v>
        <stp/>
        <stp>BDP|3027861946649719693</stp>
        <tr r="P1200" s="2"/>
      </tp>
      <tp t="s">
        <v>#N/A N/A</v>
        <stp/>
        <stp>BDP|6265753468423018417</stp>
        <tr r="K2145" s="2"/>
      </tp>
      <tp t="s">
        <v>#N/A N/A</v>
        <stp/>
        <stp>BDP|1964808446654990987</stp>
        <tr r="M1879" s="2"/>
      </tp>
      <tp t="s">
        <v>#N/A N/A</v>
        <stp/>
        <stp>BDP|5839248724890140571</stp>
        <tr r="D1813" s="2"/>
      </tp>
      <tp t="s">
        <v>#N/A N/A</v>
        <stp/>
        <stp>BDP|4848349943346294531</stp>
        <tr r="M1142" s="2"/>
      </tp>
      <tp t="s">
        <v>#N/A N/A</v>
        <stp/>
        <stp>BDP|6304467023427035786</stp>
        <tr r="E2129" s="2"/>
      </tp>
      <tp t="s">
        <v>#N/A N/A</v>
        <stp/>
        <stp>BDP|2050135917022815027</stp>
        <tr r="M1685" s="2"/>
      </tp>
      <tp t="s">
        <v>#N/A N/A</v>
        <stp/>
        <stp>BDP|1451662702483667483</stp>
        <tr r="R255" s="2"/>
      </tp>
      <tp t="s">
        <v>#N/A N/A</v>
        <stp/>
        <stp>BDP|3920176030481641062</stp>
        <tr r="J2191" s="2"/>
      </tp>
      <tp t="s">
        <v>#N/A N/A</v>
        <stp/>
        <stp>BDP|8117567831308016682</stp>
        <tr r="T211" s="2"/>
      </tp>
      <tp t="s">
        <v>#N/A N/A</v>
        <stp/>
        <stp>BDP|8976835315770739160</stp>
        <tr r="K168" s="2"/>
      </tp>
      <tp t="s">
        <v>#N/A N/A</v>
        <stp/>
        <stp>BDP|2681602143417841723</stp>
        <tr r="H119" s="2"/>
      </tp>
      <tp t="s">
        <v>#N/A N/A</v>
        <stp/>
        <stp>BDP|3784701052703336294</stp>
        <tr r="O77" s="2"/>
      </tp>
      <tp t="s">
        <v>#N/A N/A</v>
        <stp/>
        <stp>BDP|6879305422102720528</stp>
        <tr r="H141" s="2"/>
      </tp>
      <tp t="s">
        <v>#N/A N/A</v>
        <stp/>
        <stp>BDP|8629336188077381415</stp>
        <tr r="R1755" s="2"/>
      </tp>
      <tp t="s">
        <v>#N/A N/A</v>
        <stp/>
        <stp>BDP|2494139228859754875</stp>
        <tr r="D1068" s="2"/>
      </tp>
      <tp t="s">
        <v>#N/A N/A</v>
        <stp/>
        <stp>BDP|7951888975208238094</stp>
        <tr r="C816" s="2"/>
      </tp>
      <tp t="s">
        <v>#N/A N/A</v>
        <stp/>
        <stp>BDP|9653671814988823627</stp>
        <tr r="K668" s="2"/>
      </tp>
      <tp t="s">
        <v>#N/A N/A</v>
        <stp/>
        <stp>BDP|9032838100200862147</stp>
        <tr r="G1300" s="2"/>
      </tp>
      <tp t="s">
        <v>#N/A N/A</v>
        <stp/>
        <stp>BDP|2065983781293494026</stp>
        <tr r="M2047" s="2"/>
      </tp>
      <tp t="s">
        <v>#N/A N/A</v>
        <stp/>
        <stp>BDP|4094871024678448682</stp>
        <tr r="P959" s="2"/>
      </tp>
      <tp t="s">
        <v>#N/A N/A</v>
        <stp/>
        <stp>BDP|6894183669607557632</stp>
        <tr r="S224" s="2"/>
      </tp>
      <tp t="s">
        <v>#N/A N/A</v>
        <stp/>
        <stp>BDP|9376618399456695029</stp>
        <tr r="P1913" s="2"/>
      </tp>
      <tp t="s">
        <v>#N/A N/A</v>
        <stp/>
        <stp>BDP|3387895295923380137</stp>
        <tr r="M1404" s="2"/>
      </tp>
      <tp t="s">
        <v>#N/A N/A</v>
        <stp/>
        <stp>BDP|2095260919742416344</stp>
        <tr r="P1071" s="2"/>
      </tp>
      <tp t="s">
        <v>#N/A N/A</v>
        <stp/>
        <stp>BDP|3489724470176003596</stp>
        <tr r="H229" s="2"/>
      </tp>
      <tp t="s">
        <v>#N/A N/A</v>
        <stp/>
        <stp>BDP|4367785600964530713</stp>
        <tr r="D2136" s="2"/>
      </tp>
      <tp t="s">
        <v>#N/A N/A</v>
        <stp/>
        <stp>BDP|4862621605842930096</stp>
        <tr r="R1669" s="2"/>
      </tp>
      <tp t="s">
        <v>#N/A N/A</v>
        <stp/>
        <stp>BDP|8175704494602260489</stp>
        <tr r="G410" s="2"/>
      </tp>
      <tp t="s">
        <v>#N/A N/A</v>
        <stp/>
        <stp>BDP|6451196456934764636</stp>
        <tr r="D418" s="2"/>
      </tp>
      <tp t="s">
        <v>#N/A N/A</v>
        <stp/>
        <stp>BDP|3520283086799355079</stp>
        <tr r="O1656" s="2"/>
      </tp>
      <tp t="s">
        <v>#N/A N/A</v>
        <stp/>
        <stp>BDP|9177237985144094782</stp>
        <tr r="A1729" s="2"/>
      </tp>
      <tp t="s">
        <v>#N/A N/A</v>
        <stp/>
        <stp>BDS|3039542757334937758</stp>
        <tr r="I612" s="2"/>
      </tp>
      <tp t="s">
        <v>#N/A N/A</v>
        <stp/>
        <stp>BDS|5458224053615362798</stp>
        <tr r="I809" s="2"/>
      </tp>
      <tp t="s">
        <v>#N/A N/A</v>
        <stp/>
        <stp>BDP|9917078160427934883</stp>
        <tr r="P1314" s="2"/>
      </tp>
      <tp t="s">
        <v>#N/A N/A</v>
        <stp/>
        <stp>BDP|7647396740818220825</stp>
        <tr r="P1457" s="2"/>
      </tp>
      <tp t="s">
        <v>#N/A N/A</v>
        <stp/>
        <stp>BDP|4359556529885976691</stp>
        <tr r="N133" s="2"/>
      </tp>
      <tp t="s">
        <v>#N/A N/A</v>
        <stp/>
        <stp>BDP|8425428287196653283</stp>
        <tr r="K1342" s="2"/>
      </tp>
      <tp t="s">
        <v>#N/A N/A</v>
        <stp/>
        <stp>BDP|4946146803423082613</stp>
        <tr r="N440" s="2"/>
      </tp>
      <tp t="s">
        <v>#N/A N/A</v>
        <stp/>
        <stp>BDP|5332453366085797284</stp>
        <tr r="P430" s="2"/>
      </tp>
      <tp t="s">
        <v>#N/A N/A</v>
        <stp/>
        <stp>BDP|5454778763434728086</stp>
        <tr r="O121" s="2"/>
      </tp>
      <tp t="s">
        <v>#N/A N/A</v>
        <stp/>
        <stp>BDP|9192821771190804654</stp>
        <tr r="H638" s="2"/>
      </tp>
      <tp t="s">
        <v>#N/A N/A</v>
        <stp/>
        <stp>BDP|5588022569636744565</stp>
        <tr r="E916" s="2"/>
      </tp>
      <tp t="s">
        <v>#N/A N/A</v>
        <stp/>
        <stp>BDP|8882181067028824707</stp>
        <tr r="J253" s="2"/>
      </tp>
      <tp t="s">
        <v>#N/A N/A</v>
        <stp/>
        <stp>BDP|1585333770516056397</stp>
        <tr r="R2115" s="2"/>
      </tp>
      <tp t="s">
        <v>#N/A N/A</v>
        <stp/>
        <stp>BDP|1497824109888112118</stp>
        <tr r="D865" s="2"/>
      </tp>
      <tp t="s">
        <v>#N/A N/A</v>
        <stp/>
        <stp>BDP|5420627149846829183</stp>
        <tr r="O2007" s="2"/>
      </tp>
      <tp t="s">
        <v>#N/A N/A</v>
        <stp/>
        <stp>BDP|9603208457849999775</stp>
        <tr r="J500" s="2"/>
      </tp>
      <tp t="s">
        <v>#N/A N/A</v>
        <stp/>
        <stp>BDP|6020626838196036559</stp>
        <tr r="T976" s="2"/>
      </tp>
      <tp t="s">
        <v>#N/A N/A</v>
        <stp/>
        <stp>BDP|6952588803887982442</stp>
        <tr r="D2183" s="2"/>
      </tp>
      <tp t="s">
        <v>#N/A N/A</v>
        <stp/>
        <stp>BDP|8626742246032397986</stp>
        <tr r="C1050" s="2"/>
      </tp>
      <tp t="s">
        <v>#N/A N/A</v>
        <stp/>
        <stp>BDP|2543785458879962930</stp>
        <tr r="Q1517" s="2"/>
      </tp>
      <tp t="s">
        <v>#N/A N/A</v>
        <stp/>
        <stp>BDP|5495244231187832360</stp>
        <tr r="N1806" s="2"/>
      </tp>
      <tp t="s">
        <v>#N/A N/A</v>
        <stp/>
        <stp>BDP|6143229330491464680</stp>
        <tr r="H191" s="2"/>
      </tp>
      <tp t="s">
        <v>#N/A N/A</v>
        <stp/>
        <stp>BDP|7189174108673670572</stp>
        <tr r="F1866" s="2"/>
      </tp>
      <tp t="s">
        <v>#N/A N/A</v>
        <stp/>
        <stp>BDP|8088899800793680301</stp>
        <tr r="M303" s="2"/>
      </tp>
      <tp t="s">
        <v>#N/A N/A</v>
        <stp/>
        <stp>BDP|1876347234822773301</stp>
        <tr r="G707" s="2"/>
      </tp>
      <tp t="s">
        <v>#N/A N/A</v>
        <stp/>
        <stp>BDP|1085956228569551370</stp>
        <tr r="D1731" s="2"/>
      </tp>
      <tp t="s">
        <v>#N/A N/A</v>
        <stp/>
        <stp>BDP|4130958308994191925</stp>
        <tr r="G1980" s="2"/>
      </tp>
      <tp t="s">
        <v>#N/A N/A</v>
        <stp/>
        <stp>BDP|9648174895482323388</stp>
        <tr r="H1787" s="2"/>
      </tp>
      <tp t="s">
        <v>#N/A N/A</v>
        <stp/>
        <stp>BDP|2122664406750736493</stp>
        <tr r="J1045" s="2"/>
      </tp>
      <tp t="s">
        <v>#N/A N/A</v>
        <stp/>
        <stp>BDP|2015456913352978502</stp>
        <tr r="P1893" s="2"/>
      </tp>
      <tp t="s">
        <v>#N/A N/A</v>
        <stp/>
        <stp>BDP|8462907667131866647</stp>
        <tr r="P1207" s="2"/>
      </tp>
      <tp t="s">
        <v>#N/A N/A</v>
        <stp/>
        <stp>BDP|5682084101872677762</stp>
        <tr r="T2186" s="2"/>
      </tp>
      <tp t="s">
        <v>#N/A N/A</v>
        <stp/>
        <stp>BDP|4236112810542537696</stp>
        <tr r="T177" s="2"/>
      </tp>
      <tp t="s">
        <v>#N/A N/A</v>
        <stp/>
        <stp>BDP|5047299812995673323</stp>
        <tr r="E294" s="2"/>
      </tp>
      <tp t="s">
        <v>#N/A N/A</v>
        <stp/>
        <stp>BDP|4437164003634963177</stp>
        <tr r="A911" s="2"/>
      </tp>
      <tp t="s">
        <v>#N/A N/A</v>
        <stp/>
        <stp>BDP|2414076351217444091</stp>
        <tr r="G1562" s="2"/>
      </tp>
      <tp t="s">
        <v>#N/A N/A</v>
        <stp/>
        <stp>BDP|4768571874507342186</stp>
        <tr r="P1586" s="2"/>
      </tp>
      <tp t="s">
        <v>#N/A N/A</v>
        <stp/>
        <stp>BDP|2148077923684216484</stp>
        <tr r="J1398" s="2"/>
      </tp>
      <tp t="s">
        <v>#N/A N/A</v>
        <stp/>
        <stp>BDP|7164664110193825301</stp>
        <tr r="F982" s="2"/>
      </tp>
      <tp t="s">
        <v>#N/A N/A</v>
        <stp/>
        <stp>BDP|7164296190074659815</stp>
        <tr r="T954" s="2"/>
      </tp>
      <tp t="s">
        <v>#N/A N/A</v>
        <stp/>
        <stp>BDP|7257755508146072605</stp>
        <tr r="M2004" s="2"/>
      </tp>
      <tp t="s">
        <v>#N/A N/A</v>
        <stp/>
        <stp>BDP|2077146207351986259</stp>
        <tr r="H797" s="2"/>
      </tp>
      <tp t="s">
        <v>#N/A N/A</v>
        <stp/>
        <stp>BDP|1174691854147260512</stp>
        <tr r="Q440" s="2"/>
      </tp>
      <tp t="s">
        <v>#N/A N/A</v>
        <stp/>
        <stp>BDP|5291890827896439971</stp>
        <tr r="N427" s="2"/>
      </tp>
      <tp t="s">
        <v>#N/A N/A</v>
        <stp/>
        <stp>BDP|4218073568116379411</stp>
        <tr r="E1241" s="2"/>
      </tp>
      <tp t="s">
        <v>#N/A N/A</v>
        <stp/>
        <stp>BDP|5523139156059661898</stp>
        <tr r="A901" s="2"/>
      </tp>
      <tp t="s">
        <v>#N/A N/A</v>
        <stp/>
        <stp>BDP|5904152880985779949</stp>
        <tr r="J1623" s="2"/>
      </tp>
      <tp t="s">
        <v>#N/A N/A</v>
        <stp/>
        <stp>BDP|5219349238194084115</stp>
        <tr r="Q2037" s="2"/>
      </tp>
      <tp t="s">
        <v>#N/A N/A</v>
        <stp/>
        <stp>BDP|9650129618590189925</stp>
        <tr r="F1649" s="2"/>
      </tp>
      <tp t="s">
        <v>#N/A N/A</v>
        <stp/>
        <stp>BDP|9860130719098818153</stp>
        <tr r="E2143" s="2"/>
      </tp>
      <tp t="s">
        <v>#N/A N/A</v>
        <stp/>
        <stp>BDP|2045987280110359343</stp>
        <tr r="C23" s="2"/>
      </tp>
      <tp t="s">
        <v>#N/A N/A</v>
        <stp/>
        <stp>BDS|3790187470460558558</stp>
        <tr r="I986" s="2"/>
      </tp>
      <tp t="s">
        <v>#N/A N/A</v>
        <stp/>
        <stp>BDP|6357180114246877087</stp>
        <tr r="O1697" s="2"/>
      </tp>
      <tp t="s">
        <v>#N/A N/A</v>
        <stp/>
        <stp>BDP|6327786517748670853</stp>
        <tr r="Q1181" s="2"/>
      </tp>
      <tp t="s">
        <v>#N/A N/A</v>
        <stp/>
        <stp>BDP|7556183087289549707</stp>
        <tr r="T28" s="2"/>
      </tp>
      <tp t="s">
        <v>#N/A N/A</v>
        <stp/>
        <stp>BDP|1827118096741032809</stp>
        <tr r="J1617" s="2"/>
      </tp>
      <tp t="s">
        <v>#N/A N/A</v>
        <stp/>
        <stp>BDP|2989086637847178686</stp>
        <tr r="T795" s="2"/>
      </tp>
      <tp t="s">
        <v>#N/A N/A</v>
        <stp/>
        <stp>BDP|4568406519073266211</stp>
        <tr r="J1878" s="2"/>
      </tp>
      <tp t="s">
        <v>#N/A N/A</v>
        <stp/>
        <stp>BDS|4482700705296966578</stp>
        <tr r="I810" s="2"/>
      </tp>
      <tp t="s">
        <v>#N/A N/A</v>
        <stp/>
        <stp>BDP|2721894681772755072</stp>
        <tr r="J569" s="2"/>
      </tp>
      <tp t="s">
        <v>#N/A N/A</v>
        <stp/>
        <stp>BDP|6422195877461359160</stp>
        <tr r="H1360" s="2"/>
      </tp>
      <tp t="s">
        <v>#N/A N/A</v>
        <stp/>
        <stp>BDS|2618664547292801202</stp>
        <tr r="I774" s="2"/>
      </tp>
      <tp t="s">
        <v>#N/A N/A</v>
        <stp/>
        <stp>BDS|5871141620312368406</stp>
        <tr r="I90" s="2"/>
      </tp>
      <tp t="s">
        <v>#N/A N/A</v>
        <stp/>
        <stp>BDP|7934917317087857887</stp>
        <tr r="H1203" s="2"/>
      </tp>
      <tp t="s">
        <v>#N/A N/A</v>
        <stp/>
        <stp>BDP|2348692176024781748</stp>
        <tr r="A108" s="2"/>
      </tp>
      <tp t="s">
        <v>#N/A N/A</v>
        <stp/>
        <stp>BDP|5256459425981960245</stp>
        <tr r="G390" s="2"/>
      </tp>
      <tp t="s">
        <v>#N/A N/A</v>
        <stp/>
        <stp>BDP|5889500308132974257</stp>
        <tr r="O1797" s="2"/>
      </tp>
      <tp t="s">
        <v>#N/A N/A</v>
        <stp/>
        <stp>BDP|6562848487181933735</stp>
        <tr r="D898" s="2"/>
      </tp>
      <tp t="s">
        <v>#N/A N/A</v>
        <stp/>
        <stp>BDP|6560449303947699586</stp>
        <tr r="O151" s="2"/>
      </tp>
      <tp t="s">
        <v>#N/A N/A</v>
        <stp/>
        <stp>BDP|3884184026550326093</stp>
        <tr r="E482" s="2"/>
      </tp>
      <tp t="s">
        <v>#N/A N/A</v>
        <stp/>
        <stp>BDS|8088351948477834895</stp>
        <tr r="I699" s="2"/>
      </tp>
      <tp t="s">
        <v>#N/A N/A</v>
        <stp/>
        <stp>BDP|1336519219013536621</stp>
        <tr r="N872" s="2"/>
      </tp>
      <tp t="s">
        <v>#N/A N/A</v>
        <stp/>
        <stp>BDP|1296698763301205069</stp>
        <tr r="T436" s="2"/>
      </tp>
      <tp t="s">
        <v>#N/A N/A</v>
        <stp/>
        <stp>BDP|5499264338285036167</stp>
        <tr r="C1813" s="2"/>
      </tp>
      <tp t="s">
        <v>#N/A N/A</v>
        <stp/>
        <stp>BDP|3494754260004836655</stp>
        <tr r="G1534" s="2"/>
      </tp>
      <tp t="s">
        <v>#N/A N/A</v>
        <stp/>
        <stp>BDP|3645030348954142302</stp>
        <tr r="P1022" s="2"/>
      </tp>
      <tp t="s">
        <v>#N/A N/A</v>
        <stp/>
        <stp>BDP|1319702766249187982</stp>
        <tr r="E1450" s="2"/>
      </tp>
      <tp t="s">
        <v>#N/A N/A</v>
        <stp/>
        <stp>BDP|1121050896959792199</stp>
        <tr r="F1996" s="2"/>
      </tp>
      <tp t="s">
        <v>#N/A N/A</v>
        <stp/>
        <stp>BDP|5056880781280347568</stp>
        <tr r="T1849" s="2"/>
      </tp>
      <tp t="s">
        <v>#N/A N/A</v>
        <stp/>
        <stp>BDP|1958237703537644438</stp>
        <tr r="Q1885" s="2"/>
      </tp>
      <tp t="s">
        <v>#N/A N/A</v>
        <stp/>
        <stp>BDP|5670715537599995855</stp>
        <tr r="P907" s="2"/>
      </tp>
      <tp t="s">
        <v>#N/A N/A</v>
        <stp/>
        <stp>BDP|1266300529465111569</stp>
        <tr r="F2210" s="2"/>
      </tp>
      <tp t="s">
        <v>#N/A N/A</v>
        <stp/>
        <stp>BDS|8957402217734497960</stp>
        <tr r="I1750" s="2"/>
      </tp>
      <tp t="s">
        <v>#N/A N/A</v>
        <stp/>
        <stp>BDP|5516798766244767017</stp>
        <tr r="F357" s="2"/>
      </tp>
      <tp t="s">
        <v>#N/A N/A</v>
        <stp/>
        <stp>BDP|1296361818307621463</stp>
        <tr r="D1153" s="2"/>
      </tp>
      <tp t="s">
        <v>#N/A N/A</v>
        <stp/>
        <stp>BDP|3207988522769601122</stp>
        <tr r="R588" s="2"/>
      </tp>
      <tp t="s">
        <v>#N/A N/A</v>
        <stp/>
        <stp>BDP|3850549300891514758</stp>
        <tr r="C417" s="2"/>
      </tp>
      <tp t="s">
        <v>#N/A N/A</v>
        <stp/>
        <stp>BDP|3582171086599970316</stp>
        <tr r="Q1206" s="2"/>
      </tp>
      <tp t="s">
        <v>#N/A N/A</v>
        <stp/>
        <stp>BDP|4453039715891799491</stp>
        <tr r="M1626" s="2"/>
      </tp>
      <tp t="s">
        <v>#N/A N/A</v>
        <stp/>
        <stp>BDP|9069599665383977997</stp>
        <tr r="A671" s="2"/>
      </tp>
      <tp t="s">
        <v>#N/A N/A</v>
        <stp/>
        <stp>BDP|6378241844086680692</stp>
        <tr r="S1805" s="2"/>
      </tp>
      <tp t="s">
        <v>#N/A N/A</v>
        <stp/>
        <stp>BDP|3848499343702752193</stp>
        <tr r="A571" s="2"/>
      </tp>
      <tp t="s">
        <v>#N/A N/A</v>
        <stp/>
        <stp>BDP|9784787682326017012</stp>
        <tr r="P1826" s="2"/>
      </tp>
      <tp t="s">
        <v>#N/A N/A</v>
        <stp/>
        <stp>BDP|7330927370530591987</stp>
        <tr r="D1808" s="2"/>
      </tp>
      <tp t="s">
        <v>#N/A N/A</v>
        <stp/>
        <stp>BDP|8887597227198306791</stp>
        <tr r="M1470" s="2"/>
      </tp>
      <tp t="s">
        <v>#N/A N/A</v>
        <stp/>
        <stp>BDP|9296879314392587284</stp>
        <tr r="O406" s="2"/>
      </tp>
      <tp t="s">
        <v>#N/A N/A</v>
        <stp/>
        <stp>BDP|1874150577776462128</stp>
        <tr r="R14" s="2"/>
      </tp>
      <tp t="s">
        <v>#N/A N/A</v>
        <stp/>
        <stp>BDP|3375408849682473120</stp>
        <tr r="D1179" s="2"/>
      </tp>
      <tp t="s">
        <v>#N/A N/A</v>
        <stp/>
        <stp>BDS|8161888152600777502</stp>
        <tr r="I344" s="2"/>
      </tp>
      <tp t="s">
        <v>#N/A N/A</v>
        <stp/>
        <stp>BDP|6148559288568713377</stp>
        <tr r="E1711" s="2"/>
      </tp>
      <tp t="s">
        <v>#N/A N/A</v>
        <stp/>
        <stp>BDP|5400669540585607282</stp>
        <tr r="M320" s="2"/>
      </tp>
      <tp t="s">
        <v>#N/A N/A</v>
        <stp/>
        <stp>BDP|4407672446173945506</stp>
        <tr r="M2136" s="2"/>
      </tp>
      <tp t="s">
        <v>#N/A N/A</v>
        <stp/>
        <stp>BDS|3490511221322892600</stp>
        <tr r="I1069" s="2"/>
      </tp>
      <tp t="s">
        <v>#N/A N/A</v>
        <stp/>
        <stp>BDP|5727679339399507909</stp>
        <tr r="J1887" s="2"/>
      </tp>
      <tp t="s">
        <v>#N/A N/A</v>
        <stp/>
        <stp>BDS|6922682926364836632</stp>
        <tr r="I973" s="2"/>
      </tp>
      <tp t="s">
        <v>#N/A N/A</v>
        <stp/>
        <stp>BDP|1554442777714802620</stp>
        <tr r="F380" s="2"/>
      </tp>
      <tp t="s">
        <v>#N/A N/A</v>
        <stp/>
        <stp>BDP|2333698564411787357</stp>
        <tr r="K288" s="2"/>
      </tp>
      <tp t="s">
        <v>#N/A N/A</v>
        <stp/>
        <stp>BDP|8679157381393820261</stp>
        <tr r="E368" s="2"/>
      </tp>
      <tp t="s">
        <v>#N/A N/A</v>
        <stp/>
        <stp>BDP|7034032311584652281</stp>
        <tr r="K1703" s="2"/>
      </tp>
      <tp t="s">
        <v>#N/A N/A</v>
        <stp/>
        <stp>BDP|5018438027926100590</stp>
        <tr r="H20" s="2"/>
      </tp>
      <tp t="s">
        <v>#N/A N/A</v>
        <stp/>
        <stp>BDP|1606483067152528100</stp>
        <tr r="G971" s="2"/>
      </tp>
      <tp t="s">
        <v>#N/A N/A</v>
        <stp/>
        <stp>BDP|4810545422391166231</stp>
        <tr r="R1299" s="2"/>
      </tp>
      <tp t="s">
        <v>#N/A N/A</v>
        <stp/>
        <stp>BDP|2163051138330052102</stp>
        <tr r="C1656" s="2"/>
      </tp>
      <tp t="s">
        <v>#N/A N/A</v>
        <stp/>
        <stp>BDP|4608847912544416980</stp>
        <tr r="E280" s="2"/>
      </tp>
      <tp t="s">
        <v>#N/A N/A</v>
        <stp/>
        <stp>BDP|1809688191417984947</stp>
        <tr r="J135" s="2"/>
      </tp>
      <tp t="s">
        <v>#N/A N/A</v>
        <stp/>
        <stp>BDP|5387025188185283877</stp>
        <tr r="O1935" s="2"/>
      </tp>
      <tp t="s">
        <v>#N/A N/A</v>
        <stp/>
        <stp>BDP|4371881887413287729</stp>
        <tr r="O1321" s="2"/>
      </tp>
      <tp t="s">
        <v>#N/A N/A</v>
        <stp/>
        <stp>BDP|2358399902239398874</stp>
        <tr r="P1682" s="2"/>
      </tp>
      <tp t="s">
        <v>#N/A N/A</v>
        <stp/>
        <stp>BDP|6613403389688453272</stp>
        <tr r="H1724" s="2"/>
      </tp>
      <tp t="s">
        <v>#N/A N/A</v>
        <stp/>
        <stp>BDP|1406855619241474902</stp>
        <tr r="J150" s="2"/>
      </tp>
      <tp t="s">
        <v>#N/A N/A</v>
        <stp/>
        <stp>BDP|4506245194646962907</stp>
        <tr r="M824" s="2"/>
      </tp>
      <tp t="s">
        <v>#N/A N/A</v>
        <stp/>
        <stp>BDP|6968500455755072304</stp>
        <tr r="S12" s="2"/>
      </tp>
      <tp t="s">
        <v>#N/A N/A</v>
        <stp/>
        <stp>BDP|5513296370749250920</stp>
        <tr r="K1964" s="2"/>
      </tp>
      <tp t="s">
        <v>#N/A N/A</v>
        <stp/>
        <stp>BDP|7512891700238812786</stp>
        <tr r="T1961" s="2"/>
      </tp>
      <tp t="s">
        <v>#N/A N/A</v>
        <stp/>
        <stp>BDP|8561137636673554997</stp>
        <tr r="O372" s="2"/>
      </tp>
      <tp t="s">
        <v>#N/A N/A</v>
        <stp/>
        <stp>BDP|4654555679644306253</stp>
        <tr r="J1436" s="2"/>
      </tp>
      <tp t="s">
        <v>#N/A N/A</v>
        <stp/>
        <stp>BDP|7808866847858695332</stp>
        <tr r="N313" s="2"/>
      </tp>
      <tp t="s">
        <v>#N/A N/A</v>
        <stp/>
        <stp>BDP|5912171974466375556</stp>
        <tr r="E2013" s="2"/>
      </tp>
      <tp t="s">
        <v>#N/A N/A</v>
        <stp/>
        <stp>BDP|1285207707816926501</stp>
        <tr r="E1212" s="2"/>
      </tp>
      <tp t="s">
        <v>#N/A N/A</v>
        <stp/>
        <stp>BDP|3725068139979334974</stp>
        <tr r="F1137" s="2"/>
      </tp>
      <tp t="s">
        <v>#N/A N/A</v>
        <stp/>
        <stp>BDP|4921772190509377316</stp>
        <tr r="G1105" s="2"/>
      </tp>
      <tp t="s">
        <v>#N/A N/A</v>
        <stp/>
        <stp>BDP|5006570007219530995</stp>
        <tr r="T1146" s="2"/>
      </tp>
      <tp t="s">
        <v>#N/A N/A</v>
        <stp/>
        <stp>BDP|5695608673401851514</stp>
        <tr r="E822" s="2"/>
      </tp>
      <tp t="s">
        <v>#N/A N/A</v>
        <stp/>
        <stp>BDP|5943250596176693808</stp>
        <tr r="J701" s="2"/>
      </tp>
      <tp t="s">
        <v>#N/A N/A</v>
        <stp/>
        <stp>BDP|1904861134188672213</stp>
        <tr r="J439" s="2"/>
      </tp>
      <tp t="s">
        <v>#N/A N/A</v>
        <stp/>
        <stp>BDP|7659608071703880536</stp>
        <tr r="F2034" s="2"/>
      </tp>
      <tp t="s">
        <v>#N/A N/A</v>
        <stp/>
        <stp>BDP|7303261512100302487</stp>
        <tr r="G1333" s="2"/>
      </tp>
      <tp t="s">
        <v>#N/A N/A</v>
        <stp/>
        <stp>BDP|1249542634387602082</stp>
        <tr r="M1056" s="2"/>
      </tp>
      <tp t="s">
        <v>#N/A N/A</v>
        <stp/>
        <stp>BDP|2862104454234922295</stp>
        <tr r="A860" s="2"/>
      </tp>
      <tp t="s">
        <v>#N/A N/A</v>
        <stp/>
        <stp>BDS|2485481231623335628</stp>
        <tr r="I336" s="2"/>
      </tp>
      <tp t="s">
        <v>#N/A N/A</v>
        <stp/>
        <stp>BDP|2663881558318259786</stp>
        <tr r="E1455" s="2"/>
      </tp>
      <tp t="s">
        <v>#N/A N/A</v>
        <stp/>
        <stp>BDP|1824023631595713702</stp>
        <tr r="E191" s="2"/>
      </tp>
      <tp t="s">
        <v>#N/A N/A</v>
        <stp/>
        <stp>BDP|1425221939866480674</stp>
        <tr r="Q1429" s="2"/>
      </tp>
      <tp t="s">
        <v>#N/A N/A</v>
        <stp/>
        <stp>BDP|2425580475240620034</stp>
        <tr r="D254" s="2"/>
      </tp>
      <tp t="s">
        <v>#N/A N/A</v>
        <stp/>
        <stp>BDP|4561334128614724150</stp>
        <tr r="S48" s="2"/>
      </tp>
      <tp t="s">
        <v>#N/A N/A</v>
        <stp/>
        <stp>BDP|4515539245766636385</stp>
        <tr r="J189" s="2"/>
      </tp>
      <tp t="s">
        <v>#N/A N/A</v>
        <stp/>
        <stp>BDP|7196232376681115385</stp>
        <tr r="T69" s="2"/>
      </tp>
      <tp t="s">
        <v>#N/A N/A</v>
        <stp/>
        <stp>BDP|5129509483618906064</stp>
        <tr r="H2192" s="2"/>
      </tp>
      <tp t="s">
        <v>#N/A N/A</v>
        <stp/>
        <stp>BDP|6276789640920588526</stp>
        <tr r="M1597" s="2"/>
      </tp>
      <tp t="s">
        <v>#N/A N/A</v>
        <stp/>
        <stp>BDP|1424059228121625220</stp>
        <tr r="E26" s="2"/>
      </tp>
      <tp t="s">
        <v>#N/A N/A</v>
        <stp/>
        <stp>BDP|1712572547347210789</stp>
        <tr r="C1729" s="2"/>
      </tp>
      <tp t="s">
        <v>#N/A N/A</v>
        <stp/>
        <stp>BDS|8305872568664398226</stp>
        <tr r="I1023" s="2"/>
      </tp>
      <tp t="s">
        <v>#N/A N/A</v>
        <stp/>
        <stp>BDP|5199604240276914156</stp>
        <tr r="O1942" s="2"/>
      </tp>
      <tp t="s">
        <v>#N/A N/A</v>
        <stp/>
        <stp>BDP|2134488137447138224</stp>
        <tr r="R834" s="2"/>
      </tp>
      <tp t="s">
        <v>#N/A N/A</v>
        <stp/>
        <stp>BDP|7685614242663818603</stp>
        <tr r="H769" s="2"/>
      </tp>
      <tp t="s">
        <v>#N/A N/A</v>
        <stp/>
        <stp>BDS|1094388766821115520</stp>
        <tr r="I1697" s="2"/>
      </tp>
      <tp t="s">
        <v>#N/A N/A</v>
        <stp/>
        <stp>BDP|7463699238391948313</stp>
        <tr r="O1088" s="2"/>
      </tp>
      <tp t="s">
        <v>#N/A N/A</v>
        <stp/>
        <stp>BDP|2187793411514343071</stp>
        <tr r="K2000" s="2"/>
      </tp>
      <tp t="s">
        <v>#N/A N/A</v>
        <stp/>
        <stp>BDP|1048914080524576499</stp>
        <tr r="C1517" s="2"/>
      </tp>
      <tp t="s">
        <v>#N/A N/A</v>
        <stp/>
        <stp>BDP|3761394810433352208</stp>
        <tr r="E1540" s="2"/>
      </tp>
      <tp t="s">
        <v>#N/A N/A</v>
        <stp/>
        <stp>BDP|3192529162428968859</stp>
        <tr r="G190" s="2"/>
      </tp>
      <tp t="s">
        <v>#N/A N/A</v>
        <stp/>
        <stp>BDP|4550492080431919989</stp>
        <tr r="Q453" s="2"/>
      </tp>
      <tp t="s">
        <v>#N/A N/A</v>
        <stp/>
        <stp>BDP|6587868747348801219</stp>
        <tr r="A513" s="2"/>
      </tp>
      <tp t="s">
        <v>#N/A N/A</v>
        <stp/>
        <stp>BDP|4698922289182395739</stp>
        <tr r="S1780" s="2"/>
      </tp>
      <tp t="s">
        <v>#N/A N/A</v>
        <stp/>
        <stp>BDP|5842115450953132251</stp>
        <tr r="Q1859" s="2"/>
      </tp>
      <tp t="s">
        <v>#N/A N/A</v>
        <stp/>
        <stp>BDP|9960423214315741958</stp>
        <tr r="J1983" s="2"/>
      </tp>
      <tp t="s">
        <v>#N/A N/A</v>
        <stp/>
        <stp>BDP|6569503901957126484</stp>
        <tr r="P161" s="2"/>
      </tp>
      <tp t="s">
        <v>#N/A N/A</v>
        <stp/>
        <stp>BDS|7080422620320941163</stp>
        <tr r="I1976" s="2"/>
      </tp>
      <tp t="s">
        <v>#N/A N/A</v>
        <stp/>
        <stp>BDP|2960599759535445703</stp>
        <tr r="M986" s="2"/>
      </tp>
      <tp t="s">
        <v>#N/A N/A</v>
        <stp/>
        <stp>BDP|3873193128173099341</stp>
        <tr r="E61" s="2"/>
      </tp>
      <tp t="s">
        <v>#N/A N/A</v>
        <stp/>
        <stp>BDP|7228439148166172150</stp>
        <tr r="S390" s="2"/>
      </tp>
      <tp t="s">
        <v>#N/A N/A</v>
        <stp/>
        <stp>BDP|7924270837171163758</stp>
        <tr r="Q1449" s="2"/>
      </tp>
      <tp t="s">
        <v>#N/A N/A</v>
        <stp/>
        <stp>BDP|3052796710315251069</stp>
        <tr r="R1960" s="2"/>
      </tp>
      <tp t="s">
        <v>#N/A N/A</v>
        <stp/>
        <stp>BDP|3252780630106691111</stp>
        <tr r="S741" s="2"/>
      </tp>
      <tp t="s">
        <v>#N/A N/A</v>
        <stp/>
        <stp>BDP|5672537054765981053</stp>
        <tr r="A2175" s="2"/>
      </tp>
      <tp t="s">
        <v>#N/A N/A</v>
        <stp/>
        <stp>BDP|6233791385560080933</stp>
        <tr r="M976" s="2"/>
      </tp>
      <tp t="s">
        <v>#N/A N/A</v>
        <stp/>
        <stp>BDP|8316107092951544197</stp>
        <tr r="P1796" s="2"/>
      </tp>
      <tp t="s">
        <v>#N/A N/A</v>
        <stp/>
        <stp>BDP|4144833085481988534</stp>
        <tr r="A1698" s="2"/>
      </tp>
      <tp t="s">
        <v>#N/A N/A</v>
        <stp/>
        <stp>BDP|7410495092813215902</stp>
        <tr r="R28" s="2"/>
      </tp>
      <tp t="s">
        <v>#N/A N/A</v>
        <stp/>
        <stp>BDP|3771397260804666251</stp>
        <tr r="N422" s="2"/>
      </tp>
      <tp t="s">
        <v>#N/A N/A</v>
        <stp/>
        <stp>BDP|3566778769177631503</stp>
        <tr r="H1526" s="2"/>
      </tp>
      <tp t="s">
        <v>#N/A N/A</v>
        <stp/>
        <stp>BDP|5878449872301627750</stp>
        <tr r="G1453" s="2"/>
      </tp>
      <tp t="s">
        <v>#N/A N/A</v>
        <stp/>
        <stp>BDP|9032496422068597733</stp>
        <tr r="J1685" s="2"/>
      </tp>
      <tp t="s">
        <v>#N/A N/A</v>
        <stp/>
        <stp>BDP|4966606715566089512</stp>
        <tr r="S2122" s="2"/>
      </tp>
      <tp t="s">
        <v>#N/A N/A</v>
        <stp/>
        <stp>BDP|8594753907738246786</stp>
        <tr r="J1926" s="2"/>
      </tp>
      <tp t="s">
        <v>#N/A N/A</v>
        <stp/>
        <stp>BDP|4536125509321538469</stp>
        <tr r="Q636" s="2"/>
      </tp>
      <tp t="s">
        <v>#N/A N/A</v>
        <stp/>
        <stp>BDP|7668758861762642493</stp>
        <tr r="F1524" s="2"/>
      </tp>
      <tp t="s">
        <v>#N/A N/A</v>
        <stp/>
        <stp>BDP|9109528829918494636</stp>
        <tr r="S1891" s="2"/>
      </tp>
      <tp t="s">
        <v>#N/A N/A</v>
        <stp/>
        <stp>BDP|5917486897209238198</stp>
        <tr r="Q520" s="2"/>
      </tp>
      <tp t="s">
        <v>#N/A N/A</v>
        <stp/>
        <stp>BDP|4042686821332585217</stp>
        <tr r="N1790" s="2"/>
      </tp>
      <tp t="s">
        <v>#N/A N/A</v>
        <stp/>
        <stp>BDP|6967728812591468103</stp>
        <tr r="Q1705" s="2"/>
      </tp>
      <tp t="s">
        <v>#N/A N/A</v>
        <stp/>
        <stp>BDP|6836292930721492681</stp>
        <tr r="A2032" s="2"/>
      </tp>
      <tp t="s">
        <v>#N/A N/A</v>
        <stp/>
        <stp>BDS|9185555166223646999</stp>
        <tr r="I393" s="2"/>
      </tp>
      <tp t="s">
        <v>#N/A N/A</v>
        <stp/>
        <stp>BDP|3377828138940611826</stp>
        <tr r="S474" s="2"/>
      </tp>
      <tp t="s">
        <v>#N/A N/A</v>
        <stp/>
        <stp>BDP|5449422583620873906</stp>
        <tr r="J249" s="2"/>
      </tp>
      <tp t="s">
        <v>#N/A N/A</v>
        <stp/>
        <stp>BDP|5463316469840191001</stp>
        <tr r="R738" s="2"/>
      </tp>
      <tp t="s">
        <v>#N/A N/A</v>
        <stp/>
        <stp>BDP|6010852600899133798</stp>
        <tr r="K1568" s="2"/>
      </tp>
      <tp t="s">
        <v>#N/A N/A</v>
        <stp/>
        <stp>BDP|9718706820184362890</stp>
        <tr r="O833" s="2"/>
      </tp>
      <tp t="s">
        <v>#N/A N/A</v>
        <stp/>
        <stp>BDP|2027950083047303481</stp>
        <tr r="N911" s="2"/>
      </tp>
      <tp t="s">
        <v>#N/A N/A</v>
        <stp/>
        <stp>BDP|7070330298154356950</stp>
        <tr r="K538" s="2"/>
      </tp>
      <tp t="s">
        <v>#N/A N/A</v>
        <stp/>
        <stp>BDP|7703595362420966485</stp>
        <tr r="O1916" s="2"/>
      </tp>
      <tp t="s">
        <v>#N/A N/A</v>
        <stp/>
        <stp>BDS|8320662102669832724</stp>
        <tr r="I1080" s="2"/>
      </tp>
      <tp t="s">
        <v>#N/A N/A</v>
        <stp/>
        <stp>BDP|9135927176902076588</stp>
        <tr r="M1034" s="2"/>
      </tp>
      <tp t="s">
        <v>#N/A N/A</v>
        <stp/>
        <stp>BDP|4424471141715610190</stp>
        <tr r="H2252" s="2"/>
      </tp>
      <tp t="s">
        <v>#N/A N/A</v>
        <stp/>
        <stp>BDP|9753106249269712545</stp>
        <tr r="Q195" s="2"/>
      </tp>
      <tp t="s">
        <v>#N/A N/A</v>
        <stp/>
        <stp>BDP|6723575640736951140</stp>
        <tr r="D914" s="2"/>
      </tp>
      <tp t="s">
        <v>#N/A N/A</v>
        <stp/>
        <stp>BDP|2789205409693786346</stp>
        <tr r="C837" s="2"/>
      </tp>
      <tp t="s">
        <v>#N/A N/A</v>
        <stp/>
        <stp>BDP|7674147637113171693</stp>
        <tr r="M138" s="2"/>
      </tp>
      <tp t="s">
        <v>#N/A N/A</v>
        <stp/>
        <stp>BDP|8640988625215724619</stp>
        <tr r="P1955" s="2"/>
      </tp>
      <tp t="s">
        <v>#N/A N/A</v>
        <stp/>
        <stp>BDP|4041460877006871146</stp>
        <tr r="R1478" s="2"/>
      </tp>
      <tp t="s">
        <v>#N/A N/A</v>
        <stp/>
        <stp>BDP|8372385840069677600</stp>
        <tr r="T1861" s="2"/>
      </tp>
      <tp t="s">
        <v>#N/A N/A</v>
        <stp/>
        <stp>BDP|7957497758626277077</stp>
        <tr r="O1777" s="2"/>
      </tp>
      <tp t="s">
        <v>#N/A N/A</v>
        <stp/>
        <stp>BDP|8993161724599698200</stp>
        <tr r="H2258" s="2"/>
      </tp>
      <tp t="s">
        <v>#N/A N/A</v>
        <stp/>
        <stp>BDP|9270291627281289838</stp>
        <tr r="H1211" s="2"/>
      </tp>
      <tp t="s">
        <v>#N/A N/A</v>
        <stp/>
        <stp>BDS|8455534129009014637</stp>
        <tr r="I2256" s="2"/>
      </tp>
      <tp t="s">
        <v>#N/A N/A</v>
        <stp/>
        <stp>BDP|5663078080098837549</stp>
        <tr r="R68" s="2"/>
      </tp>
      <tp t="s">
        <v>#N/A N/A</v>
        <stp/>
        <stp>BDP|2057590574616216625</stp>
        <tr r="R1016" s="2"/>
      </tp>
      <tp t="s">
        <v>#N/A N/A</v>
        <stp/>
        <stp>BDP|1276396851611569626</stp>
        <tr r="P2219" s="2"/>
      </tp>
      <tp t="s">
        <v>#N/A N/A</v>
        <stp/>
        <stp>BDP|2730606799954231918</stp>
        <tr r="C1138" s="2"/>
      </tp>
      <tp t="s">
        <v>#N/A N/A</v>
        <stp/>
        <stp>BDP|7559014726461767484</stp>
        <tr r="J2151" s="2"/>
      </tp>
      <tp t="s">
        <v>#N/A N/A</v>
        <stp/>
        <stp>BDP|8513471356118048192</stp>
        <tr r="E1548" s="2"/>
      </tp>
      <tp t="s">
        <v>#N/A N/A</v>
        <stp/>
        <stp>BDP|6899148810323719564</stp>
        <tr r="Q1932" s="2"/>
      </tp>
      <tp t="s">
        <v>#N/A N/A</v>
        <stp/>
        <stp>BDP|3543951362618670492</stp>
        <tr r="H1755" s="2"/>
      </tp>
      <tp t="s">
        <v>#N/A N/A</v>
        <stp/>
        <stp>BDS|5640184596934087954</stp>
        <tr r="I980" s="2"/>
      </tp>
      <tp t="s">
        <v>#N/A N/A</v>
        <stp/>
        <stp>BDS|2943622633566721124</stp>
        <tr r="I1912" s="2"/>
      </tp>
      <tp t="s">
        <v>#N/A N/A</v>
        <stp/>
        <stp>BDS|3891362218929852832</stp>
        <tr r="I747" s="2"/>
      </tp>
      <tp t="s">
        <v>#N/A N/A</v>
        <stp/>
        <stp>BDP|2807367976356116043</stp>
        <tr r="G2170" s="2"/>
      </tp>
      <tp t="s">
        <v>#N/A N/A</v>
        <stp/>
        <stp>BDP|5259062148677155602</stp>
        <tr r="E583" s="2"/>
      </tp>
      <tp t="s">
        <v>#N/A N/A</v>
        <stp/>
        <stp>BDP|5933716562384035073</stp>
        <tr r="K383" s="2"/>
      </tp>
      <tp t="s">
        <v>#N/A N/A</v>
        <stp/>
        <stp>BDP|2707156736572432229</stp>
        <tr r="H891" s="2"/>
      </tp>
      <tp t="s">
        <v>#N/A N/A</v>
        <stp/>
        <stp>BDP|7963597786822023843</stp>
        <tr r="H1684" s="2"/>
      </tp>
      <tp t="s">
        <v>#N/A N/A</v>
        <stp/>
        <stp>BDP|7366062966394761569</stp>
        <tr r="N1911" s="2"/>
      </tp>
      <tp t="s">
        <v>#N/A N/A</v>
        <stp/>
        <stp>BDP|8774907533873554135</stp>
        <tr r="G721" s="2"/>
      </tp>
      <tp t="s">
        <v>#N/A N/A</v>
        <stp/>
        <stp>BDP|1159047891941269945</stp>
        <tr r="T777" s="2"/>
      </tp>
      <tp t="s">
        <v>#N/A N/A</v>
        <stp/>
        <stp>BDP|5694227424560048527</stp>
        <tr r="E265" s="2"/>
      </tp>
      <tp t="s">
        <v>#N/A N/A</v>
        <stp/>
        <stp>BDP|4487089159905389448</stp>
        <tr r="A1484" s="2"/>
      </tp>
      <tp t="s">
        <v>#N/A N/A</v>
        <stp/>
        <stp>BDP|1635394853877703097</stp>
        <tr r="D1488" s="2"/>
      </tp>
      <tp t="s">
        <v>#N/A N/A</v>
        <stp/>
        <stp>BDP|5063489928171234205</stp>
        <tr r="K254" s="2"/>
      </tp>
      <tp t="s">
        <v>#N/A N/A</v>
        <stp/>
        <stp>BDP|8402703781853179464</stp>
        <tr r="D1193" s="2"/>
      </tp>
      <tp t="s">
        <v>#N/A N/A</v>
        <stp/>
        <stp>BDP|6943586934944619411</stp>
        <tr r="S1715" s="2"/>
      </tp>
      <tp t="s">
        <v>#N/A N/A</v>
        <stp/>
        <stp>BDP|7100399779381193228</stp>
        <tr r="D40" s="2"/>
      </tp>
      <tp t="s">
        <v>#N/A N/A</v>
        <stp/>
        <stp>BDP|5204989826396908871</stp>
        <tr r="D594" s="2"/>
      </tp>
      <tp t="s">
        <v>#N/A N/A</v>
        <stp/>
        <stp>BDS|2059528494666015842</stp>
        <tr r="I1647" s="2"/>
      </tp>
      <tp t="s">
        <v>#N/A N/A</v>
        <stp/>
        <stp>BDP|2126031922358582873</stp>
        <tr r="G74" s="2"/>
      </tp>
      <tp t="s">
        <v>#N/A N/A</v>
        <stp/>
        <stp>BDP|6873784572967108111</stp>
        <tr r="O1169" s="2"/>
      </tp>
      <tp t="s">
        <v>#N/A N/A</v>
        <stp/>
        <stp>BDP|5817805571683298991</stp>
        <tr r="N449" s="2"/>
      </tp>
      <tp t="s">
        <v>#N/A N/A</v>
        <stp/>
        <stp>BDP|5294511845221293569</stp>
        <tr r="T1924" s="2"/>
      </tp>
      <tp t="s">
        <v>#N/A N/A</v>
        <stp/>
        <stp>BDP|4078921286625497023</stp>
        <tr r="E1481" s="2"/>
      </tp>
      <tp t="s">
        <v>#N/A N/A</v>
        <stp/>
        <stp>BDP|3716059351246698079</stp>
        <tr r="E1643" s="2"/>
      </tp>
      <tp t="s">
        <v>#N/A N/A</v>
        <stp/>
        <stp>BDS|5013944682340298466</stp>
        <tr r="I235" s="2"/>
      </tp>
      <tp t="s">
        <v>#N/A N/A</v>
        <stp/>
        <stp>BDP|6004674810220745128</stp>
        <tr r="R559" s="2"/>
      </tp>
      <tp t="s">
        <v>#N/A N/A</v>
        <stp/>
        <stp>BDP|1131799511344974323</stp>
        <tr r="E788" s="2"/>
      </tp>
      <tp t="s">
        <v>#N/A N/A</v>
        <stp/>
        <stp>BDP|6411109685919587664</stp>
        <tr r="A23" s="2"/>
      </tp>
      <tp t="s">
        <v>#N/A N/A</v>
        <stp/>
        <stp>BDP|6547168462585667452</stp>
        <tr r="F904" s="2"/>
      </tp>
      <tp t="s">
        <v>#N/A N/A</v>
        <stp/>
        <stp>BDP|2161793075523845178</stp>
        <tr r="M1595" s="2"/>
      </tp>
      <tp t="s">
        <v>#N/A N/A</v>
        <stp/>
        <stp>BDP|5014606335718651819</stp>
        <tr r="A1273" s="2"/>
      </tp>
      <tp t="s">
        <v>#N/A N/A</v>
        <stp/>
        <stp>BDP|1137084689781599875</stp>
        <tr r="K1209" s="2"/>
      </tp>
      <tp t="s">
        <v>#N/A N/A</v>
        <stp/>
        <stp>BDP|5587045736050547605</stp>
        <tr r="H1799" s="2"/>
      </tp>
      <tp t="s">
        <v>#N/A N/A</v>
        <stp/>
        <stp>BDP|6659308647756714747</stp>
        <tr r="D1691" s="2"/>
      </tp>
      <tp t="s">
        <v>#N/A N/A</v>
        <stp/>
        <stp>BDP|7311118216041458620</stp>
        <tr r="M1293" s="2"/>
      </tp>
      <tp t="s">
        <v>#N/A N/A</v>
        <stp/>
        <stp>BDP|4336848425527694968</stp>
        <tr r="S1044" s="2"/>
      </tp>
      <tp t="s">
        <v>#N/A N/A</v>
        <stp/>
        <stp>BDP|4622169518353872720</stp>
        <tr r="A1967" s="2"/>
      </tp>
      <tp t="s">
        <v>#N/A N/A</v>
        <stp/>
        <stp>BDP|6755107635901773573</stp>
        <tr r="T1051" s="2"/>
      </tp>
      <tp t="s">
        <v>#N/A N/A</v>
        <stp/>
        <stp>BDP|2171700459800887028</stp>
        <tr r="J375" s="2"/>
      </tp>
      <tp t="s">
        <v>#N/A N/A</v>
        <stp/>
        <stp>BDP|1417414616991314522</stp>
        <tr r="J2104" s="2"/>
      </tp>
      <tp t="s">
        <v>#N/A N/A</v>
        <stp/>
        <stp>BDS|6359286969647419548</stp>
        <tr r="I2061" s="2"/>
      </tp>
      <tp t="s">
        <v>#N/A N/A</v>
        <stp/>
        <stp>BDP|4826399748584240795</stp>
        <tr r="O714" s="2"/>
      </tp>
      <tp t="s">
        <v>#N/A N/A</v>
        <stp/>
        <stp>BDP|1930367768395194141</stp>
        <tr r="S2141" s="2"/>
      </tp>
      <tp t="s">
        <v>#N/A N/A</v>
        <stp/>
        <stp>BDP|1736083990230497894</stp>
        <tr r="M535" s="2"/>
      </tp>
      <tp t="s">
        <v>#N/A N/A</v>
        <stp/>
        <stp>BDP|3050538126020517422</stp>
        <tr r="F542" s="2"/>
      </tp>
      <tp t="s">
        <v>#N/A N/A</v>
        <stp/>
        <stp>BDP|3172428064854792520</stp>
        <tr r="K242" s="2"/>
      </tp>
      <tp t="s">
        <v>#N/A N/A</v>
        <stp/>
        <stp>BDP|2487400153766097558</stp>
        <tr r="A1202" s="2"/>
      </tp>
      <tp t="s">
        <v>#N/A N/A</v>
        <stp/>
        <stp>BDP|4029167624562176519</stp>
        <tr r="S379" s="2"/>
      </tp>
      <tp t="s">
        <v>#N/A N/A</v>
        <stp/>
        <stp>BDP|9633938851422093768</stp>
        <tr r="J1087" s="2"/>
      </tp>
      <tp t="s">
        <v>#N/A N/A</v>
        <stp/>
        <stp>BDP|3365017101850394321</stp>
        <tr r="Q1209" s="2"/>
      </tp>
      <tp t="s">
        <v>#N/A N/A</v>
        <stp/>
        <stp>BDP|2563522354034634676</stp>
        <tr r="O2145" s="2"/>
      </tp>
      <tp t="s">
        <v>#N/A N/A</v>
        <stp/>
        <stp>BDP|7452770646552441635</stp>
        <tr r="N1981" s="2"/>
      </tp>
      <tp t="s">
        <v>#N/A N/A</v>
        <stp/>
        <stp>BDS|5066031340631729061</stp>
        <tr r="I575" s="2"/>
      </tp>
      <tp t="s">
        <v>#N/A N/A</v>
        <stp/>
        <stp>BDP|7353082178088312827</stp>
        <tr r="O1862" s="2"/>
      </tp>
      <tp t="s">
        <v>#N/A N/A</v>
        <stp/>
        <stp>BDP|1725380027272925232</stp>
        <tr r="D529" s="2"/>
      </tp>
      <tp t="s">
        <v>#N/A N/A</v>
        <stp/>
        <stp>BDP|4788748464084565106</stp>
        <tr r="R1067" s="2"/>
      </tp>
      <tp t="s">
        <v>#N/A N/A</v>
        <stp/>
        <stp>BDP|1958936888274795478</stp>
        <tr r="Q1302" s="2"/>
      </tp>
      <tp t="s">
        <v>#N/A N/A</v>
        <stp/>
        <stp>BDP|2140805652456920987</stp>
        <tr r="D1569" s="2"/>
      </tp>
      <tp t="s">
        <v>#N/A N/A</v>
        <stp/>
        <stp>BDP|6248550005275826684</stp>
        <tr r="C764" s="2"/>
      </tp>
      <tp t="s">
        <v>#N/A N/A</v>
        <stp/>
        <stp>BDP|1265433997485231961</stp>
        <tr r="F508" s="2"/>
      </tp>
      <tp t="s">
        <v>#N/A N/A</v>
        <stp/>
        <stp>BDP|6861216558646555760</stp>
        <tr r="T1675" s="2"/>
      </tp>
      <tp t="s">
        <v>#N/A N/A</v>
        <stp/>
        <stp>BDP|2953355328764651701</stp>
        <tr r="D2038" s="2"/>
      </tp>
      <tp t="s">
        <v>#N/A N/A</v>
        <stp/>
        <stp>BDP|7821080368533876223</stp>
        <tr r="S944" s="2"/>
      </tp>
      <tp t="s">
        <v>#N/A N/A</v>
        <stp/>
        <stp>BDP|3503633126360446767</stp>
        <tr r="O114" s="2"/>
      </tp>
      <tp t="s">
        <v>#N/A N/A</v>
        <stp/>
        <stp>BDP|6800039587948802663</stp>
        <tr r="G1655" s="2"/>
      </tp>
      <tp t="s">
        <v>#N/A N/A</v>
        <stp/>
        <stp>BDP|1346980658765542845</stp>
        <tr r="O1814" s="2"/>
      </tp>
      <tp t="s">
        <v>#N/A N/A</v>
        <stp/>
        <stp>BDS|1941009748886778343</stp>
        <tr r="I404" s="2"/>
      </tp>
      <tp t="s">
        <v>#N/A N/A</v>
        <stp/>
        <stp>BDP|5975545422607866550</stp>
        <tr r="S887" s="2"/>
      </tp>
      <tp t="s">
        <v>#N/A N/A</v>
        <stp/>
        <stp>BDP|6868760468897782034</stp>
        <tr r="T2072" s="2"/>
      </tp>
      <tp t="s">
        <v>#N/A N/A</v>
        <stp/>
        <stp>BDP|3907523101643842503</stp>
        <tr r="Q345" s="2"/>
      </tp>
      <tp t="s">
        <v>#N/A N/A</v>
        <stp/>
        <stp>BDP|6535092812486564191</stp>
        <tr r="R606" s="2"/>
      </tp>
      <tp t="s">
        <v>#N/A N/A</v>
        <stp/>
        <stp>BDP|1964770865400110081</stp>
        <tr r="G169" s="2"/>
      </tp>
      <tp t="s">
        <v>#N/A N/A</v>
        <stp/>
        <stp>BDP|4449178698914140883</stp>
        <tr r="J459" s="2"/>
      </tp>
      <tp t="s">
        <v>#N/A N/A</v>
        <stp/>
        <stp>BDP|8484928049357848255</stp>
        <tr r="K1903" s="2"/>
      </tp>
      <tp t="s">
        <v>#N/A N/A</v>
        <stp/>
        <stp>BDP|2359665966805285735</stp>
        <tr r="A342" s="2"/>
      </tp>
      <tp t="s">
        <v>#N/A N/A</v>
        <stp/>
        <stp>BDP|7709449254981565703</stp>
        <tr r="J2069" s="2"/>
      </tp>
      <tp t="s">
        <v>#N/A N/A</v>
        <stp/>
        <stp>BDS|3271902710248574356</stp>
        <tr r="I2222" s="2"/>
      </tp>
      <tp t="s">
        <v>#N/A N/A</v>
        <stp/>
        <stp>BDP|2404141415201437335</stp>
        <tr r="N74" s="2"/>
      </tp>
      <tp t="s">
        <v>#N/A N/A</v>
        <stp/>
        <stp>BDP|3485459723142241721</stp>
        <tr r="T291" s="2"/>
      </tp>
      <tp t="s">
        <v>#N/A N/A</v>
        <stp/>
        <stp>BDP|9405857373864023208</stp>
        <tr r="G1387" s="2"/>
      </tp>
      <tp t="s">
        <v>#N/A N/A</v>
        <stp/>
        <stp>BDP|1779547597794048966</stp>
        <tr r="J1072" s="2"/>
      </tp>
      <tp t="s">
        <v>#N/A N/A</v>
        <stp/>
        <stp>BDP|4669204757632155124</stp>
        <tr r="P886" s="2"/>
      </tp>
      <tp t="s">
        <v>#N/A N/A</v>
        <stp/>
        <stp>BDP|7329276786928016509</stp>
        <tr r="M1124" s="2"/>
      </tp>
      <tp t="s">
        <v>#N/A N/A</v>
        <stp/>
        <stp>BDP|9470877116096708604</stp>
        <tr r="E1160" s="2"/>
      </tp>
      <tp t="s">
        <v>#N/A N/A</v>
        <stp/>
        <stp>BDP|5276027427144268373</stp>
        <tr r="S2220" s="2"/>
      </tp>
      <tp t="s">
        <v>#N/A N/A</v>
        <stp/>
        <stp>BDP|2630638492155098857</stp>
        <tr r="E2045" s="2"/>
      </tp>
      <tp t="s">
        <v>#N/A N/A</v>
        <stp/>
        <stp>BDP|7517378945562192241</stp>
        <tr r="N1343" s="2"/>
      </tp>
      <tp t="s">
        <v>#N/A N/A</v>
        <stp/>
        <stp>BDP|5534764876192224753</stp>
        <tr r="R847" s="2"/>
      </tp>
      <tp t="s">
        <v>#N/A N/A</v>
        <stp/>
        <stp>BDP|7021736318663815214</stp>
        <tr r="H2147" s="2"/>
      </tp>
      <tp t="s">
        <v>#N/A N/A</v>
        <stp/>
        <stp>BDP|7259347644737707772</stp>
        <tr r="E538" s="2"/>
      </tp>
      <tp t="s">
        <v>#N/A N/A</v>
        <stp/>
        <stp>BDP|8451982133357932541</stp>
        <tr r="Q1280" s="2"/>
      </tp>
      <tp t="s">
        <v>#N/A N/A</v>
        <stp/>
        <stp>BDP|3665300731513451010</stp>
        <tr r="O39" s="2"/>
      </tp>
      <tp t="s">
        <v>#N/A N/A</v>
        <stp/>
        <stp>BDP|9023937916961192063</stp>
        <tr r="T601" s="2"/>
      </tp>
      <tp t="s">
        <v>#N/A N/A</v>
        <stp/>
        <stp>BDP|9076764387064736259</stp>
        <tr r="D1783" s="2"/>
      </tp>
      <tp t="s">
        <v>#N/A N/A</v>
        <stp/>
        <stp>BDP|1351707205955105342</stp>
        <tr r="T1369" s="2"/>
      </tp>
      <tp t="s">
        <v>#N/A N/A</v>
        <stp/>
        <stp>BDP|8212794045978519384</stp>
        <tr r="F1930" s="2"/>
      </tp>
      <tp t="s">
        <v>#N/A N/A</v>
        <stp/>
        <stp>BDP|7159323640668814888</stp>
        <tr r="R2060" s="2"/>
      </tp>
      <tp t="s">
        <v>#N/A N/A</v>
        <stp/>
        <stp>BDP|3703423369930954167</stp>
        <tr r="P618" s="2"/>
      </tp>
      <tp t="s">
        <v>#N/A N/A</v>
        <stp/>
        <stp>BDP|8223568584215436073</stp>
        <tr r="C1239" s="2"/>
      </tp>
      <tp t="s">
        <v>#N/A N/A</v>
        <stp/>
        <stp>BDP|3524239118729400997</stp>
        <tr r="D31" s="2"/>
      </tp>
      <tp t="s">
        <v>#N/A N/A</v>
        <stp/>
        <stp>BDP|8776506794801631561</stp>
        <tr r="C600" s="2"/>
      </tp>
      <tp t="s">
        <v>#N/A N/A</v>
        <stp/>
        <stp>BDP|7985002523022900701</stp>
        <tr r="D1307" s="2"/>
      </tp>
      <tp t="s">
        <v>#N/A N/A</v>
        <stp/>
        <stp>BDP|5474337540400772238</stp>
        <tr r="M1221" s="2"/>
      </tp>
      <tp t="s">
        <v>#N/A N/A</v>
        <stp/>
        <stp>BDP|9517973731495055608</stp>
        <tr r="H479" s="2"/>
      </tp>
      <tp t="s">
        <v>#N/A N/A</v>
        <stp/>
        <stp>BDS|6979036214825910240</stp>
        <tr r="I2155" s="2"/>
      </tp>
      <tp t="s">
        <v>#N/A N/A</v>
        <stp/>
        <stp>BDS|4699749577991218541</stp>
        <tr r="I1558" s="2"/>
      </tp>
      <tp t="s">
        <v>#N/A N/A</v>
        <stp/>
        <stp>BDP|1359741262155466529</stp>
        <tr r="N702" s="2"/>
      </tp>
      <tp t="s">
        <v>#N/A N/A</v>
        <stp/>
        <stp>BDP|5111221620491077409</stp>
        <tr r="H1824" s="2"/>
      </tp>
      <tp t="s">
        <v>#N/A N/A</v>
        <stp/>
        <stp>BDP|8620803953525492027</stp>
        <tr r="G1032" s="2"/>
      </tp>
      <tp t="s">
        <v>#N/A N/A</v>
        <stp/>
        <stp>BDP|2706329996269222123</stp>
        <tr r="H1572" s="2"/>
      </tp>
      <tp t="s">
        <v>#N/A N/A</v>
        <stp/>
        <stp>BDP|4021352737931770563</stp>
        <tr r="R1176" s="2"/>
      </tp>
      <tp t="s">
        <v>#N/A N/A</v>
        <stp/>
        <stp>BDP|2396750675011127316</stp>
        <tr r="D978" s="2"/>
      </tp>
      <tp t="s">
        <v>#N/A N/A</v>
        <stp/>
        <stp>BDP|2491136601240281378</stp>
        <tr r="K602" s="2"/>
      </tp>
      <tp t="s">
        <v>#N/A N/A</v>
        <stp/>
        <stp>BDP|8781950476557663116</stp>
        <tr r="J1885" s="2"/>
      </tp>
      <tp t="s">
        <v>#N/A N/A</v>
        <stp/>
        <stp>BDP|6777031040803562124</stp>
        <tr r="K1767" s="2"/>
      </tp>
      <tp t="s">
        <v>#N/A N/A</v>
        <stp/>
        <stp>BDP|7360070464932150326</stp>
        <tr r="T1314" s="2"/>
      </tp>
      <tp t="s">
        <v>#N/A N/A</v>
        <stp/>
        <stp>BDP|5499153879256244590</stp>
        <tr r="M2134" s="2"/>
      </tp>
      <tp t="s">
        <v>#N/A N/A</v>
        <stp/>
        <stp>BDP|9069065433849738314</stp>
        <tr r="T1107" s="2"/>
      </tp>
      <tp t="s">
        <v>#N/A N/A</v>
        <stp/>
        <stp>BDP|4965796376890111445</stp>
        <tr r="G177" s="2"/>
      </tp>
      <tp t="s">
        <v>#N/A N/A</v>
        <stp/>
        <stp>BDP|6449133065659792864</stp>
        <tr r="T2093" s="2"/>
      </tp>
      <tp t="s">
        <v>#N/A N/A</v>
        <stp/>
        <stp>BDS|6879189884886302949</stp>
        <tr r="I791" s="2"/>
      </tp>
      <tp t="s">
        <v>#N/A N/A</v>
        <stp/>
        <stp>BDP|5891026774231422390</stp>
        <tr r="G584" s="2"/>
      </tp>
      <tp t="s">
        <v>#N/A N/A</v>
        <stp/>
        <stp>BDP|1023345847194890280</stp>
        <tr r="R1814" s="2"/>
      </tp>
      <tp t="s">
        <v>#N/A N/A</v>
        <stp/>
        <stp>BDP|3444149606570460210</stp>
        <tr r="K1522" s="2"/>
      </tp>
      <tp t="s">
        <v>#N/A N/A</v>
        <stp/>
        <stp>BDP|9183561794725880088</stp>
        <tr r="J1729" s="2"/>
      </tp>
      <tp t="s">
        <v>#N/A N/A</v>
        <stp/>
        <stp>BDP|7763337159253695284</stp>
        <tr r="A1163" s="2"/>
      </tp>
      <tp t="s">
        <v>#N/A N/A</v>
        <stp/>
        <stp>BDP|8193595299281315511</stp>
        <tr r="F1532" s="2"/>
      </tp>
      <tp t="s">
        <v>#N/A N/A</v>
        <stp/>
        <stp>BDP|3950686486228410501</stp>
        <tr r="N1387" s="2"/>
      </tp>
      <tp t="s">
        <v>#N/A N/A</v>
        <stp/>
        <stp>BDP|4134155540298036976</stp>
        <tr r="N1565" s="2"/>
      </tp>
      <tp t="s">
        <v>#N/A N/A</v>
        <stp/>
        <stp>BDP|4705054556096362743</stp>
        <tr r="P1534" s="2"/>
      </tp>
      <tp t="s">
        <v>#N/A N/A</v>
        <stp/>
        <stp>BDP|5274422212246067611</stp>
        <tr r="T1743" s="2"/>
      </tp>
      <tp t="s">
        <v>#N/A N/A</v>
        <stp/>
        <stp>BDP|8106359531509055169</stp>
        <tr r="N1741" s="2"/>
      </tp>
      <tp t="s">
        <v>#N/A N/A</v>
        <stp/>
        <stp>BDP|3123715179423977034</stp>
        <tr r="C215" s="2"/>
      </tp>
      <tp t="s">
        <v>#N/A N/A</v>
        <stp/>
        <stp>BDP|8539993655564859020</stp>
        <tr r="S2012" s="2"/>
      </tp>
      <tp t="s">
        <v>#N/A N/A</v>
        <stp/>
        <stp>BDP|8284748914148877696</stp>
        <tr r="Q422" s="2"/>
      </tp>
      <tp t="s">
        <v>#N/A N/A</v>
        <stp/>
        <stp>BDP|6516917023774619920</stp>
        <tr r="O1494" s="2"/>
      </tp>
      <tp t="s">
        <v>#N/A N/A</v>
        <stp/>
        <stp>BDP|6439692330563947070</stp>
        <tr r="D833" s="2"/>
      </tp>
      <tp t="s">
        <v>#N/A N/A</v>
        <stp/>
        <stp>BDP|7076660291629652127</stp>
        <tr r="H2201" s="2"/>
      </tp>
      <tp t="s">
        <v>#N/A N/A</v>
        <stp/>
        <stp>BDP|8603272039528277193</stp>
        <tr r="A25" s="2"/>
      </tp>
      <tp t="s">
        <v>#N/A N/A</v>
        <stp/>
        <stp>BDP|9224545115848597555</stp>
        <tr r="J567" s="2"/>
      </tp>
      <tp t="s">
        <v>#N/A N/A</v>
        <stp/>
        <stp>BDP|6183359167300532352</stp>
        <tr r="C2232" s="2"/>
      </tp>
      <tp t="s">
        <v>#N/A N/A</v>
        <stp/>
        <stp>BDS|5322329716234784331</stp>
        <tr r="I347" s="2"/>
      </tp>
      <tp t="s">
        <v>#N/A N/A</v>
        <stp/>
        <stp>BDP|6433147507584352377</stp>
        <tr r="J1002" s="2"/>
      </tp>
      <tp t="s">
        <v>#N/A N/A</v>
        <stp/>
        <stp>BDP|2571243123360628276</stp>
        <tr r="R1226" s="2"/>
      </tp>
      <tp t="s">
        <v>#N/A N/A</v>
        <stp/>
        <stp>BDP|3134397004447864774</stp>
        <tr r="N1576" s="2"/>
      </tp>
      <tp t="s">
        <v>#N/A N/A</v>
        <stp/>
        <stp>BDS|7892982281960430660</stp>
        <tr r="I1800" s="2"/>
      </tp>
      <tp t="s">
        <v>#N/A N/A</v>
        <stp/>
        <stp>BDP|7682505201276750438</stp>
        <tr r="J1079" s="2"/>
      </tp>
      <tp t="s">
        <v>#N/A N/A</v>
        <stp/>
        <stp>BDP|7624505576673107623</stp>
        <tr r="P1704" s="2"/>
      </tp>
      <tp t="s">
        <v>#N/A N/A</v>
        <stp/>
        <stp>BDP|7964115618263635450</stp>
        <tr r="A115" s="2"/>
      </tp>
      <tp t="s">
        <v>#N/A N/A</v>
        <stp/>
        <stp>BDP|3233760949500618085</stp>
        <tr r="K2130" s="2"/>
      </tp>
      <tp t="s">
        <v>#N/A N/A</v>
        <stp/>
        <stp>BDP|3427222428494439795</stp>
        <tr r="G679" s="2"/>
      </tp>
      <tp t="s">
        <v>#N/A N/A</v>
        <stp/>
        <stp>BDP|4252190670611158394</stp>
        <tr r="O1851" s="2"/>
      </tp>
      <tp t="s">
        <v>#N/A N/A</v>
        <stp/>
        <stp>BDP|3449575113634343301</stp>
        <tr r="C1829" s="2"/>
      </tp>
      <tp t="s">
        <v>#N/A N/A</v>
        <stp/>
        <stp>BDP|2291460331854734117</stp>
        <tr r="P2235" s="2"/>
      </tp>
      <tp t="s">
        <v>#N/A N/A</v>
        <stp/>
        <stp>BDP|7171377842872491234</stp>
        <tr r="E939" s="2"/>
      </tp>
      <tp t="s">
        <v>#N/A N/A</v>
        <stp/>
        <stp>BDP|9873186827623646926</stp>
        <tr r="M869" s="2"/>
      </tp>
      <tp t="s">
        <v>#N/A N/A</v>
        <stp/>
        <stp>BDP|2345497038246618375</stp>
        <tr r="F773" s="2"/>
      </tp>
      <tp t="s">
        <v>#N/A N/A</v>
        <stp/>
        <stp>BDP|5319506841413169700</stp>
        <tr r="D1606" s="2"/>
      </tp>
      <tp t="s">
        <v>#N/A N/A</v>
        <stp/>
        <stp>BDP|1214685666006985768</stp>
        <tr r="Q1334" s="2"/>
      </tp>
      <tp t="s">
        <v>#N/A N/A</v>
        <stp/>
        <stp>BDP|1444961570519071613</stp>
        <tr r="S1524" s="2"/>
      </tp>
      <tp t="s">
        <v>#N/A N/A</v>
        <stp/>
        <stp>BDP|6327194566384872576</stp>
        <tr r="A1492" s="2"/>
      </tp>
      <tp t="s">
        <v>#N/A N/A</v>
        <stp/>
        <stp>BDP|7950694828077817434</stp>
        <tr r="P1654" s="2"/>
      </tp>
      <tp t="s">
        <v>#N/A N/A</v>
        <stp/>
        <stp>BDP|5479044653354213425</stp>
        <tr r="Q325" s="2"/>
      </tp>
      <tp t="s">
        <v>#N/A N/A</v>
        <stp/>
        <stp>BDP|6204712033337343502</stp>
        <tr r="E519" s="2"/>
      </tp>
      <tp t="s">
        <v>#N/A N/A</v>
        <stp/>
        <stp>BDS|5290487090458991007</stp>
        <tr r="I719" s="2"/>
      </tp>
      <tp t="s">
        <v>#N/A N/A</v>
        <stp/>
        <stp>BDP|6044379961804708722</stp>
        <tr r="G404" s="2"/>
      </tp>
      <tp t="s">
        <v>#N/A N/A</v>
        <stp/>
        <stp>BDP|9516555483150951497</stp>
        <tr r="G1410" s="2"/>
      </tp>
      <tp t="s">
        <v>#N/A N/A</v>
        <stp/>
        <stp>BDP|6702624312141234061</stp>
        <tr r="E1701" s="2"/>
      </tp>
      <tp t="s">
        <v>#N/A N/A</v>
        <stp/>
        <stp>BDP|2258683776887919468</stp>
        <tr r="A2027" s="2"/>
      </tp>
      <tp t="s">
        <v>#N/A N/A</v>
        <stp/>
        <stp>BDP|3950481664872129379</stp>
        <tr r="C1361" s="2"/>
      </tp>
      <tp t="s">
        <v>#N/A N/A</v>
        <stp/>
        <stp>BDP|4634039607640794463</stp>
        <tr r="G990" s="2"/>
      </tp>
      <tp t="s">
        <v>#N/A N/A</v>
        <stp/>
        <stp>BDP|5746548504497468708</stp>
        <tr r="P1341" s="2"/>
      </tp>
      <tp t="s">
        <v>#N/A N/A</v>
        <stp/>
        <stp>BDP|3851173873686609396</stp>
        <tr r="T783" s="2"/>
      </tp>
      <tp t="s">
        <v>#N/A N/A</v>
        <stp/>
        <stp>BDP|5896176748674782408</stp>
        <tr r="P969" s="2"/>
      </tp>
      <tp t="s">
        <v>#N/A N/A</v>
        <stp/>
        <stp>BDP|6513203923435099366</stp>
        <tr r="F299" s="2"/>
      </tp>
      <tp t="s">
        <v>#N/A N/A</v>
        <stp/>
        <stp>BDP|8624068472698278702</stp>
        <tr r="N330" s="2"/>
      </tp>
      <tp t="s">
        <v>#N/A N/A</v>
        <stp/>
        <stp>BDP|9588850961125951285</stp>
        <tr r="K1328" s="2"/>
      </tp>
      <tp t="s">
        <v>#N/A N/A</v>
        <stp/>
        <stp>BDP|7464290811063484787</stp>
        <tr r="O123" s="2"/>
      </tp>
      <tp t="s">
        <v>#N/A N/A</v>
        <stp/>
        <stp>BDP|9179127907480547819</stp>
        <tr r="Q229" s="2"/>
      </tp>
      <tp t="s">
        <v>#N/A N/A</v>
        <stp/>
        <stp>BDP|3652467061180219139</stp>
        <tr r="A2117" s="2"/>
      </tp>
      <tp t="s">
        <v>#N/A N/A</v>
        <stp/>
        <stp>BDP|6987052499147339863</stp>
        <tr r="Q175" s="2"/>
      </tp>
      <tp t="s">
        <v>#N/A N/A</v>
        <stp/>
        <stp>BDP|6363708903571555055</stp>
        <tr r="H1402" s="2"/>
      </tp>
      <tp t="s">
        <v>#N/A N/A</v>
        <stp/>
        <stp>BDP|7561219618232563691</stp>
        <tr r="O2234" s="2"/>
      </tp>
      <tp t="s">
        <v>#N/A N/A</v>
        <stp/>
        <stp>BDP|8956763295660983632</stp>
        <tr r="P1100" s="2"/>
      </tp>
      <tp t="s">
        <v>#N/A N/A</v>
        <stp/>
        <stp>BDS|1339064952824433035</stp>
        <tr r="I195" s="2"/>
      </tp>
      <tp t="s">
        <v>#N/A N/A</v>
        <stp/>
        <stp>BDP|3476668060206114536</stp>
        <tr r="P1858" s="2"/>
      </tp>
      <tp t="s">
        <v>#N/A N/A</v>
        <stp/>
        <stp>BDP|8904142933843805960</stp>
        <tr r="M306" s="2"/>
      </tp>
      <tp t="s">
        <v>#N/A N/A</v>
        <stp/>
        <stp>BDP|6659139050073113147</stp>
        <tr r="G1814" s="2"/>
      </tp>
      <tp t="s">
        <v>#N/A N/A</v>
        <stp/>
        <stp>BDP|8392906916310034055</stp>
        <tr r="R1418" s="2"/>
      </tp>
      <tp t="s">
        <v>#N/A N/A</v>
        <stp/>
        <stp>BDP|2312111671646248218</stp>
        <tr r="D1065" s="2"/>
      </tp>
      <tp t="s">
        <v>#N/A N/A</v>
        <stp/>
        <stp>BDP|8411948856765057161</stp>
        <tr r="H841" s="2"/>
      </tp>
      <tp t="s">
        <v>#N/A N/A</v>
        <stp/>
        <stp>BDP|7128152434046392333</stp>
        <tr r="R174" s="2"/>
      </tp>
      <tp t="s">
        <v>#N/A N/A</v>
        <stp/>
        <stp>BDP|2362204512022075318</stp>
        <tr r="P484" s="2"/>
      </tp>
      <tp t="s">
        <v>#N/A N/A</v>
        <stp/>
        <stp>BDP|8486540550440665867</stp>
        <tr r="M216" s="2"/>
      </tp>
      <tp t="s">
        <v>#N/A N/A</v>
        <stp/>
        <stp>BDP|1353092035896625490</stp>
        <tr r="E648" s="2"/>
      </tp>
      <tp t="s">
        <v>#N/A N/A</v>
        <stp/>
        <stp>BDP|3684386642117959357</stp>
        <tr r="T1380" s="2"/>
      </tp>
      <tp t="s">
        <v>#N/A N/A</v>
        <stp/>
        <stp>BDP|4214440924013746158</stp>
        <tr r="G976" s="2"/>
      </tp>
      <tp t="s">
        <v>#N/A N/A</v>
        <stp/>
        <stp>BDP|4734106054361334109</stp>
        <tr r="Q529" s="2"/>
      </tp>
      <tp t="s">
        <v>#N/A N/A</v>
        <stp/>
        <stp>BDP|8691908635506310409</stp>
        <tr r="F1671" s="2"/>
      </tp>
      <tp t="s">
        <v>#N/A N/A</v>
        <stp/>
        <stp>BDP|2578144013623618148</stp>
        <tr r="S1792" s="2"/>
      </tp>
      <tp t="s">
        <v>#N/A N/A</v>
        <stp/>
        <stp>BDP|2956599167203044276</stp>
        <tr r="Q1465" s="2"/>
      </tp>
      <tp t="s">
        <v>#N/A N/A</v>
        <stp/>
        <stp>BDP|3230910867019396576</stp>
        <tr r="P1251" s="2"/>
      </tp>
      <tp t="s">
        <v>#N/A N/A</v>
        <stp/>
        <stp>BDP|5427562674614538339</stp>
        <tr r="S1554" s="2"/>
      </tp>
      <tp t="s">
        <v>#N/A N/A</v>
        <stp/>
        <stp>BDP|6056159162895787400</stp>
        <tr r="O1406" s="2"/>
      </tp>
      <tp t="s">
        <v>#N/A N/A</v>
        <stp/>
        <stp>BDS|8387255945599533767</stp>
        <tr r="I330" s="2"/>
      </tp>
      <tp t="s">
        <v>#N/A N/A</v>
        <stp/>
        <stp>BDP|4683745270602247600</stp>
        <tr r="O2039" s="2"/>
      </tp>
      <tp t="s">
        <v>#N/A N/A</v>
        <stp/>
        <stp>BDP|8286833604302050252</stp>
        <tr r="T363" s="2"/>
      </tp>
      <tp t="s">
        <v>#N/A N/A</v>
        <stp/>
        <stp>BDP|5003681767957910266</stp>
        <tr r="H903" s="2"/>
      </tp>
      <tp t="s">
        <v>#N/A N/A</v>
        <stp/>
        <stp>BDP|7606149350345300615</stp>
        <tr r="G2015" s="2"/>
      </tp>
      <tp t="s">
        <v>#N/A N/A</v>
        <stp/>
        <stp>BDP|5173678244500732756</stp>
        <tr r="N414" s="2"/>
      </tp>
      <tp t="s">
        <v>#N/A N/A</v>
        <stp/>
        <stp>BDP|5810988839497122880</stp>
        <tr r="R807" s="2"/>
      </tp>
      <tp t="s">
        <v>#N/A N/A</v>
        <stp/>
        <stp>BDP|2058011747246317058</stp>
        <tr r="N994" s="2"/>
      </tp>
      <tp t="s">
        <v>#N/A N/A</v>
        <stp/>
        <stp>BDP|3922282565882622525</stp>
        <tr r="H342" s="2"/>
      </tp>
      <tp t="s">
        <v>#N/A N/A</v>
        <stp/>
        <stp>BDP|6786956949392366985</stp>
        <tr r="N1693" s="2"/>
      </tp>
      <tp t="s">
        <v>#N/A N/A</v>
        <stp/>
        <stp>BDP|1803169244125241182</stp>
        <tr r="M1968" s="2"/>
      </tp>
      <tp t="s">
        <v>#N/A N/A</v>
        <stp/>
        <stp>BDP|1180858933528088273</stp>
        <tr r="P2182" s="2"/>
      </tp>
      <tp t="s">
        <v>#N/A N/A</v>
        <stp/>
        <stp>BDP|6680491850436837170</stp>
        <tr r="N1356" s="2"/>
      </tp>
      <tp t="s">
        <v>#N/A N/A</v>
        <stp/>
        <stp>BDP|6228034274881199049</stp>
        <tr r="H26" s="2"/>
      </tp>
      <tp t="s">
        <v>#N/A N/A</v>
        <stp/>
        <stp>BDP|3851134731335812422</stp>
        <tr r="O671" s="2"/>
      </tp>
      <tp t="s">
        <v>#N/A N/A</v>
        <stp/>
        <stp>BDP|7087434922733291233</stp>
        <tr r="S349" s="2"/>
      </tp>
      <tp t="s">
        <v>#N/A N/A</v>
        <stp/>
        <stp>BDP|2409773057010302072</stp>
        <tr r="Q1925" s="2"/>
      </tp>
      <tp t="s">
        <v>#N/A N/A</v>
        <stp/>
        <stp>BDP|4602134574150348220</stp>
        <tr r="A670" s="2"/>
      </tp>
      <tp t="s">
        <v>#N/A N/A</v>
        <stp/>
        <stp>BDP|1285317756872552502</stp>
        <tr r="D2087" s="2"/>
      </tp>
      <tp t="s">
        <v>#N/A N/A</v>
        <stp/>
        <stp>BDS|5887454418133460318</stp>
        <tr r="I377" s="2"/>
      </tp>
      <tp t="s">
        <v>#N/A N/A</v>
        <stp/>
        <stp>BDP|2908595904380618727</stp>
        <tr r="C1961" s="2"/>
      </tp>
      <tp t="s">
        <v>#N/A N/A</v>
        <stp/>
        <stp>BDP|4757666845052408403</stp>
        <tr r="H930" s="2"/>
      </tp>
      <tp t="s">
        <v>#N/A N/A</v>
        <stp/>
        <stp>BDP|2946722960997985427</stp>
        <tr r="G1607" s="2"/>
      </tp>
      <tp t="s">
        <v>#N/A N/A</v>
        <stp/>
        <stp>BDP|6738347164332675110</stp>
        <tr r="Q554" s="2"/>
      </tp>
      <tp t="s">
        <v>#N/A N/A</v>
        <stp/>
        <stp>BDP|6740023193688701711</stp>
        <tr r="R140" s="2"/>
      </tp>
      <tp t="s">
        <v>#N/A N/A</v>
        <stp/>
        <stp>BDP|8169345446336047934</stp>
        <tr r="E452" s="2"/>
      </tp>
      <tp t="s">
        <v>#N/A N/A</v>
        <stp/>
        <stp>BDP|2308336830400057204</stp>
        <tr r="Q887" s="2"/>
      </tp>
      <tp t="s">
        <v>#N/A N/A</v>
        <stp/>
        <stp>BDP|5044501420393679162</stp>
        <tr r="E2149" s="2"/>
      </tp>
      <tp t="s">
        <v>#N/A N/A</v>
        <stp/>
        <stp>BDP|6343960671278423007</stp>
        <tr r="T982" s="2"/>
      </tp>
      <tp t="s">
        <v>#N/A N/A</v>
        <stp/>
        <stp>BDP|7892710049843675765</stp>
        <tr r="G1785" s="2"/>
      </tp>
      <tp t="s">
        <v>#N/A N/A</v>
        <stp/>
        <stp>BDP|9327946232602009151</stp>
        <tr r="E665" s="2"/>
      </tp>
      <tp t="s">
        <v>#N/A N/A</v>
        <stp/>
        <stp>BDP|3526525960773215352</stp>
        <tr r="H1017" s="2"/>
      </tp>
      <tp t="s">
        <v>#N/A N/A</v>
        <stp/>
        <stp>BDP|1022397202060838235</stp>
        <tr r="K1372" s="2"/>
      </tp>
      <tp t="s">
        <v>#N/A N/A</v>
        <stp/>
        <stp>BDP|8859990812094437475</stp>
        <tr r="Q259" s="2"/>
      </tp>
      <tp t="s">
        <v>#N/A N/A</v>
        <stp/>
        <stp>BDP|8835393292250368207</stp>
        <tr r="G577" s="2"/>
      </tp>
      <tp t="s">
        <v>#N/A N/A</v>
        <stp/>
        <stp>BDP|1492709770152125351</stp>
        <tr r="T1651" s="2"/>
      </tp>
      <tp t="s">
        <v>#N/A N/A</v>
        <stp/>
        <stp>BDP|4050873593654542116</stp>
        <tr r="G466" s="2"/>
      </tp>
      <tp t="s">
        <v>#N/A N/A</v>
        <stp/>
        <stp>BDP|4621292979641560032</stp>
        <tr r="K1862" s="2"/>
      </tp>
      <tp t="s">
        <v>#N/A N/A</v>
        <stp/>
        <stp>BDP|2061449910503383470</stp>
        <tr r="E1601" s="2"/>
      </tp>
      <tp t="s">
        <v>#N/A N/A</v>
        <stp/>
        <stp>BDP|9754675894297272160</stp>
        <tr r="A854" s="2"/>
      </tp>
      <tp t="s">
        <v>#N/A N/A</v>
        <stp/>
        <stp>BDP|6759515321525608410</stp>
        <tr r="E772" s="2"/>
      </tp>
      <tp t="s">
        <v>#N/A N/A</v>
        <stp/>
        <stp>BDP|5544683349077122050</stp>
        <tr r="K1597" s="2"/>
      </tp>
      <tp t="s">
        <v>#N/A N/A</v>
        <stp/>
        <stp>BDP|7908708536934757781</stp>
        <tr r="G806" s="2"/>
      </tp>
      <tp t="s">
        <v>#N/A N/A</v>
        <stp/>
        <stp>BDP|3183469583447707831</stp>
        <tr r="F1367" s="2"/>
      </tp>
      <tp t="s">
        <v>#N/A N/A</v>
        <stp/>
        <stp>BDP|4149353213194200252</stp>
        <tr r="O905" s="2"/>
      </tp>
      <tp t="s">
        <v>#N/A N/A</v>
        <stp/>
        <stp>BDP|4208400983238771061</stp>
        <tr r="M512" s="2"/>
      </tp>
      <tp t="s">
        <v>#N/A N/A</v>
        <stp/>
        <stp>BDP|6640119167040516158</stp>
        <tr r="N1569" s="2"/>
      </tp>
      <tp t="s">
        <v>#N/A N/A</v>
        <stp/>
        <stp>BDP|2535736486389935491</stp>
        <tr r="C2082" s="2"/>
      </tp>
      <tp t="s">
        <v>#N/A N/A</v>
        <stp/>
        <stp>BDP|7939816212707315997</stp>
        <tr r="M441" s="2"/>
      </tp>
      <tp t="s">
        <v>#N/A N/A</v>
        <stp/>
        <stp>BDP|8417636205599172731</stp>
        <tr r="K451" s="2"/>
      </tp>
      <tp t="s">
        <v>#N/A N/A</v>
        <stp/>
        <stp>BDP|8480787417696253898</stp>
        <tr r="T850" s="2"/>
      </tp>
      <tp t="s">
        <v>#N/A N/A</v>
        <stp/>
        <stp>BDS|8107744985574437345</stp>
        <tr r="I808" s="2"/>
      </tp>
      <tp t="s">
        <v>#N/A N/A</v>
        <stp/>
        <stp>BDP|8021926354127728313</stp>
        <tr r="H952" s="2"/>
      </tp>
      <tp t="s">
        <v>#N/A N/A</v>
        <stp/>
        <stp>BDP|8008714440788111305</stp>
        <tr r="J1556" s="2"/>
      </tp>
      <tp t="s">
        <v>#N/A N/A</v>
        <stp/>
        <stp>BDP|4700171885594611932</stp>
        <tr r="M151" s="2"/>
      </tp>
      <tp t="s">
        <v>#N/A N/A</v>
        <stp/>
        <stp>BDP|1990895635012536808</stp>
        <tr r="C902" s="2"/>
      </tp>
      <tp t="s">
        <v>#N/A N/A</v>
        <stp/>
        <stp>BDP|4562171544935509439</stp>
        <tr r="H2112" s="2"/>
      </tp>
      <tp t="s">
        <v>#N/A N/A</v>
        <stp/>
        <stp>BDP|5290434770097583142</stp>
        <tr r="P811" s="2"/>
      </tp>
      <tp t="s">
        <v>#N/A N/A</v>
        <stp/>
        <stp>BDP|4230458325935476763</stp>
        <tr r="E1245" s="2"/>
      </tp>
      <tp t="s">
        <v>#N/A N/A</v>
        <stp/>
        <stp>BDP|5623766648632931417</stp>
        <tr r="Q1939" s="2"/>
      </tp>
      <tp t="s">
        <v>#N/A N/A</v>
        <stp/>
        <stp>BDP|3510633624927086025</stp>
        <tr r="A1034" s="2"/>
      </tp>
      <tp t="s">
        <v>#N/A N/A</v>
        <stp/>
        <stp>BDP|1478153637134001763</stp>
        <tr r="H13" s="2"/>
      </tp>
      <tp t="s">
        <v>#N/A N/A</v>
        <stp/>
        <stp>BDP|7664892816378802611</stp>
        <tr r="R325" s="2"/>
      </tp>
      <tp t="s">
        <v>#N/A N/A</v>
        <stp/>
        <stp>BDP|2122770667845665665</stp>
        <tr r="K1786" s="2"/>
      </tp>
      <tp t="s">
        <v>#N/A N/A</v>
        <stp/>
        <stp>BDP|6523672023634680667</stp>
        <tr r="K1713" s="2"/>
      </tp>
      <tp t="s">
        <v>#N/A N/A</v>
        <stp/>
        <stp>BDP|7187771657024473147</stp>
        <tr r="K537" s="2"/>
      </tp>
      <tp t="s">
        <v>#N/A N/A</v>
        <stp/>
        <stp>BDP|3157452425364087105</stp>
        <tr r="F1207" s="2"/>
      </tp>
      <tp t="s">
        <v>#N/A N/A</v>
        <stp/>
        <stp>BDP|7418652607640056179</stp>
        <tr r="G642" s="2"/>
      </tp>
      <tp t="s">
        <v>#N/A N/A</v>
        <stp/>
        <stp>BDS|1325493901763884624</stp>
        <tr r="I2105" s="2"/>
      </tp>
      <tp t="s">
        <v>#N/A N/A</v>
        <stp/>
        <stp>BDP|4629692796858954314</stp>
        <tr r="Q994" s="2"/>
      </tp>
      <tp t="s">
        <v>#N/A N/A</v>
        <stp/>
        <stp>BDP|1574059660352606575</stp>
        <tr r="P1366" s="2"/>
      </tp>
      <tp t="s">
        <v>#N/A N/A</v>
        <stp/>
        <stp>BDP|5276360614564094313</stp>
        <tr r="T383" s="2"/>
      </tp>
      <tp t="s">
        <v>#N/A N/A</v>
        <stp/>
        <stp>BDP|9354182701038873038</stp>
        <tr r="H310" s="2"/>
      </tp>
      <tp t="s">
        <v>#N/A N/A</v>
        <stp/>
        <stp>BDP|5906028868404173733</stp>
        <tr r="H729" s="2"/>
      </tp>
      <tp t="s">
        <v>#N/A N/A</v>
        <stp/>
        <stp>BDP|3688551755790523327</stp>
        <tr r="Q670" s="2"/>
      </tp>
      <tp t="s">
        <v>#N/A N/A</v>
        <stp/>
        <stp>BDP|6573955687860255744</stp>
        <tr r="F2001" s="2"/>
      </tp>
      <tp t="s">
        <v>#N/A N/A</v>
        <stp/>
        <stp>BDP|7248778946525164134</stp>
        <tr r="K1843" s="2"/>
      </tp>
      <tp t="s">
        <v>#N/A N/A</v>
        <stp/>
        <stp>BDP|1316569337972032539</stp>
        <tr r="M1453" s="2"/>
      </tp>
      <tp t="s">
        <v>#N/A N/A</v>
        <stp/>
        <stp>BDP|3362551266523091310</stp>
        <tr r="R1105" s="2"/>
      </tp>
      <tp t="s">
        <v>#N/A N/A</v>
        <stp/>
        <stp>BDP|7017178052304679726</stp>
        <tr r="C631" s="2"/>
      </tp>
      <tp t="s">
        <v>#N/A N/A</v>
        <stp/>
        <stp>BDP|2807697610034150118</stp>
        <tr r="H2074" s="2"/>
      </tp>
      <tp t="s">
        <v>#N/A N/A</v>
        <stp/>
        <stp>BDP|3274221003076091725</stp>
        <tr r="T1618" s="2"/>
      </tp>
      <tp t="s">
        <v>#N/A N/A</v>
        <stp/>
        <stp>BDP|4257403099378973138</stp>
        <tr r="D1121" s="2"/>
      </tp>
      <tp t="s">
        <v>#N/A N/A</v>
        <stp/>
        <stp>BDP|8547023021822639816</stp>
        <tr r="T1257" s="2"/>
      </tp>
      <tp t="s">
        <v>#N/A N/A</v>
        <stp/>
        <stp>BDP|3407847080321798267</stp>
        <tr r="R1326" s="2"/>
      </tp>
      <tp t="s">
        <v>#N/A N/A</v>
        <stp/>
        <stp>BDP|1883015728492653166</stp>
        <tr r="K1514" s="2"/>
      </tp>
      <tp t="s">
        <v>#N/A N/A</v>
        <stp/>
        <stp>BDP|7483414021015058453</stp>
        <tr r="G401" s="2"/>
      </tp>
      <tp t="s">
        <v>#N/A N/A</v>
        <stp/>
        <stp>BDS|2771107564164488160</stp>
        <tr r="I697" s="2"/>
      </tp>
      <tp t="s">
        <v>#N/A N/A</v>
        <stp/>
        <stp>BDP|9669750076769184053</stp>
        <tr r="Q914" s="2"/>
      </tp>
      <tp t="s">
        <v>#N/A N/A</v>
        <stp/>
        <stp>BDP|7413258470415392739</stp>
        <tr r="K1478" s="2"/>
      </tp>
      <tp t="s">
        <v>#N/A N/A</v>
        <stp/>
        <stp>BDP|4085510023625712642</stp>
        <tr r="A1194" s="2"/>
      </tp>
      <tp t="s">
        <v>#N/A N/A</v>
        <stp/>
        <stp>BDP|5915092185375485805</stp>
        <tr r="A1573" s="2"/>
      </tp>
      <tp t="s">
        <v>#N/A N/A</v>
        <stp/>
        <stp>BDS|2285703753638717872</stp>
        <tr r="I2235" s="2"/>
      </tp>
      <tp t="s">
        <v>#N/A N/A</v>
        <stp/>
        <stp>BDP|1452591821282595482</stp>
        <tr r="G958" s="2"/>
      </tp>
      <tp t="s">
        <v>#N/A N/A</v>
        <stp/>
        <stp>BDP|5889416866890790792</stp>
        <tr r="E857" s="2"/>
      </tp>
      <tp t="s">
        <v>#N/A N/A</v>
        <stp/>
        <stp>BDP|2136109445367721027</stp>
        <tr r="E1289" s="2"/>
      </tp>
      <tp t="s">
        <v>#N/A N/A</v>
        <stp/>
        <stp>BDP|1241599462004015680</stp>
        <tr r="S1842" s="2"/>
      </tp>
      <tp t="s">
        <v>#N/A N/A</v>
        <stp/>
        <stp>BDP|1796145174851612609</stp>
        <tr r="Q648" s="2"/>
      </tp>
      <tp t="s">
        <v>#N/A N/A</v>
        <stp/>
        <stp>BDP|4625707388239694292</stp>
        <tr r="H43" s="2"/>
      </tp>
      <tp t="s">
        <v>#N/A N/A</v>
        <stp/>
        <stp>BDP|4842005722836824037</stp>
        <tr r="G78" s="2"/>
      </tp>
      <tp t="s">
        <v>#N/A N/A</v>
        <stp/>
        <stp>BDP|8763037762759723708</stp>
        <tr r="M825" s="2"/>
      </tp>
      <tp t="s">
        <v>#N/A N/A</v>
        <stp/>
        <stp>BDP|8888022085079977971</stp>
        <tr r="G1326" s="2"/>
      </tp>
      <tp t="s">
        <v>#N/A N/A</v>
        <stp/>
        <stp>BDP|4182516704912406318</stp>
        <tr r="G336" s="2"/>
      </tp>
      <tp t="s">
        <v>#N/A N/A</v>
        <stp/>
        <stp>BDP|4328205460894357415</stp>
        <tr r="J1375" s="2"/>
      </tp>
      <tp t="s">
        <v>#N/A N/A</v>
        <stp/>
        <stp>BDP|4221215616972213560</stp>
        <tr r="K1235" s="2"/>
      </tp>
      <tp t="s">
        <v>#N/A N/A</v>
        <stp/>
        <stp>BDP|1674452130817731150</stp>
        <tr r="S133" s="2"/>
      </tp>
      <tp t="s">
        <v>#N/A N/A</v>
        <stp/>
        <stp>BDP|6612746013944546454</stp>
        <tr r="H1463" s="2"/>
      </tp>
      <tp t="s">
        <v>#N/A N/A</v>
        <stp/>
        <stp>BDP|6352455008536620499</stp>
        <tr r="P1350" s="2"/>
      </tp>
      <tp t="s">
        <v>#N/A N/A</v>
        <stp/>
        <stp>BDS|1591751255763127050</stp>
        <tr r="I220" s="2"/>
      </tp>
      <tp t="s">
        <v>#N/A N/A</v>
        <stp/>
        <stp>BDP|4399397760534203595</stp>
        <tr r="C1950" s="2"/>
      </tp>
      <tp t="s">
        <v>#N/A N/A</v>
        <stp/>
        <stp>BDP|1786714005892727458</stp>
        <tr r="J1979" s="2"/>
      </tp>
      <tp t="s">
        <v>#N/A N/A</v>
        <stp/>
        <stp>BDP|1700353429964385493</stp>
        <tr r="O35" s="2"/>
      </tp>
      <tp t="s">
        <v>#N/A N/A</v>
        <stp/>
        <stp>BDP|8190041746234293802</stp>
        <tr r="J2059" s="2"/>
      </tp>
      <tp t="s">
        <v>#N/A N/A</v>
        <stp/>
        <stp>BDP|5379564824502320035</stp>
        <tr r="H1043" s="2"/>
      </tp>
      <tp t="s">
        <v>#N/A N/A</v>
        <stp/>
        <stp>BDP|8015561442568307165</stp>
        <tr r="P1898" s="2"/>
      </tp>
      <tp t="s">
        <v>#N/A N/A</v>
        <stp/>
        <stp>BDP|6091311112130182431</stp>
        <tr r="G857" s="2"/>
      </tp>
      <tp t="s">
        <v>#N/A N/A</v>
        <stp/>
        <stp>BDP|9574841369020049792</stp>
        <tr r="S1633" s="2"/>
      </tp>
      <tp t="s">
        <v>#N/A N/A</v>
        <stp/>
        <stp>BDP|6431533004091435263</stp>
        <tr r="R1689" s="2"/>
      </tp>
      <tp t="s">
        <v>#N/A N/A</v>
        <stp/>
        <stp>BDP|4306363417220788649</stp>
        <tr r="A432" s="2"/>
      </tp>
      <tp t="s">
        <v>#N/A N/A</v>
        <stp/>
        <stp>BDP|4437290329540009456</stp>
        <tr r="E1111" s="2"/>
      </tp>
      <tp t="s">
        <v>#N/A N/A</v>
        <stp/>
        <stp>BDP|4652102053730708030</stp>
        <tr r="G882" s="2"/>
      </tp>
      <tp t="s">
        <v>#N/A N/A</v>
        <stp/>
        <stp>BDP|2129001827121376146</stp>
        <tr r="C1368" s="2"/>
      </tp>
      <tp t="s">
        <v>#N/A N/A</v>
        <stp/>
        <stp>BDP|8063787587707748091</stp>
        <tr r="H2005" s="2"/>
      </tp>
      <tp t="s">
        <v>#N/A N/A</v>
        <stp/>
        <stp>BDP|8874607349879688363</stp>
        <tr r="E254" s="2"/>
      </tp>
      <tp t="s">
        <v>#N/A N/A</v>
        <stp/>
        <stp>BDP|1740174714779746821</stp>
        <tr r="A2185" s="2"/>
      </tp>
      <tp t="s">
        <v>#N/A N/A</v>
        <stp/>
        <stp>BDP|4104065647511225130</stp>
        <tr r="H2125" s="2"/>
      </tp>
      <tp t="s">
        <v>#N/A N/A</v>
        <stp/>
        <stp>BDP|1146478387359580455</stp>
        <tr r="J309" s="2"/>
      </tp>
      <tp t="s">
        <v>#N/A N/A</v>
        <stp/>
        <stp>BDP|5492971593402774769</stp>
        <tr r="M1140" s="2"/>
      </tp>
      <tp t="s">
        <v>#N/A N/A</v>
        <stp/>
        <stp>BDP|9310527598634828100</stp>
        <tr r="P2039" s="2"/>
      </tp>
      <tp t="s">
        <v>#N/A N/A</v>
        <stp/>
        <stp>BDP|2019533534324615002</stp>
        <tr r="R2216" s="2"/>
      </tp>
      <tp t="s">
        <v>#N/A N/A</v>
        <stp/>
        <stp>BDP|6805805465641501996</stp>
        <tr r="M1985" s="2"/>
      </tp>
      <tp t="s">
        <v>#N/A N/A</v>
        <stp/>
        <stp>BDP|3042522893086664965</stp>
        <tr r="E1339" s="2"/>
      </tp>
      <tp t="s">
        <v>#N/A N/A</v>
        <stp/>
        <stp>BDP|6449371798584806825</stp>
        <tr r="H618" s="2"/>
      </tp>
      <tp t="s">
        <v>#N/A N/A</v>
        <stp/>
        <stp>BDP|2329248611709112869</stp>
        <tr r="Q1497" s="2"/>
      </tp>
      <tp t="s">
        <v>#N/A N/A</v>
        <stp/>
        <stp>BDP|8969876470602737580</stp>
        <tr r="M1457" s="2"/>
      </tp>
      <tp t="s">
        <v>#N/A N/A</v>
        <stp/>
        <stp>BDP|2160774307347622267</stp>
        <tr r="A759" s="2"/>
      </tp>
      <tp t="s">
        <v>#N/A N/A</v>
        <stp/>
        <stp>BDP|8876979426917814402</stp>
        <tr r="R1716" s="2"/>
      </tp>
      <tp t="s">
        <v>#N/A N/A</v>
        <stp/>
        <stp>BDP|1237319125240750009</stp>
        <tr r="O556" s="2"/>
      </tp>
      <tp t="s">
        <v>#N/A N/A</v>
        <stp/>
        <stp>BDP|2086066239087924678</stp>
        <tr r="M884" s="2"/>
      </tp>
      <tp t="s">
        <v>#N/A N/A</v>
        <stp/>
        <stp>BDP|3414979086015582717</stp>
        <tr r="C1525" s="2"/>
      </tp>
      <tp t="s">
        <v>#N/A N/A</v>
        <stp/>
        <stp>BDP|6447788109231114058</stp>
        <tr r="M639" s="2"/>
      </tp>
      <tp t="s">
        <v>#N/A N/A</v>
        <stp/>
        <stp>BDP|1293467161601391276</stp>
        <tr r="K160" s="2"/>
      </tp>
      <tp t="s">
        <v>#N/A N/A</v>
        <stp/>
        <stp>BDP|5465214325972349728</stp>
        <tr r="E322" s="2"/>
      </tp>
      <tp t="s">
        <v>#N/A N/A</v>
        <stp/>
        <stp>BDP|3674400993346240867</stp>
        <tr r="J2202" s="2"/>
      </tp>
      <tp t="s">
        <v>#N/A N/A</v>
        <stp/>
        <stp>BDP|7020214600757336234</stp>
        <tr r="G1428" s="2"/>
      </tp>
      <tp t="s">
        <v>#N/A N/A</v>
        <stp/>
        <stp>BDP|1665981289128723812</stp>
        <tr r="C1971" s="2"/>
      </tp>
      <tp t="s">
        <v>#N/A N/A</v>
        <stp/>
        <stp>BDP|2270349050406256259</stp>
        <tr r="M29" s="2"/>
      </tp>
      <tp t="s">
        <v>#N/A N/A</v>
        <stp/>
        <stp>BDP|2953395263025404266</stp>
        <tr r="S1433" s="2"/>
      </tp>
      <tp t="s">
        <v>#N/A N/A</v>
        <stp/>
        <stp>BDP|7437816638364890849</stp>
        <tr r="T1332" s="2"/>
      </tp>
      <tp t="s">
        <v>#N/A N/A</v>
        <stp/>
        <stp>BDP|9203741088476727081</stp>
        <tr r="P1021" s="2"/>
      </tp>
      <tp t="s">
        <v>#N/A N/A</v>
        <stp/>
        <stp>BDP|2317550042720678337</stp>
        <tr r="M1656" s="2"/>
      </tp>
      <tp t="s">
        <v>#N/A N/A</v>
        <stp/>
        <stp>BDS|1739657925502568732</stp>
        <tr r="I1726" s="2"/>
      </tp>
      <tp t="s">
        <v>#N/A N/A</v>
        <stp/>
        <stp>BDP|6093799411951964176</stp>
        <tr r="T1979" s="2"/>
      </tp>
      <tp t="s">
        <v>#N/A N/A</v>
        <stp/>
        <stp>BDP|8530023546339720508</stp>
        <tr r="A758" s="2"/>
      </tp>
      <tp t="s">
        <v>#N/A N/A</v>
        <stp/>
        <stp>BDS|7364134153235521609</stp>
        <tr r="I1318" s="2"/>
      </tp>
      <tp t="s">
        <v>#N/A N/A</v>
        <stp/>
        <stp>BDS|7409501052960470744</stp>
        <tr r="I62" s="2"/>
      </tp>
      <tp t="s">
        <v>#N/A N/A</v>
        <stp/>
        <stp>BDP|1506658887038379724</stp>
        <tr r="A1991" s="2"/>
      </tp>
      <tp t="s">
        <v>#N/A N/A</v>
        <stp/>
        <stp>BDP|3472775432915081278</stp>
        <tr r="G1802" s="2"/>
      </tp>
      <tp t="s">
        <v>#N/A N/A</v>
        <stp/>
        <stp>BDP|8826543893990124481</stp>
        <tr r="D1102" s="2"/>
      </tp>
      <tp t="s">
        <v>#N/A N/A</v>
        <stp/>
        <stp>BDP|7913888275261769956</stp>
        <tr r="K889" s="2"/>
      </tp>
      <tp t="s">
        <v>#N/A N/A</v>
        <stp/>
        <stp>BDP|5430832182983220611</stp>
        <tr r="A1409" s="2"/>
      </tp>
      <tp t="s">
        <v>#N/A N/A</v>
        <stp/>
        <stp>BDP|2994744121334274383</stp>
        <tr r="H767" s="2"/>
      </tp>
      <tp t="s">
        <v>#N/A N/A</v>
        <stp/>
        <stp>BDP|3705807409369994217</stp>
        <tr r="T775" s="2"/>
      </tp>
      <tp t="s">
        <v>#N/A N/A</v>
        <stp/>
        <stp>BDS|5491064842222152373</stp>
        <tr r="I1427" s="2"/>
      </tp>
      <tp t="s">
        <v>#N/A N/A</v>
        <stp/>
        <stp>BDP|9006755869261838929</stp>
        <tr r="C2110" s="2"/>
      </tp>
      <tp t="s">
        <v>#N/A N/A</v>
        <stp/>
        <stp>BDP|9782015487206657717</stp>
        <tr r="A1566" s="2"/>
      </tp>
      <tp t="s">
        <v>#N/A N/A</v>
        <stp/>
        <stp>BDP|9937947059641371418</stp>
        <tr r="G473" s="2"/>
      </tp>
      <tp t="s">
        <v>#N/A N/A</v>
        <stp/>
        <stp>BDP|9536410380253583674</stp>
        <tr r="G136" s="2"/>
      </tp>
      <tp t="s">
        <v>#N/A N/A</v>
        <stp/>
        <stp>BDP|4427306936373734739</stp>
        <tr r="J595" s="2"/>
      </tp>
      <tp t="s">
        <v>#N/A N/A</v>
        <stp/>
        <stp>BDP|1265158816302723302</stp>
        <tr r="H1945" s="2"/>
      </tp>
      <tp t="s">
        <v>#N/A N/A</v>
        <stp/>
        <stp>BDP|2365447837980231547</stp>
        <tr r="G1211" s="2"/>
      </tp>
      <tp t="s">
        <v>#N/A N/A</v>
        <stp/>
        <stp>BDP|4710152957375588564</stp>
        <tr r="Q442" s="2"/>
      </tp>
      <tp t="s">
        <v>#N/A N/A</v>
        <stp/>
        <stp>BDP|3841482996926526851</stp>
        <tr r="D1557" s="2"/>
      </tp>
      <tp t="s">
        <v>#N/A N/A</v>
        <stp/>
        <stp>BDP|4139704611034320659</stp>
        <tr r="G891" s="2"/>
      </tp>
      <tp t="s">
        <v>#N/A N/A</v>
        <stp/>
        <stp>BDS|7855783223132398061</stp>
        <tr r="I1694" s="2"/>
      </tp>
      <tp t="s">
        <v>#N/A N/A</v>
        <stp/>
        <stp>BDP|9808882034967315516</stp>
        <tr r="N978" s="2"/>
      </tp>
      <tp t="s">
        <v>#N/A N/A</v>
        <stp/>
        <stp>BDP|3784107203335066725</stp>
        <tr r="A2074" s="2"/>
      </tp>
      <tp t="s">
        <v>#N/A N/A</v>
        <stp/>
        <stp>BDP|9828848129764517763</stp>
        <tr r="M274" s="2"/>
      </tp>
      <tp t="s">
        <v>#N/A N/A</v>
        <stp/>
        <stp>BDP|2769167329206751799</stp>
        <tr r="J158" s="2"/>
      </tp>
      <tp t="s">
        <v>#N/A N/A</v>
        <stp/>
        <stp>BDP|7350057254482391070</stp>
        <tr r="N476" s="2"/>
      </tp>
      <tp t="s">
        <v>#N/A N/A</v>
        <stp/>
        <stp>BDP|1618032070004689255</stp>
        <tr r="A1435" s="2"/>
      </tp>
      <tp t="s">
        <v>#N/A N/A</v>
        <stp/>
        <stp>BDS|9583461234568944685</stp>
        <tr r="I1623" s="2"/>
      </tp>
      <tp t="s">
        <v>#N/A N/A</v>
        <stp/>
        <stp>BDP|1604175536074298732</stp>
        <tr r="A1982" s="2"/>
      </tp>
      <tp t="s">
        <v>#N/A N/A</v>
        <stp/>
        <stp>BDP|2492760037757594166</stp>
        <tr r="G1688" s="2"/>
      </tp>
      <tp t="s">
        <v>#N/A N/A</v>
        <stp/>
        <stp>BDP|4613160252264519413</stp>
        <tr r="D186" s="2"/>
      </tp>
      <tp t="s">
        <v>#N/A N/A</v>
        <stp/>
        <stp>BDP|9092974213380091126</stp>
        <tr r="K882" s="2"/>
      </tp>
      <tp t="s">
        <v>#N/A N/A</v>
        <stp/>
        <stp>BDP|7994792461986422031</stp>
        <tr r="O1434" s="2"/>
      </tp>
      <tp t="s">
        <v>#N/A N/A</v>
        <stp/>
        <stp>BDP|4970792712221420305</stp>
        <tr r="E575" s="2"/>
      </tp>
      <tp t="s">
        <v>#N/A N/A</v>
        <stp/>
        <stp>BDP|2812754859243238304</stp>
        <tr r="H324" s="2"/>
      </tp>
      <tp t="s">
        <v>#N/A N/A</v>
        <stp/>
        <stp>BDP|8355950135352003056</stp>
        <tr r="C28" s="2"/>
      </tp>
      <tp t="s">
        <v>#N/A N/A</v>
        <stp/>
        <stp>BDP|7929134433184826175</stp>
        <tr r="Q1715" s="2"/>
      </tp>
      <tp t="s">
        <v>#N/A N/A</v>
        <stp/>
        <stp>BDP|9441126865438509606</stp>
        <tr r="Q811" s="2"/>
      </tp>
      <tp t="s">
        <v>#N/A N/A</v>
        <stp/>
        <stp>BDS|1893290067090935599</stp>
        <tr r="I1822" s="2"/>
      </tp>
      <tp t="s">
        <v>#N/A N/A</v>
        <stp/>
        <stp>BDP|3374204955407646363</stp>
        <tr r="H1830" s="2"/>
      </tp>
      <tp t="s">
        <v>#N/A N/A</v>
        <stp/>
        <stp>BDP|3542720222574043236</stp>
        <tr r="D307" s="2"/>
      </tp>
      <tp t="s">
        <v>#N/A N/A</v>
        <stp/>
        <stp>BDP|2405735450327306725</stp>
        <tr r="N1960" s="2"/>
      </tp>
      <tp t="s">
        <v>#N/A N/A</v>
        <stp/>
        <stp>BDP|8341395998471109356</stp>
        <tr r="G57" s="2"/>
      </tp>
      <tp t="s">
        <v>#N/A N/A</v>
        <stp/>
        <stp>BDP|7011207668153912075</stp>
        <tr r="H1848" s="2"/>
      </tp>
      <tp t="s">
        <v>#N/A N/A</v>
        <stp/>
        <stp>BDP|5772853103674788909</stp>
        <tr r="E1124" s="2"/>
      </tp>
      <tp t="s">
        <v>#N/A N/A</v>
        <stp/>
        <stp>BDP|9671224567408478513</stp>
        <tr r="O1674" s="2"/>
      </tp>
      <tp t="s">
        <v>#N/A N/A</v>
        <stp/>
        <stp>BDP|1679244423526342741</stp>
        <tr r="D671" s="2"/>
      </tp>
      <tp t="s">
        <v>#N/A N/A</v>
        <stp/>
        <stp>BDP|3934270945060443594</stp>
        <tr r="G1214" s="2"/>
      </tp>
      <tp t="s">
        <v>#N/A N/A</v>
        <stp/>
        <stp>BDS|5847313038716511320</stp>
        <tr r="I724" s="2"/>
      </tp>
      <tp t="s">
        <v>#N/A N/A</v>
        <stp/>
        <stp>BDP|5311371420730577472</stp>
        <tr r="M93" s="2"/>
      </tp>
      <tp t="s">
        <v>#N/A N/A</v>
        <stp/>
        <stp>BDP|2336914583031032276</stp>
        <tr r="A2162" s="2"/>
      </tp>
      <tp t="s">
        <v>#N/A N/A</v>
        <stp/>
        <stp>BDP|6869164338935507159</stp>
        <tr r="J24" s="2"/>
      </tp>
      <tp t="s">
        <v>#N/A N/A</v>
        <stp/>
        <stp>BDP|3566922488296963402</stp>
        <tr r="R1800" s="2"/>
      </tp>
      <tp t="s">
        <v>#N/A N/A</v>
        <stp/>
        <stp>BDP|6962718441617953268</stp>
        <tr r="D1399" s="2"/>
      </tp>
      <tp t="s">
        <v>#N/A N/A</v>
        <stp/>
        <stp>BDP|2771779160161031269</stp>
        <tr r="F1814" s="2"/>
      </tp>
      <tp t="s">
        <v>#N/A N/A</v>
        <stp/>
        <stp>BDP|9820795289561945773</stp>
        <tr r="M1108" s="2"/>
      </tp>
      <tp t="s">
        <v>#N/A N/A</v>
        <stp/>
        <stp>BDP|1239532257211464040</stp>
        <tr r="G1656" s="2"/>
      </tp>
      <tp t="s">
        <v>#N/A N/A</v>
        <stp/>
        <stp>BDS|6679837128955976928</stp>
        <tr r="I2177" s="2"/>
      </tp>
      <tp t="s">
        <v>#N/A N/A</v>
        <stp/>
        <stp>BDP|1850374311115877603</stp>
        <tr r="R550" s="2"/>
      </tp>
      <tp t="s">
        <v>#N/A N/A</v>
        <stp/>
        <stp>BDP|9572489590647995325</stp>
        <tr r="G1700" s="2"/>
      </tp>
      <tp t="s">
        <v>#N/A N/A</v>
        <stp/>
        <stp>BDP|1509842050499537521</stp>
        <tr r="F2159" s="2"/>
      </tp>
      <tp t="s">
        <v>#N/A N/A</v>
        <stp/>
        <stp>BDP|7300138604022655449</stp>
        <tr r="H1323" s="2"/>
      </tp>
      <tp t="s">
        <v>#N/A N/A</v>
        <stp/>
        <stp>BDP|1385508163524764617</stp>
        <tr r="T1847" s="2"/>
      </tp>
      <tp t="s">
        <v>#N/A N/A</v>
        <stp/>
        <stp>BDP|6140772897438524024</stp>
        <tr r="K800" s="2"/>
      </tp>
      <tp t="s">
        <v>#N/A N/A</v>
        <stp/>
        <stp>BDP|6838466669442075612</stp>
        <tr r="K612" s="2"/>
      </tp>
      <tp t="s">
        <v>#N/A N/A</v>
        <stp/>
        <stp>BDP|9673132831308244306</stp>
        <tr r="F1856" s="2"/>
      </tp>
      <tp t="s">
        <v>#N/A N/A</v>
        <stp/>
        <stp>BDP|8480150529352899966</stp>
        <tr r="Q1641" s="2"/>
      </tp>
      <tp t="s">
        <v>#N/A N/A</v>
        <stp/>
        <stp>BDP|2221911292693210150</stp>
        <tr r="J1326" s="2"/>
      </tp>
      <tp t="s">
        <v>#N/A N/A</v>
        <stp/>
        <stp>BDP|4038004949648661890</stp>
        <tr r="R1743" s="2"/>
      </tp>
      <tp t="s">
        <v>#N/A N/A</v>
        <stp/>
        <stp>BDP|9315025484903027238</stp>
        <tr r="H2144" s="2"/>
      </tp>
      <tp t="s">
        <v>#N/A N/A</v>
        <stp/>
        <stp>BDP|1235177200075267515</stp>
        <tr r="A813" s="2"/>
      </tp>
      <tp t="s">
        <v>#N/A N/A</v>
        <stp/>
        <stp>BDP|7251086267226916727</stp>
        <tr r="A1296" s="2"/>
      </tp>
      <tp t="s">
        <v>#N/A N/A</v>
        <stp/>
        <stp>BDP|3613119435633605229</stp>
        <tr r="R132" s="2"/>
      </tp>
      <tp t="s">
        <v>#N/A N/A</v>
        <stp/>
        <stp>BDP|3483259116745685579</stp>
        <tr r="P614" s="2"/>
      </tp>
      <tp t="s">
        <v>#N/A N/A</v>
        <stp/>
        <stp>BDP|7380777127542156048</stp>
        <tr r="R519" s="2"/>
      </tp>
      <tp t="s">
        <v>#N/A N/A</v>
        <stp/>
        <stp>BDP|1348647640433521042</stp>
        <tr r="H1478" s="2"/>
      </tp>
      <tp t="s">
        <v>#N/A N/A</v>
        <stp/>
        <stp>BDP|5938082673137030544</stp>
        <tr r="T530" s="2"/>
      </tp>
      <tp t="s">
        <v>#N/A N/A</v>
        <stp/>
        <stp>BDP|5742412791011560946</stp>
        <tr r="S714" s="2"/>
      </tp>
      <tp t="s">
        <v>#N/A N/A</v>
        <stp/>
        <stp>BDP|9614626906027469807</stp>
        <tr r="S1885" s="2"/>
      </tp>
      <tp t="s">
        <v>#N/A N/A</v>
        <stp/>
        <stp>BDP|1613936194935510429</stp>
        <tr r="S699" s="2"/>
      </tp>
      <tp t="s">
        <v>#N/A N/A</v>
        <stp/>
        <stp>BDP|3224374143666842282</stp>
        <tr r="E1082" s="2"/>
      </tp>
      <tp t="s">
        <v>#N/A N/A</v>
        <stp/>
        <stp>BDP|5920450150773207783</stp>
        <tr r="F294" s="2"/>
      </tp>
      <tp t="s">
        <v>#N/A N/A</v>
        <stp/>
        <stp>BDP|5346614556576556076</stp>
        <tr r="M1400" s="2"/>
      </tp>
      <tp t="s">
        <v>#N/A N/A</v>
        <stp/>
        <stp>BDP|1107472713386126225</stp>
        <tr r="R1173" s="2"/>
      </tp>
      <tp t="s">
        <v>#N/A N/A</v>
        <stp/>
        <stp>BDP|3957422689796551913</stp>
        <tr r="C184" s="2"/>
      </tp>
      <tp t="s">
        <v>#N/A N/A</v>
        <stp/>
        <stp>BDP|6473785820753257086</stp>
        <tr r="Q553" s="2"/>
      </tp>
      <tp t="s">
        <v>#N/A N/A</v>
        <stp/>
        <stp>BDP|7651117541464096616</stp>
        <tr r="T1884" s="2"/>
      </tp>
      <tp t="s">
        <v>#N/A N/A</v>
        <stp/>
        <stp>BDP|7349906979608555188</stp>
        <tr r="Q1424" s="2"/>
      </tp>
      <tp t="s">
        <v>#N/A N/A</v>
        <stp/>
        <stp>BDP|6492286198609792449</stp>
        <tr r="C1375" s="2"/>
      </tp>
      <tp t="s">
        <v>#N/A N/A</v>
        <stp/>
        <stp>BDP|6063444676762685735</stp>
        <tr r="H418" s="2"/>
      </tp>
      <tp t="s">
        <v>#N/A N/A</v>
        <stp/>
        <stp>BDP|9170907406032501258</stp>
        <tr r="E1437" s="2"/>
      </tp>
      <tp t="s">
        <v>#N/A N/A</v>
        <stp/>
        <stp>BDP|2570358995660710850</stp>
        <tr r="K2256" s="2"/>
      </tp>
      <tp t="s">
        <v>#N/A N/A</v>
        <stp/>
        <stp>BDP|1615728324093406731</stp>
        <tr r="F317" s="2"/>
      </tp>
      <tp t="s">
        <v>#N/A N/A</v>
        <stp/>
        <stp>BDS|8594567221416643936</stp>
        <tr r="I531" s="2"/>
      </tp>
      <tp t="s">
        <v>#N/A N/A</v>
        <stp/>
        <stp>BDP|1842329502016671491</stp>
        <tr r="C1418" s="2"/>
      </tp>
      <tp t="s">
        <v>#N/A N/A</v>
        <stp/>
        <stp>BDP|2075025030983062256</stp>
        <tr r="C1371" s="2"/>
      </tp>
      <tp t="s">
        <v>#N/A N/A</v>
        <stp/>
        <stp>BDP|3827497164038381917</stp>
        <tr r="H455" s="2"/>
      </tp>
      <tp t="s">
        <v>#N/A N/A</v>
        <stp/>
        <stp>BDP|1011781570546665799</stp>
        <tr r="F358" s="2"/>
      </tp>
      <tp t="s">
        <v>#N/A N/A</v>
        <stp/>
        <stp>BDP|1963208718415480728</stp>
        <tr r="E865" s="2"/>
      </tp>
      <tp t="s">
        <v>#N/A N/A</v>
        <stp/>
        <stp>BDP|1032356051960663750</stp>
        <tr r="M2175" s="2"/>
      </tp>
      <tp t="s">
        <v>#N/A N/A</v>
        <stp/>
        <stp>BDP|7797785449347030316</stp>
        <tr r="A1842" s="2"/>
      </tp>
      <tp t="s">
        <v>#N/A N/A</v>
        <stp/>
        <stp>BDP|1675754461485649539</stp>
        <tr r="P1260" s="2"/>
      </tp>
      <tp t="s">
        <v>#N/A N/A</v>
        <stp/>
        <stp>BDP|6347749352210165433</stp>
        <tr r="D926" s="2"/>
      </tp>
      <tp t="s">
        <v>#N/A N/A</v>
        <stp/>
        <stp>BDP|7235425454445485370</stp>
        <tr r="O1404" s="2"/>
      </tp>
      <tp t="s">
        <v>#N/A N/A</v>
        <stp/>
        <stp>BDP|3166201377351082716</stp>
        <tr r="M1067" s="2"/>
      </tp>
      <tp t="s">
        <v>#N/A N/A</v>
        <stp/>
        <stp>BDP|2117469630182654766</stp>
        <tr r="S994" s="2"/>
      </tp>
      <tp t="s">
        <v>#N/A N/A</v>
        <stp/>
        <stp>BDP|5849980701474784812</stp>
        <tr r="R1428" s="2"/>
      </tp>
      <tp t="s">
        <v>#N/A N/A</v>
        <stp/>
        <stp>BDP|2057256442981514551</stp>
        <tr r="G1458" s="2"/>
      </tp>
      <tp t="s">
        <v>#N/A N/A</v>
        <stp/>
        <stp>BDP|4682708161781081405</stp>
        <tr r="G417" s="2"/>
      </tp>
      <tp t="s">
        <v>#N/A N/A</v>
        <stp/>
        <stp>BDP|6746626465884510221</stp>
        <tr r="P1264" s="2"/>
      </tp>
      <tp t="s">
        <v>#N/A N/A</v>
        <stp/>
        <stp>BDP|6045203666591291331</stp>
        <tr r="N780" s="2"/>
      </tp>
      <tp t="s">
        <v>#N/A N/A</v>
        <stp/>
        <stp>BDP|3893882085621265206</stp>
        <tr r="O2232" s="2"/>
      </tp>
      <tp t="s">
        <v>#N/A N/A</v>
        <stp/>
        <stp>BDP|1098154002155738572</stp>
        <tr r="E1362" s="2"/>
      </tp>
      <tp t="s">
        <v>#N/A N/A</v>
        <stp/>
        <stp>BDP|1363501109017992343</stp>
        <tr r="F1986" s="2"/>
      </tp>
      <tp t="s">
        <v>#N/A N/A</v>
        <stp/>
        <stp>BDS|7107466772170196430</stp>
        <tr r="I244" s="2"/>
      </tp>
      <tp t="s">
        <v>#N/A N/A</v>
        <stp/>
        <stp>BDP|5308428312951353179</stp>
        <tr r="O2124" s="2"/>
      </tp>
      <tp t="s">
        <v>#N/A N/A</v>
        <stp/>
        <stp>BDP|1209221312476105448</stp>
        <tr r="R942" s="2"/>
      </tp>
      <tp t="s">
        <v>#N/A N/A</v>
        <stp/>
        <stp>BDP|5059502842013299773</stp>
        <tr r="N969" s="2"/>
      </tp>
      <tp t="s">
        <v>#N/A N/A</v>
        <stp/>
        <stp>BDP|4313221967584419459</stp>
        <tr r="P1175" s="2"/>
      </tp>
      <tp t="s">
        <v>#N/A N/A</v>
        <stp/>
        <stp>BDP|1510648467163556241</stp>
        <tr r="H1625" s="2"/>
      </tp>
      <tp t="s">
        <v>#N/A N/A</v>
        <stp/>
        <stp>BDP|1514145027866446454</stp>
        <tr r="T93" s="2"/>
      </tp>
      <tp t="s">
        <v>#N/A N/A</v>
        <stp/>
        <stp>BDP|2000627581839605523</stp>
        <tr r="E620" s="2"/>
      </tp>
      <tp t="s">
        <v>#N/A N/A</v>
        <stp/>
        <stp>BDP|5106045354066208649</stp>
        <tr r="O1022" s="2"/>
      </tp>
      <tp t="s">
        <v>#N/A N/A</v>
        <stp/>
        <stp>BDP|8333905728194496782</stp>
        <tr r="T1806" s="2"/>
      </tp>
      <tp t="s">
        <v>#N/A N/A</v>
        <stp/>
        <stp>BDP|4383812002658102463</stp>
        <tr r="P1991" s="2"/>
      </tp>
      <tp t="s">
        <v>#N/A N/A</v>
        <stp/>
        <stp>BDP|6007717015655577569</stp>
        <tr r="J964" s="2"/>
      </tp>
      <tp t="s">
        <v>#N/A N/A</v>
        <stp/>
        <stp>BDP|6601531216864335675</stp>
        <tr r="P1865" s="2"/>
      </tp>
      <tp t="s">
        <v>#N/A N/A</v>
        <stp/>
        <stp>BDP|6787448747727393101</stp>
        <tr r="N536" s="2"/>
      </tp>
      <tp t="s">
        <v>#N/A N/A</v>
        <stp/>
        <stp>BDP|1409154109777941768</stp>
        <tr r="A43" s="2"/>
      </tp>
      <tp t="s">
        <v>#N/A N/A</v>
        <stp/>
        <stp>BDP|1835064607990634182</stp>
        <tr r="M1262" s="2"/>
      </tp>
      <tp t="s">
        <v>#N/A N/A</v>
        <stp/>
        <stp>BDP|4518742748974656380</stp>
        <tr r="T1812" s="2"/>
      </tp>
      <tp t="s">
        <v>#N/A N/A</v>
        <stp/>
        <stp>BDP|4289534032612263063</stp>
        <tr r="R1583" s="2"/>
      </tp>
      <tp t="s">
        <v>#N/A N/A</v>
        <stp/>
        <stp>BDP|4095833539497421892</stp>
        <tr r="M187" s="2"/>
      </tp>
      <tp t="s">
        <v>#N/A N/A</v>
        <stp/>
        <stp>BDP|2753623428844979237</stp>
        <tr r="P3" s="2"/>
      </tp>
      <tp t="s">
        <v>#N/A N/A</v>
        <stp/>
        <stp>BDP|3682740955238833987</stp>
        <tr r="O67" s="2"/>
      </tp>
      <tp t="s">
        <v>#N/A N/A</v>
        <stp/>
        <stp>BDP|4667232079917896635</stp>
        <tr r="A2015" s="2"/>
      </tp>
      <tp t="s">
        <v>#N/A N/A</v>
        <stp/>
        <stp>BDP|8188038723718770211</stp>
        <tr r="E1754" s="2"/>
      </tp>
      <tp t="s">
        <v>#N/A N/A</v>
        <stp/>
        <stp>BDP|1162013700796174764</stp>
        <tr r="K1697" s="2"/>
      </tp>
      <tp t="s">
        <v>#N/A N/A</v>
        <stp/>
        <stp>BDP|2666425908436915027</stp>
        <tr r="K1616" s="2"/>
      </tp>
      <tp t="s">
        <v>#N/A N/A</v>
        <stp/>
        <stp>BDP|9983329097794803737</stp>
        <tr r="M1765" s="2"/>
      </tp>
      <tp t="s">
        <v>#N/A N/A</v>
        <stp/>
        <stp>BDP|8422514936748395679</stp>
        <tr r="A770" s="2"/>
      </tp>
      <tp t="s">
        <v>#N/A N/A</v>
        <stp/>
        <stp>BDP|6632715591051536945</stp>
        <tr r="O986" s="2"/>
      </tp>
      <tp t="s">
        <v>#N/A N/A</v>
        <stp/>
        <stp>BDP|9627093592076975636</stp>
        <tr r="C361" s="2"/>
      </tp>
      <tp t="s">
        <v>#N/A N/A</v>
        <stp/>
        <stp>BDP|6009501758263959566</stp>
        <tr r="G1541" s="2"/>
      </tp>
      <tp t="s">
        <v>#N/A N/A</v>
        <stp/>
        <stp>BDS|9908827417800981024</stp>
        <tr r="I664" s="2"/>
      </tp>
      <tp t="s">
        <v>#N/A N/A</v>
        <stp/>
        <stp>BDP|7938650699760021826</stp>
        <tr r="J1930" s="2"/>
      </tp>
      <tp t="s">
        <v>#N/A N/A</v>
        <stp/>
        <stp>BDP|2054960380396744562</stp>
        <tr r="K1604" s="2"/>
      </tp>
      <tp t="s">
        <v>#N/A N/A</v>
        <stp/>
        <stp>BDP|4444275322461046562</stp>
        <tr r="Q16" s="2"/>
      </tp>
      <tp t="s">
        <v>#N/A N/A</v>
        <stp/>
        <stp>BDP|6023442324702650211</stp>
        <tr r="P2080" s="2"/>
      </tp>
      <tp t="s">
        <v>#N/A N/A</v>
        <stp/>
        <stp>BDP|2050038247260595665</stp>
        <tr r="J858" s="2"/>
      </tp>
      <tp t="s">
        <v>#N/A N/A</v>
        <stp/>
        <stp>BDP|4869122054634928403</stp>
        <tr r="S1597" s="2"/>
      </tp>
      <tp t="s">
        <v>#N/A N/A</v>
        <stp/>
        <stp>BDP|7238917021125706926</stp>
        <tr r="N744" s="2"/>
      </tp>
      <tp t="s">
        <v>#N/A N/A</v>
        <stp/>
        <stp>BDP|4184328805744665372</stp>
        <tr r="Q1400" s="2"/>
      </tp>
      <tp t="s">
        <v>#N/A N/A</v>
        <stp/>
        <stp>BDP|4615296908635472345</stp>
        <tr r="A2223" s="2"/>
      </tp>
      <tp t="s">
        <v>#N/A N/A</v>
        <stp/>
        <stp>BDP|8704987954812885644</stp>
        <tr r="F1010" s="2"/>
      </tp>
      <tp t="s">
        <v>#N/A N/A</v>
        <stp/>
        <stp>BDP|5454403312547299739</stp>
        <tr r="D435" s="2"/>
      </tp>
      <tp t="s">
        <v>#N/A N/A</v>
        <stp/>
        <stp>BDS|4412371165101516041</stp>
        <tr r="I40" s="2"/>
      </tp>
      <tp t="s">
        <v>#N/A N/A</v>
        <stp/>
        <stp>BDP|8576565125626449952</stp>
        <tr r="A1516" s="2"/>
      </tp>
      <tp t="s">
        <v>#N/A N/A</v>
        <stp/>
        <stp>BDP|1596722014137198051</stp>
        <tr r="S1110" s="2"/>
      </tp>
      <tp t="s">
        <v>#N/A N/A</v>
        <stp/>
        <stp>BDP|6535164997446305801</stp>
        <tr r="A1288" s="2"/>
      </tp>
      <tp t="s">
        <v>#N/A N/A</v>
        <stp/>
        <stp>BDP|2772218376522409538</stp>
        <tr r="P2206" s="2"/>
      </tp>
      <tp t="s">
        <v>#N/A N/A</v>
        <stp/>
        <stp>BDP|9728263148149737691</stp>
        <tr r="O520" s="2"/>
      </tp>
      <tp t="s">
        <v>#N/A N/A</v>
        <stp/>
        <stp>BDP|6078611517506206731</stp>
        <tr r="R1276" s="2"/>
      </tp>
      <tp t="s">
        <v>#N/A N/A</v>
        <stp/>
        <stp>BDP|9155603452039264365</stp>
        <tr r="D1966" s="2"/>
      </tp>
      <tp t="s">
        <v>#N/A N/A</v>
        <stp/>
        <stp>BDP|9727020147074607937</stp>
        <tr r="S82" s="2"/>
      </tp>
      <tp t="s">
        <v>#N/A N/A</v>
        <stp/>
        <stp>BDP|6402459946050249629</stp>
        <tr r="R2086" s="2"/>
      </tp>
      <tp t="s">
        <v>#N/A N/A</v>
        <stp/>
        <stp>BDP|2939142348381710657</stp>
        <tr r="S1092" s="2"/>
      </tp>
      <tp t="s">
        <v>#N/A N/A</v>
        <stp/>
        <stp>BDP|1730447268532922157</stp>
        <tr r="S418" s="2"/>
      </tp>
      <tp t="s">
        <v>#N/A N/A</v>
        <stp/>
        <stp>BDP|6560861861378471017</stp>
        <tr r="O1338" s="2"/>
      </tp>
      <tp t="s">
        <v>#N/A N/A</v>
        <stp/>
        <stp>BDP|6592070757790119338</stp>
        <tr r="K2171" s="2"/>
      </tp>
      <tp t="s">
        <v>#N/A N/A</v>
        <stp/>
        <stp>BDP|6663871611609230655</stp>
        <tr r="F2046" s="2"/>
      </tp>
      <tp t="s">
        <v>#N/A N/A</v>
        <stp/>
        <stp>BDP|4123684742366533091</stp>
        <tr r="T1248" s="2"/>
      </tp>
      <tp t="s">
        <v>#N/A N/A</v>
        <stp/>
        <stp>BDP|6727246410174476105</stp>
        <tr r="R1866" s="2"/>
      </tp>
      <tp t="s">
        <v>#N/A N/A</v>
        <stp/>
        <stp>BDP|6495216752942835382</stp>
        <tr r="Q813" s="2"/>
      </tp>
      <tp t="s">
        <v>#N/A N/A</v>
        <stp/>
        <stp>BDP|1790715641082582053</stp>
        <tr r="N1275" s="2"/>
      </tp>
      <tp t="s">
        <v>#N/A N/A</v>
        <stp/>
        <stp>BDP|2550864984551672364</stp>
        <tr r="A1098" s="2"/>
      </tp>
      <tp t="s">
        <v>#N/A N/A</v>
        <stp/>
        <stp>BDP|8864393073028078455</stp>
        <tr r="A1792" s="2"/>
      </tp>
      <tp t="s">
        <v>#N/A N/A</v>
        <stp/>
        <stp>BDS|6276850825078661435</stp>
        <tr r="I304" s="2"/>
      </tp>
      <tp t="s">
        <v>#N/A N/A</v>
        <stp/>
        <stp>BDP|2153741570290165237</stp>
        <tr r="M1912" s="2"/>
      </tp>
      <tp t="s">
        <v>#N/A N/A</v>
        <stp/>
        <stp>BDP|3379036563155463001</stp>
        <tr r="D721" s="2"/>
      </tp>
      <tp t="s">
        <v>#N/A N/A</v>
        <stp/>
        <stp>BDS|6875277345086919644</stp>
        <tr r="I641" s="2"/>
      </tp>
      <tp t="s">
        <v>#N/A N/A</v>
        <stp/>
        <stp>BDP|7566332823182465465</stp>
        <tr r="J862" s="2"/>
      </tp>
      <tp t="s">
        <v>#N/A N/A</v>
        <stp/>
        <stp>BDP|8457888899828222101</stp>
        <tr r="A456" s="2"/>
      </tp>
      <tp t="s">
        <v>#N/A N/A</v>
        <stp/>
        <stp>BDP|5198669226118323955</stp>
        <tr r="Q2211" s="2"/>
      </tp>
      <tp t="s">
        <v>#N/A N/A</v>
        <stp/>
        <stp>BDP|7645250603823288652</stp>
        <tr r="J621" s="2"/>
      </tp>
      <tp t="s">
        <v>#N/A N/A</v>
        <stp/>
        <stp>BDP|4097973576102588835</stp>
        <tr r="N1927" s="2"/>
      </tp>
      <tp t="s">
        <v>#N/A N/A</v>
        <stp/>
        <stp>BDP|6323404574947689261</stp>
        <tr r="Q755" s="2"/>
      </tp>
      <tp t="s">
        <v>#N/A N/A</v>
        <stp/>
        <stp>BDP|5960761509850704256</stp>
        <tr r="R2053" s="2"/>
      </tp>
      <tp t="s">
        <v>#N/A N/A</v>
        <stp/>
        <stp>BDP|8014488004119091588</stp>
        <tr r="F1221" s="2"/>
      </tp>
      <tp t="s">
        <v>#N/A N/A</v>
        <stp/>
        <stp>BDP|5853539853364528194</stp>
        <tr r="P1125" s="2"/>
      </tp>
      <tp t="s">
        <v>#N/A N/A</v>
        <stp/>
        <stp>BDP|4328105074092096037</stp>
        <tr r="J2050" s="2"/>
      </tp>
      <tp t="s">
        <v>#N/A N/A</v>
        <stp/>
        <stp>BDP|4849085103341791502</stp>
        <tr r="O2254" s="2"/>
      </tp>
      <tp t="s">
        <v>#N/A N/A</v>
        <stp/>
        <stp>BDP|5778616437239384962</stp>
        <tr r="M2165" s="2"/>
      </tp>
      <tp t="s">
        <v>#N/A N/A</v>
        <stp/>
        <stp>BDP|9809637297853045582</stp>
        <tr r="Q527" s="2"/>
      </tp>
      <tp t="s">
        <v>#N/A N/A</v>
        <stp/>
        <stp>BDP|2288059805903215141</stp>
        <tr r="Q1689" s="2"/>
      </tp>
      <tp t="s">
        <v>#N/A N/A</v>
        <stp/>
        <stp>BDP|7557097036697888364</stp>
        <tr r="F1840" s="2"/>
      </tp>
      <tp t="s">
        <v>#N/A N/A</v>
        <stp/>
        <stp>BDP|8815022398419167879</stp>
        <tr r="J705" s="2"/>
      </tp>
      <tp t="s">
        <v>#N/A N/A</v>
        <stp/>
        <stp>BDP|6396030806141234703</stp>
        <tr r="J723" s="2"/>
      </tp>
      <tp t="s">
        <v>#N/A N/A</v>
        <stp/>
        <stp>BDP|2241716916433594747</stp>
        <tr r="R703" s="2"/>
      </tp>
      <tp t="s">
        <v>#N/A N/A</v>
        <stp/>
        <stp>BDP|6725254617896772361</stp>
        <tr r="T1073" s="2"/>
      </tp>
      <tp t="s">
        <v>#N/A N/A</v>
        <stp/>
        <stp>BDP|9683063894822318239</stp>
        <tr r="F30" s="2"/>
      </tp>
      <tp t="s">
        <v>#N/A N/A</v>
        <stp/>
        <stp>BDP|6450206315174019158</stp>
        <tr r="O2211" s="2"/>
      </tp>
      <tp t="s">
        <v>#N/A N/A</v>
        <stp/>
        <stp>BDP|3771541890018486735</stp>
        <tr r="E653" s="2"/>
      </tp>
      <tp t="s">
        <v>#N/A N/A</v>
        <stp/>
        <stp>BDP|4009694126251394184</stp>
        <tr r="D1205" s="2"/>
      </tp>
      <tp t="s">
        <v>#N/A N/A</v>
        <stp/>
        <stp>BDP|8283858305039387952</stp>
        <tr r="P1446" s="2"/>
      </tp>
      <tp t="s">
        <v>#N/A N/A</v>
        <stp/>
        <stp>BDP|6005648213262004330</stp>
        <tr r="S1442" s="2"/>
      </tp>
      <tp t="s">
        <v>#N/A N/A</v>
        <stp/>
        <stp>BDP|6898646637095717684</stp>
        <tr r="J591" s="2"/>
      </tp>
      <tp t="s">
        <v>#N/A N/A</v>
        <stp/>
        <stp>BDP|2417668349505780589</stp>
        <tr r="P2242" s="2"/>
      </tp>
      <tp t="s">
        <v>#N/A N/A</v>
        <stp/>
        <stp>BDP|1373157235422192160</stp>
        <tr r="A591" s="2"/>
      </tp>
      <tp t="s">
        <v>#N/A N/A</v>
        <stp/>
        <stp>BDP|4912583703916775711</stp>
        <tr r="P388" s="2"/>
      </tp>
      <tp t="s">
        <v>#N/A N/A</v>
        <stp/>
        <stp>BDP|5604138234255628235</stp>
        <tr r="H1422" s="2"/>
      </tp>
      <tp t="s">
        <v>#N/A N/A</v>
        <stp/>
        <stp>BDP|1975199575572847593</stp>
        <tr r="T240" s="2"/>
      </tp>
      <tp t="s">
        <v>#N/A N/A</v>
        <stp/>
        <stp>BDP|7653159685349070724</stp>
        <tr r="F1380" s="2"/>
      </tp>
      <tp t="s">
        <v>#N/A N/A</v>
        <stp/>
        <stp>BDP|6011720767550081710</stp>
        <tr r="H1957" s="2"/>
      </tp>
      <tp t="s">
        <v>#N/A N/A</v>
        <stp/>
        <stp>BDP|6762384924915866271</stp>
        <tr r="J557" s="2"/>
      </tp>
      <tp t="s">
        <v>#N/A N/A</v>
        <stp/>
        <stp>BDP|7237294699044788813</stp>
        <tr r="E292" s="2"/>
      </tp>
      <tp t="s">
        <v>#N/A N/A</v>
        <stp/>
        <stp>BDP|7950740071967038083</stp>
        <tr r="C84" s="2"/>
      </tp>
      <tp t="s">
        <v>#N/A N/A</v>
        <stp/>
        <stp>BDP|2937158918337035507</stp>
        <tr r="N114" s="2"/>
      </tp>
      <tp t="s">
        <v>#N/A N/A</v>
        <stp/>
        <stp>BDP|3973777920816233087</stp>
        <tr r="M396" s="2"/>
      </tp>
      <tp t="s">
        <v>#N/A N/A</v>
        <stp/>
        <stp>BDP|2607353224697186421</stp>
        <tr r="J617" s="2"/>
      </tp>
      <tp t="s">
        <v>#N/A N/A</v>
        <stp/>
        <stp>BDP|5694066400733317676</stp>
        <tr r="Q1211" s="2"/>
      </tp>
      <tp t="s">
        <v>#N/A N/A</v>
        <stp/>
        <stp>BDP|1133294585919931202</stp>
        <tr r="C2255" s="2"/>
      </tp>
      <tp t="s">
        <v>#N/A N/A</v>
        <stp/>
        <stp>BDP|5554486728024587744</stp>
        <tr r="F1402" s="2"/>
      </tp>
      <tp t="s">
        <v>#N/A N/A</v>
        <stp/>
        <stp>BDP|7198074899836885832</stp>
        <tr r="A778" s="2"/>
      </tp>
      <tp t="s">
        <v>#N/A N/A</v>
        <stp/>
        <stp>BDP|2034670277886113555</stp>
        <tr r="C1219" s="2"/>
      </tp>
      <tp t="s">
        <v>#N/A N/A</v>
        <stp/>
        <stp>BDP|3903491216455522379</stp>
        <tr r="T1271" s="2"/>
      </tp>
      <tp t="s">
        <v>#N/A N/A</v>
        <stp/>
        <stp>BDP|7105257578603062189</stp>
        <tr r="O2098" s="2"/>
      </tp>
      <tp t="s">
        <v>#N/A N/A</v>
        <stp/>
        <stp>BDP|4608564023952554126</stp>
        <tr r="M301" s="2"/>
      </tp>
      <tp t="s">
        <v>#N/A N/A</v>
        <stp/>
        <stp>BDP|2048443126171194571</stp>
        <tr r="R741" s="2"/>
      </tp>
      <tp t="s">
        <v>#N/A N/A</v>
        <stp/>
        <stp>BDP|5927032948410734119</stp>
        <tr r="H2087" s="2"/>
      </tp>
      <tp t="s">
        <v>#N/A N/A</v>
        <stp/>
        <stp>BDP|3627987785534714680</stp>
        <tr r="M288" s="2"/>
      </tp>
      <tp t="s">
        <v>#N/A N/A</v>
        <stp/>
        <stp>BDP|9263210728388830177</stp>
        <tr r="S408" s="2"/>
      </tp>
      <tp t="s">
        <v>#N/A N/A</v>
        <stp/>
        <stp>BDP|3660193536222902347</stp>
        <tr r="P1416" s="2"/>
      </tp>
      <tp t="s">
        <v>#N/A N/A</v>
        <stp/>
        <stp>BDP|1077963561108735646</stp>
        <tr r="O1740" s="2"/>
      </tp>
      <tp t="s">
        <v>#N/A N/A</v>
        <stp/>
        <stp>BDP|3913516236666310390</stp>
        <tr r="P1837" s="2"/>
      </tp>
      <tp t="s">
        <v>#N/A N/A</v>
        <stp/>
        <stp>BDP|7232537681732675824</stp>
        <tr r="M811" s="2"/>
      </tp>
      <tp t="s">
        <v>#N/A N/A</v>
        <stp/>
        <stp>BDP|2493538431246309213</stp>
        <tr r="P1643" s="2"/>
      </tp>
      <tp t="s">
        <v>#N/A N/A</v>
        <stp/>
        <stp>BDP|5128521590658273152</stp>
        <tr r="C318" s="2"/>
      </tp>
      <tp t="s">
        <v>#N/A N/A</v>
        <stp/>
        <stp>BDP|6046154005552400506</stp>
        <tr r="Q999" s="2"/>
      </tp>
      <tp t="s">
        <v>#N/A N/A</v>
        <stp/>
        <stp>BDP|7210252405574760113</stp>
        <tr r="M947" s="2"/>
      </tp>
      <tp t="s">
        <v>#N/A N/A</v>
        <stp/>
        <stp>BDP|3836312279295530213</stp>
        <tr r="Q561" s="2"/>
      </tp>
      <tp t="s">
        <v>#N/A N/A</v>
        <stp/>
        <stp>BDP|6231274556639479835</stp>
        <tr r="H1747" s="2"/>
      </tp>
      <tp t="s">
        <v>#N/A N/A</v>
        <stp/>
        <stp>BDP|4965293115885863298</stp>
        <tr r="R633" s="2"/>
      </tp>
      <tp t="s">
        <v>#N/A N/A</v>
        <stp/>
        <stp>BDP|6718669371950177755</stp>
        <tr r="M360" s="2"/>
      </tp>
      <tp t="s">
        <v>#N/A N/A</v>
        <stp/>
        <stp>BDP|4358960992443511762</stp>
        <tr r="G1909" s="2"/>
      </tp>
      <tp t="s">
        <v>#N/A N/A</v>
        <stp/>
        <stp>BDP|8714172094636161611</stp>
        <tr r="Q795" s="2"/>
      </tp>
      <tp t="s">
        <v>#N/A N/A</v>
        <stp/>
        <stp>BDP|8974001327738342297</stp>
        <tr r="G845" s="2"/>
      </tp>
      <tp t="s">
        <v>#N/A N/A</v>
        <stp/>
        <stp>BDS|3619123933474370500</stp>
        <tr r="I994" s="2"/>
      </tp>
      <tp t="s">
        <v>#N/A N/A</v>
        <stp/>
        <stp>BDP|2653813532661421850</stp>
        <tr r="C1556" s="2"/>
      </tp>
      <tp t="s">
        <v>#N/A N/A</v>
        <stp/>
        <stp>BDP|6162661960697113122</stp>
        <tr r="G823" s="2"/>
      </tp>
      <tp t="s">
        <v>#N/A N/A</v>
        <stp/>
        <stp>BDP|4462437275162465524</stp>
        <tr r="R2012" s="2"/>
      </tp>
      <tp t="s">
        <v>#N/A N/A</v>
        <stp/>
        <stp>BDP|6460213178347069492</stp>
        <tr r="S1043" s="2"/>
      </tp>
      <tp t="s">
        <v>#N/A N/A</v>
        <stp/>
        <stp>BDP|5331372611805241238</stp>
        <tr r="T1050" s="2"/>
      </tp>
      <tp t="s">
        <v>#N/A N/A</v>
        <stp/>
        <stp>BDP|8540342767144063924</stp>
        <tr r="O1581" s="2"/>
      </tp>
      <tp t="s">
        <v>#N/A N/A</v>
        <stp/>
        <stp>BDP|7240367514686463306</stp>
        <tr r="P14" s="2"/>
      </tp>
      <tp t="s">
        <v>#N/A N/A</v>
        <stp/>
        <stp>BDP|3442134765985758118</stp>
        <tr r="A179" s="2"/>
      </tp>
      <tp t="s">
        <v>#N/A N/A</v>
        <stp/>
        <stp>BDP|6248672430097444456</stp>
        <tr r="R1969" s="2"/>
      </tp>
      <tp t="s">
        <v>#N/A N/A</v>
        <stp/>
        <stp>BDS|5915303572411673096</stp>
        <tr r="I1953" s="2"/>
      </tp>
      <tp t="s">
        <v>#N/A N/A</v>
        <stp/>
        <stp>BDP|9946442272119218392</stp>
        <tr r="H205" s="2"/>
      </tp>
      <tp t="s">
        <v>#N/A N/A</v>
        <stp/>
        <stp>BDP|3753587206796421093</stp>
        <tr r="A333" s="2"/>
      </tp>
      <tp t="s">
        <v>#N/A N/A</v>
        <stp/>
        <stp>BDP|2433037143010148614</stp>
        <tr r="M225" s="2"/>
      </tp>
      <tp t="s">
        <v>#N/A N/A</v>
        <stp/>
        <stp>BDP|2536642366526663455</stp>
        <tr r="O823" s="2"/>
      </tp>
      <tp t="s">
        <v>#N/A N/A</v>
        <stp/>
        <stp>BDP|9337372225528700023</stp>
        <tr r="S890" s="2"/>
      </tp>
      <tp t="s">
        <v>#N/A N/A</v>
        <stp/>
        <stp>BDP|5077115025815356338</stp>
        <tr r="S2065" s="2"/>
      </tp>
      <tp t="s">
        <v>#N/A N/A</v>
        <stp/>
        <stp>BDP|3903790654877663669</stp>
        <tr r="A888" s="2"/>
      </tp>
      <tp t="s">
        <v>#N/A N/A</v>
        <stp/>
        <stp>BDP|4497327371345031539</stp>
        <tr r="F1447" s="2"/>
      </tp>
      <tp t="s">
        <v>#N/A N/A</v>
        <stp/>
        <stp>BDP|5783691858994621245</stp>
        <tr r="G192" s="2"/>
      </tp>
      <tp t="s">
        <v>#N/A N/A</v>
        <stp/>
        <stp>BDP|7048362573575709664</stp>
        <tr r="G354" s="2"/>
      </tp>
      <tp t="s">
        <v>#N/A N/A</v>
        <stp/>
        <stp>BDS|9249987088920197877</stp>
        <tr r="I1732" s="2"/>
      </tp>
      <tp t="s">
        <v>#N/A N/A</v>
        <stp/>
        <stp>BDP|1534218890049586354</stp>
        <tr r="N651" s="2"/>
      </tp>
      <tp t="s">
        <v>#N/A N/A</v>
        <stp/>
        <stp>BDP|4490348513395473332</stp>
        <tr r="S1698" s="2"/>
      </tp>
      <tp t="s">
        <v>#N/A N/A</v>
        <stp/>
        <stp>BDP|5289195642739956948</stp>
        <tr r="T1916" s="2"/>
      </tp>
      <tp t="s">
        <v>#N/A N/A</v>
        <stp/>
        <stp>BDP|2356466170610622171</stp>
        <tr r="K1282" s="2"/>
      </tp>
      <tp t="s">
        <v>#N/A N/A</v>
        <stp/>
        <stp>BDP|4258473058561028497</stp>
        <tr r="P916" s="2"/>
      </tp>
      <tp t="s">
        <v>#N/A N/A</v>
        <stp/>
        <stp>BDP|6431441884492246824</stp>
        <tr r="E508" s="2"/>
      </tp>
      <tp t="s">
        <v>#N/A N/A</v>
        <stp/>
        <stp>BDP|9653684525549660494</stp>
        <tr r="T1662" s="2"/>
      </tp>
      <tp t="s">
        <v>#N/A N/A</v>
        <stp/>
        <stp>BDP|1562543048082934240</stp>
        <tr r="K706" s="2"/>
      </tp>
      <tp t="s">
        <v>#N/A N/A</v>
        <stp/>
        <stp>BDP|2923792839137400197</stp>
        <tr r="A334" s="2"/>
      </tp>
      <tp t="s">
        <v>#N/A N/A</v>
        <stp/>
        <stp>BDP|3668426569370973102</stp>
        <tr r="M845" s="2"/>
      </tp>
      <tp t="s">
        <v>#N/A N/A</v>
        <stp/>
        <stp>BDP|3818330364503352587</stp>
        <tr r="A1400" s="2"/>
      </tp>
      <tp t="s">
        <v>#N/A N/A</v>
        <stp/>
        <stp>BDP|8393971444875519017</stp>
        <tr r="A1508" s="2"/>
      </tp>
      <tp t="s">
        <v>#N/A N/A</v>
        <stp/>
        <stp>BDP|5439705865983569710</stp>
        <tr r="D226" s="2"/>
      </tp>
      <tp t="s">
        <v>#N/A N/A</v>
        <stp/>
        <stp>BDP|4878025701874965075</stp>
        <tr r="N1023" s="2"/>
      </tp>
      <tp t="s">
        <v>#N/A N/A</v>
        <stp/>
        <stp>BDP|7602076342662793111</stp>
        <tr r="P1726" s="2"/>
      </tp>
      <tp t="s">
        <v>#N/A N/A</v>
        <stp/>
        <stp>BDP|6406296077490888372</stp>
        <tr r="P326" s="2"/>
      </tp>
      <tp t="s">
        <v>#N/A N/A</v>
        <stp/>
        <stp>BDP|8593249338171910858</stp>
        <tr r="E825" s="2"/>
      </tp>
      <tp t="s">
        <v>#N/A N/A</v>
        <stp/>
        <stp>BDP|7724772933962027163</stp>
        <tr r="Q582" s="2"/>
      </tp>
      <tp t="s">
        <v>#N/A N/A</v>
        <stp/>
        <stp>BDP|5396218516991921782</stp>
        <tr r="A659" s="2"/>
      </tp>
      <tp t="s">
        <v>#N/A N/A</v>
        <stp/>
        <stp>BDP|6462357750960047047</stp>
        <tr r="S2177" s="2"/>
      </tp>
      <tp t="s">
        <v>#N/A N/A</v>
        <stp/>
        <stp>BDP|3103043222817056625</stp>
        <tr r="R1968" s="2"/>
      </tp>
      <tp t="s">
        <v>#N/A N/A</v>
        <stp/>
        <stp>BDP|1872077864250982771</stp>
        <tr r="G888" s="2"/>
      </tp>
      <tp t="s">
        <v>#N/A N/A</v>
        <stp/>
        <stp>BDP|1670826500661641879</stp>
        <tr r="A2144" s="2"/>
      </tp>
      <tp t="s">
        <v>#N/A N/A</v>
        <stp/>
        <stp>BDP|4293619023468269878</stp>
        <tr r="N2188" s="2"/>
      </tp>
      <tp t="s">
        <v>#N/A N/A</v>
        <stp/>
        <stp>BDP|4282778902232415169</stp>
        <tr r="A2226" s="2"/>
      </tp>
      <tp t="s">
        <v>#N/A N/A</v>
        <stp/>
        <stp>BDP|4921188373092365046</stp>
        <tr r="S2121" s="2"/>
      </tp>
      <tp t="s">
        <v>#N/A N/A</v>
        <stp/>
        <stp>BDP|9686855392639368177</stp>
        <tr r="H1719" s="2"/>
      </tp>
      <tp t="s">
        <v>#N/A N/A</v>
        <stp/>
        <stp>BDP|6155329746096234725</stp>
        <tr r="D2099" s="2"/>
      </tp>
      <tp t="s">
        <v>#N/A N/A</v>
        <stp/>
        <stp>BDP|7763476702327489431</stp>
        <tr r="C1072" s="2"/>
      </tp>
      <tp t="s">
        <v>#N/A N/A</v>
        <stp/>
        <stp>BDP|5601261582017753809</stp>
        <tr r="P105" s="2"/>
      </tp>
      <tp t="s">
        <v>#N/A N/A</v>
        <stp/>
        <stp>BDP|7791566008603516195</stp>
        <tr r="C608" s="2"/>
      </tp>
      <tp t="s">
        <v>#N/A N/A</v>
        <stp/>
        <stp>BDP|8167718380387420012</stp>
        <tr r="A1935" s="2"/>
      </tp>
      <tp t="s">
        <v>#N/A N/A</v>
        <stp/>
        <stp>BDP|7033959983586746047</stp>
        <tr r="F1658" s="2"/>
      </tp>
      <tp t="s">
        <v>#N/A N/A</v>
        <stp/>
        <stp>BDP|3395079981958169313</stp>
        <tr r="C1853" s="2"/>
      </tp>
      <tp t="s">
        <v>#N/A N/A</v>
        <stp/>
        <stp>BDP|7402467452344418219</stp>
        <tr r="D204" s="2"/>
      </tp>
      <tp t="s">
        <v>#N/A N/A</v>
        <stp/>
        <stp>BDP|3789387971031248697</stp>
        <tr r="D781" s="2"/>
      </tp>
      <tp t="s">
        <v>#N/A N/A</v>
        <stp/>
        <stp>BDP|9744467300299779439</stp>
        <tr r="P1585" s="2"/>
      </tp>
      <tp t="s">
        <v>#N/A N/A</v>
        <stp/>
        <stp>BDP|7270587318830641313</stp>
        <tr r="F1603" s="2"/>
      </tp>
      <tp t="s">
        <v>#N/A N/A</v>
        <stp/>
        <stp>BDP|5225729810384306767</stp>
        <tr r="Q2213" s="2"/>
      </tp>
      <tp t="s">
        <v>#N/A N/A</v>
        <stp/>
        <stp>BDP|8108761344968105377</stp>
        <tr r="N1011" s="2"/>
      </tp>
      <tp t="s">
        <v>#N/A N/A</v>
        <stp/>
        <stp>BDP|2691101626826494717</stp>
        <tr r="K1755" s="2"/>
      </tp>
      <tp t="s">
        <v>#N/A N/A</v>
        <stp/>
        <stp>BDP|2724668757356557762</stp>
        <tr r="O438" s="2"/>
      </tp>
      <tp t="s">
        <v>#N/A N/A</v>
        <stp/>
        <stp>BDS|2769685400581884523</stp>
        <tr r="I1077" s="2"/>
      </tp>
      <tp t="s">
        <v>#N/A N/A</v>
        <stp/>
        <stp>BDP|8627995268533685444</stp>
        <tr r="G1290" s="2"/>
      </tp>
      <tp t="s">
        <v>#N/A N/A</v>
        <stp/>
        <stp>BDP|9342248791503429175</stp>
        <tr r="S1654" s="2"/>
      </tp>
      <tp t="s">
        <v>#N/A N/A</v>
        <stp/>
        <stp>BDS|4170118944653540240</stp>
        <tr r="I755" s="2"/>
      </tp>
      <tp t="s">
        <v>#N/A N/A</v>
        <stp/>
        <stp>BDP|6582322004897095265</stp>
        <tr r="N468" s="2"/>
      </tp>
      <tp t="s">
        <v>#N/A N/A</v>
        <stp/>
        <stp>BDP|7738014753950204220</stp>
        <tr r="E122" s="2"/>
      </tp>
      <tp t="s">
        <v>#N/A N/A</v>
        <stp/>
        <stp>BDP|5199846411224060815</stp>
        <tr r="G1900" s="2"/>
      </tp>
      <tp t="s">
        <v>#N/A N/A</v>
        <stp/>
        <stp>BDP|6740041819847614092</stp>
        <tr r="S1244" s="2"/>
      </tp>
      <tp t="s">
        <v>#N/A N/A</v>
        <stp/>
        <stp>BDP|1993840398631894187</stp>
        <tr r="M335" s="2"/>
      </tp>
      <tp t="s">
        <v>#N/A N/A</v>
        <stp/>
        <stp>BDP|7920381278734870742</stp>
        <tr r="T214" s="2"/>
      </tp>
      <tp t="s">
        <v>#N/A N/A</v>
        <stp/>
        <stp>BDP|1694660325326196312</stp>
        <tr r="H1680" s="2"/>
      </tp>
      <tp t="s">
        <v>#N/A N/A</v>
        <stp/>
        <stp>BDP|2335309813644451418</stp>
        <tr r="E1788" s="2"/>
      </tp>
      <tp t="s">
        <v>#N/A N/A</v>
        <stp/>
        <stp>BDP|2121374996539102142</stp>
        <tr r="O312" s="2"/>
      </tp>
      <tp t="s">
        <v>#N/A N/A</v>
        <stp/>
        <stp>BDP|9259450222609051607</stp>
        <tr r="A574" s="2"/>
      </tp>
      <tp t="s">
        <v>#N/A N/A</v>
        <stp/>
        <stp>BDP|5261826785392464744</stp>
        <tr r="R678" s="2"/>
      </tp>
      <tp t="s">
        <v>#N/A N/A</v>
        <stp/>
        <stp>BDP|1717456276764245634</stp>
        <tr r="N255" s="2"/>
      </tp>
      <tp t="s">
        <v>#N/A N/A</v>
        <stp/>
        <stp>BDP|4284374740344560759</stp>
        <tr r="P473" s="2"/>
      </tp>
      <tp t="s">
        <v>#N/A N/A</v>
        <stp/>
        <stp>BDP|4721948939306618898</stp>
        <tr r="O192" s="2"/>
      </tp>
      <tp t="s">
        <v>#N/A N/A</v>
        <stp/>
        <stp>BDP|5876645469113331630</stp>
        <tr r="N1666" s="2"/>
      </tp>
      <tp t="s">
        <v>#N/A N/A</v>
        <stp/>
        <stp>BDP|9593272795951723350</stp>
        <tr r="J1328" s="2"/>
      </tp>
      <tp t="s">
        <v>#N/A N/A</v>
        <stp/>
        <stp>BDP|2978141558063752573</stp>
        <tr r="Q2176" s="2"/>
      </tp>
      <tp t="s">
        <v>#N/A N/A</v>
        <stp/>
        <stp>BDP|6180660263067090112</stp>
        <tr r="T1945" s="2"/>
      </tp>
      <tp t="s">
        <v>#N/A N/A</v>
        <stp/>
        <stp>BDP|6136327967312458151</stp>
        <tr r="A1154" s="2"/>
      </tp>
      <tp t="s">
        <v>#N/A N/A</v>
        <stp/>
        <stp>BDP|9751975031075120651</stp>
        <tr r="S1353" s="2"/>
      </tp>
      <tp t="s">
        <v>#N/A N/A</v>
        <stp/>
        <stp>BDS|5846462018722362207</stp>
        <tr r="I2249" s="2"/>
      </tp>
      <tp t="s">
        <v>#N/A N/A</v>
        <stp/>
        <stp>BDP|8260890705412871236</stp>
        <tr r="E536" s="2"/>
      </tp>
      <tp t="s">
        <v>#N/A N/A</v>
        <stp/>
        <stp>BDP|1948509349706696630</stp>
        <tr r="K1540" s="2"/>
      </tp>
      <tp t="s">
        <v>#N/A N/A</v>
        <stp/>
        <stp>BDP|6603633276783677400</stp>
        <tr r="T611" s="2"/>
      </tp>
      <tp t="s">
        <v>#N/A N/A</v>
        <stp/>
        <stp>BDP|1600203613283046106</stp>
        <tr r="R1060" s="2"/>
      </tp>
      <tp t="s">
        <v>#N/A N/A</v>
        <stp/>
        <stp>BDP|9035413029389568687</stp>
        <tr r="G1144" s="2"/>
      </tp>
      <tp t="s">
        <v>#N/A N/A</v>
        <stp/>
        <stp>BDP|5015368500644756248</stp>
        <tr r="F473" s="2"/>
      </tp>
      <tp t="s">
        <v>#N/A N/A</v>
        <stp/>
        <stp>BDP|2343251739227925437</stp>
        <tr r="O194" s="2"/>
      </tp>
      <tp t="s">
        <v>#N/A N/A</v>
        <stp/>
        <stp>BDP|2532265220045267742</stp>
        <tr r="D1429" s="2"/>
      </tp>
      <tp t="s">
        <v>#N/A N/A</v>
        <stp/>
        <stp>BDP|3221342944560007477</stp>
        <tr r="E266" s="2"/>
      </tp>
      <tp t="s">
        <v>#N/A N/A</v>
        <stp/>
        <stp>BDP|7582649998760404884</stp>
        <tr r="D1277" s="2"/>
      </tp>
      <tp t="s">
        <v>#N/A N/A</v>
        <stp/>
        <stp>BDS|7659021081028951790</stp>
        <tr r="I1076" s="2"/>
      </tp>
      <tp t="s">
        <v>#N/A N/A</v>
        <stp/>
        <stp>BDP|4878412451604868150</stp>
        <tr r="F1678" s="2"/>
      </tp>
      <tp t="s">
        <v>#N/A N/A</v>
        <stp/>
        <stp>BDS|2664606046885669538</stp>
        <tr r="I2185" s="2"/>
      </tp>
      <tp t="s">
        <v>#N/A N/A</v>
        <stp/>
        <stp>BDP|1989589122093142570</stp>
        <tr r="A1300" s="2"/>
      </tp>
      <tp t="s">
        <v>#N/A N/A</v>
        <stp/>
        <stp>BDP|5769544686099478140</stp>
        <tr r="T58" s="2"/>
      </tp>
      <tp t="s">
        <v>#N/A N/A</v>
        <stp/>
        <stp>BDP|5801941438148968783</stp>
        <tr r="Q138" s="2"/>
      </tp>
      <tp t="s">
        <v>#N/A N/A</v>
        <stp/>
        <stp>BDP|7834211865133905006</stp>
        <tr r="M970" s="2"/>
      </tp>
      <tp t="s">
        <v>#N/A N/A</v>
        <stp/>
        <stp>BDP|3276861420428644172</stp>
        <tr r="D1140" s="2"/>
      </tp>
      <tp t="s">
        <v>#N/A N/A</v>
        <stp/>
        <stp>BDP|6901471710231201297</stp>
        <tr r="H207" s="2"/>
      </tp>
      <tp t="s">
        <v>#N/A N/A</v>
        <stp/>
        <stp>BDP|7604281318423231712</stp>
        <tr r="H59" s="2"/>
      </tp>
      <tp t="s">
        <v>#N/A N/A</v>
        <stp/>
        <stp>BDP|9928189972269240649</stp>
        <tr r="T2221" s="2"/>
      </tp>
      <tp t="s">
        <v>#N/A N/A</v>
        <stp/>
        <stp>BDP|4866293875554759561</stp>
        <tr r="G935" s="2"/>
      </tp>
      <tp t="s">
        <v>#N/A N/A</v>
        <stp/>
        <stp>BDP|1467724420577147327</stp>
        <tr r="O54" s="2"/>
      </tp>
      <tp t="s">
        <v>#N/A N/A</v>
        <stp/>
        <stp>BDP|5279753806724110656</stp>
        <tr r="S115" s="2"/>
      </tp>
      <tp t="s">
        <v>#N/A N/A</v>
        <stp/>
        <stp>BDP|1729055034832394002</stp>
        <tr r="J394" s="2"/>
      </tp>
      <tp t="s">
        <v>#N/A N/A</v>
        <stp/>
        <stp>BDP|6907289900111240568</stp>
        <tr r="S347" s="2"/>
      </tp>
      <tp t="s">
        <v>#N/A N/A</v>
        <stp/>
        <stp>BDP|2378243632404814785</stp>
        <tr r="A129" s="2"/>
      </tp>
      <tp t="s">
        <v>#N/A N/A</v>
        <stp/>
        <stp>BDP|3349237764621427653</stp>
        <tr r="R146" s="2"/>
      </tp>
      <tp t="s">
        <v>#N/A N/A</v>
        <stp/>
        <stp>BDP|5994329460437916772</stp>
        <tr r="G286" s="2"/>
      </tp>
      <tp t="s">
        <v>#N/A N/A</v>
        <stp/>
        <stp>BDP|3667619528555241289</stp>
        <tr r="F338" s="2"/>
      </tp>
      <tp t="s">
        <v>#N/A N/A</v>
        <stp/>
        <stp>BDP|4912511436776306480</stp>
        <tr r="Q129" s="2"/>
      </tp>
      <tp t="s">
        <v>#N/A N/A</v>
        <stp/>
        <stp>BDP|2430111250662574454</stp>
        <tr r="O1570" s="2"/>
      </tp>
      <tp t="s">
        <v>#N/A N/A</v>
        <stp/>
        <stp>BDP|6428786799580954893</stp>
        <tr r="N1326" s="2"/>
      </tp>
      <tp t="s">
        <v>#N/A N/A</v>
        <stp/>
        <stp>BDP|1007812298911598195</stp>
        <tr r="F1279" s="2"/>
      </tp>
      <tp t="s">
        <v>#N/A N/A</v>
        <stp/>
        <stp>BDP|6244355552546338630</stp>
        <tr r="A251" s="2"/>
      </tp>
      <tp t="s">
        <v>#N/A N/A</v>
        <stp/>
        <stp>BDS|6283307638943625591</stp>
        <tr r="I1148" s="2"/>
      </tp>
      <tp t="s">
        <v>#N/A N/A</v>
        <stp/>
        <stp>BDP|3286316147955937182</stp>
        <tr r="K747" s="2"/>
      </tp>
      <tp t="s">
        <v>#N/A N/A</v>
        <stp/>
        <stp>BDP|4163696797652856925</stp>
        <tr r="Q2137" s="2"/>
      </tp>
      <tp t="s">
        <v>#N/A N/A</v>
        <stp/>
        <stp>BDP|9399330189967539595</stp>
        <tr r="Q374" s="2"/>
      </tp>
      <tp t="s">
        <v>#N/A N/A</v>
        <stp/>
        <stp>BDP|8304567910245169915</stp>
        <tr r="G841" s="2"/>
      </tp>
      <tp t="s">
        <v>#N/A N/A</v>
        <stp/>
        <stp>BDS|5726608846240557718</stp>
        <tr r="I453" s="2"/>
      </tp>
      <tp t="s">
        <v>#N/A N/A</v>
        <stp/>
        <stp>BDP|7894071829051261418</stp>
        <tr r="Q655" s="2"/>
      </tp>
      <tp t="s">
        <v>#N/A N/A</v>
        <stp/>
        <stp>BDP|9338235584172766098</stp>
        <tr r="O1568" s="2"/>
      </tp>
      <tp t="s">
        <v>#N/A N/A</v>
        <stp/>
        <stp>BDP|7874102931850167422</stp>
        <tr r="C1131" s="2"/>
      </tp>
      <tp t="s">
        <v>#N/A N/A</v>
        <stp/>
        <stp>BDP|5052368456111363392</stp>
        <tr r="G1667" s="2"/>
      </tp>
      <tp t="s">
        <v>#N/A N/A</v>
        <stp/>
        <stp>BDS|1031568463536723587</stp>
        <tr r="I1663" s="2"/>
      </tp>
      <tp t="s">
        <v>#N/A N/A</v>
        <stp/>
        <stp>BDS|4906965855400888982</stp>
        <tr r="I541" s="2"/>
      </tp>
      <tp t="s">
        <v>#N/A N/A</v>
        <stp/>
        <stp>BDP|2003231421626075588</stp>
        <tr r="N119" s="2"/>
      </tp>
      <tp t="s">
        <v>#N/A N/A</v>
        <stp/>
        <stp>BDP|3569797807701186405</stp>
        <tr r="J2225" s="2"/>
      </tp>
      <tp t="s">
        <v>#N/A N/A</v>
        <stp/>
        <stp>BDP|1356922530252285896</stp>
        <tr r="A476" s="2"/>
      </tp>
      <tp t="s">
        <v>#N/A N/A</v>
        <stp/>
        <stp>BDP|6737329369290472224</stp>
        <tr r="M931" s="2"/>
      </tp>
      <tp t="s">
        <v>#N/A N/A</v>
        <stp/>
        <stp>BDP|3275319459582423642</stp>
        <tr r="S809" s="2"/>
      </tp>
      <tp t="s">
        <v>#N/A N/A</v>
        <stp/>
        <stp>BDP|9583635574058879101</stp>
        <tr r="Q97" s="2"/>
      </tp>
      <tp t="s">
        <v>#N/A N/A</v>
        <stp/>
        <stp>BDP|4853629891808580247</stp>
        <tr r="O1125" s="2"/>
      </tp>
      <tp t="s">
        <v>#N/A N/A</v>
        <stp/>
        <stp>BDP|2953410796137698927</stp>
        <tr r="F952" s="2"/>
      </tp>
      <tp t="s">
        <v>#N/A N/A</v>
        <stp/>
        <stp>BDP|4601241945811820251</stp>
        <tr r="H1999" s="2"/>
      </tp>
      <tp t="s">
        <v>#N/A N/A</v>
        <stp/>
        <stp>BDP|1905204342372725468</stp>
        <tr r="J1872" s="2"/>
      </tp>
      <tp t="s">
        <v>#N/A N/A</v>
        <stp/>
        <stp>BDP|7626443930489897801</stp>
        <tr r="Q962" s="2"/>
      </tp>
      <tp t="s">
        <v>#N/A N/A</v>
        <stp/>
        <stp>BDP|3580561301620070785</stp>
        <tr r="R650" s="2"/>
      </tp>
      <tp t="s">
        <v>#N/A N/A</v>
        <stp/>
        <stp>BDP|2737149777693761697</stp>
        <tr r="T2237" s="2"/>
      </tp>
      <tp t="s">
        <v>#N/A N/A</v>
        <stp/>
        <stp>BDP|3031385127912506103</stp>
        <tr r="M956" s="2"/>
      </tp>
      <tp t="s">
        <v>#N/A N/A</v>
        <stp/>
        <stp>BDP|8233288195230738226</stp>
        <tr r="D1922" s="2"/>
      </tp>
      <tp t="s">
        <v>#N/A N/A</v>
        <stp/>
        <stp>BDP|9366314887973800074</stp>
        <tr r="P1774" s="2"/>
      </tp>
      <tp t="s">
        <v>#N/A N/A</v>
        <stp/>
        <stp>BDP|7762224268474017679</stp>
        <tr r="H269" s="2"/>
      </tp>
      <tp t="s">
        <v>#N/A N/A</v>
        <stp/>
        <stp>BDP|9817669407217011935</stp>
        <tr r="P2135" s="2"/>
      </tp>
      <tp t="s">
        <v>#N/A N/A</v>
        <stp/>
        <stp>BDS|2907338257210618516</stp>
        <tr r="I142" s="2"/>
      </tp>
      <tp t="s">
        <v>#N/A N/A</v>
        <stp/>
        <stp>BDS|5600365709672056534</stp>
        <tr r="I146" s="2"/>
      </tp>
      <tp t="s">
        <v>#N/A N/A</v>
        <stp/>
        <stp>BDP|9947810522152100014</stp>
        <tr r="P1184" s="2"/>
      </tp>
      <tp t="s">
        <v>#N/A N/A</v>
        <stp/>
        <stp>BDP|2292199760616606277</stp>
        <tr r="M389" s="2"/>
      </tp>
      <tp t="s">
        <v>#N/A N/A</v>
        <stp/>
        <stp>BDP|1502276809412624071</stp>
        <tr r="T517" s="2"/>
      </tp>
      <tp t="s">
        <v>#N/A N/A</v>
        <stp/>
        <stp>BDP|2117265213396845662</stp>
        <tr r="D679" s="2"/>
      </tp>
      <tp t="s">
        <v>#N/A N/A</v>
        <stp/>
        <stp>BDP|9363372494643205182</stp>
        <tr r="G198" s="2"/>
      </tp>
      <tp t="s">
        <v>#N/A N/A</v>
        <stp/>
        <stp>BDP|3067757758065581529</stp>
        <tr r="T421" s="2"/>
      </tp>
      <tp t="s">
        <v>#N/A N/A</v>
        <stp/>
        <stp>BDP|7932142511086285049</stp>
        <tr r="F818" s="2"/>
      </tp>
      <tp t="s">
        <v>#N/A N/A</v>
        <stp/>
        <stp>BDP|1858576942608777901</stp>
        <tr r="E1356" s="2"/>
      </tp>
      <tp t="s">
        <v>#N/A N/A</v>
        <stp/>
        <stp>BDP|1452033470113540480</stp>
        <tr r="K680" s="2"/>
      </tp>
      <tp t="s">
        <v>#N/A N/A</v>
        <stp/>
        <stp>BDP|2915077074943191715</stp>
        <tr r="S1850" s="2"/>
      </tp>
      <tp t="s">
        <v>#N/A N/A</v>
        <stp/>
        <stp>BDP|4084128930284115390</stp>
        <tr r="K509" s="2"/>
      </tp>
      <tp t="s">
        <v>#N/A N/A</v>
        <stp/>
        <stp>BDP|5444895353641261862</stp>
        <tr r="D558" s="2"/>
      </tp>
      <tp t="s">
        <v>#N/A N/A</v>
        <stp/>
        <stp>BDP|6236096946192304147</stp>
        <tr r="P1561" s="2"/>
      </tp>
      <tp t="s">
        <v>#N/A N/A</v>
        <stp/>
        <stp>BDP|8404172898371138001</stp>
        <tr r="G1449" s="2"/>
      </tp>
      <tp t="s">
        <v>#N/A N/A</v>
        <stp/>
        <stp>BDP|9657623551919690295</stp>
        <tr r="J1774" s="2"/>
      </tp>
      <tp t="s">
        <v>#N/A N/A</v>
        <stp/>
        <stp>BDP|3196912261935339882</stp>
        <tr r="G611" s="2"/>
      </tp>
      <tp t="s">
        <v>#N/A N/A</v>
        <stp/>
        <stp>BDP|7549367109965310038</stp>
        <tr r="D1873" s="2"/>
      </tp>
      <tp t="s">
        <v>#N/A N/A</v>
        <stp/>
        <stp>BDP|2690690293514369859</stp>
        <tr r="J1523" s="2"/>
      </tp>
      <tp t="s">
        <v>#N/A N/A</v>
        <stp/>
        <stp>BDP|5110930281866993302</stp>
        <tr r="M1654" s="2"/>
      </tp>
      <tp t="s">
        <v>#N/A N/A</v>
        <stp/>
        <stp>BDP|5725541597161927972</stp>
        <tr r="S1483" s="2"/>
      </tp>
      <tp t="s">
        <v>#N/A N/A</v>
        <stp/>
        <stp>BDP|5355520936201400395</stp>
        <tr r="C1791" s="2"/>
      </tp>
      <tp t="s">
        <v>#N/A N/A</v>
        <stp/>
        <stp>BDP|4393016857766892673</stp>
        <tr r="T661" s="2"/>
      </tp>
      <tp t="s">
        <v>#N/A N/A</v>
        <stp/>
        <stp>BDP|7904270414980727579</stp>
        <tr r="S1863" s="2"/>
      </tp>
      <tp t="s">
        <v>#N/A N/A</v>
        <stp/>
        <stp>BDP|4511863644190937942</stp>
        <tr r="T327" s="2"/>
      </tp>
      <tp t="s">
        <v>#N/A N/A</v>
        <stp/>
        <stp>BDP|1012209206822839041</stp>
        <tr r="D1876" s="2"/>
      </tp>
      <tp t="s">
        <v>#N/A N/A</v>
        <stp/>
        <stp>BDP|6904136010156757177</stp>
        <tr r="Q71" s="2"/>
      </tp>
      <tp t="s">
        <v>#N/A N/A</v>
        <stp/>
        <stp>BDP|9648660492784006386</stp>
        <tr r="H1869" s="2"/>
      </tp>
      <tp t="s">
        <v>#N/A N/A</v>
        <stp/>
        <stp>BDP|1583377718844014602</stp>
        <tr r="F2030" s="2"/>
      </tp>
      <tp t="s">
        <v>#N/A N/A</v>
        <stp/>
        <stp>BDP|5161645082829496396</stp>
        <tr r="S1163" s="2"/>
      </tp>
      <tp t="s">
        <v>#N/A N/A</v>
        <stp/>
        <stp>BDP|3229533953344833605</stp>
        <tr r="N2059" s="2"/>
      </tp>
      <tp t="s">
        <v>#N/A N/A</v>
        <stp/>
        <stp>BDP|6294471308234285756</stp>
        <tr r="M363" s="2"/>
      </tp>
      <tp t="s">
        <v>#N/A N/A</v>
        <stp/>
        <stp>BDP|1526713324844852128</stp>
        <tr r="A755" s="2"/>
      </tp>
      <tp t="s">
        <v>#N/A N/A</v>
        <stp/>
        <stp>BDS|3487577658981463357</stp>
        <tr r="I1168" s="2"/>
      </tp>
      <tp t="s">
        <v>#N/A N/A</v>
        <stp/>
        <stp>BDP|7560506071511975575</stp>
        <tr r="H383" s="2"/>
      </tp>
      <tp t="s">
        <v>#N/A N/A</v>
        <stp/>
        <stp>BDP|5667464929093421177</stp>
        <tr r="G1030" s="2"/>
      </tp>
      <tp t="s">
        <v>#N/A N/A</v>
        <stp/>
        <stp>BDP|9954027563207636944</stp>
        <tr r="K258" s="2"/>
      </tp>
      <tp t="s">
        <v>#N/A N/A</v>
        <stp/>
        <stp>BDP|2566411047603966000</stp>
        <tr r="N2055" s="2"/>
      </tp>
      <tp t="s">
        <v>#N/A N/A</v>
        <stp/>
        <stp>BDP|7870206035087254053</stp>
        <tr r="E23" s="2"/>
      </tp>
      <tp t="s">
        <v>#N/A N/A</v>
        <stp/>
        <stp>BDP|5795558715779522982</stp>
        <tr r="H1230" s="2"/>
      </tp>
      <tp t="s">
        <v>#N/A N/A</v>
        <stp/>
        <stp>BDP|2931785007126961257</stp>
        <tr r="Q1018" s="2"/>
      </tp>
      <tp t="s">
        <v>#N/A N/A</v>
        <stp/>
        <stp>BDS|5816021517263448633</stp>
        <tr r="I2114" s="2"/>
      </tp>
      <tp t="s">
        <v>#N/A N/A</v>
        <stp/>
        <stp>BDP|5906662176393524665</stp>
        <tr r="C1597" s="2"/>
      </tp>
      <tp t="s">
        <v>#N/A N/A</v>
        <stp/>
        <stp>BDP|4717005831713545591</stp>
        <tr r="N401" s="2"/>
      </tp>
      <tp t="s">
        <v>#N/A N/A</v>
        <stp/>
        <stp>BDP|1059628027607849366</stp>
        <tr r="N433" s="2"/>
      </tp>
      <tp t="s">
        <v>#N/A N/A</v>
        <stp/>
        <stp>BDP|5862388649517724450</stp>
        <tr r="K965" s="2"/>
      </tp>
      <tp t="s">
        <v>#N/A N/A</v>
        <stp/>
        <stp>BDP|9804266685291489345</stp>
        <tr r="E2118" s="2"/>
      </tp>
      <tp t="s">
        <v>#N/A N/A</v>
        <stp/>
        <stp>BDP|3773052875232896747</stp>
        <tr r="K14" s="2"/>
      </tp>
      <tp t="s">
        <v>#N/A N/A</v>
        <stp/>
        <stp>BDP|3096438509334026218</stp>
        <tr r="P884" s="2"/>
      </tp>
      <tp t="s">
        <v>#N/A N/A</v>
        <stp/>
        <stp>BDP|7598824789492490418</stp>
        <tr r="A953" s="2"/>
      </tp>
      <tp t="s">
        <v>#N/A N/A</v>
        <stp/>
        <stp>BDP|3954760239807565183</stp>
        <tr r="F147" s="2"/>
      </tp>
      <tp t="s">
        <v>#N/A N/A</v>
        <stp/>
        <stp>BDP|7782105358630586218</stp>
        <tr r="C2062" s="2"/>
      </tp>
      <tp t="s">
        <v>#N/A N/A</v>
        <stp/>
        <stp>BDP|8221004108440391920</stp>
        <tr r="E2205" s="2"/>
      </tp>
      <tp t="s">
        <v>#N/A N/A</v>
        <stp/>
        <stp>BDP|1567489554312470360</stp>
        <tr r="C2228" s="2"/>
      </tp>
      <tp t="s">
        <v>#N/A N/A</v>
        <stp/>
        <stp>BDP|4429692766462064709</stp>
        <tr r="J1757" s="2"/>
      </tp>
      <tp t="s">
        <v>#N/A N/A</v>
        <stp/>
        <stp>BDP|9706292010458287374</stp>
        <tr r="R816" s="2"/>
      </tp>
      <tp t="s">
        <v>#N/A N/A</v>
        <stp/>
        <stp>BDP|5704369326223516690</stp>
        <tr r="T928" s="2"/>
      </tp>
      <tp t="s">
        <v>#N/A N/A</v>
        <stp/>
        <stp>BDP|9487880279541809667</stp>
        <tr r="G127" s="2"/>
      </tp>
      <tp t="s">
        <v>#N/A N/A</v>
        <stp/>
        <stp>BDP|3287778778106283444</stp>
        <tr r="F916" s="2"/>
      </tp>
      <tp t="s">
        <v>#N/A N/A</v>
        <stp/>
        <stp>BDP|9883081223382145893</stp>
        <tr r="R292" s="2"/>
      </tp>
      <tp t="s">
        <v>#N/A N/A</v>
        <stp/>
        <stp>BDP|8884890787121949840</stp>
        <tr r="A623" s="2"/>
      </tp>
      <tp t="s">
        <v>#N/A N/A</v>
        <stp/>
        <stp>BDP|6905501847456283070</stp>
        <tr r="K1498" s="2"/>
      </tp>
      <tp t="s">
        <v>#N/A N/A</v>
        <stp/>
        <stp>BDP|1464304627848812907</stp>
        <tr r="A1187" s="2"/>
      </tp>
      <tp t="s">
        <v>#N/A N/A</v>
        <stp/>
        <stp>BDP|9314405997592789785</stp>
        <tr r="R1193" s="2"/>
      </tp>
      <tp t="s">
        <v>#N/A N/A</v>
        <stp/>
        <stp>BDP|6576447220622902339</stp>
        <tr r="Q532" s="2"/>
      </tp>
      <tp t="s">
        <v>#N/A N/A</v>
        <stp/>
        <stp>BDP|3587285477102376524</stp>
        <tr r="E945" s="2"/>
      </tp>
      <tp t="s">
        <v>#N/A N/A</v>
        <stp/>
        <stp>BDP|7605371409284299115</stp>
        <tr r="M1608" s="2"/>
      </tp>
      <tp t="s">
        <v>#N/A N/A</v>
        <stp/>
        <stp>BDP|9308588694094177050</stp>
        <tr r="Q1230" s="2"/>
      </tp>
      <tp t="s">
        <v>#N/A N/A</v>
        <stp/>
        <stp>BDP|4834627602725181624</stp>
        <tr r="O659" s="2"/>
      </tp>
      <tp t="s">
        <v>#N/A N/A</v>
        <stp/>
        <stp>BDP|9733659409157760972</stp>
        <tr r="K594" s="2"/>
      </tp>
      <tp t="s">
        <v>#N/A N/A</v>
        <stp/>
        <stp>BDP|8101237529938604161</stp>
        <tr r="K1297" s="2"/>
      </tp>
      <tp t="s">
        <v>#N/A N/A</v>
        <stp/>
        <stp>BDP|1322076938041691212</stp>
        <tr r="P1604" s="2"/>
      </tp>
      <tp t="s">
        <v>#N/A N/A</v>
        <stp/>
        <stp>BDP|3188680003715217131</stp>
        <tr r="D1041" s="2"/>
      </tp>
      <tp t="s">
        <v>#N/A N/A</v>
        <stp/>
        <stp>BDP|5777952634137934949</stp>
        <tr r="D1508" s="2"/>
      </tp>
      <tp t="s">
        <v>#N/A N/A</v>
        <stp/>
        <stp>BDS|8639274468424771959</stp>
        <tr r="I1278" s="2"/>
      </tp>
      <tp t="s">
        <v>#N/A N/A</v>
        <stp/>
        <stp>BDP|6383121636084974150</stp>
        <tr r="H1093" s="2"/>
      </tp>
      <tp t="s">
        <v>#N/A N/A</v>
        <stp/>
        <stp>BDP|8132368258586641924</stp>
        <tr r="R1821" s="2"/>
      </tp>
      <tp t="s">
        <v>#N/A N/A</v>
        <stp/>
        <stp>BDP|3578188850725128374</stp>
        <tr r="A1050" s="2"/>
      </tp>
      <tp t="s">
        <v>#N/A N/A</v>
        <stp/>
        <stp>BDP|8501458508644072938</stp>
        <tr r="P475" s="2"/>
      </tp>
      <tp t="s">
        <v>#N/A N/A</v>
        <stp/>
        <stp>BDP|7495699060650303657</stp>
        <tr r="F746" s="2"/>
      </tp>
      <tp t="s">
        <v>#N/A N/A</v>
        <stp/>
        <stp>BDP|4638121506752802614</stp>
        <tr r="A368" s="2"/>
      </tp>
      <tp t="s">
        <v>#N/A N/A</v>
        <stp/>
        <stp>BDP|7532737809943456208</stp>
        <tr r="R412" s="2"/>
      </tp>
      <tp t="s">
        <v>#N/A N/A</v>
        <stp/>
        <stp>BDP|5441554018475232504</stp>
        <tr r="D224" s="2"/>
      </tp>
      <tp t="s">
        <v>#N/A N/A</v>
        <stp/>
        <stp>BDP|6096700515467673689</stp>
        <tr r="C1921" s="2"/>
      </tp>
      <tp t="s">
        <v>#N/A N/A</v>
        <stp/>
        <stp>BDP|3324752502496875370</stp>
        <tr r="G274" s="2"/>
      </tp>
      <tp t="s">
        <v>#N/A N/A</v>
        <stp/>
        <stp>BDP|5011017265445739782</stp>
        <tr r="F167" s="2"/>
      </tp>
      <tp t="s">
        <v>#N/A N/A</v>
        <stp/>
        <stp>BDP|3418550299406075831</stp>
        <tr r="Q2188" s="2"/>
      </tp>
      <tp t="s">
        <v>#N/A N/A</v>
        <stp/>
        <stp>BDP|3661029225067391794</stp>
        <tr r="A2255" s="2"/>
      </tp>
      <tp t="s">
        <v>#N/A N/A</v>
        <stp/>
        <stp>BDP|6745642438013064102</stp>
        <tr r="H1051" s="2"/>
      </tp>
      <tp t="s">
        <v>#N/A N/A</v>
        <stp/>
        <stp>BDP|7764765017281948147</stp>
        <tr r="O2002" s="2"/>
      </tp>
      <tp t="s">
        <v>#N/A N/A</v>
        <stp/>
        <stp>BDS|2934686067745436690</stp>
        <tr r="I1234" s="2"/>
      </tp>
      <tp t="s">
        <v>#N/A N/A</v>
        <stp/>
        <stp>BDP|7682457569134548048</stp>
        <tr r="H615" s="2"/>
      </tp>
      <tp t="s">
        <v>#N/A N/A</v>
        <stp/>
        <stp>BDP|4475364248503339127</stp>
        <tr r="R2018" s="2"/>
      </tp>
      <tp t="s">
        <v>#N/A N/A</v>
        <stp/>
        <stp>BDP|2742044859475137305</stp>
        <tr r="H1968" s="2"/>
      </tp>
      <tp t="s">
        <v>#N/A N/A</v>
        <stp/>
        <stp>BDP|1874624009124022285</stp>
        <tr r="H1099" s="2"/>
      </tp>
      <tp t="s">
        <v>#N/A N/A</v>
        <stp/>
        <stp>BDP|5527175285875485882</stp>
        <tr r="N243" s="2"/>
      </tp>
      <tp t="s">
        <v>#N/A N/A</v>
        <stp/>
        <stp>BDP|2607019452241685786</stp>
        <tr r="P1982" s="2"/>
      </tp>
      <tp t="s">
        <v>#N/A N/A</v>
        <stp/>
        <stp>BDP|4456982535796158930</stp>
        <tr r="C273" s="2"/>
      </tp>
      <tp t="s">
        <v>#N/A N/A</v>
        <stp/>
        <stp>BDP|6784938256332906906</stp>
        <tr r="A1852" s="2"/>
      </tp>
      <tp t="s">
        <v>#N/A N/A</v>
        <stp/>
        <stp>BDP|8037616634638751493</stp>
        <tr r="A842" s="2"/>
      </tp>
      <tp t="s">
        <v>#N/A N/A</v>
        <stp/>
        <stp>BDP|3075038867917772384</stp>
        <tr r="A721" s="2"/>
      </tp>
      <tp t="s">
        <v>#N/A N/A</v>
        <stp/>
        <stp>BDP|2591935428559748128</stp>
        <tr r="O1349" s="2"/>
      </tp>
      <tp t="s">
        <v>#N/A N/A</v>
        <stp/>
        <stp>BDP|7279398453833044336</stp>
        <tr r="T1246" s="2"/>
      </tp>
      <tp t="s">
        <v>#N/A N/A</v>
        <stp/>
        <stp>BDP|8817462896132667651</stp>
        <tr r="J1573" s="2"/>
      </tp>
      <tp t="s">
        <v>#N/A N/A</v>
        <stp/>
        <stp>BDP|7921116059652801026</stp>
        <tr r="G1388" s="2"/>
      </tp>
      <tp t="s">
        <v>#N/A N/A</v>
        <stp/>
        <stp>BDP|2037632313440856434</stp>
        <tr r="C1332" s="2"/>
      </tp>
      <tp t="s">
        <v>#N/A N/A</v>
        <stp/>
        <stp>BDP|1995783873381092194</stp>
        <tr r="C552" s="2"/>
      </tp>
      <tp t="s">
        <v>#N/A N/A</v>
        <stp/>
        <stp>BDP|3996719374234266650</stp>
        <tr r="P29" s="2"/>
      </tp>
      <tp t="s">
        <v>#N/A N/A</v>
        <stp/>
        <stp>BDP|8793499397313361711</stp>
        <tr r="H434" s="2"/>
      </tp>
      <tp t="s">
        <v>#N/A N/A</v>
        <stp/>
        <stp>BDP|1516366241601808615</stp>
        <tr r="A2052" s="2"/>
      </tp>
      <tp t="s">
        <v>#N/A N/A</v>
        <stp/>
        <stp>BDP|1700539844820966123</stp>
        <tr r="R169" s="2"/>
      </tp>
      <tp t="s">
        <v>#N/A N/A</v>
        <stp/>
        <stp>BDP|9924904818319910930</stp>
        <tr r="K1818" s="2"/>
      </tp>
      <tp t="s">
        <v>#N/A N/A</v>
        <stp/>
        <stp>BDP|4671839594255337198</stp>
        <tr r="C1114" s="2"/>
      </tp>
      <tp t="s">
        <v>#N/A N/A</v>
        <stp/>
        <stp>BDP|4160904451211252892</stp>
        <tr r="A565" s="2"/>
      </tp>
      <tp t="s">
        <v>#N/A N/A</v>
        <stp/>
        <stp>BDP|6855123645000692228</stp>
        <tr r="E225" s="2"/>
      </tp>
      <tp t="s">
        <v>#N/A N/A</v>
        <stp/>
        <stp>BDP|8658806919518701831</stp>
        <tr r="O139" s="2"/>
      </tp>
      <tp t="s">
        <v>#N/A N/A</v>
        <stp/>
        <stp>BDS|9625187051148344475</stp>
        <tr r="I1119" s="2"/>
      </tp>
      <tp t="s">
        <v>#N/A N/A</v>
        <stp/>
        <stp>BDP|1144192331167747555</stp>
        <tr r="M1923" s="2"/>
      </tp>
      <tp t="s">
        <v>#N/A N/A</v>
        <stp/>
        <stp>BDP|8536706887695956300</stp>
        <tr r="P1408" s="2"/>
      </tp>
      <tp t="s">
        <v>#N/A N/A</v>
        <stp/>
        <stp>BDP|5944518605869295874</stp>
        <tr r="A370" s="2"/>
      </tp>
      <tp t="s">
        <v>#N/A N/A</v>
        <stp/>
        <stp>BDP|1889224917787604432</stp>
        <tr r="T767" s="2"/>
      </tp>
      <tp t="s">
        <v>#N/A N/A</v>
        <stp/>
        <stp>BDP|6789636885668888119</stp>
        <tr r="K1605" s="2"/>
      </tp>
      <tp t="s">
        <v>#N/A N/A</v>
        <stp/>
        <stp>BDP|5384388101376526179</stp>
        <tr r="M207" s="2"/>
      </tp>
      <tp t="s">
        <v>#N/A N/A</v>
        <stp/>
        <stp>BDP|3532225358836707306</stp>
        <tr r="M759" s="2"/>
      </tp>
      <tp t="s">
        <v>#N/A N/A</v>
        <stp/>
        <stp>BDP|5337340866198986902</stp>
        <tr r="F575" s="2"/>
      </tp>
      <tp t="s">
        <v>#N/A N/A</v>
        <stp/>
        <stp>BDP|9902208366168357444</stp>
        <tr r="O243" s="2"/>
      </tp>
      <tp t="s">
        <v>#N/A N/A</v>
        <stp/>
        <stp>BDP|1389982707099221062</stp>
        <tr r="H237" s="2"/>
      </tp>
      <tp t="s">
        <v>#N/A N/A</v>
        <stp/>
        <stp>BDP|2128524214853920466</stp>
        <tr r="C213" s="2"/>
      </tp>
      <tp t="s">
        <v>#N/A N/A</v>
        <stp/>
        <stp>BDP|3261247984840841820</stp>
        <tr r="D1318" s="2"/>
      </tp>
      <tp t="s">
        <v>#N/A N/A</v>
        <stp/>
        <stp>BDP|9370495020386486864</stp>
        <tr r="M65" s="2"/>
      </tp>
      <tp t="s">
        <v>#N/A N/A</v>
        <stp/>
        <stp>BDP|1041943982896679785</stp>
        <tr r="M1530" s="2"/>
      </tp>
      <tp t="s">
        <v>#N/A N/A</v>
        <stp/>
        <stp>BDP|1869475750623287250</stp>
        <tr r="E84" s="2"/>
      </tp>
      <tp t="s">
        <v>#N/A N/A</v>
        <stp/>
        <stp>BDP|5754278258430563353</stp>
        <tr r="A890" s="2"/>
      </tp>
      <tp t="s">
        <v>#N/A N/A</v>
        <stp/>
        <stp>BDP|6592991883557578126</stp>
        <tr r="J1235" s="2"/>
      </tp>
      <tp t="s">
        <v>#N/A N/A</v>
        <stp/>
        <stp>BDP|7273336931903954511</stp>
        <tr r="S1580" s="2"/>
      </tp>
      <tp t="s">
        <v>#N/A N/A</v>
        <stp/>
        <stp>BDP|2100183182113347909</stp>
        <tr r="C948" s="2"/>
      </tp>
      <tp t="s">
        <v>#N/A N/A</v>
        <stp/>
        <stp>BDP|9382395354946295842</stp>
        <tr r="C513" s="2"/>
      </tp>
      <tp t="s">
        <v>#N/A N/A</v>
        <stp/>
        <stp>BDP|2319456322516589395</stp>
        <tr r="R535" s="2"/>
      </tp>
      <tp t="s">
        <v>#N/A N/A</v>
        <stp/>
        <stp>BDP|3645158273790876403</stp>
        <tr r="C814" s="2"/>
      </tp>
      <tp t="s">
        <v>#N/A N/A</v>
        <stp/>
        <stp>BDP|4866765302981476302</stp>
        <tr r="A528" s="2"/>
      </tp>
      <tp t="s">
        <v>#N/A N/A</v>
        <stp/>
        <stp>BDP|4838037912666381224</stp>
        <tr r="H763" s="2"/>
      </tp>
      <tp t="s">
        <v>#N/A N/A</v>
        <stp/>
        <stp>BDP|9709667180464888215</stp>
        <tr r="S1077" s="2"/>
      </tp>
      <tp t="s">
        <v>#N/A N/A</v>
        <stp/>
        <stp>BDP|8906774373929050056</stp>
        <tr r="H1757" s="2"/>
      </tp>
      <tp t="s">
        <v>#N/A N/A</v>
        <stp/>
        <stp>BDP|3224057509801203343</stp>
        <tr r="G225" s="2"/>
      </tp>
      <tp t="s">
        <v>#N/A N/A</v>
        <stp/>
        <stp>BDP|1272395183242699967</stp>
        <tr r="S1980" s="2"/>
      </tp>
      <tp t="s">
        <v>#N/A N/A</v>
        <stp/>
        <stp>BDP|3392663879245700636</stp>
        <tr r="C1256" s="2"/>
      </tp>
      <tp t="s">
        <v>#N/A N/A</v>
        <stp/>
        <stp>BDP|5772487206138979888</stp>
        <tr r="K495" s="2"/>
      </tp>
      <tp t="s">
        <v>#N/A N/A</v>
        <stp/>
        <stp>BDP|9014187821989880296</stp>
        <tr r="D60" s="2"/>
      </tp>
      <tp t="s">
        <v>#N/A N/A</v>
        <stp/>
        <stp>BDP|8478784087607475173</stp>
        <tr r="R327" s="2"/>
      </tp>
      <tp t="s">
        <v>#N/A N/A</v>
        <stp/>
        <stp>BDP|1726817696222029384</stp>
        <tr r="J1792" s="2"/>
      </tp>
      <tp t="s">
        <v>#N/A N/A</v>
        <stp/>
        <stp>BDP|7160886583506504075</stp>
        <tr r="F1687" s="2"/>
      </tp>
      <tp t="s">
        <v>#N/A N/A</v>
        <stp/>
        <stp>BDP|6803002575296032653</stp>
        <tr r="J1822" s="2"/>
      </tp>
      <tp t="s">
        <v>#N/A N/A</v>
        <stp/>
        <stp>BDP|1383580235873779517</stp>
        <tr r="P537" s="2"/>
      </tp>
      <tp t="s">
        <v>#N/A N/A</v>
        <stp/>
        <stp>BDP|7797813756992963915</stp>
        <tr r="T667" s="2"/>
      </tp>
      <tp t="s">
        <v>#N/A N/A</v>
        <stp/>
        <stp>BDP|8879216358326129883</stp>
        <tr r="D764" s="2"/>
      </tp>
      <tp t="s">
        <v>#N/A N/A</v>
        <stp/>
        <stp>BDP|7622674395358948152</stp>
        <tr r="O1082" s="2"/>
      </tp>
      <tp t="s">
        <v>#N/A N/A</v>
        <stp/>
        <stp>BDP|7189204478110361328</stp>
        <tr r="D741" s="2"/>
      </tp>
      <tp t="s">
        <v>#N/A N/A</v>
        <stp/>
        <stp>BDP|3170740715487981318</stp>
        <tr r="K1237" s="2"/>
      </tp>
      <tp t="s">
        <v>#N/A N/A</v>
        <stp/>
        <stp>BDP|1402854769658408641</stp>
        <tr r="S771" s="2"/>
      </tp>
      <tp t="s">
        <v>#N/A N/A</v>
        <stp/>
        <stp>BDP|8069746891326830152</stp>
        <tr r="T2138" s="2"/>
      </tp>
      <tp t="s">
        <v>#N/A N/A</v>
        <stp/>
        <stp>BDP|4914683478481210535</stp>
        <tr r="Q1054" s="2"/>
      </tp>
      <tp t="s">
        <v>#N/A N/A</v>
        <stp/>
        <stp>BDP|4806721751095362205</stp>
        <tr r="E398" s="2"/>
      </tp>
      <tp t="s">
        <v>#N/A N/A</v>
        <stp/>
        <stp>BDP|1451361668460704555</stp>
        <tr r="E548" s="2"/>
      </tp>
      <tp t="s">
        <v>#N/A N/A</v>
        <stp/>
        <stp>BDS|6554310199634701925</stp>
        <tr r="I1334" s="2"/>
      </tp>
      <tp t="s">
        <v>#N/A N/A</v>
        <stp/>
        <stp>BDS|1641113423071562297</stp>
        <tr r="I257" s="2"/>
      </tp>
      <tp t="s">
        <v>#N/A N/A</v>
        <stp/>
        <stp>BDP|9163923665016665186</stp>
        <tr r="A688" s="2"/>
      </tp>
      <tp t="s">
        <v>#N/A N/A</v>
        <stp/>
        <stp>BDP|9949732523014663975</stp>
        <tr r="P166" s="2"/>
      </tp>
      <tp t="s">
        <v>#N/A N/A</v>
        <stp/>
        <stp>BDP|5383798925014544521</stp>
        <tr r="O1597" s="2"/>
      </tp>
      <tp t="s">
        <v>#N/A N/A</v>
        <stp/>
        <stp>BDP|3792966688840864395</stp>
        <tr r="A1015" s="2"/>
      </tp>
      <tp t="s">
        <v>#N/A N/A</v>
        <stp/>
        <stp>BDP|8969966926507544545</stp>
        <tr r="J212" s="2"/>
      </tp>
      <tp t="s">
        <v>#N/A N/A</v>
        <stp/>
        <stp>BDP|6965632159242831631</stp>
        <tr r="Q1298" s="2"/>
      </tp>
      <tp t="s">
        <v>#N/A N/A</v>
        <stp/>
        <stp>BDP|6287745458971147474</stp>
        <tr r="P830" s="2"/>
      </tp>
      <tp t="s">
        <v>#N/A N/A</v>
        <stp/>
        <stp>BDP|3039688245955232575</stp>
        <tr r="K469" s="2"/>
      </tp>
      <tp t="s">
        <v>#N/A N/A</v>
        <stp/>
        <stp>BDP|7285463004997164590</stp>
        <tr r="H2165" s="2"/>
      </tp>
      <tp t="s">
        <v>#N/A N/A</v>
        <stp/>
        <stp>BDP|5847421066195154355</stp>
        <tr r="R1358" s="2"/>
      </tp>
      <tp t="s">
        <v>#N/A N/A</v>
        <stp/>
        <stp>BDP|8575884007777768656</stp>
        <tr r="S592" s="2"/>
      </tp>
      <tp t="s">
        <v>#N/A N/A</v>
        <stp/>
        <stp>BDP|7280339438711389729</stp>
        <tr r="T887" s="2"/>
      </tp>
      <tp t="s">
        <v>#N/A N/A</v>
        <stp/>
        <stp>BDP|1829790632646912222</stp>
        <tr r="E1077" s="2"/>
      </tp>
      <tp t="s">
        <v>#N/A N/A</v>
        <stp/>
        <stp>BDP|6007391226033312546</stp>
        <tr r="K793" s="2"/>
      </tp>
      <tp t="s">
        <v>#N/A N/A</v>
        <stp/>
        <stp>BDP|2166647157364931437</stp>
        <tr r="F1959" s="2"/>
      </tp>
      <tp t="s">
        <v>#N/A N/A</v>
        <stp/>
        <stp>BDP|6797098554393577173</stp>
        <tr r="G1745" s="2"/>
      </tp>
      <tp t="s">
        <v>#N/A N/A</v>
        <stp/>
        <stp>BDP|1280605347525984759</stp>
        <tr r="R680" s="2"/>
      </tp>
      <tp t="s">
        <v>#N/A N/A</v>
        <stp/>
        <stp>BDP|5393091219132340794</stp>
        <tr r="N2066" s="2"/>
      </tp>
      <tp t="s">
        <v>#N/A N/A</v>
        <stp/>
        <stp>BDP|5072262830213691697</stp>
        <tr r="D422" s="2"/>
      </tp>
      <tp t="s">
        <v>#N/A N/A</v>
        <stp/>
        <stp>BDP|1682523012352752685</stp>
        <tr r="E2095" s="2"/>
      </tp>
      <tp t="s">
        <v>#N/A N/A</v>
        <stp/>
        <stp>BDS|8182714538519923480</stp>
        <tr r="I2173" s="2"/>
      </tp>
      <tp t="s">
        <v>#N/A N/A</v>
        <stp/>
        <stp>BDP|5662802739006095965</stp>
        <tr r="O649" s="2"/>
      </tp>
      <tp t="s">
        <v>#N/A N/A</v>
        <stp/>
        <stp>BDP|7109032296488880756</stp>
        <tr r="J218" s="2"/>
      </tp>
      <tp t="s">
        <v>#N/A N/A</v>
        <stp/>
        <stp>BDP|7031787733696122438</stp>
        <tr r="O1588" s="2"/>
      </tp>
      <tp t="s">
        <v>#N/A N/A</v>
        <stp/>
        <stp>BDP|8558498382540522522</stp>
        <tr r="O210" s="2"/>
      </tp>
      <tp t="s">
        <v>#N/A N/A</v>
        <stp/>
        <stp>BDP|1991032729394900630</stp>
        <tr r="S1184" s="2"/>
      </tp>
      <tp t="s">
        <v>#N/A N/A</v>
        <stp/>
        <stp>BDP|7985360593419559501</stp>
        <tr r="P181" s="2"/>
      </tp>
      <tp t="s">
        <v>#N/A N/A</v>
        <stp/>
        <stp>BDP|1377799691308771651</stp>
        <tr r="E1402" s="2"/>
      </tp>
      <tp t="s">
        <v>#N/A N/A</v>
        <stp/>
        <stp>BDP|5219373663867678696</stp>
        <tr r="F1723" s="2"/>
      </tp>
      <tp t="s">
        <v>#N/A N/A</v>
        <stp/>
        <stp>BDP|7973473743073792536</stp>
        <tr r="D312" s="2"/>
      </tp>
      <tp t="s">
        <v>#N/A N/A</v>
        <stp/>
        <stp>BDP|3786397443846045348</stp>
        <tr r="R1076" s="2"/>
      </tp>
      <tp t="s">
        <v>#N/A N/A</v>
        <stp/>
        <stp>BDP|5632192840910418122</stp>
        <tr r="C2250" s="2"/>
      </tp>
      <tp t="s">
        <v>#N/A N/A</v>
        <stp/>
        <stp>BDS|9463747784234999342</stp>
        <tr r="I909" s="2"/>
      </tp>
      <tp t="s">
        <v>#N/A N/A</v>
        <stp/>
        <stp>BDP|6527553044373885550</stp>
        <tr r="C645" s="2"/>
      </tp>
      <tp t="s">
        <v>#N/A N/A</v>
        <stp/>
        <stp>BDP|4716713107596998414</stp>
        <tr r="A384" s="2"/>
      </tp>
      <tp t="s">
        <v>#N/A N/A</v>
        <stp/>
        <stp>BDP|7146500503551225299</stp>
        <tr r="G1947" s="2"/>
      </tp>
      <tp t="s">
        <v>#N/A N/A</v>
        <stp/>
        <stp>BDP|1182261911240734382</stp>
        <tr r="J1414" s="2"/>
      </tp>
      <tp t="s">
        <v>#N/A N/A</v>
        <stp/>
        <stp>BDP|6017419207536872577</stp>
        <tr r="S1231" s="2"/>
      </tp>
      <tp t="s">
        <v>#N/A N/A</v>
        <stp/>
        <stp>BDP|2255344158743587623</stp>
        <tr r="R1396" s="2"/>
      </tp>
      <tp t="s">
        <v>#N/A N/A</v>
        <stp/>
        <stp>BDP|7059568087499957211</stp>
        <tr r="H2236" s="2"/>
      </tp>
      <tp t="s">
        <v>#N/A N/A</v>
        <stp/>
        <stp>BDP|7601929394092946400</stp>
        <tr r="T465" s="2"/>
      </tp>
      <tp t="s">
        <v>#N/A N/A</v>
        <stp/>
        <stp>BDP|4737475849763293625</stp>
        <tr r="N1076" s="2"/>
      </tp>
      <tp t="s">
        <v>#N/A N/A</v>
        <stp/>
        <stp>BDP|5831660174975674051</stp>
        <tr r="C1990" s="2"/>
      </tp>
      <tp t="s">
        <v>#N/A N/A</v>
        <stp/>
        <stp>BDP|9289626943253886928</stp>
        <tr r="J1415" s="2"/>
      </tp>
      <tp t="s">
        <v>#N/A N/A</v>
        <stp/>
        <stp>BDP|3710619423783923551</stp>
        <tr r="A2232" s="2"/>
      </tp>
      <tp t="s">
        <v>#N/A N/A</v>
        <stp/>
        <stp>BDP|1094811108190217824</stp>
        <tr r="D2113" s="2"/>
      </tp>
      <tp t="s">
        <v>#N/A N/A</v>
        <stp/>
        <stp>BDP|5646470299108582142</stp>
        <tr r="N1678" s="2"/>
      </tp>
      <tp t="s">
        <v>#N/A N/A</v>
        <stp/>
        <stp>BDP|6771558966612979641</stp>
        <tr r="T1688" s="2"/>
      </tp>
      <tp t="s">
        <v>#N/A N/A</v>
        <stp/>
        <stp>BDP|3053797010475189111</stp>
        <tr r="Q61" s="2"/>
      </tp>
      <tp t="s">
        <v>#N/A N/A</v>
        <stp/>
        <stp>BDP|5861835532407191810</stp>
        <tr r="T76" s="2"/>
      </tp>
      <tp t="s">
        <v>#N/A N/A</v>
        <stp/>
        <stp>BDS|8382477900199913442</stp>
        <tr r="I1485" s="2"/>
      </tp>
      <tp t="s">
        <v>#N/A N/A</v>
        <stp/>
        <stp>BDP|1141052900542441299</stp>
        <tr r="C248" s="2"/>
      </tp>
      <tp t="s">
        <v>#N/A N/A</v>
        <stp/>
        <stp>BDS|3374757314405299190</stp>
        <tr r="I2040" s="2"/>
      </tp>
      <tp t="s">
        <v>#N/A N/A</v>
        <stp/>
        <stp>BDP|1233239990369905217</stp>
        <tr r="F184" s="2"/>
      </tp>
      <tp t="s">
        <v>#N/A N/A</v>
        <stp/>
        <stp>BDP|3727250165000844667</stp>
        <tr r="R20" s="2"/>
      </tp>
      <tp t="s">
        <v>#N/A N/A</v>
        <stp/>
        <stp>BDP|2413733219123640616</stp>
        <tr r="M684" s="2"/>
      </tp>
      <tp t="s">
        <v>#N/A N/A</v>
        <stp/>
        <stp>BDP|5685819954371968835</stp>
        <tr r="N601" s="2"/>
      </tp>
      <tp t="s">
        <v>#N/A N/A</v>
        <stp/>
        <stp>BDP|5861001360793887199</stp>
        <tr r="M1825" s="2"/>
      </tp>
      <tp t="s">
        <v>#N/A N/A</v>
        <stp/>
        <stp>BDP|8173488917965133964</stp>
        <tr r="E34" s="2"/>
      </tp>
      <tp t="s">
        <v>#N/A N/A</v>
        <stp/>
        <stp>BDP|1292509938207602153</stp>
        <tr r="D946" s="2"/>
      </tp>
      <tp t="s">
        <v>#N/A N/A</v>
        <stp/>
        <stp>BDP|2505150437329925871</stp>
        <tr r="S2007" s="2"/>
      </tp>
      <tp t="s">
        <v>#N/A N/A</v>
        <stp/>
        <stp>BDP|7184345370230994256</stp>
        <tr r="D400" s="2"/>
      </tp>
      <tp t="s">
        <v>#N/A N/A</v>
        <stp/>
        <stp>BDP|8796081575408083634</stp>
        <tr r="P1729" s="2"/>
      </tp>
      <tp t="s">
        <v>#N/A N/A</v>
        <stp/>
        <stp>BDP|9547926876880835609</stp>
        <tr r="N62" s="2"/>
      </tp>
      <tp t="s">
        <v>#N/A N/A</v>
        <stp/>
        <stp>BDP|3952795377614873661</stp>
        <tr r="D1652" s="2"/>
      </tp>
      <tp t="s">
        <v>#N/A N/A</v>
        <stp/>
        <stp>BDP|7115075927127963313</stp>
        <tr r="H635" s="2"/>
      </tp>
      <tp t="s">
        <v>#N/A N/A</v>
        <stp/>
        <stp>BDS|5901847538437579897</stp>
        <tr r="I565" s="2"/>
      </tp>
      <tp t="s">
        <v>#N/A N/A</v>
        <stp/>
        <stp>BDP|1069848305960853802</stp>
        <tr r="D1829" s="2"/>
      </tp>
      <tp t="s">
        <v>#N/A N/A</v>
        <stp/>
        <stp>BDP|2105255809570555115</stp>
        <tr r="K1698" s="2"/>
      </tp>
      <tp t="s">
        <v>#N/A N/A</v>
        <stp/>
        <stp>BDP|3108703890969992510</stp>
        <tr r="C1403" s="2"/>
      </tp>
      <tp t="s">
        <v>#N/A N/A</v>
        <stp/>
        <stp>BDP|9994369186157050407</stp>
        <tr r="P1209" s="2"/>
      </tp>
      <tp t="s">
        <v>#N/A N/A</v>
        <stp/>
        <stp>BDP|2582486506375573279</stp>
        <tr r="E912" s="2"/>
      </tp>
      <tp t="s">
        <v>#N/A N/A</v>
        <stp/>
        <stp>BDP|4941971175529211202</stp>
        <tr r="R1911" s="2"/>
      </tp>
      <tp t="s">
        <v>#N/A N/A</v>
        <stp/>
        <stp>BDP|7531273426527819157</stp>
        <tr r="P144" s="2"/>
      </tp>
      <tp t="s">
        <v>#N/A N/A</v>
        <stp/>
        <stp>BDP|9458782648532533982</stp>
        <tr r="K434" s="2"/>
      </tp>
      <tp t="s">
        <v>#N/A N/A</v>
        <stp/>
        <stp>BDP|6248274232046626081</stp>
        <tr r="N64" s="2"/>
      </tp>
      <tp t="s">
        <v>#N/A N/A</v>
        <stp/>
        <stp>BDP|6267825098640528644</stp>
        <tr r="J683" s="2"/>
      </tp>
      <tp t="s">
        <v>#N/A N/A</v>
        <stp/>
        <stp>BDP|6291509254046936161</stp>
        <tr r="F850" s="2"/>
      </tp>
      <tp t="s">
        <v>#N/A N/A</v>
        <stp/>
        <stp>BDP|9618190863769604634</stp>
        <tr r="J1061" s="2"/>
      </tp>
      <tp t="s">
        <v>#N/A N/A</v>
        <stp/>
        <stp>BDP|1779735310371510782</stp>
        <tr r="A1001" s="2"/>
      </tp>
      <tp t="s">
        <v>#N/A N/A</v>
        <stp/>
        <stp>BDP|4584383130931368476</stp>
        <tr r="K104" s="2"/>
      </tp>
      <tp t="s">
        <v>#N/A N/A</v>
        <stp/>
        <stp>BDP|6388197314046197164</stp>
        <tr r="Q109" s="2"/>
      </tp>
      <tp t="s">
        <v>#N/A N/A</v>
        <stp/>
        <stp>BDP|5976552923653203041</stp>
        <tr r="H1553" s="2"/>
      </tp>
      <tp t="s">
        <v>#N/A N/A</v>
        <stp/>
        <stp>BDP|5555973169129370215</stp>
        <tr r="T2120" s="2"/>
      </tp>
      <tp t="s">
        <v>#N/A N/A</v>
        <stp/>
        <stp>BDP|2527096089622514996</stp>
        <tr r="H390" s="2"/>
      </tp>
      <tp t="s">
        <v>#N/A N/A</v>
        <stp/>
        <stp>BDP|8991627028229891420</stp>
        <tr r="E1699" s="2"/>
      </tp>
      <tp t="s">
        <v>#N/A N/A</v>
        <stp/>
        <stp>BDP|1119142053561760585</stp>
        <tr r="J1553" s="2"/>
      </tp>
      <tp t="s">
        <v>#N/A N/A</v>
        <stp/>
        <stp>BDP|4942074042453268277</stp>
        <tr r="H458" s="2"/>
      </tp>
      <tp t="s">
        <v>#N/A N/A</v>
        <stp/>
        <stp>BDP|1115974424089931223</stp>
        <tr r="P1810" s="2"/>
      </tp>
      <tp t="s">
        <v>#N/A N/A</v>
        <stp/>
        <stp>BDP|9550783577440455873</stp>
        <tr r="R219" s="2"/>
      </tp>
      <tp t="s">
        <v>#N/A N/A</v>
        <stp/>
        <stp>BDS|6216290678160973230</stp>
        <tr r="I1532" s="2"/>
      </tp>
      <tp t="s">
        <v>#N/A N/A</v>
        <stp/>
        <stp>BDP|1971481329372752464</stp>
        <tr r="S313" s="2"/>
      </tp>
      <tp t="s">
        <v>#N/A N/A</v>
        <stp/>
        <stp>BDP|2386329548172268622</stp>
        <tr r="F871" s="2"/>
      </tp>
      <tp t="s">
        <v>#N/A N/A</v>
        <stp/>
        <stp>BDP|3672281828520625295</stp>
        <tr r="S1950" s="2"/>
      </tp>
      <tp t="s">
        <v>#N/A N/A</v>
        <stp/>
        <stp>BDP|2214420178257118706</stp>
        <tr r="Q34" s="2"/>
      </tp>
      <tp t="s">
        <v>#N/A N/A</v>
        <stp/>
        <stp>BDP|3636893491502506122</stp>
        <tr r="R1852" s="2"/>
      </tp>
      <tp t="s">
        <v>#N/A N/A</v>
        <stp/>
        <stp>BDP|7736769670035994314</stp>
        <tr r="E1365" s="2"/>
      </tp>
      <tp t="s">
        <v>#N/A N/A</v>
        <stp/>
        <stp>BDP|8682078788014837584</stp>
        <tr r="E1663" s="2"/>
      </tp>
      <tp t="s">
        <v>#N/A N/A</v>
        <stp/>
        <stp>BDP|2721044209561479273</stp>
        <tr r="O2200" s="2"/>
      </tp>
      <tp t="s">
        <v>#N/A N/A</v>
        <stp/>
        <stp>BDP|7005763801026743790</stp>
        <tr r="S452" s="2"/>
      </tp>
      <tp t="s">
        <v>#N/A N/A</v>
        <stp/>
        <stp>BDP|7470384481975581814</stp>
        <tr r="C394" s="2"/>
      </tp>
      <tp t="s">
        <v>#N/A N/A</v>
        <stp/>
        <stp>BDS|7169325204016625384</stp>
        <tr r="I94" s="2"/>
      </tp>
      <tp t="s">
        <v>#N/A N/A</v>
        <stp/>
        <stp>BDP|7876165894209164720</stp>
        <tr r="D1573" s="2"/>
      </tp>
      <tp t="s">
        <v>#N/A N/A</v>
        <stp/>
        <stp>BDP|1381422416014150186</stp>
        <tr r="G997" s="2"/>
      </tp>
      <tp t="s">
        <v>#N/A N/A</v>
        <stp/>
        <stp>BDP|7012935026629234498</stp>
        <tr r="D541" s="2"/>
      </tp>
      <tp t="s">
        <v>#N/A N/A</v>
        <stp/>
        <stp>BDP|5636569515007903723</stp>
        <tr r="A1253" s="2"/>
      </tp>
      <tp t="s">
        <v>#N/A N/A</v>
        <stp/>
        <stp>BDP|1020225330923570290</stp>
        <tr r="Q1419" s="2"/>
      </tp>
      <tp t="s">
        <v>#N/A N/A</v>
        <stp/>
        <stp>BDS|3165745495955827962</stp>
        <tr r="I530" s="2"/>
      </tp>
      <tp t="s">
        <v>#N/A N/A</v>
        <stp/>
        <stp>BDP|4421433987378821169</stp>
        <tr r="N56" s="2"/>
      </tp>
      <tp t="s">
        <v>#N/A N/A</v>
        <stp/>
        <stp>BDP|3891053838427373680</stp>
        <tr r="S1752" s="2"/>
      </tp>
      <tp t="s">
        <v>#N/A N/A</v>
        <stp/>
        <stp>BDP|4389510660404957250</stp>
        <tr r="M995" s="2"/>
      </tp>
      <tp t="s">
        <v>#N/A N/A</v>
        <stp/>
        <stp>BDP|2389699641398729928</stp>
        <tr r="N350" s="2"/>
      </tp>
      <tp t="s">
        <v>#N/A N/A</v>
        <stp/>
        <stp>BDP|7594987895740157674</stp>
        <tr r="C2147" s="2"/>
      </tp>
      <tp t="s">
        <v>#N/A N/A</v>
        <stp/>
        <stp>BDP|6609909463249943127</stp>
        <tr r="E2225" s="2"/>
      </tp>
      <tp t="s">
        <v>#N/A N/A</v>
        <stp/>
        <stp>BDP|6362754458890354537</stp>
        <tr r="F2077" s="2"/>
      </tp>
      <tp t="s">
        <v>#N/A N/A</v>
        <stp/>
        <stp>BDP|4722589948166859214</stp>
        <tr r="J1944" s="2"/>
      </tp>
      <tp t="s">
        <v>#N/A N/A</v>
        <stp/>
        <stp>BDP|2172480932905126147</stp>
        <tr r="Q2253" s="2"/>
      </tp>
      <tp t="s">
        <v>#N/A N/A</v>
        <stp/>
        <stp>BDP|6855916043819079347</stp>
        <tr r="G45" s="2"/>
      </tp>
      <tp t="s">
        <v>#N/A N/A</v>
        <stp/>
        <stp>BDP|5792893951751336825</stp>
        <tr r="O1143" s="2"/>
      </tp>
      <tp t="s">
        <v>#N/A N/A</v>
        <stp/>
        <stp>BDP|8503157849619782502</stp>
        <tr r="O2154" s="2"/>
      </tp>
      <tp t="s">
        <v>#N/A N/A</v>
        <stp/>
        <stp>BDP|6912670865800178744</stp>
        <tr r="P1002" s="2"/>
      </tp>
      <tp t="s">
        <v>#N/A N/A</v>
        <stp/>
        <stp>BDP|8020354715838811362</stp>
        <tr r="P186" s="2"/>
      </tp>
      <tp t="s">
        <v>#N/A N/A</v>
        <stp/>
        <stp>BDP|3624464818392086560</stp>
        <tr r="K162" s="2"/>
      </tp>
      <tp t="s">
        <v>#N/A N/A</v>
        <stp/>
        <stp>BDP|1135539256511939131</stp>
        <tr r="E1165" s="2"/>
      </tp>
      <tp t="s">
        <v>#N/A N/A</v>
        <stp/>
        <stp>BDP|7987641993170743971</stp>
        <tr r="O102" s="2"/>
      </tp>
      <tp t="s">
        <v>#N/A N/A</v>
        <stp/>
        <stp>BDP|8168579392564216186</stp>
        <tr r="R2252" s="2"/>
      </tp>
      <tp t="s">
        <v>#N/A N/A</v>
        <stp/>
        <stp>BDP|8616978767745919313</stp>
        <tr r="Q1017" s="2"/>
      </tp>
      <tp t="s">
        <v>#N/A N/A</v>
        <stp/>
        <stp>BDP|5306054248852406243</stp>
        <tr r="K447" s="2"/>
      </tp>
      <tp t="s">
        <v>#N/A N/A</v>
        <stp/>
        <stp>BDS|6714041678315374568</stp>
        <tr r="I596" s="2"/>
      </tp>
      <tp t="s">
        <v>#N/A N/A</v>
        <stp/>
        <stp>BDP|6553676578845420306</stp>
        <tr r="P581" s="2"/>
      </tp>
      <tp t="s">
        <v>#N/A N/A</v>
        <stp/>
        <stp>BDP|1484227205563833156</stp>
        <tr r="G267" s="2"/>
      </tp>
      <tp t="s">
        <v>#N/A N/A</v>
        <stp/>
        <stp>BDP|2134090885839711245</stp>
        <tr r="O1301" s="2"/>
      </tp>
      <tp t="s">
        <v>#N/A N/A</v>
        <stp/>
        <stp>BDP|9486421497035729084</stp>
        <tr r="G1242" s="2"/>
      </tp>
      <tp t="s">
        <v>#N/A N/A</v>
        <stp/>
        <stp>BDP|1291692460879599905</stp>
        <tr r="N1492" s="2"/>
      </tp>
      <tp t="s">
        <v>#N/A N/A</v>
        <stp/>
        <stp>BDP|2958764941848044803</stp>
        <tr r="P970" s="2"/>
      </tp>
      <tp t="s">
        <v>#N/A N/A</v>
        <stp/>
        <stp>BDP|9404507248268392112</stp>
        <tr r="C1511" s="2"/>
      </tp>
      <tp t="s">
        <v>#N/A N/A</v>
        <stp/>
        <stp>BDP|3237100359882339469</stp>
        <tr r="G2060" s="2"/>
      </tp>
      <tp t="s">
        <v>#N/A N/A</v>
        <stp/>
        <stp>BDP|4842744232050400141</stp>
        <tr r="C1930" s="2"/>
      </tp>
      <tp t="s">
        <v>#N/A N/A</v>
        <stp/>
        <stp>BDP|3063586005144247314</stp>
        <tr r="J620" s="2"/>
      </tp>
      <tp t="s">
        <v>#N/A N/A</v>
        <stp/>
        <stp>BDP|5235220664007923730</stp>
        <tr r="G30" s="2"/>
      </tp>
      <tp t="s">
        <v>#N/A N/A</v>
        <stp/>
        <stp>BDP|2766966180767660590</stp>
        <tr r="A1830" s="2"/>
      </tp>
      <tp t="s">
        <v>#N/A N/A</v>
        <stp/>
        <stp>BDP|4033461169275167207</stp>
        <tr r="J193" s="2"/>
      </tp>
      <tp t="s">
        <v>#N/A N/A</v>
        <stp/>
        <stp>BDP|2775167130129605890</stp>
        <tr r="O1822" s="2"/>
      </tp>
      <tp t="s">
        <v>#N/A N/A</v>
        <stp/>
        <stp>BDP|4425173772021633293</stp>
        <tr r="O2213" s="2"/>
      </tp>
      <tp t="s">
        <v>#N/A N/A</v>
        <stp/>
        <stp>BDP|2949523734517952286</stp>
        <tr r="M559" s="2"/>
      </tp>
      <tp t="s">
        <v>#N/A N/A</v>
        <stp/>
        <stp>BDP|2345109211936844540</stp>
        <tr r="O1335" s="2"/>
      </tp>
      <tp t="s">
        <v>#N/A N/A</v>
        <stp/>
        <stp>BDP|2063763779227027415</stp>
        <tr r="R1319" s="2"/>
      </tp>
      <tp t="s">
        <v>#N/A N/A</v>
        <stp/>
        <stp>BDP|4274060500136901336</stp>
        <tr r="O1658" s="2"/>
      </tp>
      <tp t="s">
        <v>#N/A N/A</v>
        <stp/>
        <stp>BDS|3878801926019223127</stp>
        <tr r="I1118" s="2"/>
      </tp>
      <tp t="s">
        <v>#N/A N/A</v>
        <stp/>
        <stp>BDS|3300400349225598718</stp>
        <tr r="I605" s="2"/>
      </tp>
      <tp t="s">
        <v>#N/A N/A</v>
        <stp/>
        <stp>BDP|5381398834291737572</stp>
        <tr r="P1593" s="2"/>
      </tp>
      <tp t="s">
        <v>#N/A N/A</v>
        <stp/>
        <stp>BDP|1842407363096670437</stp>
        <tr r="O1872" s="2"/>
      </tp>
      <tp t="s">
        <v>#N/A N/A</v>
        <stp/>
        <stp>BDP|7652678967224880204</stp>
        <tr r="N907" s="2"/>
      </tp>
      <tp t="s">
        <v>#N/A N/A</v>
        <stp/>
        <stp>BDP|7339861751638238385</stp>
        <tr r="N751" s="2"/>
      </tp>
      <tp t="s">
        <v>#N/A N/A</v>
        <stp/>
        <stp>BDP|5577877096530825525</stp>
        <tr r="Q1453" s="2"/>
      </tp>
      <tp t="s">
        <v>#N/A N/A</v>
        <stp/>
        <stp>BDP|7180784444917026235</stp>
        <tr r="T49" s="2"/>
      </tp>
      <tp t="s">
        <v>#N/A N/A</v>
        <stp/>
        <stp>BDP|1537099570857333014</stp>
        <tr r="S1112" s="2"/>
      </tp>
      <tp t="s">
        <v>#N/A N/A</v>
        <stp/>
        <stp>BDP|7875252313133154614</stp>
        <tr r="C1835" s="2"/>
      </tp>
      <tp t="s">
        <v>#N/A N/A</v>
        <stp/>
        <stp>BDP|7674186117457408130</stp>
        <tr r="N428" s="2"/>
      </tp>
      <tp t="s">
        <v>#N/A N/A</v>
        <stp/>
        <stp>BDS|5282785734609051909</stp>
        <tr r="I1423" s="2"/>
      </tp>
      <tp t="s">
        <v>#N/A N/A</v>
        <stp/>
        <stp>BDP|5503593860133058423</stp>
        <tr r="G1923" s="2"/>
      </tp>
      <tp t="s">
        <v>#N/A N/A</v>
        <stp/>
        <stp>BDP|7714898486702684401</stp>
        <tr r="O769" s="2"/>
      </tp>
      <tp t="s">
        <v>#N/A N/A</v>
        <stp/>
        <stp>BDP|7546838429069689573</stp>
        <tr r="J271" s="2"/>
      </tp>
      <tp t="s">
        <v>#N/A N/A</v>
        <stp/>
        <stp>BDP|3114471259203762062</stp>
        <tr r="P1879" s="2"/>
      </tp>
      <tp t="s">
        <v>#N/A N/A</v>
        <stp/>
        <stp>BDP|8707866302252455397</stp>
        <tr r="O562" s="2"/>
      </tp>
      <tp t="s">
        <v>#N/A N/A</v>
        <stp/>
        <stp>BDP|3800050528618262896</stp>
        <tr r="G1572" s="2"/>
      </tp>
      <tp t="s">
        <v>#N/A N/A</v>
        <stp/>
        <stp>BDP|6873429847035406278</stp>
        <tr r="S846" s="2"/>
      </tp>
      <tp t="s">
        <v>#N/A N/A</v>
        <stp/>
        <stp>BDP|1459700256932932059</stp>
        <tr r="K100" s="2"/>
      </tp>
      <tp t="s">
        <v>#N/A N/A</v>
        <stp/>
        <stp>BDP|4541822558568959080</stp>
        <tr r="K289" s="2"/>
      </tp>
      <tp t="s">
        <v>#N/A N/A</v>
        <stp/>
        <stp>BDP|9918967943533095633</stp>
        <tr r="G2209" s="2"/>
      </tp>
      <tp t="s">
        <v>#N/A N/A</v>
        <stp/>
        <stp>BDP|1092123028393289078</stp>
        <tr r="E1406" s="2"/>
      </tp>
      <tp t="s">
        <v>#N/A N/A</v>
        <stp/>
        <stp>BDP|2941474167848098968</stp>
        <tr r="E440" s="2"/>
      </tp>
      <tp t="s">
        <v>#N/A N/A</v>
        <stp/>
        <stp>BDP|8241289880463443014</stp>
        <tr r="G909" s="2"/>
      </tp>
      <tp t="s">
        <v>#N/A N/A</v>
        <stp/>
        <stp>BDP|9059837248867307373</stp>
        <tr r="E364" s="2"/>
      </tp>
      <tp t="s">
        <v>#N/A N/A</v>
        <stp/>
        <stp>BDP|5964199781055716896</stp>
        <tr r="A1430" s="2"/>
      </tp>
      <tp t="s">
        <v>#N/A N/A</v>
        <stp/>
        <stp>BDP|3549120540952918514</stp>
        <tr r="K974" s="2"/>
      </tp>
      <tp t="s">
        <v>#N/A N/A</v>
        <stp/>
        <stp>BDP|9180575241061811807</stp>
        <tr r="F1898" s="2"/>
      </tp>
      <tp t="s">
        <v>#N/A N/A</v>
        <stp/>
        <stp>BDP|4988059093895747977</stp>
        <tr r="Q1777" s="2"/>
      </tp>
      <tp t="s">
        <v>#N/A N/A</v>
        <stp/>
        <stp>BDP|9659469585066238285</stp>
        <tr r="H845" s="2"/>
      </tp>
      <tp t="s">
        <v>#N/A N/A</v>
        <stp/>
        <stp>BDP|3599996264718159560</stp>
        <tr r="E1011" s="2"/>
      </tp>
      <tp t="s">
        <v>#N/A N/A</v>
        <stp/>
        <stp>BDP|3786656075220888309</stp>
        <tr r="H264" s="2"/>
      </tp>
      <tp t="s">
        <v>#N/A N/A</v>
        <stp/>
        <stp>BDP|1069215814492321198</stp>
        <tr r="J1802" s="2"/>
      </tp>
      <tp t="s">
        <v>#N/A N/A</v>
        <stp/>
        <stp>BDP|1960719462299506800</stp>
        <tr r="M781" s="2"/>
      </tp>
      <tp t="s">
        <v>#N/A N/A</v>
        <stp/>
        <stp>BDP|2330265700813276285</stp>
        <tr r="D1329" s="2"/>
      </tp>
      <tp t="s">
        <v>#N/A N/A</v>
        <stp/>
        <stp>BDP|4275984524556934889</stp>
        <tr r="H2108" s="2"/>
      </tp>
      <tp t="s">
        <v>#N/A N/A</v>
        <stp/>
        <stp>BDP|6464052479481781104</stp>
        <tr r="P2169" s="2"/>
      </tp>
      <tp t="s">
        <v>#N/A N/A</v>
        <stp/>
        <stp>BDP|2865981289933140175</stp>
        <tr r="C705" s="2"/>
      </tp>
      <tp t="s">
        <v>#N/A N/A</v>
        <stp/>
        <stp>BDP|2215718692235945870</stp>
        <tr r="J982" s="2"/>
      </tp>
      <tp t="s">
        <v>#N/A N/A</v>
        <stp/>
        <stp>BDP|1641917182466990731</stp>
        <tr r="J840" s="2"/>
      </tp>
      <tp t="s">
        <v>#N/A N/A</v>
        <stp/>
        <stp>BDP|3214738351333867373</stp>
        <tr r="O2227" s="2"/>
      </tp>
      <tp t="s">
        <v>#N/A N/A</v>
        <stp/>
        <stp>BDP|3370287099200888955</stp>
        <tr r="K1936" s="2"/>
      </tp>
      <tp t="s">
        <v>#N/A N/A</v>
        <stp/>
        <stp>BDP|4153593433817542414</stp>
        <tr r="E414" s="2"/>
      </tp>
      <tp t="s">
        <v>#N/A N/A</v>
        <stp/>
        <stp>BDP|4949075560553398023</stp>
        <tr r="J1224" s="2"/>
      </tp>
      <tp t="s">
        <v>#N/A N/A</v>
        <stp/>
        <stp>BDP|6458124390028197786</stp>
        <tr r="A430" s="2"/>
      </tp>
      <tp t="s">
        <v>#N/A N/A</v>
        <stp/>
        <stp>BDP|2485079141184883356</stp>
        <tr r="A1399" s="2"/>
      </tp>
      <tp t="s">
        <v>#N/A N/A</v>
        <stp/>
        <stp>BDP|3354071772667043297</stp>
        <tr r="F974" s="2"/>
      </tp>
      <tp t="s">
        <v>#N/A N/A</v>
        <stp/>
        <stp>BDP|6504146232077957252</stp>
        <tr r="T1359" s="2"/>
      </tp>
      <tp t="s">
        <v>#N/A N/A</v>
        <stp/>
        <stp>BDP|6056694068360837760</stp>
        <tr r="T1952" s="2"/>
      </tp>
      <tp t="s">
        <v>#N/A N/A</v>
        <stp/>
        <stp>BDS|1287768621435262080</stp>
        <tr r="I2053" s="2"/>
      </tp>
      <tp t="s">
        <v>#N/A N/A</v>
        <stp/>
        <stp>BDP|6878083450243726185</stp>
        <tr r="N540" s="2"/>
      </tp>
      <tp t="s">
        <v>#N/A N/A</v>
        <stp/>
        <stp>BDP|2489239212218861824</stp>
        <tr r="D1350" s="2"/>
      </tp>
      <tp t="s">
        <v>#N/A N/A</v>
        <stp/>
        <stp>BDP|3616677466537010582</stp>
        <tr r="F579" s="2"/>
      </tp>
      <tp t="s">
        <v>#N/A N/A</v>
        <stp/>
        <stp>BDP|3430880290557145422</stp>
        <tr r="T1106" s="2"/>
      </tp>
      <tp t="s">
        <v>#N/A N/A</v>
        <stp/>
        <stp>BDP|1650207782272823832</stp>
        <tr r="O1064" s="2"/>
      </tp>
      <tp t="s">
        <v>#N/A N/A</v>
        <stp/>
        <stp>BDP|8323198186145135528</stp>
        <tr r="P1964" s="2"/>
      </tp>
      <tp t="s">
        <v>#N/A N/A</v>
        <stp/>
        <stp>BDP|4514056587588062584</stp>
        <tr r="D799" s="2"/>
      </tp>
      <tp t="s">
        <v>#N/A N/A</v>
        <stp/>
        <stp>BDP|5881568508559831815</stp>
        <tr r="P415" s="2"/>
      </tp>
      <tp t="s">
        <v>#N/A N/A</v>
        <stp/>
        <stp>BDP|5217523948286237350</stp>
        <tr r="K60" s="2"/>
      </tp>
      <tp t="s">
        <v>#N/A N/A</v>
        <stp/>
        <stp>BDP|5553111340376806734</stp>
        <tr r="G405" s="2"/>
      </tp>
      <tp t="s">
        <v>#N/A N/A</v>
        <stp/>
        <stp>BDP|6603225460432909122</stp>
        <tr r="P1814" s="2"/>
      </tp>
      <tp t="s">
        <v>#N/A N/A</v>
        <stp/>
        <stp>BDP|1102655340585242797</stp>
        <tr r="J2101" s="2"/>
      </tp>
      <tp t="s">
        <v>#N/A N/A</v>
        <stp/>
        <stp>BDP|8508880005607643611</stp>
        <tr r="F2069" s="2"/>
      </tp>
      <tp t="s">
        <v>#N/A N/A</v>
        <stp/>
        <stp>BDP|7031193227452822794</stp>
        <tr r="G266" s="2"/>
      </tp>
      <tp t="s">
        <v>#N/A N/A</v>
        <stp/>
        <stp>BDP|5365951724206923945</stp>
        <tr r="Q1877" s="2"/>
      </tp>
      <tp t="s">
        <v>#N/A N/A</v>
        <stp/>
        <stp>BDP|2681778418604006164</stp>
        <tr r="N432" s="2"/>
      </tp>
      <tp t="s">
        <v>#N/A N/A</v>
        <stp/>
        <stp>BDP|3989788668430511337</stp>
        <tr r="E1062" s="2"/>
      </tp>
      <tp t="s">
        <v>#N/A N/A</v>
        <stp/>
        <stp>BDP|6241268229940729755</stp>
        <tr r="T1203" s="2"/>
      </tp>
      <tp t="s">
        <v>#N/A N/A</v>
        <stp/>
        <stp>BDP|2431981951697475866</stp>
        <tr r="Q360" s="2"/>
      </tp>
      <tp t="s">
        <v>#N/A N/A</v>
        <stp/>
        <stp>BDS|4117921307634303880</stp>
        <tr r="I1702" s="2"/>
      </tp>
      <tp t="s">
        <v>#N/A N/A</v>
        <stp/>
        <stp>BDP|9130956579541554770</stp>
        <tr r="N589" s="2"/>
      </tp>
      <tp t="s">
        <v>#N/A N/A</v>
        <stp/>
        <stp>BDS|5430702010143833135</stp>
        <tr r="I933" s="2"/>
      </tp>
      <tp t="s">
        <v>#N/A N/A</v>
        <stp/>
        <stp>BDP|4573171040330560086</stp>
        <tr r="T794" s="2"/>
      </tp>
      <tp t="s">
        <v>#N/A N/A</v>
        <stp/>
        <stp>BDP|5502207125616622296</stp>
        <tr r="C2008" s="2"/>
      </tp>
      <tp t="s">
        <v>#N/A N/A</v>
        <stp/>
        <stp>BDP|5935476213393352216</stp>
        <tr r="K1415" s="2"/>
      </tp>
      <tp t="s">
        <v>#N/A N/A</v>
        <stp/>
        <stp>BDP|7814014575111488079</stp>
        <tr r="O512" s="2"/>
      </tp>
      <tp t="s">
        <v>#N/A N/A</v>
        <stp/>
        <stp>BDP|3197350758836508264</stp>
        <tr r="R80" s="2"/>
      </tp>
      <tp t="s">
        <v>#N/A N/A</v>
        <stp/>
        <stp>BDP|4191296708057627099</stp>
        <tr r="K286" s="2"/>
      </tp>
      <tp t="s">
        <v>#N/A N/A</v>
        <stp/>
        <stp>BDP|3907650153352146313</stp>
        <tr r="S1766" s="2"/>
      </tp>
      <tp t="s">
        <v>#N/A N/A</v>
        <stp/>
        <stp>BDP|8015484683684072140</stp>
        <tr r="G311" s="2"/>
      </tp>
      <tp t="s">
        <v>#N/A N/A</v>
        <stp/>
        <stp>BDS|3771917289611108211</stp>
        <tr r="I918" s="2"/>
      </tp>
      <tp t="s">
        <v>#N/A N/A</v>
        <stp/>
        <stp>BDP|1833752344640493329</stp>
        <tr r="N735" s="2"/>
      </tp>
      <tp t="s">
        <v>#N/A N/A</v>
        <stp/>
        <stp>BDP|6549917988657718143</stp>
        <tr r="A1487" s="2"/>
      </tp>
      <tp t="s">
        <v>#N/A N/A</v>
        <stp/>
        <stp>BDP|1229066474671619695</stp>
        <tr r="S582" s="2"/>
      </tp>
      <tp t="s">
        <v>#N/A N/A</v>
        <stp/>
        <stp>BDP|6286315457792895335</stp>
        <tr r="P627" s="2"/>
      </tp>
      <tp t="s">
        <v>#N/A N/A</v>
        <stp/>
        <stp>BDP|9416721766471849876</stp>
        <tr r="C346" s="2"/>
      </tp>
      <tp t="s">
        <v>#N/A N/A</v>
        <stp/>
        <stp>BDP|3942658512720770555</stp>
        <tr r="H2061" s="2"/>
      </tp>
      <tp t="s">
        <v>#N/A N/A</v>
        <stp/>
        <stp>BDP|8882652295793749530</stp>
        <tr r="A541" s="2"/>
      </tp>
      <tp t="s">
        <v>#N/A N/A</v>
        <stp/>
        <stp>BDP|7085293314251142404</stp>
        <tr r="S2143" s="2"/>
      </tp>
      <tp t="s">
        <v>#N/A N/A</v>
        <stp/>
        <stp>BDP|4703075002635693083</stp>
        <tr r="D257" s="2"/>
      </tp>
      <tp t="s">
        <v>#N/A N/A</v>
        <stp/>
        <stp>BDP|7094481866744030025</stp>
        <tr r="R49" s="2"/>
      </tp>
      <tp t="s">
        <v>#N/A N/A</v>
        <stp/>
        <stp>BDP|8849962720052791056</stp>
        <tr r="D1724" s="2"/>
      </tp>
      <tp t="s">
        <v>#N/A N/A</v>
        <stp/>
        <stp>BDP|4425494048104071198</stp>
        <tr r="S2054" s="2"/>
      </tp>
      <tp t="s">
        <v>#N/A N/A</v>
        <stp/>
        <stp>BDP|9184309442017811878</stp>
        <tr r="D1124" s="2"/>
      </tp>
      <tp t="s">
        <v>#N/A N/A</v>
        <stp/>
        <stp>BDP|3554055943017884170</stp>
        <tr r="T1647" s="2"/>
      </tp>
      <tp t="s">
        <v>#N/A N/A</v>
        <stp/>
        <stp>BDP|8928819825204109701</stp>
        <tr r="O404" s="2"/>
      </tp>
      <tp t="s">
        <v>#N/A N/A</v>
        <stp/>
        <stp>BDP|4071399976104318505</stp>
        <tr r="Q118" s="2"/>
      </tp>
      <tp t="s">
        <v>#N/A N/A</v>
        <stp/>
        <stp>BDS|2751970199957166442</stp>
        <tr r="I1487" s="2"/>
      </tp>
      <tp t="s">
        <v>#N/A N/A</v>
        <stp/>
        <stp>BDP|3624403779932474375</stp>
        <tr r="K769" s="2"/>
      </tp>
      <tp t="s">
        <v>#N/A N/A</v>
        <stp/>
        <stp>BDP|4821659147630275740</stp>
        <tr r="M1759" s="2"/>
      </tp>
      <tp t="s">
        <v>#N/A N/A</v>
        <stp/>
        <stp>BDP|9490381446369334652</stp>
        <tr r="N894" s="2"/>
      </tp>
      <tp t="s">
        <v>#N/A N/A</v>
        <stp/>
        <stp>BDP|4488357346035338786</stp>
        <tr r="M1387" s="2"/>
      </tp>
      <tp t="s">
        <v>#N/A N/A</v>
        <stp/>
        <stp>BDP|3681267210822853348</stp>
        <tr r="M1004" s="2"/>
      </tp>
      <tp t="s">
        <v>#N/A N/A</v>
        <stp/>
        <stp>BDP|9995163556234629830</stp>
        <tr r="P1089" s="2"/>
      </tp>
      <tp t="s">
        <v>#N/A N/A</v>
        <stp/>
        <stp>BDP|8817857630837657576</stp>
        <tr r="M1238" s="2"/>
      </tp>
      <tp t="s">
        <v>#N/A N/A</v>
        <stp/>
        <stp>BDP|1414659951207953452</stp>
        <tr r="J996" s="2"/>
      </tp>
      <tp t="s">
        <v>#N/A N/A</v>
        <stp/>
        <stp>BDP|2902273438944836625</stp>
        <tr r="G1833" s="2"/>
      </tp>
      <tp t="s">
        <v>#N/A N/A</v>
        <stp/>
        <stp>BDP|2994209217330791056</stp>
        <tr r="M276" s="2"/>
      </tp>
      <tp t="s">
        <v>#N/A N/A</v>
        <stp/>
        <stp>BDP|2544338096471970853</stp>
        <tr r="F1317" s="2"/>
      </tp>
      <tp t="s">
        <v>#N/A N/A</v>
        <stp/>
        <stp>BDP|5449688722395618542</stp>
        <tr r="E1128" s="2"/>
      </tp>
      <tp t="s">
        <v>#N/A N/A</v>
        <stp/>
        <stp>BDP|3347539391926520889</stp>
        <tr r="J1030" s="2"/>
      </tp>
      <tp t="s">
        <v>#N/A N/A</v>
        <stp/>
        <stp>BDP|9796244028528647013</stp>
        <tr r="C1538" s="2"/>
      </tp>
      <tp t="s">
        <v>#N/A N/A</v>
        <stp/>
        <stp>BDP|2685569958542196152</stp>
        <tr r="N1675" s="2"/>
      </tp>
      <tp t="s">
        <v>#N/A N/A</v>
        <stp/>
        <stp>BDP|5816356070291329129</stp>
        <tr r="M1106" s="2"/>
      </tp>
      <tp t="s">
        <v>#N/A N/A</v>
        <stp/>
        <stp>BDP|9910136788657862669</stp>
        <tr r="P1176" s="2"/>
      </tp>
      <tp t="s">
        <v>#N/A N/A</v>
        <stp/>
        <stp>BDP|3554098690698826387</stp>
        <tr r="K1726" s="2"/>
      </tp>
      <tp t="s">
        <v>#N/A N/A</v>
        <stp/>
        <stp>BDP|1156576775794792683</stp>
        <tr r="P1664" s="2"/>
      </tp>
      <tp t="s">
        <v>#N/A N/A</v>
        <stp/>
        <stp>BDP|6700299507613771629</stp>
        <tr r="K251" s="2"/>
      </tp>
      <tp t="s">
        <v>#N/A N/A</v>
        <stp/>
        <stp>BDP|6840587487149803333</stp>
        <tr r="A1463" s="2"/>
      </tp>
      <tp t="s">
        <v>#N/A N/A</v>
        <stp/>
        <stp>BDP|7551522502174827714</stp>
        <tr r="E182" s="2"/>
      </tp>
      <tp t="s">
        <v>#N/A N/A</v>
        <stp/>
        <stp>BDP|9389589640590102964</stp>
        <tr r="R1448" s="2"/>
      </tp>
      <tp t="s">
        <v>#N/A N/A</v>
        <stp/>
        <stp>BDP|8037937313777443687</stp>
        <tr r="K662" s="2"/>
      </tp>
      <tp t="s">
        <v>#N/A N/A</v>
        <stp/>
        <stp>BDP|4422091536470065672</stp>
        <tr r="A1910" s="2"/>
      </tp>
      <tp t="s">
        <v>#N/A N/A</v>
        <stp/>
        <stp>BDP|5156063268196548460</stp>
        <tr r="S1371" s="2"/>
      </tp>
      <tp t="s">
        <v>#N/A N/A</v>
        <stp/>
        <stp>BDP|3149338052263957758</stp>
        <tr r="F1174" s="2"/>
      </tp>
      <tp t="s">
        <v>#N/A N/A</v>
        <stp/>
        <stp>BDP|9807886508365051542</stp>
        <tr r="R1592" s="2"/>
      </tp>
      <tp t="s">
        <v>#N/A N/A</v>
        <stp/>
        <stp>BDP|7864544411461260332</stp>
        <tr r="C1286" s="2"/>
      </tp>
      <tp t="s">
        <v>#N/A N/A</v>
        <stp/>
        <stp>BDP|5230629358214522318</stp>
        <tr r="G472" s="2"/>
      </tp>
      <tp t="s">
        <v>#N/A N/A</v>
        <stp/>
        <stp>BDP|1354284436390698179</stp>
        <tr r="E299" s="2"/>
      </tp>
      <tp t="s">
        <v>#N/A N/A</v>
        <stp/>
        <stp>BDP|4324644546641946646</stp>
        <tr r="C2198" s="2"/>
      </tp>
      <tp t="s">
        <v>#N/A N/A</v>
        <stp/>
        <stp>BDP|7407718698219293131</stp>
        <tr r="J1399" s="2"/>
      </tp>
      <tp t="s">
        <v>#N/A N/A</v>
        <stp/>
        <stp>BDP|8782453767649899216</stp>
        <tr r="A748" s="2"/>
      </tp>
      <tp t="s">
        <v>#N/A N/A</v>
        <stp/>
        <stp>BDP|2746122388493896999</stp>
        <tr r="S257" s="2"/>
      </tp>
      <tp t="s">
        <v>#N/A N/A</v>
        <stp/>
        <stp>BDP|3668010949521129733</stp>
        <tr r="S2146" s="2"/>
      </tp>
      <tp t="s">
        <v>#N/A N/A</v>
        <stp/>
        <stp>BDP|5804224105460038631</stp>
        <tr r="T1654" s="2"/>
      </tp>
      <tp t="s">
        <v>#N/A N/A</v>
        <stp/>
        <stp>BDS|4755729364433880756</stp>
        <tr r="I1698" s="2"/>
      </tp>
      <tp t="s">
        <v>#N/A N/A</v>
        <stp/>
        <stp>BDP|8015986898698445180</stp>
        <tr r="R1733" s="2"/>
      </tp>
      <tp t="s">
        <v>#N/A N/A</v>
        <stp/>
        <stp>BDP|1740941779519254740</stp>
        <tr r="D769" s="2"/>
      </tp>
      <tp t="s">
        <v>#N/A N/A</v>
        <stp/>
        <stp>BDP|7382368137174667282</stp>
        <tr r="Q431" s="2"/>
      </tp>
      <tp t="s">
        <v>#N/A N/A</v>
        <stp/>
        <stp>BDP|3232827509488033256</stp>
        <tr r="O2065" s="2"/>
      </tp>
      <tp t="s">
        <v>#N/A N/A</v>
        <stp/>
        <stp>BDP|1412451719896654328</stp>
        <tr r="M1304" s="2"/>
      </tp>
      <tp t="s">
        <v>#N/A N/A</v>
        <stp/>
        <stp>BDP|9059811040102430693</stp>
        <tr r="F256" s="2"/>
      </tp>
      <tp t="s">
        <v>#N/A N/A</v>
        <stp/>
        <stp>BDP|1837423858042831366</stp>
        <tr r="Q2010" s="2"/>
      </tp>
      <tp t="s">
        <v>#N/A N/A</v>
        <stp/>
        <stp>BDP|4849127242733333372</stp>
        <tr r="P1193" s="2"/>
      </tp>
      <tp t="s">
        <v>#N/A N/A</v>
        <stp/>
        <stp>BDP|9930951100444671565</stp>
        <tr r="A411" s="2"/>
      </tp>
      <tp t="s">
        <v>#N/A N/A</v>
        <stp/>
        <stp>BDP|2879131440402078471</stp>
        <tr r="G16" s="2"/>
      </tp>
      <tp t="s">
        <v>#N/A N/A</v>
        <stp/>
        <stp>BDP|4443130607663565790</stp>
        <tr r="M358" s="2"/>
      </tp>
      <tp t="s">
        <v>#N/A N/A</v>
        <stp/>
        <stp>BDP|6430053003242955573</stp>
        <tr r="A52" s="2"/>
      </tp>
      <tp t="s">
        <v>#N/A N/A</v>
        <stp/>
        <stp>BDP|7967318301966371364</stp>
        <tr r="A645" s="2"/>
      </tp>
      <tp t="s">
        <v>#N/A N/A</v>
        <stp/>
        <stp>BDP|3320366243063839623</stp>
        <tr r="K533" s="2"/>
      </tp>
      <tp t="s">
        <v>#N/A N/A</v>
        <stp/>
        <stp>BDP|1002605788286272864</stp>
        <tr r="K1176" s="2"/>
      </tp>
      <tp t="s">
        <v>#N/A N/A</v>
        <stp/>
        <stp>BDP|1124555849642730366</stp>
        <tr r="N1550" s="2"/>
      </tp>
      <tp t="s">
        <v>#N/A N/A</v>
        <stp/>
        <stp>BDP|3059500254521010385</stp>
        <tr r="O825" s="2"/>
      </tp>
      <tp t="s">
        <v>#N/A N/A</v>
        <stp/>
        <stp>BDP|7286129393058669693</stp>
        <tr r="C2016" s="2"/>
      </tp>
      <tp t="s">
        <v>#N/A N/A</v>
        <stp/>
        <stp>BDP|1657451726786132084</stp>
        <tr r="N1169" s="2"/>
      </tp>
      <tp t="s">
        <v>#N/A N/A</v>
        <stp/>
        <stp>BDP|8044247348447669865</stp>
        <tr r="J1669" s="2"/>
      </tp>
      <tp t="s">
        <v>#N/A N/A</v>
        <stp/>
        <stp>BDP|5493950085717886201</stp>
        <tr r="D1368" s="2"/>
      </tp>
      <tp t="s">
        <v>#N/A N/A</v>
        <stp/>
        <stp>BDP|1273133825540978311</stp>
        <tr r="H1401" s="2"/>
      </tp>
      <tp t="s">
        <v>#N/A N/A</v>
        <stp/>
        <stp>BDP|6274899159318729298</stp>
        <tr r="R77" s="2"/>
      </tp>
      <tp t="s">
        <v>#N/A N/A</v>
        <stp/>
        <stp>BDP|6072631129500136376</stp>
        <tr r="M2029" s="2"/>
      </tp>
      <tp t="s">
        <v>#N/A N/A</v>
        <stp/>
        <stp>BDP|1264654668174503465</stp>
        <tr r="R1779" s="2"/>
      </tp>
      <tp t="s">
        <v>#N/A N/A</v>
        <stp/>
        <stp>BDP|5690097621015390311</stp>
        <tr r="Q1467" s="2"/>
      </tp>
      <tp t="s">
        <v>#N/A N/A</v>
        <stp/>
        <stp>BDP|3237190412033771122</stp>
        <tr r="G567" s="2"/>
      </tp>
      <tp t="s">
        <v>#N/A N/A</v>
        <stp/>
        <stp>BDP|7936093135513174684</stp>
        <tr r="E2132" s="2"/>
      </tp>
      <tp t="s">
        <v>#N/A N/A</v>
        <stp/>
        <stp>BDP|4979287420865477099</stp>
        <tr r="P977" s="2"/>
      </tp>
      <tp t="s">
        <v>#N/A N/A</v>
        <stp/>
        <stp>BDP|8784128778248749760</stp>
        <tr r="K2206" s="2"/>
      </tp>
      <tp t="s">
        <v>#N/A N/A</v>
        <stp/>
        <stp>BDP|5541200862417317787</stp>
        <tr r="Q1931" s="2"/>
      </tp>
      <tp t="s">
        <v>#N/A N/A</v>
        <stp/>
        <stp>BDP|3654886352899897684</stp>
        <tr r="D1128" s="2"/>
      </tp>
      <tp t="s">
        <v>#N/A N/A</v>
        <stp/>
        <stp>BDP|8651788518547369898</stp>
        <tr r="C1068" s="2"/>
      </tp>
      <tp t="s">
        <v>#N/A N/A</v>
        <stp/>
        <stp>BDP|4874357616924057365</stp>
        <tr r="F272" s="2"/>
      </tp>
      <tp t="s">
        <v>#N/A N/A</v>
        <stp/>
        <stp>BDP|5445262241657805569</stp>
        <tr r="C1746" s="2"/>
      </tp>
      <tp t="s">
        <v>#N/A N/A</v>
        <stp/>
        <stp>BDP|4367649046665831243</stp>
        <tr r="A1672" s="2"/>
      </tp>
      <tp t="s">
        <v>#N/A N/A</v>
        <stp/>
        <stp>BDP|6870018979688963846</stp>
        <tr r="G1277" s="2"/>
      </tp>
      <tp t="s">
        <v>#N/A N/A</v>
        <stp/>
        <stp>BDS|5623882862348007219</stp>
        <tr r="I1466" s="2"/>
      </tp>
      <tp t="s">
        <v>#N/A N/A</v>
        <stp/>
        <stp>BDP|4018761758215238219</stp>
        <tr r="Q759" s="2"/>
      </tp>
      <tp t="s">
        <v>#N/A N/A</v>
        <stp/>
        <stp>BDP|5614727672822870631</stp>
        <tr r="K921" s="2"/>
      </tp>
      <tp t="s">
        <v>#N/A N/A</v>
        <stp/>
        <stp>BDS|5718370838701352568</stp>
        <tr r="I108" s="2"/>
      </tp>
      <tp t="s">
        <v>#N/A N/A</v>
        <stp/>
        <stp>BDP|9946772123879053403</stp>
        <tr r="P1074" s="2"/>
      </tp>
      <tp t="s">
        <v>#N/A N/A</v>
        <stp/>
        <stp>BDP|6769546535417292695</stp>
        <tr r="G1395" s="2"/>
      </tp>
      <tp t="s">
        <v>#N/A N/A</v>
        <stp/>
        <stp>BDP|4114118268734562603</stp>
        <tr r="E1783" s="2"/>
      </tp>
      <tp t="s">
        <v>#N/A N/A</v>
        <stp/>
        <stp>BDP|2909699308730538506</stp>
        <tr r="N1748" s="2"/>
      </tp>
      <tp t="s">
        <v>#N/A N/A</v>
        <stp/>
        <stp>BDP|6241382057551106018</stp>
        <tr r="A1169" s="2"/>
      </tp>
      <tp t="s">
        <v>#N/A N/A</v>
        <stp/>
        <stp>BDP|1587543808930684521</stp>
        <tr r="O1813" s="2"/>
      </tp>
      <tp t="s">
        <v>#N/A N/A</v>
        <stp/>
        <stp>BDP|2339960288550346239</stp>
        <tr r="F1211" s="2"/>
      </tp>
      <tp t="s">
        <v>#N/A N/A</v>
        <stp/>
        <stp>BDP|1079918670097560993</stp>
        <tr r="S1626" s="2"/>
      </tp>
      <tp t="s">
        <v>#N/A N/A</v>
        <stp/>
        <stp>BDP|3963301606504006528</stp>
        <tr r="J330" s="2"/>
      </tp>
      <tp t="s">
        <v>#N/A N/A</v>
        <stp/>
        <stp>BDP|6026199051194783728</stp>
        <tr r="N24" s="2"/>
      </tp>
      <tp t="s">
        <v>#N/A N/A</v>
        <stp/>
        <stp>BDS|6983773801025541576</stp>
        <tr r="I3" s="2"/>
      </tp>
      <tp t="s">
        <v>#N/A N/A</v>
        <stp/>
        <stp>BDP|8120911287179282187</stp>
        <tr r="O1725" s="2"/>
      </tp>
      <tp t="s">
        <v>#N/A N/A</v>
        <stp/>
        <stp>BDP|2899179717981002255</stp>
        <tr r="N1224" s="2"/>
      </tp>
      <tp t="s">
        <v>#N/A N/A</v>
        <stp/>
        <stp>BDP|5877355610595338338</stp>
        <tr r="F394" s="2"/>
      </tp>
      <tp t="s">
        <v>#N/A N/A</v>
        <stp/>
        <stp>BDS|4490687461676403347</stp>
        <tr r="I1503" s="2"/>
      </tp>
      <tp t="s">
        <v>#N/A N/A</v>
        <stp/>
        <stp>BDS|1305488641516470635</stp>
        <tr r="I1370" s="2"/>
      </tp>
      <tp t="s">
        <v>#N/A N/A</v>
        <stp/>
        <stp>BDP|7216084724154519069</stp>
        <tr r="G1412" s="2"/>
      </tp>
      <tp t="s">
        <v>#N/A N/A</v>
        <stp/>
        <stp>BDP|1128652569742937298</stp>
        <tr r="K1133" s="2"/>
      </tp>
      <tp t="s">
        <v>#N/A N/A</v>
        <stp/>
        <stp>BDP|7872168435894191072</stp>
        <tr r="J1770" s="2"/>
      </tp>
      <tp t="s">
        <v>#N/A N/A</v>
        <stp/>
        <stp>BDP|8837246944866446915</stp>
        <tr r="D1034" s="2"/>
      </tp>
      <tp t="s">
        <v>#N/A N/A</v>
        <stp/>
        <stp>BDS|9305130316688317088</stp>
        <tr r="I1403" s="2"/>
      </tp>
      <tp t="s">
        <v>#N/A N/A</v>
        <stp/>
        <stp>BDP|1836561631804515274</stp>
        <tr r="E244" s="2"/>
      </tp>
      <tp t="s">
        <v>#N/A N/A</v>
        <stp/>
        <stp>BDP|2502970305942375891</stp>
        <tr r="G186" s="2"/>
      </tp>
      <tp t="s">
        <v>#N/A N/A</v>
        <stp/>
        <stp>BDP|4051708045323960517</stp>
        <tr r="S108" s="2"/>
      </tp>
      <tp t="s">
        <v>#N/A N/A</v>
        <stp/>
        <stp>BDP|6900889538779041545</stp>
        <tr r="G733" s="2"/>
      </tp>
      <tp t="s">
        <v>#N/A N/A</v>
        <stp/>
        <stp>BDP|2561297670122278438</stp>
        <tr r="E198" s="2"/>
      </tp>
      <tp t="s">
        <v>#N/A N/A</v>
        <stp/>
        <stp>BDP|1705338238380650071</stp>
        <tr r="Q1511" s="2"/>
      </tp>
      <tp t="s">
        <v>#N/A N/A</v>
        <stp/>
        <stp>BDS|7435248019185017047</stp>
        <tr r="I1216" s="2"/>
      </tp>
      <tp t="s">
        <v>#N/A N/A</v>
        <stp/>
        <stp>BDP|1733497960073392103</stp>
        <tr r="E1924" s="2"/>
      </tp>
      <tp t="s">
        <v>#N/A N/A</v>
        <stp/>
        <stp>BDP|7889634677720512744</stp>
        <tr r="K341" s="2"/>
      </tp>
      <tp t="s">
        <v>#N/A N/A</v>
        <stp/>
        <stp>BDP|6055931085466332082</stp>
        <tr r="E1269" s="2"/>
      </tp>
      <tp t="s">
        <v>#N/A N/A</v>
        <stp/>
        <stp>BDP|4545915853598368193</stp>
        <tr r="P443" s="2"/>
      </tp>
      <tp t="s">
        <v>#N/A N/A</v>
        <stp/>
        <stp>BDP|3498678020741712796</stp>
        <tr r="M2097" s="2"/>
      </tp>
      <tp t="s">
        <v>#N/A N/A</v>
        <stp/>
        <stp>BDP|5075216047137952525</stp>
        <tr r="C595" s="2"/>
      </tp>
      <tp t="s">
        <v>#N/A N/A</v>
        <stp/>
        <stp>BDP|5476468928807249553</stp>
        <tr r="O1718" s="2"/>
      </tp>
      <tp t="s">
        <v>#N/A N/A</v>
        <stp/>
        <stp>BDP|5771482370473382419</stp>
        <tr r="C1725" s="2"/>
      </tp>
      <tp t="s">
        <v>#N/A N/A</v>
        <stp/>
        <stp>BDP|4534688438208113898</stp>
        <tr r="E586" s="2"/>
      </tp>
      <tp t="s">
        <v>#N/A N/A</v>
        <stp/>
        <stp>BDP|9090789775670973891</stp>
        <tr r="A1897" s="2"/>
      </tp>
      <tp t="s">
        <v>#N/A N/A</v>
        <stp/>
        <stp>BDP|3969577367354643526</stp>
        <tr r="O1793" s="2"/>
      </tp>
      <tp t="s">
        <v>#N/A N/A</v>
        <stp/>
        <stp>BDP|9303564818264942892</stp>
        <tr r="M1233" s="2"/>
      </tp>
      <tp t="s">
        <v>#N/A N/A</v>
        <stp/>
        <stp>BDP|2945276888251210891</stp>
        <tr r="Q313" s="2"/>
      </tp>
      <tp t="s">
        <v>#N/A N/A</v>
        <stp/>
        <stp>BDP|3336987295787607553</stp>
        <tr r="S2113" s="2"/>
      </tp>
      <tp t="s">
        <v>#N/A N/A</v>
        <stp/>
        <stp>BDP|5667713062755197098</stp>
        <tr r="D2080" s="2"/>
      </tp>
      <tp t="s">
        <v>#N/A N/A</v>
        <stp/>
        <stp>BDP|3100371220892295193</stp>
        <tr r="O1897" s="2"/>
      </tp>
      <tp t="s">
        <v>#N/A N/A</v>
        <stp/>
        <stp>BDP|3611788303260912598</stp>
        <tr r="F878" s="2"/>
      </tp>
      <tp t="s">
        <v>#N/A N/A</v>
        <stp/>
        <stp>BDP|6703382468463911135</stp>
        <tr r="P1349" s="2"/>
      </tp>
      <tp t="s">
        <v>#N/A N/A</v>
        <stp/>
        <stp>BDP|7308497450887384045</stp>
        <tr r="C989" s="2"/>
      </tp>
      <tp t="s">
        <v>#N/A N/A</v>
        <stp/>
        <stp>BDP|1895302504437391424</stp>
        <tr r="G106" s="2"/>
      </tp>
      <tp t="s">
        <v>#N/A N/A</v>
        <stp/>
        <stp>BDP|6947779244031275558</stp>
        <tr r="O1361" s="2"/>
      </tp>
      <tp t="s">
        <v>#N/A N/A</v>
        <stp/>
        <stp>BDP|4261239570289484987</stp>
        <tr r="C944" s="2"/>
      </tp>
      <tp t="s">
        <v>#N/A N/A</v>
        <stp/>
        <stp>BDP|6440039812007161199</stp>
        <tr r="E1615" s="2"/>
      </tp>
      <tp t="s">
        <v>#N/A N/A</v>
        <stp/>
        <stp>BDP|2059750726323728591</stp>
        <tr r="T165" s="2"/>
      </tp>
      <tp t="s">
        <v>#N/A N/A</v>
        <stp/>
        <stp>BDP|1552794530160234436</stp>
        <tr r="T1082" s="2"/>
      </tp>
      <tp t="s">
        <v>#N/A N/A</v>
        <stp/>
        <stp>BDP|2550520579752536364</stp>
        <tr r="M55" s="2"/>
      </tp>
      <tp t="s">
        <v>#N/A N/A</v>
        <stp/>
        <stp>BDP|7289518975510987428</stp>
        <tr r="K1943" s="2"/>
      </tp>
      <tp t="s">
        <v>#N/A N/A</v>
        <stp/>
        <stp>BDP|8063924001656624683</stp>
        <tr r="M1814" s="2"/>
      </tp>
      <tp t="s">
        <v>#N/A N/A</v>
        <stp/>
        <stp>BDP|7822345043639242800</stp>
        <tr r="G1737" s="2"/>
      </tp>
      <tp t="s">
        <v>#N/A N/A</v>
        <stp/>
        <stp>BDP|8455911947771925564</stp>
        <tr r="E1760" s="2"/>
      </tp>
      <tp t="s">
        <v>#N/A N/A</v>
        <stp/>
        <stp>BDP|9650138528733892887</stp>
        <tr r="A726" s="2"/>
      </tp>
      <tp t="s">
        <v>#N/A N/A</v>
        <stp/>
        <stp>BDP|1372289674295108038</stp>
        <tr r="M908" s="2"/>
      </tp>
      <tp t="s">
        <v>#N/A N/A</v>
        <stp/>
        <stp>BDP|6002793702378175873</stp>
        <tr r="D386" s="2"/>
      </tp>
      <tp t="s">
        <v>#N/A N/A</v>
        <stp/>
        <stp>BDP|7848244054663269274</stp>
        <tr r="E2116" s="2"/>
      </tp>
      <tp t="s">
        <v>#N/A N/A</v>
        <stp/>
        <stp>BDP|9988311094666032418</stp>
        <tr r="A830" s="2"/>
      </tp>
      <tp t="s">
        <v>#N/A N/A</v>
        <stp/>
        <stp>BDP|5611242848943272159</stp>
        <tr r="J2028" s="2"/>
      </tp>
      <tp t="s">
        <v>#N/A N/A</v>
        <stp/>
        <stp>BDP|4369666878072912696</stp>
        <tr r="T26" s="2"/>
      </tp>
      <tp t="s">
        <v>#N/A N/A</v>
        <stp/>
        <stp>BDP|8349390219699761293</stp>
        <tr r="S173" s="2"/>
      </tp>
      <tp t="s">
        <v>#N/A N/A</v>
        <stp/>
        <stp>BDP|3873099835378130989</stp>
        <tr r="Q1191" s="2"/>
      </tp>
      <tp t="s">
        <v>#N/A N/A</v>
        <stp/>
        <stp>BDP|8235495360092341955</stp>
        <tr r="K1455" s="2"/>
      </tp>
      <tp t="s">
        <v>#N/A N/A</v>
        <stp/>
        <stp>BDS|6339083336246605266</stp>
        <tr r="I2092" s="2"/>
      </tp>
      <tp t="s">
        <v>#N/A N/A</v>
        <stp/>
        <stp>BDP|7767895951332309916</stp>
        <tr r="A1789" s="2"/>
      </tp>
      <tp t="s">
        <v>#N/A N/A</v>
        <stp/>
        <stp>BDP|4623567154051818412</stp>
        <tr r="D301" s="2"/>
      </tp>
      <tp t="s">
        <v>#N/A N/A</v>
        <stp/>
        <stp>BDS|2016259758671239528</stp>
        <tr r="I1681" s="2"/>
      </tp>
      <tp t="s">
        <v>#N/A N/A</v>
        <stp/>
        <stp>BDP|8144363047669793751</stp>
        <tr r="A1024" s="2"/>
      </tp>
      <tp t="s">
        <v>#N/A N/A</v>
        <stp/>
        <stp>BDP|2978583814557617019</stp>
        <tr r="A1569" s="2"/>
      </tp>
      <tp t="s">
        <v>#N/A N/A</v>
        <stp/>
        <stp>BDP|5373547024517350429</stp>
        <tr r="N1832" s="2"/>
      </tp>
      <tp t="s">
        <v>#N/A N/A</v>
        <stp/>
        <stp>BDP|6770559357233073472</stp>
        <tr r="M1180" s="2"/>
      </tp>
      <tp t="s">
        <v>#N/A N/A</v>
        <stp/>
        <stp>BDP|2678679518111230595</stp>
        <tr r="A535" s="2"/>
      </tp>
      <tp t="s">
        <v>#N/A N/A</v>
        <stp/>
        <stp>BDP|9401416573392680924</stp>
        <tr r="T1024" s="2"/>
      </tp>
      <tp t="s">
        <v>#N/A N/A</v>
        <stp/>
        <stp>BDP|1188056527430075214</stp>
        <tr r="P2086" s="2"/>
      </tp>
      <tp t="s">
        <v>#N/A N/A</v>
        <stp/>
        <stp>BDP|7476336554932205230</stp>
        <tr r="G302" s="2"/>
      </tp>
      <tp t="s">
        <v>#N/A N/A</v>
        <stp/>
        <stp>BDP|4939135723287350189</stp>
        <tr r="D770" s="2"/>
      </tp>
      <tp t="s">
        <v>#N/A N/A</v>
        <stp/>
        <stp>BDP|6308746903900557032</stp>
        <tr r="M1717" s="2"/>
      </tp>
      <tp t="s">
        <v>#N/A N/A</v>
        <stp/>
        <stp>BDP|7064096919142299500</stp>
        <tr r="T440" s="2"/>
      </tp>
      <tp t="s">
        <v>#N/A N/A</v>
        <stp/>
        <stp>BDS|2587663129124836302</stp>
        <tr r="I2123" s="2"/>
      </tp>
      <tp t="s">
        <v>#N/A N/A</v>
        <stp/>
        <stp>BDP|2840867593447888577</stp>
        <tr r="N1152" s="2"/>
      </tp>
      <tp t="s">
        <v>#N/A N/A</v>
        <stp/>
        <stp>BDP|2891011812113043195</stp>
        <tr r="M134" s="2"/>
      </tp>
      <tp t="s">
        <v>#N/A N/A</v>
        <stp/>
        <stp>BDP|1052560416335540179</stp>
        <tr r="R259" s="2"/>
      </tp>
      <tp t="s">
        <v>#N/A N/A</v>
        <stp/>
        <stp>BDP|2508358977722001554</stp>
        <tr r="C2254" s="2"/>
      </tp>
      <tp t="s">
        <v>#N/A N/A</v>
        <stp/>
        <stp>BDP|3574467352810645357</stp>
        <tr r="P1516" s="2"/>
      </tp>
      <tp t="s">
        <v>#N/A N/A</v>
        <stp/>
        <stp>BDP|8419452720799590667</stp>
        <tr r="A401" s="2"/>
      </tp>
      <tp t="s">
        <v>#N/A N/A</v>
        <stp/>
        <stp>BDP|8289223121519739047</stp>
        <tr r="Q1663" s="2"/>
      </tp>
      <tp t="s">
        <v>#N/A N/A</v>
        <stp/>
        <stp>BDP|2840693362943819095</stp>
        <tr r="S861" s="2"/>
      </tp>
      <tp t="s">
        <v>#N/A N/A</v>
        <stp/>
        <stp>BDP|8541236031730617839</stp>
        <tr r="G784" s="2"/>
      </tp>
      <tp t="s">
        <v>#N/A N/A</v>
        <stp/>
        <stp>BDP|6809738218587724662</stp>
        <tr r="R2015" s="2"/>
      </tp>
      <tp t="s">
        <v>#N/A N/A</v>
        <stp/>
        <stp>BDP|6815624880880932913</stp>
        <tr r="E2177" s="2"/>
      </tp>
      <tp t="s">
        <v>#N/A N/A</v>
        <stp/>
        <stp>BDP|1488223432860676109</stp>
        <tr r="E1997" s="2"/>
      </tp>
      <tp t="s">
        <v>#N/A N/A</v>
        <stp/>
        <stp>BDS|6083347587198662476</stp>
        <tr r="I1795" s="2"/>
      </tp>
      <tp t="s">
        <v>#N/A N/A</v>
        <stp/>
        <stp>BDP|2409115465620660448</stp>
        <tr r="P207" s="2"/>
      </tp>
      <tp t="s">
        <v>#N/A N/A</v>
        <stp/>
        <stp>BDP|3012247862084625228</stp>
        <tr r="A1958" s="2"/>
      </tp>
      <tp t="s">
        <v>#N/A N/A</v>
        <stp/>
        <stp>BDP|1824648460850786096</stp>
        <tr r="R1942" s="2"/>
      </tp>
      <tp t="s">
        <v>#N/A N/A</v>
        <stp/>
        <stp>BDP|2380204256471106564</stp>
        <tr r="F1606" s="2"/>
      </tp>
      <tp t="s">
        <v>#N/A N/A</v>
        <stp/>
        <stp>BDP|7301224587119196550</stp>
        <tr r="F323" s="2"/>
      </tp>
      <tp t="s">
        <v>#N/A N/A</v>
        <stp/>
        <stp>BDS|9537967102510350108</stp>
        <tr r="I2244" s="2"/>
      </tp>
      <tp t="s">
        <v>#N/A N/A</v>
        <stp/>
        <stp>BDP|1198484038677432077</stp>
        <tr r="C1742" s="2"/>
      </tp>
      <tp t="s">
        <v>#N/A N/A</v>
        <stp/>
        <stp>BDP|1194591760287264483</stp>
        <tr r="E31" s="2"/>
      </tp>
      <tp t="s">
        <v>#N/A N/A</v>
        <stp/>
        <stp>BDP|4578136591509434418</stp>
        <tr r="M244" s="2"/>
      </tp>
      <tp t="s">
        <v>#N/A N/A</v>
        <stp/>
        <stp>BDP|5382665040501269751</stp>
        <tr r="O164" s="2"/>
      </tp>
      <tp t="s">
        <v>#N/A N/A</v>
        <stp/>
        <stp>BDP|2234195636250692193</stp>
        <tr r="P701" s="2"/>
      </tp>
      <tp t="s">
        <v>#N/A N/A</v>
        <stp/>
        <stp>BDP|2042850409113791892</stp>
        <tr r="R1152" s="2"/>
      </tp>
      <tp t="s">
        <v>#N/A N/A</v>
        <stp/>
        <stp>BDP|1796611400062057443</stp>
        <tr r="G1368" s="2"/>
      </tp>
      <tp t="s">
        <v>#N/A N/A</v>
        <stp/>
        <stp>BDP|3104724734016221078</stp>
        <tr r="F1456" s="2"/>
      </tp>
      <tp t="s">
        <v>#N/A N/A</v>
        <stp/>
        <stp>BDP|1615691750622998141</stp>
        <tr r="T42" s="2"/>
      </tp>
      <tp t="s">
        <v>#N/A N/A</v>
        <stp/>
        <stp>BDP|1934702955002788098</stp>
        <tr r="O1209" s="2"/>
      </tp>
      <tp t="s">
        <v>#N/A N/A</v>
        <stp/>
        <stp>BDP|2425118327537987796</stp>
        <tr r="N2021" s="2"/>
      </tp>
      <tp t="s">
        <v>#N/A N/A</v>
        <stp/>
        <stp>BDP|7092188788717716856</stp>
        <tr r="C453" s="2"/>
      </tp>
      <tp t="s">
        <v>#N/A N/A</v>
        <stp/>
        <stp>BDP|2033148991602546928</stp>
        <tr r="G2096" s="2"/>
      </tp>
      <tp t="s">
        <v>#N/A N/A</v>
        <stp/>
        <stp>BDP|8201603450383827983</stp>
        <tr r="J474" s="2"/>
      </tp>
      <tp t="s">
        <v>#N/A N/A</v>
        <stp/>
        <stp>BDP|5789396528235358079</stp>
        <tr r="E471" s="2"/>
      </tp>
      <tp t="s">
        <v>#N/A N/A</v>
        <stp/>
        <stp>BDP|1349312117356051470</stp>
        <tr r="F441" s="2"/>
      </tp>
      <tp t="s">
        <v>#N/A N/A</v>
        <stp/>
        <stp>BDP|9541477689301119581</stp>
        <tr r="F992" s="2"/>
      </tp>
      <tp t="s">
        <v>#N/A N/A</v>
        <stp/>
        <stp>BDP|6726581335861939018</stp>
        <tr r="R1673" s="2"/>
      </tp>
      <tp t="s">
        <v>#N/A N/A</v>
        <stp/>
        <stp>BDP|1497883959244191961</stp>
        <tr r="P1291" s="2"/>
      </tp>
      <tp t="s">
        <v>#N/A N/A</v>
        <stp/>
        <stp>BDP|6242753583750009860</stp>
        <tr r="J36" s="2"/>
      </tp>
      <tp t="s">
        <v>#N/A N/A</v>
        <stp/>
        <stp>BDP|2977836285201531283</stp>
        <tr r="P1539" s="2"/>
      </tp>
      <tp t="s">
        <v>#N/A N/A</v>
        <stp/>
        <stp>BDP|2019449960558792917</stp>
        <tr r="A1301" s="2"/>
      </tp>
      <tp t="s">
        <v>#N/A N/A</v>
        <stp/>
        <stp>BDS|6903558562926864247</stp>
        <tr r="I1720" s="2"/>
      </tp>
      <tp t="s">
        <v>#N/A N/A</v>
        <stp/>
        <stp>BDP|1714618965525292536</stp>
        <tr r="J2127" s="2"/>
      </tp>
      <tp t="s">
        <v>#N/A N/A</v>
        <stp/>
        <stp>BDS|6528520795768051300</stp>
        <tr r="I569" s="2"/>
      </tp>
      <tp t="s">
        <v>#N/A N/A</v>
        <stp/>
        <stp>BDP|7107924248682064997</stp>
        <tr r="N798" s="2"/>
      </tp>
      <tp t="s">
        <v>#N/A N/A</v>
        <stp/>
        <stp>BDP|6367472341404760304</stp>
        <tr r="M703" s="2"/>
      </tp>
      <tp t="s">
        <v>#N/A N/A</v>
        <stp/>
        <stp>BDP|8724716432234347950</stp>
        <tr r="M863" s="2"/>
      </tp>
      <tp t="s">
        <v>#N/A N/A</v>
        <stp/>
        <stp>BDP|1562116974251218701</stp>
        <tr r="D397" s="2"/>
      </tp>
      <tp t="s">
        <v>#N/A N/A</v>
        <stp/>
        <stp>BDP|5025334165510413100</stp>
        <tr r="F1544" s="2"/>
      </tp>
      <tp t="s">
        <v>#N/A N/A</v>
        <stp/>
        <stp>BDP|5827680410674132735</stp>
        <tr r="C755" s="2"/>
      </tp>
      <tp t="s">
        <v>#N/A N/A</v>
        <stp/>
        <stp>BDP|1403488674317897420</stp>
        <tr r="C274" s="2"/>
      </tp>
      <tp t="s">
        <v>#N/A N/A</v>
        <stp/>
        <stp>BDP|5914093496064189958</stp>
        <tr r="G1782" s="2"/>
      </tp>
      <tp t="s">
        <v>#N/A N/A</v>
        <stp/>
        <stp>BDP|9931397608769889229</stp>
        <tr r="S266" s="2"/>
      </tp>
      <tp t="s">
        <v>#N/A N/A</v>
        <stp/>
        <stp>BDP|6629261515324515023</stp>
        <tr r="K506" s="2"/>
      </tp>
      <tp t="s">
        <v>#N/A N/A</v>
        <stp/>
        <stp>BDP|9609083437138909327</stp>
        <tr r="C217" s="2"/>
      </tp>
      <tp t="s">
        <v>#N/A N/A</v>
        <stp/>
        <stp>BDP|4209686509190579345</stp>
        <tr r="D1836" s="2"/>
      </tp>
      <tp t="s">
        <v>#N/A N/A</v>
        <stp/>
        <stp>BDS|4774800316995085930</stp>
        <tr r="I1827" s="2"/>
      </tp>
      <tp t="s">
        <v>#N/A N/A</v>
        <stp/>
        <stp>BDP|4054334209255017386</stp>
        <tr r="P269" s="2"/>
      </tp>
      <tp t="s">
        <v>#N/A N/A</v>
        <stp/>
        <stp>BDP|3021700597098020454</stp>
        <tr r="E1332" s="2"/>
      </tp>
      <tp t="s">
        <v>#N/A N/A</v>
        <stp/>
        <stp>BDP|6174877270391366971</stp>
        <tr r="J2175" s="2"/>
      </tp>
      <tp t="s">
        <v>#N/A N/A</v>
        <stp/>
        <stp>BDP|3160552252300239260</stp>
        <tr r="A940" s="2"/>
      </tp>
      <tp t="s">
        <v>#N/A N/A</v>
        <stp/>
        <stp>BDP|6301170134351473463</stp>
        <tr r="O2043" s="2"/>
      </tp>
      <tp t="s">
        <v>#N/A N/A</v>
        <stp/>
        <stp>BDP|6526479155073097555</stp>
        <tr r="Q1370" s="2"/>
      </tp>
      <tp t="s">
        <v>#N/A N/A</v>
        <stp/>
        <stp>BDP|2273442070300291068</stp>
        <tr r="K1127" s="2"/>
      </tp>
      <tp t="s">
        <v>#N/A N/A</v>
        <stp/>
        <stp>BDP|7452603173602500507</stp>
        <tr r="G1142" s="2"/>
      </tp>
      <tp t="s">
        <v>#N/A N/A</v>
        <stp/>
        <stp>BDP|1168016293350903984</stp>
        <tr r="T380" s="2"/>
      </tp>
      <tp t="s">
        <v>#N/A N/A</v>
        <stp/>
        <stp>BDP|4864382216121269664</stp>
        <tr r="P2187" s="2"/>
      </tp>
      <tp t="s">
        <v>#N/A N/A</v>
        <stp/>
        <stp>BDP|7070882972740873902</stp>
        <tr r="E1806" s="2"/>
      </tp>
      <tp t="s">
        <v>#N/A N/A</v>
        <stp/>
        <stp>BDP|7116418441531199722</stp>
        <tr r="Q1996" s="2"/>
      </tp>
      <tp t="s">
        <v>#N/A N/A</v>
        <stp/>
        <stp>BDP|3114756514280340416</stp>
        <tr r="F547" s="2"/>
      </tp>
      <tp t="s">
        <v>#N/A N/A</v>
        <stp/>
        <stp>BDP|6487119557422836180</stp>
        <tr r="P831" s="2"/>
      </tp>
      <tp t="s">
        <v>#N/A N/A</v>
        <stp/>
        <stp>BDP|3153225541587667365</stp>
        <tr r="H1810" s="2"/>
      </tp>
      <tp t="s">
        <v>#N/A N/A</v>
        <stp/>
        <stp>BDP|7194106863537595655</stp>
        <tr r="T1447" s="2"/>
      </tp>
      <tp t="s">
        <v>#N/A N/A</v>
        <stp/>
        <stp>BDP|9332054983771046172</stp>
        <tr r="R246" s="2"/>
      </tp>
      <tp t="s">
        <v>#N/A N/A</v>
        <stp/>
        <stp>BDP|2774616201362735738</stp>
        <tr r="J1220" s="2"/>
      </tp>
      <tp t="s">
        <v>#N/A N/A</v>
        <stp/>
        <stp>BDP|7986497472111414456</stp>
        <tr r="J272" s="2"/>
      </tp>
      <tp t="s">
        <v>#N/A N/A</v>
        <stp/>
        <stp>BDP|1445445480704170828</stp>
        <tr r="F1418" s="2"/>
      </tp>
      <tp t="s">
        <v>#N/A N/A</v>
        <stp/>
        <stp>BDP|1145766191127589902</stp>
        <tr r="O1444" s="2"/>
      </tp>
      <tp t="s">
        <v>#N/A N/A</v>
        <stp/>
        <stp>BDP|8421111068657744999</stp>
        <tr r="F2165" s="2"/>
      </tp>
      <tp t="s">
        <v>#N/A N/A</v>
        <stp/>
        <stp>BDP|3492788933047417188</stp>
        <tr r="O1787" s="2"/>
      </tp>
      <tp t="s">
        <v>#N/A N/A</v>
        <stp/>
        <stp>BDP|6017987996670492791</stp>
        <tr r="K2158" s="2"/>
      </tp>
      <tp t="s">
        <v>#N/A N/A</v>
        <stp/>
        <stp>BDP|6735028736255231121</stp>
        <tr r="H748" s="2"/>
      </tp>
      <tp t="s">
        <v>#N/A N/A</v>
        <stp/>
        <stp>BDP|2256871798972727094</stp>
        <tr r="R1133" s="2"/>
      </tp>
      <tp t="s">
        <v>#N/A N/A</v>
        <stp/>
        <stp>BDP|3933736675967912556</stp>
        <tr r="Q2226" s="2"/>
      </tp>
      <tp t="s">
        <v>#N/A N/A</v>
        <stp/>
        <stp>BDP|1870394509993360087</stp>
        <tr r="C1016" s="2"/>
      </tp>
      <tp t="s">
        <v>#N/A N/A</v>
        <stp/>
        <stp>BDP|4553058917300235466</stp>
        <tr r="N631" s="2"/>
      </tp>
      <tp t="s">
        <v>#N/A N/A</v>
        <stp/>
        <stp>BDP|2974346012882406382</stp>
        <tr r="D622" s="2"/>
      </tp>
      <tp t="s">
        <v>#N/A N/A</v>
        <stp/>
        <stp>BDP|6181227754361137155</stp>
        <tr r="R607" s="2"/>
      </tp>
      <tp t="s">
        <v>#N/A N/A</v>
        <stp/>
        <stp>BDP|6242839388044209387</stp>
        <tr r="J1715" s="2"/>
      </tp>
      <tp t="s">
        <v>#N/A N/A</v>
        <stp/>
        <stp>BDP|3814270812801651086</stp>
        <tr r="M2141" s="2"/>
      </tp>
      <tp t="s">
        <v>#N/A N/A</v>
        <stp/>
        <stp>BDP|9659148923288431366</stp>
        <tr r="E711" s="2"/>
      </tp>
      <tp t="s">
        <v>#N/A N/A</v>
        <stp/>
        <stp>BDP|4895071463223844073</stp>
        <tr r="G1256" s="2"/>
      </tp>
      <tp t="s">
        <v>#N/A N/A</v>
        <stp/>
        <stp>BDP|3498105976124003010</stp>
        <tr r="T1022" s="2"/>
      </tp>
      <tp t="s">
        <v>#N/A N/A</v>
        <stp/>
        <stp>BDP|1693126208291985068</stp>
        <tr r="O588" s="2"/>
      </tp>
      <tp t="s">
        <v>#N/A N/A</v>
        <stp/>
        <stp>BDP|6965679229003221061</stp>
        <tr r="A434" s="2"/>
      </tp>
      <tp t="s">
        <v>#N/A N/A</v>
        <stp/>
        <stp>BDP|7856389742001907080</stp>
        <tr r="E394" s="2"/>
      </tp>
      <tp t="s">
        <v>#N/A N/A</v>
        <stp/>
        <stp>BDP|1991303820700268187</stp>
        <tr r="J1559" s="2"/>
      </tp>
      <tp t="s">
        <v>#N/A N/A</v>
        <stp/>
        <stp>BDP|4820984684846210253</stp>
        <tr r="T572" s="2"/>
      </tp>
      <tp t="s">
        <v>#N/A N/A</v>
        <stp/>
        <stp>BDP|1703161569186340188</stp>
        <tr r="Q1051" s="2"/>
      </tp>
      <tp t="s">
        <v>#N/A N/A</v>
        <stp/>
        <stp>BDP|2040829445537663821</stp>
        <tr r="N1552" s="2"/>
      </tp>
      <tp t="s">
        <v>#N/A N/A</v>
        <stp/>
        <stp>BDP|3894655031445875270</stp>
        <tr r="C885" s="2"/>
      </tp>
      <tp t="s">
        <v>#N/A N/A</v>
        <stp/>
        <stp>BDP|4601762721803326317</stp>
        <tr r="R1119" s="2"/>
      </tp>
      <tp t="s">
        <v>#N/A N/A</v>
        <stp/>
        <stp>BDP|4852598127290415211</stp>
        <tr r="T1942" s="2"/>
      </tp>
      <tp t="s">
        <v>#N/A N/A</v>
        <stp/>
        <stp>BDP|9485751153958460258</stp>
        <tr r="A2077" s="2"/>
      </tp>
      <tp t="s">
        <v>#N/A N/A</v>
        <stp/>
        <stp>BDP|5116327762437089624</stp>
        <tr r="D1185" s="2"/>
      </tp>
      <tp t="s">
        <v>#N/A N/A</v>
        <stp/>
        <stp>BDS|4233145352238217957</stp>
        <tr r="I1682" s="2"/>
      </tp>
      <tp t="s">
        <v>#N/A N/A</v>
        <stp/>
        <stp>BDP|7186543607097189402</stp>
        <tr r="K2228" s="2"/>
      </tp>
      <tp t="s">
        <v>#N/A N/A</v>
        <stp/>
        <stp>BDS|7688013598586944958</stp>
        <tr r="I507" s="2"/>
      </tp>
      <tp t="s">
        <v>#N/A N/A</v>
        <stp/>
        <stp>BDP|5128260405917631179</stp>
        <tr r="R1038" s="2"/>
      </tp>
      <tp t="s">
        <v>#N/A N/A</v>
        <stp/>
        <stp>BDP|9552163352594555877</stp>
        <tr r="M1916" s="2"/>
      </tp>
      <tp t="s">
        <v>#N/A N/A</v>
        <stp/>
        <stp>BDP|1927193407622256362</stp>
        <tr r="M2157" s="2"/>
      </tp>
      <tp t="s">
        <v>#N/A N/A</v>
        <stp/>
        <stp>BDP|8569402244598625143</stp>
        <tr r="D1315" s="2"/>
      </tp>
      <tp t="s">
        <v>#N/A N/A</v>
        <stp/>
        <stp>BDS|4393055749453436288</stp>
        <tr r="I1344" s="2"/>
      </tp>
      <tp t="s">
        <v>#N/A N/A</v>
        <stp/>
        <stp>BDP|4595176536953469430</stp>
        <tr r="T1442" s="2"/>
      </tp>
      <tp t="s">
        <v>#N/A N/A</v>
        <stp/>
        <stp>BDP|7210080334682863751</stp>
        <tr r="J900" s="2"/>
      </tp>
      <tp t="s">
        <v>#N/A N/A</v>
        <stp/>
        <stp>BDP|4879603625154653580</stp>
        <tr r="T762" s="2"/>
      </tp>
      <tp t="s">
        <v>#N/A N/A</v>
        <stp/>
        <stp>BDS|2626466877519674925</stp>
        <tr r="I1721" s="2"/>
      </tp>
      <tp t="s">
        <v>#N/A N/A</v>
        <stp/>
        <stp>BDP|6124751067893688560</stp>
        <tr r="O1966" s="2"/>
      </tp>
      <tp t="s">
        <v>#N/A N/A</v>
        <stp/>
        <stp>BDP|6444366278351044296</stp>
        <tr r="T818" s="2"/>
      </tp>
      <tp t="s">
        <v>#N/A N/A</v>
        <stp/>
        <stp>BDP|6524003175315077536</stp>
        <tr r="J194" s="2"/>
      </tp>
      <tp t="s">
        <v>#N/A N/A</v>
        <stp/>
        <stp>BDP|3220345756122629657</stp>
        <tr r="A1002" s="2"/>
      </tp>
      <tp t="s">
        <v>#N/A N/A</v>
        <stp/>
        <stp>BDP|7325692940503813717</stp>
        <tr r="K660" s="2"/>
      </tp>
      <tp t="s">
        <v>#N/A N/A</v>
        <stp/>
        <stp>BDP|2163330807959246948</stp>
        <tr r="M588" s="2"/>
      </tp>
      <tp t="s">
        <v>#N/A N/A</v>
        <stp/>
        <stp>BDP|3139312002383735263</stp>
        <tr r="S2132" s="2"/>
      </tp>
      <tp t="s">
        <v>#N/A N/A</v>
        <stp/>
        <stp>BDS|2264575492267223862</stp>
        <tr r="I2008" s="2"/>
      </tp>
      <tp t="s">
        <v>#N/A N/A</v>
        <stp/>
        <stp>BDP|2404560116267694019</stp>
        <tr r="P1317" s="2"/>
      </tp>
      <tp t="s">
        <v>#N/A N/A</v>
        <stp/>
        <stp>BDP|2111556135761266404</stp>
        <tr r="M1623" s="2"/>
      </tp>
      <tp t="s">
        <v>#N/A N/A</v>
        <stp/>
        <stp>BDP|2765440871513090318</stp>
        <tr r="P1852" s="2"/>
      </tp>
      <tp t="s">
        <v>#N/A N/A</v>
        <stp/>
        <stp>BDP|2417398857723050699</stp>
        <tr r="S415" s="2"/>
      </tp>
      <tp t="s">
        <v>#N/A N/A</v>
        <stp/>
        <stp>BDP|7612614898478970154</stp>
        <tr r="P597" s="2"/>
      </tp>
      <tp t="s">
        <v>#N/A N/A</v>
        <stp/>
        <stp>BDP|5709706348964446389</stp>
        <tr r="G100" s="2"/>
      </tp>
      <tp t="s">
        <v>#N/A N/A</v>
        <stp/>
        <stp>BDP|4132358924895449175</stp>
        <tr r="S1345" s="2"/>
      </tp>
      <tp t="s">
        <v>#N/A N/A</v>
        <stp/>
        <stp>BDP|5344911487574556130</stp>
        <tr r="Q1945" s="2"/>
      </tp>
      <tp t="s">
        <v>#N/A N/A</v>
        <stp/>
        <stp>BDP|9520299919209248248</stp>
        <tr r="R943" s="2"/>
      </tp>
      <tp t="s">
        <v>#N/A N/A</v>
        <stp/>
        <stp>BDP|3635510805272178503</stp>
        <tr r="J1886" s="2"/>
      </tp>
      <tp t="s">
        <v>#N/A N/A</v>
        <stp/>
        <stp>BDP|7440207248572667295</stp>
        <tr r="Q1180" s="2"/>
      </tp>
      <tp t="s">
        <v>#N/A N/A</v>
        <stp/>
        <stp>BDP|5446259033996877396</stp>
        <tr r="K150" s="2"/>
      </tp>
      <tp t="s">
        <v>#N/A N/A</v>
        <stp/>
        <stp>BDP|1312133448393324686</stp>
        <tr r="J2005" s="2"/>
      </tp>
      <tp t="s">
        <v>#N/A N/A</v>
        <stp/>
        <stp>BDP|1352112203221009020</stp>
        <tr r="A1261" s="2"/>
      </tp>
      <tp t="s">
        <v>#N/A N/A</v>
        <stp/>
        <stp>BDP|3152272365780202625</stp>
        <tr r="H1592" s="2"/>
      </tp>
      <tp t="s">
        <v>#N/A N/A</v>
        <stp/>
        <stp>BDP|4929394402030966684</stp>
        <tr r="K2125" s="2"/>
      </tp>
      <tp t="s">
        <v>#N/A N/A</v>
        <stp/>
        <stp>BDP|5523214146183770164</stp>
        <tr r="A2248" s="2"/>
      </tp>
      <tp t="s">
        <v>#N/A N/A</v>
        <stp/>
        <stp>BDP|9020212221020034834</stp>
        <tr r="F1376" s="2"/>
      </tp>
      <tp t="s">
        <v>#N/A N/A</v>
        <stp/>
        <stp>BDP|2503245438291238383</stp>
        <tr r="Q1993" s="2"/>
      </tp>
      <tp t="s">
        <v>#N/A N/A</v>
        <stp/>
        <stp>BDP|6106135140125642777</stp>
        <tr r="T1629" s="2"/>
      </tp>
      <tp t="s">
        <v>#N/A N/A</v>
        <stp/>
        <stp>BDP|6584548185938791207</stp>
        <tr r="H510" s="2"/>
      </tp>
      <tp t="s">
        <v>#N/A N/A</v>
        <stp/>
        <stp>BDP|2037707340316415671</stp>
        <tr r="H885" s="2"/>
      </tp>
      <tp t="s">
        <v>#N/A N/A</v>
        <stp/>
        <stp>BDP|1997357446423990404</stp>
        <tr r="S1078" s="2"/>
      </tp>
      <tp t="s">
        <v>#N/A N/A</v>
        <stp/>
        <stp>BDP|6787377655959705810</stp>
        <tr r="N2027" s="2"/>
      </tp>
      <tp t="s">
        <v>#N/A N/A</v>
        <stp/>
        <stp>BDP|3098346256956153205</stp>
        <tr r="C1344" s="2"/>
      </tp>
      <tp t="s">
        <v>#N/A N/A</v>
        <stp/>
        <stp>BDP|6839840186785049296</stp>
        <tr r="Q1644" s="2"/>
      </tp>
      <tp t="s">
        <v>#N/A N/A</v>
        <stp/>
        <stp>BDP|6488863369158359186</stp>
        <tr r="Q4" s="2"/>
      </tp>
      <tp t="s">
        <v>#N/A N/A</v>
        <stp/>
        <stp>BDP|5181223867903032348</stp>
        <tr r="T1856" s="2"/>
      </tp>
      <tp t="s">
        <v>#N/A N/A</v>
        <stp/>
        <stp>BDP|8496885225682077194</stp>
        <tr r="O148" s="2"/>
      </tp>
      <tp t="s">
        <v>#N/A N/A</v>
        <stp/>
        <stp>BDP|4311154034201284607</stp>
        <tr r="P726" s="2"/>
      </tp>
      <tp t="s">
        <v>#N/A N/A</v>
        <stp/>
        <stp>BDP|1006069657241227431</stp>
        <tr r="M678" s="2"/>
      </tp>
      <tp t="s">
        <v>#N/A N/A</v>
        <stp/>
        <stp>BDP|3825818646208710681</stp>
        <tr r="J1798" s="2"/>
      </tp>
      <tp t="s">
        <v>#N/A N/A</v>
        <stp/>
        <stp>BDP|9531564051890316816</stp>
        <tr r="F1776" s="2"/>
      </tp>
      <tp t="s">
        <v>#N/A N/A</v>
        <stp/>
        <stp>BDP|9830992911025715578</stp>
        <tr r="Q1758" s="2"/>
      </tp>
      <tp t="s">
        <v>#N/A N/A</v>
        <stp/>
        <stp>BDP|2910099820064438540</stp>
        <tr r="K1108" s="2"/>
      </tp>
      <tp t="s">
        <v>#N/A N/A</v>
        <stp/>
        <stp>BDS|6640471161843663663</stp>
        <tr r="I166" s="2"/>
      </tp>
      <tp t="s">
        <v>#N/A N/A</v>
        <stp/>
        <stp>BDP|8526643567351111878</stp>
        <tr r="F956" s="2"/>
      </tp>
      <tp t="s">
        <v>#N/A N/A</v>
        <stp/>
        <stp>BDS|1376805485151737118</stp>
        <tr r="I1652" s="2"/>
      </tp>
      <tp t="s">
        <v>#N/A N/A</v>
        <stp/>
        <stp>BDP|5689866130586402940</stp>
        <tr r="K460" s="2"/>
      </tp>
      <tp t="s">
        <v>#N/A N/A</v>
        <stp/>
        <stp>BDP|1149928852638731462</stp>
        <tr r="M302" s="2"/>
      </tp>
      <tp t="s">
        <v>#N/A N/A</v>
        <stp/>
        <stp>BDP|7424942583737281014</stp>
        <tr r="E1319" s="2"/>
      </tp>
      <tp t="s">
        <v>#N/A N/A</v>
        <stp/>
        <stp>BDP|4598826141969452028</stp>
        <tr r="S508" s="2"/>
      </tp>
      <tp t="s">
        <v>#N/A N/A</v>
        <stp/>
        <stp>BDS|5389563114423067311</stp>
        <tr r="I447" s="2"/>
      </tp>
      <tp t="s">
        <v>#N/A N/A</v>
        <stp/>
        <stp>BDP|1067245421994530402</stp>
        <tr r="H511" s="2"/>
      </tp>
      <tp t="s">
        <v>#N/A N/A</v>
        <stp/>
        <stp>BDP|1237534480845813894</stp>
        <tr r="T1667" s="2"/>
      </tp>
      <tp t="s">
        <v>#N/A N/A</v>
        <stp/>
        <stp>BDP|6441338752127570600</stp>
        <tr r="E477" s="2"/>
      </tp>
      <tp t="s">
        <v>#N/A N/A</v>
        <stp/>
        <stp>BDP|8074017023803320810</stp>
        <tr r="A1505" s="2"/>
      </tp>
      <tp t="s">
        <v>#N/A N/A</v>
        <stp/>
        <stp>BDP|7978574119297635518</stp>
        <tr r="M1036" s="2"/>
      </tp>
      <tp t="s">
        <v>#N/A N/A</v>
        <stp/>
        <stp>BDP|3523450224277294363</stp>
        <tr r="Q1407" s="2"/>
      </tp>
      <tp t="s">
        <v>#N/A N/A</v>
        <stp/>
        <stp>BDP|5967767139092487223</stp>
        <tr r="G1510" s="2"/>
      </tp>
      <tp t="s">
        <v>#N/A N/A</v>
        <stp/>
        <stp>BDP|7654362035824641236</stp>
        <tr r="F408" s="2"/>
      </tp>
      <tp t="s">
        <v>#N/A N/A</v>
        <stp/>
        <stp>BDP|6111667425720387314</stp>
        <tr r="N2006" s="2"/>
      </tp>
      <tp t="s">
        <v>#N/A N/A</v>
        <stp/>
        <stp>BDP|6127675077001326728</stp>
        <tr r="M1651" s="2"/>
      </tp>
      <tp t="s">
        <v>#N/A N/A</v>
        <stp/>
        <stp>BDP|2458473762048738968</stp>
        <tr r="J188" s="2"/>
      </tp>
      <tp t="s">
        <v>#N/A N/A</v>
        <stp/>
        <stp>BDP|3679909881903293052</stp>
        <tr r="S2252" s="2"/>
      </tp>
      <tp t="s">
        <v>#N/A N/A</v>
        <stp/>
        <stp>BDP|7545756654811200566</stp>
        <tr r="T1931" s="2"/>
      </tp>
      <tp t="s">
        <v>#N/A N/A</v>
        <stp/>
        <stp>BDP|9173108197463069361</stp>
        <tr r="J1967" s="2"/>
      </tp>
      <tp t="s">
        <v>#N/A N/A</v>
        <stp/>
        <stp>BDP|3196576946587718477</stp>
        <tr r="P2114" s="2"/>
      </tp>
      <tp t="s">
        <v>#N/A N/A</v>
        <stp/>
        <stp>BDP|5956209329127358334</stp>
        <tr r="T2150" s="2"/>
      </tp>
      <tp t="s">
        <v>#N/A N/A</v>
        <stp/>
        <stp>BDP|7168747066981448670</stp>
        <tr r="H254" s="2"/>
      </tp>
      <tp t="s">
        <v>#N/A N/A</v>
        <stp/>
        <stp>BDP|8145503944068591002</stp>
        <tr r="N286" s="2"/>
      </tp>
      <tp t="s">
        <v>#N/A N/A</v>
        <stp/>
        <stp>BDP|7579434644985702355</stp>
        <tr r="Q446" s="2"/>
      </tp>
      <tp t="s">
        <v>#N/A N/A</v>
        <stp/>
        <stp>BDP|4542022860715168668</stp>
        <tr r="F723" s="2"/>
      </tp>
      <tp t="s">
        <v>#N/A N/A</v>
        <stp/>
        <stp>BDP|9340115090378544879</stp>
        <tr r="N784" s="2"/>
      </tp>
      <tp t="s">
        <v>#N/A N/A</v>
        <stp/>
        <stp>BDP|2556776662940218224</stp>
        <tr r="S1281" s="2"/>
      </tp>
      <tp t="s">
        <v>#N/A N/A</v>
        <stp/>
        <stp>BDP|4870760243076989040</stp>
        <tr r="J970" s="2"/>
      </tp>
      <tp t="s">
        <v>#N/A N/A</v>
        <stp/>
        <stp>BDP|3989668560572833079</stp>
        <tr r="C1516" s="2"/>
      </tp>
      <tp t="s">
        <v>#N/A N/A</v>
        <stp/>
        <stp>BDP|4513017627851239612</stp>
        <tr r="Q1896" s="2"/>
      </tp>
      <tp t="s">
        <v>#N/A N/A</v>
        <stp/>
        <stp>BDP|7381040983076504817</stp>
        <tr r="D460" s="2"/>
      </tp>
      <tp t="s">
        <v>#N/A N/A</v>
        <stp/>
        <stp>BDP|7531046605756399074</stp>
        <tr r="J1174" s="2"/>
      </tp>
      <tp t="s">
        <v>#N/A N/A</v>
        <stp/>
        <stp>BDP|1680304732206691629</stp>
        <tr r="G1616" s="2"/>
      </tp>
      <tp t="s">
        <v>#N/A N/A</v>
        <stp/>
        <stp>BDP|4589057476245541737</stp>
        <tr r="F328" s="2"/>
      </tp>
      <tp t="s">
        <v>#N/A N/A</v>
        <stp/>
        <stp>BDP|4649936898494900148</stp>
        <tr r="M1973" s="2"/>
      </tp>
      <tp t="s">
        <v>#N/A N/A</v>
        <stp/>
        <stp>BDS|4045671762802528702</stp>
        <tr r="I389" s="2"/>
      </tp>
      <tp t="s">
        <v>#N/A N/A</v>
        <stp/>
        <stp>BDP|1419623927266892298</stp>
        <tr r="R710" s="2"/>
      </tp>
      <tp t="s">
        <v>#N/A N/A</v>
        <stp/>
        <stp>BDP|7767752520133511075</stp>
        <tr r="T1965" s="2"/>
      </tp>
      <tp t="s">
        <v>#N/A N/A</v>
        <stp/>
        <stp>BDP|3157361480288319146</stp>
        <tr r="N1408" s="2"/>
      </tp>
      <tp t="s">
        <v>#N/A N/A</v>
        <stp/>
        <stp>BDP|3534934797665527742</stp>
        <tr r="K1446" s="2"/>
      </tp>
      <tp t="s">
        <v>#N/A N/A</v>
        <stp/>
        <stp>BDP|6691240162405242628</stp>
        <tr r="O386" s="2"/>
      </tp>
      <tp t="s">
        <v>#N/A N/A</v>
        <stp/>
        <stp>BDP|2546324826933909189</stp>
        <tr r="Q1353" s="2"/>
      </tp>
      <tp t="s">
        <v>#N/A N/A</v>
        <stp/>
        <stp>BDP|2789074983372170928</stp>
        <tr r="Q1720" s="2"/>
      </tp>
      <tp t="s">
        <v>#N/A N/A</v>
        <stp/>
        <stp>BDP|5868723581768242396</stp>
        <tr r="C1339" s="2"/>
      </tp>
      <tp t="s">
        <v>#N/A N/A</v>
        <stp/>
        <stp>BDP|4633384795268806736</stp>
        <tr r="T1855" s="2"/>
      </tp>
      <tp t="s">
        <v>#N/A N/A</v>
        <stp/>
        <stp>BDS|8284709334468715514</stp>
        <tr r="I245" s="2"/>
      </tp>
      <tp t="s">
        <v>#N/A N/A</v>
        <stp/>
        <stp>BDP|6043261008473951677</stp>
        <tr r="T1572" s="2"/>
      </tp>
      <tp t="s">
        <v>#N/A N/A</v>
        <stp/>
        <stp>BDP|4892036440407886630</stp>
        <tr r="R682" s="2"/>
      </tp>
      <tp t="s">
        <v>#N/A N/A</v>
        <stp/>
        <stp>BDP|1379062976131747642</stp>
        <tr r="Q1995" s="2"/>
      </tp>
      <tp t="s">
        <v>#N/A N/A</v>
        <stp/>
        <stp>BDP|4548254464481510017</stp>
        <tr r="K1158" s="2"/>
      </tp>
      <tp t="s">
        <v>#N/A N/A</v>
        <stp/>
        <stp>BDP|9527412127577471970</stp>
        <tr r="J1474" s="2"/>
      </tp>
      <tp t="s">
        <v>#N/A N/A</v>
        <stp/>
        <stp>BDP|4096914490207043219</stp>
        <tr r="R1870" s="2"/>
      </tp>
      <tp t="s">
        <v>#N/A N/A</v>
        <stp/>
        <stp>BDP|3271514356261547307</stp>
        <tr r="N1686" s="2"/>
      </tp>
      <tp t="s">
        <v>#N/A N/A</v>
        <stp/>
        <stp>BDP|4047923673339331225</stp>
        <tr r="J428" s="2"/>
      </tp>
      <tp t="s">
        <v>#N/A N/A</v>
        <stp/>
        <stp>BDP|7795798953046550286</stp>
        <tr r="R1915" s="2"/>
      </tp>
      <tp t="s">
        <v>#N/A N/A</v>
        <stp/>
        <stp>BDP|9671180556058808405</stp>
        <tr r="T344" s="2"/>
      </tp>
      <tp t="s">
        <v>#N/A N/A</v>
        <stp/>
        <stp>BDP|2474407663395790408</stp>
        <tr r="R836" s="2"/>
      </tp>
      <tp t="s">
        <v>#N/A N/A</v>
        <stp/>
        <stp>BDP|9257251465959313519</stp>
        <tr r="C1187" s="2"/>
      </tp>
      <tp t="s">
        <v>#N/A N/A</v>
        <stp/>
        <stp>BDP|6291136573343306219</stp>
        <tr r="J1823" s="2"/>
      </tp>
      <tp t="s">
        <v>#N/A N/A</v>
        <stp/>
        <stp>BDP|4312290976601919153</stp>
        <tr r="E510" s="2"/>
      </tp>
      <tp t="s">
        <v>#N/A N/A</v>
        <stp/>
        <stp>BDP|1745466737661347655</stp>
        <tr r="Q1299" s="2"/>
      </tp>
      <tp t="s">
        <v>#N/A N/A</v>
        <stp/>
        <stp>BDP|5340744815550474267</stp>
        <tr r="C295" s="2"/>
      </tp>
      <tp t="s">
        <v>#N/A N/A</v>
        <stp/>
        <stp>BDP|9348415024786219842</stp>
        <tr r="J1649" s="2"/>
      </tp>
      <tp t="s">
        <v>#N/A N/A</v>
        <stp/>
        <stp>BDP|7200102462226612765</stp>
        <tr r="C1489" s="2"/>
      </tp>
      <tp t="s">
        <v>#N/A N/A</v>
        <stp/>
        <stp>BDP|9227911354692568627</stp>
        <tr r="K1770" s="2"/>
      </tp>
      <tp t="s">
        <v>#N/A N/A</v>
        <stp/>
        <stp>BDP|7483282437856241192</stp>
        <tr r="K701" s="2"/>
      </tp>
      <tp t="s">
        <v>#N/A N/A</v>
        <stp/>
        <stp>BDP|7956214625223951542</stp>
        <tr r="R2149" s="2"/>
      </tp>
      <tp t="s">
        <v>#N/A N/A</v>
        <stp/>
        <stp>BDP|3649301811072448235</stp>
        <tr r="S1065" s="2"/>
      </tp>
      <tp t="s">
        <v>#N/A N/A</v>
        <stp/>
        <stp>BDP|2472229628812871166</stp>
        <tr r="D2046" s="2"/>
      </tp>
      <tp t="s">
        <v>#N/A N/A</v>
        <stp/>
        <stp>BDS|7819357874632103084</stp>
        <tr r="I1436" s="2"/>
      </tp>
      <tp t="s">
        <v>#N/A N/A</v>
        <stp/>
        <stp>BDP|3536310534777377534</stp>
        <tr r="T117" s="2"/>
      </tp>
      <tp t="s">
        <v>#N/A N/A</v>
        <stp/>
        <stp>BDP|1082499852362857330</stp>
        <tr r="M96" s="2"/>
      </tp>
      <tp t="s">
        <v>#N/A N/A</v>
        <stp/>
        <stp>BDP|2107224847017525211</stp>
        <tr r="D1457" s="2"/>
      </tp>
      <tp t="s">
        <v>#N/A N/A</v>
        <stp/>
        <stp>BDP|3361675425073547541</stp>
        <tr r="R1686" s="2"/>
      </tp>
      <tp t="s">
        <v>#N/A N/A</v>
        <stp/>
        <stp>BDP|7327559573825117144</stp>
        <tr r="F1827" s="2"/>
      </tp>
      <tp t="s">
        <v>#N/A N/A</v>
        <stp/>
        <stp>BDP|1550334626671650064</stp>
        <tr r="G1429" s="2"/>
      </tp>
      <tp t="s">
        <v>#N/A N/A</v>
        <stp/>
        <stp>BDP|7029524581389725241</stp>
        <tr r="P310" s="2"/>
      </tp>
      <tp t="s">
        <v>#N/A N/A</v>
        <stp/>
        <stp>BDP|4557181815514163191</stp>
        <tr r="H1169" s="2"/>
      </tp>
      <tp t="s">
        <v>#N/A N/A</v>
        <stp/>
        <stp>BDP|4484449046381017465</stp>
        <tr r="R846" s="2"/>
      </tp>
      <tp t="s">
        <v>#N/A N/A</v>
        <stp/>
        <stp>BDP|5213222225761042549</stp>
        <tr r="C548" s="2"/>
      </tp>
      <tp t="s">
        <v>#N/A N/A</v>
        <stp/>
        <stp>BDP|6580162123121524540</stp>
        <tr r="Q568" s="2"/>
      </tp>
      <tp t="s">
        <v>#N/A N/A</v>
        <stp/>
        <stp>BDP|6410795847294893036</stp>
        <tr r="K1410" s="2"/>
      </tp>
      <tp t="s">
        <v>#N/A N/A</v>
        <stp/>
        <stp>BDP|3253415373575144408</stp>
        <tr r="T1903" s="2"/>
      </tp>
      <tp t="s">
        <v>#N/A N/A</v>
        <stp/>
        <stp>BDP|2221603573890750275</stp>
        <tr r="M1181" s="2"/>
      </tp>
      <tp t="s">
        <v>#N/A N/A</v>
        <stp/>
        <stp>BDP|2342267253547760308</stp>
        <tr r="D942" s="2"/>
      </tp>
      <tp t="s">
        <v>#N/A N/A</v>
        <stp/>
        <stp>BDP|5406301025577255229</stp>
        <tr r="M2033" s="2"/>
      </tp>
      <tp t="s">
        <v>#N/A N/A</v>
        <stp/>
        <stp>BDP|7435768064746715105</stp>
        <tr r="H2135" s="2"/>
      </tp>
      <tp t="s">
        <v>#N/A N/A</v>
        <stp/>
        <stp>BDP|9863895135952353167</stp>
        <tr r="P843" s="2"/>
      </tp>
      <tp t="s">
        <v>#N/A N/A</v>
        <stp/>
        <stp>BDP|7233371224352514558</stp>
        <tr r="N364" s="2"/>
      </tp>
      <tp t="s">
        <v>#N/A N/A</v>
        <stp/>
        <stp>BDP|1558484095948103580</stp>
        <tr r="S1756" s="2"/>
      </tp>
      <tp t="s">
        <v>#N/A N/A</v>
        <stp/>
        <stp>BDS|1797972523593312814</stp>
        <tr r="I590" s="2"/>
      </tp>
      <tp t="s">
        <v>#N/A N/A</v>
        <stp/>
        <stp>BDP|2405874931258373009</stp>
        <tr r="A737" s="2"/>
      </tp>
      <tp t="s">
        <v>#N/A N/A</v>
        <stp/>
        <stp>BDP|8595406297755108120</stp>
        <tr r="E1401" s="2"/>
      </tp>
      <tp t="s">
        <v>#N/A N/A</v>
        <stp/>
        <stp>BDP|4151957239258527799</stp>
        <tr r="S202" s="2"/>
      </tp>
      <tp t="s">
        <v>#N/A N/A</v>
        <stp/>
        <stp>BDP|4141711644454535208</stp>
        <tr r="T1437" s="2"/>
      </tp>
      <tp t="s">
        <v>#N/A N/A</v>
        <stp/>
        <stp>BDP|4475720047924840280</stp>
        <tr r="R2251" s="2"/>
      </tp>
      <tp t="s">
        <v>#N/A N/A</v>
        <stp/>
        <stp>BDP|7828379866006861507</stp>
        <tr r="Q197" s="2"/>
      </tp>
      <tp t="s">
        <v>#N/A N/A</v>
        <stp/>
        <stp>BDP|5699360914047778124</stp>
        <tr r="A2196" s="2"/>
      </tp>
      <tp t="s">
        <v>#N/A N/A</v>
        <stp/>
        <stp>BDP|1995284855235501205</stp>
        <tr r="K897" s="2"/>
      </tp>
      <tp t="s">
        <v>#N/A N/A</v>
        <stp/>
        <stp>BDP|6528413520817674634</stp>
        <tr r="P39" s="2"/>
      </tp>
      <tp t="s">
        <v>#N/A N/A</v>
        <stp/>
        <stp>BDP|2933319619369249827</stp>
        <tr r="J1059" s="2"/>
      </tp>
      <tp t="s">
        <v>#N/A N/A</v>
        <stp/>
        <stp>BDP|1369184139156789446</stp>
        <tr r="P1487" s="2"/>
      </tp>
      <tp t="s">
        <v>#N/A N/A</v>
        <stp/>
        <stp>BDP|4610838177539775346</stp>
        <tr r="R40" s="2"/>
      </tp>
      <tp t="s">
        <v>#N/A N/A</v>
        <stp/>
        <stp>BDP|3540325053954306065</stp>
        <tr r="D2006" s="2"/>
      </tp>
      <tp t="s">
        <v>#N/A N/A</v>
        <stp/>
        <stp>BDS|4422428281559226043</stp>
        <tr r="I831" s="2"/>
      </tp>
      <tp t="s">
        <v>#N/A N/A</v>
        <stp/>
        <stp>BDP|8743910973445542219</stp>
        <tr r="F683" s="2"/>
      </tp>
      <tp t="s">
        <v>#N/A N/A</v>
        <stp/>
        <stp>BDP|6304069487278619757</stp>
        <tr r="P2147" s="2"/>
      </tp>
      <tp t="s">
        <v>#N/A N/A</v>
        <stp/>
        <stp>BDP|2644958090466168533</stp>
        <tr r="D1137" s="2"/>
      </tp>
      <tp t="s">
        <v>#N/A N/A</v>
        <stp/>
        <stp>BDP|4599873146650416911</stp>
        <tr r="G426" s="2"/>
      </tp>
      <tp t="s">
        <v>#N/A N/A</v>
        <stp/>
        <stp>BDP|8566952330384026719</stp>
        <tr r="F1953" s="2"/>
      </tp>
      <tp t="s">
        <v>#N/A N/A</v>
        <stp/>
        <stp>BDP|1044103705178205969</stp>
        <tr r="T1158" s="2"/>
      </tp>
      <tp t="s">
        <v>#N/A N/A</v>
        <stp/>
        <stp>BDP|1285047592889509008</stp>
        <tr r="T2070" s="2"/>
      </tp>
      <tp t="s">
        <v>#N/A N/A</v>
        <stp/>
        <stp>BDP|5544130725687698044</stp>
        <tr r="G1009" s="2"/>
      </tp>
      <tp t="s">
        <v>#N/A N/A</v>
        <stp/>
        <stp>BDP|9318477767819416360</stp>
        <tr r="G632" s="2"/>
      </tp>
      <tp t="s">
        <v>#N/A N/A</v>
        <stp/>
        <stp>BDP|5463613027970371005</stp>
        <tr r="P853" s="2"/>
      </tp>
      <tp t="s">
        <v>#N/A N/A</v>
        <stp/>
        <stp>BDP|8270176494967417647</stp>
        <tr r="A1619" s="2"/>
      </tp>
      <tp t="s">
        <v>#N/A N/A</v>
        <stp/>
        <stp>BDP|9251308015132317853</stp>
        <tr r="J1274" s="2"/>
      </tp>
      <tp t="s">
        <v>#N/A N/A</v>
        <stp/>
        <stp>BDP|6502034109830627780</stp>
        <tr r="P663" s="2"/>
      </tp>
      <tp t="s">
        <v>#N/A N/A</v>
        <stp/>
        <stp>BDP|7126409523110405074</stp>
        <tr r="C2170" s="2"/>
      </tp>
      <tp t="s">
        <v>#N/A N/A</v>
        <stp/>
        <stp>BDP|3226897199673441079</stp>
        <tr r="S494" s="2"/>
      </tp>
      <tp t="s">
        <v>#N/A N/A</v>
        <stp/>
        <stp>BDP|1446419736516312117</stp>
        <tr r="S1010" s="2"/>
      </tp>
      <tp t="s">
        <v>#N/A N/A</v>
        <stp/>
        <stp>BDP|7442579516553331175</stp>
        <tr r="P1583" s="2"/>
      </tp>
      <tp t="s">
        <v>#N/A N/A</v>
        <stp/>
        <stp>BDP|1370024210423388231</stp>
        <tr r="G531" s="2"/>
      </tp>
      <tp t="s">
        <v>#N/A N/A</v>
        <stp/>
        <stp>BDP|5646078778217070489</stp>
        <tr r="A2090" s="2"/>
      </tp>
      <tp t="s">
        <v>#N/A N/A</v>
        <stp/>
        <stp>BDP|9723175550635435952</stp>
        <tr r="E14" s="2"/>
      </tp>
      <tp t="s">
        <v>#N/A N/A</v>
        <stp/>
        <stp>BDP|5962245107587959123</stp>
        <tr r="E1735" s="2"/>
      </tp>
      <tp t="s">
        <v>#N/A N/A</v>
        <stp/>
        <stp>BDP|1636709237633084704</stp>
        <tr r="Q1853" s="2"/>
      </tp>
      <tp t="s">
        <v>#N/A N/A</v>
        <stp/>
        <stp>BDP|1066264585099765354</stp>
        <tr r="T1308" s="2"/>
      </tp>
      <tp t="s">
        <v>#N/A N/A</v>
        <stp/>
        <stp>BDP|7818778621800927363</stp>
        <tr r="O778" s="2"/>
      </tp>
      <tp t="s">
        <v>#N/A N/A</v>
        <stp/>
        <stp>BDP|5947597660505077212</stp>
        <tr r="C1437" s="2"/>
      </tp>
      <tp t="s">
        <v>#N/A N/A</v>
        <stp/>
        <stp>BDP|6057406729122985319</stp>
        <tr r="Q773" s="2"/>
      </tp>
      <tp t="s">
        <v>#N/A N/A</v>
        <stp/>
        <stp>BDP|7352445521085658516</stp>
        <tr r="O1589" s="2"/>
      </tp>
      <tp t="s">
        <v>#N/A N/A</v>
        <stp/>
        <stp>BDP|1053740659671512391</stp>
        <tr r="D2244" s="2"/>
      </tp>
      <tp t="s">
        <v>#N/A N/A</v>
        <stp/>
        <stp>BDP|3932759361904500790</stp>
        <tr r="N388" s="2"/>
      </tp>
      <tp t="s">
        <v>#N/A N/A</v>
        <stp/>
        <stp>BDP|9216050121233647914</stp>
        <tr r="S842" s="2"/>
      </tp>
      <tp t="s">
        <v>#N/A N/A</v>
        <stp/>
        <stp>BDP|4849951735436860914</stp>
        <tr r="J1826" s="2"/>
      </tp>
      <tp t="s">
        <v>#N/A N/A</v>
        <stp/>
        <stp>BDP|3155437612786253133</stp>
        <tr r="J1017" s="2"/>
      </tp>
      <tp t="s">
        <v>#N/A N/A</v>
        <stp/>
        <stp>BDP|4430377543390069213</stp>
        <tr r="N1990" s="2"/>
      </tp>
      <tp t="s">
        <v>#N/A N/A</v>
        <stp/>
        <stp>BDP|8633940200771443172</stp>
        <tr r="O1492" s="2"/>
      </tp>
      <tp t="s">
        <v>#N/A N/A</v>
        <stp/>
        <stp>BDP|5135111665027417401</stp>
        <tr r="E2202" s="2"/>
      </tp>
      <tp t="s">
        <v>#N/A N/A</v>
        <stp/>
        <stp>BDP|9905824301729923923</stp>
        <tr r="D1227" s="2"/>
      </tp>
      <tp t="s">
        <v>#N/A N/A</v>
        <stp/>
        <stp>BDP|5469520000719304843</stp>
        <tr r="A993" s="2"/>
      </tp>
      <tp t="s">
        <v>#N/A N/A</v>
        <stp/>
        <stp>BDP|5752664083503318907</stp>
        <tr r="G1808" s="2"/>
      </tp>
      <tp t="s">
        <v>#N/A N/A</v>
        <stp/>
        <stp>BDP|9172109884493309278</stp>
        <tr r="M241" s="2"/>
      </tp>
      <tp t="s">
        <v>#N/A N/A</v>
        <stp/>
        <stp>BDP|1237253594028607345</stp>
        <tr r="M473" s="2"/>
      </tp>
      <tp t="s">
        <v>#N/A N/A</v>
        <stp/>
        <stp>BDP|6781068572736645646</stp>
        <tr r="C1806" s="2"/>
      </tp>
      <tp t="s">
        <v>#N/A N/A</v>
        <stp/>
        <stp>BDP|6636752993661746866</stp>
        <tr r="G1117" s="2"/>
      </tp>
      <tp t="s">
        <v>#N/A N/A</v>
        <stp/>
        <stp>BDP|5795725924947631663</stp>
        <tr r="P505" s="2"/>
      </tp>
      <tp t="s">
        <v>#N/A N/A</v>
        <stp/>
        <stp>BDP|9126988691979825115</stp>
        <tr r="E1188" s="2"/>
      </tp>
      <tp t="s">
        <v>#N/A N/A</v>
        <stp/>
        <stp>BDS|2558283888058156154</stp>
        <tr r="I230" s="2"/>
      </tp>
      <tp t="s">
        <v>#N/A N/A</v>
        <stp/>
        <stp>BDP|2132755842108615812</stp>
        <tr r="C275" s="2"/>
      </tp>
      <tp t="s">
        <v>#N/A N/A</v>
        <stp/>
        <stp>BDP|4455303502005475336</stp>
        <tr r="T1116" s="2"/>
      </tp>
      <tp t="s">
        <v>#N/A N/A</v>
        <stp/>
        <stp>BDP|1647647589919945739</stp>
        <tr r="O678" s="2"/>
      </tp>
      <tp t="s">
        <v>#N/A N/A</v>
        <stp/>
        <stp>BDP|7616217346375635561</stp>
        <tr r="H272" s="2"/>
      </tp>
      <tp t="s">
        <v>#N/A N/A</v>
        <stp/>
        <stp>BDP|5056972286304826181</stp>
        <tr r="K1844" s="2"/>
      </tp>
      <tp t="s">
        <v>#N/A N/A</v>
        <stp/>
        <stp>BDP|3008837681505672752</stp>
        <tr r="S467" s="2"/>
      </tp>
      <tp t="s">
        <v>#N/A N/A</v>
        <stp/>
        <stp>BDP|3467527874537147727</stp>
        <tr r="P136" s="2"/>
      </tp>
      <tp t="s">
        <v>#N/A N/A</v>
        <stp/>
        <stp>BDP|4733790554725201292</stp>
        <tr r="N1805" s="2"/>
      </tp>
      <tp t="s">
        <v>#N/A N/A</v>
        <stp/>
        <stp>BDP|1300308110463531179</stp>
        <tr r="A289" s="2"/>
      </tp>
      <tp t="s">
        <v>#N/A N/A</v>
        <stp/>
        <stp>BDP|4073805796550437432</stp>
        <tr r="C1751" s="2"/>
      </tp>
      <tp t="s">
        <v>#N/A N/A</v>
        <stp/>
        <stp>BDP|5343559717043432348</stp>
        <tr r="P761" s="2"/>
      </tp>
      <tp t="s">
        <v>#N/A N/A</v>
        <stp/>
        <stp>BDP|5967149072707865568</stp>
        <tr r="Q1375" s="2"/>
      </tp>
      <tp t="s">
        <v>#N/A N/A</v>
        <stp/>
        <stp>BDP|8067735083095372322</stp>
        <tr r="D521" s="2"/>
      </tp>
      <tp t="s">
        <v>#N/A N/A</v>
        <stp/>
        <stp>BDP|5409398566635991431</stp>
        <tr r="O1685" s="2"/>
      </tp>
      <tp t="s">
        <v>#N/A N/A</v>
        <stp/>
        <stp>BDP|3749676632601417673</stp>
        <tr r="O1987" s="2"/>
      </tp>
      <tp t="s">
        <v>#N/A N/A</v>
        <stp/>
        <stp>BDP|8199908151227620277</stp>
        <tr r="K366" s="2"/>
      </tp>
      <tp t="s">
        <v>#N/A N/A</v>
        <stp/>
        <stp>BDS|6804195012314681334</stp>
        <tr r="I771" s="2"/>
      </tp>
      <tp t="s">
        <v>#N/A N/A</v>
        <stp/>
        <stp>BDP|3914152358535465369</stp>
        <tr r="A2166" s="2"/>
      </tp>
      <tp t="s">
        <v>#N/A N/A</v>
        <stp/>
        <stp>BDP|9915818093171940845</stp>
        <tr r="A1661" s="2"/>
      </tp>
      <tp t="s">
        <v>#N/A N/A</v>
        <stp/>
        <stp>BDP|7118749377074775236</stp>
        <tr r="T1867" s="2"/>
      </tp>
      <tp t="s">
        <v>#N/A N/A</v>
        <stp/>
        <stp>BDP|1186516706136429345</stp>
        <tr r="E2187" s="2"/>
      </tp>
      <tp t="s">
        <v>#N/A N/A</v>
        <stp/>
        <stp>BDP|6518273077140637258</stp>
        <tr r="O471" s="2"/>
      </tp>
      <tp t="s">
        <v>#N/A N/A</v>
        <stp/>
        <stp>BDP|2702407721937650260</stp>
        <tr r="J537" s="2"/>
      </tp>
      <tp t="s">
        <v>#N/A N/A</v>
        <stp/>
        <stp>BDP|4113640735709653908</stp>
        <tr r="D1421" s="2"/>
      </tp>
      <tp t="s">
        <v>#N/A N/A</v>
        <stp/>
        <stp>BDP|4633346206923074520</stp>
        <tr r="H1225" s="2"/>
      </tp>
      <tp t="s">
        <v>#N/A N/A</v>
        <stp/>
        <stp>BDP|6816339860084874654</stp>
        <tr r="A2044" s="2"/>
      </tp>
      <tp t="s">
        <v>#N/A N/A</v>
        <stp/>
        <stp>BDP|7154238742697479727</stp>
        <tr r="A900" s="2"/>
      </tp>
      <tp t="s">
        <v>#N/A N/A</v>
        <stp/>
        <stp>BDP|9279258396376540523</stp>
        <tr r="Q722" s="2"/>
      </tp>
      <tp t="s">
        <v>#N/A N/A</v>
        <stp/>
        <stp>BDS|2371527932476342368</stp>
        <tr r="I1535" s="2"/>
      </tp>
      <tp t="s">
        <v>#N/A N/A</v>
        <stp/>
        <stp>BDP|8756519995152314767</stp>
        <tr r="D1115" s="2"/>
      </tp>
      <tp t="s">
        <v>#N/A N/A</v>
        <stp/>
        <stp>BDP|6739157897889746643</stp>
        <tr r="M1515" s="2"/>
      </tp>
      <tp t="s">
        <v>#N/A N/A</v>
        <stp/>
        <stp>BDP|8810874879524035208</stp>
        <tr r="C212" s="2"/>
      </tp>
      <tp t="s">
        <v>#N/A N/A</v>
        <stp/>
        <stp>BDP|1026218533548367973</stp>
        <tr r="H1993" s="2"/>
      </tp>
      <tp t="s">
        <v>#N/A N/A</v>
        <stp/>
        <stp>BDP|5275834247930515851</stp>
        <tr r="O1544" s="2"/>
      </tp>
      <tp t="s">
        <v>#N/A N/A</v>
        <stp/>
        <stp>BDP|9187971254482210666</stp>
        <tr r="Q1312" s="2"/>
      </tp>
      <tp t="s">
        <v>#N/A N/A</v>
        <stp/>
        <stp>BDP|5713908807748771513</stp>
        <tr r="H1969" s="2"/>
      </tp>
      <tp t="s">
        <v>#N/A N/A</v>
        <stp/>
        <stp>BDP|1441227401992003010</stp>
        <tr r="G979" s="2"/>
      </tp>
      <tp t="s">
        <v>#N/A N/A</v>
        <stp/>
        <stp>BDP|3913488089098845667</stp>
        <tr r="G1317" s="2"/>
      </tp>
      <tp t="s">
        <v>#N/A N/A</v>
        <stp/>
        <stp>BDP|6103361162895543767</stp>
        <tr r="H135" s="2"/>
      </tp>
      <tp t="s">
        <v>#N/A N/A</v>
        <stp/>
        <stp>BDP|8841886570983108576</stp>
        <tr r="N1358" s="2"/>
      </tp>
      <tp t="s">
        <v>#N/A N/A</v>
        <stp/>
        <stp>BDP|1292270911187403465</stp>
        <tr r="H839" s="2"/>
      </tp>
      <tp t="s">
        <v>#N/A N/A</v>
        <stp/>
        <stp>BDP|8553371463109716509</stp>
        <tr r="R17" s="2"/>
      </tp>
      <tp t="s">
        <v>#N/A N/A</v>
        <stp/>
        <stp>BDP|3758696906762814668</stp>
        <tr r="P1406" s="2"/>
      </tp>
      <tp t="s">
        <v>#N/A N/A</v>
        <stp/>
        <stp>BDP|7485646322901238369</stp>
        <tr r="C1196" s="2"/>
      </tp>
      <tp t="s">
        <v>#N/A N/A</v>
        <stp/>
        <stp>BDP|4041967034199771638</stp>
        <tr r="H2137" s="2"/>
      </tp>
      <tp t="s">
        <v>#N/A N/A</v>
        <stp/>
        <stp>BDP|2593652857067906786</stp>
        <tr r="S660" s="2"/>
      </tp>
      <tp t="s">
        <v>#N/A N/A</v>
        <stp/>
        <stp>BDS|7391162691168017624</stp>
        <tr r="I2076" s="2"/>
      </tp>
      <tp t="s">
        <v>#N/A N/A</v>
        <stp/>
        <stp>BDP|6617729769613341586</stp>
        <tr r="N2200" s="2"/>
      </tp>
      <tp t="s">
        <v>#N/A N/A</v>
        <stp/>
        <stp>BDP|7757087737964617186</stp>
        <tr r="N96" s="2"/>
      </tp>
      <tp t="s">
        <v>#N/A N/A</v>
        <stp/>
        <stp>BDS|1858924970059876749</stp>
        <tr r="I1375" s="2"/>
      </tp>
      <tp t="s">
        <v>#N/A N/A</v>
        <stp/>
        <stp>BDP|3500545980317784802</stp>
        <tr r="K2231" s="2"/>
      </tp>
      <tp t="s">
        <v>#N/A N/A</v>
        <stp/>
        <stp>BDP|8399159000550780871</stp>
        <tr r="P2072" s="2"/>
      </tp>
      <tp t="s">
        <v>#N/A N/A</v>
        <stp/>
        <stp>BDP|3984087164040746444</stp>
        <tr r="N674" s="2"/>
      </tp>
      <tp t="s">
        <v>#N/A N/A</v>
        <stp/>
        <stp>BDP|2659986739779889093</stp>
        <tr r="K546" s="2"/>
      </tp>
      <tp t="s">
        <v>#N/A N/A</v>
        <stp/>
        <stp>BDP|5237459076452773506</stp>
        <tr r="N1048" s="2"/>
      </tp>
      <tp t="s">
        <v>#N/A N/A</v>
        <stp/>
        <stp>BDP|5765239047643400116</stp>
        <tr r="R781" s="2"/>
      </tp>
      <tp t="s">
        <v>#N/A N/A</v>
        <stp/>
        <stp>BDP|2717140885998218226</stp>
        <tr r="N2049" s="2"/>
      </tp>
      <tp t="s">
        <v>#N/A N/A</v>
        <stp/>
        <stp>BDP|3292214336664149720</stp>
        <tr r="P1276" s="2"/>
      </tp>
      <tp t="s">
        <v>#N/A N/A</v>
        <stp/>
        <stp>BDP|3449669775647053411</stp>
        <tr r="P520" s="2"/>
      </tp>
      <tp t="s">
        <v>#N/A N/A</v>
        <stp/>
        <stp>BDP|9337168667129347670</stp>
        <tr r="T1980" s="2"/>
      </tp>
      <tp t="s">
        <v>#N/A N/A</v>
        <stp/>
        <stp>BDP|6980246135323676584</stp>
        <tr r="H2091" s="2"/>
      </tp>
      <tp t="s">
        <v>#N/A N/A</v>
        <stp/>
        <stp>BDP|1803402179700195362</stp>
        <tr r="J1396" s="2"/>
      </tp>
      <tp t="s">
        <v>#N/A N/A</v>
        <stp/>
        <stp>BDP|3762871207979817391</stp>
        <tr r="F1023" s="2"/>
      </tp>
      <tp t="s">
        <v>#N/A N/A</v>
        <stp/>
        <stp>BDP|2941072446851641684</stp>
        <tr r="K301" s="2"/>
      </tp>
      <tp t="s">
        <v>#N/A N/A</v>
        <stp/>
        <stp>BDS|3648524985028452738</stp>
        <tr r="I2136" s="2"/>
      </tp>
      <tp t="s">
        <v>#N/A N/A</v>
        <stp/>
        <stp>BDP|5061686840404825268</stp>
        <tr r="R1573" s="2"/>
      </tp>
      <tp t="s">
        <v>#N/A N/A</v>
        <stp/>
        <stp>BDP|3771861351587747819</stp>
        <tr r="P1494" s="2"/>
      </tp>
      <tp t="s">
        <v>#N/A N/A</v>
        <stp/>
        <stp>BDP|4726218776289276941</stp>
        <tr r="Q245" s="2"/>
      </tp>
      <tp t="s">
        <v>#N/A N/A</v>
        <stp/>
        <stp>BDP|5639127578546297486</stp>
        <tr r="P168" s="2"/>
      </tp>
      <tp t="s">
        <v>#N/A N/A</v>
        <stp/>
        <stp>BDP|4075221396058041623</stp>
        <tr r="F1169" s="2"/>
      </tp>
      <tp t="s">
        <v>#N/A N/A</v>
        <stp/>
        <stp>BDP|7699791580329020098</stp>
        <tr r="T1576" s="2"/>
      </tp>
      <tp t="s">
        <v>#N/A N/A</v>
        <stp/>
        <stp>BDP|6981178564788517897</stp>
        <tr r="F606" s="2"/>
      </tp>
      <tp t="s">
        <v>#N/A N/A</v>
        <stp/>
        <stp>BDP|6355013442120474320</stp>
        <tr r="D1527" s="2"/>
      </tp>
      <tp t="s">
        <v>#N/A N/A</v>
        <stp/>
        <stp>BDP|3457600442319123914</stp>
        <tr r="R1130" s="2"/>
      </tp>
      <tp t="s">
        <v>#N/A N/A</v>
        <stp/>
        <stp>BDP|4808505348115414125</stp>
        <tr r="D1460" s="2"/>
      </tp>
      <tp t="s">
        <v>#N/A N/A</v>
        <stp/>
        <stp>BDS|7390773006806214763</stp>
        <tr r="I1711" s="2"/>
      </tp>
      <tp t="s">
        <v>#N/A N/A</v>
        <stp/>
        <stp>BDP|1628027372387110014</stp>
        <tr r="Q457" s="2"/>
      </tp>
      <tp t="s">
        <v>#N/A N/A</v>
        <stp/>
        <stp>BDP|1540261964876163208</stp>
        <tr r="M445" s="2"/>
      </tp>
      <tp t="s">
        <v>#N/A N/A</v>
        <stp/>
        <stp>BDP|4140533783190121867</stp>
        <tr r="O2000" s="2"/>
      </tp>
      <tp t="s">
        <v>#N/A N/A</v>
        <stp/>
        <stp>BDS|9402974172222138465</stp>
        <tr r="I277" s="2"/>
      </tp>
      <tp t="s">
        <v>#N/A N/A</v>
        <stp/>
        <stp>BDP|3180120237603746358</stp>
        <tr r="H691" s="2"/>
      </tp>
      <tp t="s">
        <v>#N/A N/A</v>
        <stp/>
        <stp>BDP|7667767600057330650</stp>
        <tr r="M259" s="2"/>
      </tp>
      <tp t="s">
        <v>#N/A N/A</v>
        <stp/>
        <stp>BDP|7855673566977947169</stp>
        <tr r="K1691" s="2"/>
      </tp>
      <tp t="s">
        <v>#N/A N/A</v>
        <stp/>
        <stp>BDP|5060263111623351424</stp>
        <tr r="G911" s="2"/>
      </tp>
      <tp t="s">
        <v>#N/A N/A</v>
        <stp/>
        <stp>BDP|5443565672480061661</stp>
        <tr r="O112" s="2"/>
      </tp>
      <tp t="s">
        <v>#N/A N/A</v>
        <stp/>
        <stp>BDS|6998779615829485891</stp>
        <tr r="I1669" s="2"/>
      </tp>
      <tp t="s">
        <v>#N/A N/A</v>
        <stp/>
        <stp>BDP|4202272728301973423</stp>
        <tr r="F204" s="2"/>
      </tp>
      <tp t="s">
        <v>#N/A N/A</v>
        <stp/>
        <stp>BDP|5103062172600364307</stp>
        <tr r="O1960" s="2"/>
      </tp>
      <tp t="s">
        <v>#N/A N/A</v>
        <stp/>
        <stp>BDP|2453688692859957515</stp>
        <tr r="A2167" s="2"/>
      </tp>
      <tp t="s">
        <v>#N/A N/A</v>
        <stp/>
        <stp>BDP|7238671933422934190</stp>
        <tr r="C2002" s="2"/>
      </tp>
      <tp t="s">
        <v>#N/A N/A</v>
        <stp/>
        <stp>BDP|5700077081349225553</stp>
        <tr r="C2116" s="2"/>
      </tp>
      <tp t="s">
        <v>#N/A N/A</v>
        <stp/>
        <stp>BDP|7844834287261311796</stp>
        <tr r="F544" s="2"/>
      </tp>
      <tp t="s">
        <v>#N/A N/A</v>
        <stp/>
        <stp>BDP|6536941981480245647</stp>
        <tr r="Q802" s="2"/>
      </tp>
      <tp t="s">
        <v>#N/A N/A</v>
        <stp/>
        <stp>BDP|9605024024703058963</stp>
        <tr r="T1764" s="2"/>
      </tp>
      <tp t="s">
        <v>#N/A N/A</v>
        <stp/>
        <stp>BDP|7515044048767837575</stp>
        <tr r="H441" s="2"/>
      </tp>
      <tp t="s">
        <v>#N/A N/A</v>
        <stp/>
        <stp>BDP|3749540934877311329</stp>
        <tr r="H1232" s="2"/>
      </tp>
      <tp t="s">
        <v>#N/A N/A</v>
        <stp/>
        <stp>BDP|4510249468369980867</stp>
        <tr r="E1200" s="2"/>
      </tp>
      <tp t="s">
        <v>#N/A N/A</v>
        <stp/>
        <stp>BDP|7519927837218092469</stp>
        <tr r="F1108" s="2"/>
      </tp>
      <tp t="s">
        <v>#N/A N/A</v>
        <stp/>
        <stp>BDP|4469476827700552376</stp>
        <tr r="J204" s="2"/>
      </tp>
      <tp t="s">
        <v>#N/A N/A</v>
        <stp/>
        <stp>BDS|9974210053078880758</stp>
        <tr r="I1818" s="2"/>
      </tp>
      <tp t="s">
        <v>#N/A N/A</v>
        <stp/>
        <stp>BDP|6209504427671004136</stp>
        <tr r="H1434" s="2"/>
      </tp>
      <tp t="s">
        <v>#N/A N/A</v>
        <stp/>
        <stp>BDP|6160415995369576363</stp>
        <tr r="G2178" s="2"/>
      </tp>
      <tp t="s">
        <v>#N/A N/A</v>
        <stp/>
        <stp>BDP|6271140613320511762</stp>
        <tr r="C1983" s="2"/>
      </tp>
      <tp t="s">
        <v>#N/A N/A</v>
        <stp/>
        <stp>BDS|6605422654487534131</stp>
        <tr r="I1576" s="2"/>
      </tp>
      <tp t="s">
        <v>#N/A N/A</v>
        <stp/>
        <stp>BDS|5216675930554270512</stp>
        <tr r="I2254" s="2"/>
      </tp>
      <tp t="s">
        <v>#N/A N/A</v>
        <stp/>
        <stp>BDP|5416540446450000503</stp>
        <tr r="O1159" s="2"/>
      </tp>
      <tp t="s">
        <v>#N/A N/A</v>
        <stp/>
        <stp>BDP|1591530185295299874</stp>
        <tr r="H186" s="2"/>
      </tp>
      <tp t="s">
        <v>#N/A N/A</v>
        <stp/>
        <stp>BDS|2128104131484161571</stp>
        <tr r="I406" s="2"/>
      </tp>
      <tp t="s">
        <v>#N/A N/A</v>
        <stp/>
        <stp>BDP|7680254977131128239</stp>
        <tr r="K1790" s="2"/>
      </tp>
      <tp t="s">
        <v>#N/A N/A</v>
        <stp/>
        <stp>BDP|3909760830215049390</stp>
        <tr r="Q142" s="2"/>
      </tp>
      <tp t="s">
        <v>#N/A N/A</v>
        <stp/>
        <stp>BDP|1301574895379614510</stp>
        <tr r="O1002" s="2"/>
      </tp>
      <tp t="s">
        <v>#N/A N/A</v>
        <stp/>
        <stp>BDP|8507647376371354938</stp>
        <tr r="Q2181" s="2"/>
      </tp>
      <tp t="s">
        <v>#N/A N/A</v>
        <stp/>
        <stp>BDP|1862020321802872040</stp>
        <tr r="Q694" s="2"/>
      </tp>
      <tp t="s">
        <v>#N/A N/A</v>
        <stp/>
        <stp>BDP|5039143473172499041</stp>
        <tr r="E1389" s="2"/>
      </tp>
      <tp t="s">
        <v>#N/A N/A</v>
        <stp/>
        <stp>BDS|4161758296468786328</stp>
        <tr r="I1398" s="2"/>
      </tp>
      <tp t="s">
        <v>#N/A N/A</v>
        <stp/>
        <stp>BDP|3791868408598641289</stp>
        <tr r="H1734" s="2"/>
      </tp>
      <tp t="s">
        <v>#N/A N/A</v>
        <stp/>
        <stp>BDP|3728332449255289082</stp>
        <tr r="J1018" s="2"/>
      </tp>
      <tp t="s">
        <v>#N/A N/A</v>
        <stp/>
        <stp>BDP|6282662703442661360</stp>
        <tr r="C1495" s="2"/>
      </tp>
      <tp t="s">
        <v>#N/A N/A</v>
        <stp/>
        <stp>BDP|2805543402241107789</stp>
        <tr r="D979" s="2"/>
      </tp>
      <tp t="s">
        <v>#N/A N/A</v>
        <stp/>
        <stp>BDP|2154985819858234353</stp>
        <tr r="H463" s="2"/>
      </tp>
      <tp t="s">
        <v>#N/A N/A</v>
        <stp/>
        <stp>BDP|8847079368998183714</stp>
        <tr r="H2174" s="2"/>
      </tp>
      <tp t="s">
        <v>#N/A N/A</v>
        <stp/>
        <stp>BDP|2476973874589891483</stp>
        <tr r="D856" s="2"/>
      </tp>
      <tp t="s">
        <v>#N/A N/A</v>
        <stp/>
        <stp>BDP|2793367867374941282</stp>
        <tr r="Q507" s="2"/>
      </tp>
      <tp t="s">
        <v>#N/A N/A</v>
        <stp/>
        <stp>BDP|5242463817955562413</stp>
        <tr r="K1363" s="2"/>
      </tp>
      <tp t="s">
        <v>#N/A N/A</v>
        <stp/>
        <stp>BDP|2026639234594924297</stp>
        <tr r="S670" s="2"/>
      </tp>
      <tp t="s">
        <v>#N/A N/A</v>
        <stp/>
        <stp>BDP|5020230462849319950</stp>
        <tr r="D1507" s="2"/>
      </tp>
      <tp t="s">
        <v>#N/A N/A</v>
        <stp/>
        <stp>BDP|5647049235855999297</stp>
        <tr r="C878" s="2"/>
      </tp>
      <tp t="s">
        <v>#N/A N/A</v>
        <stp/>
        <stp>BDP|1651068467295606364</stp>
        <tr r="R1706" s="2"/>
      </tp>
      <tp t="s">
        <v>#N/A N/A</v>
        <stp/>
        <stp>BDP|3186105556012638465</stp>
        <tr r="K65" s="2"/>
      </tp>
      <tp t="s">
        <v>#N/A N/A</v>
        <stp/>
        <stp>BDP|1861561667646688582</stp>
        <tr r="K902" s="2"/>
      </tp>
      <tp t="s">
        <v>#N/A N/A</v>
        <stp/>
        <stp>BDP|7691139551941755346</stp>
        <tr r="G371" s="2"/>
      </tp>
      <tp t="s">
        <v>#N/A N/A</v>
        <stp/>
        <stp>BDP|9240908419230951051</stp>
        <tr r="R673" s="2"/>
      </tp>
      <tp t="s">
        <v>#N/A N/A</v>
        <stp/>
        <stp>BDP|8115594203569891543</stp>
        <tr r="F1248" s="2"/>
      </tp>
      <tp t="s">
        <v>#N/A N/A</v>
        <stp/>
        <stp>BDP|4880230969025067454</stp>
        <tr r="F846" s="2"/>
      </tp>
      <tp t="s">
        <v>#N/A N/A</v>
        <stp/>
        <stp>BDP|9966499956630260935</stp>
        <tr r="D837" s="2"/>
      </tp>
      <tp t="s">
        <v>#N/A N/A</v>
        <stp/>
        <stp>BDP|2615159575326564340</stp>
        <tr r="N2045" s="2"/>
      </tp>
      <tp t="s">
        <v>#N/A N/A</v>
        <stp/>
        <stp>BDP|4714155663567682504</stp>
        <tr r="R821" s="2"/>
      </tp>
      <tp t="s">
        <v>#N/A N/A</v>
        <stp/>
        <stp>BDP|2377064980949322215</stp>
        <tr r="G524" s="2"/>
      </tp>
      <tp t="s">
        <v>#N/A N/A</v>
        <stp/>
        <stp>BDP|1172742563917443654</stp>
        <tr r="E1737" s="2"/>
      </tp>
      <tp t="s">
        <v>#N/A N/A</v>
        <stp/>
        <stp>BDP|9665885437347685484</stp>
        <tr r="H1788" s="2"/>
      </tp>
      <tp t="s">
        <v>#N/A N/A</v>
        <stp/>
        <stp>BDP|7173555636439134949</stp>
        <tr r="O570" s="2"/>
      </tp>
      <tp t="s">
        <v>#N/A N/A</v>
        <stp/>
        <stp>BDP|3001020765941236525</stp>
        <tr r="C1110" s="2"/>
      </tp>
      <tp t="s">
        <v>#N/A N/A</v>
        <stp/>
        <stp>BDP|7822404181302736899</stp>
        <tr r="A475" s="2"/>
      </tp>
      <tp t="s">
        <v>#N/A N/A</v>
        <stp/>
        <stp>BDP|2122600805794338109</stp>
        <tr r="D2224" s="2"/>
      </tp>
      <tp t="s">
        <v>#N/A N/A</v>
        <stp/>
        <stp>BDP|3702307630034783671</stp>
        <tr r="D240" s="2"/>
      </tp>
      <tp t="s">
        <v>#N/A N/A</v>
        <stp/>
        <stp>BDP|1419052909539900968</stp>
        <tr r="D1174" s="2"/>
      </tp>
      <tp t="s">
        <v>#N/A N/A</v>
        <stp/>
        <stp>BDP|6756463455553758548</stp>
        <tr r="G342" s="2"/>
      </tp>
      <tp t="s">
        <v>#N/A N/A</v>
        <stp/>
        <stp>BDP|2252924486811203338</stp>
        <tr r="E2190" s="2"/>
      </tp>
      <tp t="s">
        <v>#N/A N/A</v>
        <stp/>
        <stp>BDP|7626141708754472392</stp>
        <tr r="D2248" s="2"/>
      </tp>
      <tp t="s">
        <v>#N/A N/A</v>
        <stp/>
        <stp>BDP|6876394579750727387</stp>
        <tr r="K771" s="2"/>
      </tp>
      <tp t="s">
        <v>#N/A N/A</v>
        <stp/>
        <stp>BDP|4347106859008501983</stp>
        <tr r="J2100" s="2"/>
      </tp>
      <tp t="s">
        <v>#N/A N/A</v>
        <stp/>
        <stp>BDP|6275276224080170777</stp>
        <tr r="F254" s="2"/>
      </tp>
      <tp t="s">
        <v>#N/A N/A</v>
        <stp/>
        <stp>BDP|7365706520081450204</stp>
        <tr r="H388" s="2"/>
      </tp>
      <tp t="s">
        <v>#N/A N/A</v>
        <stp/>
        <stp>BDP|8007845736706644436</stp>
        <tr r="G1836" s="2"/>
      </tp>
      <tp t="s">
        <v>#N/A N/A</v>
        <stp/>
        <stp>BDP|1551450857093466243</stp>
        <tr r="F1373" s="2"/>
      </tp>
      <tp t="s">
        <v>#N/A N/A</v>
        <stp/>
        <stp>BDP|6854968898797425058</stp>
        <tr r="T2155" s="2"/>
      </tp>
      <tp t="s">
        <v>#N/A N/A</v>
        <stp/>
        <stp>BDP|6021901484370463676</stp>
        <tr r="C1340" s="2"/>
      </tp>
      <tp t="s">
        <v>#N/A N/A</v>
        <stp/>
        <stp>BDP|8806837037357960522</stp>
        <tr r="M1028" s="2"/>
      </tp>
      <tp t="s">
        <v>#N/A N/A</v>
        <stp/>
        <stp>BDP|9686901942136100328</stp>
        <tr r="Q1006" s="2"/>
      </tp>
      <tp t="s">
        <v>#N/A N/A</v>
        <stp/>
        <stp>BDP|9051476337257688819</stp>
        <tr r="N423" s="2"/>
      </tp>
      <tp t="s">
        <v>#N/A N/A</v>
        <stp/>
        <stp>BDP|7849793332640265267</stp>
        <tr r="Q699" s="2"/>
      </tp>
      <tp t="s">
        <v>#N/A N/A</v>
        <stp/>
        <stp>BDP|8133968747803047774</stp>
        <tr r="K1649" s="2"/>
      </tp>
      <tp t="s">
        <v>#N/A N/A</v>
        <stp/>
        <stp>BDP|5010715463575115042</stp>
        <tr r="E1862" s="2"/>
      </tp>
      <tp t="s">
        <v>#N/A N/A</v>
        <stp/>
        <stp>BDP|2092251971134780243</stp>
        <tr r="F64" s="2"/>
      </tp>
      <tp t="s">
        <v>#N/A N/A</v>
        <stp/>
        <stp>BDP|5368974413134416840</stp>
        <tr r="R1371" s="2"/>
      </tp>
      <tp t="s">
        <v>#N/A N/A</v>
        <stp/>
        <stp>BDP|5622032953817323628</stp>
        <tr r="T1178" s="2"/>
      </tp>
      <tp t="s">
        <v>#N/A N/A</v>
        <stp/>
        <stp>BDP|7451682929246025425</stp>
        <tr r="N205" s="2"/>
      </tp>
      <tp t="s">
        <v>#N/A N/A</v>
        <stp/>
        <stp>BDP|2691303133946440562</stp>
        <tr r="D273" s="2"/>
      </tp>
      <tp t="s">
        <v>#N/A N/A</v>
        <stp/>
        <stp>BDS|4121797981169712393</stp>
        <tr r="I1805" s="2"/>
      </tp>
      <tp t="s">
        <v>#N/A N/A</v>
        <stp/>
        <stp>BDP|7695206208991853516</stp>
        <tr r="S97" s="2"/>
      </tp>
      <tp t="s">
        <v>#N/A N/A</v>
        <stp/>
        <stp>BDS|4759198331917163094</stp>
        <tr r="I2022" s="2"/>
      </tp>
      <tp t="s">
        <v>#N/A N/A</v>
        <stp/>
        <stp>BDP|5524296162212911203</stp>
        <tr r="P712" s="2"/>
      </tp>
      <tp t="s">
        <v>#N/A N/A</v>
        <stp/>
        <stp>BDP|9634872321693738100</stp>
        <tr r="K1518" s="2"/>
      </tp>
      <tp t="s">
        <v>#N/A N/A</v>
        <stp/>
        <stp>BDP|5925497147341977595</stp>
        <tr r="D1449" s="2"/>
      </tp>
      <tp t="s">
        <v>#N/A N/A</v>
        <stp/>
        <stp>BDP|4017163280948789467</stp>
        <tr r="O401" s="2"/>
      </tp>
      <tp t="s">
        <v>#N/A N/A</v>
        <stp/>
        <stp>BDP|6068913852863487802</stp>
        <tr r="H1299" s="2"/>
      </tp>
      <tp t="s">
        <v>#N/A N/A</v>
        <stp/>
        <stp>BDP|7534095167179951955</stp>
        <tr r="O270" s="2"/>
      </tp>
      <tp t="s">
        <v>#N/A N/A</v>
        <stp/>
        <stp>BDP|6188395637782940518</stp>
        <tr r="D1027" s="2"/>
      </tp>
      <tp t="s">
        <v>#N/A N/A</v>
        <stp/>
        <stp>BDP|8271977417940261179</stp>
        <tr r="R23" s="2"/>
      </tp>
      <tp t="s">
        <v>#N/A N/A</v>
        <stp/>
        <stp>BDP|3144461911741308624</stp>
        <tr r="T1674" s="2"/>
      </tp>
      <tp t="s">
        <v>#N/A N/A</v>
        <stp/>
        <stp>BDS|9677131907778745120</stp>
        <tr r="I1935" s="2"/>
      </tp>
      <tp t="s">
        <v>#N/A N/A</v>
        <stp/>
        <stp>BDP|9677105697295576531</stp>
        <tr r="R1754" s="2"/>
      </tp>
      <tp t="s">
        <v>#N/A N/A</v>
        <stp/>
        <stp>BDP|4997668278897165319</stp>
        <tr r="N1391" s="2"/>
      </tp>
      <tp t="s">
        <v>#N/A N/A</v>
        <stp/>
        <stp>BDP|6355176405055036359</stp>
        <tr r="G1367" s="2"/>
      </tp>
      <tp t="s">
        <v>#N/A N/A</v>
        <stp/>
        <stp>BDP|9251499143410923853</stp>
        <tr r="F682" s="2"/>
      </tp>
      <tp t="s">
        <v>#N/A N/A</v>
        <stp/>
        <stp>BDP|5191170513885695171</stp>
        <tr r="E1763" s="2"/>
      </tp>
      <tp t="s">
        <v>#N/A N/A</v>
        <stp/>
        <stp>BDP|7093364612956354239</stp>
        <tr r="H680" s="2"/>
      </tp>
      <tp t="s">
        <v>#N/A N/A</v>
        <stp/>
        <stp>BDP|5733944163819744233</stp>
        <tr r="Q2041" s="2"/>
      </tp>
      <tp t="s">
        <v>#N/A N/A</v>
        <stp/>
        <stp>BDP|9127080045329105599</stp>
        <tr r="A1884" s="2"/>
      </tp>
      <tp t="s">
        <v>#N/A N/A</v>
        <stp/>
        <stp>BDP|5930757928992271322</stp>
        <tr r="H1988" s="2"/>
      </tp>
      <tp t="s">
        <v>#N/A N/A</v>
        <stp/>
        <stp>BDP|4354074799278827419</stp>
        <tr r="Q406" s="2"/>
      </tp>
      <tp t="s">
        <v>#N/A N/A</v>
        <stp/>
        <stp>BDP|1168966341938654544</stp>
        <tr r="J770" s="2"/>
      </tp>
      <tp t="s">
        <v>#N/A N/A</v>
        <stp/>
        <stp>BDP|1303619010280556736</stp>
        <tr r="A2176" s="2"/>
      </tp>
      <tp t="s">
        <v>#N/A N/A</v>
        <stp/>
        <stp>BDP|9302740117076589810</stp>
        <tr r="H1274" s="2"/>
      </tp>
      <tp t="s">
        <v>#N/A N/A</v>
        <stp/>
        <stp>BDP|8288319198272927169</stp>
        <tr r="N146" s="2"/>
      </tp>
      <tp t="s">
        <v>#N/A N/A</v>
        <stp/>
        <stp>BDP|4724931990895512051</stp>
        <tr r="A1833" s="2"/>
      </tp>
      <tp t="s">
        <v>#N/A N/A</v>
        <stp/>
        <stp>BDP|3592157103026573522</stp>
        <tr r="K1194" s="2"/>
      </tp>
      <tp t="s">
        <v>#N/A N/A</v>
        <stp/>
        <stp>BDP|1221131875622471449</stp>
        <tr r="D126" s="2"/>
      </tp>
      <tp t="s">
        <v>#N/A N/A</v>
        <stp/>
        <stp>BDP|4865746468233609769</stp>
        <tr r="D464" s="2"/>
      </tp>
      <tp t="s">
        <v>#N/A N/A</v>
        <stp/>
        <stp>BDP|8008082149159407418</stp>
        <tr r="C87" s="2"/>
      </tp>
      <tp t="s">
        <v>#N/A N/A</v>
        <stp/>
        <stp>BDP|5001244259232894115</stp>
        <tr r="S1496" s="2"/>
      </tp>
      <tp t="s">
        <v>#N/A N/A</v>
        <stp/>
        <stp>BDP|7675868267091519964</stp>
        <tr r="P209" s="2"/>
      </tp>
      <tp t="s">
        <v>#N/A N/A</v>
        <stp/>
        <stp>BDP|8919699981020165744</stp>
        <tr r="D559" s="2"/>
      </tp>
      <tp t="s">
        <v>#N/A N/A</v>
        <stp/>
        <stp>BDP|9164800665023851589</stp>
        <tr r="Q1559" s="2"/>
      </tp>
      <tp t="s">
        <v>#N/A N/A</v>
        <stp/>
        <stp>BDP|4537840091947091349</stp>
        <tr r="E257" s="2"/>
      </tp>
      <tp t="s">
        <v>#N/A N/A</v>
        <stp/>
        <stp>BDP|8360257723579272039</stp>
        <tr r="G1635" s="2"/>
      </tp>
      <tp t="s">
        <v>#N/A N/A</v>
        <stp/>
        <stp>BDP|8665928834676048546</stp>
        <tr r="H1890" s="2"/>
      </tp>
      <tp t="s">
        <v>#N/A N/A</v>
        <stp/>
        <stp>BDP|9476203716983462821</stp>
        <tr r="D780" s="2"/>
      </tp>
      <tp t="s">
        <v>#N/A N/A</v>
        <stp/>
        <stp>BDP|7174604568080594687</stp>
        <tr r="M2056" s="2"/>
      </tp>
      <tp t="s">
        <v>#N/A N/A</v>
        <stp/>
        <stp>BDP|5589439332037886484</stp>
        <tr r="J784" s="2"/>
      </tp>
      <tp t="s">
        <v>#N/A N/A</v>
        <stp/>
        <stp>BDP|3288561021816141308</stp>
        <tr r="K99" s="2"/>
      </tp>
      <tp t="s">
        <v>#N/A N/A</v>
        <stp/>
        <stp>BDP|7293608751393566629</stp>
        <tr r="S947" s="2"/>
      </tp>
      <tp t="s">
        <v>#N/A N/A</v>
        <stp/>
        <stp>BDP|5257410620625297755</stp>
        <tr r="P1523" s="2"/>
      </tp>
      <tp t="s">
        <v>#N/A N/A</v>
        <stp/>
        <stp>BDP|3620742510622491620</stp>
        <tr r="M446" s="2"/>
      </tp>
      <tp t="s">
        <v>#N/A N/A</v>
        <stp/>
        <stp>BDP|2033948993863140028</stp>
        <tr r="A1237" s="2"/>
      </tp>
      <tp t="s">
        <v>#N/A N/A</v>
        <stp/>
        <stp>BDP|1128477794385618808</stp>
        <tr r="G285" s="2"/>
      </tp>
      <tp t="s">
        <v>#N/A N/A</v>
        <stp/>
        <stp>BDP|9256546730597017928</stp>
        <tr r="F2181" s="2"/>
      </tp>
      <tp t="s">
        <v>#N/A N/A</v>
        <stp/>
        <stp>BDP|3347575921065992087</stp>
        <tr r="K1421" s="2"/>
      </tp>
      <tp t="s">
        <v>#N/A N/A</v>
        <stp/>
        <stp>BDP|6267222457812708243</stp>
        <tr r="F195" s="2"/>
      </tp>
      <tp t="s">
        <v>#N/A N/A</v>
        <stp/>
        <stp>BDP|6610271887474295902</stp>
        <tr r="N2171" s="2"/>
      </tp>
      <tp t="s">
        <v>#N/A N/A</v>
        <stp/>
        <stp>BDP|9526821517318796937</stp>
        <tr r="S486" s="2"/>
      </tp>
      <tp t="s">
        <v>#N/A N/A</v>
        <stp/>
        <stp>BDP|8464469593040282479</stp>
        <tr r="S1143" s="2"/>
      </tp>
      <tp t="s">
        <v>#N/A N/A</v>
        <stp/>
        <stp>BDP|2670479740013756025</stp>
        <tr r="T2199" s="2"/>
      </tp>
      <tp t="s">
        <v>#N/A N/A</v>
        <stp/>
        <stp>BDP|5391646652122234533</stp>
        <tr r="S299" s="2"/>
      </tp>
      <tp t="s">
        <v>#N/A N/A</v>
        <stp/>
        <stp>BDP|1016108072624066267</stp>
        <tr r="H1786" s="2"/>
      </tp>
      <tp t="s">
        <v>#N/A N/A</v>
        <stp/>
        <stp>BDP|5653739441884933399</stp>
        <tr r="G98" s="2"/>
      </tp>
      <tp t="s">
        <v>#N/A N/A</v>
        <stp/>
        <stp>BDP|2332101752105158248</stp>
        <tr r="E1265" s="2"/>
      </tp>
      <tp t="s">
        <v>#N/A N/A</v>
        <stp/>
        <stp>BDP|8091494470898594282</stp>
        <tr r="D868" s="2"/>
      </tp>
      <tp t="s">
        <v>#N/A N/A</v>
        <stp/>
        <stp>BDP|9415553195047347337</stp>
        <tr r="R603" s="2"/>
      </tp>
      <tp t="s">
        <v>#N/A N/A</v>
        <stp/>
        <stp>BDP|7665464971782764722</stp>
        <tr r="A1287" s="2"/>
      </tp>
      <tp t="s">
        <v>#N/A N/A</v>
        <stp/>
        <stp>BDP|9162092989455006551</stp>
        <tr r="O339" s="2"/>
      </tp>
      <tp t="s">
        <v>#N/A N/A</v>
        <stp/>
        <stp>BDP|7813351314081461597</stp>
        <tr r="C169" s="2"/>
      </tp>
      <tp t="s">
        <v>#N/A N/A</v>
        <stp/>
        <stp>BDP|4959628159561295740</stp>
        <tr r="J261" s="2"/>
      </tp>
      <tp t="s">
        <v>#N/A N/A</v>
        <stp/>
        <stp>BDP|2082621239365893373</stp>
        <tr r="F623" s="2"/>
      </tp>
      <tp t="s">
        <v>#N/A N/A</v>
        <stp/>
        <stp>BDP|4147602743763323453</stp>
        <tr r="J304" s="2"/>
      </tp>
      <tp t="s">
        <v>#N/A N/A</v>
        <stp/>
        <stp>BDP|4983258505133513480</stp>
        <tr r="H784" s="2"/>
      </tp>
      <tp t="s">
        <v>#N/A N/A</v>
        <stp/>
        <stp>BDP|9579257771084234973</stp>
        <tr r="T531" s="2"/>
      </tp>
      <tp t="s">
        <v>#N/A N/A</v>
        <stp/>
        <stp>BDP|5104476380589343117</stp>
        <tr r="P1517" s="2"/>
      </tp>
      <tp t="s">
        <v>#N/A N/A</v>
        <stp/>
        <stp>BDP|9588754149319865259</stp>
        <tr r="H325" s="2"/>
      </tp>
      <tp t="s">
        <v>#N/A N/A</v>
        <stp/>
        <stp>BDP|2935504850153933045</stp>
        <tr r="G710" s="2"/>
      </tp>
      <tp t="s">
        <v>#N/A N/A</v>
        <stp/>
        <stp>BDP|8463676745443374810</stp>
        <tr r="P363" s="2"/>
      </tp>
      <tp t="s">
        <v>#N/A N/A</v>
        <stp/>
        <stp>BDS|2739842565318669544</stp>
        <tr r="I1738" s="2"/>
      </tp>
      <tp t="s">
        <v>#N/A N/A</v>
        <stp/>
        <stp>BDP|2173274643974817198</stp>
        <tr r="N44" s="2"/>
      </tp>
      <tp t="s">
        <v>#N/A N/A</v>
        <stp/>
        <stp>BDP|4625060950966618629</stp>
        <tr r="J366" s="2"/>
      </tp>
      <tp t="s">
        <v>#N/A N/A</v>
        <stp/>
        <stp>BDP|2225294159326505236</stp>
        <tr r="E985" s="2"/>
      </tp>
      <tp t="s">
        <v>#N/A N/A</v>
        <stp/>
        <stp>BDP|4968401912629967965</stp>
        <tr r="A2005" s="2"/>
      </tp>
      <tp t="s">
        <v>#N/A N/A</v>
        <stp/>
        <stp>BDP|4745492722076115595</stp>
        <tr r="D1850" s="2"/>
      </tp>
      <tp t="s">
        <v>#N/A N/A</v>
        <stp/>
        <stp>BDP|8712466616328727444</stp>
        <tr r="M1898" s="2"/>
      </tp>
      <tp t="s">
        <v>#N/A N/A</v>
        <stp/>
        <stp>BDP|9204042925513660913</stp>
        <tr r="C2115" s="2"/>
      </tp>
      <tp t="s">
        <v>#N/A N/A</v>
        <stp/>
        <stp>BDP|1126112480238079147</stp>
        <tr r="R352" s="2"/>
      </tp>
      <tp t="s">
        <v>#N/A N/A</v>
        <stp/>
        <stp>BDP|5853763641297837035</stp>
        <tr r="A316" s="2"/>
      </tp>
      <tp t="s">
        <v>#N/A N/A</v>
        <stp/>
        <stp>BDP|3639649122144591217</stp>
        <tr r="N904" s="2"/>
      </tp>
      <tp t="s">
        <v>#N/A N/A</v>
        <stp/>
        <stp>BDP|2716047573242079646</stp>
        <tr r="R2120" s="2"/>
      </tp>
      <tp t="s">
        <v>#N/A N/A</v>
        <stp/>
        <stp>BDP|1766437225717337161</stp>
        <tr r="D1120" s="2"/>
      </tp>
      <tp t="s">
        <v>#N/A N/A</v>
        <stp/>
        <stp>BDP|8480133603901604966</stp>
        <tr r="F78" s="2"/>
      </tp>
      <tp t="s">
        <v>#N/A N/A</v>
        <stp/>
        <stp>BDP|1291356882033926889</stp>
        <tr r="E1123" s="2"/>
      </tp>
      <tp t="s">
        <v>#N/A N/A</v>
        <stp/>
        <stp>BDP|1113709422887010275</stp>
        <tr r="A1631" s="2"/>
      </tp>
      <tp t="s">
        <v>#N/A N/A</v>
        <stp/>
        <stp>BDP|1179003535404863782</stp>
        <tr r="K1030" s="2"/>
      </tp>
      <tp t="s">
        <v>#N/A N/A</v>
        <stp/>
        <stp>BDP|5656035585498511411</stp>
        <tr r="S1075" s="2"/>
      </tp>
      <tp t="s">
        <v>#N/A N/A</v>
        <stp/>
        <stp>BDP|4440721334434624504</stp>
        <tr r="G1795" s="2"/>
      </tp>
      <tp t="s">
        <v>#N/A N/A</v>
        <stp/>
        <stp>BDP|5962566658304554061</stp>
        <tr r="K1545" s="2"/>
      </tp>
      <tp t="s">
        <v>#N/A N/A</v>
        <stp/>
        <stp>BDP|7142210373776516525</stp>
        <tr r="C1012" s="2"/>
      </tp>
      <tp t="s">
        <v>#N/A N/A</v>
        <stp/>
        <stp>BDP|4477504051126154300</stp>
        <tr r="R1461" s="2"/>
      </tp>
      <tp t="s">
        <v>#N/A N/A</v>
        <stp/>
        <stp>BDP|6341270527217147065</stp>
        <tr r="J1843" s="2"/>
      </tp>
      <tp t="s">
        <v>#N/A N/A</v>
        <stp/>
        <stp>BDS|6967281265537358433</stp>
        <tr r="I2021" s="2"/>
      </tp>
      <tp t="s">
        <v>#N/A N/A</v>
        <stp/>
        <stp>BDP|1695522555567401718</stp>
        <tr r="O810" s="2"/>
      </tp>
      <tp t="s">
        <v>#N/A N/A</v>
        <stp/>
        <stp>BDP|3161700016446365202</stp>
        <tr r="Q2071" s="2"/>
      </tp>
      <tp t="s">
        <v>#N/A N/A</v>
        <stp/>
        <stp>BDP|1087245670502580756</stp>
        <tr r="E1376" s="2"/>
      </tp>
      <tp t="s">
        <v>#N/A N/A</v>
        <stp/>
        <stp>BDP|5532977120449546632</stp>
        <tr r="D647" s="2"/>
      </tp>
      <tp t="s">
        <v>#N/A N/A</v>
        <stp/>
        <stp>BDS|8587268381691713212</stp>
        <tr r="I2170" s="2"/>
      </tp>
      <tp t="s">
        <v>#N/A N/A</v>
        <stp/>
        <stp>BDP|6715722677580022762</stp>
        <tr r="H1772" s="2"/>
      </tp>
      <tp t="s">
        <v>#N/A N/A</v>
        <stp/>
        <stp>BDP|3800629929870665611</stp>
        <tr r="O419" s="2"/>
      </tp>
      <tp t="s">
        <v>#N/A N/A</v>
        <stp/>
        <stp>BDP|2355147610907112433</stp>
        <tr r="Q1288" s="2"/>
      </tp>
      <tp t="s">
        <v>#N/A N/A</v>
        <stp/>
        <stp>BDP|4262073544918379972</stp>
        <tr r="J316" s="2"/>
      </tp>
      <tp t="s">
        <v>#N/A N/A</v>
        <stp/>
        <stp>BDS|1795501077056258477</stp>
        <tr r="I1599" s="2"/>
      </tp>
      <tp t="s">
        <v>#N/A N/A</v>
        <stp/>
        <stp>BDP|7283706404599517863</stp>
        <tr r="G1877" s="2"/>
      </tp>
      <tp t="s">
        <v>#N/A N/A</v>
        <stp/>
        <stp>BDP|3575349229691934242</stp>
        <tr r="N1127" s="2"/>
      </tp>
      <tp t="s">
        <v>#N/A N/A</v>
        <stp/>
        <stp>BDP|8262540099765881021</stp>
        <tr r="R278" s="2"/>
      </tp>
      <tp t="s">
        <v>#N/A N/A</v>
        <stp/>
        <stp>BDP|8795436794903581706</stp>
        <tr r="H1822" s="2"/>
      </tp>
      <tp t="s">
        <v>#N/A N/A</v>
        <stp/>
        <stp>BDP|5484072935363097438</stp>
        <tr r="N1100" s="2"/>
      </tp>
      <tp t="s">
        <v>#N/A N/A</v>
        <stp/>
        <stp>BDP|3818943080122197182</stp>
        <tr r="P623" s="2"/>
      </tp>
      <tp t="s">
        <v>#N/A N/A</v>
        <stp/>
        <stp>BDP|9239174091869678973</stp>
        <tr r="O799" s="2"/>
      </tp>
      <tp t="s">
        <v>#N/A N/A</v>
        <stp/>
        <stp>BDP|6159140387026687816</stp>
        <tr r="T202" s="2"/>
      </tp>
      <tp t="s">
        <v>#N/A N/A</v>
        <stp/>
        <stp>BDP|9975165815230684893</stp>
        <tr r="R236" s="2"/>
      </tp>
      <tp t="s">
        <v>#N/A N/A</v>
        <stp/>
        <stp>BDP|2423335052601237428</stp>
        <tr r="J323" s="2"/>
      </tp>
      <tp t="s">
        <v>#N/A N/A</v>
        <stp/>
        <stp>BDP|2196745717071760400</stp>
        <tr r="N1504" s="2"/>
      </tp>
      <tp t="s">
        <v>#N/A N/A</v>
        <stp/>
        <stp>BDP|4915572137814596798</stp>
        <tr r="C602" s="2"/>
      </tp>
      <tp t="s">
        <v>#N/A N/A</v>
        <stp/>
        <stp>BDP|2324534979866447780</stp>
        <tr r="N1329" s="2"/>
      </tp>
      <tp t="s">
        <v>#N/A N/A</v>
        <stp/>
        <stp>BDS|3001144586542587927</stp>
        <tr r="I611" s="2"/>
      </tp>
      <tp t="s">
        <v>#N/A N/A</v>
        <stp/>
        <stp>BDS|9195365157288690639</stp>
        <tr r="I1815" s="2"/>
      </tp>
      <tp t="s">
        <v>#N/A N/A</v>
        <stp/>
        <stp>BDP|7079061780626644859</stp>
        <tr r="R289" s="2"/>
      </tp>
      <tp t="s">
        <v>#N/A N/A</v>
        <stp/>
        <stp>BDP|7460531813283388120</stp>
        <tr r="J1567" s="2"/>
      </tp>
      <tp t="s">
        <v>#N/A N/A</v>
        <stp/>
        <stp>BDP|3148496658181572208</stp>
        <tr r="M1345" s="2"/>
      </tp>
      <tp t="s">
        <v>#N/A N/A</v>
        <stp/>
        <stp>BDP|8286643436069200577</stp>
        <tr r="Q1557" s="2"/>
      </tp>
      <tp t="s">
        <v>#N/A N/A</v>
        <stp/>
        <stp>BDP|9813334846876988919</stp>
        <tr r="S1613" s="2"/>
      </tp>
      <tp t="s">
        <v>#N/A N/A</v>
        <stp/>
        <stp>BDP|2267828200169321261</stp>
        <tr r="P733" s="2"/>
      </tp>
      <tp t="s">
        <v>#N/A N/A</v>
        <stp/>
        <stp>BDP|2064267513340066008</stp>
        <tr r="D1085" s="2"/>
      </tp>
      <tp t="s">
        <v>#N/A N/A</v>
        <stp/>
        <stp>BDP|5110621270163089665</stp>
        <tr r="J472" s="2"/>
      </tp>
      <tp t="s">
        <v>#N/A N/A</v>
        <stp/>
        <stp>BDP|4414413962283082427</stp>
        <tr r="J1227" s="2"/>
      </tp>
      <tp t="s">
        <v>#N/A N/A</v>
        <stp/>
        <stp>BDP|2333105879392832779</stp>
        <tr r="T1902" s="2"/>
      </tp>
      <tp t="s">
        <v>#N/A N/A</v>
        <stp/>
        <stp>BDP|1245152720702760158</stp>
        <tr r="A1987" s="2"/>
      </tp>
      <tp t="s">
        <v>#N/A N/A</v>
        <stp/>
        <stp>BDP|2324547740130682243</stp>
        <tr r="K972" s="2"/>
      </tp>
      <tp t="s">
        <v>#N/A N/A</v>
        <stp/>
        <stp>BDP|2031686330380919648</stp>
        <tr r="M1277" s="2"/>
      </tp>
      <tp t="s">
        <v>#N/A N/A</v>
        <stp/>
        <stp>BDP|7048392729106502108</stp>
        <tr r="T1544" s="2"/>
      </tp>
      <tp t="s">
        <v>#N/A N/A</v>
        <stp/>
        <stp>BDP|5793904972303504951</stp>
        <tr r="N343" s="2"/>
      </tp>
      <tp t="s">
        <v>#N/A N/A</v>
        <stp/>
        <stp>BDP|1694731067691312040</stp>
        <tr r="P407" s="2"/>
      </tp>
      <tp t="s">
        <v>#N/A N/A</v>
        <stp/>
        <stp>BDP|8715333692733198023</stp>
        <tr r="N1734" s="2"/>
      </tp>
      <tp t="s">
        <v>#N/A N/A</v>
        <stp/>
        <stp>BDP|8801597372098203348</stp>
        <tr r="R1998" s="2"/>
      </tp>
      <tp t="s">
        <v>#N/A N/A</v>
        <stp/>
        <stp>BDP|3726913041828021725</stp>
        <tr r="T455" s="2"/>
      </tp>
      <tp t="s">
        <v>#N/A N/A</v>
        <stp/>
        <stp>BDP|3149158972273530763</stp>
        <tr r="T807" s="2"/>
      </tp>
      <tp t="s">
        <v>#N/A N/A</v>
        <stp/>
        <stp>BDP|9344231023860072864</stp>
        <tr r="G304" s="2"/>
      </tp>
      <tp t="s">
        <v>#N/A N/A</v>
        <stp/>
        <stp>BDP|2171933428529876178</stp>
        <tr r="Q2053" s="2"/>
      </tp>
      <tp t="s">
        <v>#N/A N/A</v>
        <stp/>
        <stp>BDP|3303469796918366758</stp>
        <tr r="O976" s="2"/>
      </tp>
      <tp t="s">
        <v>#N/A N/A</v>
        <stp/>
        <stp>BDP|5045169112480672470</stp>
        <tr r="J1883" s="2"/>
      </tp>
      <tp t="s">
        <v>#N/A N/A</v>
        <stp/>
        <stp>BDP|2606325937631238241</stp>
        <tr r="O563" s="2"/>
      </tp>
      <tp t="s">
        <v>#N/A N/A</v>
        <stp/>
        <stp>BDP|4000556599518103182</stp>
        <tr r="P513" s="2"/>
      </tp>
      <tp t="s">
        <v>#N/A N/A</v>
        <stp/>
        <stp>BDP|3453698194814410985</stp>
        <tr r="F467" s="2"/>
      </tp>
      <tp t="s">
        <v>#N/A N/A</v>
        <stp/>
        <stp>BDP|4203974851431701861</stp>
        <tr r="D58" s="2"/>
      </tp>
      <tp t="s">
        <v>#N/A N/A</v>
        <stp/>
        <stp>BDP|8414360480433615114</stp>
        <tr r="O2022" s="2"/>
      </tp>
      <tp t="s">
        <v>#N/A N/A</v>
        <stp/>
        <stp>BDP|1246741792666120801</stp>
        <tr r="D850" s="2"/>
      </tp>
      <tp t="s">
        <v>#N/A N/A</v>
        <stp/>
        <stp>BDP|1261512659490789088</stp>
        <tr r="C1497" s="2"/>
      </tp>
      <tp t="s">
        <v>#N/A N/A</v>
        <stp/>
        <stp>BDP|4601547652922487716</stp>
        <tr r="G2148" s="2"/>
      </tp>
      <tp t="s">
        <v>#N/A N/A</v>
        <stp/>
        <stp>BDP|3790417768120888037</stp>
        <tr r="E53" s="2"/>
      </tp>
      <tp t="s">
        <v>#N/A N/A</v>
        <stp/>
        <stp>BDP|8649672551639726322</stp>
        <tr r="H801" s="2"/>
      </tp>
      <tp t="s">
        <v>#N/A N/A</v>
        <stp/>
        <stp>BDP|4752702003592600072</stp>
        <tr r="F1845" s="2"/>
      </tp>
      <tp t="s">
        <v>#N/A N/A</v>
        <stp/>
        <stp>BDP|3411422425273626700</stp>
        <tr r="C2043" s="2"/>
      </tp>
      <tp t="s">
        <v>#N/A N/A</v>
        <stp/>
        <stp>BDP|6003775366556032040</stp>
        <tr r="N1920" s="2"/>
      </tp>
      <tp t="s">
        <v>#N/A N/A</v>
        <stp/>
        <stp>BDP|8529279954369531768</stp>
        <tr r="E382" s="2"/>
      </tp>
      <tp t="s">
        <v>#N/A N/A</v>
        <stp/>
        <stp>BDP|3500784592115315997</stp>
        <tr r="K1227" s="2"/>
      </tp>
      <tp t="s">
        <v>#N/A N/A</v>
        <stp/>
        <stp>BDP|4817085832762787408</stp>
        <tr r="F185" s="2"/>
      </tp>
      <tp t="s">
        <v>#N/A N/A</v>
        <stp/>
        <stp>BDS|2779352467520450645</stp>
        <tr r="I949" s="2"/>
      </tp>
      <tp t="s">
        <v>#N/A N/A</v>
        <stp/>
        <stp>BDP|8717257616662921880</stp>
        <tr r="K909" s="2"/>
      </tp>
      <tp t="s">
        <v>#N/A N/A</v>
        <stp/>
        <stp>BDP|1943687933434768103</stp>
        <tr r="P897" s="2"/>
      </tp>
      <tp t="s">
        <v>#N/A N/A</v>
        <stp/>
        <stp>BDP|4432804503008538576</stp>
        <tr r="G479" s="2"/>
      </tp>
      <tp t="s">
        <v>#N/A N/A</v>
        <stp/>
        <stp>BDP|4746952809334624885</stp>
        <tr r="S565" s="2"/>
      </tp>
      <tp t="s">
        <v>#N/A N/A</v>
        <stp/>
        <stp>BDP|7619725936571510325</stp>
        <tr r="M204" s="2"/>
      </tp>
      <tp t="s">
        <v>#N/A N/A</v>
        <stp/>
        <stp>BDP|5066816394142643760</stp>
        <tr r="K1962" s="2"/>
      </tp>
      <tp t="s">
        <v>#N/A N/A</v>
        <stp/>
        <stp>BDP|2625164816624651750</stp>
        <tr r="F63" s="2"/>
      </tp>
      <tp t="s">
        <v>#N/A N/A</v>
        <stp/>
        <stp>BDP|7146201477334231711</stp>
        <tr r="C781" s="2"/>
      </tp>
      <tp t="s">
        <v>#N/A N/A</v>
        <stp/>
        <stp>BDS|3940387743216026374</stp>
        <tr r="I2036" s="2"/>
      </tp>
      <tp t="s">
        <v>#N/A N/A</v>
        <stp/>
        <stp>BDP|7018823106527625971</stp>
        <tr r="P945" s="2"/>
      </tp>
      <tp t="s">
        <v>#N/A N/A</v>
        <stp/>
        <stp>BDP|9611855934862684140</stp>
        <tr r="E1653" s="2"/>
      </tp>
      <tp t="s">
        <v>#N/A N/A</v>
        <stp/>
        <stp>BDP|9358663082061635741</stp>
        <tr r="C134" s="2"/>
      </tp>
      <tp t="s">
        <v>#N/A N/A</v>
        <stp/>
        <stp>BDP|7960122448334193779</stp>
        <tr r="E467" s="2"/>
      </tp>
      <tp t="s">
        <v>#N/A N/A</v>
        <stp/>
        <stp>BDP|2783572152317065478</stp>
        <tr r="N604" s="2"/>
      </tp>
      <tp t="s">
        <v>#N/A N/A</v>
        <stp/>
        <stp>BDP|9743721193424227214</stp>
        <tr r="O879" s="2"/>
      </tp>
      <tp t="s">
        <v>#N/A N/A</v>
        <stp/>
        <stp>BDP|2710113063707822380</stp>
        <tr r="Q1247" s="2"/>
      </tp>
      <tp t="s">
        <v>#N/A N/A</v>
        <stp/>
        <stp>BDP|5908786225756520744</stp>
        <tr r="A2218" s="2"/>
      </tp>
      <tp t="s">
        <v>#N/A N/A</v>
        <stp/>
        <stp>BDP|5947840690453843602</stp>
        <tr r="A158" s="2"/>
      </tp>
      <tp t="s">
        <v>#N/A N/A</v>
        <stp/>
        <stp>BDP|9622819990331289806</stp>
        <tr r="G483" s="2"/>
      </tp>
      <tp t="s">
        <v>#N/A N/A</v>
        <stp/>
        <stp>BDP|4584423044404133285</stp>
        <tr r="K247" s="2"/>
      </tp>
      <tp t="s">
        <v>#N/A N/A</v>
        <stp/>
        <stp>BDP|5365373638921446621</stp>
        <tr r="Q125" s="2"/>
      </tp>
      <tp t="s">
        <v>#N/A N/A</v>
        <stp/>
        <stp>BDP|6373209580607011990</stp>
        <tr r="O412" s="2"/>
      </tp>
      <tp t="s">
        <v>#N/A N/A</v>
        <stp/>
        <stp>BDP|1877630285818039545</stp>
        <tr r="O1430" s="2"/>
      </tp>
      <tp t="s">
        <v>#N/A N/A</v>
        <stp/>
        <stp>BDP|9263501624898821444</stp>
        <tr r="J1571" s="2"/>
      </tp>
      <tp t="s">
        <v>#N/A N/A</v>
        <stp/>
        <stp>BDP|1538736167024943628</stp>
        <tr r="P2120" s="2"/>
      </tp>
      <tp t="s">
        <v>#N/A N/A</v>
        <stp/>
        <stp>BDP|5132978808648524616</stp>
        <tr r="E1566" s="2"/>
      </tp>
      <tp t="s">
        <v>#N/A N/A</v>
        <stp/>
        <stp>BDP|1927009661017717252</stp>
        <tr r="F154" s="2"/>
      </tp>
      <tp t="s">
        <v>#N/A N/A</v>
        <stp/>
        <stp>BDP|2924789205445952272</stp>
        <tr r="R1094" s="2"/>
      </tp>
      <tp t="s">
        <v>#N/A N/A</v>
        <stp/>
        <stp>BDP|6802135502602186723</stp>
        <tr r="O2073" s="2"/>
      </tp>
      <tp t="s">
        <v>#N/A N/A</v>
        <stp/>
        <stp>BDP|2080012857872524798</stp>
        <tr r="H2044" s="2"/>
      </tp>
      <tp t="s">
        <v>#N/A N/A</v>
        <stp/>
        <stp>BDP|3798349100505052798</stp>
        <tr r="R2192" s="2"/>
      </tp>
      <tp t="s">
        <v>#N/A N/A</v>
        <stp/>
        <stp>BDP|3820689109404464372</stp>
        <tr r="K752" s="2"/>
      </tp>
      <tp t="s">
        <v>#N/A N/A</v>
        <stp/>
        <stp>BDP|5047116637006891340</stp>
        <tr r="G51" s="2"/>
      </tp>
      <tp t="s">
        <v>#N/A N/A</v>
        <stp/>
        <stp>BDP|4307271602255589190</stp>
        <tr r="O617" s="2"/>
      </tp>
      <tp t="s">
        <v>#N/A N/A</v>
        <stp/>
        <stp>BDP|6264568411992644298</stp>
        <tr r="H1404" s="2"/>
      </tp>
      <tp t="s">
        <v>#N/A N/A</v>
        <stp/>
        <stp>BDP|3946074711631556109</stp>
        <tr r="N799" s="2"/>
      </tp>
      <tp t="s">
        <v>#N/A N/A</v>
        <stp/>
        <stp>BDP|5872085532297989312</stp>
        <tr r="Q1764" s="2"/>
      </tp>
      <tp t="s">
        <v>#N/A N/A</v>
        <stp/>
        <stp>BDP|9969753307805628975</stp>
        <tr r="E70" s="2"/>
      </tp>
      <tp t="s">
        <v>#N/A N/A</v>
        <stp/>
        <stp>BDP|8957729050378356027</stp>
        <tr r="F1067" s="2"/>
      </tp>
      <tp t="s">
        <v>#N/A N/A</v>
        <stp/>
        <stp>BDP|5830815390421384706</stp>
        <tr r="A799" s="2"/>
      </tp>
      <tp t="s">
        <v>#N/A N/A</v>
        <stp/>
        <stp>BDP|8522516619639062778</stp>
        <tr r="K682" s="2"/>
      </tp>
      <tp t="s">
        <v>#N/A N/A</v>
        <stp/>
        <stp>BDP|5092056630744656091</stp>
        <tr r="Q1579" s="2"/>
      </tp>
      <tp t="s">
        <v>#N/A N/A</v>
        <stp/>
        <stp>BDP|2021295151502370519</stp>
        <tr r="D2143" s="2"/>
      </tp>
      <tp t="s">
        <v>#N/A N/A</v>
        <stp/>
        <stp>BDP|1858938795572439107</stp>
        <tr r="N2244" s="2"/>
      </tp>
      <tp t="s">
        <v>#N/A N/A</v>
        <stp/>
        <stp>BDP|1893076774564840092</stp>
        <tr r="D1410" s="2"/>
      </tp>
      <tp t="s">
        <v>#N/A N/A</v>
        <stp/>
        <stp>BDP|2854047458846767390</stp>
        <tr r="G1585" s="2"/>
      </tp>
      <tp t="s">
        <v>#N/A N/A</v>
        <stp/>
        <stp>BDP|9826366780915228563</stp>
        <tr r="C1302" s="2"/>
      </tp>
      <tp t="s">
        <v>#N/A N/A</v>
        <stp/>
        <stp>BDP|6011364777375988522</stp>
        <tr r="K663" s="2"/>
      </tp>
      <tp t="s">
        <v>#N/A N/A</v>
        <stp/>
        <stp>BDP|8255300067679746688</stp>
        <tr r="G951" s="2"/>
      </tp>
      <tp t="s">
        <v>#N/A N/A</v>
        <stp/>
        <stp>BDP|9476733469158621228</stp>
        <tr r="J1233" s="2"/>
      </tp>
      <tp t="s">
        <v>#N/A N/A</v>
        <stp/>
        <stp>BDP|4962039487826184860</stp>
        <tr r="F638" s="2"/>
      </tp>
      <tp t="s">
        <v>#N/A N/A</v>
        <stp/>
        <stp>BDP|8933459991037471032</stp>
        <tr r="Q1519" s="2"/>
      </tp>
      <tp t="s">
        <v>#N/A N/A</v>
        <stp/>
        <stp>BDP|6674365759317689557</stp>
        <tr r="T1058" s="2"/>
      </tp>
      <tp t="s">
        <v>#N/A N/A</v>
        <stp/>
        <stp>BDP|2806464575777816493</stp>
        <tr r="F554" s="2"/>
      </tp>
      <tp t="s">
        <v>#N/A N/A</v>
        <stp/>
        <stp>BDP|7082542454345980030</stp>
        <tr r="T153" s="2"/>
      </tp>
      <tp t="s">
        <v>#N/A N/A</v>
        <stp/>
        <stp>BDP|3193773576302318399</stp>
        <tr r="G247" s="2"/>
      </tp>
      <tp t="s">
        <v>#N/A N/A</v>
        <stp/>
        <stp>BDP|7534983304064798848</stp>
        <tr r="K350" s="2"/>
      </tp>
      <tp t="s">
        <v>#N/A N/A</v>
        <stp/>
        <stp>BDS|4720893232039015463</stp>
        <tr r="I535" s="2"/>
      </tp>
      <tp t="s">
        <v>#N/A N/A</v>
        <stp/>
        <stp>BDP|9038201580484220584</stp>
        <tr r="R1093" s="2"/>
      </tp>
      <tp t="s">
        <v>#N/A N/A</v>
        <stp/>
        <stp>BDP|7645127979014621711</stp>
        <tr r="K692" s="2"/>
      </tp>
      <tp t="s">
        <v>#N/A N/A</v>
        <stp/>
        <stp>BDP|3672770318774228312</stp>
        <tr r="T677" s="2"/>
      </tp>
      <tp t="s">
        <v>#N/A N/A</v>
        <stp/>
        <stp>BDP|2200401938030062707</stp>
        <tr r="P1382" s="2"/>
      </tp>
      <tp t="s">
        <v>#N/A N/A</v>
        <stp/>
        <stp>BDP|5820629302280201109</stp>
        <tr r="D1241" s="2"/>
      </tp>
      <tp t="s">
        <v>#N/A N/A</v>
        <stp/>
        <stp>BDP|8033704933728073697</stp>
        <tr r="H2093" s="2"/>
      </tp>
      <tp t="s">
        <v>#N/A N/A</v>
        <stp/>
        <stp>BDP|3923175847366169221</stp>
        <tr r="F1229" s="2"/>
      </tp>
      <tp t="s">
        <v>#N/A N/A</v>
        <stp/>
        <stp>BDP|7611913134299917602</stp>
        <tr r="F1128" s="2"/>
      </tp>
      <tp t="s">
        <v>#N/A N/A</v>
        <stp/>
        <stp>BDP|3412470078604317624</stp>
        <tr r="Q1760" s="2"/>
      </tp>
      <tp t="s">
        <v>#N/A N/A</v>
        <stp/>
        <stp>BDP|6631082512096368355</stp>
        <tr r="H2096" s="2"/>
      </tp>
      <tp t="s">
        <v>#N/A N/A</v>
        <stp/>
        <stp>BDP|7743507859195722032</stp>
        <tr r="H208" s="2"/>
      </tp>
      <tp t="s">
        <v>#N/A N/A</v>
        <stp/>
        <stp>BDP|2811696066090569083</stp>
        <tr r="M1764" s="2"/>
      </tp>
      <tp t="s">
        <v>#N/A N/A</v>
        <stp/>
        <stp>BDS|2657905728572206964</stp>
        <tr r="I1379" s="2"/>
      </tp>
      <tp t="s">
        <v>#N/A N/A</v>
        <stp/>
        <stp>BDP|4004402758087234003</stp>
        <tr r="N2040" s="2"/>
      </tp>
      <tp t="s">
        <v>#N/A N/A</v>
        <stp/>
        <stp>BDP|9951956976322823780</stp>
        <tr r="A2126" s="2"/>
      </tp>
      <tp t="s">
        <v>#N/A N/A</v>
        <stp/>
        <stp>BDP|7183984972493547849</stp>
        <tr r="G1704" s="2"/>
      </tp>
      <tp t="s">
        <v>#N/A N/A</v>
        <stp/>
        <stp>BDS|1585714532810436781</stp>
        <tr r="I1066" s="2"/>
      </tp>
      <tp t="s">
        <v>#N/A N/A</v>
        <stp/>
        <stp>BDP|4781309888385143843</stp>
        <tr r="M497" s="2"/>
      </tp>
      <tp t="s">
        <v>#N/A N/A</v>
        <stp/>
        <stp>BDP|8667875326535474594</stp>
        <tr r="A1877" s="2"/>
      </tp>
      <tp t="s">
        <v>#N/A N/A</v>
        <stp/>
        <stp>BDP|7941541508186992668</stp>
        <tr r="E973" s="2"/>
      </tp>
      <tp t="s">
        <v>#N/A N/A</v>
        <stp/>
        <stp>BDP|3513930480960888045</stp>
        <tr r="M2166" s="2"/>
      </tp>
      <tp t="s">
        <v>#N/A N/A</v>
        <stp/>
        <stp>BDP|7269964559920068979</stp>
        <tr r="R2224" s="2"/>
      </tp>
      <tp t="s">
        <v>#N/A N/A</v>
        <stp/>
        <stp>BDP|8244975661143936677</stp>
        <tr r="H239" s="2"/>
      </tp>
      <tp t="s">
        <v>#N/A N/A</v>
        <stp/>
        <stp>BDP|2498175977931943775</stp>
        <tr r="R1489" s="2"/>
      </tp>
      <tp t="s">
        <v>#N/A N/A</v>
        <stp/>
        <stp>BDP|9861975282449221352</stp>
        <tr r="A896" s="2"/>
      </tp>
      <tp t="s">
        <v>#N/A N/A</v>
        <stp/>
        <stp>BDS|5380396453949262815</stp>
        <tr r="I1323" s="2"/>
      </tp>
      <tp t="s">
        <v>#N/A N/A</v>
        <stp/>
        <stp>BDP|2132086030285545664</stp>
        <tr r="C643" s="2"/>
      </tp>
      <tp t="s">
        <v>#N/A N/A</v>
        <stp/>
        <stp>BDP|7691328901513746587</stp>
        <tr r="C225" s="2"/>
      </tp>
      <tp t="s">
        <v>#N/A N/A</v>
        <stp/>
        <stp>BDP|4376309958249032918</stp>
        <tr r="G1936" s="2"/>
      </tp>
      <tp t="s">
        <v>#N/A N/A</v>
        <stp/>
        <stp>BDP|1225617348549265830</stp>
        <tr r="D1769" s="2"/>
      </tp>
      <tp t="s">
        <v>#N/A N/A</v>
        <stp/>
        <stp>BDP|5322233271271277392</stp>
        <tr r="M1808" s="2"/>
      </tp>
      <tp t="s">
        <v>#N/A N/A</v>
        <stp/>
        <stp>BDP|2397078179094023375</stp>
        <tr r="M576" s="2"/>
      </tp>
      <tp t="s">
        <v>#N/A N/A</v>
        <stp/>
        <stp>BDP|3876971622492106864</stp>
        <tr r="C487" s="2"/>
      </tp>
      <tp t="s">
        <v>#N/A N/A</v>
        <stp/>
        <stp>BDP|9697783517739488473</stp>
        <tr r="K1121" s="2"/>
      </tp>
      <tp t="s">
        <v>#N/A N/A</v>
        <stp/>
        <stp>BDS|1809924936428587122</stp>
        <tr r="I374" s="2"/>
      </tp>
      <tp t="s">
        <v>#N/A N/A</v>
        <stp/>
        <stp>BDP|4942341636320180617</stp>
        <tr r="K1365" s="2"/>
      </tp>
      <tp t="s">
        <v>#N/A N/A</v>
        <stp/>
        <stp>BDP|1995045719001605395</stp>
        <tr r="F1073" s="2"/>
      </tp>
      <tp t="s">
        <v>#N/A N/A</v>
        <stp/>
        <stp>BDP|2376814889967378734</stp>
        <tr r="F1040" s="2"/>
      </tp>
      <tp t="s">
        <v>#N/A N/A</v>
        <stp/>
        <stp>BDP|6797580505400142100</stp>
        <tr r="R2182" s="2"/>
      </tp>
      <tp t="s">
        <v>#N/A N/A</v>
        <stp/>
        <stp>BDP|4637833468089296140</stp>
        <tr r="F278" s="2"/>
      </tp>
      <tp t="s">
        <v>#N/A N/A</v>
        <stp/>
        <stp>BDS|1906280642190939519</stp>
        <tr r="I1744" s="2"/>
      </tp>
      <tp t="s">
        <v>#N/A N/A</v>
        <stp/>
        <stp>BDP|4388390999528852400</stp>
        <tr r="G596" s="2"/>
      </tp>
      <tp t="s">
        <v>#N/A N/A</v>
        <stp/>
        <stp>BDP|5745429238673601303</stp>
        <tr r="C760" s="2"/>
      </tp>
      <tp t="s">
        <v>#N/A N/A</v>
        <stp/>
        <stp>BDP|7371775740552661499</stp>
        <tr r="S2081" s="2"/>
      </tp>
      <tp t="s">
        <v>#N/A N/A</v>
        <stp/>
        <stp>BDP|1906679756678505867</stp>
        <tr r="G280" s="2"/>
      </tp>
      <tp t="s">
        <v>#N/A N/A</v>
        <stp/>
        <stp>BDP|5170247743315999442</stp>
        <tr r="N266" s="2"/>
      </tp>
      <tp t="s">
        <v>#N/A N/A</v>
        <stp/>
        <stp>BDP|1476298502033155251</stp>
        <tr r="C1166" s="2"/>
      </tp>
      <tp t="s">
        <v>#N/A N/A</v>
        <stp/>
        <stp>BDP|6440621334116875718</stp>
        <tr r="T2192" s="2"/>
      </tp>
      <tp t="s">
        <v>#N/A N/A</v>
        <stp/>
        <stp>BDS|4737288262141556337</stp>
        <tr r="I802" s="2"/>
      </tp>
      <tp t="s">
        <v>#N/A N/A</v>
        <stp/>
        <stp>BDP|4936390463357036488</stp>
        <tr r="H47" s="2"/>
      </tp>
      <tp t="s">
        <v>#N/A N/A</v>
        <stp/>
        <stp>BDP|4128167392438736699</stp>
        <tr r="E996" s="2"/>
      </tp>
      <tp t="s">
        <v>#N/A N/A</v>
        <stp/>
        <stp>BDP|4720878598563757440</stp>
        <tr r="C2185" s="2"/>
      </tp>
      <tp t="s">
        <v>#N/A N/A</v>
        <stp/>
        <stp>BDP|3555529311555454091</stp>
        <tr r="Q2020" s="2"/>
      </tp>
      <tp t="s">
        <v>#N/A N/A</v>
        <stp/>
        <stp>BDP|9178739451239908011</stp>
        <tr r="D2061" s="2"/>
      </tp>
      <tp t="s">
        <v>#N/A N/A</v>
        <stp/>
        <stp>BDP|9326592897600189773</stp>
        <tr r="T453" s="2"/>
      </tp>
      <tp t="s">
        <v>#N/A N/A</v>
        <stp/>
        <stp>BDP|1028462447927805424</stp>
        <tr r="F1750" s="2"/>
      </tp>
      <tp t="s">
        <v>#N/A N/A</v>
        <stp/>
        <stp>BDP|1310170371874921177</stp>
        <tr r="Q102" s="2"/>
      </tp>
      <tp t="s">
        <v>#N/A N/A</v>
        <stp/>
        <stp>BDP|7038394313474889397</stp>
        <tr r="A2026" s="2"/>
      </tp>
      <tp t="s">
        <v>#N/A N/A</v>
        <stp/>
        <stp>BDP|1382855215189130393</stp>
        <tr r="A1475" s="2"/>
      </tp>
      <tp t="s">
        <v>#N/A N/A</v>
        <stp/>
        <stp>BDP|1451912829549575129</stp>
        <tr r="E1497" s="2"/>
      </tp>
      <tp t="s">
        <v>#N/A N/A</v>
        <stp/>
        <stp>BDP|4006793234646089461</stp>
        <tr r="D217" s="2"/>
      </tp>
      <tp t="s">
        <v>#N/A N/A</v>
        <stp/>
        <stp>BDP|5559727628005076749</stp>
        <tr r="T1266" s="2"/>
      </tp>
      <tp t="s">
        <v>#N/A N/A</v>
        <stp/>
        <stp>BDP|2861137361624816399</stp>
        <tr r="O1938" s="2"/>
      </tp>
      <tp t="s">
        <v>#N/A N/A</v>
        <stp/>
        <stp>BDP|1214267739076194470</stp>
        <tr r="P926" s="2"/>
      </tp>
      <tp t="s">
        <v>#N/A N/A</v>
        <stp/>
        <stp>BDP|3407079330117824505</stp>
        <tr r="N1733" s="2"/>
      </tp>
      <tp t="s">
        <v>#N/A N/A</v>
        <stp/>
        <stp>BDP|5969032664285304469</stp>
        <tr r="S421" s="2"/>
      </tp>
      <tp t="s">
        <v>#N/A N/A</v>
        <stp/>
        <stp>BDP|5028162978996214777</stp>
        <tr r="O1593" s="2"/>
      </tp>
      <tp t="s">
        <v>#N/A N/A</v>
        <stp/>
        <stp>BDP|3564245028024599575</stp>
        <tr r="T998" s="2"/>
      </tp>
      <tp t="s">
        <v>#N/A N/A</v>
        <stp/>
        <stp>BDP|3263166012816826754</stp>
        <tr r="S1276" s="2"/>
      </tp>
      <tp t="s">
        <v>#N/A N/A</v>
        <stp/>
        <stp>BDP|4941249900505204146</stp>
        <tr r="J353" s="2"/>
      </tp>
      <tp t="s">
        <v>#N/A N/A</v>
        <stp/>
        <stp>BDP|6265252966821233181</stp>
        <tr r="R560" s="2"/>
      </tp>
      <tp t="s">
        <v>#N/A N/A</v>
        <stp/>
        <stp>BDP|3627989106699160125</stp>
        <tr r="G220" s="2"/>
      </tp>
      <tp t="s">
        <v>#N/A N/A</v>
        <stp/>
        <stp>BDP|1507961680863993111</stp>
        <tr r="Q400" s="2"/>
      </tp>
      <tp t="s">
        <v>#N/A N/A</v>
        <stp/>
        <stp>BDP|7857214942495923696</stp>
        <tr r="E1174" s="2"/>
      </tp>
      <tp t="s">
        <v>#N/A N/A</v>
        <stp/>
        <stp>BDP|7937110458774273592</stp>
        <tr r="N1726" s="2"/>
      </tp>
      <tp t="s">
        <v>#N/A N/A</v>
        <stp/>
        <stp>BDP|1941051373443763737</stp>
        <tr r="P535" s="2"/>
      </tp>
      <tp t="s">
        <v>#N/A N/A</v>
        <stp/>
        <stp>BDP|2812771071620016057</stp>
        <tr r="S881" s="2"/>
      </tp>
      <tp t="s">
        <v>#N/A N/A</v>
        <stp/>
        <stp>BDP|7155195242637763760</stp>
        <tr r="Q1421" s="2"/>
      </tp>
      <tp t="s">
        <v>#N/A N/A</v>
        <stp/>
        <stp>BDP|3959805652094344834</stp>
        <tr r="M1602" s="2"/>
      </tp>
      <tp t="s">
        <v>#N/A N/A</v>
        <stp/>
        <stp>BDP|2499086072630783721</stp>
        <tr r="P2217" s="2"/>
      </tp>
      <tp t="s">
        <v>#N/A N/A</v>
        <stp/>
        <stp>BDS|1911390625097714593</stp>
        <tr r="I1617" s="2"/>
      </tp>
      <tp t="s">
        <v>#N/A N/A</v>
        <stp/>
        <stp>BDP|2313454058082570302</stp>
        <tr r="D11" s="2"/>
      </tp>
      <tp t="s">
        <v>#N/A N/A</v>
        <stp/>
        <stp>BDP|3299876491681621198</stp>
        <tr r="E1405" s="2"/>
      </tp>
      <tp t="s">
        <v>#N/A N/A</v>
        <stp/>
        <stp>BDP|9604779526138825649</stp>
        <tr r="N1899" s="2"/>
      </tp>
      <tp t="s">
        <v>#N/A N/A</v>
        <stp/>
        <stp>BDP|3488459846244486588</stp>
        <tr r="A1864" s="2"/>
      </tp>
      <tp t="s">
        <v>#N/A N/A</v>
        <stp/>
        <stp>BDP|5191650555916246287</stp>
        <tr r="C566" s="2"/>
      </tp>
      <tp t="s">
        <v>#N/A N/A</v>
        <stp/>
        <stp>BDP|5621153558094075705</stp>
        <tr r="J313" s="2"/>
      </tp>
      <tp t="s">
        <v>#N/A N/A</v>
        <stp/>
        <stp>BDP|8248561989531509633</stp>
        <tr r="G1693" s="2"/>
      </tp>
      <tp t="s">
        <v>#N/A N/A</v>
        <stp/>
        <stp>BDP|3705809341044836958</stp>
        <tr r="C114" s="2"/>
      </tp>
      <tp t="s">
        <v>#N/A N/A</v>
        <stp/>
        <stp>BDP|8667477174641702895</stp>
        <tr r="J1121" s="2"/>
      </tp>
      <tp t="s">
        <v>#N/A N/A</v>
        <stp/>
        <stp>BDP|3365401459877322728</stp>
        <tr r="O1470" s="2"/>
      </tp>
      <tp t="s">
        <v>#N/A N/A</v>
        <stp/>
        <stp>BDP|3838849255578289402</stp>
        <tr r="H546" s="2"/>
      </tp>
      <tp t="s">
        <v>#N/A N/A</v>
        <stp/>
        <stp>BDP|6065295227462027650</stp>
        <tr r="M1616" s="2"/>
      </tp>
      <tp t="s">
        <v>#N/A N/A</v>
        <stp/>
        <stp>BDP|5849376270723248064</stp>
        <tr r="J896" s="2"/>
      </tp>
      <tp t="s">
        <v>#N/A N/A</v>
        <stp/>
        <stp>BDP|1021754133361964646</stp>
        <tr r="J127" s="2"/>
      </tp>
      <tp t="s">
        <v>#N/A N/A</v>
        <stp/>
        <stp>BDP|7763553701783071380</stp>
        <tr r="H1460" s="2"/>
      </tp>
      <tp t="s">
        <v>#N/A N/A</v>
        <stp/>
        <stp>BDP|6916470447975455169</stp>
        <tr r="N1769" s="2"/>
      </tp>
      <tp t="s">
        <v>#N/A N/A</v>
        <stp/>
        <stp>BDP|1776711168656271473</stp>
        <tr r="R1065" s="2"/>
      </tp>
      <tp t="s">
        <v>#N/A N/A</v>
        <stp/>
        <stp>BDP|6736033074414994729</stp>
        <tr r="M1109" s="2"/>
      </tp>
      <tp t="s">
        <v>#N/A N/A</v>
        <stp/>
        <stp>BDP|7257207102663293499</stp>
        <tr r="G1403" s="2"/>
      </tp>
      <tp t="s">
        <v>#N/A N/A</v>
        <stp/>
        <stp>BDP|5599799693871240868</stp>
        <tr r="R91" s="2"/>
      </tp>
      <tp t="s">
        <v>#N/A N/A</v>
        <stp/>
        <stp>BDP|3852237710023872182</stp>
        <tr r="N613" s="2"/>
      </tp>
      <tp t="s">
        <v>#N/A N/A</v>
        <stp/>
        <stp>BDP|4868641410396453736</stp>
        <tr r="D175" s="2"/>
      </tp>
      <tp t="s">
        <v>#N/A N/A</v>
        <stp/>
        <stp>BDP|7046493331164114620</stp>
        <tr r="D1826" s="2"/>
      </tp>
      <tp t="s">
        <v>#N/A N/A</v>
        <stp/>
        <stp>BDP|6660438617884001591</stp>
        <tr r="F1661" s="2"/>
      </tp>
      <tp t="s">
        <v>#N/A N/A</v>
        <stp/>
        <stp>BDP|9946805769395863033</stp>
        <tr r="G173" s="2"/>
      </tp>
      <tp t="s">
        <v>#N/A N/A</v>
        <stp/>
        <stp>BDP|3262558744413043388</stp>
        <tr r="R1414" s="2"/>
      </tp>
      <tp t="s">
        <v>#N/A N/A</v>
        <stp/>
        <stp>BDP|2659721019314519230</stp>
        <tr r="O932" s="2"/>
      </tp>
      <tp t="s">
        <v>#N/A N/A</v>
        <stp/>
        <stp>BDP|8698381196877620754</stp>
        <tr r="D106" s="2"/>
      </tp>
      <tp t="s">
        <v>#N/A N/A</v>
        <stp/>
        <stp>BDP|9418946462020820413</stp>
        <tr r="Q1405" s="2"/>
      </tp>
      <tp t="s">
        <v>#N/A N/A</v>
        <stp/>
        <stp>BDP|3700705803273815570</stp>
        <tr r="E1889" s="2"/>
      </tp>
      <tp t="s">
        <v>#N/A N/A</v>
        <stp/>
        <stp>BDP|3802984493831831036</stp>
        <tr r="P2137" s="2"/>
      </tp>
      <tp t="s">
        <v>#N/A N/A</v>
        <stp/>
        <stp>BDP|5779116468818401820</stp>
        <tr r="S712" s="2"/>
      </tp>
      <tp t="s">
        <v>#N/A N/A</v>
        <stp/>
        <stp>BDP|7037285817936528025</stp>
        <tr r="C1330" s="2"/>
      </tp>
      <tp t="s">
        <v>#N/A N/A</v>
        <stp/>
        <stp>BDP|9873021218633387990</stp>
        <tr r="H2034" s="2"/>
      </tp>
      <tp t="s">
        <v>#N/A N/A</v>
        <stp/>
        <stp>BDP|4872106665938391969</stp>
        <tr r="Q1716" s="2"/>
      </tp>
      <tp t="s">
        <v>#N/A N/A</v>
        <stp/>
        <stp>BDP|7704249135132915671</stp>
        <tr r="G1240" s="2"/>
      </tp>
      <tp t="s">
        <v>#N/A N/A</v>
        <stp/>
        <stp>BDP|9545871994673992972</stp>
        <tr r="H436" s="2"/>
      </tp>
      <tp t="s">
        <v>#N/A N/A</v>
        <stp/>
        <stp>BDP|8613479858039432253</stp>
        <tr r="S2080" s="2"/>
      </tp>
      <tp t="s">
        <v>#N/A N/A</v>
        <stp/>
        <stp>BDP|7439186305501101508</stp>
        <tr r="Q1438" s="2"/>
      </tp>
      <tp t="s">
        <v>#N/A N/A</v>
        <stp/>
        <stp>BDP|7959757064653087704</stp>
        <tr r="E1822" s="2"/>
      </tp>
      <tp t="s">
        <v>#N/A N/A</v>
        <stp/>
        <stp>BDP|1031704682615283982</stp>
        <tr r="O106" s="2"/>
      </tp>
      <tp t="s">
        <v>#N/A N/A</v>
        <stp/>
        <stp>BDP|4565409368210772421</stp>
        <tr r="M390" s="2"/>
      </tp>
      <tp t="s">
        <v>#N/A N/A</v>
        <stp/>
        <stp>BDP|7654116560341699392</stp>
        <tr r="R1656" s="2"/>
      </tp>
      <tp t="s">
        <v>#N/A N/A</v>
        <stp/>
        <stp>BDP|6310206846840539286</stp>
        <tr r="S579" s="2"/>
      </tp>
      <tp t="s">
        <v>#N/A N/A</v>
        <stp/>
        <stp>BDP|6634229702536642081</stp>
        <tr r="G159" s="2"/>
      </tp>
      <tp t="s">
        <v>#N/A N/A</v>
        <stp/>
        <stp>BDP|9901609557080625801</stp>
        <tr r="S1180" s="2"/>
      </tp>
      <tp t="s">
        <v>#N/A N/A</v>
        <stp/>
        <stp>BDP|5829849017758319600</stp>
        <tr r="H611" s="2"/>
      </tp>
      <tp t="s">
        <v>#N/A N/A</v>
        <stp/>
        <stp>BDP|2802655633712392756</stp>
        <tr r="M556" s="2"/>
      </tp>
      <tp t="s">
        <v>#N/A N/A</v>
        <stp/>
        <stp>BDP|9960890107394985760</stp>
        <tr r="P1804" s="2"/>
      </tp>
      <tp t="s">
        <v>#N/A N/A</v>
        <stp/>
        <stp>BDP|8637865554552899547</stp>
        <tr r="N1505" s="2"/>
      </tp>
      <tp t="s">
        <v>#N/A N/A</v>
        <stp/>
        <stp>BDP|8942721511189710558</stp>
        <tr r="P553" s="2"/>
      </tp>
      <tp t="s">
        <v>#N/A N/A</v>
        <stp/>
        <stp>BDP|6801092748891066111</stp>
        <tr r="P952" s="2"/>
      </tp>
      <tp t="s">
        <v>#N/A N/A</v>
        <stp/>
        <stp>BDP|7803768727403122302</stp>
        <tr r="F1333" s="2"/>
      </tp>
      <tp t="s">
        <v>#N/A N/A</v>
        <stp/>
        <stp>BDP|9340528452333205893</stp>
        <tr r="M1999" s="2"/>
      </tp>
      <tp t="s">
        <v>#N/A N/A</v>
        <stp/>
        <stp>BDP|5336167419614170359</stp>
        <tr r="T1260" s="2"/>
      </tp>
      <tp t="s">
        <v>#N/A N/A</v>
        <stp/>
        <stp>BDP|3417873426832579981</stp>
        <tr r="C678" s="2"/>
      </tp>
      <tp t="s">
        <v>#N/A N/A</v>
        <stp/>
        <stp>BDP|7976695741294943308</stp>
        <tr r="D2121" s="2"/>
      </tp>
      <tp t="s">
        <v>#N/A N/A</v>
        <stp/>
        <stp>BDP|4572584534146445659</stp>
        <tr r="J2081" s="2"/>
      </tp>
      <tp t="s">
        <v>#N/A N/A</v>
        <stp/>
        <stp>BDP|2007294391183131819</stp>
        <tr r="C144" s="2"/>
      </tp>
      <tp t="s">
        <v>#N/A N/A</v>
        <stp/>
        <stp>BDP|6028699335905343479</stp>
        <tr r="J1335" s="2"/>
      </tp>
      <tp t="s">
        <v>#N/A N/A</v>
        <stp/>
        <stp>BDP|4846260981835626911</stp>
        <tr r="G1913" s="2"/>
      </tp>
      <tp t="s">
        <v>#N/A N/A</v>
        <stp/>
        <stp>BDP|6281767076803915738</stp>
        <tr r="H755" s="2"/>
      </tp>
      <tp t="s">
        <v>#N/A N/A</v>
        <stp/>
        <stp>BDP|4284086162393959396</stp>
        <tr r="A1421" s="2"/>
      </tp>
      <tp t="s">
        <v>#N/A N/A</v>
        <stp/>
        <stp>BDP|2769601878142593321</stp>
        <tr r="D603" s="2"/>
      </tp>
      <tp t="s">
        <v>#N/A N/A</v>
        <stp/>
        <stp>BDP|9887232187957494604</stp>
        <tr r="G1588" s="2"/>
      </tp>
      <tp t="s">
        <v>#N/A N/A</v>
        <stp/>
        <stp>BDP|2610062184838501095</stp>
        <tr r="T1204" s="2"/>
      </tp>
      <tp t="s">
        <v>#N/A N/A</v>
        <stp/>
        <stp>BDP|3451594376582639159</stp>
        <tr r="A161" s="2"/>
      </tp>
      <tp t="s">
        <v>#N/A N/A</v>
        <stp/>
        <stp>BDP|7725733039777136644</stp>
        <tr r="E267" s="2"/>
      </tp>
      <tp t="s">
        <v>#N/A N/A</v>
        <stp/>
        <stp>BDP|5897600855426648238</stp>
        <tr r="S1846" s="2"/>
      </tp>
      <tp t="s">
        <v>#N/A N/A</v>
        <stp/>
        <stp>BDP|4219192924222054775</stp>
        <tr r="T1026" s="2"/>
      </tp>
      <tp t="s">
        <v>#N/A N/A</v>
        <stp/>
        <stp>BDP|4851480046060704694</stp>
        <tr r="Q216" s="2"/>
      </tp>
      <tp t="s">
        <v>#N/A N/A</v>
        <stp/>
        <stp>BDP|6978258445903061111</stp>
        <tr r="D1493" s="2"/>
      </tp>
      <tp t="s">
        <v>#N/A N/A</v>
        <stp/>
        <stp>BDP|2357266529233579317</stp>
        <tr r="H309" s="2"/>
      </tp>
      <tp t="s">
        <v>#N/A N/A</v>
        <stp/>
        <stp>BDP|3361027458161719560</stp>
        <tr r="C1054" s="2"/>
      </tp>
      <tp t="s">
        <v>#N/A N/A</v>
        <stp/>
        <stp>BDS|1060427839780264413</stp>
        <tr r="I1693" s="2"/>
      </tp>
      <tp t="s">
        <v>#N/A N/A</v>
        <stp/>
        <stp>BDP|8073258785818977810</stp>
        <tr r="P2042" s="2"/>
      </tp>
      <tp t="s">
        <v>#N/A N/A</v>
        <stp/>
        <stp>BDP|5427542021218905802</stp>
        <tr r="G1480" s="2"/>
      </tp>
      <tp t="s">
        <v>#N/A N/A</v>
        <stp/>
        <stp>BDP|5079200668434663765</stp>
        <tr r="K1621" s="2"/>
      </tp>
      <tp t="s">
        <v>#N/A N/A</v>
        <stp/>
        <stp>BDP|6935378560537168678</stp>
        <tr r="G1690" s="2"/>
      </tp>
      <tp t="s">
        <v>#N/A N/A</v>
        <stp/>
        <stp>BDP|3332928010170013998</stp>
        <tr r="O1181" s="2"/>
      </tp>
      <tp t="s">
        <v>#N/A N/A</v>
        <stp/>
        <stp>BDP|4267565553112785489</stp>
        <tr r="S1285" s="2"/>
      </tp>
      <tp t="s">
        <v>#N/A N/A</v>
        <stp/>
        <stp>BDP|7928635242451682668</stp>
        <tr r="A2170" s="2"/>
      </tp>
      <tp t="s">
        <v>#N/A N/A</v>
        <stp/>
        <stp>BDP|9649527995502934507</stp>
        <tr r="G8" s="2"/>
      </tp>
      <tp t="s">
        <v>#N/A N/A</v>
        <stp/>
        <stp>BDP|9636027242788829763</stp>
        <tr r="J1108" s="2"/>
      </tp>
      <tp t="s">
        <v>#N/A N/A</v>
        <stp/>
        <stp>BDP|7528013675492905007</stp>
        <tr r="A149" s="2"/>
      </tp>
      <tp t="s">
        <v>#N/A N/A</v>
        <stp/>
        <stp>BDP|5617341506532438684</stp>
        <tr r="K906" s="2"/>
      </tp>
      <tp t="s">
        <v>#N/A N/A</v>
        <stp/>
        <stp>BDP|5904021103430793779</stp>
        <tr r="P1812" s="2"/>
      </tp>
      <tp t="s">
        <v>#N/A N/A</v>
        <stp/>
        <stp>BDP|1205772421173871541</stp>
        <tr r="M1450" s="2"/>
      </tp>
      <tp t="s">
        <v>#N/A N/A</v>
        <stp/>
        <stp>BDP|7176538348962434660</stp>
        <tr r="P1910" s="2"/>
      </tp>
      <tp t="s">
        <v>#N/A N/A</v>
        <stp/>
        <stp>BDP|8977168254599180727</stp>
        <tr r="R391" s="2"/>
      </tp>
      <tp t="s">
        <v>#N/A N/A</v>
        <stp/>
        <stp>BDP|2147297225003348362</stp>
        <tr r="R848" s="2"/>
      </tp>
      <tp t="s">
        <v>#N/A N/A</v>
        <stp/>
        <stp>BDP|6699607198329194271</stp>
        <tr r="E2173" s="2"/>
      </tp>
      <tp t="s">
        <v>#N/A N/A</v>
        <stp/>
        <stp>BDP|5704277263484857733</stp>
        <tr r="N906" s="2"/>
      </tp>
      <tp t="s">
        <v>#N/A N/A</v>
        <stp/>
        <stp>BDS|6358093533213115403</stp>
        <tr r="I709" s="2"/>
      </tp>
      <tp t="s">
        <v>#N/A N/A</v>
        <stp/>
        <stp>BDP|2550081242557733305</stp>
        <tr r="R1682" s="2"/>
      </tp>
      <tp t="s">
        <v>#N/A N/A</v>
        <stp/>
        <stp>BDP|6705164569446821585</stp>
        <tr r="E1799" s="2"/>
      </tp>
      <tp t="s">
        <v>#N/A N/A</v>
        <stp/>
        <stp>BDP|7603377739884009108</stp>
        <tr r="T1470" s="2"/>
      </tp>
      <tp t="s">
        <v>#N/A N/A</v>
        <stp/>
        <stp>BDP|7906674230389259945</stp>
        <tr r="A138" s="2"/>
      </tp>
      <tp t="s">
        <v>#N/A N/A</v>
        <stp/>
        <stp>BDS|6101640345045104394</stp>
        <tr r="I212" s="2"/>
      </tp>
      <tp t="s">
        <v>#N/A N/A</v>
        <stp/>
        <stp>BDP|2397718372339124997</stp>
        <tr r="O275" s="2"/>
      </tp>
      <tp t="s">
        <v>#N/A N/A</v>
        <stp/>
        <stp>BDP|4107114349017839490</stp>
        <tr r="H849" s="2"/>
      </tp>
      <tp t="s">
        <v>#N/A N/A</v>
        <stp/>
        <stp>BDP|2226835478776508947</stp>
        <tr r="A1629" s="2"/>
      </tp>
      <tp t="s">
        <v>#N/A N/A</v>
        <stp/>
        <stp>BDP|7173755128548442805</stp>
        <tr r="G2252" s="2"/>
      </tp>
      <tp t="s">
        <v>#N/A N/A</v>
        <stp/>
        <stp>BDP|5057411139252213221</stp>
        <tr r="F85" s="2"/>
      </tp>
      <tp t="s">
        <v>#N/A N/A</v>
        <stp/>
        <stp>BDP|6009213744793576185</stp>
        <tr r="N932" s="2"/>
      </tp>
      <tp t="s">
        <v>#N/A N/A</v>
        <stp/>
        <stp>BDP|9660601541081665897</stp>
        <tr r="T144" s="2"/>
      </tp>
      <tp t="s">
        <v>#N/A N/A</v>
        <stp/>
        <stp>BDP|3028821196809493984</stp>
        <tr r="G1318" s="2"/>
      </tp>
      <tp t="s">
        <v>#N/A N/A</v>
        <stp/>
        <stp>BDP|6514944278449859392</stp>
        <tr r="E1749" s="2"/>
      </tp>
      <tp t="s">
        <v>#N/A N/A</v>
        <stp/>
        <stp>BDS|7947482378122682465</stp>
        <tr r="I586" s="2"/>
      </tp>
      <tp t="s">
        <v>#N/A N/A</v>
        <stp/>
        <stp>BDP|4795095657365503656</stp>
        <tr r="H1768" s="2"/>
      </tp>
      <tp t="s">
        <v>#N/A N/A</v>
        <stp/>
        <stp>BDP|8446812737494988523</stp>
        <tr r="S515" s="2"/>
      </tp>
      <tp t="s">
        <v>#N/A N/A</v>
        <stp/>
        <stp>BDP|8871211710938644162</stp>
        <tr r="O1067" s="2"/>
      </tp>
      <tp t="s">
        <v>#N/A N/A</v>
        <stp/>
        <stp>BDP|2270272545063047599</stp>
        <tr r="N246" s="2"/>
      </tp>
      <tp t="s">
        <v>#N/A N/A</v>
        <stp/>
        <stp>BDP|1787476439624436043</stp>
        <tr r="J73" s="2"/>
      </tp>
      <tp t="s">
        <v>#N/A N/A</v>
        <stp/>
        <stp>BDP|1633241150184287093</stp>
        <tr r="N1887" s="2"/>
      </tp>
      <tp t="s">
        <v>#N/A N/A</v>
        <stp/>
        <stp>BDP|9491898661153324669</stp>
        <tr r="G119" s="2"/>
      </tp>
      <tp t="s">
        <v>#N/A N/A</v>
        <stp/>
        <stp>BDP|4277350048235285446</stp>
        <tr r="K2035" s="2"/>
      </tp>
      <tp t="s">
        <v>#N/A N/A</v>
        <stp/>
        <stp>BDP|9371451924528386580</stp>
        <tr r="S790" s="2"/>
      </tp>
      <tp t="s">
        <v>#N/A N/A</v>
        <stp/>
        <stp>BDP|5573903844009866309</stp>
        <tr r="E296" s="2"/>
      </tp>
      <tp t="s">
        <v>#N/A N/A</v>
        <stp/>
        <stp>BDP|7747886753869008151</stp>
        <tr r="R1666" s="2"/>
      </tp>
      <tp t="s">
        <v>#N/A N/A</v>
        <stp/>
        <stp>BDP|2944809756914560938</stp>
        <tr r="F487" s="2"/>
      </tp>
      <tp t="s">
        <v>#N/A N/A</v>
        <stp/>
        <stp>BDP|3163268166480037583</stp>
        <tr r="K1173" s="2"/>
      </tp>
      <tp t="s">
        <v>#N/A N/A</v>
        <stp/>
        <stp>BDP|7574043608471388432</stp>
        <tr r="P596" s="2"/>
      </tp>
      <tp t="s">
        <v>#N/A N/A</v>
        <stp/>
        <stp>BDP|5638404057804900215</stp>
        <tr r="O2230" s="2"/>
      </tp>
      <tp t="s">
        <v>#N/A N/A</v>
        <stp/>
        <stp>BDP|2022459755765818417</stp>
        <tr r="N842" s="2"/>
      </tp>
      <tp t="s">
        <v>#N/A N/A</v>
        <stp/>
        <stp>BDP|7048525541985341191</stp>
        <tr r="R367" s="2"/>
      </tp>
      <tp t="s">
        <v>#N/A N/A</v>
        <stp/>
        <stp>BDP|6438585009983405282</stp>
        <tr r="C205" s="2"/>
      </tp>
      <tp t="s">
        <v>#N/A N/A</v>
        <stp/>
        <stp>BDP|1604480147613223029</stp>
        <tr r="M846" s="2"/>
      </tp>
      <tp t="s">
        <v>#N/A N/A</v>
        <stp/>
        <stp>BDP|8935917054514185244</stp>
        <tr r="H491" s="2"/>
      </tp>
      <tp t="s">
        <v>#N/A N/A</v>
        <stp/>
        <stp>BDP|9897512663758186029</stp>
        <tr r="T1222" s="2"/>
      </tp>
      <tp t="s">
        <v>#N/A N/A</v>
        <stp/>
        <stp>BDP|9586788387090094434</stp>
        <tr r="Q368" s="2"/>
      </tp>
      <tp t="s">
        <v>#N/A N/A</v>
        <stp/>
        <stp>BDP|5908148460226367671</stp>
        <tr r="Q1867" s="2"/>
      </tp>
      <tp t="s">
        <v>#N/A N/A</v>
        <stp/>
        <stp>BDP|4840236744962751212</stp>
        <tr r="K1521" s="2"/>
      </tp>
      <tp t="s">
        <v>#N/A N/A</v>
        <stp/>
        <stp>BDP|3358415951822962232</stp>
        <tr r="E622" s="2"/>
      </tp>
      <tp t="s">
        <v>#N/A N/A</v>
        <stp/>
        <stp>BDP|3690820793648811862</stp>
        <tr r="T923" s="2"/>
      </tp>
      <tp t="s">
        <v>#N/A N/A</v>
        <stp/>
        <stp>BDP|3312459718380230454</stp>
        <tr r="P1511" s="2"/>
      </tp>
      <tp t="s">
        <v>#N/A N/A</v>
        <stp/>
        <stp>BDP|9239200838389640358</stp>
        <tr r="P213" s="2"/>
      </tp>
      <tp t="s">
        <v>#N/A N/A</v>
        <stp/>
        <stp>BDP|3518423801550711589</stp>
        <tr r="F757" s="2"/>
      </tp>
      <tp t="s">
        <v>#N/A N/A</v>
        <stp/>
        <stp>BDP|3954928158159274484</stp>
        <tr r="J1603" s="2"/>
      </tp>
      <tp t="s">
        <v>#N/A N/A</v>
        <stp/>
        <stp>BDP|2462189791310171854</stp>
        <tr r="O326" s="2"/>
      </tp>
      <tp t="s">
        <v>#N/A N/A</v>
        <stp/>
        <stp>BDP|8794808875491830439</stp>
        <tr r="T2129" s="2"/>
      </tp>
      <tp t="s">
        <v>#N/A N/A</v>
        <stp/>
        <stp>BDP|5693606010721874171</stp>
        <tr r="T1588" s="2"/>
      </tp>
      <tp t="s">
        <v>#N/A N/A</v>
        <stp/>
        <stp>BDP|8065415178369594057</stp>
        <tr r="S591" s="2"/>
      </tp>
      <tp t="s">
        <v>#N/A N/A</v>
        <stp/>
        <stp>BDP|6497330629466037370</stp>
        <tr r="A2189" s="2"/>
      </tp>
      <tp t="s">
        <v>#N/A N/A</v>
        <stp/>
        <stp>BDP|4504074242245001798</stp>
        <tr r="A1398" s="2"/>
      </tp>
      <tp t="s">
        <v>#N/A N/A</v>
        <stp/>
        <stp>BDP|2279685591737330818</stp>
        <tr r="R1275" s="2"/>
      </tp>
      <tp t="s">
        <v>#N/A N/A</v>
        <stp/>
        <stp>BDP|2052091291388412158</stp>
        <tr r="C3" s="2"/>
      </tp>
      <tp t="s">
        <v>#N/A N/A</v>
        <stp/>
        <stp>BDP|4145846354738161392</stp>
        <tr r="O1186" s="2"/>
      </tp>
      <tp t="s">
        <v>#N/A N/A</v>
        <stp/>
        <stp>BDP|7940155145529006905</stp>
        <tr r="M1977" s="2"/>
      </tp>
      <tp t="s">
        <v>#N/A N/A</v>
        <stp/>
        <stp>BDP|1373030787052923974</stp>
        <tr r="T1186" s="2"/>
      </tp>
      <tp t="s">
        <v>#N/A N/A</v>
        <stp/>
        <stp>BDP|5660598260484688003</stp>
        <tr r="M1872" s="2"/>
      </tp>
      <tp t="s">
        <v>#N/A N/A</v>
        <stp/>
        <stp>BDP|2228499027924030250</stp>
        <tr r="G425" s="2"/>
      </tp>
      <tp t="s">
        <v>#N/A N/A</v>
        <stp/>
        <stp>BDP|8366267568746323874</stp>
        <tr r="C2076" s="2"/>
      </tp>
      <tp t="s">
        <v>#N/A N/A</v>
        <stp/>
        <stp>BDP|5284232727454770389</stp>
        <tr r="M1282" s="2"/>
      </tp>
      <tp t="s">
        <v>#N/A N/A</v>
        <stp/>
        <stp>BDP|7936541938114810742</stp>
        <tr r="G2136" s="2"/>
      </tp>
      <tp t="s">
        <v>#N/A N/A</v>
        <stp/>
        <stp>BDP|8107433039054039920</stp>
        <tr r="N1652" s="2"/>
      </tp>
      <tp t="s">
        <v>#N/A N/A</v>
        <stp/>
        <stp>BDP|9099466248919221254</stp>
        <tr r="E2174" s="2"/>
      </tp>
      <tp t="s">
        <v>#N/A N/A</v>
        <stp/>
        <stp>BDP|3820961478247674895</stp>
        <tr r="M1418" s="2"/>
      </tp>
      <tp t="s">
        <v>#N/A N/A</v>
        <stp/>
        <stp>BDP|1981200037914566624</stp>
        <tr r="M851" s="2"/>
      </tp>
      <tp t="s">
        <v>#N/A N/A</v>
        <stp/>
        <stp>BDP|6490930338598475628</stp>
        <tr r="G2017" s="2"/>
      </tp>
      <tp t="s">
        <v>#N/A N/A</v>
        <stp/>
        <stp>BDP|8825231396273455206</stp>
        <tr r="T18" s="2"/>
      </tp>
      <tp t="s">
        <v>#N/A N/A</v>
        <stp/>
        <stp>BDP|1821105747212572430</stp>
        <tr r="Q24" s="2"/>
      </tp>
      <tp t="s">
        <v>#N/A N/A</v>
        <stp/>
        <stp>BDP|1416786813296020365</stp>
        <tr r="J1367" s="2"/>
      </tp>
      <tp t="s">
        <v>#N/A N/A</v>
        <stp/>
        <stp>BDP|2171486270740335337</stp>
        <tr r="R1605" s="2"/>
      </tp>
      <tp t="s">
        <v>#N/A N/A</v>
        <stp/>
        <stp>BDS|2002585807620574535</stp>
        <tr r="I1567" s="2"/>
      </tp>
      <tp t="s">
        <v>#N/A N/A</v>
        <stp/>
        <stp>BDP|8410230062469829745</stp>
        <tr r="S47" s="2"/>
      </tp>
      <tp t="s">
        <v>#N/A N/A</v>
        <stp/>
        <stp>BDS|8132180039128162082</stp>
        <tr r="I281" s="2"/>
      </tp>
      <tp t="s">
        <v>#N/A N/A</v>
        <stp/>
        <stp>BDP|7960014733014655242</stp>
        <tr r="M70" s="2"/>
      </tp>
      <tp t="s">
        <v>#N/A N/A</v>
        <stp/>
        <stp>BDP|8467986673795724110</stp>
        <tr r="R1476" s="2"/>
      </tp>
      <tp t="s">
        <v>#N/A N/A</v>
        <stp/>
        <stp>BDP|3234735129595144102</stp>
        <tr r="G934" s="2"/>
      </tp>
      <tp t="s">
        <v>#N/A N/A</v>
        <stp/>
        <stp>BDP|1023673083354823954</stp>
        <tr r="N1707" s="2"/>
      </tp>
      <tp t="s">
        <v>#N/A N/A</v>
        <stp/>
        <stp>BDP|4238702979303456563</stp>
        <tr r="H656" s="2"/>
      </tp>
      <tp t="s">
        <v>#N/A N/A</v>
        <stp/>
        <stp>BDP|5560412037350874024</stp>
        <tr r="P1526" s="2"/>
      </tp>
      <tp t="s">
        <v>#N/A N/A</v>
        <stp/>
        <stp>BDP|5280231229790086712</stp>
        <tr r="S1377" s="2"/>
      </tp>
      <tp t="s">
        <v>#N/A N/A</v>
        <stp/>
        <stp>BDP|5558574049143571573</stp>
        <tr r="M1817" s="2"/>
      </tp>
      <tp t="s">
        <v>#N/A N/A</v>
        <stp/>
        <stp>BDP|8168147687552876137</stp>
        <tr r="G1377" s="2"/>
      </tp>
      <tp t="s">
        <v>#N/A N/A</v>
        <stp/>
        <stp>BDP|9100925176092470786</stp>
        <tr r="D68" s="2"/>
      </tp>
      <tp t="s">
        <v>#N/A N/A</v>
        <stp/>
        <stp>BDP|3834498166970857360</stp>
        <tr r="M1982" s="2"/>
      </tp>
      <tp t="s">
        <v>#N/A N/A</v>
        <stp/>
        <stp>BDP|7358443687270075994</stp>
        <tr r="A1837" s="2"/>
      </tp>
      <tp t="s">
        <v>#N/A N/A</v>
        <stp/>
        <stp>BDP|9009124035048607183</stp>
        <tr r="N1965" s="2"/>
      </tp>
      <tp t="s">
        <v>#N/A N/A</v>
        <stp/>
        <stp>BDP|9727828106600881322</stp>
        <tr r="M61" s="2"/>
      </tp>
      <tp t="s">
        <v>#N/A N/A</v>
        <stp/>
        <stp>BDP|7199943280004599095</stp>
        <tr r="N1313" s="2"/>
      </tp>
      <tp t="s">
        <v>#N/A N/A</v>
        <stp/>
        <stp>BDP|7780395810620354748</stp>
        <tr r="F882" s="2"/>
      </tp>
      <tp t="s">
        <v>#N/A N/A</v>
        <stp/>
        <stp>BDP|1805324203607428746</stp>
        <tr r="M1943" s="2"/>
      </tp>
      <tp t="s">
        <v>#N/A N/A</v>
        <stp/>
        <stp>BDP|4848843763580218845</stp>
        <tr r="G1393" s="2"/>
      </tp>
      <tp t="s">
        <v>#N/A N/A</v>
        <stp/>
        <stp>BDP|2458436577337967400</stp>
        <tr r="T1330" s="2"/>
      </tp>
      <tp t="s">
        <v>#N/A N/A</v>
        <stp/>
        <stp>BDP|7784068778520487234</stp>
        <tr r="K1210" s="2"/>
      </tp>
      <tp t="s">
        <v>#N/A N/A</v>
        <stp/>
        <stp>BDP|7588172569396787428</stp>
        <tr r="T2176" s="2"/>
      </tp>
      <tp t="s">
        <v>#N/A N/A</v>
        <stp/>
        <stp>BDP|8090232679486603926</stp>
        <tr r="D989" s="2"/>
      </tp>
      <tp t="s">
        <v>#N/A N/A</v>
        <stp/>
        <stp>BDP|8467856538774768508</stp>
        <tr r="S755" s="2"/>
      </tp>
      <tp t="s">
        <v>#N/A N/A</v>
        <stp/>
        <stp>BDP|2427764939476097252</stp>
        <tr r="D1118" s="2"/>
      </tp>
      <tp t="s">
        <v>#N/A N/A</v>
        <stp/>
        <stp>BDP|9627408543379245295</stp>
        <tr r="H176" s="2"/>
      </tp>
      <tp t="s">
        <v>#N/A N/A</v>
        <stp/>
        <stp>BDP|5036753625122880061</stp>
        <tr r="R1671" s="2"/>
      </tp>
      <tp t="s">
        <v>#N/A N/A</v>
        <stp/>
        <stp>BDP|6991721605182811180</stp>
        <tr r="K1756" s="2"/>
      </tp>
      <tp t="s">
        <v>#N/A N/A</v>
        <stp/>
        <stp>BDP|3738562276527153489</stp>
        <tr r="N20" s="2"/>
      </tp>
      <tp t="s">
        <v>#N/A N/A</v>
        <stp/>
        <stp>BDP|7286153978513668073</stp>
        <tr r="O1110" s="2"/>
      </tp>
      <tp t="s">
        <v>#N/A N/A</v>
        <stp/>
        <stp>BDP|5870032867991331014</stp>
        <tr r="S1509" s="2"/>
      </tp>
      <tp t="s">
        <v>#N/A N/A</v>
        <stp/>
        <stp>BDP|4089424644253041581</stp>
        <tr r="C2221" s="2"/>
      </tp>
      <tp t="s">
        <v>#N/A N/A</v>
        <stp/>
        <stp>BDP|8571339048114104915</stp>
        <tr r="O444" s="2"/>
      </tp>
      <tp t="s">
        <v>#N/A N/A</v>
        <stp/>
        <stp>BDP|8603385277417531928</stp>
        <tr r="N2204" s="2"/>
      </tp>
      <tp t="s">
        <v>#N/A N/A</v>
        <stp/>
        <stp>BDS|2665374168287191260</stp>
        <tr r="I2152" s="2"/>
      </tp>
      <tp t="s">
        <v>#N/A N/A</v>
        <stp/>
        <stp>BDP|2880726848850894342</stp>
        <tr r="D1739" s="2"/>
      </tp>
      <tp t="s">
        <v>#N/A N/A</v>
        <stp/>
        <stp>BDP|3993832088884571599</stp>
        <tr r="Q2043" s="2"/>
      </tp>
      <tp t="s">
        <v>#N/A N/A</v>
        <stp/>
        <stp>BDP|2714273100911763391</stp>
        <tr r="Q1990" s="2"/>
      </tp>
      <tp t="s">
        <v>#N/A N/A</v>
        <stp/>
        <stp>BDP|8019575977900688889</stp>
        <tr r="P2032" s="2"/>
      </tp>
      <tp t="s">
        <v>#N/A N/A</v>
        <stp/>
        <stp>BDP|6918695010722690186</stp>
        <tr r="D230" s="2"/>
      </tp>
      <tp t="s">
        <v>#N/A N/A</v>
        <stp/>
        <stp>BDS|6757188747611706017</stp>
        <tr r="I992" s="2"/>
      </tp>
      <tp t="s">
        <v>#N/A N/A</v>
        <stp/>
        <stp>BDP|9895573590076865193</stp>
        <tr r="P179" s="2"/>
      </tp>
      <tp t="s">
        <v>#N/A N/A</v>
        <stp/>
        <stp>BDP|1825270221910265322</stp>
        <tr r="N491" s="2"/>
      </tp>
      <tp t="s">
        <v>#N/A N/A</v>
        <stp/>
        <stp>BDP|9643454975820907817</stp>
        <tr r="G974" s="2"/>
      </tp>
      <tp t="s">
        <v>#N/A N/A</v>
        <stp/>
        <stp>BDP|6810183975924311685</stp>
        <tr r="T94" s="2"/>
      </tp>
      <tp t="s">
        <v>#N/A N/A</v>
        <stp/>
        <stp>BDP|1556053375805915121</stp>
        <tr r="D1708" s="2"/>
      </tp>
      <tp t="s">
        <v>#N/A N/A</v>
        <stp/>
        <stp>BDP|8664897320488423859</stp>
        <tr r="D225" s="2"/>
      </tp>
      <tp t="s">
        <v>#N/A N/A</v>
        <stp/>
        <stp>BDP|4682040899836137942</stp>
        <tr r="R67" s="2"/>
      </tp>
      <tp t="s">
        <v>#N/A N/A</v>
        <stp/>
        <stp>BDP|8395921728231129069</stp>
        <tr r="G565" s="2"/>
      </tp>
      <tp t="s">
        <v>#N/A N/A</v>
        <stp/>
        <stp>BDS|8256957538877080711</stp>
        <tr r="I1955" s="2"/>
      </tp>
      <tp t="s">
        <v>#N/A N/A</v>
        <stp/>
        <stp>BDP|7834521937087364404</stp>
        <tr r="F62" s="2"/>
      </tp>
      <tp t="s">
        <v>#N/A N/A</v>
        <stp/>
        <stp>BDP|6040469809978473853</stp>
        <tr r="G465" s="2"/>
      </tp>
      <tp t="s">
        <v>#N/A N/A</v>
        <stp/>
        <stp>BDS|8424171046387952826</stp>
        <tr r="I1888" s="2"/>
      </tp>
      <tp t="s">
        <v>#N/A N/A</v>
        <stp/>
        <stp>BDP|2044666476012658387</stp>
        <tr r="J1758" s="2"/>
      </tp>
      <tp t="s">
        <v>#N/A N/A</v>
        <stp/>
        <stp>BDP|6318720543462972552</stp>
        <tr r="G2062" s="2"/>
      </tp>
      <tp t="s">
        <v>#N/A N/A</v>
        <stp/>
        <stp>BDS|4228696776501735641</stp>
        <tr r="I696" s="2"/>
      </tp>
      <tp t="s">
        <v>#N/A N/A</v>
        <stp/>
        <stp>BDP|6779726708294743744</stp>
        <tr r="A747" s="2"/>
      </tp>
      <tp t="s">
        <v>#N/A N/A</v>
        <stp/>
        <stp>BDP|4246955046369955264</stp>
        <tr r="A1713" s="2"/>
      </tp>
      <tp t="s">
        <v>#N/A N/A</v>
        <stp/>
        <stp>BDP|9322537639748557524</stp>
        <tr r="M693" s="2"/>
      </tp>
      <tp t="s">
        <v>#N/A N/A</v>
        <stp/>
        <stp>BDP|2375495757112022332</stp>
        <tr r="O1035" s="2"/>
      </tp>
      <tp t="s">
        <v>#N/A N/A</v>
        <stp/>
        <stp>BDP|5304186066264333404</stp>
        <tr r="H1946" s="2"/>
      </tp>
      <tp t="s">
        <v>#N/A N/A</v>
        <stp/>
        <stp>BDP|2309801158609104444</stp>
        <tr r="K698" s="2"/>
      </tp>
      <tp t="s">
        <v>#N/A N/A</v>
        <stp/>
        <stp>BDP|3748576319641620415</stp>
        <tr r="T1460" s="2"/>
      </tp>
      <tp t="s">
        <v>#N/A N/A</v>
        <stp/>
        <stp>BDP|1949947190953614058</stp>
        <tr r="N70" s="2"/>
      </tp>
      <tp t="s">
        <v>#N/A N/A</v>
        <stp/>
        <stp>BDP|5463181007391740723</stp>
        <tr r="A519" s="2"/>
      </tp>
      <tp t="s">
        <v>#N/A N/A</v>
        <stp/>
        <stp>BDP|7977435178497575192</stp>
        <tr r="M1569" s="2"/>
      </tp>
      <tp t="s">
        <v>#N/A N/A</v>
        <stp/>
        <stp>BDP|7864412731801777319</stp>
        <tr r="H1453" s="2"/>
      </tp>
      <tp t="s">
        <v>#N/A N/A</v>
        <stp/>
        <stp>BDP|6203212318833313469</stp>
        <tr r="Q291" s="2"/>
      </tp>
      <tp t="s">
        <v>#N/A N/A</v>
        <stp/>
        <stp>BDP|4186428158633505404</stp>
        <tr r="S34" s="2"/>
      </tp>
      <tp t="s">
        <v>#N/A N/A</v>
        <stp/>
        <stp>BDS|4212285897739066434</stp>
        <tr r="I76" s="2"/>
      </tp>
      <tp t="s">
        <v>#N/A N/A</v>
        <stp/>
        <stp>BDP|3321530816192078786</stp>
        <tr r="A1777" s="2"/>
      </tp>
      <tp t="s">
        <v>#N/A N/A</v>
        <stp/>
        <stp>BDP|1129753757059941847</stp>
        <tr r="A1700" s="2"/>
      </tp>
      <tp t="s">
        <v>#N/A N/A</v>
        <stp/>
        <stp>BDP|6742706749254654360</stp>
        <tr r="C1508" s="2"/>
      </tp>
      <tp t="s">
        <v>#N/A N/A</v>
        <stp/>
        <stp>BDP|9200485323069747404</stp>
        <tr r="T679" s="2"/>
      </tp>
      <tp t="s">
        <v>#N/A N/A</v>
        <stp/>
        <stp>BDP|6073480094789626047</stp>
        <tr r="T445" s="2"/>
      </tp>
      <tp t="s">
        <v>#N/A N/A</v>
        <stp/>
        <stp>BDP|2864634256614719740</stp>
        <tr r="O891" s="2"/>
      </tp>
      <tp t="s">
        <v>#N/A N/A</v>
        <stp/>
        <stp>BDP|1693936944678998664</stp>
        <tr r="D2147" s="2"/>
      </tp>
      <tp t="s">
        <v>#N/A N/A</v>
        <stp/>
        <stp>BDP|2353641177828886960</stp>
        <tr r="G2083" s="2"/>
      </tp>
      <tp t="s">
        <v>#N/A N/A</v>
        <stp/>
        <stp>BDP|2661572749668461920</stp>
        <tr r="K591" s="2"/>
      </tp>
      <tp t="s">
        <v>#N/A N/A</v>
        <stp/>
        <stp>BDP|4337927899052098469</stp>
        <tr r="S685" s="2"/>
      </tp>
      <tp t="s">
        <v>#N/A N/A</v>
        <stp/>
        <stp>BDP|3825560256771418020</stp>
        <tr r="P1920" s="2"/>
      </tp>
      <tp t="s">
        <v>#N/A N/A</v>
        <stp/>
        <stp>BDS|5958496009014601714</stp>
        <tr r="I686" s="2"/>
      </tp>
      <tp t="s">
        <v>#N/A N/A</v>
        <stp/>
        <stp>BDP|1118315213189913843</stp>
        <tr r="O1050" s="2"/>
      </tp>
      <tp t="s">
        <v>#N/A N/A</v>
        <stp/>
        <stp>BDP|5431049991676630898</stp>
        <tr r="C52" s="2"/>
      </tp>
      <tp t="s">
        <v>#N/A N/A</v>
        <stp/>
        <stp>BDS|4124184163795505415</stp>
        <tr r="I1836" s="2"/>
      </tp>
      <tp t="s">
        <v>#N/A N/A</v>
        <stp/>
        <stp>BDP|1868809897255433758</stp>
        <tr r="M1250" s="2"/>
      </tp>
      <tp t="s">
        <v>#N/A N/A</v>
        <stp/>
        <stp>BDP|8818679979818140392</stp>
        <tr r="Q1586" s="2"/>
      </tp>
      <tp t="s">
        <v>#N/A N/A</v>
        <stp/>
        <stp>BDP|8102975299243698978</stp>
        <tr r="Q22" s="2"/>
      </tp>
      <tp t="s">
        <v>#N/A N/A</v>
        <stp/>
        <stp>BDP|5355164014113619497</stp>
        <tr r="R191" s="2"/>
      </tp>
      <tp t="s">
        <v>#N/A N/A</v>
        <stp/>
        <stp>BDP|1077048550982272487</stp>
        <tr r="G1450" s="2"/>
      </tp>
      <tp t="s">
        <v>#N/A N/A</v>
        <stp/>
        <stp>BDP|2561119500687895626</stp>
        <tr r="F1712" s="2"/>
      </tp>
      <tp t="s">
        <v>#N/A N/A</v>
        <stp/>
        <stp>BDP|1268197435530855187</stp>
        <tr r="Q1440" s="2"/>
      </tp>
      <tp t="s">
        <v>#N/A N/A</v>
        <stp/>
        <stp>BDP|1968792542538534894</stp>
        <tr r="H1588" s="2"/>
      </tp>
      <tp t="s">
        <v>#N/A N/A</v>
        <stp/>
        <stp>BDP|7471154305964821031</stp>
        <tr r="F703" s="2"/>
      </tp>
      <tp t="s">
        <v>#N/A N/A</v>
        <stp/>
        <stp>BDP|1170677359289328939</stp>
        <tr r="C657" s="2"/>
      </tp>
      <tp t="s">
        <v>#N/A N/A</v>
        <stp/>
        <stp>BDP|1497821386612756182</stp>
        <tr r="C1174" s="2"/>
      </tp>
      <tp t="s">
        <v>#N/A N/A</v>
        <stp/>
        <stp>BDP|2636686071737626669</stp>
        <tr r="H1152" s="2"/>
      </tp>
      <tp t="s">
        <v>#N/A N/A</v>
        <stp/>
        <stp>BDP|9352721890857721297</stp>
        <tr r="A398" s="2"/>
      </tp>
      <tp t="s">
        <v>#N/A N/A</v>
        <stp/>
        <stp>BDP|3872797042924428682</stp>
        <tr r="H1817" s="2"/>
      </tp>
      <tp t="s">
        <v>#N/A N/A</v>
        <stp/>
        <stp>BDP|4106367529035584247</stp>
        <tr r="J655" s="2"/>
      </tp>
      <tp t="s">
        <v>#N/A N/A</v>
        <stp/>
        <stp>BDP|5182925386536305090</stp>
        <tr r="Q1184" s="2"/>
      </tp>
      <tp t="s">
        <v>#N/A N/A</v>
        <stp/>
        <stp>BDP|4955344424315630209</stp>
        <tr r="P1808" s="2"/>
      </tp>
      <tp t="s">
        <v>#N/A N/A</v>
        <stp/>
        <stp>BDP|9213723457840810903</stp>
        <tr r="R1675" s="2"/>
      </tp>
      <tp t="s">
        <v>#N/A N/A</v>
        <stp/>
        <stp>BDP|8998077051427546856</stp>
        <tr r="O1068" s="2"/>
      </tp>
      <tp t="s">
        <v>#N/A N/A</v>
        <stp/>
        <stp>BDP|6588396608375300285</stp>
        <tr r="N2120" s="2"/>
      </tp>
      <tp t="s">
        <v>#N/A N/A</v>
        <stp/>
        <stp>BDP|9520355125823858922</stp>
        <tr r="P559" s="2"/>
      </tp>
      <tp t="s">
        <v>#N/A N/A</v>
        <stp/>
        <stp>BDP|3870166821941203323</stp>
        <tr r="N394" s="2"/>
      </tp>
      <tp t="s">
        <v>#N/A N/A</v>
        <stp/>
        <stp>BDP|2898583267124968717</stp>
        <tr r="M650" s="2"/>
      </tp>
      <tp t="s">
        <v>#N/A N/A</v>
        <stp/>
        <stp>BDP|6053501068412131569</stp>
        <tr r="K2136" s="2"/>
      </tp>
      <tp t="s">
        <v>#N/A N/A</v>
        <stp/>
        <stp>BDP|7249191667141067338</stp>
        <tr r="T2136" s="2"/>
      </tp>
      <tp t="s">
        <v>#N/A N/A</v>
        <stp/>
        <stp>BDP|7603701115162529198</stp>
        <tr r="E697" s="2"/>
      </tp>
      <tp t="s">
        <v>#N/A N/A</v>
        <stp/>
        <stp>BDP|1221264197808908054</stp>
        <tr r="R496" s="2"/>
      </tp>
      <tp t="s">
        <v>#N/A N/A</v>
        <stp/>
        <stp>BDP|2678476114446274388</stp>
        <tr r="F2044" s="2"/>
      </tp>
      <tp t="s">
        <v>#N/A N/A</v>
        <stp/>
        <stp>BDP|3893405131823796510</stp>
        <tr r="T538" s="2"/>
      </tp>
      <tp t="s">
        <v>#N/A N/A</v>
        <stp/>
        <stp>BDP|5418758213280965140</stp>
        <tr r="S273" s="2"/>
      </tp>
      <tp t="s">
        <v>#N/A N/A</v>
        <stp/>
        <stp>BDP|1904543055871108266</stp>
        <tr r="M472" s="2"/>
      </tp>
      <tp t="s">
        <v>#N/A N/A</v>
        <stp/>
        <stp>BDP|4296890310688116753</stp>
        <tr r="M1214" s="2"/>
      </tp>
      <tp t="s">
        <v>#N/A N/A</v>
        <stp/>
        <stp>BDP|5882735555090777566</stp>
        <tr r="S1596" s="2"/>
      </tp>
      <tp t="s">
        <v>#N/A N/A</v>
        <stp/>
        <stp>BDP|2685880170249750660</stp>
        <tr r="G897" s="2"/>
      </tp>
      <tp t="s">
        <v>#N/A N/A</v>
        <stp/>
        <stp>BDP|1587384772072408543</stp>
        <tr r="K1978" s="2"/>
      </tp>
      <tp t="s">
        <v>#N/A N/A</v>
        <stp/>
        <stp>BDP|2825364163944448164</stp>
        <tr r="Q1359" s="2"/>
      </tp>
      <tp t="s">
        <v>#N/A N/A</v>
        <stp/>
        <stp>BDP|3395096911120387079</stp>
        <tr r="F240" s="2"/>
      </tp>
      <tp t="s">
        <v>#N/A N/A</v>
        <stp/>
        <stp>BDP|6836274052084705758</stp>
        <tr r="N1246" s="2"/>
      </tp>
      <tp t="s">
        <v>#N/A N/A</v>
        <stp/>
        <stp>BDP|5361238532600423694</stp>
        <tr r="G1324" s="2"/>
      </tp>
      <tp t="s">
        <v>#N/A N/A</v>
        <stp/>
        <stp>BDP|2344246140742921419</stp>
        <tr r="R1108" s="2"/>
      </tp>
      <tp t="s">
        <v>#N/A N/A</v>
        <stp/>
        <stp>BDP|2632121735933857160</stp>
        <tr r="C1300" s="2"/>
      </tp>
      <tp t="s">
        <v>#N/A N/A</v>
        <stp/>
        <stp>BDP|6817479037913267059</stp>
        <tr r="K525" s="2"/>
      </tp>
      <tp t="s">
        <v>#N/A N/A</v>
        <stp/>
        <stp>BDP|8590914204886682593</stp>
        <tr r="P2022" s="2"/>
      </tp>
      <tp t="s">
        <v>#N/A N/A</v>
        <stp/>
        <stp>BDP|3279983855598161519</stp>
        <tr r="T8" s="2"/>
      </tp>
      <tp t="s">
        <v>#N/A N/A</v>
        <stp/>
        <stp>BDP|2235941000951831819</stp>
        <tr r="F782" s="2"/>
      </tp>
      <tp t="s">
        <v>#N/A N/A</v>
        <stp/>
        <stp>BDP|3732583086769757513</stp>
        <tr r="S1859" s="2"/>
      </tp>
      <tp t="s">
        <v>#N/A N/A</v>
        <stp/>
        <stp>BDP|7768279923485827048</stp>
        <tr r="C1854" s="2"/>
      </tp>
      <tp t="s">
        <v>#N/A N/A</v>
        <stp/>
        <stp>BDP|9471229799516691662</stp>
        <tr r="R1791" s="2"/>
      </tp>
      <tp t="s">
        <v>#N/A N/A</v>
        <stp/>
        <stp>BDP|1760544330257848244</stp>
        <tr r="N1924" s="2"/>
      </tp>
      <tp t="s">
        <v>#N/A N/A</v>
        <stp/>
        <stp>BDP|6448509768433602459</stp>
        <tr r="A640" s="2"/>
      </tp>
      <tp t="s">
        <v>#N/A N/A</v>
        <stp/>
        <stp>BDP|8774541886440222780</stp>
        <tr r="A57" s="2"/>
      </tp>
      <tp t="s">
        <v>#N/A N/A</v>
        <stp/>
        <stp>BDP|8815843503434029604</stp>
        <tr r="M235" s="2"/>
      </tp>
      <tp t="s">
        <v>#N/A N/A</v>
        <stp/>
        <stp>BDP|2435768447945203681</stp>
        <tr r="C786" s="2"/>
      </tp>
      <tp t="s">
        <v>#N/A N/A</v>
        <stp/>
        <stp>BDP|2841311526767013600</stp>
        <tr r="G1647" s="2"/>
      </tp>
      <tp t="s">
        <v>#N/A N/A</v>
        <stp/>
        <stp>BDP|8849400086632026413</stp>
        <tr r="R79" s="2"/>
      </tp>
      <tp t="s">
        <v>#N/A N/A</v>
        <stp/>
        <stp>BDP|9745995170355628073</stp>
        <tr r="J657" s="2"/>
      </tp>
      <tp t="s">
        <v>#N/A N/A</v>
        <stp/>
        <stp>BDP|4768465729835216559</stp>
        <tr r="D437" s="2"/>
      </tp>
      <tp t="s">
        <v>#N/A N/A</v>
        <stp/>
        <stp>BDP|9744802818387730574</stp>
        <tr r="A811" s="2"/>
      </tp>
      <tp t="s">
        <v>#N/A N/A</v>
        <stp/>
        <stp>BDP|8812453794697619007</stp>
        <tr r="C1532" s="2"/>
      </tp>
      <tp t="s">
        <v>#N/A N/A</v>
        <stp/>
        <stp>BDP|2349659456645999660</stp>
        <tr r="O1380" s="2"/>
      </tp>
      <tp t="s">
        <v>#N/A N/A</v>
        <stp/>
        <stp>BDP|4098656528794735659</stp>
        <tr r="O1211" s="2"/>
      </tp>
      <tp t="s">
        <v>#N/A N/A</v>
        <stp/>
        <stp>BDP|6565813765672816860</stp>
        <tr r="R835" s="2"/>
      </tp>
      <tp t="s">
        <v>#N/A N/A</v>
        <stp/>
        <stp>BDP|1189965960385190995</stp>
        <tr r="H1595" s="2"/>
      </tp>
      <tp t="s">
        <v>#N/A N/A</v>
        <stp/>
        <stp>BDP|3725037366372559581</stp>
        <tr r="Q784" s="2"/>
      </tp>
      <tp t="s">
        <v>#N/A N/A</v>
        <stp/>
        <stp>BDP|2875935977559470772</stp>
        <tr r="G2211" s="2"/>
      </tp>
      <tp t="s">
        <v>#N/A N/A</v>
        <stp/>
        <stp>BDP|8194020584936148496</stp>
        <tr r="P859" s="2"/>
      </tp>
      <tp t="s">
        <v>#N/A N/A</v>
        <stp/>
        <stp>BDP|7675451576214814220</stp>
        <tr r="A1776" s="2"/>
      </tp>
      <tp t="s">
        <v>#N/A N/A</v>
        <stp/>
        <stp>BDP|4184906677828900003</stp>
        <tr r="T1326" s="2"/>
      </tp>
      <tp t="s">
        <v>#N/A N/A</v>
        <stp/>
        <stp>BDP|5983262330414123219</stp>
        <tr r="N1079" s="2"/>
      </tp>
      <tp t="s">
        <v>#N/A N/A</v>
        <stp/>
        <stp>BDP|8160371670207185988</stp>
        <tr r="S1773" s="2"/>
      </tp>
      <tp t="s">
        <v>#N/A N/A</v>
        <stp/>
        <stp>BDP|8706813628985262539</stp>
        <tr r="C1675" s="2"/>
      </tp>
      <tp t="s">
        <v>#N/A N/A</v>
        <stp/>
        <stp>BDP|3405467127125252287</stp>
        <tr r="J1342" s="2"/>
      </tp>
      <tp t="s">
        <v>#N/A N/A</v>
        <stp/>
        <stp>BDP|1235616537763850533</stp>
        <tr r="D532" s="2"/>
      </tp>
      <tp t="s">
        <v>#N/A N/A</v>
        <stp/>
        <stp>BDP|7901941195440587529</stp>
        <tr r="D1687" s="2"/>
      </tp>
      <tp t="s">
        <v>#N/A N/A</v>
        <stp/>
        <stp>BDP|5401052977366817614</stp>
        <tr r="P1857" s="2"/>
      </tp>
      <tp t="s">
        <v>#N/A N/A</v>
        <stp/>
        <stp>BDP|6204617053890934768</stp>
        <tr r="F2068" s="2"/>
      </tp>
      <tp t="s">
        <v>#N/A N/A</v>
        <stp/>
        <stp>BDP|2017534961220536380</stp>
        <tr r="R63" s="2"/>
      </tp>
      <tp t="s">
        <v>#N/A N/A</v>
        <stp/>
        <stp>BDP|3093071371952177481</stp>
        <tr r="G594" s="2"/>
      </tp>
      <tp t="s">
        <v>#N/A N/A</v>
        <stp/>
        <stp>BDP|5288094177943172325</stp>
        <tr r="O1488" s="2"/>
      </tp>
      <tp t="s">
        <v>#N/A N/A</v>
        <stp/>
        <stp>BDP|3454348701830916272</stp>
        <tr r="K2236" s="2"/>
      </tp>
      <tp t="s">
        <v>#N/A N/A</v>
        <stp/>
        <stp>BDP|2042291180249516330</stp>
        <tr r="D388" s="2"/>
      </tp>
      <tp t="s">
        <v>#N/A N/A</v>
        <stp/>
        <stp>BDP|6332566219383617351</stp>
        <tr r="A1816" s="2"/>
      </tp>
      <tp t="s">
        <v>#N/A N/A</v>
        <stp/>
        <stp>BDP|1886327940875223173</stp>
        <tr r="M1065" s="2"/>
      </tp>
      <tp t="s">
        <v>#N/A N/A</v>
        <stp/>
        <stp>BDP|4165709953616679287</stp>
        <tr r="M521" s="2"/>
      </tp>
      <tp t="s">
        <v>#N/A N/A</v>
        <stp/>
        <stp>BDP|2060594724626150108</stp>
        <tr r="F605" s="2"/>
      </tp>
      <tp t="s">
        <v>#N/A N/A</v>
        <stp/>
        <stp>BDP|9372551448352682844</stp>
        <tr r="K1205" s="2"/>
      </tp>
      <tp t="s">
        <v>#N/A N/A</v>
        <stp/>
        <stp>BDP|1976768631795315210</stp>
        <tr r="A439" s="2"/>
      </tp>
      <tp t="s">
        <v>#N/A N/A</v>
        <stp/>
        <stp>BDP|1214527498807154853</stp>
        <tr r="H2249" s="2"/>
      </tp>
      <tp t="s">
        <v>#N/A N/A</v>
        <stp/>
        <stp>BDP|1800519613190628702</stp>
        <tr r="K266" s="2"/>
      </tp>
      <tp t="s">
        <v>#N/A N/A</v>
        <stp/>
        <stp>BDP|3414323654643654489</stp>
        <tr r="E1323" s="2"/>
      </tp>
      <tp t="s">
        <v>#N/A N/A</v>
        <stp/>
        <stp>BDP|4590689164951137742</stp>
        <tr r="J1430" s="2"/>
      </tp>
      <tp t="s">
        <v>#N/A N/A</v>
        <stp/>
        <stp>BDP|4608814592990867713</stp>
        <tr r="C1390" s="2"/>
      </tp>
      <tp t="s">
        <v>#N/A N/A</v>
        <stp/>
        <stp>BDP|5150288407554182138</stp>
        <tr r="R1892" s="2"/>
      </tp>
      <tp t="s">
        <v>#N/A N/A</v>
        <stp/>
        <stp>BDP|2958214547745395307</stp>
        <tr r="F303" s="2"/>
      </tp>
      <tp t="s">
        <v>#N/A N/A</v>
        <stp/>
        <stp>BDP|3283331705303890108</stp>
        <tr r="D1243" s="2"/>
      </tp>
      <tp t="s">
        <v>#N/A N/A</v>
        <stp/>
        <stp>BDP|6027703014333001189</stp>
        <tr r="G1827" s="2"/>
      </tp>
      <tp t="s">
        <v>#N/A N/A</v>
        <stp/>
        <stp>BDP|1190375702639093988</stp>
        <tr r="G1091" s="2"/>
      </tp>
      <tp t="s">
        <v>#N/A N/A</v>
        <stp/>
        <stp>BDP|2213809048858787413</stp>
        <tr r="J761" s="2"/>
      </tp>
      <tp t="s">
        <v>#N/A N/A</v>
        <stp/>
        <stp>BDP|4549731213916014696</stp>
        <tr r="M1802" s="2"/>
      </tp>
      <tp t="s">
        <v>#N/A N/A</v>
        <stp/>
        <stp>BDP|1299254145746795398</stp>
        <tr r="R754" s="2"/>
      </tp>
      <tp t="s">
        <v>#N/A N/A</v>
        <stp/>
        <stp>BDP|2803628080277060966</stp>
        <tr r="K1373" s="2"/>
      </tp>
      <tp t="s">
        <v>#N/A N/A</v>
        <stp/>
        <stp>BDP|7290249623085948009</stp>
        <tr r="G1325" s="2"/>
      </tp>
      <tp t="s">
        <v>#N/A N/A</v>
        <stp/>
        <stp>BDP|2797443808081777500</stp>
        <tr r="A347" s="2"/>
      </tp>
      <tp t="s">
        <v>#N/A N/A</v>
        <stp/>
        <stp>BDP|7211179743057233786</stp>
        <tr r="O99" s="2"/>
      </tp>
      <tp t="s">
        <v>#N/A N/A</v>
        <stp/>
        <stp>BDP|7717919295966892375</stp>
        <tr r="F1733" s="2"/>
      </tp>
      <tp t="s">
        <v>#N/A N/A</v>
        <stp/>
        <stp>BDP|5584831795853784584</stp>
        <tr r="R459" s="2"/>
      </tp>
      <tp t="s">
        <v>#N/A N/A</v>
        <stp/>
        <stp>BDP|3274132635990926313</stp>
        <tr r="A915" s="2"/>
      </tp>
      <tp t="s">
        <v>#N/A N/A</v>
        <stp/>
        <stp>BDP|7119039653431933142</stp>
        <tr r="H91" s="2"/>
      </tp>
      <tp t="s">
        <v>#N/A N/A</v>
        <stp/>
        <stp>BDP|6563247805350076688</stp>
        <tr r="A37" s="2"/>
      </tp>
      <tp t="s">
        <v>#N/A N/A</v>
        <stp/>
        <stp>BDP|5436799338137142483</stp>
        <tr r="Q607" s="2"/>
      </tp>
      <tp t="s">
        <v>#N/A N/A</v>
        <stp/>
        <stp>BDP|4083575614685758782</stp>
        <tr r="K98" s="2"/>
      </tp>
      <tp t="s">
        <v>#N/A N/A</v>
        <stp/>
        <stp>BDS|6707368522400715582</stp>
        <tr r="I1156" s="2"/>
      </tp>
      <tp t="s">
        <v>#N/A N/A</v>
        <stp/>
        <stp>BDP|7372489085260255905</stp>
        <tr r="R301" s="2"/>
      </tp>
      <tp t="s">
        <v>#N/A N/A</v>
        <stp/>
        <stp>BDP|2987044074052651535</stp>
        <tr r="R690" s="2"/>
      </tp>
      <tp t="s">
        <v>#N/A N/A</v>
        <stp/>
        <stp>BDP|4189085433411301455</stp>
        <tr r="H1209" s="2"/>
      </tp>
      <tp t="s">
        <v>#N/A N/A</v>
        <stp/>
        <stp>BDP|4571863988974441235</stp>
        <tr r="E1605" s="2"/>
      </tp>
      <tp t="s">
        <v>#N/A N/A</v>
        <stp/>
        <stp>BDP|6598331420341340493</stp>
        <tr r="E1805" s="2"/>
      </tp>
      <tp t="s">
        <v>#N/A N/A</v>
        <stp/>
        <stp>BDP|2093271338887343608</stp>
        <tr r="T2067" s="2"/>
      </tp>
      <tp t="s">
        <v>#N/A N/A</v>
        <stp/>
        <stp>BDP|3857115106632598260</stp>
        <tr r="K2032" s="2"/>
      </tp>
      <tp t="s">
        <v>#N/A N/A</v>
        <stp/>
        <stp>BDP|5731477934945819502</stp>
        <tr r="H956" s="2"/>
      </tp>
      <tp t="s">
        <v>#N/A N/A</v>
        <stp/>
        <stp>BDP|4465219342244274494</stp>
        <tr r="Q1047" s="2"/>
      </tp>
      <tp t="s">
        <v>#N/A N/A</v>
        <stp/>
        <stp>BDP|7155911641381407999</stp>
        <tr r="N1317" s="2"/>
      </tp>
      <tp t="s">
        <v>#N/A N/A</v>
        <stp/>
        <stp>BDP|2371405845084298485</stp>
        <tr r="F901" s="2"/>
      </tp>
      <tp t="s">
        <v>#N/A N/A</v>
        <stp/>
        <stp>BDP|7587250174875085589</stp>
        <tr r="Q1928" s="2"/>
      </tp>
      <tp t="s">
        <v>#N/A N/A</v>
        <stp/>
        <stp>BDP|2737271182573757993</stp>
        <tr r="Q2200" s="2"/>
      </tp>
      <tp t="s">
        <v>#N/A N/A</v>
        <stp/>
        <stp>BDP|8207391727242652967</stp>
        <tr r="K784" s="2"/>
      </tp>
      <tp t="s">
        <v>#N/A N/A</v>
        <stp/>
        <stp>BDP|3034580591278646534</stp>
        <tr r="M1226" s="2"/>
      </tp>
      <tp t="s">
        <v>#N/A N/A</v>
        <stp/>
        <stp>BDS|1233291842454713125</stp>
        <tr r="I1353" s="2"/>
      </tp>
      <tp t="s">
        <v>#N/A N/A</v>
        <stp/>
        <stp>BDP|7171667158590727646</stp>
        <tr r="S2255" s="2"/>
      </tp>
      <tp t="s">
        <v>#N/A N/A</v>
        <stp/>
        <stp>BDP|5008391320853191541</stp>
        <tr r="O1723" s="2"/>
      </tp>
      <tp t="s">
        <v>#N/A N/A</v>
        <stp/>
        <stp>BDP|2244536248050435111</stp>
        <tr r="G307" s="2"/>
      </tp>
      <tp t="s">
        <v>#N/A N/A</v>
        <stp/>
        <stp>BDP|1061762428157561173</stp>
        <tr r="O1105" s="2"/>
      </tp>
      <tp t="s">
        <v>#N/A N/A</v>
        <stp/>
        <stp>BDP|6255395707703463441</stp>
        <tr r="M1050" s="2"/>
      </tp>
      <tp t="s">
        <v>#N/A N/A</v>
        <stp/>
        <stp>BDP|6819321757431823396</stp>
        <tr r="J41" s="2"/>
      </tp>
      <tp t="s">
        <v>#N/A N/A</v>
        <stp/>
        <stp>BDP|2228689780066396852</stp>
        <tr r="D2145" s="2"/>
      </tp>
      <tp t="s">
        <v>#N/A N/A</v>
        <stp/>
        <stp>BDP|5678332418924741168</stp>
        <tr r="G1761" s="2"/>
      </tp>
      <tp t="s">
        <v>#N/A N/A</v>
        <stp/>
        <stp>BDP|1938765975733725010</stp>
        <tr r="H277" s="2"/>
      </tp>
      <tp t="s">
        <v>#N/A N/A</v>
        <stp/>
        <stp>BDP|9058088490947635524</stp>
        <tr r="O1177" s="2"/>
      </tp>
      <tp t="s">
        <v>#N/A N/A</v>
        <stp/>
        <stp>BDP|5034317759683644225</stp>
        <tr r="A631" s="2"/>
      </tp>
      <tp t="s">
        <v>#N/A N/A</v>
        <stp/>
        <stp>BDP|2556762808111476632</stp>
        <tr r="J409" s="2"/>
      </tp>
      <tp t="s">
        <v>#N/A N/A</v>
        <stp/>
        <stp>BDP|7034991885603476740</stp>
        <tr r="N1606" s="2"/>
      </tp>
      <tp t="s">
        <v>#N/A N/A</v>
        <stp/>
        <stp>BDP|5791338631854896312</stp>
        <tr r="G289" s="2"/>
      </tp>
      <tp t="s">
        <v>#N/A N/A</v>
        <stp/>
        <stp>BDP|5571661420560965367</stp>
        <tr r="E2199" s="2"/>
      </tp>
      <tp t="s">
        <v>#N/A N/A</v>
        <stp/>
        <stp>BDP|3730190054672230744</stp>
        <tr r="O566" s="2"/>
      </tp>
      <tp t="s">
        <v>#N/A N/A</v>
        <stp/>
        <stp>BDS|4317465738656035710</stp>
        <tr r="I1929" s="2"/>
      </tp>
      <tp t="s">
        <v>#N/A N/A</v>
        <stp/>
        <stp>BDP|9434139799047684440</stp>
        <tr r="O1958" s="2"/>
      </tp>
      <tp t="s">
        <v>#N/A N/A</v>
        <stp/>
        <stp>BDP|8830338251864488829</stp>
        <tr r="A1701" s="2"/>
      </tp>
      <tp t="s">
        <v>#N/A N/A</v>
        <stp/>
        <stp>BDP|9089476577838402084</stp>
        <tr r="D208" s="2"/>
      </tp>
      <tp t="s">
        <v>#N/A N/A</v>
        <stp/>
        <stp>BDP|7034796870645241075</stp>
        <tr r="T733" s="2"/>
      </tp>
      <tp t="s">
        <v>#N/A N/A</v>
        <stp/>
        <stp>BDS|6184583416591463179</stp>
        <tr r="I1881" s="2"/>
      </tp>
      <tp t="s">
        <v>#N/A N/A</v>
        <stp/>
        <stp>BDS|8972578924068076569</stp>
        <tr r="I1275" s="2"/>
      </tp>
      <tp t="s">
        <v>#N/A N/A</v>
        <stp/>
        <stp>BDP|5905542917594363754</stp>
        <tr r="T2096" s="2"/>
      </tp>
      <tp t="s">
        <v>#N/A N/A</v>
        <stp/>
        <stp>BDP|8546095723840052839</stp>
        <tr r="P2223" s="2"/>
      </tp>
      <tp t="s">
        <v>#N/A N/A</v>
        <stp/>
        <stp>BDP|1120458764768582990</stp>
        <tr r="O572" s="2"/>
      </tp>
      <tp t="s">
        <v>#N/A N/A</v>
        <stp/>
        <stp>BDP|4007834550729868270</stp>
        <tr r="J11" s="2"/>
      </tp>
      <tp t="s">
        <v>#N/A N/A</v>
        <stp/>
        <stp>BDP|7813227025414039134</stp>
        <tr r="R765" s="2"/>
      </tp>
      <tp t="s">
        <v>#N/A N/A</v>
        <stp/>
        <stp>BDP|8105207385194104493</stp>
        <tr r="G1100" s="2"/>
      </tp>
      <tp t="s">
        <v>#N/A N/A</v>
        <stp/>
        <stp>BDP|5120893137019234516</stp>
        <tr r="P2036" s="2"/>
      </tp>
      <tp t="s">
        <v>#N/A N/A</v>
        <stp/>
        <stp>BDP|4946372822090872785</stp>
        <tr r="T1205" s="2"/>
      </tp>
      <tp t="s">
        <v>#N/A N/A</v>
        <stp/>
        <stp>BDP|7172669734453862378</stp>
        <tr r="N812" s="2"/>
      </tp>
      <tp t="s">
        <v>#N/A N/A</v>
        <stp/>
        <stp>BDP|2957494319470009551</stp>
        <tr r="O2223" s="2"/>
      </tp>
      <tp t="s">
        <v>#N/A N/A</v>
        <stp/>
        <stp>BDP|5157775018147046622</stp>
        <tr r="H151" s="2"/>
      </tp>
      <tp t="s">
        <v>#N/A N/A</v>
        <stp/>
        <stp>BDP|2010092235815554659</stp>
        <tr r="N404" s="2"/>
      </tp>
      <tp t="s">
        <v>#N/A N/A</v>
        <stp/>
        <stp>BDP|6397378385309878652</stp>
        <tr r="E286" s="2"/>
      </tp>
      <tp t="s">
        <v>#N/A N/A</v>
        <stp/>
        <stp>BDP|3802979784062799207</stp>
        <tr r="J174" s="2"/>
      </tp>
      <tp t="s">
        <v>#N/A N/A</v>
        <stp/>
        <stp>BDP|8147579094244998271</stp>
        <tr r="E1355" s="2"/>
      </tp>
      <tp t="s">
        <v>#N/A N/A</v>
        <stp/>
        <stp>BDS|4245273478504817796</stp>
        <tr r="I194" s="2"/>
      </tp>
      <tp t="s">
        <v>#N/A N/A</v>
        <stp/>
        <stp>BDP|3048443307795750083</stp>
        <tr r="P611" s="2"/>
      </tp>
      <tp t="s">
        <v>#N/A N/A</v>
        <stp/>
        <stp>BDP|4849636431766249547</stp>
        <tr r="R1761" s="2"/>
      </tp>
      <tp t="s">
        <v>#N/A N/A</v>
        <stp/>
        <stp>BDP|7947150675547767421</stp>
        <tr r="F774" s="2"/>
      </tp>
      <tp t="s">
        <v>#N/A N/A</v>
        <stp/>
        <stp>BDP|9268315499474238542</stp>
        <tr r="P579" s="2"/>
      </tp>
      <tp t="s">
        <v>#N/A N/A</v>
        <stp/>
        <stp>BDP|1860302306778739856</stp>
        <tr r="S1940" s="2"/>
      </tp>
      <tp t="s">
        <v>#N/A N/A</v>
        <stp/>
        <stp>BDP|8321156074794977872</stp>
        <tr r="E1444" s="2"/>
      </tp>
      <tp t="s">
        <v>#N/A N/A</v>
        <stp/>
        <stp>BDP|9090820657386120091</stp>
        <tr r="K273" s="2"/>
      </tp>
      <tp t="s">
        <v>#N/A N/A</v>
        <stp/>
        <stp>BDP|8004820572402855759</stp>
        <tr r="J1170" s="2"/>
      </tp>
      <tp t="s">
        <v>#N/A N/A</v>
        <stp/>
        <stp>BDP|8643506320735256898</stp>
        <tr r="G1059" s="2"/>
      </tp>
      <tp t="s">
        <v>#N/A N/A</v>
        <stp/>
        <stp>BDP|1696606110783338783</stp>
        <tr r="Q938" s="2"/>
      </tp>
      <tp t="s">
        <v>#N/A N/A</v>
        <stp/>
        <stp>BDP|2395782906376903190</stp>
        <tr r="G498" s="2"/>
      </tp>
      <tp t="s">
        <v>#N/A N/A</v>
        <stp/>
        <stp>BDP|6542489663765571366</stp>
        <tr r="N1131" s="2"/>
      </tp>
      <tp t="s">
        <v>#N/A N/A</v>
        <stp/>
        <stp>BDP|8971016587635399715</stp>
        <tr r="S1364" s="2"/>
      </tp>
      <tp t="s">
        <v>#N/A N/A</v>
        <stp/>
        <stp>BDP|6171798931755752536</stp>
        <tr r="D1112" s="2"/>
      </tp>
      <tp t="s">
        <v>#N/A N/A</v>
        <stp/>
        <stp>BDP|3056392101645227779</stp>
        <tr r="R1242" s="2"/>
      </tp>
      <tp t="s">
        <v>#N/A N/A</v>
        <stp/>
        <stp>BDP|9562531058008696354</stp>
        <tr r="D1056" s="2"/>
      </tp>
      <tp t="s">
        <v>#N/A N/A</v>
        <stp/>
        <stp>BDP|1213874798933327134</stp>
        <tr r="R1827" s="2"/>
      </tp>
      <tp t="s">
        <v>#N/A N/A</v>
        <stp/>
        <stp>BDP|4459201115844563190</stp>
        <tr r="G1937" s="2"/>
      </tp>
      <tp t="s">
        <v>#N/A N/A</v>
        <stp/>
        <stp>BDP|1147075902720087394</stp>
        <tr r="M80" s="2"/>
      </tp>
      <tp t="s">
        <v>#N/A N/A</v>
        <stp/>
        <stp>BDP|9587895337387567732</stp>
        <tr r="G896" s="2"/>
      </tp>
      <tp t="s">
        <v>#N/A N/A</v>
        <stp/>
        <stp>BDP|3546770461599958979</stp>
        <tr r="S2049" s="2"/>
      </tp>
      <tp t="s">
        <v>#N/A N/A</v>
        <stp/>
        <stp>BDP|5987100395648813792</stp>
        <tr r="C805" s="2"/>
      </tp>
      <tp t="s">
        <v>#N/A N/A</v>
        <stp/>
        <stp>BDP|7159056588645216839</stp>
        <tr r="A1023" s="2"/>
      </tp>
      <tp t="s">
        <v>#N/A N/A</v>
        <stp/>
        <stp>BDP|4629524667634784195</stp>
        <tr r="G1351" s="2"/>
      </tp>
      <tp t="s">
        <v>#N/A N/A</v>
        <stp/>
        <stp>BDP|7585755077927813229</stp>
        <tr r="T987" s="2"/>
      </tp>
      <tp t="s">
        <v>#N/A N/A</v>
        <stp/>
        <stp>BDP|6096811749549570106</stp>
        <tr r="C833" s="2"/>
      </tp>
      <tp t="s">
        <v>#N/A N/A</v>
        <stp/>
        <stp>BDP|8425282127623186972</stp>
        <tr r="J2233" s="2"/>
      </tp>
      <tp t="s">
        <v>#N/A N/A</v>
        <stp/>
        <stp>BDP|7496117092125826821</stp>
        <tr r="O344" s="2"/>
      </tp>
      <tp t="s">
        <v>#N/A N/A</v>
        <stp/>
        <stp>BDP|7112254422783992627</stp>
        <tr r="C22" s="2"/>
      </tp>
      <tp t="s">
        <v>#N/A N/A</v>
        <stp/>
        <stp>BDP|7626113947860934046</stp>
        <tr r="O132" s="2"/>
      </tp>
      <tp t="s">
        <v>#N/A N/A</v>
        <stp/>
        <stp>BDP|1850635302130392577</stp>
        <tr r="A1820" s="2"/>
      </tp>
      <tp t="s">
        <v>#N/A N/A</v>
        <stp/>
        <stp>BDP|6757098717153536610</stp>
        <tr r="J1776" s="2"/>
      </tp>
      <tp t="s">
        <v>#N/A N/A</v>
        <stp/>
        <stp>BDP|2934521680748639509</stp>
        <tr r="P1121" s="2"/>
      </tp>
      <tp t="s">
        <v>#N/A N/A</v>
        <stp/>
        <stp>BDP|3185562040833992335</stp>
        <tr r="J1334" s="2"/>
      </tp>
      <tp t="s">
        <v>#N/A N/A</v>
        <stp/>
        <stp>BDP|9697630029167765860</stp>
        <tr r="M1922" s="2"/>
      </tp>
      <tp t="s">
        <v>#N/A N/A</v>
        <stp/>
        <stp>BDP|4313401569015160168</stp>
        <tr r="F1985" s="2"/>
      </tp>
      <tp t="s">
        <v>#N/A N/A</v>
        <stp/>
        <stp>BDP|2889757250002134012</stp>
        <tr r="M431" s="2"/>
      </tp>
      <tp t="s">
        <v>#N/A N/A</v>
        <stp/>
        <stp>BDS|3323192578250707780</stp>
        <tr r="I284" s="2"/>
      </tp>
      <tp t="s">
        <v>#N/A N/A</v>
        <stp/>
        <stp>BDP|6045880845098272022</stp>
        <tr r="C415" s="2"/>
      </tp>
      <tp t="s">
        <v>#N/A N/A</v>
        <stp/>
        <stp>BDP|7203386765215423567</stp>
        <tr r="G1400" s="2"/>
      </tp>
      <tp t="s">
        <v>#N/A N/A</v>
        <stp/>
        <stp>BDP|8659292887487254777</stp>
        <tr r="C1947" s="2"/>
      </tp>
      <tp t="s">
        <v>#N/A N/A</v>
        <stp/>
        <stp>BDP|7118537550100771580</stp>
        <tr r="F1179" s="2"/>
      </tp>
      <tp t="s">
        <v>#N/A N/A</v>
        <stp/>
        <stp>BDP|7924763825730472031</stp>
        <tr r="S1266" s="2"/>
      </tp>
      <tp t="s">
        <v>#N/A N/A</v>
        <stp/>
        <stp>BDP|5054182606252318404</stp>
        <tr r="A635" s="2"/>
      </tp>
      <tp t="s">
        <v>#N/A N/A</v>
        <stp/>
        <stp>BDP|7605708472105999000</stp>
        <tr r="O594" s="2"/>
      </tp>
      <tp t="s">
        <v>#N/A N/A</v>
        <stp/>
        <stp>BDP|6672974539799764722</stp>
        <tr r="F699" s="2"/>
      </tp>
      <tp t="s">
        <v>#N/A N/A</v>
        <stp/>
        <stp>BDP|9291574122884923837</stp>
        <tr r="P411" s="2"/>
      </tp>
      <tp t="s">
        <v>#N/A N/A</v>
        <stp/>
        <stp>BDP|6115245959694901781</stp>
        <tr r="C1623" s="2"/>
      </tp>
      <tp t="s">
        <v>#N/A N/A</v>
        <stp/>
        <stp>BDP|9695881017957355577</stp>
        <tr r="P1984" s="2"/>
      </tp>
      <tp t="s">
        <v>#N/A N/A</v>
        <stp/>
        <stp>BDP|4812275660616177436</stp>
        <tr r="O1832" s="2"/>
      </tp>
      <tp t="s">
        <v>#N/A N/A</v>
        <stp/>
        <stp>BDP|1929403386587041823</stp>
        <tr r="P1623" s="2"/>
      </tp>
      <tp t="s">
        <v>#N/A N/A</v>
        <stp/>
        <stp>BDP|2459745269771562012</stp>
        <tr r="K535" s="2"/>
      </tp>
      <tp t="s">
        <v>#N/A N/A</v>
        <stp/>
        <stp>BDS|4325632638385265675</stp>
        <tr r="I2176" s="2"/>
      </tp>
      <tp t="s">
        <v>#N/A N/A</v>
        <stp/>
        <stp>BDP|3837846095781356174</stp>
        <tr r="D1282" s="2"/>
      </tp>
      <tp t="s">
        <v>#N/A N/A</v>
        <stp/>
        <stp>BDP|6802183846729302887</stp>
        <tr r="O855" s="2"/>
      </tp>
      <tp t="s">
        <v>#N/A N/A</v>
        <stp/>
        <stp>BDP|2966577721520154733</stp>
        <tr r="T970" s="2"/>
      </tp>
      <tp t="s">
        <v>#N/A N/A</v>
        <stp/>
        <stp>BDP|1329894402712010952</stp>
        <tr r="K1049" s="2"/>
      </tp>
      <tp t="s">
        <v>#N/A N/A</v>
        <stp/>
        <stp>BDP|3980000716018589872</stp>
        <tr r="Q1457" s="2"/>
      </tp>
      <tp t="s">
        <v>#N/A N/A</v>
        <stp/>
        <stp>BDP|1361378468561077719</stp>
        <tr r="K1583" s="2"/>
      </tp>
      <tp t="s">
        <v>#N/A N/A</v>
        <stp/>
        <stp>BDP|8125280200569620120</stp>
        <tr r="Q1231" s="2"/>
      </tp>
      <tp t="s">
        <v>#N/A N/A</v>
        <stp/>
        <stp>BDP|6144867269603458975</stp>
        <tr r="A2089" s="2"/>
      </tp>
      <tp t="s">
        <v>#N/A N/A</v>
        <stp/>
        <stp>BDP|2472060187141028981</stp>
        <tr r="G1600" s="2"/>
      </tp>
      <tp t="s">
        <v>#N/A N/A</v>
        <stp/>
        <stp>BDP|4141227338615413220</stp>
        <tr r="E1879" s="2"/>
      </tp>
      <tp t="s">
        <v>#N/A N/A</v>
        <stp/>
        <stp>BDP|9738150299112453123</stp>
        <tr r="E2007" s="2"/>
      </tp>
      <tp t="s">
        <v>#N/A N/A</v>
        <stp/>
        <stp>BDS|9363670287565823065</stp>
        <tr r="I1147" s="2"/>
      </tp>
      <tp t="s">
        <v>#N/A N/A</v>
        <stp/>
        <stp>BDP|1208454708192504572</stp>
        <tr r="P677" s="2"/>
      </tp>
      <tp t="s">
        <v>#N/A N/A</v>
        <stp/>
        <stp>BDP|2217678158272893185</stp>
        <tr r="J1735" s="2"/>
      </tp>
      <tp t="s">
        <v>#N/A N/A</v>
        <stp/>
        <stp>BDP|9408783260079310325</stp>
        <tr r="J128" s="2"/>
      </tp>
      <tp t="s">
        <v>#N/A N/A</v>
        <stp/>
        <stp>BDP|5109583616866347518</stp>
        <tr r="N1939" s="2"/>
      </tp>
      <tp t="s">
        <v>#N/A N/A</v>
        <stp/>
        <stp>BDP|6960621105024309600</stp>
        <tr r="R2105" s="2"/>
      </tp>
      <tp t="s">
        <v>#N/A N/A</v>
        <stp/>
        <stp>BDP|7964466277287773123</stp>
        <tr r="C901" s="2"/>
      </tp>
      <tp t="s">
        <v>#N/A N/A</v>
        <stp/>
        <stp>BDP|6501027503241038590</stp>
        <tr r="A1866" s="2"/>
      </tp>
      <tp t="s">
        <v>#N/A N/A</v>
        <stp/>
        <stp>BDP|8092448785680546695</stp>
        <tr r="R1642" s="2"/>
      </tp>
      <tp t="s">
        <v>#N/A N/A</v>
        <stp/>
        <stp>BDP|8683738497013282721</stp>
        <tr r="D2042" s="2"/>
      </tp>
      <tp t="s">
        <v>#N/A N/A</v>
        <stp/>
        <stp>BDP|8773810206034167638</stp>
        <tr r="E1912" s="2"/>
      </tp>
      <tp t="s">
        <v>#N/A N/A</v>
        <stp/>
        <stp>BDP|3526575708565080183</stp>
        <tr r="S2161" s="2"/>
      </tp>
      <tp t="s">
        <v>#N/A N/A</v>
        <stp/>
        <stp>BDP|6614304390826567812</stp>
        <tr r="S891" s="2"/>
      </tp>
      <tp t="s">
        <v>#N/A N/A</v>
        <stp/>
        <stp>BDS|6670727140333001469</stp>
        <tr r="I2041" s="2"/>
      </tp>
      <tp t="s">
        <v>#N/A N/A</v>
        <stp/>
        <stp>BDP|1559686962350919348</stp>
        <tr r="A1750" s="2"/>
      </tp>
      <tp t="s">
        <v>#N/A N/A</v>
        <stp/>
        <stp>BDP|9388764427279964791</stp>
        <tr r="A318" s="2"/>
      </tp>
      <tp t="s">
        <v>#N/A N/A</v>
        <stp/>
        <stp>BDP|7543943982710202439</stp>
        <tr r="J1949" s="2"/>
      </tp>
      <tp t="s">
        <v>#N/A N/A</v>
        <stp/>
        <stp>BDP|5788619781921656834</stp>
        <tr r="C1029" s="2"/>
      </tp>
      <tp t="s">
        <v>#N/A N/A</v>
        <stp/>
        <stp>BDP|2795746603670164737</stp>
        <tr r="D1991" s="2"/>
      </tp>
      <tp t="s">
        <v>#N/A N/A</v>
        <stp/>
        <stp>BDP|6877650250117975069</stp>
        <tr r="E2201" s="2"/>
      </tp>
      <tp t="s">
        <v>#N/A N/A</v>
        <stp/>
        <stp>BDP|7783090762113766097</stp>
        <tr r="D528" s="2"/>
      </tp>
      <tp t="s">
        <v>#N/A N/A</v>
        <stp/>
        <stp>BDP|9521809935588758853</stp>
        <tr r="H2094" s="2"/>
      </tp>
      <tp t="s">
        <v>#N/A N/A</v>
        <stp/>
        <stp>BDP|5838328519170910583</stp>
        <tr r="P65" s="2"/>
      </tp>
      <tp t="s">
        <v>#N/A N/A</v>
        <stp/>
        <stp>BDP|2319778427117149207</stp>
        <tr r="R1818" s="2"/>
      </tp>
      <tp t="s">
        <v>#N/A N/A</v>
        <stp/>
        <stp>BDP|5258749063091434734</stp>
        <tr r="Q1229" s="2"/>
      </tp>
      <tp t="s">
        <v>#N/A N/A</v>
        <stp/>
        <stp>BDS|4465059887317061942</stp>
        <tr r="I1808" s="2"/>
      </tp>
      <tp t="s">
        <v>#N/A N/A</v>
        <stp/>
        <stp>BDP|6688491615366150794</stp>
        <tr r="T897" s="2"/>
      </tp>
      <tp t="s">
        <v>#N/A N/A</v>
        <stp/>
        <stp>BDP|5199020504195020250</stp>
        <tr r="T1370" s="2"/>
      </tp>
      <tp t="s">
        <v>#N/A N/A</v>
        <stp/>
        <stp>BDP|1180927214703414813</stp>
        <tr r="E359" s="2"/>
      </tp>
      <tp t="s">
        <v>#N/A N/A</v>
        <stp/>
        <stp>BDP|6259921484133098666</stp>
        <tr r="O1547" s="2"/>
      </tp>
      <tp t="s">
        <v>#N/A N/A</v>
        <stp/>
        <stp>BDP|6787722955785760351</stp>
        <tr r="J2170" s="2"/>
      </tp>
      <tp t="s">
        <v>#N/A N/A</v>
        <stp/>
        <stp>BDP|7098860254359899189</stp>
        <tr r="C1083" s="2"/>
      </tp>
      <tp t="s">
        <v>#N/A N/A</v>
        <stp/>
        <stp>BDP|4292798737843722191</stp>
        <tr r="C1485" s="2"/>
      </tp>
      <tp t="s">
        <v>#N/A N/A</v>
        <stp/>
        <stp>BDP|2999813855544978962</stp>
        <tr r="E2257" s="2"/>
      </tp>
      <tp t="s">
        <v>#N/A N/A</v>
        <stp/>
        <stp>BDP|1423040643884792369</stp>
        <tr r="N1312" s="2"/>
      </tp>
      <tp t="s">
        <v>#N/A N/A</v>
        <stp/>
        <stp>BDP|9445698162289413295</stp>
        <tr r="G574" s="2"/>
      </tp>
      <tp t="s">
        <v>#N/A N/A</v>
        <stp/>
        <stp>BDP|2067351076851407552</stp>
        <tr r="A1074" s="2"/>
      </tp>
      <tp t="s">
        <v>#N/A N/A</v>
        <stp/>
        <stp>BDP|3221448949171808056</stp>
        <tr r="F2189" s="2"/>
      </tp>
      <tp t="s">
        <v>#N/A N/A</v>
        <stp/>
        <stp>BDP|5783106943124178675</stp>
        <tr r="P334" s="2"/>
      </tp>
      <tp t="s">
        <v>#N/A N/A</v>
        <stp/>
        <stp>BDS|7365756372134564139</stp>
        <tr r="I1121" s="2"/>
      </tp>
      <tp t="s">
        <v>#N/A N/A</v>
        <stp/>
        <stp>BDP|9680061916412496809</stp>
        <tr r="M2244" s="2"/>
      </tp>
      <tp t="s">
        <v>#N/A N/A</v>
        <stp/>
        <stp>BDP|8934729896767992369</stp>
        <tr r="D1111" s="2"/>
      </tp>
      <tp t="s">
        <v>#N/A N/A</v>
        <stp/>
        <stp>BDP|6044007553635007419</stp>
        <tr r="M1137" s="2"/>
      </tp>
      <tp t="s">
        <v>#N/A N/A</v>
        <stp/>
        <stp>BDP|2173718096676412804</stp>
        <tr r="D1666" s="2"/>
      </tp>
      <tp t="s">
        <v>#N/A N/A</v>
        <stp/>
        <stp>BDP|6053423720641653369</stp>
        <tr r="K2011" s="2"/>
      </tp>
      <tp t="s">
        <v>#N/A N/A</v>
        <stp/>
        <stp>BDP|3943727697499981673</stp>
        <tr r="H430" s="2"/>
      </tp>
      <tp t="s">
        <v>#N/A N/A</v>
        <stp/>
        <stp>BDP|8997320889337271621</stp>
        <tr r="D1012" s="2"/>
      </tp>
      <tp t="s">
        <v>#N/A N/A</v>
        <stp/>
        <stp>BDP|6058772258266886051</stp>
        <tr r="E1386" s="2"/>
      </tp>
      <tp t="s">
        <v>#N/A N/A</v>
        <stp/>
        <stp>BDP|7182107462025600770</stp>
        <tr r="P768" s="2"/>
      </tp>
      <tp t="s">
        <v>#N/A N/A</v>
        <stp/>
        <stp>BDP|4982069540805572781</stp>
        <tr r="K1665" s="2"/>
      </tp>
      <tp t="s">
        <v>#N/A N/A</v>
        <stp/>
        <stp>BDP|3451576363377372518</stp>
        <tr r="C2164" s="2"/>
      </tp>
      <tp t="s">
        <v>#N/A N/A</v>
        <stp/>
        <stp>BDP|8197046233060533913</stp>
        <tr r="S235" s="2"/>
      </tp>
      <tp t="s">
        <v>#N/A N/A</v>
        <stp/>
        <stp>BDP|7254661273177380362</stp>
        <tr r="R520" s="2"/>
      </tp>
      <tp t="s">
        <v>#N/A N/A</v>
        <stp/>
        <stp>BDP|5226118951452748175</stp>
        <tr r="A388" s="2"/>
      </tp>
      <tp t="s">
        <v>#N/A N/A</v>
        <stp/>
        <stp>BDP|6990923211419961517</stp>
        <tr r="M1728" s="2"/>
      </tp>
      <tp t="s">
        <v>#N/A N/A</v>
        <stp/>
        <stp>BDS|3315650727235273018</stp>
        <tr r="I713" s="2"/>
      </tp>
      <tp t="s">
        <v>#N/A N/A</v>
        <stp/>
        <stp>BDP|2974197992318652069</stp>
        <tr r="M999" s="2"/>
      </tp>
      <tp t="s">
        <v>#N/A N/A</v>
        <stp/>
        <stp>BDP|5116145867768386834</stp>
        <tr r="N150" s="2"/>
      </tp>
      <tp t="s">
        <v>#N/A N/A</v>
        <stp/>
        <stp>BDP|2131185301836278786</stp>
        <tr r="A482" s="2"/>
      </tp>
      <tp t="s">
        <v>#N/A N/A</v>
        <stp/>
        <stp>BDP|3391701727505772114</stp>
        <tr r="T1853" s="2"/>
      </tp>
      <tp t="s">
        <v>#N/A N/A</v>
        <stp/>
        <stp>BDP|6664476002873147302</stp>
        <tr r="A1321" s="2"/>
      </tp>
      <tp t="s">
        <v>#N/A N/A</v>
        <stp/>
        <stp>BDP|2416997688005695411</stp>
        <tr r="N235" s="2"/>
      </tp>
      <tp t="s">
        <v>#N/A N/A</v>
        <stp/>
        <stp>BDP|7725789332404923563</stp>
        <tr r="E1069" s="2"/>
      </tp>
      <tp t="s">
        <v>#N/A N/A</v>
        <stp/>
        <stp>BDP|4181165500865335268</stp>
        <tr r="A1307" s="2"/>
      </tp>
      <tp t="s">
        <v>#N/A N/A</v>
        <stp/>
        <stp>BDP|8770556297970268650</stp>
        <tr r="Q472" s="2"/>
      </tp>
      <tp t="s">
        <v>#N/A N/A</v>
        <stp/>
        <stp>BDP|7254015264472798123</stp>
        <tr r="E1022" s="2"/>
      </tp>
      <tp t="s">
        <v>#N/A N/A</v>
        <stp/>
        <stp>BDP|4560375306453742612</stp>
        <tr r="J737" s="2"/>
      </tp>
      <tp t="s">
        <v>#N/A N/A</v>
        <stp/>
        <stp>BDP|2219231035940288140</stp>
        <tr r="E402" s="2"/>
      </tp>
      <tp t="s">
        <v>#N/A N/A</v>
        <stp/>
        <stp>BDP|8193053952667389875</stp>
        <tr r="Q1409" s="2"/>
      </tp>
      <tp t="s">
        <v>#N/A N/A</v>
        <stp/>
        <stp>BDP|5944584963536249220</stp>
        <tr r="Q1544" s="2"/>
      </tp>
      <tp t="s">
        <v>#N/A N/A</v>
        <stp/>
        <stp>BDP|4792639641526615215</stp>
        <tr r="T1157" s="2"/>
      </tp>
      <tp t="s">
        <v>#N/A N/A</v>
        <stp/>
        <stp>BDP|1177706716987086251</stp>
        <tr r="J5" s="2"/>
      </tp>
      <tp t="s">
        <v>#N/A N/A</v>
        <stp/>
        <stp>BDP|5266963713097230877</stp>
        <tr r="E1919" s="2"/>
      </tp>
      <tp t="s">
        <v>#N/A N/A</v>
        <stp/>
        <stp>BDP|5710397318596043346</stp>
        <tr r="Q2118" s="2"/>
      </tp>
      <tp t="s">
        <v>#N/A N/A</v>
        <stp/>
        <stp>BDP|3208845048059456481</stp>
        <tr r="Q1258" s="2"/>
      </tp>
      <tp t="s">
        <v>#N/A N/A</v>
        <stp/>
        <stp>BDP|5541626901260695128</stp>
        <tr r="P258" s="2"/>
      </tp>
      <tp t="s">
        <v>#N/A N/A</v>
        <stp/>
        <stp>BDP|7749433377683249534</stp>
        <tr r="O633" s="2"/>
      </tp>
      <tp t="s">
        <v>#N/A N/A</v>
        <stp/>
        <stp>BDP|1772578550513627048</stp>
        <tr r="T541" s="2"/>
      </tp>
      <tp t="s">
        <v>#N/A N/A</v>
        <stp/>
        <stp>BDP|3854610739366174231</stp>
        <tr r="P437" s="2"/>
      </tp>
      <tp t="s">
        <v>#N/A N/A</v>
        <stp/>
        <stp>BDP|3115555728712650486</stp>
        <tr r="D955" s="2"/>
      </tp>
      <tp t="s">
        <v>#N/A N/A</v>
        <stp/>
        <stp>BDP|9439049311102629859</stp>
        <tr r="K1930" s="2"/>
      </tp>
      <tp t="s">
        <v>#N/A N/A</v>
        <stp/>
        <stp>BDP|9130705050220728946</stp>
        <tr r="D463" s="2"/>
      </tp>
      <tp t="s">
        <v>#N/A N/A</v>
        <stp/>
        <stp>BDS|7787883493761650589</stp>
        <tr r="I440" s="2"/>
      </tp>
      <tp t="s">
        <v>#N/A N/A</v>
        <stp/>
        <stp>BDP|9662413103339536636</stp>
        <tr r="G1987" s="2"/>
      </tp>
      <tp t="s">
        <v>#N/A N/A</v>
        <stp/>
        <stp>BDP|2594137947846109325</stp>
        <tr r="P121" s="2"/>
      </tp>
      <tp t="s">
        <v>#N/A N/A</v>
        <stp/>
        <stp>BDP|5213042563540731106</stp>
        <tr r="Q750" s="2"/>
      </tp>
      <tp t="s">
        <v>#N/A N/A</v>
        <stp/>
        <stp>BDP|4661775501112250305</stp>
        <tr r="Q1562" s="2"/>
      </tp>
      <tp t="s">
        <v>#N/A N/A</v>
        <stp/>
        <stp>BDP|9029824853557194128</stp>
        <tr r="N1093" s="2"/>
      </tp>
      <tp t="s">
        <v>#N/A N/A</v>
        <stp/>
        <stp>BDP|6578119920401480620</stp>
        <tr r="O1915" s="2"/>
      </tp>
      <tp t="s">
        <v>#N/A N/A</v>
        <stp/>
        <stp>BDP|7427195346212814216</stp>
        <tr r="K1667" s="2"/>
      </tp>
      <tp t="s">
        <v>#N/A N/A</v>
        <stp/>
        <stp>BDP|5583604107011616068</stp>
        <tr r="Q821" s="2"/>
      </tp>
      <tp t="s">
        <v>#N/A N/A</v>
        <stp/>
        <stp>BDP|5682030168278781987</stp>
        <tr r="J1860" s="2"/>
      </tp>
      <tp t="s">
        <v>#N/A N/A</v>
        <stp/>
        <stp>BDP|6024666037250174124</stp>
        <tr r="H318" s="2"/>
      </tp>
      <tp t="s">
        <v>#N/A N/A</v>
        <stp/>
        <stp>BDP|2350972765266300900</stp>
        <tr r="C1099" s="2"/>
      </tp>
      <tp t="s">
        <v>#N/A N/A</v>
        <stp/>
        <stp>BDP|8697998100112545181</stp>
        <tr r="S1537" s="2"/>
      </tp>
      <tp t="s">
        <v>#N/A N/A</v>
        <stp/>
        <stp>BDP|6504237431893234679</stp>
        <tr r="E1341" s="2"/>
      </tp>
      <tp t="s">
        <v>#N/A N/A</v>
        <stp/>
        <stp>BDP|1772515077317567663</stp>
        <tr r="R1606" s="2"/>
      </tp>
      <tp t="s">
        <v>#N/A N/A</v>
        <stp/>
        <stp>BDP|8870874934370129186</stp>
        <tr r="F1677" s="2"/>
      </tp>
      <tp t="s">
        <v>#N/A N/A</v>
        <stp/>
        <stp>BDP|6794598746263249683</stp>
        <tr r="R2168" s="2"/>
      </tp>
      <tp t="s">
        <v>#N/A N/A</v>
        <stp/>
        <stp>BDP|8290869749483786588</stp>
        <tr r="F289" s="2"/>
      </tp>
      <tp t="s">
        <v>#N/A N/A</v>
        <stp/>
        <stp>BDP|6623314240197303463</stp>
        <tr r="K860" s="2"/>
      </tp>
      <tp t="s">
        <v>#N/A N/A</v>
        <stp/>
        <stp>BDP|1963807128541454876</stp>
        <tr r="H372" s="2"/>
      </tp>
      <tp t="s">
        <v>#N/A N/A</v>
        <stp/>
        <stp>BDP|2552037523086203455</stp>
        <tr r="Q573" s="2"/>
      </tp>
      <tp t="s">
        <v>#N/A N/A</v>
        <stp/>
        <stp>BDP|2721460524601118762</stp>
        <tr r="K1261" s="2"/>
      </tp>
      <tp t="s">
        <v>#N/A N/A</v>
        <stp/>
        <stp>BDP|4473898138874473936</stp>
        <tr r="E1354" s="2"/>
      </tp>
      <tp t="s">
        <v>#N/A N/A</v>
        <stp/>
        <stp>BDP|5944302650714265591</stp>
        <tr r="J61" s="2"/>
      </tp>
      <tp t="s">
        <v>#N/A N/A</v>
        <stp/>
        <stp>BDP|8387671826189361738</stp>
        <tr r="C946" s="2"/>
      </tp>
      <tp t="s">
        <v>#N/A N/A</v>
        <stp/>
        <stp>BDP|5596028391787778928</stp>
        <tr r="D950" s="2"/>
      </tp>
      <tp t="s">
        <v>#N/A N/A</v>
        <stp/>
        <stp>BDP|6693727299288721297</stp>
        <tr r="F249" s="2"/>
      </tp>
      <tp t="s">
        <v>#N/A N/A</v>
        <stp/>
        <stp>BDP|9296022695354371657</stp>
        <tr r="Q593" s="2"/>
      </tp>
      <tp t="s">
        <v>#N/A N/A</v>
        <stp/>
        <stp>BDS|2682063304758561821</stp>
        <tr r="I1262" s="2"/>
      </tp>
      <tp t="s">
        <v>#N/A N/A</v>
        <stp/>
        <stp>BDP|5621548868727153380</stp>
        <tr r="E2161" s="2"/>
      </tp>
      <tp t="s">
        <v>#N/A N/A</v>
        <stp/>
        <stp>BDP|8925213928123315909</stp>
        <tr r="T1528" s="2"/>
      </tp>
      <tp t="s">
        <v>#N/A N/A</v>
        <stp/>
        <stp>BDP|6497106736342206437</stp>
        <tr r="K1434" s="2"/>
      </tp>
      <tp t="s">
        <v>#N/A N/A</v>
        <stp/>
        <stp>BDP|9844908695393755891</stp>
        <tr r="T2216" s="2"/>
      </tp>
      <tp t="s">
        <v>#N/A N/A</v>
        <stp/>
        <stp>BDP|3623868611499453160</stp>
        <tr r="A977" s="2"/>
      </tp>
      <tp t="s">
        <v>#N/A N/A</v>
        <stp/>
        <stp>BDP|8184796278468038232</stp>
        <tr r="N2174" s="2"/>
      </tp>
      <tp t="s">
        <v>#N/A N/A</v>
        <stp/>
        <stp>BDP|8552129235518509042</stp>
        <tr r="D730" s="2"/>
      </tp>
      <tp t="s">
        <v>#N/A N/A</v>
        <stp/>
        <stp>BDP|6100543226955343634</stp>
        <tr r="H450" s="2"/>
      </tp>
      <tp t="s">
        <v>#N/A N/A</v>
        <stp/>
        <stp>BDP|7500263431930902480</stp>
        <tr r="D1235" s="2"/>
      </tp>
      <tp t="s">
        <v>#N/A N/A</v>
        <stp/>
        <stp>BDP|3028013559842278694</stp>
        <tr r="E1527" s="2"/>
      </tp>
      <tp t="s">
        <v>#N/A N/A</v>
        <stp/>
        <stp>BDP|2777460494564707918</stp>
        <tr r="M1334" s="2"/>
      </tp>
      <tp t="s">
        <v>#N/A N/A</v>
        <stp/>
        <stp>BDP|6862968618468580408</stp>
        <tr r="E764" s="2"/>
      </tp>
      <tp t="s">
        <v>#N/A N/A</v>
        <stp/>
        <stp>BDP|9720992523747952778</stp>
        <tr r="C1785" s="2"/>
      </tp>
      <tp t="s">
        <v>#N/A N/A</v>
        <stp/>
        <stp>BDS|5104938806348565624</stp>
        <tr r="I1134" s="2"/>
      </tp>
      <tp t="s">
        <v>#N/A N/A</v>
        <stp/>
        <stp>BDP|1361665650615481520</stp>
        <tr r="M725" s="2"/>
      </tp>
      <tp t="s">
        <v>#N/A N/A</v>
        <stp/>
        <stp>BDP|2221256120813040345</stp>
        <tr r="T411" s="2"/>
      </tp>
      <tp t="s">
        <v>#N/A N/A</v>
        <stp/>
        <stp>BDS|1926158634347856632</stp>
        <tr r="I1041" s="2"/>
      </tp>
      <tp t="s">
        <v>#N/A N/A</v>
        <stp/>
        <stp>BDP|1081037755743421517</stp>
        <tr r="C429" s="2"/>
      </tp>
      <tp t="s">
        <v>#N/A N/A</v>
        <stp/>
        <stp>BDP|9295175749139952765</stp>
        <tr r="F276" s="2"/>
      </tp>
      <tp t="s">
        <v>#N/A N/A</v>
        <stp/>
        <stp>BDP|6608051770721930298</stp>
        <tr r="H1507" s="2"/>
      </tp>
      <tp t="s">
        <v>#N/A N/A</v>
        <stp/>
        <stp>BDP|8979530989946219122</stp>
        <tr r="N104" s="2"/>
      </tp>
      <tp t="s">
        <v>#N/A N/A</v>
        <stp/>
        <stp>BDS|5834880392380071619</stp>
        <tr r="I1221" s="2"/>
      </tp>
      <tp t="s">
        <v>#N/A N/A</v>
        <stp/>
        <stp>BDP|4308063017811646672</stp>
        <tr r="P1839" s="2"/>
      </tp>
      <tp t="s">
        <v>#N/A N/A</v>
        <stp/>
        <stp>BDP|3766750939827146297</stp>
        <tr r="N960" s="2"/>
      </tp>
      <tp t="s">
        <v>#N/A N/A</v>
        <stp/>
        <stp>BDS|9248057583146542528</stp>
        <tr r="I847" s="2"/>
      </tp>
      <tp t="s">
        <v>#N/A N/A</v>
        <stp/>
        <stp>BDP|6524799279532411623</stp>
        <tr r="P2204" s="2"/>
      </tp>
      <tp t="s">
        <v>#N/A N/A</v>
        <stp/>
        <stp>BDP|7159664478707889342</stp>
        <tr r="A124" s="2"/>
      </tp>
      <tp t="s">
        <v>#N/A N/A</v>
        <stp/>
        <stp>BDP|8470049622669035117</stp>
        <tr r="F706" s="2"/>
      </tp>
      <tp t="s">
        <v>#N/A N/A</v>
        <stp/>
        <stp>BDP|9373915047464193273</stp>
        <tr r="N923" s="2"/>
      </tp>
      <tp t="s">
        <v>#N/A N/A</v>
        <stp/>
        <stp>BDP|7076353438863944674</stp>
        <tr r="C2035" s="2"/>
      </tp>
      <tp t="s">
        <v>#N/A N/A</v>
        <stp/>
        <stp>BDP|2347025808849828927</stp>
        <tr r="C798" s="2"/>
      </tp>
      <tp t="s">
        <v>#N/A N/A</v>
        <stp/>
        <stp>BDP|3429184249711296544</stp>
        <tr r="A148" s="2"/>
      </tp>
      <tp t="s">
        <v>#N/A N/A</v>
        <stp/>
        <stp>BDP|6233958295540745465</stp>
        <tr r="F1155" s="2"/>
      </tp>
      <tp t="s">
        <v>#N/A N/A</v>
        <stp/>
        <stp>BDS|4933569329635490419</stp>
        <tr r="I1480" s="2"/>
      </tp>
      <tp t="s">
        <v>#N/A N/A</v>
        <stp/>
        <stp>BDS|7958554042237467399</stp>
        <tr r="I99" s="2"/>
      </tp>
      <tp t="s">
        <v>#N/A N/A</v>
        <stp/>
        <stp>BDP|2659468151994089523</stp>
        <tr r="Q657" s="2"/>
      </tp>
      <tp t="s">
        <v>#N/A N/A</v>
        <stp/>
        <stp>BDP|7435691815150991225</stp>
        <tr r="K1570" s="2"/>
      </tp>
      <tp t="s">
        <v>#N/A N/A</v>
        <stp/>
        <stp>BDP|7458440526640680334</stp>
        <tr r="P1537" s="2"/>
      </tp>
      <tp t="s">
        <v>#N/A N/A</v>
        <stp/>
        <stp>BDP|1153662982249628409</stp>
        <tr r="A2096" s="2"/>
      </tp>
      <tp t="s">
        <v>#N/A N/A</v>
        <stp/>
        <stp>BDP|4705334329316601189</stp>
        <tr r="M1054" s="2"/>
      </tp>
      <tp t="s">
        <v>#N/A N/A</v>
        <stp/>
        <stp>BDP|4964573567050335598</stp>
        <tr r="C2207" s="2"/>
      </tp>
      <tp t="s">
        <v>#N/A N/A</v>
        <stp/>
        <stp>BDP|9337669071632254858</stp>
        <tr r="O1344" s="2"/>
      </tp>
      <tp t="s">
        <v>#N/A N/A</v>
        <stp/>
        <stp>BDP|6535397506772964504</stp>
        <tr r="A1498" s="2"/>
      </tp>
      <tp t="s">
        <v>#N/A N/A</v>
        <stp/>
        <stp>BDP|2308032454215276056</stp>
        <tr r="F1043" s="2"/>
      </tp>
      <tp t="s">
        <v>#N/A N/A</v>
        <stp/>
        <stp>BDP|7099759131217562625</stp>
        <tr r="G689" s="2"/>
      </tp>
      <tp t="s">
        <v>#N/A N/A</v>
        <stp/>
        <stp>BDP|5278168646637919588</stp>
        <tr r="F1191" s="2"/>
      </tp>
      <tp t="s">
        <v>#N/A N/A</v>
        <stp/>
        <stp>BDP|2586544033361387727</stp>
        <tr r="C491" s="2"/>
      </tp>
      <tp t="s">
        <v>#N/A N/A</v>
        <stp/>
        <stp>BDP|2306291985993916959</stp>
        <tr r="H283" s="2"/>
      </tp>
      <tp t="s">
        <v>#N/A N/A</v>
        <stp/>
        <stp>BDP|2872231611536106583</stp>
        <tr r="T290" s="2"/>
      </tp>
      <tp t="s">
        <v>#N/A N/A</v>
        <stp/>
        <stp>BDP|5054740112461430012</stp>
        <tr r="M1507" s="2"/>
      </tp>
      <tp t="s">
        <v>#N/A N/A</v>
        <stp/>
        <stp>BDP|8624302592006762606</stp>
        <tr r="Q381" s="2"/>
      </tp>
      <tp t="s">
        <v>#N/A N/A</v>
        <stp/>
        <stp>BDS|9597985343205587385</stp>
        <tr r="I667" s="2"/>
      </tp>
      <tp t="s">
        <v>#N/A N/A</v>
        <stp/>
        <stp>BDS|3420377032313535275</stp>
        <tr r="I1072" s="2"/>
      </tp>
      <tp t="s">
        <v>#N/A N/A</v>
        <stp/>
        <stp>BDP|1223960588447972562</stp>
        <tr r="M835" s="2"/>
      </tp>
      <tp t="s">
        <v>#N/A N/A</v>
        <stp/>
        <stp>BDP|2029643137927328239</stp>
        <tr r="P1979" s="2"/>
      </tp>
      <tp t="s">
        <v>#N/A N/A</v>
        <stp/>
        <stp>BDP|2359564153723078352</stp>
        <tr r="T2045" s="2"/>
      </tp>
      <tp t="s">
        <v>#N/A N/A</v>
        <stp/>
        <stp>BDP|6026605281479107331</stp>
        <tr r="Q519" s="2"/>
      </tp>
      <tp t="s">
        <v>#N/A N/A</v>
        <stp/>
        <stp>BDP|9561574339419077483</stp>
        <tr r="F635" s="2"/>
      </tp>
      <tp t="s">
        <v>#N/A N/A</v>
        <stp/>
        <stp>BDP|4862333278391418345</stp>
        <tr r="T1095" s="2"/>
      </tp>
      <tp t="s">
        <v>#N/A N/A</v>
        <stp/>
        <stp>BDP|7706961438466319996</stp>
        <tr r="C2046" s="2"/>
      </tp>
      <tp t="s">
        <v>#N/A N/A</v>
        <stp/>
        <stp>BDP|9357032945718650707</stp>
        <tr r="P786" s="2"/>
      </tp>
      <tp t="s">
        <v>#N/A N/A</v>
        <stp/>
        <stp>BDP|5770877643878386335</stp>
        <tr r="K2237" s="2"/>
      </tp>
      <tp t="s">
        <v>#N/A N/A</v>
        <stp/>
        <stp>BDP|5859684042326345323</stp>
        <tr r="J2219" s="2"/>
      </tp>
      <tp t="s">
        <v>#N/A N/A</v>
        <stp/>
        <stp>BDP|4113813070688322103</stp>
        <tr r="K2018" s="2"/>
      </tp>
      <tp t="s">
        <v>#N/A N/A</v>
        <stp/>
        <stp>BDP|4229157425135215030</stp>
        <tr r="M52" s="2"/>
      </tp>
      <tp t="s">
        <v>#N/A N/A</v>
        <stp/>
        <stp>BDS|6123735667362236740</stp>
        <tr r="I1716" s="2"/>
      </tp>
      <tp t="s">
        <v>#N/A N/A</v>
        <stp/>
        <stp>BDP|6806460010939855858</stp>
        <tr r="E2078" s="2"/>
      </tp>
      <tp t="s">
        <v>#N/A N/A</v>
        <stp/>
        <stp>BDP|8094159800589654204</stp>
        <tr r="H1027" s="2"/>
      </tp>
      <tp t="s">
        <v>#N/A N/A</v>
        <stp/>
        <stp>BDP|4752959607097410829</stp>
        <tr r="A2116" s="2"/>
      </tp>
      <tp t="s">
        <v>#N/A N/A</v>
        <stp/>
        <stp>BDP|4118731046935791004</stp>
        <tr r="S416" s="2"/>
      </tp>
      <tp t="s">
        <v>#N/A N/A</v>
        <stp/>
        <stp>BDP|7630651461182076710</stp>
        <tr r="H912" s="2"/>
      </tp>
      <tp t="s">
        <v>#N/A N/A</v>
        <stp/>
        <stp>BDP|8153755233418360675</stp>
        <tr r="E1445" s="2"/>
      </tp>
      <tp t="s">
        <v>#N/A N/A</v>
        <stp/>
        <stp>BDP|5163114200943546568</stp>
        <tr r="J435" s="2"/>
      </tp>
      <tp t="s">
        <v>#N/A N/A</v>
        <stp/>
        <stp>BDP|1801320927267912574</stp>
        <tr r="T264" s="2"/>
      </tp>
      <tp t="s">
        <v>#N/A N/A</v>
        <stp/>
        <stp>BDP|8022231194481097049</stp>
        <tr r="J328" s="2"/>
      </tp>
      <tp t="s">
        <v>#N/A N/A</v>
        <stp/>
        <stp>BDP|1489886600209985263</stp>
        <tr r="T134" s="2"/>
      </tp>
      <tp t="s">
        <v>#N/A N/A</v>
        <stp/>
        <stp>BDS|3587723132217082264</stp>
        <tr r="I759" s="2"/>
      </tp>
      <tp t="s">
        <v>#N/A N/A</v>
        <stp/>
        <stp>BDP|9755522371118063149</stp>
        <tr r="E1685" s="2"/>
      </tp>
      <tp t="s">
        <v>#N/A N/A</v>
        <stp/>
        <stp>BDP|7840353058724587701</stp>
        <tr r="M2247" s="2"/>
      </tp>
      <tp t="s">
        <v>#N/A N/A</v>
        <stp/>
        <stp>BDP|4195261081658720415</stp>
        <tr r="J674" s="2"/>
      </tp>
      <tp t="s">
        <v>#N/A N/A</v>
        <stp/>
        <stp>BDP|7179651452780518639</stp>
        <tr r="D362" s="2"/>
      </tp>
      <tp t="s">
        <v>#N/A N/A</v>
        <stp/>
        <stp>BDP|4304461337708679948</stp>
        <tr r="K1287" s="2"/>
      </tp>
      <tp t="s">
        <v>#N/A N/A</v>
        <stp/>
        <stp>BDP|4022046721536303269</stp>
        <tr r="M2226" s="2"/>
      </tp>
      <tp t="s">
        <v>#N/A N/A</v>
        <stp/>
        <stp>BDP|5313166561768115859</stp>
        <tr r="F1335" s="2"/>
      </tp>
      <tp t="s">
        <v>#N/A N/A</v>
        <stp/>
        <stp>BDP|4494967471038000036</stp>
        <tr r="A1178" s="2"/>
      </tp>
      <tp t="s">
        <v>#N/A N/A</v>
        <stp/>
        <stp>BDP|1664669858397952712</stp>
        <tr r="R1577" s="2"/>
      </tp>
      <tp t="s">
        <v>#N/A N/A</v>
        <stp/>
        <stp>BDS|4595824501679707713</stp>
        <tr r="I1624" s="2"/>
      </tp>
      <tp t="s">
        <v>#N/A N/A</v>
        <stp/>
        <stp>BDP|6115337611914770243</stp>
        <tr r="G810" s="2"/>
      </tp>
      <tp t="s">
        <v>#N/A N/A</v>
        <stp/>
        <stp>BDP|8231823020312582250</stp>
        <tr r="E884" s="2"/>
      </tp>
      <tp t="s">
        <v>#N/A N/A</v>
        <stp/>
        <stp>BDP|1749835612333190970</stp>
        <tr r="M1900" s="2"/>
      </tp>
      <tp t="s">
        <v>#N/A N/A</v>
        <stp/>
        <stp>BDP|1049225110823414363</stp>
        <tr r="S255" s="2"/>
      </tp>
      <tp t="s">
        <v>#N/A N/A</v>
        <stp/>
        <stp>BDP|8025578557789836385</stp>
        <tr r="E1352" s="2"/>
      </tp>
      <tp t="s">
        <v>#N/A N/A</v>
        <stp/>
        <stp>BDP|6711123821571646628</stp>
        <tr r="P1915" s="2"/>
      </tp>
      <tp t="s">
        <v>#N/A N/A</v>
        <stp/>
        <stp>BDP|9106542281552489404</stp>
        <tr r="J2056" s="2"/>
      </tp>
      <tp t="s">
        <v>#N/A N/A</v>
        <stp/>
        <stp>BDP|5886847980040962752</stp>
        <tr r="H427" s="2"/>
      </tp>
      <tp t="s">
        <v>#N/A N/A</v>
        <stp/>
        <stp>BDS|7617728491629565200</stp>
        <tr r="I1625" s="2"/>
      </tp>
      <tp t="s">
        <v>#N/A N/A</v>
        <stp/>
        <stp>BDP|6037648832990297141</stp>
        <tr r="A1482" s="2"/>
      </tp>
      <tp t="s">
        <v>#N/A N/A</v>
        <stp/>
        <stp>BDP|9682873036970494031</stp>
        <tr r="D2250" s="2"/>
      </tp>
      <tp t="s">
        <v>#N/A N/A</v>
        <stp/>
        <stp>BDP|2399250522949425908</stp>
        <tr r="S795" s="2"/>
      </tp>
      <tp t="s">
        <v>#N/A N/A</v>
        <stp/>
        <stp>BDP|1984664566073938005</stp>
        <tr r="G1415" s="2"/>
      </tp>
      <tp t="s">
        <v>#N/A N/A</v>
        <stp/>
        <stp>BDP|4149397841565932408</stp>
        <tr r="O1769" s="2"/>
      </tp>
      <tp t="s">
        <v>#N/A N/A</v>
        <stp/>
        <stp>BDP|8706158410262612846</stp>
        <tr r="G547" s="2"/>
      </tp>
      <tp t="s">
        <v>#N/A N/A</v>
        <stp/>
        <stp>BDP|9088623714734713810</stp>
        <tr r="M1225" s="2"/>
      </tp>
      <tp t="s">
        <v>#N/A N/A</v>
        <stp/>
        <stp>BDP|3217166206675196534</stp>
        <tr r="O1247" s="2"/>
      </tp>
      <tp t="s">
        <v>#N/A N/A</v>
        <stp/>
        <stp>BDP|4698661005888386864</stp>
        <tr r="J259" s="2"/>
      </tp>
      <tp t="s">
        <v>#N/A N/A</v>
        <stp/>
        <stp>BDP|8634881793032581986</stp>
        <tr r="T1040" s="2"/>
      </tp>
      <tp t="s">
        <v>#N/A N/A</v>
        <stp/>
        <stp>BDP|8396350140948690505</stp>
        <tr r="M928" s="2"/>
      </tp>
      <tp t="s">
        <v>#N/A N/A</v>
        <stp/>
        <stp>BDP|6278069275661060212</stp>
        <tr r="N1165" s="2"/>
      </tp>
      <tp t="s">
        <v>#N/A N/A</v>
        <stp/>
        <stp>BDS|7192675261787425236</stp>
        <tr r="I1391" s="2"/>
      </tp>
      <tp t="s">
        <v>#N/A N/A</v>
        <stp/>
        <stp>BDP|8061628474459000265</stp>
        <tr r="T1767" s="2"/>
      </tp>
      <tp t="s">
        <v>#N/A N/A</v>
        <stp/>
        <stp>BDP|5049959821258038443</stp>
        <tr r="H249" s="2"/>
      </tp>
      <tp t="s">
        <v>#N/A N/A</v>
        <stp/>
        <stp>BDP|1128335193759473058</stp>
        <tr r="K703" s="2"/>
      </tp>
      <tp t="s">
        <v>#N/A N/A</v>
        <stp/>
        <stp>BDP|3545578806135461104</stp>
        <tr r="D2010" s="2"/>
      </tp>
      <tp t="s">
        <v>#N/A N/A</v>
        <stp/>
        <stp>BDP|2276500123955286238</stp>
        <tr r="M1587" s="2"/>
      </tp>
      <tp t="s">
        <v>#N/A N/A</v>
        <stp/>
        <stp>BDP|5313572795508692371</stp>
        <tr r="F87" s="2"/>
      </tp>
      <tp t="s">
        <v>#N/A N/A</v>
        <stp/>
        <stp>BDP|5781112114772176534</stp>
        <tr r="R1088" s="2"/>
      </tp>
      <tp t="s">
        <v>#N/A N/A</v>
        <stp/>
        <stp>BDP|1129247109671450088</stp>
        <tr r="J114" s="2"/>
      </tp>
      <tp t="s">
        <v>#N/A N/A</v>
        <stp/>
        <stp>BDP|3878597048363057398</stp>
        <tr r="D132" s="2"/>
      </tp>
      <tp t="s">
        <v>#N/A N/A</v>
        <stp/>
        <stp>BDP|9871978925615260581</stp>
        <tr r="H846" s="2"/>
      </tp>
      <tp t="s">
        <v>#N/A N/A</v>
        <stp/>
        <stp>BDP|8131521848149278295</stp>
        <tr r="N2124" s="2"/>
      </tp>
      <tp t="s">
        <v>#N/A N/A</v>
        <stp/>
        <stp>BDP|8156877042255345375</stp>
        <tr r="G2155" s="2"/>
      </tp>
      <tp t="s">
        <v>#N/A N/A</v>
        <stp/>
        <stp>BDS|6027297630405866015</stp>
        <tr r="I1409" s="2"/>
      </tp>
      <tp t="s">
        <v>#N/A N/A</v>
        <stp/>
        <stp>BDP|6494521997490397824</stp>
        <tr r="T361" s="2"/>
      </tp>
      <tp t="s">
        <v>#N/A N/A</v>
        <stp/>
        <stp>BDP|6466172822197379023</stp>
        <tr r="T739" s="2"/>
      </tp>
      <tp t="s">
        <v>#N/A N/A</v>
        <stp/>
        <stp>BDP|8055236536378248375</stp>
        <tr r="J2185" s="2"/>
      </tp>
      <tp t="s">
        <v>#N/A N/A</v>
        <stp/>
        <stp>BDP|1248670555571133113</stp>
        <tr r="H1166" s="2"/>
      </tp>
      <tp t="s">
        <v>#N/A N/A</v>
        <stp/>
        <stp>BDP|1261617931181075727</stp>
        <tr r="S1818" s="2"/>
      </tp>
      <tp t="s">
        <v>#N/A N/A</v>
        <stp/>
        <stp>BDP|8335285485602801260</stp>
        <tr r="P1033" s="2"/>
      </tp>
      <tp t="s">
        <v>#N/A N/A</v>
        <stp/>
        <stp>BDP|7794006771084079668</stp>
        <tr r="H361" s="2"/>
      </tp>
      <tp t="s">
        <v>#N/A N/A</v>
        <stp/>
        <stp>BDP|4637696835425371696</stp>
        <tr r="R843" s="2"/>
      </tp>
      <tp t="s">
        <v>#N/A N/A</v>
        <stp/>
        <stp>BDP|3536152343743368700</stp>
        <tr r="F530" s="2"/>
      </tp>
      <tp t="s">
        <v>#N/A N/A</v>
        <stp/>
        <stp>BDP|2840843313500655994</stp>
        <tr r="D832" s="2"/>
      </tp>
      <tp t="s">
        <v>#N/A N/A</v>
        <stp/>
        <stp>BDP|8633631117475455860</stp>
        <tr r="H1883" s="2"/>
      </tp>
      <tp t="s">
        <v>#N/A N/A</v>
        <stp/>
        <stp>BDP|6317100369720224387</stp>
        <tr r="A1416" s="2"/>
      </tp>
      <tp t="s">
        <v>#N/A N/A</v>
        <stp/>
        <stp>BDP|7435144077627074475</stp>
        <tr r="O1719" s="2"/>
      </tp>
      <tp t="s">
        <v>#N/A N/A</v>
        <stp/>
        <stp>BDP|6610415653616079346</stp>
        <tr r="Q5" s="2"/>
      </tp>
      <tp t="s">
        <v>#N/A N/A</v>
        <stp/>
        <stp>BDP|6305007632795915282</stp>
        <tr r="G2182" s="2"/>
      </tp>
      <tp t="s">
        <v>#N/A N/A</v>
        <stp/>
        <stp>BDP|8084666956928545150</stp>
        <tr r="M616" s="2"/>
      </tp>
      <tp t="s">
        <v>#N/A N/A</v>
        <stp/>
        <stp>BDP|6017621315461016277</stp>
        <tr r="C617" s="2"/>
      </tp>
      <tp t="s">
        <v>#N/A N/A</v>
        <stp/>
        <stp>BDS|8274297977426909955</stp>
        <tr r="I2064" s="2"/>
      </tp>
      <tp t="s">
        <v>#N/A N/A</v>
        <stp/>
        <stp>BDP|8418045730489807082</stp>
        <tr r="H1801" s="2"/>
      </tp>
      <tp t="s">
        <v>#N/A N/A</v>
        <stp/>
        <stp>BDP|8169638120326464869</stp>
        <tr r="M642" s="2"/>
      </tp>
      <tp t="s">
        <v>#N/A N/A</v>
        <stp/>
        <stp>BDP|5578416111110107242</stp>
        <tr r="F1526" s="2"/>
      </tp>
      <tp t="s">
        <v>#N/A N/A</v>
        <stp/>
        <stp>BDP|4341134060488863980</stp>
        <tr r="F1552" s="2"/>
      </tp>
      <tp t="s">
        <v>#N/A N/A</v>
        <stp/>
        <stp>BDP|1165882747069673686</stp>
        <tr r="Q1647" s="2"/>
      </tp>
      <tp t="s">
        <v>#N/A N/A</v>
        <stp/>
        <stp>BDP|2797562954788094850</stp>
        <tr r="N420" s="2"/>
      </tp>
      <tp t="s">
        <v>#N/A N/A</v>
        <stp/>
        <stp>BDP|7111035468105839623</stp>
        <tr r="H2068" s="2"/>
      </tp>
      <tp t="s">
        <v>#N/A N/A</v>
        <stp/>
        <stp>BDP|5725893018238122675</stp>
        <tr r="J792" s="2"/>
      </tp>
      <tp t="s">
        <v>#N/A N/A</v>
        <stp/>
        <stp>BDP|2346573054923137319</stp>
        <tr r="S1300" s="2"/>
      </tp>
      <tp t="s">
        <v>#N/A N/A</v>
        <stp/>
        <stp>BDS|2727393347842063598</stp>
        <tr r="I934" s="2"/>
      </tp>
      <tp t="s">
        <v>#N/A N/A</v>
        <stp/>
        <stp>BDP|2187260454367378008</stp>
        <tr r="C1186" s="2"/>
      </tp>
      <tp t="s">
        <v>#N/A N/A</v>
        <stp/>
        <stp>BDS|3597159664782761436</stp>
        <tr r="I1996" s="2"/>
      </tp>
      <tp t="s">
        <v>#N/A N/A</v>
        <stp/>
        <stp>BDP|4479663603374359425</stp>
        <tr r="K1709" s="2"/>
      </tp>
      <tp t="s">
        <v>#N/A N/A</v>
        <stp/>
        <stp>BDP|5033432767642483708</stp>
        <tr r="K430" s="2"/>
      </tp>
      <tp t="s">
        <v>#N/A N/A</v>
        <stp/>
        <stp>BDP|9169944206250151222</stp>
        <tr r="O420" s="2"/>
      </tp>
      <tp t="s">
        <v>#N/A N/A</v>
        <stp/>
        <stp>BDP|1785933139458998141</stp>
        <tr r="E766" s="2"/>
      </tp>
      <tp t="s">
        <v>#N/A N/A</v>
        <stp/>
        <stp>BDP|7225303770390371112</stp>
        <tr r="N1687" s="2"/>
      </tp>
      <tp t="s">
        <v>#N/A N/A</v>
        <stp/>
        <stp>BDP|2095079870683770407</stp>
        <tr r="C2081" s="2"/>
      </tp>
      <tp t="s">
        <v>#N/A N/A</v>
        <stp/>
        <stp>BDP|6709454425715569723</stp>
        <tr r="P633" s="2"/>
      </tp>
      <tp t="s">
        <v>#N/A N/A</v>
        <stp/>
        <stp>BDP|1595264477553562518</stp>
        <tr r="A114" s="2"/>
      </tp>
      <tp t="s">
        <v>#N/A N/A</v>
        <stp/>
        <stp>BDP|4554725511168774810</stp>
        <tr r="M2050" s="2"/>
      </tp>
      <tp t="s">
        <v>#N/A N/A</v>
        <stp/>
        <stp>BDP|5553290902594660180</stp>
        <tr r="K572" s="2"/>
      </tp>
      <tp t="s">
        <v>#N/A N/A</v>
        <stp/>
        <stp>BDP|5482036828031816479</stp>
        <tr r="T406" s="2"/>
      </tp>
      <tp t="s">
        <v>#N/A N/A</v>
        <stp/>
        <stp>BDP|7148721306104234671</stp>
        <tr r="A244" s="2"/>
      </tp>
      <tp t="s">
        <v>#N/A N/A</v>
        <stp/>
        <stp>BDP|5278030867832019368</stp>
        <tr r="D136" s="2"/>
      </tp>
      <tp t="s">
        <v>#N/A N/A</v>
        <stp/>
        <stp>BDS|3201507825051448729</stp>
        <tr r="I2206" s="2"/>
      </tp>
      <tp t="s">
        <v>#N/A N/A</v>
        <stp/>
        <stp>BDP|2635979108441145893</stp>
        <tr r="G1743" s="2"/>
      </tp>
      <tp t="s">
        <v>#N/A N/A</v>
        <stp/>
        <stp>BDP|2207445792545183841</stp>
        <tr r="R563" s="2"/>
      </tp>
      <tp t="s">
        <v>#N/A N/A</v>
        <stp/>
        <stp>BDP|6369319844487669414</stp>
        <tr r="F1561" s="2"/>
      </tp>
      <tp t="s">
        <v>#N/A N/A</v>
        <stp/>
        <stp>BDP|2295566407203500674</stp>
        <tr r="K34" s="2"/>
      </tp>
      <tp t="s">
        <v>#N/A N/A</v>
        <stp/>
        <stp>BDP|3394233332941781142</stp>
        <tr r="R1046" s="2"/>
      </tp>
      <tp t="s">
        <v>#N/A N/A</v>
        <stp/>
        <stp>BDP|5405699133340632290</stp>
        <tr r="K830" s="2"/>
      </tp>
      <tp t="s">
        <v>#N/A N/A</v>
        <stp/>
        <stp>BDP|4508159181887392831</stp>
        <tr r="S182" s="2"/>
      </tp>
      <tp t="s">
        <v>#N/A N/A</v>
        <stp/>
        <stp>BDP|1960827576584993854</stp>
        <tr r="G1478" s="2"/>
      </tp>
      <tp t="s">
        <v>#N/A N/A</v>
        <stp/>
        <stp>BDP|3892745430997546288</stp>
        <tr r="Q1243" s="2"/>
      </tp>
      <tp t="s">
        <v>#N/A N/A</v>
        <stp/>
        <stp>BDP|4377489789269643350</stp>
        <tr r="M2006" s="2"/>
      </tp>
      <tp t="s">
        <v>#N/A N/A</v>
        <stp/>
        <stp>BDP|9272246185942511371</stp>
        <tr r="Q2005" s="2"/>
      </tp>
      <tp t="s">
        <v>#N/A N/A</v>
        <stp/>
        <stp>BDP|9724294569919772610</stp>
        <tr r="C1298" s="2"/>
      </tp>
      <tp t="s">
        <v>#N/A N/A</v>
        <stp/>
        <stp>BDP|1027249644152617773</stp>
        <tr r="D2158" s="2"/>
      </tp>
      <tp t="s">
        <v>#N/A N/A</v>
        <stp/>
        <stp>BDP|8993226268487027921</stp>
        <tr r="K419" s="2"/>
      </tp>
      <tp t="s">
        <v>#N/A N/A</v>
        <stp/>
        <stp>BDP|5470865421824579975</stp>
        <tr r="P1892" s="2"/>
      </tp>
      <tp t="s">
        <v>#N/A N/A</v>
        <stp/>
        <stp>BDP|8308194614039745388</stp>
        <tr r="D2180" s="2"/>
      </tp>
      <tp t="s">
        <v>#N/A N/A</v>
        <stp/>
        <stp>BDP|2619390214175839728</stp>
        <tr r="P793" s="2"/>
      </tp>
      <tp t="s">
        <v>#N/A N/A</v>
        <stp/>
        <stp>BDP|6168023346445223568</stp>
        <tr r="E247" s="2"/>
      </tp>
      <tp t="s">
        <v>#N/A N/A</v>
        <stp/>
        <stp>BDP|7502158768566069490</stp>
        <tr r="C1469" s="2"/>
      </tp>
      <tp t="s">
        <v>#N/A N/A</v>
        <stp/>
        <stp>BDP|1618178930365976497</stp>
        <tr r="T723" s="2"/>
      </tp>
      <tp t="s">
        <v>#N/A N/A</v>
        <stp/>
        <stp>BDP|5311893705617894867</stp>
        <tr r="M1243" s="2"/>
      </tp>
      <tp t="s">
        <v>#N/A N/A</v>
        <stp/>
        <stp>BDP|3788424720066104156</stp>
        <tr r="R1033" s="2"/>
      </tp>
      <tp t="s">
        <v>#N/A N/A</v>
        <stp/>
        <stp>BDP|7730398929042246645</stp>
        <tr r="C402" s="2"/>
      </tp>
      <tp t="s">
        <v>#N/A N/A</v>
        <stp/>
        <stp>BDP|6446321313882669426</stp>
        <tr r="K2181" s="2"/>
      </tp>
      <tp t="s">
        <v>#N/A N/A</v>
        <stp/>
        <stp>BDP|9121158713813077868</stp>
        <tr r="P888" s="2"/>
      </tp>
      <tp t="s">
        <v>#N/A N/A</v>
        <stp/>
        <stp>BDP|9791930993989040269</stp>
        <tr r="E668" s="2"/>
      </tp>
      <tp t="s">
        <v>#N/A N/A</v>
        <stp/>
        <stp>BDP|6743309576564222427</stp>
        <tr r="G1229" s="2"/>
      </tp>
      <tp t="s">
        <v>#N/A N/A</v>
        <stp/>
        <stp>BDP|1251442353362798030</stp>
        <tr r="C956" s="2"/>
      </tp>
      <tp t="s">
        <v>#N/A N/A</v>
        <stp/>
        <stp>BDP|1375355169600799690</stp>
        <tr r="H5" s="2"/>
      </tp>
      <tp t="s">
        <v>#N/A N/A</v>
        <stp/>
        <stp>BDP|6641845367843719935</stp>
        <tr r="M1203" s="2"/>
      </tp>
      <tp t="s">
        <v>#N/A N/A</v>
        <stp/>
        <stp>BDS|4435889785031938717</stp>
        <tr r="I685" s="2"/>
      </tp>
      <tp t="s">
        <v>#N/A N/A</v>
        <stp/>
        <stp>BDP|2389129381298396126</stp>
        <tr r="O1060" s="2"/>
      </tp>
      <tp t="s">
        <v>#N/A N/A</v>
        <stp/>
        <stp>BDP|5923084674464176459</stp>
        <tr r="R342" s="2"/>
      </tp>
      <tp t="s">
        <v>#N/A N/A</v>
        <stp/>
        <stp>BDP|8594337895769262903</stp>
        <tr r="E569" s="2"/>
      </tp>
      <tp t="s">
        <v>#N/A N/A</v>
        <stp/>
        <stp>BDP|7088587102878287893</stp>
        <tr r="N1116" s="2"/>
      </tp>
      <tp t="s">
        <v>#N/A N/A</v>
        <stp/>
        <stp>BDP|2118504651754471459</stp>
        <tr r="E210" s="2"/>
      </tp>
      <tp t="s">
        <v>#N/A N/A</v>
        <stp/>
        <stp>BDP|1111497471363127398</stp>
        <tr r="C1036" s="2"/>
      </tp>
      <tp t="s">
        <v>#N/A N/A</v>
        <stp/>
        <stp>BDP|3426609750563777126</stp>
        <tr r="N2104" s="2"/>
      </tp>
      <tp t="s">
        <v>#N/A N/A</v>
        <stp/>
        <stp>BDP|3476575952087786675</stp>
        <tr r="O1952" s="2"/>
      </tp>
      <tp t="s">
        <v>#N/A N/A</v>
        <stp/>
        <stp>BDP|1942125783738805219</stp>
        <tr r="C1868" s="2"/>
      </tp>
      <tp t="s">
        <v>#N/A N/A</v>
        <stp/>
        <stp>BDP|1995422619781754746</stp>
        <tr r="J1554" s="2"/>
      </tp>
      <tp t="s">
        <v>#N/A N/A</v>
        <stp/>
        <stp>BDP|5079997038735312839</stp>
        <tr r="Q1836" s="2"/>
      </tp>
      <tp t="s">
        <v>#N/A N/A</v>
        <stp/>
        <stp>BDP|6256434553523326608</stp>
        <tr r="D2186" s="2"/>
      </tp>
      <tp t="s">
        <v>#N/A N/A</v>
        <stp/>
        <stp>BDP|7247108222311763767</stp>
        <tr r="F842" s="2"/>
      </tp>
      <tp t="s">
        <v>#N/A N/A</v>
        <stp/>
        <stp>BDP|7426785640566554089</stp>
        <tr r="K345" s="2"/>
      </tp>
      <tp t="s">
        <v>#N/A N/A</v>
        <stp/>
        <stp>BDP|9676925165316794276</stp>
        <tr r="R1215" s="2"/>
      </tp>
      <tp t="s">
        <v>#N/A N/A</v>
        <stp/>
        <stp>BDP|4871923145389700299</stp>
        <tr r="D1303" s="2"/>
      </tp>
      <tp t="s">
        <v>#N/A N/A</v>
        <stp/>
        <stp>BDP|3109083079421882791</stp>
        <tr r="C2216" s="2"/>
      </tp>
      <tp t="s">
        <v>#N/A N/A</v>
        <stp/>
        <stp>BDP|2245040215254207507</stp>
        <tr r="A658" s="2"/>
      </tp>
      <tp t="s">
        <v>#N/A N/A</v>
        <stp/>
        <stp>BDP|5084530675343296653</stp>
        <tr r="N1244" s="2"/>
      </tp>
      <tp t="s">
        <v>#N/A N/A</v>
        <stp/>
        <stp>BDP|6430845095045774030</stp>
        <tr r="H1376" s="2"/>
      </tp>
      <tp t="s">
        <v>#N/A N/A</v>
        <stp/>
        <stp>BDP|7472170706594254066</stp>
        <tr r="F2187" s="2"/>
      </tp>
      <tp t="s">
        <v>#N/A N/A</v>
        <stp/>
        <stp>BDP|6097611471902857794</stp>
        <tr r="O875" s="2"/>
      </tp>
      <tp t="s">
        <v>#N/A N/A</v>
        <stp/>
        <stp>BDS|5402536016010674362</stp>
        <tr r="I1081" s="2"/>
      </tp>
      <tp t="s">
        <v>#N/A N/A</v>
        <stp/>
        <stp>BDP|5054925342003885998</stp>
        <tr r="T1740" s="2"/>
      </tp>
      <tp t="s">
        <v>#N/A N/A</v>
        <stp/>
        <stp>BDP|7177767090039017261</stp>
        <tr r="D1968" s="2"/>
      </tp>
      <tp t="s">
        <v>#N/A N/A</v>
        <stp/>
        <stp>BDP|8999859733537701695</stp>
        <tr r="S357" s="2"/>
      </tp>
      <tp t="s">
        <v>#N/A N/A</v>
        <stp/>
        <stp>BDP|9817440908219637630</stp>
        <tr r="G1013" s="2"/>
      </tp>
      <tp t="s">
        <v>#N/A N/A</v>
        <stp/>
        <stp>BDP|4097073687397611978</stp>
        <tr r="K1738" s="2"/>
      </tp>
      <tp t="s">
        <v>#N/A N/A</v>
        <stp/>
        <stp>BDP|6713295366315914505</stp>
        <tr r="M1454" s="2"/>
      </tp>
      <tp t="s">
        <v>#N/A N/A</v>
        <stp/>
        <stp>BDS|3166038764912476530</stp>
        <tr r="I1727" s="2"/>
      </tp>
      <tp t="s">
        <v>#N/A N/A</v>
        <stp/>
        <stp>BDP|9436876796653516911</stp>
        <tr r="J1413" s="2"/>
      </tp>
      <tp t="s">
        <v>#N/A N/A</v>
        <stp/>
        <stp>BDP|4001182728870612578</stp>
        <tr r="S1645" s="2"/>
      </tp>
      <tp t="s">
        <v>#N/A N/A</v>
        <stp/>
        <stp>BDP|5464717816325634442</stp>
        <tr r="A522" s="2"/>
      </tp>
      <tp t="s">
        <v>#N/A N/A</v>
        <stp/>
        <stp>BDP|7223735554452128552</stp>
        <tr r="M1596" s="2"/>
      </tp>
      <tp t="s">
        <v>#N/A N/A</v>
        <stp/>
        <stp>BDP|6339353447256255525</stp>
        <tr r="J1666" s="2"/>
      </tp>
      <tp t="s">
        <v>#N/A N/A</v>
        <stp/>
        <stp>BDP|8668237960476562816</stp>
        <tr r="O1824" s="2"/>
      </tp>
      <tp t="s">
        <v>#N/A N/A</v>
        <stp/>
        <stp>BDP|1984205882019880020</stp>
        <tr r="S268" s="2"/>
      </tp>
      <tp t="s">
        <v>#N/A N/A</v>
        <stp/>
        <stp>BDS|8543083488093423103</stp>
        <tr r="I1309" s="2"/>
      </tp>
      <tp t="s">
        <v>#N/A N/A</v>
        <stp/>
        <stp>BDP|5538520236865562458</stp>
        <tr r="G1874" s="2"/>
      </tp>
      <tp t="s">
        <v>#N/A N/A</v>
        <stp/>
        <stp>BDP|6279937549400932902</stp>
        <tr r="F58" s="2"/>
      </tp>
      <tp t="s">
        <v>#N/A N/A</v>
        <stp/>
        <stp>BDP|9219769619768993553</stp>
        <tr r="M657" s="2"/>
      </tp>
      <tp t="s">
        <v>#N/A N/A</v>
        <stp/>
        <stp>BDP|2820292898473938813</stp>
        <tr r="K1398" s="2"/>
      </tp>
      <tp t="s">
        <v>#N/A N/A</v>
        <stp/>
        <stp>BDP|7145966817155548843</stp>
        <tr r="Q25" s="2"/>
      </tp>
      <tp t="s">
        <v>#N/A N/A</v>
        <stp/>
        <stp>BDP|1968830389320158334</stp>
        <tr r="M775" s="2"/>
      </tp>
      <tp t="s">
        <v>#N/A N/A</v>
        <stp/>
        <stp>BDP|4991430464504904068</stp>
        <tr r="R541" s="2"/>
      </tp>
      <tp t="s">
        <v>#N/A N/A</v>
        <stp/>
        <stp>BDP|2837593811447906380</stp>
        <tr r="J2244" s="2"/>
      </tp>
      <tp t="s">
        <v>#N/A N/A</v>
        <stp/>
        <stp>BDP|6506368982376782977</stp>
        <tr r="C133" s="2"/>
      </tp>
      <tp t="s">
        <v>#N/A N/A</v>
        <stp/>
        <stp>BDS|5165539953813406440</stp>
        <tr r="I1675" s="2"/>
      </tp>
      <tp t="s">
        <v>#N/A N/A</v>
        <stp/>
        <stp>BDP|6300149267857662470</stp>
        <tr r="K655" s="2"/>
      </tp>
      <tp t="s">
        <v>#N/A N/A</v>
        <stp/>
        <stp>BDP|6641693152026527192</stp>
        <tr r="C1513" s="2"/>
      </tp>
      <tp t="s">
        <v>#N/A N/A</v>
        <stp/>
        <stp>BDP|4724069137234184166</stp>
        <tr r="C1250" s="2"/>
      </tp>
      <tp t="s">
        <v>#N/A N/A</v>
        <stp/>
        <stp>BDP|5031627503202826383</stp>
        <tr r="O2016" s="2"/>
      </tp>
      <tp t="s">
        <v>#N/A N/A</v>
        <stp/>
        <stp>BDP|1366440371636235654</stp>
        <tr r="N1419" s="2"/>
      </tp>
      <tp t="s">
        <v>#N/A N/A</v>
        <stp/>
        <stp>BDP|1128921718923882825</stp>
        <tr r="D1189" s="2"/>
      </tp>
      <tp t="s">
        <v>#N/A N/A</v>
        <stp/>
        <stp>BDP|8180673713848118555</stp>
        <tr r="S191" s="2"/>
      </tp>
      <tp t="s">
        <v>#N/A N/A</v>
        <stp/>
        <stp>BDP|1532531292518395768</stp>
        <tr r="N1782" s="2"/>
      </tp>
      <tp t="s">
        <v>#N/A N/A</v>
        <stp/>
        <stp>BDP|6770175030275773361</stp>
        <tr r="J406" s="2"/>
      </tp>
      <tp t="s">
        <v>#N/A N/A</v>
        <stp/>
        <stp>BDP|8637916708775742690</stp>
        <tr r="Q690" s="2"/>
      </tp>
      <tp t="s">
        <v>#N/A N/A</v>
        <stp/>
        <stp>BDP|3676442752457727765</stp>
        <tr r="G1279" s="2"/>
      </tp>
      <tp t="s">
        <v>#N/A N/A</v>
        <stp/>
        <stp>BDP|6609647250133501460</stp>
        <tr r="S1179" s="2"/>
      </tp>
      <tp t="s">
        <v>#N/A N/A</v>
        <stp/>
        <stp>BDP|6512151226161884680</stp>
        <tr r="H1501" s="2"/>
      </tp>
      <tp t="s">
        <v>#N/A N/A</v>
        <stp/>
        <stp>BDP|1460334571791888685</stp>
        <tr r="N187" s="2"/>
      </tp>
      <tp t="s">
        <v>#N/A N/A</v>
        <stp/>
        <stp>BDP|5020745212129895887</stp>
        <tr r="C1824" s="2"/>
      </tp>
      <tp t="s">
        <v>#N/A N/A</v>
        <stp/>
        <stp>BDP|4524656408307880767</stp>
        <tr r="R392" s="2"/>
      </tp>
      <tp t="s">
        <v>#N/A N/A</v>
        <stp/>
        <stp>BDP|8675003391887053411</stp>
        <tr r="T371" s="2"/>
      </tp>
      <tp t="s">
        <v>#N/A N/A</v>
        <stp/>
        <stp>BDP|1411253954960657456</stp>
        <tr r="H1080" s="2"/>
      </tp>
      <tp t="s">
        <v>#N/A N/A</v>
        <stp/>
        <stp>BDP|1182198832971987059</stp>
        <tr r="F2104" s="2"/>
      </tp>
      <tp t="s">
        <v>#N/A N/A</v>
        <stp/>
        <stp>BDP|3941786246457955588</stp>
        <tr r="J2041" s="2"/>
      </tp>
      <tp t="s">
        <v>#N/A N/A</v>
        <stp/>
        <stp>BDP|6093372611503316535</stp>
        <tr r="F396" s="2"/>
      </tp>
      <tp t="s">
        <v>#N/A N/A</v>
        <stp/>
        <stp>BDP|5604305470895267621</stp>
        <tr r="F891" s="2"/>
      </tp>
      <tp t="s">
        <v>#N/A N/A</v>
        <stp/>
        <stp>BDP|8338324472046280875</stp>
        <tr r="E592" s="2"/>
      </tp>
      <tp t="s">
        <v>#N/A N/A</v>
        <stp/>
        <stp>BDP|4165515760921164471</stp>
        <tr r="A1615" s="2"/>
      </tp>
      <tp t="s">
        <v>#N/A N/A</v>
        <stp/>
        <stp>BDP|4891669723402313088</stp>
        <tr r="H1590" s="2"/>
      </tp>
      <tp t="s">
        <v>#N/A N/A</v>
        <stp/>
        <stp>BDP|8728342156058359408</stp>
        <tr r="T252" s="2"/>
      </tp>
      <tp t="s">
        <v>#N/A N/A</v>
        <stp/>
        <stp>BDP|5777908767149002163</stp>
        <tr r="K227" s="2"/>
      </tp>
      <tp t="s">
        <v>#N/A N/A</v>
        <stp/>
        <stp>BDP|8296116466048036531</stp>
        <tr r="J1287" s="2"/>
      </tp>
      <tp t="s">
        <v>#N/A N/A</v>
        <stp/>
        <stp>BDP|3228823683533390260</stp>
        <tr r="F267" s="2"/>
      </tp>
      <tp t="s">
        <v>#N/A N/A</v>
        <stp/>
        <stp>BDP|5788085157246820460</stp>
        <tr r="H806" s="2"/>
      </tp>
      <tp t="s">
        <v>#N/A N/A</v>
        <stp/>
        <stp>BDP|1330733762245167758</stp>
        <tr r="H1741" s="2"/>
      </tp>
      <tp t="s">
        <v>#N/A N/A</v>
        <stp/>
        <stp>BDP|4828676909823145314</stp>
        <tr r="E1499" s="2"/>
      </tp>
      <tp t="s">
        <v>#N/A N/A</v>
        <stp/>
        <stp>BDP|7820808488362575732</stp>
        <tr r="K145" s="2"/>
      </tp>
      <tp t="s">
        <v>#N/A N/A</v>
        <stp/>
        <stp>BDP|7223336661357321759</stp>
        <tr r="Q816" s="2"/>
      </tp>
      <tp t="s">
        <v>#N/A N/A</v>
        <stp/>
        <stp>BDP|1209498687198239786</stp>
        <tr r="F116" s="2"/>
      </tp>
      <tp t="s">
        <v>#N/A N/A</v>
        <stp/>
        <stp>BDP|4541291674973698089</stp>
        <tr r="T2228" s="2"/>
      </tp>
      <tp t="s">
        <v>#N/A N/A</v>
        <stp/>
        <stp>BDP|4055048977243584208</stp>
        <tr r="K1191" s="2"/>
      </tp>
      <tp t="s">
        <v>#N/A N/A</v>
        <stp/>
        <stp>BDP|3045961290987662665</stp>
        <tr r="N1875" s="2"/>
      </tp>
      <tp t="s">
        <v>#N/A N/A</v>
        <stp/>
        <stp>BDP|1922025558446056058</stp>
        <tr r="A1535" s="2"/>
      </tp>
      <tp t="s">
        <v>#N/A N/A</v>
        <stp/>
        <stp>BDP|2281610739723931652</stp>
        <tr r="R1590" s="2"/>
      </tp>
      <tp t="s">
        <v>#N/A N/A</v>
        <stp/>
        <stp>BDP|1281062533427270737</stp>
        <tr r="H853" s="2"/>
      </tp>
      <tp t="s">
        <v>#N/A N/A</v>
        <stp/>
        <stp>BDP|4647453471821526413</stp>
        <tr r="K613" s="2"/>
      </tp>
      <tp t="s">
        <v>#N/A N/A</v>
        <stp/>
        <stp>BDP|9028860354976562013</stp>
        <tr r="D391" s="2"/>
      </tp>
      <tp t="s">
        <v>#N/A N/A</v>
        <stp/>
        <stp>BDP|7418309005537570124</stp>
        <tr r="E32" s="2"/>
      </tp>
      <tp t="s">
        <v>#N/A N/A</v>
        <stp/>
        <stp>BDP|2797139623043535042</stp>
        <tr r="T1761" s="2"/>
      </tp>
      <tp t="s">
        <v>#N/A N/A</v>
        <stp/>
        <stp>BDP|5356503106200157220</stp>
        <tr r="N161" s="2"/>
      </tp>
      <tp t="s">
        <v>#N/A N/A</v>
        <stp/>
        <stp>BDP|1432812171894008828</stp>
        <tr r="R1225" s="2"/>
      </tp>
      <tp t="s">
        <v>#N/A N/A</v>
        <stp/>
        <stp>BDP|6348537513048464814</stp>
        <tr r="J679" s="2"/>
      </tp>
      <tp t="s">
        <v>#N/A N/A</v>
        <stp/>
        <stp>BDP|7666377506570910685</stp>
        <tr r="Q1275" s="2"/>
      </tp>
      <tp t="s">
        <v>#N/A N/A</v>
        <stp/>
        <stp>BDP|3500296258705312310</stp>
        <tr r="D167" s="2"/>
      </tp>
      <tp t="s">
        <v>#N/A N/A</v>
        <stp/>
        <stp>BDP|6623215805921284766</stp>
        <tr r="D601" s="2"/>
      </tp>
      <tp t="s">
        <v>#N/A N/A</v>
        <stp/>
        <stp>BDP|4153792818677463727</stp>
        <tr r="O1623" s="2"/>
      </tp>
      <tp t="s">
        <v>#N/A N/A</v>
        <stp/>
        <stp>BDP|6171077365295124740</stp>
        <tr r="N518" s="2"/>
      </tp>
      <tp t="s">
        <v>#N/A N/A</v>
        <stp/>
        <stp>BDP|7692430886300425918</stp>
        <tr r="C1386" s="2"/>
      </tp>
      <tp t="s">
        <v>#N/A N/A</v>
        <stp/>
        <stp>BDS|4938640392429836017</stp>
        <tr r="I267" s="2"/>
      </tp>
      <tp t="s">
        <v>#N/A N/A</v>
        <stp/>
        <stp>BDP|1956216218887494722</stp>
        <tr r="A1760" s="2"/>
      </tp>
      <tp t="s">
        <v>#N/A N/A</v>
        <stp/>
        <stp>BDP|2223546306222559733</stp>
        <tr r="M124" s="2"/>
      </tp>
      <tp t="s">
        <v>#N/A N/A</v>
        <stp/>
        <stp>BDP|1660831708292369980</stp>
        <tr r="M414" s="2"/>
      </tp>
      <tp t="s">
        <v>#N/A N/A</v>
        <stp/>
        <stp>BDP|6642090648592017213</stp>
        <tr r="N958" s="2"/>
      </tp>
      <tp t="s">
        <v>#N/A N/A</v>
        <stp/>
        <stp>BDP|6910076445459457994</stp>
        <tr r="Q1187" s="2"/>
      </tp>
      <tp t="s">
        <v>#N/A N/A</v>
        <stp/>
        <stp>BDP|2164051200466711650</stp>
        <tr r="A246" s="2"/>
      </tp>
      <tp t="s">
        <v>#N/A N/A</v>
        <stp/>
        <stp>BDP|4903411106000811202</stp>
        <tr r="A1334" s="2"/>
      </tp>
      <tp t="s">
        <v>#N/A N/A</v>
        <stp/>
        <stp>BDP|3248421041910662118</stp>
        <tr r="C1409" s="2"/>
      </tp>
      <tp t="s">
        <v>#N/A N/A</v>
        <stp/>
        <stp>BDP|3127771930451133411</stp>
        <tr r="K1141" s="2"/>
      </tp>
      <tp t="s">
        <v>#N/A N/A</v>
        <stp/>
        <stp>BDP|6446717947016257163</stp>
        <tr r="K1475" s="2"/>
      </tp>
      <tp t="s">
        <v>#N/A N/A</v>
        <stp/>
        <stp>BDP|2006728128481414488</stp>
        <tr r="R161" s="2"/>
      </tp>
      <tp t="s">
        <v>#N/A N/A</v>
        <stp/>
        <stp>BDP|6449776702973662018</stp>
        <tr r="C267" s="2"/>
      </tp>
      <tp t="s">
        <v>#N/A N/A</v>
        <stp/>
        <stp>BDP|8891656740498374089</stp>
        <tr r="K1922" s="2"/>
      </tp>
      <tp t="s">
        <v>#N/A N/A</v>
        <stp/>
        <stp>BDP|1158358877470393764</stp>
        <tr r="M1212" s="2"/>
      </tp>
      <tp t="s">
        <v>#N/A N/A</v>
        <stp/>
        <stp>BDP|7531351613144016356</stp>
        <tr r="R482" s="2"/>
      </tp>
      <tp t="s">
        <v>#N/A N/A</v>
        <stp/>
        <stp>BDP|4166410033535243473</stp>
        <tr r="D1973" s="2"/>
      </tp>
      <tp t="s">
        <v>#N/A N/A</v>
        <stp/>
        <stp>BDP|4230243150235562450</stp>
        <tr r="G681" s="2"/>
      </tp>
      <tp t="s">
        <v>#N/A N/A</v>
        <stp/>
        <stp>BDP|6164830553468377141</stp>
        <tr r="H733" s="2"/>
      </tp>
      <tp t="s">
        <v>#N/A N/A</v>
        <stp/>
        <stp>BDP|7416401054022506634</stp>
        <tr r="R484" s="2"/>
      </tp>
      <tp t="s">
        <v>#N/A N/A</v>
        <stp/>
        <stp>BDP|6664238453846517553</stp>
        <tr r="A1586" s="2"/>
      </tp>
      <tp t="s">
        <v>#N/A N/A</v>
        <stp/>
        <stp>BDP|1203616813003362754</stp>
        <tr r="H8" s="2"/>
      </tp>
      <tp t="s">
        <v>#N/A N/A</v>
        <stp/>
        <stp>BDP|4109162180467255837</stp>
        <tr r="E375" s="2"/>
      </tp>
      <tp t="s">
        <v>#N/A N/A</v>
        <stp/>
        <stp>BDP|1954081138132840276</stp>
        <tr r="A527" s="2"/>
      </tp>
      <tp t="s">
        <v>#N/A N/A</v>
        <stp/>
        <stp>BDP|4021788903233995246</stp>
        <tr r="A1520" s="2"/>
      </tp>
      <tp t="s">
        <v>#N/A N/A</v>
        <stp/>
        <stp>BDP|8374726590685126162</stp>
        <tr r="M2089" s="2"/>
      </tp>
      <tp t="s">
        <v>#N/A N/A</v>
        <stp/>
        <stp>BDP|1852571253107858427</stp>
        <tr r="R179" s="2"/>
      </tp>
      <tp t="s">
        <v>#N/A N/A</v>
        <stp/>
        <stp>BDP|6221342352482621041</stp>
        <tr r="H668" s="2"/>
      </tp>
      <tp t="s">
        <v>#N/A N/A</v>
        <stp/>
        <stp>BDP|8402572865900141918</stp>
        <tr r="M1727" s="2"/>
      </tp>
      <tp t="s">
        <v>#N/A N/A</v>
        <stp/>
        <stp>BDP|4404675622060413232</stp>
        <tr r="K1880" s="2"/>
      </tp>
      <tp t="s">
        <v>#N/A N/A</v>
        <stp/>
        <stp>BDP|7671433419036221680</stp>
        <tr r="C157" s="2"/>
      </tp>
      <tp t="s">
        <v>#N/A N/A</v>
        <stp/>
        <stp>BDP|3514231447342144561</stp>
        <tr r="O310" s="2"/>
      </tp>
      <tp t="s">
        <v>#N/A N/A</v>
        <stp/>
        <stp>BDP|2269165332916946498</stp>
        <tr r="G271" s="2"/>
      </tp>
      <tp t="s">
        <v>#N/A N/A</v>
        <stp/>
        <stp>BDP|6153642937159564816</stp>
        <tr r="C34" s="2"/>
      </tp>
      <tp t="s">
        <v>#N/A N/A</v>
        <stp/>
        <stp>BDP|6292312641674361762</stp>
        <tr r="A1681" s="2"/>
      </tp>
      <tp t="s">
        <v>#N/A N/A</v>
        <stp/>
        <stp>BDP|3264339201503601112</stp>
        <tr r="Q1393" s="2"/>
      </tp>
      <tp t="s">
        <v>#N/A N/A</v>
        <stp/>
        <stp>BDP|4992945511147904925</stp>
        <tr r="M690" s="2"/>
      </tp>
      <tp t="s">
        <v>#N/A N/A</v>
        <stp/>
        <stp>BDP|4768032105567201149</stp>
        <tr r="P457" s="2"/>
      </tp>
      <tp t="s">
        <v>#N/A N/A</v>
        <stp/>
        <stp>BDP|2191322447227168027</stp>
        <tr r="F1914" s="2"/>
      </tp>
      <tp t="s">
        <v>#N/A N/A</v>
        <stp/>
        <stp>BDP|9695667745701498868</stp>
        <tr r="P679" s="2"/>
      </tp>
      <tp t="s">
        <v>#N/A N/A</v>
        <stp/>
        <stp>BDP|2582280858685315214</stp>
        <tr r="A1489" s="2"/>
      </tp>
      <tp t="s">
        <v>#N/A N/A</v>
        <stp/>
        <stp>BDP|9220117691822214177</stp>
        <tr r="E25" s="2"/>
      </tp>
      <tp t="s">
        <v>#N/A N/A</v>
        <stp/>
        <stp>BDP|4333839693303428400</stp>
        <tr r="O425" s="2"/>
      </tp>
      <tp t="s">
        <v>#N/A N/A</v>
        <stp/>
        <stp>BDP|5762373786399582545</stp>
        <tr r="R505" s="2"/>
      </tp>
      <tp t="s">
        <v>#N/A N/A</v>
        <stp/>
        <stp>BDP|8706868417393994089</stp>
        <tr r="E2120" s="2"/>
      </tp>
      <tp t="s">
        <v>#N/A N/A</v>
        <stp/>
        <stp>BDP|3351121956854006107</stp>
        <tr r="Q207" s="2"/>
      </tp>
      <tp t="s">
        <v>#N/A N/A</v>
        <stp/>
        <stp>BDP|7711474750950668411</stp>
        <tr r="N2162" s="2"/>
      </tp>
      <tp t="s">
        <v>#N/A N/A</v>
        <stp/>
        <stp>BDP|5313247311250270439</stp>
        <tr r="S233" s="2"/>
      </tp>
      <tp t="s">
        <v>#N/A N/A</v>
        <stp/>
        <stp>BDP|4406421855595398277</stp>
        <tr r="A1985" s="2"/>
      </tp>
      <tp t="s">
        <v>#N/A N/A</v>
        <stp/>
        <stp>BDP|5512750814723040238</stp>
        <tr r="K216" s="2"/>
      </tp>
      <tp t="s">
        <v>#N/A N/A</v>
        <stp/>
        <stp>BDP|5208221385309292401</stp>
        <tr r="F1183" s="2"/>
      </tp>
      <tp t="s">
        <v>#N/A N/A</v>
        <stp/>
        <stp>BDP|5821483785802262902</stp>
        <tr r="G2000" s="2"/>
      </tp>
      <tp t="s">
        <v>#N/A N/A</v>
        <stp/>
        <stp>BDP|2082642243731015301</stp>
        <tr r="F2255" s="2"/>
      </tp>
      <tp t="s">
        <v>#N/A N/A</v>
        <stp/>
        <stp>BDP|1331791331437920059</stp>
        <tr r="C923" s="2"/>
      </tp>
      <tp t="s">
        <v>#N/A N/A</v>
        <stp/>
        <stp>BDP|6963493113609260868</stp>
        <tr r="H466" s="2"/>
      </tp>
      <tp t="s">
        <v>#N/A N/A</v>
        <stp/>
        <stp>BDP|3786595800405023196</stp>
        <tr r="A732" s="2"/>
      </tp>
      <tp t="s">
        <v>#N/A N/A</v>
        <stp/>
        <stp>BDP|1901183136162882386</stp>
        <tr r="O1543" s="2"/>
      </tp>
      <tp t="s">
        <v>#N/A N/A</v>
        <stp/>
        <stp>BDP|3345185339355486616</stp>
        <tr r="D1955" s="2"/>
      </tp>
      <tp t="s">
        <v>#N/A N/A</v>
        <stp/>
        <stp>BDP|3212365157236190153</stp>
        <tr r="Q1805" s="2"/>
      </tp>
      <tp t="s">
        <v>#N/A N/A</v>
        <stp/>
        <stp>BDP|9220248307069529034</stp>
        <tr r="R1118" s="2"/>
      </tp>
      <tp t="s">
        <v>#N/A N/A</v>
        <stp/>
        <stp>BDP|1174513159594882765</stp>
        <tr r="T1289" s="2"/>
      </tp>
      <tp t="s">
        <v>#N/A N/A</v>
        <stp/>
        <stp>BDP|7995813814304357880</stp>
        <tr r="A1746" s="2"/>
      </tp>
      <tp t="s">
        <v>#N/A N/A</v>
        <stp/>
        <stp>BDP|4453731046907348255</stp>
        <tr r="S1062" s="2"/>
      </tp>
      <tp t="s">
        <v>#N/A N/A</v>
        <stp/>
        <stp>BDP|6771419139512122196</stp>
        <tr r="C1181" s="2"/>
      </tp>
      <tp t="s">
        <v>#N/A N/A</v>
        <stp/>
        <stp>BDP|2799024306458573811</stp>
        <tr r="C974" s="2"/>
      </tp>
      <tp t="s">
        <v>#N/A N/A</v>
        <stp/>
        <stp>BDP|4896073138946887385</stp>
        <tr r="E1209" s="2"/>
      </tp>
      <tp t="s">
        <v>#N/A N/A</v>
        <stp/>
        <stp>BDP|2607567755851343115</stp>
        <tr r="A988" s="2"/>
      </tp>
      <tp t="s">
        <v>#N/A N/A</v>
        <stp/>
        <stp>BDP|2921360491532197880</stp>
        <tr r="K1495" s="2"/>
      </tp>
      <tp t="s">
        <v>#N/A N/A</v>
        <stp/>
        <stp>BDP|3367487045972002396</stp>
        <tr r="E1539" s="2"/>
      </tp>
      <tp t="s">
        <v>#N/A N/A</v>
        <stp/>
        <stp>BDP|3939338129200174050</stp>
        <tr r="M439" s="2"/>
      </tp>
      <tp t="s">
        <v>#N/A N/A</v>
        <stp/>
        <stp>BDP|6890765268686937387</stp>
        <tr r="T1081" s="2"/>
      </tp>
      <tp t="s">
        <v>#N/A N/A</v>
        <stp/>
        <stp>BDP|9253919420008179855</stp>
        <tr r="F553" s="2"/>
      </tp>
      <tp t="s">
        <v>#N/A N/A</v>
        <stp/>
        <stp>BDP|4714095952554897736</stp>
        <tr r="R314" s="2"/>
      </tp>
      <tp t="s">
        <v>#N/A N/A</v>
        <stp/>
        <stp>BDP|5265572967573674738</stp>
        <tr r="S1085" s="2"/>
      </tp>
      <tp t="s">
        <v>#N/A N/A</v>
        <stp/>
        <stp>BDP|3643421656205410517</stp>
        <tr r="O350" s="2"/>
      </tp>
      <tp t="s">
        <v>#N/A N/A</v>
        <stp/>
        <stp>BDP|2774182048431391439</stp>
        <tr r="C852" s="2"/>
      </tp>
      <tp t="s">
        <v>#N/A N/A</v>
        <stp/>
        <stp>BDP|1274026484442624956</stp>
        <tr r="C2086" s="2"/>
      </tp>
      <tp t="s">
        <v>#N/A N/A</v>
        <stp/>
        <stp>BDP|3777917083948403868</stp>
        <tr r="J325" s="2"/>
      </tp>
      <tp t="s">
        <v>#N/A N/A</v>
        <stp/>
        <stp>BDP|5642228649202384397</stp>
        <tr r="R16" s="2"/>
      </tp>
      <tp t="s">
        <v>#N/A N/A</v>
        <stp/>
        <stp>BDP|2838133019165632533</stp>
        <tr r="H257" s="2"/>
      </tp>
      <tp t="s">
        <v>#N/A N/A</v>
        <stp/>
        <stp>BDP|3769207030745721575</stp>
        <tr r="A1993" s="2"/>
      </tp>
      <tp t="s">
        <v>#N/A N/A</v>
        <stp/>
        <stp>BDP|2604350454407638166</stp>
        <tr r="F2101" s="2"/>
      </tp>
      <tp t="s">
        <v>#N/A N/A</v>
        <stp/>
        <stp>BDP|5612653342712718715</stp>
        <tr r="D371" s="2"/>
      </tp>
      <tp t="s">
        <v>#N/A N/A</v>
        <stp/>
        <stp>BDP|8120218490585775409</stp>
        <tr r="H1042" s="2"/>
      </tp>
      <tp t="s">
        <v>#N/A N/A</v>
        <stp/>
        <stp>BDP|8463730153111168920</stp>
        <tr r="A12" s="2"/>
      </tp>
      <tp t="s">
        <v>#N/A N/A</v>
        <stp/>
        <stp>BDP|9149239081672535319</stp>
        <tr r="C1135" s="2"/>
      </tp>
      <tp t="s">
        <v>#N/A N/A</v>
        <stp/>
        <stp>BDS|2445040333044516716</stp>
        <tr r="I549" s="2"/>
      </tp>
      <tp t="s">
        <v>#N/A N/A</v>
        <stp/>
        <stp>BDP|1926637153351767190</stp>
        <tr r="S520" s="2"/>
      </tp>
      <tp t="s">
        <v>#N/A N/A</v>
        <stp/>
        <stp>BDP|6897216274719998831</stp>
        <tr r="H2207" s="2"/>
      </tp>
      <tp t="s">
        <v>#N/A N/A</v>
        <stp/>
        <stp>BDP|5168283978297205547</stp>
        <tr r="A1180" s="2"/>
      </tp>
      <tp t="s">
        <v>#N/A N/A</v>
        <stp/>
        <stp>BDP|6645215605823418518</stp>
        <tr r="S2107" s="2"/>
      </tp>
      <tp t="s">
        <v>#N/A N/A</v>
        <stp/>
        <stp>BDP|9875999901476690413</stp>
        <tr r="M562" s="2"/>
      </tp>
      <tp t="s">
        <v>#N/A N/A</v>
        <stp/>
        <stp>BDP|1021458423370293533</stp>
        <tr r="K130" s="2"/>
      </tp>
      <tp t="s">
        <v>#N/A N/A</v>
        <stp/>
        <stp>BDP|5266123956673425052</stp>
        <tr r="H337" s="2"/>
      </tp>
      <tp t="s">
        <v>#N/A N/A</v>
        <stp/>
        <stp>BDP|7564405760511066622</stp>
        <tr r="G1347" s="2"/>
      </tp>
      <tp t="s">
        <v>#N/A N/A</v>
        <stp/>
        <stp>BDS|3281529053343041247</stp>
        <tr r="I559" s="2"/>
      </tp>
      <tp t="s">
        <v>#N/A N/A</v>
        <stp/>
        <stp>BDP|5025600944995486071</stp>
        <tr r="T1535" s="2"/>
      </tp>
      <tp t="s">
        <v>#N/A N/A</v>
        <stp/>
        <stp>BDP|6958203779415276457</stp>
        <tr r="T1213" s="2"/>
      </tp>
      <tp t="s">
        <v>#N/A N/A</v>
        <stp/>
        <stp>BDP|9838487697005607366</stp>
        <tr r="K1388" s="2"/>
      </tp>
      <tp t="s">
        <v>#N/A N/A</v>
        <stp/>
        <stp>BDP|5595513143825433344</stp>
        <tr r="S834" s="2"/>
      </tp>
      <tp t="s">
        <v>#N/A N/A</v>
        <stp/>
        <stp>BDP|9062342589764967430</stp>
        <tr r="G1548" s="2"/>
      </tp>
      <tp t="s">
        <v>#N/A N/A</v>
        <stp/>
        <stp>BDP|2221603483716135870</stp>
        <tr r="K1638" s="2"/>
      </tp>
      <tp t="s">
        <v>#N/A N/A</v>
        <stp/>
        <stp>BDP|4100167123380708541</stp>
        <tr r="F455" s="2"/>
      </tp>
      <tp t="s">
        <v>#N/A N/A</v>
        <stp/>
        <stp>BDP|4370691427233206181</stp>
        <tr r="P1104" s="2"/>
      </tp>
      <tp t="s">
        <v>#N/A N/A</v>
        <stp/>
        <stp>BDP|1577973913422002965</stp>
        <tr r="J2256" s="2"/>
      </tp>
      <tp t="s">
        <v>#N/A N/A</v>
        <stp/>
        <stp>BDP|1971122590339968255</stp>
        <tr r="H724" s="2"/>
      </tp>
      <tp t="s">
        <v>#N/A N/A</v>
        <stp/>
        <stp>BDP|1111416983708241761</stp>
        <tr r="R1727" s="2"/>
      </tp>
      <tp t="s">
        <v>#N/A N/A</v>
        <stp/>
        <stp>BDP|4105071733142057721</stp>
        <tr r="K1622" s="2"/>
      </tp>
      <tp t="s">
        <v>#N/A N/A</v>
        <stp/>
        <stp>BDP|5495088949700011323</stp>
        <tr r="C1989" s="2"/>
      </tp>
      <tp t="s">
        <v>#N/A N/A</v>
        <stp/>
        <stp>BDP|6242764927732147357</stp>
        <tr r="K934" s="2"/>
      </tp>
      <tp t="s">
        <v>#N/A N/A</v>
        <stp/>
        <stp>BDP|5631940288290812654</stp>
        <tr r="A1068" s="2"/>
      </tp>
      <tp t="s">
        <v>#N/A N/A</v>
        <stp/>
        <stp>BDP|8113010847547469945</stp>
        <tr r="G360" s="2"/>
      </tp>
      <tp t="s">
        <v>#N/A N/A</v>
        <stp/>
        <stp>BDP|8532400420119337516</stp>
        <tr r="A352" s="2"/>
      </tp>
      <tp t="s">
        <v>#N/A N/A</v>
        <stp/>
        <stp>BDP|9508131789363168193</stp>
        <tr r="M751" s="2"/>
      </tp>
      <tp t="s">
        <v>#N/A N/A</v>
        <stp/>
        <stp>BDP|5162066434645470106</stp>
        <tr r="N1730" s="2"/>
      </tp>
      <tp t="s">
        <v>#N/A N/A</v>
        <stp/>
        <stp>BDP|5984544609865007733</stp>
        <tr r="R1842" s="2"/>
      </tp>
      <tp t="s">
        <v>#N/A N/A</v>
        <stp/>
        <stp>BDP|6433742603665420602</stp>
        <tr r="H1571" s="2"/>
      </tp>
      <tp t="s">
        <v>#N/A N/A</v>
        <stp/>
        <stp>BDP|5470124872900186125</stp>
        <tr r="P1396" s="2"/>
      </tp>
      <tp t="s">
        <v>#N/A N/A</v>
        <stp/>
        <stp>BDP|2373871781497716754</stp>
        <tr r="M294" s="2"/>
      </tp>
      <tp t="s">
        <v>#N/A N/A</v>
        <stp/>
        <stp>BDP|4377922196703455541</stp>
        <tr r="A2177" s="2"/>
      </tp>
      <tp t="s">
        <v>#N/A N/A</v>
        <stp/>
        <stp>BDP|6093698809100375241</stp>
        <tr r="N273" s="2"/>
      </tp>
      <tp t="s">
        <v>#N/A N/A</v>
        <stp/>
        <stp>BDP|7428066443946427729</stp>
        <tr r="R1166" s="2"/>
      </tp>
      <tp t="s">
        <v>#N/A N/A</v>
        <stp/>
        <stp>BDP|3628621232545567146</stp>
        <tr r="P1628" s="2"/>
      </tp>
      <tp t="s">
        <v>#N/A N/A</v>
        <stp/>
        <stp>BDP|5226353856102625304</stp>
        <tr r="E219" s="2"/>
      </tp>
      <tp t="s">
        <v>#N/A N/A</v>
        <stp/>
        <stp>BDP|7651838980107693243</stp>
        <tr r="J147" s="2"/>
      </tp>
      <tp t="s">
        <v>#N/A N/A</v>
        <stp/>
        <stp>BDP|4716071670500594115</stp>
        <tr r="E474" s="2"/>
      </tp>
      <tp t="s">
        <v>#N/A N/A</v>
        <stp/>
        <stp>BDP|5154700144927720367</stp>
        <tr r="M516" s="2"/>
      </tp>
      <tp t="s">
        <v>#N/A N/A</v>
        <stp/>
        <stp>BDP|2861062606532594291</stp>
        <tr r="G2131" s="2"/>
      </tp>
      <tp t="s">
        <v>#N/A N/A</v>
        <stp/>
        <stp>BDP|3866100958292456708</stp>
        <tr r="S500" s="2"/>
      </tp>
      <tp t="s">
        <v>#N/A N/A</v>
        <stp/>
        <stp>BDP|8095475640483309901</stp>
        <tr r="T1607" s="2"/>
      </tp>
      <tp t="s">
        <v>#N/A N/A</v>
        <stp/>
        <stp>BDP|2985933389517264651</stp>
        <tr r="C192" s="2"/>
      </tp>
      <tp t="s">
        <v>#N/A N/A</v>
        <stp/>
        <stp>BDP|9043358590380971181</stp>
        <tr r="C1931" s="2"/>
      </tp>
      <tp t="s">
        <v>#N/A N/A</v>
        <stp/>
        <stp>BDP|3629619334304333042</stp>
        <tr r="T798" s="2"/>
      </tp>
      <tp t="s">
        <v>#N/A N/A</v>
        <stp/>
        <stp>BDP|6223005184929339514</stp>
        <tr r="Q137" s="2"/>
      </tp>
      <tp t="s">
        <v>#N/A N/A</v>
        <stp/>
        <stp>BDP|3219513581049623509</stp>
        <tr r="H1147" s="2"/>
      </tp>
      <tp t="s">
        <v>#N/A N/A</v>
        <stp/>
        <stp>BDP|3969472441881330087</stp>
        <tr r="Q1136" s="2"/>
      </tp>
      <tp t="s">
        <v>#N/A N/A</v>
        <stp/>
        <stp>BDP|8615511393851714771</stp>
        <tr r="P1641" s="2"/>
      </tp>
      <tp t="s">
        <v>#N/A N/A</v>
        <stp/>
        <stp>BDP|5843175635000696580</stp>
        <tr r="D2035" s="2"/>
      </tp>
      <tp t="s">
        <v>#N/A N/A</v>
        <stp/>
        <stp>BDP|5053179775039019865</stp>
        <tr r="R734" s="2"/>
      </tp>
      <tp t="s">
        <v>#N/A N/A</v>
        <stp/>
        <stp>BDP|8717411132985511850</stp>
        <tr r="M554" s="2"/>
      </tp>
      <tp t="s">
        <v>#N/A N/A</v>
        <stp/>
        <stp>BDP|5285152066750734025</stp>
        <tr r="A442" s="2"/>
      </tp>
      <tp t="s">
        <v>#N/A N/A</v>
        <stp/>
        <stp>BDP|6654720661942303727</stp>
        <tr r="T851" s="2"/>
      </tp>
      <tp t="s">
        <v>#N/A N/A</v>
        <stp/>
        <stp>BDP|9209576891145493245</stp>
        <tr r="D1716" s="2"/>
      </tp>
      <tp t="s">
        <v>#N/A N/A</v>
        <stp/>
        <stp>BDP|9763651966998604365</stp>
        <tr r="M728" s="2"/>
      </tp>
      <tp t="s">
        <v>#N/A N/A</v>
        <stp/>
        <stp>BDP|5214736717572109339</stp>
        <tr r="J333" s="2"/>
      </tp>
      <tp t="s">
        <v>#N/A N/A</v>
        <stp/>
        <stp>BDP|1139834533211773929</stp>
        <tr r="D744" s="2"/>
      </tp>
      <tp t="s">
        <v>#N/A N/A</v>
        <stp/>
        <stp>BDP|7632908552099170017</stp>
        <tr r="E1279" s="2"/>
      </tp>
      <tp t="s">
        <v>#N/A N/A</v>
        <stp/>
        <stp>BDP|2970012232974860760</stp>
        <tr r="J517" s="2"/>
      </tp>
      <tp t="s">
        <v>#N/A N/A</v>
        <stp/>
        <stp>BDP|1253502243607396562</stp>
        <tr r="T1065" s="2"/>
      </tp>
      <tp t="s">
        <v>#N/A N/A</v>
        <stp/>
        <stp>BDP|5768673537821738344</stp>
        <tr r="J2150" s="2"/>
      </tp>
      <tp t="s">
        <v>#N/A N/A</v>
        <stp/>
        <stp>BDP|1131045722119454878</stp>
        <tr r="G2089" s="2"/>
      </tp>
      <tp t="s">
        <v>#N/A N/A</v>
        <stp/>
        <stp>BDP|1829779098094333902</stp>
        <tr r="J800" s="2"/>
      </tp>
      <tp t="s">
        <v>#N/A N/A</v>
        <stp/>
        <stp>BDP|6511086323961238787</stp>
        <tr r="O1999" s="2"/>
      </tp>
      <tp t="s">
        <v>#N/A N/A</v>
        <stp/>
        <stp>BDP|4805501906054232788</stp>
        <tr r="J228" s="2"/>
      </tp>
      <tp t="s">
        <v>#N/A N/A</v>
        <stp/>
        <stp>BDP|2325009049263846760</stp>
        <tr r="C1981" s="2"/>
      </tp>
      <tp t="s">
        <v>#N/A N/A</v>
        <stp/>
        <stp>BDP|3395556244247056765</stp>
        <tr r="N234" s="2"/>
      </tp>
      <tp t="s">
        <v>#N/A N/A</v>
        <stp/>
        <stp>BDP|8925482172818602115</stp>
        <tr r="A142" s="2"/>
      </tp>
      <tp t="s">
        <v>#N/A N/A</v>
        <stp/>
        <stp>BDP|9319835032952030263</stp>
        <tr r="R793" s="2"/>
      </tp>
      <tp t="s">
        <v>#N/A N/A</v>
        <stp/>
        <stp>BDP|5837075486438987746</stp>
        <tr r="D889" s="2"/>
      </tp>
      <tp t="s">
        <v>#N/A N/A</v>
        <stp/>
        <stp>BDP|1757182039665241409</stp>
        <tr r="M1609" s="2"/>
      </tp>
      <tp t="s">
        <v>#N/A N/A</v>
        <stp/>
        <stp>BDP|3545079817570176003</stp>
        <tr r="M168" s="2"/>
      </tp>
      <tp t="s">
        <v>#N/A N/A</v>
        <stp/>
        <stp>BDP|1448640143214081572</stp>
        <tr r="G350" s="2"/>
      </tp>
      <tp t="s">
        <v>#N/A N/A</v>
        <stp/>
        <stp>BDP|4146429216083409052</stp>
        <tr r="S461" s="2"/>
      </tp>
      <tp t="s">
        <v>#N/A N/A</v>
        <stp/>
        <stp>BDP|1754683719042714658</stp>
        <tr r="O1157" s="2"/>
      </tp>
      <tp t="s">
        <v>#N/A N/A</v>
        <stp/>
        <stp>BDP|8697420255413749826</stp>
        <tr r="J229" s="2"/>
      </tp>
      <tp t="s">
        <v>#N/A N/A</v>
        <stp/>
        <stp>BDP|4991743694039571183</stp>
        <tr r="E897" s="2"/>
      </tp>
      <tp t="s">
        <v>#N/A N/A</v>
        <stp/>
        <stp>BDP|7294242538431902531</stp>
        <tr r="T1435" s="2"/>
      </tp>
      <tp t="s">
        <v>#N/A N/A</v>
        <stp/>
        <stp>BDP|1210974090611250238</stp>
        <tr r="Q1652" s="2"/>
      </tp>
      <tp t="s">
        <v>#N/A N/A</v>
        <stp/>
        <stp>BDP|3952195946800528474</stp>
        <tr r="F1935" s="2"/>
      </tp>
      <tp t="s">
        <v>#N/A N/A</v>
        <stp/>
        <stp>BDP|1780675457183222310</stp>
        <tr r="D948" s="2"/>
      </tp>
      <tp t="s">
        <v>#N/A N/A</v>
        <stp/>
        <stp>BDP|1880796281655509916</stp>
        <tr r="S525" s="2"/>
      </tp>
      <tp t="s">
        <v>#N/A N/A</v>
        <stp/>
        <stp>BDP|5080675920357006430</stp>
        <tr r="F1622" s="2"/>
      </tp>
      <tp t="s">
        <v>#N/A N/A</v>
        <stp/>
        <stp>BDP|3290711102804154244</stp>
        <tr r="O679" s="2"/>
      </tp>
      <tp t="s">
        <v>#N/A N/A</v>
        <stp/>
        <stp>BDS|4976248668861061313</stp>
        <tr r="I1887" s="2"/>
      </tp>
      <tp t="s">
        <v>#N/A N/A</v>
        <stp/>
        <stp>BDP|9962382125028571252</stp>
        <tr r="J1097" s="2"/>
      </tp>
      <tp t="s">
        <v>#N/A N/A</v>
        <stp/>
        <stp>BDP|7531402160934291330</stp>
        <tr r="C2102" s="2"/>
      </tp>
      <tp t="s">
        <v>#N/A N/A</v>
        <stp/>
        <stp>BDP|4573297141483924307</stp>
        <tr r="C1032" s="2"/>
      </tp>
      <tp t="s">
        <v>#N/A N/A</v>
        <stp/>
        <stp>BDP|1738764134373635476</stp>
        <tr r="Q1460" s="2"/>
      </tp>
      <tp t="s">
        <v>#N/A N/A</v>
        <stp/>
        <stp>BDP|4888841318246824988</stp>
        <tr r="C1695" s="2"/>
      </tp>
      <tp t="s">
        <v>#N/A N/A</v>
        <stp/>
        <stp>BDP|5031060272166763674</stp>
        <tr r="P263" s="2"/>
      </tp>
      <tp t="s">
        <v>#N/A N/A</v>
        <stp/>
        <stp>BDP|7664251103311357671</stp>
        <tr r="G1907" s="2"/>
      </tp>
      <tp t="s">
        <v>#N/A N/A</v>
        <stp/>
        <stp>BDP|9585462883493167458</stp>
        <tr r="E2106" s="2"/>
      </tp>
      <tp t="s">
        <v>#N/A N/A</v>
        <stp/>
        <stp>BDP|4989190416051106738</stp>
        <tr r="P1453" s="2"/>
      </tp>
      <tp t="s">
        <v>#N/A N/A</v>
        <stp/>
        <stp>BDP|5413946131525079855</stp>
        <tr r="Q222" s="2"/>
      </tp>
      <tp t="s">
        <v>#N/A N/A</v>
        <stp/>
        <stp>BDS|8504150182810501338</stp>
        <tr r="I264" s="2"/>
      </tp>
      <tp t="s">
        <v>#N/A N/A</v>
        <stp/>
        <stp>BDS|1993904539211571818</stp>
        <tr r="I1582" s="2"/>
      </tp>
      <tp t="s">
        <v>#N/A N/A</v>
        <stp/>
        <stp>BDP|6630790106606511587</stp>
        <tr r="F457" s="2"/>
      </tp>
      <tp t="s">
        <v>#N/A N/A</v>
        <stp/>
        <stp>BDP|8744325375239314771</stp>
        <tr r="R533" s="2"/>
      </tp>
      <tp t="s">
        <v>#N/A N/A</v>
        <stp/>
        <stp>BDS|4732753072704112256</stp>
        <tr r="I1219" s="2"/>
      </tp>
      <tp t="s">
        <v>#N/A N/A</v>
        <stp/>
        <stp>BDP|6110350767688527926</stp>
        <tr r="S883" s="2"/>
      </tp>
      <tp t="s">
        <v>#N/A N/A</v>
        <stp/>
        <stp>BDP|8024417585301448741</stp>
        <tr r="K2159" s="2"/>
      </tp>
      <tp t="s">
        <v>#N/A N/A</v>
        <stp/>
        <stp>BDS|3831396003494200640</stp>
        <tr r="I2028" s="2"/>
      </tp>
      <tp t="s">
        <v>#N/A N/A</v>
        <stp/>
        <stp>BDP|1319276126621101273</stp>
        <tr r="T2059" s="2"/>
      </tp>
      <tp t="s">
        <v>#N/A N/A</v>
        <stp/>
        <stp>BDP|7076317257732523170</stp>
        <tr r="A1551" s="2"/>
      </tp>
      <tp t="s">
        <v>#N/A N/A</v>
        <stp/>
        <stp>BDP|7124346026214420031</stp>
        <tr r="A552" s="2"/>
      </tp>
      <tp t="s">
        <v>#N/A N/A</v>
        <stp/>
        <stp>BDP|8945888874995101000</stp>
        <tr r="H456" s="2"/>
      </tp>
      <tp t="s">
        <v>#N/A N/A</v>
        <stp/>
        <stp>BDP|8793444305308320619</stp>
        <tr r="R778" s="2"/>
      </tp>
      <tp t="s">
        <v>#N/A N/A</v>
        <stp/>
        <stp>BDP|4219126874612471243</stp>
        <tr r="S630" s="2"/>
      </tp>
      <tp t="s">
        <v>#N/A N/A</v>
        <stp/>
        <stp>BDS|3887184717622583364</stp>
        <tr r="I95" s="2"/>
      </tp>
      <tp t="s">
        <v>#N/A N/A</v>
        <stp/>
        <stp>BDP|6084306655846525441</stp>
        <tr r="A846" s="2"/>
      </tp>
      <tp t="s">
        <v>#N/A N/A</v>
        <stp/>
        <stp>BDP|6698657041604546239</stp>
        <tr r="H1701" s="2"/>
      </tp>
      <tp t="s">
        <v>#N/A N/A</v>
        <stp/>
        <stp>BDP|1279343107013766327</stp>
        <tr r="C1672" s="2"/>
      </tp>
      <tp t="s">
        <v>#N/A N/A</v>
        <stp/>
        <stp>BDP|1324266703495531476</stp>
        <tr r="F1599" s="2"/>
      </tp>
      <tp t="s">
        <v>#N/A N/A</v>
        <stp/>
        <stp>BDP|6165746383673667844</stp>
        <tr r="N430" s="2"/>
      </tp>
      <tp t="s">
        <v>#N/A N/A</v>
        <stp/>
        <stp>BDP|7130807055008867086</stp>
        <tr r="C145" s="2"/>
      </tp>
      <tp t="s">
        <v>#N/A N/A</v>
        <stp/>
        <stp>BDP|6746220720776246233</stp>
        <tr r="T2008" s="2"/>
      </tp>
      <tp t="s">
        <v>#N/A N/A</v>
        <stp/>
        <stp>BDP|2804193328717579487</stp>
        <tr r="F222" s="2"/>
      </tp>
      <tp t="s">
        <v>#N/A N/A</v>
        <stp/>
        <stp>BDP|3815893519291913955</stp>
        <tr r="K893" s="2"/>
      </tp>
      <tp t="s">
        <v>#N/A N/A</v>
        <stp/>
        <stp>BDP|5483376771482577139</stp>
        <tr r="M1543" s="2"/>
      </tp>
      <tp t="s">
        <v>#N/A N/A</v>
        <stp/>
        <stp>BDP|6561652287413329906</stp>
        <tr r="P1819" s="2"/>
      </tp>
      <tp t="s">
        <v>#N/A N/A</v>
        <stp/>
        <stp>BDS|1349443261487128636</stp>
        <tr r="I371" s="2"/>
      </tp>
      <tp t="s">
        <v>#N/A N/A</v>
        <stp/>
        <stp>BDP|7647444450707515331</stp>
        <tr r="G983" s="2"/>
      </tp>
      <tp t="s">
        <v>#N/A N/A</v>
        <stp/>
        <stp>BDP|1935469139327191337</stp>
        <tr r="S1397" s="2"/>
      </tp>
      <tp t="s">
        <v>#N/A N/A</v>
        <stp/>
        <stp>BDP|3006733264170664053</stp>
        <tr r="J667" s="2"/>
      </tp>
      <tp t="s">
        <v>#N/A N/A</v>
        <stp/>
        <stp>BDP|9656871490323137943</stp>
        <tr r="A1853" s="2"/>
      </tp>
      <tp t="s">
        <v>#N/A N/A</v>
        <stp/>
        <stp>BDP|8521398117490780881</stp>
        <tr r="H49" s="2"/>
      </tp>
      <tp t="s">
        <v>#N/A N/A</v>
        <stp/>
        <stp>BDP|5980473002015996614</stp>
        <tr r="P931" s="2"/>
      </tp>
      <tp t="s">
        <v>#N/A N/A</v>
        <stp/>
        <stp>BDP|9370910632037407601</stp>
        <tr r="F188" s="2"/>
      </tp>
      <tp t="s">
        <v>#N/A N/A</v>
        <stp/>
        <stp>BDP|1190196328993599319</stp>
        <tr r="R1355" s="2"/>
      </tp>
      <tp t="s">
        <v>#N/A N/A</v>
        <stp/>
        <stp>BDP|1842586169030439097</stp>
        <tr r="Q1626" s="2"/>
      </tp>
      <tp t="s">
        <v>#N/A N/A</v>
        <stp/>
        <stp>BDP|9692831756567323156</stp>
        <tr r="N2222" s="2"/>
      </tp>
      <tp t="s">
        <v>#N/A N/A</v>
        <stp/>
        <stp>BDP|2389586663934499796</stp>
        <tr r="R1600" s="2"/>
      </tp>
      <tp t="s">
        <v>#N/A N/A</v>
        <stp/>
        <stp>BDP|4215585200443906068</stp>
        <tr r="G1257" s="2"/>
      </tp>
      <tp t="s">
        <v>#N/A N/A</v>
        <stp/>
        <stp>BDP|7484473655971324508</stp>
        <tr r="P400" s="2"/>
      </tp>
      <tp t="s">
        <v>#N/A N/A</v>
        <stp/>
        <stp>BDS|3291915700500144876</stp>
        <tr r="I2002" s="2"/>
      </tp>
      <tp t="s">
        <v>#N/A N/A</v>
        <stp/>
        <stp>BDP|3837789360299592909</stp>
        <tr r="C1345" s="2"/>
      </tp>
      <tp t="s">
        <v>#N/A N/A</v>
        <stp/>
        <stp>BDP|6091329121295191073</stp>
        <tr r="F1216" s="2"/>
      </tp>
      <tp t="s">
        <v>#N/A N/A</v>
        <stp/>
        <stp>BDP|8815619985275842116</stp>
        <tr r="P1185" s="2"/>
      </tp>
      <tp t="s">
        <v>#N/A N/A</v>
        <stp/>
        <stp>BDP|5174592214612811119</stp>
        <tr r="G581" s="2"/>
      </tp>
      <tp t="s">
        <v>#N/A N/A</v>
        <stp/>
        <stp>BDP|3612295154276797094</stp>
        <tr r="N839" s="2"/>
      </tp>
      <tp t="s">
        <v>#N/A N/A</v>
        <stp/>
        <stp>BDP|2464493819676715369</stp>
        <tr r="D2125" s="2"/>
      </tp>
      <tp t="s">
        <v>#N/A N/A</v>
        <stp/>
        <stp>BDP|2037241829196009688</stp>
        <tr r="K918" s="2"/>
      </tp>
      <tp t="s">
        <v>#N/A N/A</v>
        <stp/>
        <stp>BDP|6712059184554549862</stp>
        <tr r="A1230" s="2"/>
      </tp>
      <tp t="s">
        <v>#N/A N/A</v>
        <stp/>
        <stp>BDP|7150510495950459942</stp>
        <tr r="D53" s="2"/>
      </tp>
      <tp t="s">
        <v>#N/A N/A</v>
        <stp/>
        <stp>BDP|3603635270401385133</stp>
        <tr r="A1218" s="2"/>
      </tp>
      <tp t="s">
        <v>#N/A N/A</v>
        <stp/>
        <stp>BDP|4185026442704046647</stp>
        <tr r="K1967" s="2"/>
      </tp>
      <tp t="s">
        <v>#N/A N/A</v>
        <stp/>
        <stp>BDP|8399931570135278174</stp>
        <tr r="R626" s="2"/>
      </tp>
      <tp t="s">
        <v>#N/A N/A</v>
        <stp/>
        <stp>BDP|8166053675905120854</stp>
        <tr r="C1559" s="2"/>
      </tp>
      <tp t="s">
        <v>#N/A N/A</v>
        <stp/>
        <stp>BDP|7808769402091838310</stp>
        <tr r="E232" s="2"/>
      </tp>
      <tp t="s">
        <v>#N/A N/A</v>
        <stp/>
        <stp>BDP|6022048467680516237</stp>
        <tr r="S1814" s="2"/>
      </tp>
      <tp t="s">
        <v>#N/A N/A</v>
        <stp/>
        <stp>BDP|4660233512842328715</stp>
        <tr r="T1804" s="2"/>
      </tp>
      <tp t="s">
        <v>#N/A N/A</v>
        <stp/>
        <stp>BDP|3706199572250962700</stp>
        <tr r="D1466" s="2"/>
      </tp>
      <tp t="s">
        <v>#N/A N/A</v>
        <stp/>
        <stp>BDP|1854988384881589340</stp>
        <tr r="K883" s="2"/>
      </tp>
      <tp t="s">
        <v>#N/A N/A</v>
        <stp/>
        <stp>BDP|6394045555025335442</stp>
        <tr r="H1520" s="2"/>
      </tp>
      <tp t="s">
        <v>#N/A N/A</v>
        <stp/>
        <stp>BDP|3257612894298004628</stp>
        <tr r="J1718" s="2"/>
      </tp>
      <tp t="s">
        <v>#N/A N/A</v>
        <stp/>
        <stp>BDP|7747683866765985055</stp>
        <tr r="M229" s="2"/>
      </tp>
      <tp t="s">
        <v>#N/A N/A</v>
        <stp/>
        <stp>BDP|7407069225282320514</stp>
        <tr r="T259" s="2"/>
      </tp>
      <tp t="s">
        <v>#N/A N/A</v>
        <stp/>
        <stp>BDP|2145278349363368594</stp>
        <tr r="M2156" s="2"/>
      </tp>
      <tp t="s">
        <v>#N/A N/A</v>
        <stp/>
        <stp>BDP|6880293994837290827</stp>
        <tr r="J1498" s="2"/>
      </tp>
      <tp t="s">
        <v>#N/A N/A</v>
        <stp/>
        <stp>BDP|8346355446808162543</stp>
        <tr r="Q294" s="2"/>
      </tp>
      <tp t="s">
        <v>#N/A N/A</v>
        <stp/>
        <stp>BDP|5164647396391192977</stp>
        <tr r="A1850" s="2"/>
      </tp>
      <tp t="s">
        <v>#N/A N/A</v>
        <stp/>
        <stp>BDP|4581514820454946580</stp>
        <tr r="H965" s="2"/>
      </tp>
      <tp t="s">
        <v>#N/A N/A</v>
        <stp/>
        <stp>BDP|6557470644865102122</stp>
        <tr r="Q1754" s="2"/>
      </tp>
      <tp t="s">
        <v>#N/A N/A</v>
        <stp/>
        <stp>BDP|3591676846377819492</stp>
        <tr r="K942" s="2"/>
      </tp>
      <tp t="s">
        <v>#N/A N/A</v>
        <stp/>
        <stp>BDP|6537155678811401391</stp>
        <tr r="A225" s="2"/>
      </tp>
      <tp t="s">
        <v>#N/A N/A</v>
        <stp/>
        <stp>BDP|3464829465026003961</stp>
        <tr r="D1396" s="2"/>
      </tp>
      <tp t="s">
        <v>#N/A N/A</v>
        <stp/>
        <stp>BDP|7186237664498018934</stp>
        <tr r="D1134" s="2"/>
      </tp>
      <tp t="s">
        <v>#N/A N/A</v>
        <stp/>
        <stp>BDP|8161379191372734251</stp>
        <tr r="H1353" s="2"/>
      </tp>
      <tp t="s">
        <v>#N/A N/A</v>
        <stp/>
        <stp>BDP|1100932170699382442</stp>
        <tr r="R1102" s="2"/>
      </tp>
      <tp t="s">
        <v>#N/A N/A</v>
        <stp/>
        <stp>BDP|3747830990743066314</stp>
        <tr r="A2191" s="2"/>
      </tp>
      <tp t="s">
        <v>#N/A N/A</v>
        <stp/>
        <stp>BDP|9850824276286872215</stp>
        <tr r="J682" s="2"/>
      </tp>
      <tp t="s">
        <v>#N/A N/A</v>
        <stp/>
        <stp>BDP|8586983723171280092</stp>
        <tr r="K924" s="2"/>
      </tp>
      <tp t="s">
        <v>#N/A N/A</v>
        <stp/>
        <stp>BDP|6537102354323225360</stp>
        <tr r="S2072" s="2"/>
      </tp>
      <tp t="s">
        <v>#N/A N/A</v>
        <stp/>
        <stp>BDP|7633466691990752839</stp>
        <tr r="S1154" s="2"/>
      </tp>
      <tp t="s">
        <v>#N/A N/A</v>
        <stp/>
        <stp>BDP|3264148672040199707</stp>
        <tr r="D1463" s="2"/>
      </tp>
      <tp t="s">
        <v>#N/A N/A</v>
        <stp/>
        <stp>BDP|5631100873885929499</stp>
        <tr r="O1974" s="2"/>
      </tp>
      <tp t="s">
        <v>#N/A N/A</v>
        <stp/>
        <stp>BDP|6539469636064391733</stp>
        <tr r="P937" s="2"/>
      </tp>
      <tp t="s">
        <v>#N/A N/A</v>
        <stp/>
        <stp>BDP|1495659464394534753</stp>
        <tr r="G548" s="2"/>
      </tp>
      <tp t="s">
        <v>#N/A N/A</v>
        <stp/>
        <stp>BDP|6509679022829562904</stp>
        <tr r="J1376" s="2"/>
      </tp>
      <tp t="s">
        <v>#N/A N/A</v>
        <stp/>
        <stp>BDP|7871752540196034084</stp>
        <tr r="M1772" s="2"/>
      </tp>
      <tp t="s">
        <v>#N/A N/A</v>
        <stp/>
        <stp>BDP|3852968992049164888</stp>
        <tr r="S1106" s="2"/>
      </tp>
      <tp t="s">
        <v>#N/A N/A</v>
        <stp/>
        <stp>BDP|1271952231239646051</stp>
        <tr r="S134" s="2"/>
      </tp>
      <tp t="s">
        <v>#N/A N/A</v>
        <stp/>
        <stp>BDP|7661366768152923241</stp>
        <tr r="E1172" s="2"/>
      </tp>
      <tp t="s">
        <v>#N/A N/A</v>
        <stp/>
        <stp>BDP|6615211754177001464</stp>
        <tr r="G1464" s="2"/>
      </tp>
      <tp t="s">
        <v>#N/A N/A</v>
        <stp/>
        <stp>BDP|4492266032715286275</stp>
        <tr r="S1763" s="2"/>
      </tp>
      <tp t="s">
        <v>#N/A N/A</v>
        <stp/>
        <stp>BDP|5780743242131376578</stp>
        <tr r="C1589" s="2"/>
      </tp>
      <tp t="s">
        <v>#N/A N/A</v>
        <stp/>
        <stp>BDP|6481748273814555038</stp>
        <tr r="K2196" s="2"/>
      </tp>
      <tp t="s">
        <v>#N/A N/A</v>
        <stp/>
        <stp>BDP|6824685675625442040</stp>
        <tr r="R43" s="2"/>
      </tp>
      <tp t="s">
        <v>#N/A N/A</v>
        <stp/>
        <stp>BDP|8062984533032748293</stp>
        <tr r="S775" s="2"/>
      </tp>
      <tp t="s">
        <v>#N/A N/A</v>
        <stp/>
        <stp>BDP|7428856820676058942</stp>
        <tr r="T227" s="2"/>
      </tp>
      <tp t="s">
        <v>#N/A N/A</v>
        <stp/>
        <stp>BDP|9374472230174269837</stp>
        <tr r="T394" s="2"/>
      </tp>
      <tp t="s">
        <v>#N/A N/A</v>
        <stp/>
        <stp>BDP|3146722848427706597</stp>
        <tr r="F1348" s="2"/>
      </tp>
      <tp t="s">
        <v>#N/A N/A</v>
        <stp/>
        <stp>BDP|8365261011778654171</stp>
        <tr r="P1434" s="2"/>
      </tp>
      <tp t="s">
        <v>#N/A N/A</v>
        <stp/>
        <stp>BDP|8433900432434166425</stp>
        <tr r="P1971" s="2"/>
      </tp>
      <tp t="s">
        <v>#N/A N/A</v>
        <stp/>
        <stp>BDP|7269215343781589208</stp>
        <tr r="O2130" s="2"/>
      </tp>
      <tp t="s">
        <v>#N/A N/A</v>
        <stp/>
        <stp>BDP|3742871390348443815</stp>
        <tr r="S966" s="2"/>
      </tp>
      <tp t="s">
        <v>#N/A N/A</v>
        <stp/>
        <stp>BDP|1983698090204444811</stp>
        <tr r="R356" s="2"/>
      </tp>
      <tp t="s">
        <v>#N/A N/A</v>
        <stp/>
        <stp>BDP|7001381402514623291</stp>
        <tr r="G1888" s="2"/>
      </tp>
      <tp t="s">
        <v>#N/A N/A</v>
        <stp/>
        <stp>BDP|7074407774377363122</stp>
        <tr r="Q1215" s="2"/>
      </tp>
      <tp t="s">
        <v>#N/A N/A</v>
        <stp/>
        <stp>BDP|9550612705755076841</stp>
        <tr r="G1895" s="2"/>
      </tp>
      <tp t="s">
        <v>#N/A N/A</v>
        <stp/>
        <stp>BDP|4570015523771777554</stp>
        <tr r="O1374" s="2"/>
      </tp>
      <tp t="s">
        <v>#N/A N/A</v>
        <stp/>
        <stp>BDP|4331408422478513818</stp>
        <tr r="K1536" s="2"/>
      </tp>
      <tp t="s">
        <v>#N/A N/A</v>
        <stp/>
        <stp>BDP|1097914893137231459</stp>
        <tr r="E1138" s="2"/>
      </tp>
      <tp t="s">
        <v>#N/A N/A</v>
        <stp/>
        <stp>BDP|2152183954824887000</stp>
        <tr r="S188" s="2"/>
      </tp>
      <tp t="s">
        <v>#N/A N/A</v>
        <stp/>
        <stp>BDP|6506830696392007755</stp>
        <tr r="J927" s="2"/>
      </tp>
      <tp t="s">
        <v>#N/A N/A</v>
        <stp/>
        <stp>BDP|6088704474866512243</stp>
        <tr r="F1246" s="2"/>
      </tp>
      <tp t="s">
        <v>#N/A N/A</v>
        <stp/>
        <stp>BDP|9461235982404621563</stp>
        <tr r="O1116" s="2"/>
      </tp>
      <tp t="s">
        <v>#N/A N/A</v>
        <stp/>
        <stp>BDS|3336607729933542753</stp>
        <tr r="I888" s="2"/>
      </tp>
      <tp t="s">
        <v>#N/A N/A</v>
        <stp/>
        <stp>BDP|4308305596779983463</stp>
        <tr r="D1717" s="2"/>
      </tp>
      <tp t="s">
        <v>#N/A N/A</v>
        <stp/>
        <stp>BDP|6062594965895456327</stp>
        <tr r="G569" s="2"/>
      </tp>
      <tp t="s">
        <v>#N/A N/A</v>
        <stp/>
        <stp>BDS|1623432314320285790</stp>
        <tr r="I1214" s="2"/>
      </tp>
      <tp t="s">
        <v>#N/A N/A</v>
        <stp/>
        <stp>BDP|3755283846896234015</stp>
        <tr r="A508" s="2"/>
      </tp>
      <tp t="s">
        <v>#N/A N/A</v>
        <stp/>
        <stp>BDP|5185864867831993935</stp>
        <tr r="M1170" s="2"/>
      </tp>
      <tp t="s">
        <v>#N/A N/A</v>
        <stp/>
        <stp>BDP|2710432999354298852</stp>
        <tr r="F287" s="2"/>
      </tp>
      <tp t="s">
        <v>#N/A N/A</v>
        <stp/>
        <stp>BDP|8393025230449340187</stp>
        <tr r="H1121" s="2"/>
      </tp>
      <tp t="s">
        <v>#N/A N/A</v>
        <stp/>
        <stp>BDP|1717890735428885196</stp>
        <tr r="R1832" s="2"/>
      </tp>
      <tp t="s">
        <v>#N/A N/A</v>
        <stp/>
        <stp>BDP|2953057716778693867</stp>
        <tr r="G1283" s="2"/>
      </tp>
      <tp t="s">
        <v>#N/A N/A</v>
        <stp/>
        <stp>BDP|5562343288929243413</stp>
        <tr r="F661" s="2"/>
      </tp>
      <tp t="s">
        <v>#N/A N/A</v>
        <stp/>
        <stp>BDP|3444687019877679097</stp>
        <tr r="E200" s="2"/>
      </tp>
      <tp t="s">
        <v>#N/A N/A</v>
        <stp/>
        <stp>BDP|7460854508475653959</stp>
        <tr r="O2256" s="2"/>
      </tp>
      <tp t="s">
        <v>#N/A N/A</v>
        <stp/>
        <stp>BDS|3752524306727072298</stp>
        <tr r="I1967" s="2"/>
      </tp>
      <tp t="s">
        <v>#N/A N/A</v>
        <stp/>
        <stp>BDP|8535225328239677239</stp>
        <tr r="H367" s="2"/>
      </tp>
      <tp t="s">
        <v>#N/A N/A</v>
        <stp/>
        <stp>BDP|9694644598263631661</stp>
        <tr r="J1486" s="2"/>
      </tp>
      <tp t="s">
        <v>#N/A N/A</v>
        <stp/>
        <stp>BDS|6061149919360342546</stp>
        <tr r="I706" s="2"/>
      </tp>
      <tp t="s">
        <v>#N/A N/A</v>
        <stp/>
        <stp>BDP|5313005749582154019</stp>
        <tr r="T13" s="2"/>
      </tp>
      <tp t="s">
        <v>#N/A N/A</v>
        <stp/>
        <stp>BDP|7354744664997901205</stp>
        <tr r="F470" s="2"/>
      </tp>
      <tp t="s">
        <v>#N/A N/A</v>
        <stp/>
        <stp>BDP|9008220786879863963</stp>
        <tr r="T868" s="2"/>
      </tp>
      <tp t="s">
        <v>#N/A N/A</v>
        <stp/>
        <stp>BDP|5397780357082308655</stp>
        <tr r="O1003" s="2"/>
      </tp>
      <tp t="s">
        <v>#N/A N/A</v>
        <stp/>
        <stp>BDP|6990081800244938125</stp>
        <tr r="S1414" s="2"/>
      </tp>
      <tp t="s">
        <v>#N/A N/A</v>
        <stp/>
        <stp>BDP|8264982657641562628</stp>
        <tr r="M531" s="2"/>
      </tp>
      <tp t="s">
        <v>#N/A N/A</v>
        <stp/>
        <stp>BDS|8612654076628985264</stp>
        <tr r="I1366" s="2"/>
      </tp>
      <tp t="s">
        <v>#N/A N/A</v>
        <stp/>
        <stp>BDP|7104380114606384042</stp>
        <tr r="A2186" s="2"/>
      </tp>
      <tp t="s">
        <v>#N/A N/A</v>
        <stp/>
        <stp>BDP|6935974663053399942</stp>
        <tr r="K947" s="2"/>
      </tp>
      <tp t="s">
        <v>#N/A N/A</v>
        <stp/>
        <stp>BDP|9228610606645603998</stp>
        <tr r="K378" s="2"/>
      </tp>
      <tp t="s">
        <v>#N/A N/A</v>
        <stp/>
        <stp>BDP|1785893977229614454</stp>
        <tr r="O1892" s="2"/>
      </tp>
      <tp t="s">
        <v>#N/A N/A</v>
        <stp/>
        <stp>BDP|9370999023098429973</stp>
        <tr r="N4" s="2"/>
      </tp>
      <tp t="s">
        <v>#N/A N/A</v>
        <stp/>
        <stp>BDP|9777995652615333358</stp>
        <tr r="R1436" s="2"/>
      </tp>
      <tp t="s">
        <v>#N/A N/A</v>
        <stp/>
        <stp>BDP|6563288760742349342</stp>
        <tr r="D8" s="2"/>
      </tp>
      <tp t="s">
        <v>#N/A N/A</v>
        <stp/>
        <stp>BDP|4602054635945534190</stp>
        <tr r="P1840" s="2"/>
      </tp>
      <tp t="s">
        <v>#N/A N/A</v>
        <stp/>
        <stp>BDP|4751201171724496684</stp>
        <tr r="M330" s="2"/>
      </tp>
      <tp t="s">
        <v>#N/A N/A</v>
        <stp/>
        <stp>BDP|2049722922840891429</stp>
        <tr r="F1874" s="2"/>
      </tp>
      <tp t="s">
        <v>#N/A N/A</v>
        <stp/>
        <stp>BDP|6650384932352749718</stp>
        <tr r="S990" s="2"/>
      </tp>
      <tp t="s">
        <v>#N/A N/A</v>
        <stp/>
        <stp>BDP|8442059291647963533</stp>
        <tr r="S369" s="2"/>
      </tp>
      <tp t="s">
        <v>#N/A N/A</v>
        <stp/>
        <stp>BDP|9390884563564652043</stp>
        <tr r="J2067" s="2"/>
      </tp>
      <tp t="s">
        <v>#N/A N/A</v>
        <stp/>
        <stp>BDP|9753318290411441183</stp>
        <tr r="Q1331" s="2"/>
      </tp>
      <tp t="s">
        <v>#N/A N/A</v>
        <stp/>
        <stp>BDP|1178318554775806166</stp>
        <tr r="Q599" s="2"/>
      </tp>
      <tp t="s">
        <v>#N/A N/A</v>
        <stp/>
        <stp>BDP|7845931005534361977</stp>
        <tr r="Q1374" s="2"/>
      </tp>
      <tp t="s">
        <v>#N/A N/A</v>
        <stp/>
        <stp>BDP|9484913139639587934</stp>
        <tr r="S1762" s="2"/>
      </tp>
      <tp t="s">
        <v>#N/A N/A</v>
        <stp/>
        <stp>BDP|6908447700867674619</stp>
        <tr r="J1029" s="2"/>
      </tp>
      <tp t="s">
        <v>#N/A N/A</v>
        <stp/>
        <stp>BDP|8027575972430710983</stp>
        <tr r="R1713" s="2"/>
      </tp>
      <tp t="s">
        <v>#N/A N/A</v>
        <stp/>
        <stp>BDP|1747630840674657486</stp>
        <tr r="M2195" s="2"/>
      </tp>
      <tp t="s">
        <v>#N/A N/A</v>
        <stp/>
        <stp>BDP|7040573405487953617</stp>
        <tr r="T96" s="2"/>
      </tp>
      <tp t="s">
        <v>#N/A N/A</v>
        <stp/>
        <stp>BDP|5929143145364525771</stp>
        <tr r="H1906" s="2"/>
      </tp>
      <tp t="s">
        <v>#N/A N/A</v>
        <stp/>
        <stp>BDP|7594741176580856459</stp>
        <tr r="R2005" s="2"/>
      </tp>
      <tp t="s">
        <v>#N/A N/A</v>
        <stp/>
        <stp>BDP|6836542208775905576</stp>
        <tr r="S411" s="2"/>
      </tp>
      <tp t="s">
        <v>#N/A N/A</v>
        <stp/>
        <stp>BDP|8413414468508281158</stp>
        <tr r="P2234" s="2"/>
      </tp>
      <tp t="s">
        <v>#N/A N/A</v>
        <stp/>
        <stp>BDP|4021434346137806077</stp>
        <tr r="G1701" s="2"/>
      </tp>
      <tp t="s">
        <v>#N/A N/A</v>
        <stp/>
        <stp>BDP|8974839946293643408</stp>
        <tr r="F1066" s="2"/>
      </tp>
      <tp t="s">
        <v>#N/A N/A</v>
        <stp/>
        <stp>BDP|1847265201691456112</stp>
        <tr r="R1880" s="2"/>
      </tp>
      <tp t="s">
        <v>#N/A N/A</v>
        <stp/>
        <stp>BDP|9963582142652171986</stp>
        <tr r="K228" s="2"/>
      </tp>
      <tp t="s">
        <v>#N/A N/A</v>
        <stp/>
        <stp>BDP|8693311591726584794</stp>
        <tr r="R573" s="2"/>
      </tp>
      <tp t="s">
        <v>#N/A N/A</v>
        <stp/>
        <stp>BDP|2892756966965545541</stp>
        <tr r="J988" s="2"/>
      </tp>
      <tp t="s">
        <v>#N/A N/A</v>
        <stp/>
        <stp>BDS|8233743398777106256</stp>
        <tr r="I1551" s="2"/>
      </tp>
      <tp t="s">
        <v>#N/A N/A</v>
        <stp/>
        <stp>BDP|1691212878903700420</stp>
        <tr r="N316" s="2"/>
      </tp>
      <tp t="s">
        <v>#N/A N/A</v>
        <stp/>
        <stp>BDP|1808356272237250173</stp>
        <tr r="T431" s="2"/>
      </tp>
      <tp t="s">
        <v>#N/A N/A</v>
        <stp/>
        <stp>BDP|2288384945184490216</stp>
        <tr r="G2068" s="2"/>
      </tp>
      <tp t="s">
        <v>#N/A N/A</v>
        <stp/>
        <stp>BDS|5908022073129340816</stp>
        <tr r="I1236" s="2"/>
      </tp>
      <tp t="s">
        <v>#N/A N/A</v>
        <stp/>
        <stp>BDP|9427573204397578880</stp>
        <tr r="A1857" s="2"/>
      </tp>
      <tp t="s">
        <v>#N/A N/A</v>
        <stp/>
        <stp>BDP|3932412502252804686</stp>
        <tr r="P1106" s="2"/>
      </tp>
      <tp t="s">
        <v>#N/A N/A</v>
        <stp/>
        <stp>BDP|8403870174072833656</stp>
        <tr r="Q1845" s="2"/>
      </tp>
      <tp t="s">
        <v>#N/A N/A</v>
        <stp/>
        <stp>BDP|5083104405503795485</stp>
        <tr r="A1073" s="2"/>
      </tp>
      <tp t="s">
        <v>#N/A N/A</v>
        <stp/>
        <stp>BDP|3139373555472154484</stp>
        <tr r="G40" s="2"/>
      </tp>
      <tp t="s">
        <v>#N/A N/A</v>
        <stp/>
        <stp>BDP|5632264459640248110</stp>
        <tr r="G1267" s="2"/>
      </tp>
      <tp t="s">
        <v>#N/A N/A</v>
        <stp/>
        <stp>BDP|6307001512470800431</stp>
        <tr r="H1863" s="2"/>
      </tp>
      <tp t="s">
        <v>#N/A N/A</v>
        <stp/>
        <stp>BDP|6402774732168895938</stp>
        <tr r="N950" s="2"/>
      </tp>
      <tp t="s">
        <v>#N/A N/A</v>
        <stp/>
        <stp>BDP|2632786018037421083</stp>
        <tr r="O1582" s="2"/>
      </tp>
      <tp t="s">
        <v>#N/A N/A</v>
        <stp/>
        <stp>BDP|3540383246734631377</stp>
        <tr r="D326" s="2"/>
      </tp>
      <tp t="s">
        <v>#N/A N/A</v>
        <stp/>
        <stp>BDP|2431485163107121441</stp>
        <tr r="C1188" s="2"/>
      </tp>
      <tp t="s">
        <v>#N/A N/A</v>
        <stp/>
        <stp>BDP|6708790869755969145</stp>
        <tr r="R138" s="2"/>
      </tp>
      <tp t="s">
        <v>#N/A N/A</v>
        <stp/>
        <stp>BDP|9479567184300967751</stp>
        <tr r="N1178" s="2"/>
      </tp>
      <tp t="s">
        <v>#N/A N/A</v>
        <stp/>
        <stp>BDP|2760380696179648257</stp>
        <tr r="D1389" s="2"/>
      </tp>
      <tp t="s">
        <v>#N/A N/A</v>
        <stp/>
        <stp>BDS|8035097422450870993</stp>
        <tr r="I997" s="2"/>
      </tp>
      <tp t="s">
        <v>#N/A N/A</v>
        <stp/>
        <stp>BDP|2689873891720896022</stp>
        <tr r="N1043" s="2"/>
      </tp>
      <tp t="s">
        <v>#N/A N/A</v>
        <stp/>
        <stp>BDP|7871306171108345803</stp>
        <tr r="K1853" s="2"/>
      </tp>
      <tp t="s">
        <v>#N/A N/A</v>
        <stp/>
        <stp>BDP|3811899625868730294</stp>
        <tr r="T2226" s="2"/>
      </tp>
      <tp t="s">
        <v>#N/A N/A</v>
        <stp/>
        <stp>BDP|6700763778413694659</stp>
        <tr r="F1642" s="2"/>
      </tp>
      <tp t="s">
        <v>#N/A N/A</v>
        <stp/>
        <stp>BDP|9447035433420869964</stp>
        <tr r="C663" s="2"/>
      </tp>
      <tp t="s">
        <v>#N/A N/A</v>
        <stp/>
        <stp>BDP|8369281091952917298</stp>
        <tr r="K1430" s="2"/>
      </tp>
      <tp t="s">
        <v>#N/A N/A</v>
        <stp/>
        <stp>BDP|6491396118310631799</stp>
        <tr r="Q1203" s="2"/>
      </tp>
      <tp t="s">
        <v>#N/A N/A</v>
        <stp/>
        <stp>BDP|5646559657726943078</stp>
        <tr r="T103" s="2"/>
      </tp>
      <tp t="s">
        <v>#N/A N/A</v>
        <stp/>
        <stp>BDP|5394187366664356554</stp>
        <tr r="P2248" s="2"/>
      </tp>
      <tp t="s">
        <v>#N/A N/A</v>
        <stp/>
        <stp>BDP|2120779539566611326</stp>
        <tr r="M508" s="2"/>
      </tp>
      <tp t="s">
        <v>#N/A N/A</v>
        <stp/>
        <stp>BDP|9828472296015319218</stp>
        <tr r="A2109" s="2"/>
      </tp>
      <tp t="s">
        <v>#N/A N/A</v>
        <stp/>
        <stp>BDP|7334403308430189015</stp>
        <tr r="M1213" s="2"/>
      </tp>
      <tp t="s">
        <v>#N/A N/A</v>
        <stp/>
        <stp>BDP|2183834799931188114</stp>
        <tr r="M2168" s="2"/>
      </tp>
      <tp t="s">
        <v>#N/A N/A</v>
        <stp/>
        <stp>BDP|9106466439424028959</stp>
        <tr r="N1816" s="2"/>
      </tp>
      <tp t="s">
        <v>#N/A N/A</v>
        <stp/>
        <stp>BDP|8612528404849287791</stp>
        <tr r="G1306" s="2"/>
      </tp>
      <tp t="s">
        <v>#N/A N/A</v>
        <stp/>
        <stp>BDS|2283217483992282995</stp>
        <tr r="I954" s="2"/>
      </tp>
      <tp t="s">
        <v>#N/A N/A</v>
        <stp/>
        <stp>BDS|5459000914987214096</stp>
        <tr r="I941" s="2"/>
      </tp>
      <tp t="s">
        <v>#N/A N/A</v>
        <stp/>
        <stp>BDP|1789711507417978231</stp>
        <tr r="G620" s="2"/>
      </tp>
      <tp t="s">
        <v>#N/A N/A</v>
        <stp/>
        <stp>BDP|2387276380703672895</stp>
        <tr r="H1568" s="2"/>
      </tp>
      <tp t="s">
        <v>#N/A N/A</v>
        <stp/>
        <stp>BDP|7934709734650631004</stp>
        <tr r="M495" s="2"/>
      </tp>
      <tp t="s">
        <v>#N/A N/A</v>
        <stp/>
        <stp>BDP|1880355757657468356</stp>
        <tr r="K2165" s="2"/>
      </tp>
      <tp t="s">
        <v>#N/A N/A</v>
        <stp/>
        <stp>BDP|3066352977722009699</stp>
        <tr r="F2105" s="2"/>
      </tp>
      <tp t="s">
        <v>#N/A N/A</v>
        <stp/>
        <stp>BDP|6013607913832130097</stp>
        <tr r="G815" s="2"/>
      </tp>
      <tp t="s">
        <v>#N/A N/A</v>
        <stp/>
        <stp>BDP|9978244496341781072</stp>
        <tr r="K136" s="2"/>
      </tp>
      <tp t="s">
        <v>#N/A N/A</v>
        <stp/>
        <stp>BDP|1195535728507739260</stp>
        <tr r="H1341" s="2"/>
      </tp>
      <tp t="s">
        <v>#N/A N/A</v>
        <stp/>
        <stp>BDP|4418755880478951038</stp>
        <tr r="T765" s="2"/>
      </tp>
      <tp t="s">
        <v>#N/A N/A</v>
        <stp/>
        <stp>BDP|6989736369996823208</stp>
        <tr r="N1068" s="2"/>
      </tp>
      <tp t="s">
        <v>#N/A N/A</v>
        <stp/>
        <stp>BDP|7560757894192951868</stp>
        <tr r="D1184" s="2"/>
      </tp>
      <tp t="s">
        <v>#N/A N/A</v>
        <stp/>
        <stp>BDP|4128484257730695635</stp>
        <tr r="E50" s="2"/>
      </tp>
      <tp t="s">
        <v>#N/A N/A</v>
        <stp/>
        <stp>BDP|9331892097613189872</stp>
        <tr r="O894" s="2"/>
      </tp>
      <tp t="s">
        <v>#N/A N/A</v>
        <stp/>
        <stp>BDP|9642512992406671088</stp>
        <tr r="R817" s="2"/>
      </tp>
      <tp t="s">
        <v>#N/A N/A</v>
        <stp/>
        <stp>BDP|1357508758032367037</stp>
        <tr r="O1925" s="2"/>
      </tp>
      <tp t="s">
        <v>#N/A N/A</v>
        <stp/>
        <stp>BDP|4347852518917623931</stp>
        <tr r="T580" s="2"/>
      </tp>
      <tp t="s">
        <v>#N/A N/A</v>
        <stp/>
        <stp>BDP|2710084314297929799</stp>
        <tr r="C459" s="2"/>
      </tp>
      <tp t="s">
        <v>#N/A N/A</v>
        <stp/>
        <stp>BDP|4071530905446593486</stp>
        <tr r="K1026" s="2"/>
      </tp>
      <tp t="s">
        <v>#N/A N/A</v>
        <stp/>
        <stp>BDP|9288725218255227911</stp>
        <tr r="Q1962" s="2"/>
      </tp>
      <tp t="s">
        <v>#N/A N/A</v>
        <stp/>
        <stp>BDP|8101636599850537452</stp>
        <tr r="G928" s="2"/>
      </tp>
      <tp t="s">
        <v>#N/A N/A</v>
        <stp/>
        <stp>BDP|3733895440699189547</stp>
        <tr r="G892" s="2"/>
      </tp>
      <tp t="s">
        <v>#N/A N/A</v>
        <stp/>
        <stp>BDP|8576852599403479969</stp>
        <tr r="F113" s="2"/>
      </tp>
      <tp t="s">
        <v>#N/A N/A</v>
        <stp/>
        <stp>BDP|2341416558064349429</stp>
        <tr r="J220" s="2"/>
      </tp>
      <tp t="s">
        <v>#N/A N/A</v>
        <stp/>
        <stp>BDP|2867637070934851483</stp>
        <tr r="P137" s="2"/>
      </tp>
      <tp t="s">
        <v>#N/A N/A</v>
        <stp/>
        <stp>BDP|7421577694421580997</stp>
        <tr r="A103" s="2"/>
      </tp>
      <tp t="s">
        <v>#N/A N/A</v>
        <stp/>
        <stp>BDP|4597316722065507381</stp>
        <tr r="A1560" s="2"/>
      </tp>
      <tp t="s">
        <v>#N/A N/A</v>
        <stp/>
        <stp>BDP|3203296787829094379</stp>
        <tr r="F1725" s="2"/>
      </tp>
      <tp t="s">
        <v>#N/A N/A</v>
        <stp/>
        <stp>BDP|4780013044667074494</stp>
        <tr r="H1909" s="2"/>
      </tp>
      <tp t="s">
        <v>#N/A N/A</v>
        <stp/>
        <stp>BDP|1353313228481185204</stp>
        <tr r="T2054" s="2"/>
      </tp>
      <tp t="s">
        <v>#N/A N/A</v>
        <stp/>
        <stp>BDP|4631776823074931608</stp>
        <tr r="Q141" s="2"/>
      </tp>
      <tp t="s">
        <v>#N/A N/A</v>
        <stp/>
        <stp>BDP|2620599726823043526</stp>
        <tr r="G497" s="2"/>
      </tp>
      <tp t="s">
        <v>#N/A N/A</v>
        <stp/>
        <stp>BDP|6527549364065822368</stp>
        <tr r="S194" s="2"/>
      </tp>
      <tp t="s">
        <v>#N/A N/A</v>
        <stp/>
        <stp>BDP|2460592437091932686</stp>
        <tr r="J564" s="2"/>
      </tp>
      <tp t="s">
        <v>#N/A N/A</v>
        <stp/>
        <stp>BDP|4224797477394066371</stp>
        <tr r="Q1874" s="2"/>
      </tp>
      <tp t="s">
        <v>#N/A N/A</v>
        <stp/>
        <stp>BDP|7637482423404509634</stp>
        <tr r="O1015" s="2"/>
      </tp>
      <tp t="s">
        <v>#N/A N/A</v>
        <stp/>
        <stp>BDP|1969650901236708215</stp>
        <tr r="F401" s="2"/>
      </tp>
      <tp t="s">
        <v>#N/A N/A</v>
        <stp/>
        <stp>BDP|4041581730424712540</stp>
        <tr r="R311" s="2"/>
      </tp>
      <tp t="s">
        <v>#N/A N/A</v>
        <stp/>
        <stp>BDP|6080269623603678680</stp>
        <tr r="F568" s="2"/>
      </tp>
      <tp t="s">
        <v>#N/A N/A</v>
        <stp/>
        <stp>BDP|6110665489988152348</stp>
        <tr r="R1182" s="2"/>
      </tp>
      <tp t="s">
        <v>#N/A N/A</v>
        <stp/>
        <stp>BDP|7696180869127482480</stp>
        <tr r="Q1399" s="2"/>
      </tp>
      <tp t="s">
        <v>#N/A N/A</v>
        <stp/>
        <stp>BDP|2671509348781283171</stp>
        <tr r="A593" s="2"/>
      </tp>
      <tp t="s">
        <v>#N/A N/A</v>
        <stp/>
        <stp>BDP|5911015792789545647</stp>
        <tr r="F731" s="2"/>
      </tp>
      <tp t="s">
        <v>#N/A N/A</v>
        <stp/>
        <stp>BDP|8375057966919939429</stp>
        <tr r="E715" s="2"/>
      </tp>
      <tp t="s">
        <v>#N/A N/A</v>
        <stp/>
        <stp>BDP|3404878518868512152</stp>
        <tr r="M1585" s="2"/>
      </tp>
      <tp t="s">
        <v>#N/A N/A</v>
        <stp/>
        <stp>BDP|2996156104392768249</stp>
        <tr r="F1766" s="2"/>
      </tp>
      <tp t="s">
        <v>#N/A N/A</v>
        <stp/>
        <stp>BDP|3582038929551409306</stp>
        <tr r="C789" s="2"/>
      </tp>
      <tp t="s">
        <v>#N/A N/A</v>
        <stp/>
        <stp>BDP|1127941116559140391</stp>
        <tr r="F510" s="2"/>
      </tp>
      <tp t="s">
        <v>#N/A N/A</v>
        <stp/>
        <stp>BDS|6483739133682847373</stp>
        <tr r="I898" s="2"/>
      </tp>
      <tp t="s">
        <v>#N/A N/A</v>
        <stp/>
        <stp>BDP|7870767234408455853</stp>
        <tr r="J339" s="2"/>
      </tp>
      <tp t="s">
        <v>#N/A N/A</v>
        <stp/>
        <stp>BDP|4322231784098810570</stp>
        <tr r="P2024" s="2"/>
      </tp>
      <tp t="s">
        <v>#N/A N/A</v>
        <stp/>
        <stp>BDP|3274553756145217581</stp>
        <tr r="D1167" s="2"/>
      </tp>
      <tp t="s">
        <v>#N/A N/A</v>
        <stp/>
        <stp>BDP|7387309360576883709</stp>
        <tr r="C1715" s="2"/>
      </tp>
      <tp t="s">
        <v>#N/A N/A</v>
        <stp/>
        <stp>BDP|1940665564233568150</stp>
        <tr r="G1570" s="2"/>
      </tp>
      <tp t="s">
        <v>#N/A N/A</v>
        <stp/>
        <stp>BDP|1334551492766719881</stp>
        <tr r="A282" s="2"/>
      </tp>
      <tp t="s">
        <v>#N/A N/A</v>
        <stp/>
        <stp>BDP|5691995585584484354</stp>
        <tr r="D247" s="2"/>
      </tp>
      <tp t="s">
        <v>#N/A N/A</v>
        <stp/>
        <stp>BDP|4489416329865047477</stp>
        <tr r="N151" s="2"/>
      </tp>
      <tp t="s">
        <v>#N/A N/A</v>
        <stp/>
        <stp>BDP|6758796646804468279</stp>
        <tr r="H2019" s="2"/>
      </tp>
      <tp t="s">
        <v>#N/A N/A</v>
        <stp/>
        <stp>BDP|9443819321443986365</stp>
        <tr r="P418" s="2"/>
      </tp>
      <tp t="s">
        <v>#N/A N/A</v>
        <stp/>
        <stp>BDP|9479986269643940677</stp>
        <tr r="J1126" s="2"/>
      </tp>
      <tp t="s">
        <v>#N/A N/A</v>
        <stp/>
        <stp>BDP|8243323835189857264</stp>
        <tr r="Q2024" s="2"/>
      </tp>
      <tp t="s">
        <v>#N/A N/A</v>
        <stp/>
        <stp>BDP|5105836797825807269</stp>
        <tr r="P1262" s="2"/>
      </tp>
      <tp t="s">
        <v>#N/A N/A</v>
        <stp/>
        <stp>BDP|4954254644002023334</stp>
        <tr r="F1120" s="2"/>
      </tp>
      <tp t="s">
        <v>#N/A N/A</v>
        <stp/>
        <stp>BDS|4263514451985060299</stp>
        <tr r="I1743" s="2"/>
      </tp>
      <tp t="s">
        <v>#N/A N/A</v>
        <stp/>
        <stp>BDP|2165722448336829482</stp>
        <tr r="D784" s="2"/>
      </tp>
      <tp t="s">
        <v>#N/A N/A</v>
        <stp/>
        <stp>BDP|9832916488462234984</stp>
        <tr r="M1804" s="2"/>
      </tp>
      <tp t="s">
        <v>#N/A N/A</v>
        <stp/>
        <stp>BDP|2937562281988669407</stp>
        <tr r="E1345" s="2"/>
      </tp>
      <tp t="s">
        <v>#N/A N/A</v>
        <stp/>
        <stp>BDP|7963364066136585742</stp>
        <tr r="K2010" s="2"/>
      </tp>
      <tp t="s">
        <v>#N/A N/A</v>
        <stp/>
        <stp>BDP|5471668163421825710</stp>
        <tr r="T118" s="2"/>
      </tp>
      <tp t="s">
        <v>#N/A N/A</v>
        <stp/>
        <stp>BDP|8397589236205087853</stp>
        <tr r="S84" s="2"/>
      </tp>
      <tp t="s">
        <v>#N/A N/A</v>
        <stp/>
        <stp>BDP|3497515349113019245</stp>
        <tr r="G655" s="2"/>
      </tp>
      <tp t="s">
        <v>#N/A N/A</v>
        <stp/>
        <stp>BDP|9845039593792565155</stp>
        <tr r="D166" s="2"/>
      </tp>
      <tp t="s">
        <v>#N/A N/A</v>
        <stp/>
        <stp>BDP|7831567552690633428</stp>
        <tr r="R1868" s="2"/>
      </tp>
      <tp t="s">
        <v>#N/A N/A</v>
        <stp/>
        <stp>BDP|4792788526173195101</stp>
        <tr r="F640" s="2"/>
      </tp>
      <tp t="s">
        <v>#N/A N/A</v>
        <stp/>
        <stp>BDP|5000280611115182001</stp>
        <tr r="Q711" s="2"/>
      </tp>
      <tp t="s">
        <v>#N/A N/A</v>
        <stp/>
        <stp>BDP|8837206487501485030</stp>
        <tr r="M1024" s="2"/>
      </tp>
      <tp t="s">
        <v>#N/A N/A</v>
        <stp/>
        <stp>BDP|5199420112172808110</stp>
        <tr r="M255" s="2"/>
      </tp>
      <tp t="s">
        <v>#N/A N/A</v>
        <stp/>
        <stp>BDP|7480646527673815371</stp>
        <tr r="N2233" s="2"/>
      </tp>
      <tp t="s">
        <v>#N/A N/A</v>
        <stp/>
        <stp>BDP|8991811817617234555</stp>
        <tr r="F1958" s="2"/>
      </tp>
      <tp t="s">
        <v>#N/A N/A</v>
        <stp/>
        <stp>BDP|2771787871188687902</stp>
        <tr r="P1295" s="2"/>
      </tp>
      <tp t="s">
        <v>#N/A N/A</v>
        <stp/>
        <stp>BDP|1744480286206181805</stp>
        <tr r="P1554" s="2"/>
      </tp>
      <tp t="s">
        <v>#N/A N/A</v>
        <stp/>
        <stp>BDP|2581783867826312619</stp>
        <tr r="A1310" s="2"/>
      </tp>
      <tp t="s">
        <v>#N/A N/A</v>
        <stp/>
        <stp>BDP|3615915597990010087</stp>
        <tr r="H1538" s="2"/>
      </tp>
      <tp t="s">
        <v>#N/A N/A</v>
        <stp/>
        <stp>BDP|5856190838410125408</stp>
        <tr r="Q201" s="2"/>
      </tp>
      <tp t="s">
        <v>#N/A N/A</v>
        <stp/>
        <stp>BDP|4540288043428404922</stp>
        <tr r="E1581" s="2"/>
      </tp>
      <tp t="s">
        <v>#N/A N/A</v>
        <stp/>
        <stp>BDP|1697442415244716382</stp>
        <tr r="R1037" s="2"/>
      </tp>
      <tp t="s">
        <v>#N/A N/A</v>
        <stp/>
        <stp>BDP|2602870165527990856</stp>
        <tr r="P1302" s="2"/>
      </tp>
      <tp t="s">
        <v>#N/A N/A</v>
        <stp/>
        <stp>BDP|6581719726164381492</stp>
        <tr r="R886" s="2"/>
      </tp>
      <tp t="s">
        <v>#N/A N/A</v>
        <stp/>
        <stp>BDP|7334400962923073597</stp>
        <tr r="A1177" s="2"/>
      </tp>
      <tp t="s">
        <v>#N/A N/A</v>
        <stp/>
        <stp>BDP|9884986836353606387</stp>
        <tr r="R178" s="2"/>
      </tp>
      <tp t="s">
        <v>#N/A N/A</v>
        <stp/>
        <stp>BDP|4874026568025396495</stp>
        <tr r="E145" s="2"/>
      </tp>
      <tp t="s">
        <v>#N/A N/A</v>
        <stp/>
        <stp>BDP|8702383571778306759</stp>
        <tr r="S1462" s="2"/>
      </tp>
      <tp t="s">
        <v>#N/A N/A</v>
        <stp/>
        <stp>BDP|4063377815092945738</stp>
        <tr r="J2033" s="2"/>
      </tp>
      <tp t="s">
        <v>#N/A N/A</v>
        <stp/>
        <stp>BDP|9775901008961523220</stp>
        <tr r="D1732" s="2"/>
      </tp>
      <tp t="s">
        <v>#N/A N/A</v>
        <stp/>
        <stp>BDP|9104634593066896310</stp>
        <tr r="S719" s="2"/>
      </tp>
      <tp t="s">
        <v>#N/A N/A</v>
        <stp/>
        <stp>BDP|9862740999454568088</stp>
        <tr r="Q1176" s="2"/>
      </tp>
      <tp t="s">
        <v>#N/A N/A</v>
        <stp/>
        <stp>BDP|2265655012947860150</stp>
        <tr r="E1793" s="2"/>
      </tp>
      <tp t="s">
        <v>#N/A N/A</v>
        <stp/>
        <stp>BDS|1586783370255157740</stp>
        <tr r="I1927" s="2"/>
      </tp>
      <tp t="s">
        <v>#N/A N/A</v>
        <stp/>
        <stp>BDP|1769784645792596373</stp>
        <tr r="K1883" s="2"/>
      </tp>
      <tp t="s">
        <v>#N/A N/A</v>
        <stp/>
        <stp>BDP|3021683757803366040</stp>
        <tr r="S398" s="2"/>
      </tp>
      <tp t="s">
        <v>#N/A N/A</v>
        <stp/>
        <stp>BDS|2986548700671399563</stp>
        <tr r="I1308" s="2"/>
      </tp>
      <tp t="s">
        <v>#N/A N/A</v>
        <stp/>
        <stp>BDP|8652177054779432698</stp>
        <tr r="N439" s="2"/>
      </tp>
      <tp t="s">
        <v>#N/A N/A</v>
        <stp/>
        <stp>BDP|2225299264431791407</stp>
        <tr r="C1086" s="2"/>
      </tp>
      <tp t="s">
        <v>#N/A N/A</v>
        <stp/>
        <stp>BDP|7136823715498638586</stp>
        <tr r="P483" s="2"/>
      </tp>
      <tp t="s">
        <v>#N/A N/A</v>
        <stp/>
        <stp>BDP|7925702092723244912</stp>
        <tr r="A728" s="2"/>
      </tp>
      <tp t="s">
        <v>#N/A N/A</v>
        <stp/>
        <stp>BDP|9052618309359687567</stp>
        <tr r="F1082" s="2"/>
      </tp>
      <tp t="s">
        <v>#N/A N/A</v>
        <stp/>
        <stp>BDP|5683589895058173227</stp>
        <tr r="F326" s="2"/>
      </tp>
      <tp t="s">
        <v>#N/A N/A</v>
        <stp/>
        <stp>BDP|4580058519526778063</stp>
        <tr r="O518" s="2"/>
      </tp>
      <tp t="s">
        <v>#N/A N/A</v>
        <stp/>
        <stp>BDP|5837622462585514354</stp>
        <tr r="R2147" s="2"/>
      </tp>
      <tp t="s">
        <v>#N/A N/A</v>
        <stp/>
        <stp>BDP|7223983673433339927</stp>
        <tr r="R624" s="2"/>
      </tp>
      <tp t="s">
        <v>#N/A N/A</v>
        <stp/>
        <stp>BDP|4155217012062977635</stp>
        <tr r="J1232" s="2"/>
      </tp>
      <tp t="s">
        <v>#N/A N/A</v>
        <stp/>
        <stp>BDP|6146007212966895233</stp>
        <tr r="R1473" s="2"/>
      </tp>
      <tp t="s">
        <v>#N/A N/A</v>
        <stp/>
        <stp>BDP|3551455098008933593</stp>
        <tr r="T238" s="2"/>
      </tp>
      <tp t="s">
        <v>#N/A N/A</v>
        <stp/>
        <stp>BDP|6950700351891994694</stp>
        <tr r="J1309" s="2"/>
      </tp>
      <tp t="s">
        <v>#N/A N/A</v>
        <stp/>
        <stp>BDP|3539044745027943353</stp>
        <tr r="D1993" s="2"/>
      </tp>
      <tp t="s">
        <v>#N/A N/A</v>
        <stp/>
        <stp>BDP|2200144976140118797</stp>
        <tr r="R1177" s="2"/>
      </tp>
      <tp t="s">
        <v>#N/A N/A</v>
        <stp/>
        <stp>BDP|3679996883645454401</stp>
        <tr r="N1071" s="2"/>
      </tp>
      <tp t="s">
        <v>#N/A N/A</v>
        <stp/>
        <stp>BDP|7195639366132874645</stp>
        <tr r="S2105" s="2"/>
      </tp>
      <tp t="s">
        <v>#N/A N/A</v>
        <stp/>
        <stp>BDP|7624708839757768708</stp>
        <tr r="R934" s="2"/>
      </tp>
      <tp t="s">
        <v>#N/A N/A</v>
        <stp/>
        <stp>BDP|3921199350571990515</stp>
        <tr r="S1214" s="2"/>
      </tp>
      <tp t="s">
        <v>#N/A N/A</v>
        <stp/>
        <stp>BDP|2247356713723465081</stp>
        <tr r="T417" s="2"/>
      </tp>
      <tp t="s">
        <v>#N/A N/A</v>
        <stp/>
        <stp>BDP|5263240549311510126</stp>
        <tr r="S1601" s="2"/>
      </tp>
      <tp t="s">
        <v>#N/A N/A</v>
        <stp/>
        <stp>BDP|3524706378610554005</stp>
        <tr r="P930" s="2"/>
      </tp>
      <tp t="s">
        <v>#N/A N/A</v>
        <stp/>
        <stp>BDP|2615061181650902904</stp>
        <tr r="R1765" s="2"/>
      </tp>
      <tp t="s">
        <v>#N/A N/A</v>
        <stp/>
        <stp>BDP|7771365518526518044</stp>
        <tr r="F1103" s="2"/>
      </tp>
      <tp t="s">
        <v>#N/A N/A</v>
        <stp/>
        <stp>BDP|2501411812942725698</stp>
        <tr r="O774" s="2"/>
      </tp>
      <tp t="s">
        <v>#N/A N/A</v>
        <stp/>
        <stp>BDP|4853032965465007461</stp>
        <tr r="S598" s="2"/>
      </tp>
      <tp t="s">
        <v>#N/A N/A</v>
        <stp/>
        <stp>BDP|8136263545104278984</stp>
        <tr r="N1288" s="2"/>
      </tp>
      <tp t="s">
        <v>#N/A N/A</v>
        <stp/>
        <stp>BDP|3315678177238380986</stp>
        <tr r="M1649" s="2"/>
      </tp>
      <tp t="s">
        <v>#N/A N/A</v>
        <stp/>
        <stp>BDP|2266409133842811413</stp>
        <tr r="K507" s="2"/>
      </tp>
      <tp t="s">
        <v>#N/A N/A</v>
        <stp/>
        <stp>BDP|3618464856374913573</stp>
        <tr r="C12" s="2"/>
      </tp>
      <tp t="s">
        <v>#N/A N/A</v>
        <stp/>
        <stp>BDP|5604160144111441281</stp>
        <tr r="E543" s="2"/>
      </tp>
      <tp t="s">
        <v>#N/A N/A</v>
        <stp/>
        <stp>BDP|4303181315337455023</stp>
        <tr r="A1345" s="2"/>
      </tp>
      <tp t="s">
        <v>#N/A N/A</v>
        <stp/>
        <stp>BDP|6917221462432926382</stp>
        <tr r="K1175" s="2"/>
      </tp>
      <tp t="s">
        <v>#N/A N/A</v>
        <stp/>
        <stp>BDS|4825410232585092539</stp>
        <tr r="I969" s="2"/>
      </tp>
      <tp t="s">
        <v>#N/A N/A</v>
        <stp/>
        <stp>BDP|4910797379192215532</stp>
        <tr r="O1636" s="2"/>
      </tp>
      <tp t="s">
        <v>#N/A N/A</v>
        <stp/>
        <stp>BDP|5370210496415901854</stp>
        <tr r="A802" s="2"/>
      </tp>
      <tp t="s">
        <v>#N/A N/A</v>
        <stp/>
        <stp>BDP|7758552808030456165</stp>
        <tr r="Q233" s="2"/>
      </tp>
      <tp t="s">
        <v>#N/A N/A</v>
        <stp/>
        <stp>BDP|8917599991080986707</stp>
        <tr r="R2132" s="2"/>
      </tp>
      <tp t="s">
        <v>#N/A N/A</v>
        <stp/>
        <stp>BDP|7974150770165309771</stp>
        <tr r="R1294" s="2"/>
      </tp>
      <tp t="s">
        <v>#N/A N/A</v>
        <stp/>
        <stp>BDP|1455763257032410291</stp>
        <tr r="K1743" s="2"/>
      </tp>
      <tp t="s">
        <v>#N/A N/A</v>
        <stp/>
        <stp>BDP|3833133440433673655</stp>
        <tr r="Q462" s="2"/>
      </tp>
      <tp t="s">
        <v>#N/A N/A</v>
        <stp/>
        <stp>BDP|6794439416796955634</stp>
        <tr r="H2150" s="2"/>
      </tp>
      <tp t="s">
        <v>#N/A N/A</v>
        <stp/>
        <stp>BDP|8084672818569587521</stp>
        <tr r="D973" s="2"/>
      </tp>
      <tp t="s">
        <v>#N/A N/A</v>
        <stp/>
        <stp>BDP|9049854774473134681</stp>
        <tr r="G1920" s="2"/>
      </tp>
      <tp t="s">
        <v>#N/A N/A</v>
        <stp/>
        <stp>BDP|8855598191241189691</stp>
        <tr r="K72" s="2"/>
      </tp>
      <tp t="s">
        <v>#N/A N/A</v>
        <stp/>
        <stp>BDP|2927330037690514103</stp>
        <tr r="P1520" s="2"/>
      </tp>
      <tp t="s">
        <v>#N/A N/A</v>
        <stp/>
        <stp>BDP|3325471418026139356</stp>
        <tr r="F1339" s="2"/>
      </tp>
      <tp t="s">
        <v>#N/A N/A</v>
        <stp/>
        <stp>BDP|2764968263249965723</stp>
        <tr r="F1578" s="2"/>
      </tp>
      <tp t="s">
        <v>#N/A N/A</v>
        <stp/>
        <stp>BDP|8047898754571565716</stp>
        <tr r="G1613" s="2"/>
      </tp>
      <tp t="s">
        <v>#N/A N/A</v>
        <stp/>
        <stp>BDP|1890716447047523625</stp>
        <tr r="F1921" s="2"/>
      </tp>
      <tp t="s">
        <v>#N/A N/A</v>
        <stp/>
        <stp>BDP|5157863942873813947</stp>
        <tr r="N1853" s="2"/>
      </tp>
      <tp t="s">
        <v>#N/A N/A</v>
        <stp/>
        <stp>BDP|4525087132050561438</stp>
        <tr r="G539" s="2"/>
      </tp>
      <tp t="s">
        <v>#N/A N/A</v>
        <stp/>
        <stp>BDP|7117745439852703226</stp>
        <tr r="H560" s="2"/>
      </tp>
      <tp t="s">
        <v>#N/A N/A</v>
        <stp/>
        <stp>BDP|7690891284353100731</stp>
        <tr r="E905" s="2"/>
      </tp>
      <tp t="s">
        <v>#N/A N/A</v>
        <stp/>
        <stp>BDP|3246023849817873382</stp>
        <tr r="H2056" s="2"/>
      </tp>
      <tp t="s">
        <v>#N/A N/A</v>
        <stp/>
        <stp>BDP|9366470002157758988</stp>
        <tr r="T310" s="2"/>
      </tp>
      <tp t="s">
        <v>#N/A N/A</v>
        <stp/>
        <stp>BDP|9171012559258937799</stp>
        <tr r="Q765" s="2"/>
      </tp>
      <tp t="s">
        <v>#N/A N/A</v>
        <stp/>
        <stp>BDP|1079836041706987823</stp>
        <tr r="T112" s="2"/>
      </tp>
      <tp t="s">
        <v>#N/A N/A</v>
        <stp/>
        <stp>BDP|6787974187002738692</stp>
        <tr r="M85" s="2"/>
      </tp>
      <tp t="s">
        <v>#N/A N/A</v>
        <stp/>
        <stp>BDP|7405130011995944160</stp>
        <tr r="C926" s="2"/>
      </tp>
      <tp t="s">
        <v>#N/A N/A</v>
        <stp/>
        <stp>BDP|7993518455096687224</stp>
        <tr r="R1086" s="2"/>
      </tp>
      <tp t="s">
        <v>#N/A N/A</v>
        <stp/>
        <stp>BDP|5406789654221566541</stp>
        <tr r="D1352" s="2"/>
      </tp>
      <tp t="s">
        <v>#N/A N/A</v>
        <stp/>
        <stp>BDP|4763069678648174812</stp>
        <tr r="E701" s="2"/>
      </tp>
      <tp t="s">
        <v>#N/A N/A</v>
        <stp/>
        <stp>BDS|5851308408966096392</stp>
        <tr r="I2180" s="2"/>
      </tp>
      <tp t="s">
        <v>#N/A N/A</v>
        <stp/>
        <stp>BDS|9008871860912974670</stp>
        <tr r="I682" s="2"/>
      </tp>
      <tp t="s">
        <v>#N/A N/A</v>
        <stp/>
        <stp>BDP|3184176625133833020</stp>
        <tr r="R609" s="2"/>
      </tp>
      <tp t="s">
        <v>#N/A N/A</v>
        <stp/>
        <stp>BDP|3473597884668993593</stp>
        <tr r="G1653" s="2"/>
      </tp>
      <tp t="s">
        <v>#N/A N/A</v>
        <stp/>
        <stp>BDP|6880283520795073097</stp>
        <tr r="S1960" s="2"/>
      </tp>
      <tp t="s">
        <v>#N/A N/A</v>
        <stp/>
        <stp>BDP|8833992731982825316</stp>
        <tr r="D692" s="2"/>
      </tp>
      <tp t="s">
        <v>#N/A N/A</v>
        <stp/>
        <stp>BDP|2680955689481555160</stp>
        <tr r="T178" s="2"/>
      </tp>
      <tp t="s">
        <v>#N/A N/A</v>
        <stp/>
        <stp>BDS|7160495341051082507</stp>
        <tr r="I133" s="2"/>
      </tp>
      <tp t="s">
        <v>#N/A N/A</v>
        <stp/>
        <stp>BDP|5147420416813522091</stp>
        <tr r="E842" s="2"/>
      </tp>
      <tp t="s">
        <v>#N/A N/A</v>
        <stp/>
        <stp>BDP|3693971754685931952</stp>
        <tr r="M493" s="2"/>
      </tp>
      <tp t="s">
        <v>#N/A N/A</v>
        <stp/>
        <stp>BDP|2102001939963334124</stp>
        <tr r="T824" s="2"/>
      </tp>
      <tp t="s">
        <v>#N/A N/A</v>
        <stp/>
        <stp>BDP|3734455838850412770</stp>
        <tr r="E1329" s="2"/>
      </tp>
      <tp t="s">
        <v>#N/A N/A</v>
        <stp/>
        <stp>BDP|8861227402128973189</stp>
        <tr r="S867" s="2"/>
      </tp>
      <tp t="s">
        <v>#N/A N/A</v>
        <stp/>
        <stp>BDP|9754683023156197840</stp>
        <tr r="P1400" s="2"/>
      </tp>
      <tp t="s">
        <v>#N/A N/A</v>
        <stp/>
        <stp>BDP|3147282446617375159</stp>
        <tr r="T140" s="2"/>
      </tp>
      <tp t="s">
        <v>#N/A N/A</v>
        <stp/>
        <stp>BDP|3221267628362700228</stp>
        <tr r="H1633" s="2"/>
      </tp>
      <tp t="s">
        <v>#N/A N/A</v>
        <stp/>
        <stp>BDS|8333183372924470943</stp>
        <tr r="I1948" s="2"/>
      </tp>
      <tp t="s">
        <v>#N/A N/A</v>
        <stp/>
        <stp>BDP|6138537942881005592</stp>
        <tr r="C918" s="2"/>
      </tp>
      <tp t="s">
        <v>#N/A N/A</v>
        <stp/>
        <stp>BDP|3380940554515239980</stp>
        <tr r="G947" s="2"/>
      </tp>
      <tp t="s">
        <v>#N/A N/A</v>
        <stp/>
        <stp>BDP|4560162825232716689</stp>
        <tr r="M2179" s="2"/>
      </tp>
      <tp t="s">
        <v>#N/A N/A</v>
        <stp/>
        <stp>BDP|1984222192489923092</stp>
        <tr r="J1513" s="2"/>
      </tp>
      <tp t="s">
        <v>#N/A N/A</v>
        <stp/>
        <stp>BDP|8523575497123571490</stp>
        <tr r="F2066" s="2"/>
      </tp>
      <tp t="s">
        <v>#N/A N/A</v>
        <stp/>
        <stp>BDP|5703675220776046497</stp>
        <tr r="T683" s="2"/>
      </tp>
      <tp t="s">
        <v>#N/A N/A</v>
        <stp/>
        <stp>BDP|5832544620123047253</stp>
        <tr r="F2094" s="2"/>
      </tp>
      <tp t="s">
        <v>#N/A N/A</v>
        <stp/>
        <stp>BDP|4683659589851691851</stp>
        <tr r="E326" s="2"/>
      </tp>
      <tp t="s">
        <v>#N/A N/A</v>
        <stp/>
        <stp>BDP|5879336818717853322</stp>
        <tr r="T847" s="2"/>
      </tp>
      <tp t="s">
        <v>#N/A N/A</v>
        <stp/>
        <stp>BDP|8533082796431044320</stp>
        <tr r="S1893" s="2"/>
      </tp>
      <tp t="s">
        <v>#N/A N/A</v>
        <stp/>
        <stp>BDP|5794243154638748999</stp>
        <tr r="N714" s="2"/>
      </tp>
      <tp t="s">
        <v>#N/A N/A</v>
        <stp/>
        <stp>BDP|5030080082607508964</stp>
        <tr r="M702" s="2"/>
      </tp>
      <tp t="s">
        <v>#N/A N/A</v>
        <stp/>
        <stp>BDP|5435279767415889757</stp>
        <tr r="P497" s="2"/>
      </tp>
      <tp t="s">
        <v>#N/A N/A</v>
        <stp/>
        <stp>BDP|8049129238511480871</stp>
        <tr r="N1394" s="2"/>
      </tp>
      <tp t="s">
        <v>#N/A N/A</v>
        <stp/>
        <stp>BDP|2300117479637462067</stp>
        <tr r="E1210" s="2"/>
      </tp>
      <tp t="s">
        <v>#N/A N/A</v>
        <stp/>
        <stp>BDP|1013002723671813124</stp>
        <tr r="D1487" s="2"/>
      </tp>
      <tp t="s">
        <v>#N/A N/A</v>
        <stp/>
        <stp>BDP|8484883415656857488</stp>
        <tr r="J251" s="2"/>
      </tp>
      <tp t="s">
        <v>#N/A N/A</v>
        <stp/>
        <stp>BDP|3014625629721595579</stp>
        <tr r="H1510" s="2"/>
      </tp>
      <tp t="s">
        <v>#N/A N/A</v>
        <stp/>
        <stp>BDP|1215441802657478192</stp>
        <tr r="S1169" s="2"/>
      </tp>
      <tp t="s">
        <v>#N/A N/A</v>
        <stp/>
        <stp>BDP|8132806248056055103</stp>
        <tr r="T2218" s="2"/>
      </tp>
      <tp t="s">
        <v>#N/A N/A</v>
        <stp/>
        <stp>BDP|9463025121660765890</stp>
        <tr r="P1367" s="2"/>
      </tp>
      <tp t="s">
        <v>#N/A N/A</v>
        <stp/>
        <stp>BDP|3796753433176096281</stp>
        <tr r="R954" s="2"/>
      </tp>
      <tp t="s">
        <v>#N/A N/A</v>
        <stp/>
        <stp>BDP|4870925133689945493</stp>
        <tr r="M104" s="2"/>
      </tp>
      <tp t="s">
        <v>#N/A N/A</v>
        <stp/>
        <stp>BDP|7596154607895816067</stp>
        <tr r="Q372" s="2"/>
      </tp>
      <tp t="s">
        <v>#N/A N/A</v>
        <stp/>
        <stp>BDP|3829447402461540526</stp>
        <tr r="R66" s="2"/>
      </tp>
      <tp t="s">
        <v>#N/A N/A</v>
        <stp/>
        <stp>BDP|8640685127026805983</stp>
        <tr r="Q13" s="2"/>
      </tp>
      <tp t="s">
        <v>#N/A N/A</v>
        <stp/>
        <stp>BDP|8055466794887208199</stp>
        <tr r="P2199" s="2"/>
      </tp>
      <tp t="s">
        <v>#N/A N/A</v>
        <stp/>
        <stp>BDP|6948762352803385474</stp>
        <tr r="H1616" s="2"/>
      </tp>
      <tp t="s">
        <v>#N/A N/A</v>
        <stp/>
        <stp>BDP|1522312879472076441</stp>
        <tr r="A925" s="2"/>
      </tp>
      <tp t="s">
        <v>#N/A N/A</v>
        <stp/>
        <stp>BDP|3066445255263806204</stp>
        <tr r="F810" s="2"/>
      </tp>
      <tp t="s">
        <v>#N/A N/A</v>
        <stp/>
        <stp>BDP|7146705761374973100</stp>
        <tr r="S1296" s="2"/>
      </tp>
      <tp t="s">
        <v>#N/A N/A</v>
        <stp/>
        <stp>BDP|2220116568164031223</stp>
        <tr r="H823" s="2"/>
      </tp>
      <tp t="s">
        <v>#N/A N/A</v>
        <stp/>
        <stp>BDP|4279376528885159359</stp>
        <tr r="M972" s="2"/>
      </tp>
      <tp t="s">
        <v>#N/A N/A</v>
        <stp/>
        <stp>BDP|1835374313390569006</stp>
        <tr r="K12" s="2"/>
      </tp>
      <tp t="s">
        <v>#N/A N/A</v>
        <stp/>
        <stp>BDP|3240634155037944440</stp>
        <tr r="F2003" s="2"/>
      </tp>
      <tp t="s">
        <v>#N/A N/A</v>
        <stp/>
        <stp>BDP|4007982684942477418</stp>
        <tr r="E284" s="2"/>
      </tp>
      <tp t="s">
        <v>#N/A N/A</v>
        <stp/>
        <stp>BDS|1078643530062952546</stp>
        <tr r="I1730" s="2"/>
      </tp>
      <tp t="s">
        <v>#N/A N/A</v>
        <stp/>
        <stp>BDS|3942989503779264098</stp>
        <tr r="I141" s="2"/>
      </tp>
      <tp t="s">
        <v>#N/A N/A</v>
        <stp/>
        <stp>BDP|2962282438546927694</stp>
        <tr r="T2086" s="2"/>
      </tp>
      <tp t="s">
        <v>#N/A N/A</v>
        <stp/>
        <stp>BDP|7334764159077745124</stp>
        <tr r="M2155" s="2"/>
      </tp>
      <tp t="s">
        <v>#N/A N/A</v>
        <stp/>
        <stp>BDS|5636313652513803341</stp>
        <tr r="I310" s="2"/>
      </tp>
      <tp t="s">
        <v>#N/A N/A</v>
        <stp/>
        <stp>BDP|8866485884284845352</stp>
        <tr r="H1718" s="2"/>
      </tp>
      <tp t="s">
        <v>#N/A N/A</v>
        <stp/>
        <stp>BDP|1644789757495562558</stp>
        <tr r="E448" s="2"/>
      </tp>
      <tp t="s">
        <v>#N/A N/A</v>
        <stp/>
        <stp>BDS|3969018006899015972</stp>
        <tr r="I376" s="2"/>
      </tp>
      <tp t="s">
        <v>#N/A N/A</v>
        <stp/>
        <stp>BDP|4775688254833307711</stp>
        <tr r="E965" s="2"/>
      </tp>
      <tp t="s">
        <v>#N/A N/A</v>
        <stp/>
        <stp>BDP|1837424623050778476</stp>
        <tr r="O1528" s="2"/>
      </tp>
      <tp t="s">
        <v>#N/A N/A</v>
        <stp/>
        <stp>BDP|6124436949251694449</stp>
        <tr r="R2220" s="2"/>
      </tp>
      <tp t="s">
        <v>#N/A N/A</v>
        <stp/>
        <stp>BDP|5278624256850691594</stp>
        <tr r="S907" s="2"/>
      </tp>
      <tp t="s">
        <v>#N/A N/A</v>
        <stp/>
        <stp>BDP|8738900211917643498</stp>
        <tr r="O1755" s="2"/>
      </tp>
      <tp t="s">
        <v>#N/A N/A</v>
        <stp/>
        <stp>BDP|8271708992677885217</stp>
        <tr r="M485" s="2"/>
      </tp>
      <tp t="s">
        <v>#N/A N/A</v>
        <stp/>
        <stp>BDP|7769023135854808364</stp>
        <tr r="T1947" s="2"/>
      </tp>
      <tp t="s">
        <v>#N/A N/A</v>
        <stp/>
        <stp>BDP|1960063161804077003</stp>
        <tr r="J1291" s="2"/>
      </tp>
      <tp t="s">
        <v>#N/A N/A</v>
        <stp/>
        <stp>BDP|5168564630133824318</stp>
        <tr r="M2009" s="2"/>
      </tp>
      <tp t="s">
        <v>#N/A N/A</v>
        <stp/>
        <stp>BDP|7644007099799786465</stp>
        <tr r="S1275" s="2"/>
      </tp>
      <tp t="s">
        <v>#N/A N/A</v>
        <stp/>
        <stp>BDP|2875029916411550177</stp>
        <tr r="C1204" s="2"/>
      </tp>
      <tp t="s">
        <v>#N/A N/A</v>
        <stp/>
        <stp>BDP|3921664046301589325</stp>
        <tr r="S1146" s="2"/>
      </tp>
      <tp t="s">
        <v>#N/A N/A</v>
        <stp/>
        <stp>BDP|6091287720763268647</stp>
        <tr r="R1780" s="2"/>
      </tp>
      <tp t="s">
        <v>#N/A N/A</v>
        <stp/>
        <stp>BDP|2881555973715105611</stp>
        <tr r="J25" s="2"/>
      </tp>
      <tp t="s">
        <v>#N/A N/A</v>
        <stp/>
        <stp>BDP|3016120988610683924</stp>
        <tr r="E1261" s="2"/>
      </tp>
      <tp t="s">
        <v>#N/A N/A</v>
        <stp/>
        <stp>BDP|1344338348682761717</stp>
        <tr r="H1777" s="2"/>
      </tp>
      <tp t="s">
        <v>#N/A N/A</v>
        <stp/>
        <stp>BDP|5715408601002037080</stp>
        <tr r="S457" s="2"/>
      </tp>
      <tp t="s">
        <v>#N/A N/A</v>
        <stp/>
        <stp>BDP|4223936090261696695</stp>
        <tr r="G1610" s="2"/>
      </tp>
      <tp t="s">
        <v>#N/A N/A</v>
        <stp/>
        <stp>BDP|2464788056483160056</stp>
        <tr r="D81" s="2"/>
      </tp>
      <tp t="s">
        <v>#N/A N/A</v>
        <stp/>
        <stp>BDP|3496981790473358313</stp>
        <tr r="E1722" s="2"/>
      </tp>
      <tp t="s">
        <v>#N/A N/A</v>
        <stp/>
        <stp>BDP|2834980601379855178</stp>
        <tr r="E875" s="2"/>
      </tp>
      <tp t="s">
        <v>#N/A N/A</v>
        <stp/>
        <stp>BDP|9063280496748941998</stp>
        <tr r="J1665" s="2"/>
      </tp>
      <tp t="s">
        <v>#N/A N/A</v>
        <stp/>
        <stp>BDP|9313930776373970718</stp>
        <tr r="N1262" s="2"/>
      </tp>
      <tp t="s">
        <v>#N/A N/A</v>
        <stp/>
        <stp>BDP|2596772039824465119</stp>
        <tr r="R2189" s="2"/>
      </tp>
      <tp t="s">
        <v>#N/A N/A</v>
        <stp/>
        <stp>BDP|9615967943595464299</stp>
        <tr r="F864" s="2"/>
      </tp>
      <tp t="s">
        <v>#N/A N/A</v>
        <stp/>
        <stp>BDP|7418274289327034949</stp>
        <tr r="E45" s="2"/>
      </tp>
      <tp t="s">
        <v>#N/A N/A</v>
        <stp/>
        <stp>BDP|1389664542065000590</stp>
        <tr r="J1609" s="2"/>
      </tp>
      <tp t="s">
        <v>#N/A N/A</v>
        <stp/>
        <stp>BDP|2806744061899742947</stp>
        <tr r="E1504" s="2"/>
      </tp>
      <tp t="s">
        <v>#N/A N/A</v>
        <stp/>
        <stp>BDP|3253931781182837369</stp>
        <tr r="H866" s="2"/>
      </tp>
      <tp t="s">
        <v>#N/A N/A</v>
        <stp/>
        <stp>BDP|1994152511666710442</stp>
        <tr r="G1126" s="2"/>
      </tp>
      <tp t="s">
        <v>#N/A N/A</v>
        <stp/>
        <stp>BDP|6476583425015034779</stp>
        <tr r="R194" s="2"/>
      </tp>
      <tp t="s">
        <v>#N/A N/A</v>
        <stp/>
        <stp>BDP|4893183135764346187</stp>
        <tr r="F628" s="2"/>
      </tp>
      <tp t="s">
        <v>#N/A N/A</v>
        <stp/>
        <stp>BDP|3860533109856557396</stp>
        <tr r="G2043" s="2"/>
      </tp>
      <tp t="s">
        <v>#N/A N/A</v>
        <stp/>
        <stp>BDP|5548754379624290251</stp>
        <tr r="E459" s="2"/>
      </tp>
      <tp t="s">
        <v>#N/A N/A</v>
        <stp/>
        <stp>BDP|3036222445656803016</stp>
        <tr r="C1197" s="2"/>
      </tp>
      <tp t="s">
        <v>#N/A N/A</v>
        <stp/>
        <stp>BDP|7634694533390001125</stp>
        <tr r="P899" s="2"/>
      </tp>
      <tp t="s">
        <v>#N/A N/A</v>
        <stp/>
        <stp>BDP|5789097686176082867</stp>
        <tr r="O287" s="2"/>
      </tp>
      <tp t="s">
        <v>#N/A N/A</v>
        <stp/>
        <stp>BDP|5032138576656954628</stp>
        <tr r="O1372" s="2"/>
      </tp>
      <tp t="s">
        <v>#N/A N/A</v>
        <stp/>
        <stp>BDP|1999092433870818152</stp>
        <tr r="M1508" s="2"/>
      </tp>
      <tp t="s">
        <v>#N/A N/A</v>
        <stp/>
        <stp>BDP|4208502248394109251</stp>
        <tr r="H290" s="2"/>
      </tp>
      <tp t="s">
        <v>#N/A N/A</v>
        <stp/>
        <stp>BDP|6934936633517434830</stp>
        <tr r="S906" s="2"/>
      </tp>
      <tp t="s">
        <v>#N/A N/A</v>
        <stp/>
        <stp>BDP|4382659670676140090</stp>
        <tr r="O1603" s="2"/>
      </tp>
      <tp t="s">
        <v>#N/A N/A</v>
        <stp/>
        <stp>BDP|4409063162737868661</stp>
        <tr r="G1057" s="2"/>
      </tp>
      <tp t="s">
        <v>#N/A N/A</v>
        <stp/>
        <stp>BDP|8233857331420863004</stp>
        <tr r="Q565" s="2"/>
      </tp>
      <tp t="s">
        <v>#N/A N/A</v>
        <stp/>
        <stp>BDP|1227735046458831912</stp>
        <tr r="O225" s="2"/>
      </tp>
      <tp t="s">
        <v>#N/A N/A</v>
        <stp/>
        <stp>BDP|7898735324832164300</stp>
        <tr r="D968" s="2"/>
      </tp>
      <tp t="s">
        <v>#N/A N/A</v>
        <stp/>
        <stp>BDP|9463934877332834660</stp>
        <tr r="H874" s="2"/>
      </tp>
      <tp t="s">
        <v>#N/A N/A</v>
        <stp/>
        <stp>BDP|1375648944409591980</stp>
        <tr r="C2123" s="2"/>
      </tp>
      <tp t="s">
        <v>#N/A N/A</v>
        <stp/>
        <stp>BDP|5225340722040279787</stp>
        <tr r="C1590" s="2"/>
      </tp>
      <tp t="s">
        <v>#N/A N/A</v>
        <stp/>
        <stp>BDP|9661754487393873624</stp>
        <tr r="J2125" s="2"/>
      </tp>
      <tp t="s">
        <v>#N/A N/A</v>
        <stp/>
        <stp>BDP|3658400183028903427</stp>
        <tr r="J1508" s="2"/>
      </tp>
      <tp t="s">
        <v>#N/A N/A</v>
        <stp/>
        <stp>BDP|1655708261815903600</stp>
        <tr r="Q1397" s="2"/>
      </tp>
      <tp t="s">
        <v>#N/A N/A</v>
        <stp/>
        <stp>BDP|3785146157055294183</stp>
        <tr r="P156" s="2"/>
      </tp>
      <tp t="s">
        <v>#N/A N/A</v>
        <stp/>
        <stp>BDP|4357660008458304905</stp>
        <tr r="Q1074" s="2"/>
      </tp>
      <tp t="s">
        <v>#N/A N/A</v>
        <stp/>
        <stp>BDP|6758694811115220736</stp>
        <tr r="M1371" s="2"/>
      </tp>
      <tp t="s">
        <v>#N/A N/A</v>
        <stp/>
        <stp>BDP|5249938539879429522</stp>
        <tr r="N1223" s="2"/>
      </tp>
      <tp t="s">
        <v>#N/A N/A</v>
        <stp/>
        <stp>BDP|5501774911415815555</stp>
        <tr r="Q99" s="2"/>
      </tp>
      <tp t="s">
        <v>#N/A N/A</v>
        <stp/>
        <stp>BDP|5952760244673141640</stp>
        <tr r="T285" s="2"/>
      </tp>
      <tp t="s">
        <v>#N/A N/A</v>
        <stp/>
        <stp>BDP|1133203577741959615</stp>
        <tr r="M1970" s="2"/>
      </tp>
      <tp t="s">
        <v>#N/A N/A</v>
        <stp/>
        <stp>BDP|2042158409744654448</stp>
        <tr r="R1266" s="2"/>
      </tp>
      <tp t="s">
        <v>#N/A N/A</v>
        <stp/>
        <stp>BDP|6565882781153631640</stp>
        <tr r="M195" s="2"/>
      </tp>
      <tp t="s">
        <v>#N/A N/A</v>
        <stp/>
        <stp>BDP|4137767384360803851</stp>
        <tr r="R1982" s="2"/>
      </tp>
      <tp t="s">
        <v>#N/A N/A</v>
        <stp/>
        <stp>BDP|2321580480025105944</stp>
        <tr r="T1317" s="2"/>
      </tp>
      <tp t="s">
        <v>#N/A N/A</v>
        <stp/>
        <stp>BDP|8110882531123364352</stp>
        <tr r="D690" s="2"/>
      </tp>
      <tp t="s">
        <v>#N/A N/A</v>
        <stp/>
        <stp>BDP|6881615007286415548</stp>
        <tr r="M833" s="2"/>
      </tp>
      <tp t="s">
        <v>#N/A N/A</v>
        <stp/>
        <stp>BDP|3963902860656520926</stp>
        <tr r="T2253" s="2"/>
      </tp>
      <tp t="s">
        <v>#N/A N/A</v>
        <stp/>
        <stp>BDP|8006284564687234807</stp>
        <tr r="S1513" s="2"/>
      </tp>
      <tp t="s">
        <v>#N/A N/A</v>
        <stp/>
        <stp>BDP|4345301068890608225</stp>
        <tr r="T811" s="2"/>
      </tp>
      <tp t="s">
        <v>#N/A N/A</v>
        <stp/>
        <stp>BDP|3579097582159108109</stp>
        <tr r="A1146" s="2"/>
      </tp>
      <tp t="s">
        <v>#N/A N/A</v>
        <stp/>
        <stp>BDS|1127535917474908238</stp>
        <tr r="I647" s="2"/>
      </tp>
      <tp t="s">
        <v>#N/A N/A</v>
        <stp/>
        <stp>BDP|9579969162347870262</stp>
        <tr r="J1593" s="2"/>
      </tp>
      <tp t="s">
        <v>#N/A N/A</v>
        <stp/>
        <stp>BDP|5093950825315757887</stp>
        <tr r="E1041" s="2"/>
      </tp>
      <tp t="s">
        <v>#N/A N/A</v>
        <stp/>
        <stp>BDP|1269454266919750996</stp>
        <tr r="P1692" s="2"/>
      </tp>
      <tp t="s">
        <v>#N/A N/A</v>
        <stp/>
        <stp>BDP|1038110527760140188</stp>
        <tr r="J2052" s="2"/>
      </tp>
      <tp t="s">
        <v>#N/A N/A</v>
        <stp/>
        <stp>BDP|2267398273785678015</stp>
        <tr r="O981" s="2"/>
      </tp>
      <tp t="s">
        <v>#N/A N/A</v>
        <stp/>
        <stp>BDS|3079344883193029888</stp>
        <tr r="I171" s="2"/>
      </tp>
      <tp t="s">
        <v>#N/A N/A</v>
        <stp/>
        <stp>BDP|9433130934079905158</stp>
        <tr r="R1342" s="2"/>
      </tp>
      <tp t="s">
        <v>#N/A N/A</v>
        <stp/>
        <stp>BDP|4315203010086506299</stp>
        <tr r="N392" s="2"/>
      </tp>
      <tp t="s">
        <v>#N/A N/A</v>
        <stp/>
        <stp>BDP|4358191242395041779</stp>
        <tr r="Q1254" s="2"/>
      </tp>
      <tp t="s">
        <v>#N/A N/A</v>
        <stp/>
        <stp>BDP|5865624400076218679</stp>
        <tr r="G1178" s="2"/>
      </tp>
      <tp t="s">
        <v>#N/A N/A</v>
        <stp/>
        <stp>BDP|9441140793062515098</stp>
        <tr r="F99" s="2"/>
      </tp>
      <tp t="s">
        <v>#N/A N/A</v>
        <stp/>
        <stp>BDP|8854844073451990591</stp>
        <tr r="P923" s="2"/>
      </tp>
      <tp t="s">
        <v>#N/A N/A</v>
        <stp/>
        <stp>BDP|9965314759579924578</stp>
        <tr r="F1193" s="2"/>
      </tp>
      <tp t="s">
        <v>#N/A N/A</v>
        <stp/>
        <stp>BDP|8066130171904854957</stp>
        <tr r="E886" s="2"/>
      </tp>
      <tp t="s">
        <v>#N/A N/A</v>
        <stp/>
        <stp>BDP|7005114076350184293</stp>
        <tr r="P2160" s="2"/>
      </tp>
      <tp t="s">
        <v>#N/A N/A</v>
        <stp/>
        <stp>BDP|1420895282032827089</stp>
        <tr r="K472" s="2"/>
      </tp>
      <tp t="s">
        <v>#N/A N/A</v>
        <stp/>
        <stp>BDP|8982142125460305842</stp>
        <tr r="J419" s="2"/>
      </tp>
      <tp t="s">
        <v>#N/A N/A</v>
        <stp/>
        <stp>BDP|4533916330889803431</stp>
        <tr r="T1653" s="2"/>
      </tp>
      <tp t="s">
        <v>#N/A N/A</v>
        <stp/>
        <stp>BDP|7993214365324344415</stp>
        <tr r="N657" s="2"/>
      </tp>
      <tp t="s">
        <v>#N/A N/A</v>
        <stp/>
        <stp>BDP|1431268116174865533</stp>
        <tr r="S1981" s="2"/>
      </tp>
      <tp t="s">
        <v>#N/A N/A</v>
        <stp/>
        <stp>BDP|1839606756225794461</stp>
        <tr r="C1033" s="2"/>
      </tp>
      <tp t="s">
        <v>#N/A N/A</v>
        <stp/>
        <stp>BDP|6231197239032974542</stp>
        <tr r="R302" s="2"/>
      </tp>
      <tp t="s">
        <v>#N/A N/A</v>
        <stp/>
        <stp>BDP|5307763708376084729</stp>
        <tr r="D1838" s="2"/>
      </tp>
      <tp t="s">
        <v>#N/A N/A</v>
        <stp/>
        <stp>BDP|6965430141521665424</stp>
        <tr r="H1854" s="2"/>
      </tp>
      <tp t="s">
        <v>#N/A N/A</v>
        <stp/>
        <stp>BDP|5530057602485936342</stp>
        <tr r="S1430" s="2"/>
      </tp>
      <tp t="s">
        <v>#N/A N/A</v>
        <stp/>
        <stp>BDP|7821242255521518235</stp>
        <tr r="H2222" s="2"/>
      </tp>
      <tp t="s">
        <v>#N/A N/A</v>
        <stp/>
        <stp>BDP|3606731111792279491</stp>
        <tr r="D1619" s="2"/>
      </tp>
      <tp t="s">
        <v>#N/A N/A</v>
        <stp/>
        <stp>BDP|2917678668377194683</stp>
        <tr r="Q469" s="2"/>
      </tp>
      <tp t="s">
        <v>#N/A N/A</v>
        <stp/>
        <stp>BDP|3945113641297446221</stp>
        <tr r="M1053" s="2"/>
      </tp>
      <tp t="s">
        <v>#N/A N/A</v>
        <stp/>
        <stp>BDP|2840686932055461194</stp>
        <tr r="K1117" s="2"/>
      </tp>
      <tp t="s">
        <v>#N/A N/A</v>
        <stp/>
        <stp>BDP|1837144326495253476</stp>
        <tr r="O2135" s="2"/>
      </tp>
      <tp t="s">
        <v>#N/A N/A</v>
        <stp/>
        <stp>BDP|2738072585111353895</stp>
        <tr r="E1770" s="2"/>
      </tp>
      <tp t="s">
        <v>#N/A N/A</v>
        <stp/>
        <stp>BDP|1749190406610755307</stp>
        <tr r="D211" s="2"/>
      </tp>
      <tp t="s">
        <v>#N/A N/A</v>
        <stp/>
        <stp>BDP|7537218878469783847</stp>
        <tr r="E890" s="2"/>
      </tp>
      <tp t="s">
        <v>#N/A N/A</v>
        <stp/>
        <stp>BDP|3934251063073072706</stp>
        <tr r="A583" s="2"/>
      </tp>
      <tp t="s">
        <v>#N/A N/A</v>
        <stp/>
        <stp>BDP|8288321777399109699</stp>
        <tr r="O1502" s="2"/>
      </tp>
      <tp t="s">
        <v>#N/A N/A</v>
        <stp/>
        <stp>BDP|6594420619931008113</stp>
        <tr r="P2153" s="2"/>
      </tp>
      <tp t="s">
        <v>#N/A N/A</v>
        <stp/>
        <stp>BDP|8266327319278209140</stp>
        <tr r="A1813" s="2"/>
      </tp>
      <tp t="s">
        <v>#N/A N/A</v>
        <stp/>
        <stp>BDP|2407109452257110288</stp>
        <tr r="R1175" s="2"/>
      </tp>
      <tp t="s">
        <v>#N/A N/A</v>
        <stp/>
        <stp>BDP|2079529983864647880</stp>
        <tr r="P810" s="2"/>
      </tp>
      <tp t="s">
        <v>#N/A N/A</v>
        <stp/>
        <stp>BDP|3838244134781572025</stp>
        <tr r="E150" s="2"/>
      </tp>
      <tp t="s">
        <v>#N/A N/A</v>
        <stp/>
        <stp>BDP|9528259688663065379</stp>
        <tr r="F884" s="2"/>
      </tp>
      <tp t="s">
        <v>#N/A N/A</v>
        <stp/>
        <stp>BDP|2825741785028316657</stp>
        <tr r="G1684" s="2"/>
      </tp>
      <tp t="s">
        <v>#N/A N/A</v>
        <stp/>
        <stp>BDP|5950892765219381198</stp>
        <tr r="T1733" s="2"/>
      </tp>
      <tp t="s">
        <v>#N/A N/A</v>
        <stp/>
        <stp>BDP|8912512637364605965</stp>
        <tr r="P1715" s="2"/>
      </tp>
      <tp t="s">
        <v>#N/A N/A</v>
        <stp/>
        <stp>BDS|4326097138314401090</stp>
        <tr r="I721" s="2"/>
      </tp>
      <tp t="s">
        <v>#N/A N/A</v>
        <stp/>
        <stp>BDS|1701986800339428241</stp>
        <tr r="I1963" s="2"/>
      </tp>
      <tp t="s">
        <v>#N/A N/A</v>
        <stp/>
        <stp>BDP|7173126816384230084</stp>
        <tr r="K1702" s="2"/>
      </tp>
      <tp t="s">
        <v>#N/A N/A</v>
        <stp/>
        <stp>BDP|1569276394340041992</stp>
        <tr r="N270" s="2"/>
      </tp>
      <tp t="s">
        <v>#N/A N/A</v>
        <stp/>
        <stp>BDP|7655533616344948454</stp>
        <tr r="F478" s="2"/>
      </tp>
      <tp t="s">
        <v>#N/A N/A</v>
        <stp/>
        <stp>BDP|3958342186463647822</stp>
        <tr r="C490" s="2"/>
      </tp>
      <tp t="s">
        <v>#N/A N/A</v>
        <stp/>
        <stp>BDP|3635260500005676790</stp>
        <tr r="F237" s="2"/>
      </tp>
      <tp t="s">
        <v>#N/A N/A</v>
        <stp/>
        <stp>BDP|6135302680317962970</stp>
        <tr r="P1238" s="2"/>
      </tp>
      <tp t="s">
        <v>#N/A N/A</v>
        <stp/>
        <stp>BDS|2952395752531564684</stp>
        <tr r="I879" s="2"/>
      </tp>
      <tp t="s">
        <v>#N/A N/A</v>
        <stp/>
        <stp>BDP|4672266429314134375</stp>
        <tr r="K805" s="2"/>
      </tp>
      <tp t="s">
        <v>#N/A N/A</v>
        <stp/>
        <stp>BDS|1619139419780289210</stp>
        <tr r="I81" s="2"/>
      </tp>
      <tp t="s">
        <v>#N/A N/A</v>
        <stp/>
        <stp>BDP|6459513748636328215</stp>
        <tr r="A1286" s="2"/>
      </tp>
      <tp t="s">
        <v>#N/A N/A</v>
        <stp/>
        <stp>BDP|9010923143972950579</stp>
        <tr r="C137" s="2"/>
      </tp>
      <tp t="s">
        <v>#N/A N/A</v>
        <stp/>
        <stp>BDP|6310785602434128675</stp>
        <tr r="T2254" s="2"/>
      </tp>
      <tp t="s">
        <v>#N/A N/A</v>
        <stp/>
        <stp>BDP|4754632698781265911</stp>
        <tr r="J441" s="2"/>
      </tp>
      <tp t="s">
        <v>#N/A N/A</v>
        <stp/>
        <stp>BDP|4333867704957635888</stp>
        <tr r="F676" s="2"/>
      </tp>
      <tp t="s">
        <v>#N/A N/A</v>
        <stp/>
        <stp>BDS|1814563642507576465</stp>
        <tr r="I900" s="2"/>
      </tp>
      <tp t="s">
        <v>#N/A N/A</v>
        <stp/>
        <stp>BDP|1633895248658941612</stp>
        <tr r="J397" s="2"/>
      </tp>
      <tp t="s">
        <v>#N/A N/A</v>
        <stp/>
        <stp>BDP|4690678565610251794</stp>
        <tr r="M977" s="2"/>
      </tp>
      <tp t="s">
        <v>#N/A N/A</v>
        <stp/>
        <stp>BDP|7286137872780593297</stp>
        <tr r="O1644" s="2"/>
      </tp>
      <tp t="s">
        <v>#N/A N/A</v>
        <stp/>
        <stp>BDP|5555299357936223761</stp>
        <tr r="M1990" s="2"/>
      </tp>
      <tp t="s">
        <v>#N/A N/A</v>
        <stp/>
        <stp>BDP|7228026899065011863</stp>
        <tr r="R1004" s="2"/>
      </tp>
      <tp t="s">
        <v>#N/A N/A</v>
        <stp/>
        <stp>BDP|5072367489368559550</stp>
        <tr r="C1707" s="2"/>
      </tp>
      <tp t="s">
        <v>#N/A N/A</v>
        <stp/>
        <stp>BDP|9325458501326845834</stp>
        <tr r="O2082" s="2"/>
      </tp>
      <tp t="s">
        <v>#N/A N/A</v>
        <stp/>
        <stp>BDP|5886014453990356359</stp>
        <tr r="O1500" s="2"/>
      </tp>
      <tp t="s">
        <v>#N/A N/A</v>
        <stp/>
        <stp>BDP|9628663664688198297</stp>
        <tr r="E1411" s="2"/>
      </tp>
      <tp t="s">
        <v>#N/A N/A</v>
        <stp/>
        <stp>BDP|4954135874812192338</stp>
        <tr r="A560" s="2"/>
      </tp>
      <tp t="s">
        <v>#N/A N/A</v>
        <stp/>
        <stp>BDP|8319815311175692795</stp>
        <tr r="S11" s="2"/>
      </tp>
      <tp t="s">
        <v>#N/A N/A</v>
        <stp/>
        <stp>BDP|8869936651993789418</stp>
        <tr r="P470" s="2"/>
      </tp>
      <tp t="s">
        <v>#N/A N/A</v>
        <stp/>
        <stp>BDP|4310182517985437240</stp>
        <tr r="J1820" s="2"/>
      </tp>
      <tp t="s">
        <v>#N/A N/A</v>
        <stp/>
        <stp>BDP|2908229867925593051</stp>
        <tr r="E795" s="2"/>
      </tp>
      <tp t="s">
        <v>#N/A N/A</v>
        <stp/>
        <stp>BDP|1770244662302518489</stp>
        <tr r="N410" s="2"/>
      </tp>
      <tp t="s">
        <v>#N/A N/A</v>
        <stp/>
        <stp>BDP|4856626274354033228</stp>
        <tr r="A1270" s="2"/>
      </tp>
      <tp t="s">
        <v>#N/A N/A</v>
        <stp/>
        <stp>BDP|4979278573173468153</stp>
        <tr r="H777" s="2"/>
      </tp>
      <tp t="s">
        <v>#N/A N/A</v>
        <stp/>
        <stp>BDP|8918317851454499910</stp>
        <tr r="F1074" s="2"/>
      </tp>
      <tp t="s">
        <v>#N/A N/A</v>
        <stp/>
        <stp>BDP|5931867974979245052</stp>
        <tr r="R1603" s="2"/>
      </tp>
      <tp t="s">
        <v>#N/A N/A</v>
        <stp/>
        <stp>BDP|7697618020868367885</stp>
        <tr r="S976" s="2"/>
      </tp>
      <tp t="s">
        <v>#N/A N/A</v>
        <stp/>
        <stp>BDP|7424947067828921325</stp>
        <tr r="K241" s="2"/>
      </tp>
      <tp t="s">
        <v>#N/A N/A</v>
        <stp/>
        <stp>BDP|3095718613884758296</stp>
        <tr r="S1799" s="2"/>
      </tp>
      <tp t="s">
        <v>#N/A N/A</v>
        <stp/>
        <stp>BDP|5091265413145822015</stp>
        <tr r="M490" s="2"/>
      </tp>
      <tp t="s">
        <v>#N/A N/A</v>
        <stp/>
        <stp>BDP|5233656002629865918</stp>
        <tr r="R1844" s="2"/>
      </tp>
      <tp t="s">
        <v>#N/A N/A</v>
        <stp/>
        <stp>BDP|5417428416037976453</stp>
        <tr r="J566" s="2"/>
      </tp>
      <tp t="s">
        <v>#N/A N/A</v>
        <stp/>
        <stp>BDP|9946672367339300368</stp>
        <tr r="G1845" s="2"/>
      </tp>
      <tp t="s">
        <v>#N/A N/A</v>
        <stp/>
        <stp>BDP|1986370477333500506</stp>
        <tr r="K2100" s="2"/>
      </tp>
      <tp t="s">
        <v>#N/A N/A</v>
        <stp/>
        <stp>BDP|9522104300493199886</stp>
        <tr r="E932" s="2"/>
      </tp>
      <tp t="s">
        <v>#N/A N/A</v>
        <stp/>
        <stp>BDP|9828965422502981397</stp>
        <tr r="E806" s="2"/>
      </tp>
      <tp t="s">
        <v>#N/A N/A</v>
        <stp/>
        <stp>BDP|9981753532896480866</stp>
        <tr r="R2163" s="2"/>
      </tp>
      <tp t="s">
        <v>#N/A N/A</v>
        <stp/>
        <stp>BDP|6857648301075506641</stp>
        <tr r="F1884" s="2"/>
      </tp>
      <tp t="s">
        <v>#N/A N/A</v>
        <stp/>
        <stp>BDS|6564407609904544553</stp>
        <tr r="I147" s="2"/>
      </tp>
      <tp t="s">
        <v>#N/A N/A</v>
        <stp/>
        <stp>BDP|3825768835796505221</stp>
        <tr r="Q104" s="2"/>
      </tp>
      <tp t="s">
        <v>#N/A N/A</v>
        <stp/>
        <stp>BDP|7412797743504096326</stp>
        <tr r="S78" s="2"/>
      </tp>
      <tp t="s">
        <v>#N/A N/A</v>
        <stp/>
        <stp>BDP|4144352370182083183</stp>
        <tr r="H2023" s="2"/>
      </tp>
      <tp t="s">
        <v>#N/A N/A</v>
        <stp/>
        <stp>BDP|5933290900761998552</stp>
        <tr r="S2160" s="2"/>
      </tp>
      <tp t="s">
        <v>#N/A N/A</v>
        <stp/>
        <stp>BDP|2850474753938942893</stp>
        <tr r="D54" s="2"/>
      </tp>
      <tp t="s">
        <v>#N/A N/A</v>
        <stp/>
        <stp>BDP|4101512715771182282</stp>
        <tr r="J109" s="2"/>
      </tp>
      <tp t="s">
        <v>#N/A N/A</v>
        <stp/>
        <stp>BDP|6801558151640328533</stp>
        <tr r="A1590" s="2"/>
      </tp>
      <tp t="s">
        <v>#N/A N/A</v>
        <stp/>
        <stp>BDP|1217678159693512251</stp>
        <tr r="C1546" s="2"/>
      </tp>
      <tp t="s">
        <v>#N/A N/A</v>
        <stp/>
        <stp>BDP|8753018895514773680</stp>
        <tr r="H1955" s="2"/>
      </tp>
      <tp t="s">
        <v>#N/A N/A</v>
        <stp/>
        <stp>BDP|1286480610426368155</stp>
        <tr r="S823" s="2"/>
      </tp>
      <tp t="s">
        <v>#N/A N/A</v>
        <stp/>
        <stp>BDP|3163560019893330712</stp>
        <tr r="E1302" s="2"/>
      </tp>
      <tp t="s">
        <v>#N/A N/A</v>
        <stp/>
        <stp>BDP|4892473484543409830</stp>
        <tr r="H1639" s="2"/>
      </tp>
      <tp t="s">
        <v>#N/A N/A</v>
        <stp/>
        <stp>BDP|3648329658421048703</stp>
        <tr r="A1911" s="2"/>
      </tp>
      <tp t="s">
        <v>#N/A N/A</v>
        <stp/>
        <stp>BDP|1014406028290498402</stp>
        <tr r="K1232" s="2"/>
      </tp>
      <tp t="s">
        <v>#N/A N/A</v>
        <stp/>
        <stp>BDP|5404391637163771519</stp>
        <tr r="P1439" s="2"/>
      </tp>
      <tp t="s">
        <v>#N/A N/A</v>
        <stp/>
        <stp>BDP|2814973012969060013</stp>
        <tr r="T146" s="2"/>
      </tp>
      <tp t="s">
        <v>#N/A N/A</v>
        <stp/>
        <stp>BDP|8978672695292408639</stp>
        <tr r="K842" s="2"/>
      </tp>
      <tp t="s">
        <v>#N/A N/A</v>
        <stp/>
        <stp>BDP|3935885673027655882</stp>
        <tr r="P2231" s="2"/>
      </tp>
      <tp t="s">
        <v>#N/A N/A</v>
        <stp/>
        <stp>BDP|4851756721416902496</stp>
        <tr r="N387" s="2"/>
      </tp>
      <tp t="s">
        <v>#N/A N/A</v>
        <stp/>
        <stp>BDP|1597549085976813909</stp>
        <tr r="F2127" s="2"/>
      </tp>
      <tp t="s">
        <v>#N/A N/A</v>
        <stp/>
        <stp>BDP|9268608423887451993</stp>
        <tr r="H2140" s="2"/>
      </tp>
      <tp t="s">
        <v>#N/A N/A</v>
        <stp/>
        <stp>BDP|2930626104506581168</stp>
        <tr r="M1303" s="2"/>
      </tp>
      <tp t="s">
        <v>#N/A N/A</v>
        <stp/>
        <stp>BDS|9998334180723309259</stp>
        <tr r="I1778" s="2"/>
      </tp>
      <tp t="s">
        <v>#N/A N/A</v>
        <stp/>
        <stp>BDP|1063799311842207667</stp>
        <tr r="R360" s="2"/>
      </tp>
      <tp t="s">
        <v>#N/A N/A</v>
        <stp/>
        <stp>BDP|7855600317727218413</stp>
        <tr r="R42" s="2"/>
      </tp>
      <tp t="s">
        <v>#N/A N/A</v>
        <stp/>
        <stp>BDP|7829612985589135316</stp>
        <tr r="G1889" s="2"/>
      </tp>
      <tp t="s">
        <v>#N/A N/A</v>
        <stp/>
        <stp>BDS|5077450582589932322</stp>
        <tr r="I167" s="2"/>
      </tp>
      <tp t="s">
        <v>#N/A N/A</v>
        <stp/>
        <stp>BDP|1485114779803038707</stp>
        <tr r="T1515" s="2"/>
      </tp>
      <tp t="s">
        <v>#N/A N/A</v>
        <stp/>
        <stp>BDP|8746579958683604828</stp>
        <tr r="G2246" s="2"/>
      </tp>
      <tp t="s">
        <v>#N/A N/A</v>
        <stp/>
        <stp>BDP|9875443389324118285</stp>
        <tr r="N1187" s="2"/>
      </tp>
      <tp t="s">
        <v>#N/A N/A</v>
        <stp/>
        <stp>BDP|4353672676526809061</stp>
        <tr r="R9" s="2"/>
      </tp>
      <tp t="s">
        <v>#N/A N/A</v>
        <stp/>
        <stp>BDP|5730272345791965103</stp>
        <tr r="M528" s="2"/>
      </tp>
      <tp t="s">
        <v>#N/A N/A</v>
        <stp/>
        <stp>BDP|7673696023250619061</stp>
        <tr r="H2232" s="2"/>
      </tp>
      <tp t="s">
        <v>#N/A N/A</v>
        <stp/>
        <stp>BDP|1417445529265035157</stp>
        <tr r="F1388" s="2"/>
      </tp>
      <tp t="s">
        <v>#N/A N/A</v>
        <stp/>
        <stp>BDS|9410415128119558541</stp>
        <tr r="I501" s="2"/>
      </tp>
      <tp t="s">
        <v>#N/A N/A</v>
        <stp/>
        <stp>BDP|7038946689527565244</stp>
        <tr r="G969" s="2"/>
      </tp>
      <tp t="s">
        <v>#N/A N/A</v>
        <stp/>
        <stp>BDP|1664194179252824627</stp>
        <tr r="C395" s="2"/>
      </tp>
      <tp t="s">
        <v>#N/A N/A</v>
        <stp/>
        <stp>BDP|8432794232238060736</stp>
        <tr r="P1265" s="2"/>
      </tp>
      <tp t="s">
        <v>#N/A N/A</v>
        <stp/>
        <stp>BDP|6229814021486839964</stp>
        <tr r="R2167" s="2"/>
      </tp>
      <tp t="s">
        <v>#N/A N/A</v>
        <stp/>
        <stp>BDP|9133915431395986548</stp>
        <tr r="R799" s="2"/>
      </tp>
      <tp t="s">
        <v>#N/A N/A</v>
        <stp/>
        <stp>BDP|1939368025861636205</stp>
        <tr r="F1739" s="2"/>
      </tp>
      <tp t="s">
        <v>#N/A N/A</v>
        <stp/>
        <stp>BDP|8857500941002574807</stp>
        <tr r="S1611" s="2"/>
      </tp>
      <tp t="s">
        <v>#N/A N/A</v>
        <stp/>
        <stp>BDP|5354772150644907015</stp>
        <tr r="N1378" s="2"/>
      </tp>
      <tp t="s">
        <v>#N/A N/A</v>
        <stp/>
        <stp>BDP|4407617346243923663</stp>
        <tr r="T2251" s="2"/>
      </tp>
      <tp t="s">
        <v>#N/A N/A</v>
        <stp/>
        <stp>BDP|6015969907959937546</stp>
        <tr r="F513" s="2"/>
      </tp>
      <tp t="s">
        <v>#N/A N/A</v>
        <stp/>
        <stp>BDP|5654345319064146063</stp>
        <tr r="O290" s="2"/>
      </tp>
      <tp t="s">
        <v>#N/A N/A</v>
        <stp/>
        <stp>BDP|1345917258727775914</stp>
        <tr r="E1039" s="2"/>
      </tp>
      <tp t="s">
        <v>#N/A N/A</v>
        <stp/>
        <stp>BDP|6196844518969074514</stp>
        <tr r="Q989" s="2"/>
      </tp>
      <tp t="s">
        <v>#N/A N/A</v>
        <stp/>
        <stp>BDP|2388932850819858440</stp>
        <tr r="N1884" s="2"/>
      </tp>
      <tp t="s">
        <v>#N/A N/A</v>
        <stp/>
        <stp>BDP|4314446947652962550</stp>
        <tr r="T2006" s="2"/>
      </tp>
      <tp t="s">
        <v>#N/A N/A</v>
        <stp/>
        <stp>BDP|6041408428766489504</stp>
        <tr r="P1254" s="2"/>
      </tp>
      <tp t="s">
        <v>#N/A N/A</v>
        <stp/>
        <stp>BDP|6132754856463826466</stp>
        <tr r="O710" s="2"/>
      </tp>
      <tp t="s">
        <v>#N/A N/A</v>
        <stp/>
        <stp>BDP|7203553500283234295</stp>
        <tr r="S139" s="2"/>
      </tp>
      <tp t="s">
        <v>#N/A N/A</v>
        <stp/>
        <stp>BDP|5817260415422355746</stp>
        <tr r="R86" s="2"/>
      </tp>
      <tp t="s">
        <v>#N/A N/A</v>
        <stp/>
        <stp>BDP|1099135923879507892</stp>
        <tr r="M668" s="2"/>
      </tp>
      <tp t="s">
        <v>#N/A N/A</v>
        <stp/>
        <stp>BDP|8220779193502910739</stp>
        <tr r="C806" s="2"/>
      </tp>
      <tp t="s">
        <v>#N/A N/A</v>
        <stp/>
        <stp>BDP|1809086414967982411</stp>
        <tr r="O1741" s="2"/>
      </tp>
      <tp t="s">
        <v>#N/A N/A</v>
        <stp/>
        <stp>BDP|8807248893055683556</stp>
        <tr r="T673" s="2"/>
      </tp>
      <tp t="s">
        <v>#N/A N/A</v>
        <stp/>
        <stp>BDP|4840739394651443866</stp>
        <tr r="D1565" s="2"/>
      </tp>
      <tp t="s">
        <v>#N/A N/A</v>
        <stp/>
        <stp>BDP|6997232107364457344</stp>
        <tr r="S1604" s="2"/>
      </tp>
      <tp t="s">
        <v>#N/A N/A</v>
        <stp/>
        <stp>BDP|1836471694978754717</stp>
        <tr r="O1167" s="2"/>
      </tp>
      <tp t="s">
        <v>#N/A N/A</v>
        <stp/>
        <stp>BDP|6987527022486037441</stp>
        <tr r="T2041" s="2"/>
      </tp>
      <tp t="s">
        <v>#N/A N/A</v>
        <stp/>
        <stp>BDP|9117153648386081910</stp>
        <tr r="E887" s="2"/>
      </tp>
      <tp t="s">
        <v>#N/A N/A</v>
        <stp/>
        <stp>BDP|4457199706564654204</stp>
        <tr r="O142" s="2"/>
      </tp>
      <tp t="s">
        <v>#N/A N/A</v>
        <stp/>
        <stp>BDP|5937350023295092220</stp>
        <tr r="G1978" s="2"/>
      </tp>
      <tp t="s">
        <v>#N/A N/A</v>
        <stp/>
        <stp>BDP|5003676159680187520</stp>
        <tr r="M604" s="2"/>
      </tp>
      <tp t="s">
        <v>#N/A N/A</v>
        <stp/>
        <stp>BDP|7302314838960379441</stp>
        <tr r="H1459" s="2"/>
      </tp>
      <tp t="s">
        <v>#N/A N/A</v>
        <stp/>
        <stp>BDP|9305485403846563800</stp>
        <tr r="O236" s="2"/>
      </tp>
      <tp t="s">
        <v>#N/A N/A</v>
        <stp/>
        <stp>BDP|7862578945596785308</stp>
        <tr r="G2108" s="2"/>
      </tp>
      <tp t="s">
        <v>#N/A N/A</v>
        <stp/>
        <stp>BDP|5343173268290989186</stp>
        <tr r="F1494" s="2"/>
      </tp>
      <tp t="s">
        <v>#N/A N/A</v>
        <stp/>
        <stp>BDP|3892186330557998548</stp>
        <tr r="H145" s="2"/>
      </tp>
      <tp t="s">
        <v>#N/A N/A</v>
        <stp/>
        <stp>BDP|7211428208236278677</stp>
        <tr r="G1954" s="2"/>
      </tp>
      <tp t="s">
        <v>#N/A N/A</v>
        <stp/>
        <stp>BDP|6696951936357893809</stp>
        <tr r="N1455" s="2"/>
      </tp>
      <tp t="s">
        <v>#N/A N/A</v>
        <stp/>
        <stp>BDP|7534494149541088581</stp>
        <tr r="N58" s="2"/>
      </tp>
      <tp t="s">
        <v>#N/A N/A</v>
        <stp/>
        <stp>BDP|5236586037802042203</stp>
        <tr r="J972" s="2"/>
      </tp>
      <tp t="s">
        <v>#N/A N/A</v>
        <stp/>
        <stp>BDP|7966979162303253833</stp>
        <tr r="G698" s="2"/>
      </tp>
      <tp t="s">
        <v>#N/A N/A</v>
        <stp/>
        <stp>BDP|2163683576900705056</stp>
        <tr r="M329" s="2"/>
      </tp>
      <tp t="s">
        <v>#N/A N/A</v>
        <stp/>
        <stp>BDP|6394567500300109097</stp>
        <tr r="A168" s="2"/>
      </tp>
      <tp t="s">
        <v>#N/A N/A</v>
        <stp/>
        <stp>BDS|1463304634353808158</stp>
        <tr r="I1951" s="2"/>
      </tp>
      <tp t="s">
        <v>#N/A N/A</v>
        <stp/>
        <stp>BDP|5297250060737910532</stp>
        <tr r="F903" s="2"/>
      </tp>
      <tp t="s">
        <v>#N/A N/A</v>
        <stp/>
        <stp>BDP|2640345585612983832</stp>
        <tr r="T1699" s="2"/>
      </tp>
      <tp t="s">
        <v>#N/A N/A</v>
        <stp/>
        <stp>BDP|4105432749837241043</stp>
        <tr r="J1472" s="2"/>
      </tp>
      <tp t="s">
        <v>#N/A N/A</v>
        <stp/>
        <stp>BDP|9959699773563944870</stp>
        <tr r="M1838" s="2"/>
      </tp>
      <tp t="s">
        <v>#N/A N/A</v>
        <stp/>
        <stp>BDS|4546247806703825628</stp>
        <tr r="I1919" s="2"/>
      </tp>
      <tp t="s">
        <v>#N/A N/A</v>
        <stp/>
        <stp>BDP|9001990350466600028</stp>
        <tr r="G233" s="2"/>
      </tp>
      <tp t="s">
        <v>#N/A N/A</v>
        <stp/>
        <stp>BDP|5704064766473891325</stp>
        <tr r="N318" s="2"/>
      </tp>
      <tp t="s">
        <v>#N/A N/A</v>
        <stp/>
        <stp>BDP|1481615156187678687</stp>
        <tr r="Q663" s="2"/>
      </tp>
      <tp t="s">
        <v>#N/A N/A</v>
        <stp/>
        <stp>BDP|5918351220816455151</stp>
        <tr r="J1651" s="2"/>
      </tp>
      <tp t="s">
        <v>#N/A N/A</v>
        <stp/>
        <stp>BDP|7939876310718764548</stp>
        <tr r="K543" s="2"/>
      </tp>
      <tp t="s">
        <v>#N/A N/A</v>
        <stp/>
        <stp>BDP|7958464722736084402</stp>
        <tr r="C1353" s="2"/>
      </tp>
      <tp t="s">
        <v>#N/A N/A</v>
        <stp/>
        <stp>BDS|1630614566095594791</stp>
        <tr r="I1483" s="2"/>
      </tp>
      <tp t="s">
        <v>#N/A N/A</v>
        <stp/>
        <stp>BDP|6166079856885406598</stp>
        <tr r="P1637" s="2"/>
      </tp>
      <tp t="s">
        <v>#N/A N/A</v>
        <stp/>
        <stp>BDP|1602147298948045275</stp>
        <tr r="S996" s="2"/>
      </tp>
      <tp t="s">
        <v>#N/A N/A</v>
        <stp/>
        <stp>BDP|9700035159606953999</stp>
        <tr r="J477" s="2"/>
      </tp>
      <tp t="s">
        <v>#N/A N/A</v>
        <stp/>
        <stp>BDS|2519565960463658189</stp>
        <tr r="I2135" s="2"/>
      </tp>
      <tp t="s">
        <v>#N/A N/A</v>
        <stp/>
        <stp>BDP|7315795939927964774</stp>
        <tr r="S2117" s="2"/>
      </tp>
      <tp t="s">
        <v>#N/A N/A</v>
        <stp/>
        <stp>BDP|9469679583671870551</stp>
        <tr r="Q789" s="2"/>
      </tp>
      <tp t="s">
        <v>#N/A N/A</v>
        <stp/>
        <stp>BDP|2498795747504568621</stp>
        <tr r="F177" s="2"/>
      </tp>
      <tp t="s">
        <v>#N/A N/A</v>
        <stp/>
        <stp>BDP|7855242297987083868</stp>
        <tr r="F1028" s="2"/>
      </tp>
      <tp t="s">
        <v>#N/A N/A</v>
        <stp/>
        <stp>BDP|1228729206925295095</stp>
        <tr r="G1650" s="2"/>
      </tp>
      <tp t="s">
        <v>#N/A N/A</v>
        <stp/>
        <stp>BDP|6889019507997010238</stp>
        <tr r="E866" s="2"/>
      </tp>
      <tp t="s">
        <v>#N/A N/A</v>
        <stp/>
        <stp>BDP|4830546461236650263</stp>
        <tr r="A2112" s="2"/>
      </tp>
      <tp t="s">
        <v>#N/A N/A</v>
        <stp/>
        <stp>BDP|7711062775722944101</stp>
        <tr r="P1543" s="2"/>
      </tp>
      <tp t="s">
        <v>#N/A N/A</v>
        <stp/>
        <stp>BDP|8586842227824877534</stp>
        <tr r="Q1525" s="2"/>
      </tp>
      <tp t="s">
        <v>#N/A N/A</v>
        <stp/>
        <stp>BDP|8026932406861009389</stp>
        <tr r="G1316" s="2"/>
      </tp>
      <tp t="s">
        <v>#N/A N/A</v>
        <stp/>
        <stp>BDP|5345150617424428283</stp>
        <tr r="O1657" s="2"/>
      </tp>
      <tp t="s">
        <v>#N/A N/A</v>
        <stp/>
        <stp>BDP|4274285271474455623</stp>
        <tr r="T1995" s="2"/>
      </tp>
      <tp t="s">
        <v>#N/A N/A</v>
        <stp/>
        <stp>BDP|9204265478746533941</stp>
        <tr r="T2031" s="2"/>
      </tp>
      <tp t="s">
        <v>#N/A N/A</v>
        <stp/>
        <stp>BDP|2832662970149313901</stp>
        <tr r="R1359" s="2"/>
      </tp>
      <tp t="s">
        <v>#N/A N/A</v>
        <stp/>
        <stp>BDP|4700544516772177197</stp>
        <tr r="A427" s="2"/>
      </tp>
      <tp t="s">
        <v>#N/A N/A</v>
        <stp/>
        <stp>BDP|5164107722121912472</stp>
        <tr r="S116" s="2"/>
      </tp>
      <tp t="s">
        <v>#N/A N/A</v>
        <stp/>
        <stp>BDS|4216697706391334036</stp>
        <tr r="I1209" s="2"/>
      </tp>
      <tp t="s">
        <v>#N/A N/A</v>
        <stp/>
        <stp>BDP|7992213232883035672</stp>
        <tr r="C1964" s="2"/>
      </tp>
      <tp t="s">
        <v>#N/A N/A</v>
        <stp/>
        <stp>BDP|8966215293112318250</stp>
        <tr r="T657" s="2"/>
      </tp>
      <tp t="s">
        <v>#N/A N/A</v>
        <stp/>
        <stp>BDP|7171641914007556490</stp>
        <tr r="R769" s="2"/>
      </tp>
      <tp t="s">
        <v>#N/A N/A</v>
        <stp/>
        <stp>BDS|6356431832215644792</stp>
        <tr r="I49" s="2"/>
      </tp>
      <tp t="s">
        <v>#N/A N/A</v>
        <stp/>
        <stp>BDP|2743842402928843149</stp>
        <tr r="N1773" s="2"/>
      </tp>
      <tp t="s">
        <v>#N/A N/A</v>
        <stp/>
        <stp>BDP|6052089191858074441</stp>
        <tr r="T1480" s="2"/>
      </tp>
      <tp t="s">
        <v>#N/A N/A</v>
        <stp/>
        <stp>BDP|9332368854829895548</stp>
        <tr r="G403" s="2"/>
      </tp>
      <tp t="s">
        <v>#N/A N/A</v>
        <stp/>
        <stp>BDP|2334475491744961812</stp>
        <tr r="G1564" s="2"/>
      </tp>
      <tp t="s">
        <v>#N/A N/A</v>
        <stp/>
        <stp>BDP|5200800052559955245</stp>
        <tr r="H1029" s="2"/>
      </tp>
      <tp t="s">
        <v>#N/A N/A</v>
        <stp/>
        <stp>BDP|4232511654214944331</stp>
        <tr r="S1475" s="2"/>
      </tp>
      <tp t="s">
        <v>#N/A N/A</v>
        <stp/>
        <stp>BDP|3764705410751236782</stp>
        <tr r="T23" s="2"/>
      </tp>
      <tp t="s">
        <v>#N/A N/A</v>
        <stp/>
        <stp>BDP|1730918985686609588</stp>
        <tr r="K1079" s="2"/>
      </tp>
      <tp t="s">
        <v>#N/A N/A</v>
        <stp/>
        <stp>BDP|3441367838065155563</stp>
        <tr r="O1903" s="2"/>
      </tp>
      <tp t="s">
        <v>#N/A N/A</v>
        <stp/>
        <stp>BDP|3032400163677830562</stp>
        <tr r="K578" s="2"/>
      </tp>
      <tp t="s">
        <v>#N/A N/A</v>
        <stp/>
        <stp>BDP|5050983083546672100</stp>
        <tr r="H1699" s="2"/>
      </tp>
      <tp t="s">
        <v>#N/A N/A</v>
        <stp/>
        <stp>BDP|4035413028660314173</stp>
        <tr r="P175" s="2"/>
      </tp>
      <tp t="s">
        <v>#N/A N/A</v>
        <stp/>
        <stp>BDP|3677284015523155077</stp>
        <tr r="R851" s="2"/>
      </tp>
      <tp t="s">
        <v>#N/A N/A</v>
        <stp/>
        <stp>BDP|6242047263726840504</stp>
        <tr r="G1269" s="2"/>
      </tp>
      <tp t="s">
        <v>#N/A N/A</v>
        <stp/>
        <stp>BDP|9225995368294740195</stp>
        <tr r="F1003" s="2"/>
      </tp>
      <tp t="s">
        <v>#N/A N/A</v>
        <stp/>
        <stp>BDP|3209743972115838515</stp>
        <tr r="Q1897" s="2"/>
      </tp>
      <tp t="s">
        <v>#N/A N/A</v>
        <stp/>
        <stp>BDP|8202963642770801633</stp>
        <tr r="S2084" s="2"/>
      </tp>
      <tp t="s">
        <v>#N/A N/A</v>
        <stp/>
        <stp>BDP|4594583444407698120</stp>
        <tr r="N502" s="2"/>
      </tp>
      <tp t="s">
        <v>#N/A N/A</v>
        <stp/>
        <stp>BDS|5632844484043278594</stp>
        <tr r="I2074" s="2"/>
      </tp>
      <tp t="s">
        <v>#N/A N/A</v>
        <stp/>
        <stp>BDP|2115480337706646054</stp>
        <tr r="T333" s="2"/>
      </tp>
      <tp t="s">
        <v>#N/A N/A</v>
        <stp/>
        <stp>BDP|8287598608258914675</stp>
        <tr r="E851" s="2"/>
      </tp>
      <tp t="s">
        <v>#N/A N/A</v>
        <stp/>
        <stp>BDP|1201832365084045890</stp>
        <tr r="G1694" s="2"/>
      </tp>
      <tp t="s">
        <v>#N/A N/A</v>
        <stp/>
        <stp>BDP|4859740928296056494</stp>
        <tr r="D147" s="2"/>
      </tp>
      <tp t="s">
        <v>#N/A N/A</v>
        <stp/>
        <stp>BDP|6034957048398615060</stp>
        <tr r="C489" s="2"/>
      </tp>
      <tp t="s">
        <v>#N/A N/A</v>
        <stp/>
        <stp>BDP|8162190101308408203</stp>
        <tr r="D1814" s="2"/>
      </tp>
      <tp t="s">
        <v>#N/A N/A</v>
        <stp/>
        <stp>BDP|6696956084264254071</stp>
        <tr r="Q1904" s="2"/>
      </tp>
      <tp t="s">
        <v>#N/A N/A</v>
        <stp/>
        <stp>BDP|1075293461841822727</stp>
        <tr r="J842" s="2"/>
      </tp>
      <tp t="s">
        <v>#N/A N/A</v>
        <stp/>
        <stp>BDP|9925069429258623022</stp>
        <tr r="D1979" s="2"/>
      </tp>
      <tp t="s">
        <v>#N/A N/A</v>
        <stp/>
        <stp>BDP|8152841977945243120</stp>
        <tr r="F1041" s="2"/>
      </tp>
      <tp t="s">
        <v>#N/A N/A</v>
        <stp/>
        <stp>BDP|8298884578407511351</stp>
        <tr r="T388" s="2"/>
      </tp>
      <tp t="s">
        <v>#N/A N/A</v>
        <stp/>
        <stp>BDP|6421470931105925798</stp>
        <tr r="O251" s="2"/>
      </tp>
      <tp t="s">
        <v>#N/A N/A</v>
        <stp/>
        <stp>BDP|6737359153230655355</stp>
        <tr r="D1262" s="2"/>
      </tp>
      <tp t="s">
        <v>#N/A N/A</v>
        <stp/>
        <stp>BDP|8500958562482111615</stp>
        <tr r="G2106" s="2"/>
      </tp>
      <tp t="s">
        <v>#N/A N/A</v>
        <stp/>
        <stp>BDP|7000792939353716358</stp>
        <tr r="Q438" s="2"/>
      </tp>
      <tp t="s">
        <v>#N/A N/A</v>
        <stp/>
        <stp>BDP|7813725959261648779</stp>
        <tr r="R1007" s="2"/>
      </tp>
      <tp t="s">
        <v>#N/A N/A</v>
        <stp/>
        <stp>BDP|3773218913527397448</stp>
        <tr r="C1104" s="2"/>
      </tp>
      <tp t="s">
        <v>#N/A N/A</v>
        <stp/>
        <stp>BDP|4424123322917759316</stp>
        <tr r="F1861" s="2"/>
      </tp>
      <tp t="s">
        <v>#N/A N/A</v>
        <stp/>
        <stp>BDP|3229749271701042153</stp>
        <tr r="T1231" s="2"/>
      </tp>
      <tp t="s">
        <v>#N/A N/A</v>
        <stp/>
        <stp>BDP|9464139399331802346</stp>
        <tr r="G1742" s="2"/>
      </tp>
      <tp t="s">
        <v>#N/A N/A</v>
        <stp/>
        <stp>BDP|3487132405485106414</stp>
        <tr r="P183" s="2"/>
      </tp>
      <tp t="s">
        <v>#N/A N/A</v>
        <stp/>
        <stp>BDP|4236373785185693942</stp>
        <tr r="A1479" s="2"/>
      </tp>
      <tp t="s">
        <v>#N/A N/A</v>
        <stp/>
        <stp>BDP|2975996151065629859</stp>
        <tr r="F1800" s="2"/>
      </tp>
      <tp t="s">
        <v>#N/A N/A</v>
        <stp/>
        <stp>BDP|8651809011391113344</stp>
        <tr r="H2123" s="2"/>
      </tp>
      <tp t="s">
        <v>#N/A N/A</v>
        <stp/>
        <stp>BDP|3188347045195434260</stp>
        <tr r="H2031" s="2"/>
      </tp>
      <tp t="s">
        <v>#N/A N/A</v>
        <stp/>
        <stp>BDP|6454173033400761759</stp>
        <tr r="C726" s="2"/>
      </tp>
      <tp t="s">
        <v>#N/A N/A</v>
        <stp/>
        <stp>BDP|8282143056648633743</stp>
        <tr r="N17" s="2"/>
      </tp>
      <tp t="s">
        <v>#N/A N/A</v>
        <stp/>
        <stp>BDP|5317344150816700620</stp>
        <tr r="M1444" s="2"/>
      </tp>
      <tp t="s">
        <v>#N/A N/A</v>
        <stp/>
        <stp>BDP|4859968989956705029</stp>
        <tr r="E2085" s="2"/>
      </tp>
      <tp t="s">
        <v>#N/A N/A</v>
        <stp/>
        <stp>BDP|8515734394915567057</stp>
        <tr r="P635" s="2"/>
      </tp>
      <tp t="s">
        <v>#N/A N/A</v>
        <stp/>
        <stp>BDP|2246897038193573948</stp>
        <tr r="K2209" s="2"/>
      </tp>
      <tp t="s">
        <v>#N/A N/A</v>
        <stp/>
        <stp>BDP|6824679731592937250</stp>
        <tr r="D2203" s="2"/>
      </tp>
      <tp t="s">
        <v>#N/A N/A</v>
        <stp/>
        <stp>BDP|2289396117045665685</stp>
        <tr r="P1004" s="2"/>
      </tp>
      <tp t="s">
        <v>#N/A N/A</v>
        <stp/>
        <stp>BDP|6721602486099045239</stp>
        <tr r="P27" s="2"/>
      </tp>
      <tp t="s">
        <v>#N/A N/A</v>
        <stp/>
        <stp>BDP|7883761810221842342</stp>
        <tr r="G828" s="2"/>
      </tp>
      <tp t="s">
        <v>#N/A N/A</v>
        <stp/>
        <stp>BDP|9191270324603037900</stp>
        <tr r="F535" s="2"/>
      </tp>
      <tp t="s">
        <v>#N/A N/A</v>
        <stp/>
        <stp>BDP|8392075114209442366</stp>
        <tr r="R1486" s="2"/>
      </tp>
      <tp t="s">
        <v>#N/A N/A</v>
        <stp/>
        <stp>BDP|9457610598250895572</stp>
        <tr r="S1489" s="2"/>
      </tp>
      <tp t="s">
        <v>#N/A N/A</v>
        <stp/>
        <stp>BDP|4772691433287802578</stp>
        <tr r="D621" s="2"/>
      </tp>
      <tp t="s">
        <v>#N/A N/A</v>
        <stp/>
        <stp>BDP|8182447748489722285</stp>
        <tr r="D1879" s="2"/>
      </tp>
      <tp t="s">
        <v>#N/A N/A</v>
        <stp/>
        <stp>BDP|2250034832871715364</stp>
        <tr r="D21" s="2"/>
      </tp>
      <tp t="s">
        <v>#N/A N/A</v>
        <stp/>
        <stp>BDP|2474008232320230260</stp>
        <tr r="C1731" s="2"/>
      </tp>
      <tp t="s">
        <v>#N/A N/A</v>
        <stp/>
        <stp>BDP|8274330001061587970</stp>
        <tr r="A1444" s="2"/>
      </tp>
      <tp t="s">
        <v>#N/A N/A</v>
        <stp/>
        <stp>BDP|7950482411314532578</stp>
        <tr r="M1445" s="2"/>
      </tp>
      <tp t="s">
        <v>#N/A N/A</v>
        <stp/>
        <stp>BDP|3162708222740574541</stp>
        <tr r="O2129" s="2"/>
      </tp>
      <tp t="s">
        <v>#N/A N/A</v>
        <stp/>
        <stp>BDP|5651390107776994334</stp>
        <tr r="Q1079" s="2"/>
      </tp>
      <tp t="s">
        <v>#N/A N/A</v>
        <stp/>
        <stp>BDP|6847344580826718896</stp>
        <tr r="P915" s="2"/>
      </tp>
      <tp t="s">
        <v>#N/A N/A</v>
        <stp/>
        <stp>BDP|7390027774172476136</stp>
        <tr r="T2012" s="2"/>
      </tp>
      <tp t="s">
        <v>#N/A N/A</v>
        <stp/>
        <stp>BDP|8787371840588476465</stp>
        <tr r="J1125" s="2"/>
      </tp>
      <tp t="s">
        <v>#N/A N/A</v>
        <stp/>
        <stp>BDP|9411052788741247391</stp>
        <tr r="P1713" s="2"/>
      </tp>
      <tp t="s">
        <v>#N/A N/A</v>
        <stp/>
        <stp>BDP|9873491483521660764</stp>
        <tr r="O1417" s="2"/>
      </tp>
      <tp t="s">
        <v>#N/A N/A</v>
        <stp/>
        <stp>BDP|1390436024273751719</stp>
        <tr r="H1954" s="2"/>
      </tp>
      <tp t="s">
        <v>#N/A N/A</v>
        <stp/>
        <stp>BDP|4029443566180412540</stp>
        <tr r="F1641" s="2"/>
      </tp>
      <tp t="s">
        <v>#N/A N/A</v>
        <stp/>
        <stp>BDP|6325727623581698168</stp>
        <tr r="G1860" s="2"/>
      </tp>
      <tp t="s">
        <v>#N/A N/A</v>
        <stp/>
        <stp>BDP|9055814225436028666</stp>
        <tr r="P987" s="2"/>
      </tp>
      <tp t="s">
        <v>#N/A N/A</v>
        <stp/>
        <stp>BDP|9361419043782705849</stp>
        <tr r="K1248" s="2"/>
      </tp>
      <tp t="s">
        <v>#N/A N/A</v>
        <stp/>
        <stp>BDP|3469387279611660510</stp>
        <tr r="H464" s="2"/>
      </tp>
      <tp t="s">
        <v>#N/A N/A</v>
        <stp/>
        <stp>BDP|2559944376599706624</stp>
        <tr r="J104" s="2"/>
      </tp>
      <tp t="s">
        <v>#N/A N/A</v>
        <stp/>
        <stp>BDP|2927083530057191528</stp>
        <tr r="O966" s="2"/>
      </tp>
      <tp t="s">
        <v>#N/A N/A</v>
        <stp/>
        <stp>BDP|6808613936852482293</stp>
        <tr r="C58" s="2"/>
      </tp>
      <tp t="s">
        <v>#N/A N/A</v>
        <stp/>
        <stp>BDP|2250026615039412932</stp>
        <tr r="C2160" s="2"/>
      </tp>
      <tp t="s">
        <v>#N/A N/A</v>
        <stp/>
        <stp>BDP|9631301819398922043</stp>
        <tr r="M18" s="2"/>
      </tp>
      <tp t="s">
        <v>#N/A N/A</v>
        <stp/>
        <stp>BDP|3916142419568638805</stp>
        <tr r="H917" s="2"/>
      </tp>
      <tp t="s">
        <v>#N/A N/A</v>
        <stp/>
        <stp>BDP|3014899150088904528</stp>
        <tr r="R805" s="2"/>
      </tp>
      <tp t="s">
        <v>#N/A N/A</v>
        <stp/>
        <stp>BDP|1516193159251689718</stp>
        <tr r="J562" s="2"/>
      </tp>
      <tp t="s">
        <v>#N/A N/A</v>
        <stp/>
        <stp>BDP|6636397239992699727</stp>
        <tr r="J2047" s="2"/>
      </tp>
      <tp t="s">
        <v>#N/A N/A</v>
        <stp/>
        <stp>BDP|4163651472187458100</stp>
        <tr r="P88" s="2"/>
      </tp>
      <tp t="s">
        <v>#N/A N/A</v>
        <stp/>
        <stp>BDP|5567593945573315482</stp>
        <tr r="E289" s="2"/>
      </tp>
      <tp t="s">
        <v>#N/A N/A</v>
        <stp/>
        <stp>BDS|3212511745195781439</stp>
        <tr r="I1068" s="2"/>
      </tp>
      <tp t="s">
        <v>#N/A N/A</v>
        <stp/>
        <stp>BDP|3003965626149365210</stp>
        <tr r="M1673" s="2"/>
      </tp>
      <tp t="s">
        <v>#N/A N/A</v>
        <stp/>
        <stp>BDP|6680388057284848734</stp>
        <tr r="F1017" s="2"/>
      </tp>
      <tp t="s">
        <v>#N/A N/A</v>
        <stp/>
        <stp>BDP|1697133691332493822</stp>
        <tr r="A1247" s="2"/>
      </tp>
      <tp t="s">
        <v>#N/A N/A</v>
        <stp/>
        <stp>BDP|6127234360934058508</stp>
        <tr r="N959" s="2"/>
      </tp>
      <tp t="s">
        <v>#N/A N/A</v>
        <stp/>
        <stp>BDP|5667192816081243795</stp>
        <tr r="C1883" s="2"/>
      </tp>
      <tp t="s">
        <v>#N/A N/A</v>
        <stp/>
        <stp>BDP|6336243097558644644</stp>
        <tr r="G762" s="2"/>
      </tp>
      <tp t="s">
        <v>#N/A N/A</v>
        <stp/>
        <stp>BDP|4333045343242034162</stp>
        <tr r="J327" s="2"/>
      </tp>
      <tp t="s">
        <v>#N/A N/A</v>
        <stp/>
        <stp>BDP|7503080100826680295</stp>
        <tr r="H1032" s="2"/>
      </tp>
      <tp t="s">
        <v>#N/A N/A</v>
        <stp/>
        <stp>BDP|9558136374195953992</stp>
        <tr r="F1527" s="2"/>
      </tp>
      <tp t="s">
        <v>#N/A N/A</v>
        <stp/>
        <stp>BDP|9538800663051049542</stp>
        <tr r="G1015" s="2"/>
      </tp>
      <tp t="s">
        <v>#N/A N/A</v>
        <stp/>
        <stp>BDP|3931787760636639754</stp>
        <tr r="E493" s="2"/>
      </tp>
      <tp t="s">
        <v>#N/A N/A</v>
        <stp/>
        <stp>BDP|4577083749287024461</stp>
        <tr r="S2077" s="2"/>
      </tp>
      <tp t="s">
        <v>#N/A N/A</v>
        <stp/>
        <stp>BDP|5745962561188435161</stp>
        <tr r="T983" s="2"/>
      </tp>
      <tp t="s">
        <v>#N/A N/A</v>
        <stp/>
        <stp>BDP|3437941944455012862</stp>
        <tr r="O1621" s="2"/>
      </tp>
      <tp t="s">
        <v>#N/A N/A</v>
        <stp/>
        <stp>BDP|6380044644359086813</stp>
        <tr r="C177" s="2"/>
      </tp>
      <tp t="s">
        <v>#N/A N/A</v>
        <stp/>
        <stp>BDP|6329315420794412045</stp>
        <tr r="G780" s="2"/>
      </tp>
      <tp t="s">
        <v>#N/A N/A</v>
        <stp/>
        <stp>BDP|6307263622117277271</stp>
        <tr r="H2076" s="2"/>
      </tp>
      <tp t="s">
        <v>#N/A N/A</v>
        <stp/>
        <stp>BDP|4223041041421142247</stp>
        <tr r="M502" s="2"/>
      </tp>
      <tp t="s">
        <v>#N/A N/A</v>
        <stp/>
        <stp>BDP|7679308965013092212</stp>
        <tr r="M618" s="2"/>
      </tp>
      <tp t="s">
        <v>#N/A N/A</v>
        <stp/>
        <stp>BDP|2655074417797254767</stp>
        <tr r="H1482" s="2"/>
      </tp>
      <tp t="s">
        <v>#N/A N/A</v>
        <stp/>
        <stp>BDP|3754235301084132667</stp>
        <tr r="Q799" s="2"/>
      </tp>
      <tp t="s">
        <v>#N/A N/A</v>
        <stp/>
        <stp>BDP|5669010033356282349</stp>
        <tr r="G2162" s="2"/>
      </tp>
      <tp t="s">
        <v>#N/A N/A</v>
        <stp/>
        <stp>BDP|4628157452403326007</stp>
        <tr r="M1819" s="2"/>
      </tp>
      <tp t="s">
        <v>#N/A N/A</v>
        <stp/>
        <stp>BDP|2246234237163527314</stp>
        <tr r="A904" s="2"/>
      </tp>
      <tp t="s">
        <v>#N/A N/A</v>
        <stp/>
        <stp>BDP|4777540183379531370</stp>
        <tr r="P1379" s="2"/>
      </tp>
      <tp t="s">
        <v>#N/A N/A</v>
        <stp/>
        <stp>BDP|3894660069660113049</stp>
        <tr r="T376" s="2"/>
      </tp>
      <tp t="s">
        <v>#N/A N/A</v>
        <stp/>
        <stp>BDP|2609781965521821111</stp>
        <tr r="Q1936" s="2"/>
      </tp>
      <tp t="s">
        <v>#N/A N/A</v>
        <stp/>
        <stp>BDP|8893996804901737302</stp>
        <tr r="J1810" s="2"/>
      </tp>
      <tp t="s">
        <v>#N/A N/A</v>
        <stp/>
        <stp>BDS|5590424034959668876</stp>
        <tr r="I313" s="2"/>
      </tp>
      <tp t="s">
        <v>#N/A N/A</v>
        <stp/>
        <stp>BDP|1159679371644680735</stp>
        <tr r="O739" s="2"/>
      </tp>
      <tp t="s">
        <v>#N/A N/A</v>
        <stp/>
        <stp>BDP|1926097294333313851</stp>
        <tr r="D1256" s="2"/>
      </tp>
      <tp t="s">
        <v>#N/A N/A</v>
        <stp/>
        <stp>BDP|5430520759937551189</stp>
        <tr r="E675" s="2"/>
      </tp>
      <tp t="s">
        <v>#N/A N/A</v>
        <stp/>
        <stp>BDP|5545060136530662511</stp>
        <tr r="O653" s="2"/>
      </tp>
      <tp t="s">
        <v>#N/A N/A</v>
        <stp/>
        <stp>BDP|7129062318793482699</stp>
        <tr r="O2244" s="2"/>
      </tp>
      <tp t="s">
        <v>#N/A N/A</v>
        <stp/>
        <stp>BDP|7152055324836460068</stp>
        <tr r="T1403" s="2"/>
      </tp>
      <tp t="s">
        <v>#N/A N/A</v>
        <stp/>
        <stp>BDP|3119957492447745730</stp>
        <tr r="N2166" s="2"/>
      </tp>
      <tp t="s">
        <v>#N/A N/A</v>
        <stp/>
        <stp>BDP|8187791282007861316</stp>
        <tr r="A592" s="2"/>
      </tp>
      <tp t="s">
        <v>#N/A N/A</v>
        <stp/>
        <stp>BDP|7347664459727796087</stp>
        <tr r="H1735" s="2"/>
      </tp>
      <tp t="s">
        <v>#N/A N/A</v>
        <stp/>
        <stp>BDP|5785065804452498429</stp>
        <tr r="E1674" s="2"/>
      </tp>
      <tp t="s">
        <v>#N/A N/A</v>
        <stp/>
        <stp>BDP|1685450061119096919</stp>
        <tr r="A1790" s="2"/>
      </tp>
      <tp t="s">
        <v>#N/A N/A</v>
        <stp/>
        <stp>BDP|3075816553839211431</stp>
        <tr r="E1425" s="2"/>
      </tp>
      <tp t="s">
        <v>#N/A N/A</v>
        <stp/>
        <stp>BDP|1285537478719833922</stp>
        <tr r="R1553" s="2"/>
      </tp>
      <tp t="s">
        <v>#N/A N/A</v>
        <stp/>
        <stp>BDP|7138524237903179160</stp>
        <tr r="E240" s="2"/>
      </tp>
      <tp t="s">
        <v>#N/A N/A</v>
        <stp/>
        <stp>BDP|9452422595897532055</stp>
        <tr r="C1627" s="2"/>
      </tp>
      <tp t="s">
        <v>#N/A N/A</v>
        <stp/>
        <stp>BDP|4708278736007430112</stp>
        <tr r="R282" s="2"/>
      </tp>
      <tp t="s">
        <v>#N/A N/A</v>
        <stp/>
        <stp>BDP|2857426402005329088</stp>
        <tr r="D734" s="2"/>
      </tp>
      <tp t="s">
        <v>#N/A N/A</v>
        <stp/>
        <stp>BDS|1494228969317596191</stp>
        <tr r="I1667" s="2"/>
      </tp>
      <tp t="s">
        <v>#N/A N/A</v>
        <stp/>
        <stp>BDP|9321876661325191176</stp>
        <tr r="D658" s="2"/>
      </tp>
      <tp t="s">
        <v>#N/A N/A</v>
        <stp/>
        <stp>BDP|1533258492860884993</stp>
        <tr r="G1226" s="2"/>
      </tp>
      <tp t="s">
        <v>#N/A N/A</v>
        <stp/>
        <stp>BDP|8613659600784578950</stp>
        <tr r="D518" s="2"/>
      </tp>
      <tp t="s">
        <v>#N/A N/A</v>
        <stp/>
        <stp>BDP|3069970871757305969</stp>
        <tr r="Q1670" s="2"/>
      </tp>
      <tp t="s">
        <v>#N/A N/A</v>
        <stp/>
        <stp>BDS|7915393862811893098</stp>
        <tr r="I1956" s="2"/>
      </tp>
      <tp t="s">
        <v>#N/A N/A</v>
        <stp/>
        <stp>BDP|9743881954346188195</stp>
        <tr r="S870" s="2"/>
      </tp>
      <tp t="s">
        <v>#N/A N/A</v>
        <stp/>
        <stp>BDP|3600624030720192561</stp>
        <tr r="N217" s="2"/>
      </tp>
      <tp t="s">
        <v>#N/A N/A</v>
        <stp/>
        <stp>BDP|2752863281238791946</stp>
        <tr r="F1587" s="2"/>
      </tp>
      <tp t="s">
        <v>#N/A N/A</v>
        <stp/>
        <stp>BDP|3696964491767448765</stp>
        <tr r="N1058" s="2"/>
      </tp>
      <tp t="s">
        <v>#N/A N/A</v>
        <stp/>
        <stp>BDP|5408007233720084543</stp>
        <tr r="C470" s="2"/>
      </tp>
      <tp t="s">
        <v>#N/A N/A</v>
        <stp/>
        <stp>BDP|8335810960841826492</stp>
        <tr r="G640" s="2"/>
      </tp>
      <tp t="s">
        <v>#N/A N/A</v>
        <stp/>
        <stp>BDP|4046730587630008879</stp>
        <tr r="O2235" s="2"/>
      </tp>
      <tp t="s">
        <v>#N/A N/A</v>
        <stp/>
        <stp>BDP|7591792533151526192</stp>
        <tr r="C1657" s="2"/>
      </tp>
      <tp t="s">
        <v>#N/A N/A</v>
        <stp/>
        <stp>BDP|1509658147189453906</stp>
        <tr r="R461" s="2"/>
      </tp>
      <tp t="s">
        <v>#N/A N/A</v>
        <stp/>
        <stp>BDP|3141191008806500760</stp>
        <tr r="D2166" s="2"/>
      </tp>
      <tp t="s">
        <v>#N/A N/A</v>
        <stp/>
        <stp>BDP|6234656518861826342</stp>
        <tr r="C564" s="2"/>
      </tp>
      <tp t="s">
        <v>#N/A N/A</v>
        <stp/>
        <stp>BDP|2898021806076654790</stp>
        <tr r="E751" s="2"/>
      </tp>
      <tp t="s">
        <v>#N/A N/A</v>
        <stp/>
        <stp>BDP|9475609236116275935</stp>
        <tr r="K1985" s="2"/>
      </tp>
      <tp t="s">
        <v>#N/A N/A</v>
        <stp/>
        <stp>BDP|1959180727307381663</stp>
        <tr r="R1240" s="2"/>
      </tp>
      <tp t="s">
        <v>#N/A N/A</v>
        <stp/>
        <stp>BDP|8439501766701811999</stp>
        <tr r="D927" s="2"/>
      </tp>
      <tp t="s">
        <v>#N/A N/A</v>
        <stp/>
        <stp>BDP|8646189288421769322</stp>
        <tr r="C2195" s="2"/>
      </tp>
      <tp t="s">
        <v>#N/A N/A</v>
        <stp/>
        <stp>BDP|5966545113272588084</stp>
        <tr r="K1015" s="2"/>
      </tp>
      <tp t="s">
        <v>#N/A N/A</v>
        <stp/>
        <stp>BDP|2780011939716801443</stp>
        <tr r="H2139" s="2"/>
      </tp>
      <tp t="s">
        <v>#N/A N/A</v>
        <stp/>
        <stp>BDP|4008662002852354342</stp>
        <tr r="J625" s="2"/>
      </tp>
      <tp t="s">
        <v>#N/A N/A</v>
        <stp/>
        <stp>BDP|7411887704678248499</stp>
        <tr r="T2133" s="2"/>
      </tp>
      <tp t="s">
        <v>#N/A N/A</v>
        <stp/>
        <stp>BDP|1801078397179860233</stp>
        <tr r="M515" s="2"/>
      </tp>
      <tp t="s">
        <v>#N/A N/A</v>
        <stp/>
        <stp>BDP|1014046475844345117</stp>
        <tr r="F705" s="2"/>
      </tp>
      <tp t="s">
        <v>#N/A N/A</v>
        <stp/>
        <stp>BDP|2514635327755497065</stp>
        <tr r="T2159" s="2"/>
      </tp>
      <tp t="s">
        <v>#N/A N/A</v>
        <stp/>
        <stp>BDP|3014041542244183045</stp>
        <tr r="J387" s="2"/>
      </tp>
      <tp t="s">
        <v>#N/A N/A</v>
        <stp/>
        <stp>BDP|4637734366841783778</stp>
        <tr r="Q159" s="2"/>
      </tp>
      <tp t="s">
        <v>#N/A N/A</v>
        <stp/>
        <stp>BDP|8648903708347838558</stp>
        <tr r="D791" s="2"/>
      </tp>
      <tp t="s">
        <v>#N/A N/A</v>
        <stp/>
        <stp>BDP|1635876665979341546</stp>
        <tr r="F389" s="2"/>
      </tp>
      <tp t="s">
        <v>#N/A N/A</v>
        <stp/>
        <stp>BDP|2336756752845309643</stp>
        <tr r="N1538" s="2"/>
      </tp>
      <tp t="s">
        <v>#N/A N/A</v>
        <stp/>
        <stp>BDP|2971184754067499224</stp>
        <tr r="Q1535" s="2"/>
      </tp>
      <tp t="s">
        <v>#N/A N/A</v>
        <stp/>
        <stp>BDP|2087363995599981297</stp>
        <tr r="P135" s="2"/>
      </tp>
      <tp t="s">
        <v>#N/A N/A</v>
        <stp/>
        <stp>BDS|8182242397358423859</stp>
        <tr r="I543" s="2"/>
      </tp>
      <tp t="s">
        <v>#N/A N/A</v>
        <stp/>
        <stp>BDP|8441631456628027020</stp>
        <tr r="G1090" s="2"/>
      </tp>
      <tp t="s">
        <v>#N/A N/A</v>
        <stp/>
        <stp>BDP|6044692892388057281</stp>
        <tr r="C1927" s="2"/>
      </tp>
      <tp t="s">
        <v>#N/A N/A</v>
        <stp/>
        <stp>BDP|5929284216137366270</stp>
        <tr r="H392" s="2"/>
      </tp>
      <tp t="s">
        <v>#N/A N/A</v>
        <stp/>
        <stp>BDP|9118186048018676741</stp>
        <tr r="N1697" s="2"/>
      </tp>
      <tp t="s">
        <v>#N/A N/A</v>
        <stp/>
        <stp>BDP|3676243851211857682</stp>
        <tr r="N1744" s="2"/>
      </tp>
      <tp t="s">
        <v>#N/A N/A</v>
        <stp/>
        <stp>BDP|4774235404003778644</stp>
        <tr r="P462" s="2"/>
      </tp>
      <tp t="s">
        <v>#N/A N/A</v>
        <stp/>
        <stp>BDP|4570846004417118875</stp>
        <tr r="M185" s="2"/>
      </tp>
      <tp t="s">
        <v>#N/A N/A</v>
        <stp/>
        <stp>BDP|2318522363432629075</stp>
        <tr r="T2196" s="2"/>
      </tp>
      <tp t="s">
        <v>#N/A N/A</v>
        <stp/>
        <stp>BDP|3664473054909148878</stp>
        <tr r="F1256" s="2"/>
      </tp>
      <tp t="s">
        <v>#N/A N/A</v>
        <stp/>
        <stp>BDP|5062541404192502166</stp>
        <tr r="F670" s="2"/>
      </tp>
      <tp t="s">
        <v>#N/A N/A</v>
        <stp/>
        <stp>BDP|5365137437985296161</stp>
        <tr r="A243" s="2"/>
      </tp>
      <tp t="s">
        <v>#N/A N/A</v>
        <stp/>
        <stp>BDP|6496173034352319578</stp>
        <tr r="T566" s="2"/>
      </tp>
      <tp t="s">
        <v>#N/A N/A</v>
        <stp/>
        <stp>BDP|2234434519576381289</stp>
        <tr r="H488" s="2"/>
      </tp>
      <tp t="s">
        <v>#N/A N/A</v>
        <stp/>
        <stp>BDP|2571413841915268448</stp>
        <tr r="R326" s="2"/>
      </tp>
      <tp t="s">
        <v>#N/A N/A</v>
        <stp/>
        <stp>BDP|7169388004870723797</stp>
        <tr r="O1984" s="2"/>
      </tp>
      <tp t="s">
        <v>#N/A N/A</v>
        <stp/>
        <stp>BDP|2371566161183142167</stp>
        <tr r="C388" s="2"/>
      </tp>
      <tp t="s">
        <v>#N/A N/A</v>
        <stp/>
        <stp>BDP|5420701081750405926</stp>
        <tr r="R1043" s="2"/>
      </tp>
      <tp t="s">
        <v>#N/A N/A</v>
        <stp/>
        <stp>BDP|3161035340796155203</stp>
        <tr r="D1845" s="2"/>
      </tp>
      <tp t="s">
        <v>#N/A N/A</v>
        <stp/>
        <stp>BDP|7756170471841389317</stp>
        <tr r="C57" s="2"/>
      </tp>
      <tp t="s">
        <v>#N/A N/A</v>
        <stp/>
        <stp>BDP|4435845135239533532</stp>
        <tr r="J1580" s="2"/>
      </tp>
      <tp t="s">
        <v>#N/A N/A</v>
        <stp/>
        <stp>BDP|4062188256955439691</stp>
        <tr r="R1537" s="2"/>
      </tp>
      <tp t="s">
        <v>#N/A N/A</v>
        <stp/>
        <stp>BDP|5100014116316329160</stp>
        <tr r="K243" s="2"/>
      </tp>
      <tp t="s">
        <v>#N/A N/A</v>
        <stp/>
        <stp>BDP|5913044618283437421</stp>
        <tr r="T866" s="2"/>
      </tp>
      <tp t="s">
        <v>#N/A N/A</v>
        <stp/>
        <stp>BDP|4365163372313047246</stp>
        <tr r="G1968" s="2"/>
      </tp>
      <tp t="s">
        <v>#N/A N/A</v>
        <stp/>
        <stp>BDP|4192040015936162022</stp>
        <tr r="G1332" s="2"/>
      </tp>
      <tp t="s">
        <v>#N/A N/A</v>
        <stp/>
        <stp>BDP|2278473791234514823</stp>
        <tr r="A1185" s="2"/>
      </tp>
      <tp t="s">
        <v>#N/A N/A</v>
        <stp/>
        <stp>BDP|2330776231534424125</stp>
        <tr r="K1464" s="2"/>
      </tp>
      <tp t="s">
        <v>#N/A N/A</v>
        <stp/>
        <stp>BDP|3177165457047520367</stp>
        <tr r="O1248" s="2"/>
      </tp>
      <tp t="s">
        <v>#N/A N/A</v>
        <stp/>
        <stp>BDP|8322358378606836958</stp>
        <tr r="J74" s="2"/>
      </tp>
      <tp t="s">
        <v>#N/A N/A</v>
        <stp/>
        <stp>BDP|5310369966981610267</stp>
        <tr r="H1226" s="2"/>
      </tp>
      <tp t="s">
        <v>#N/A N/A</v>
        <stp/>
        <stp>BDP|1928641172544800741</stp>
        <tr r="P1118" s="2"/>
      </tp>
      <tp t="s">
        <v>#N/A N/A</v>
        <stp/>
        <stp>BDP|5574785861931952669</stp>
        <tr r="A950" s="2"/>
      </tp>
      <tp t="s">
        <v>#N/A N/A</v>
        <stp/>
        <stp>BDP|6788479133721404341</stp>
        <tr r="K1800" s="2"/>
      </tp>
      <tp t="s">
        <v>#N/A N/A</v>
        <stp/>
        <stp>BDP|2303126820175086728</stp>
        <tr r="J239" s="2"/>
      </tp>
      <tp t="s">
        <v>#N/A N/A</v>
        <stp/>
        <stp>BDP|2740436646752919383</stp>
        <tr r="H2194" s="2"/>
      </tp>
      <tp t="s">
        <v>#N/A N/A</v>
        <stp/>
        <stp>BDP|3341064235710358305</stp>
        <tr r="F1817" s="2"/>
      </tp>
      <tp t="s">
        <v>#N/A N/A</v>
        <stp/>
        <stp>BDP|7837592965383642410</stp>
        <tr r="E1559" s="2"/>
      </tp>
      <tp t="s">
        <v>#N/A N/A</v>
        <stp/>
        <stp>BDP|5363329739733292597</stp>
        <tr r="E1229" s="2"/>
      </tp>
      <tp t="s">
        <v>#N/A N/A</v>
        <stp/>
        <stp>BDS|5196785292788969018</stp>
        <tr r="I768" s="2"/>
      </tp>
      <tp t="s">
        <v>#N/A N/A</v>
        <stp/>
        <stp>BDP|2296668991508279645</stp>
        <tr r="Q1556" s="2"/>
      </tp>
      <tp t="s">
        <v>#N/A N/A</v>
        <stp/>
        <stp>BDP|5661151511013886599</stp>
        <tr r="M474" s="2"/>
      </tp>
      <tp t="s">
        <v>#N/A N/A</v>
        <stp/>
        <stp>BDP|6532968136067698804</stp>
        <tr r="H803" s="2"/>
      </tp>
      <tp t="s">
        <v>#N/A N/A</v>
        <stp/>
        <stp>BDP|9971953810703816174</stp>
        <tr r="M1435" s="2"/>
      </tp>
      <tp t="s">
        <v>#N/A N/A</v>
        <stp/>
        <stp>BDS|1290323973703606568</stp>
        <tr r="I1684" s="2"/>
      </tp>
      <tp t="s">
        <v>#N/A N/A</v>
        <stp/>
        <stp>BDP|6035482778810679658</stp>
        <tr r="N1537" s="2"/>
      </tp>
      <tp t="s">
        <v>#N/A N/A</v>
        <stp/>
        <stp>BDP|2430231560644389145</stp>
        <tr r="R967" s="2"/>
      </tp>
      <tp t="s">
        <v>#N/A N/A</v>
        <stp/>
        <stp>BDP|5160498532650319190</stp>
        <tr r="H1026" s="2"/>
      </tp>
      <tp t="s">
        <v>#N/A N/A</v>
        <stp/>
        <stp>BDP|3523871693494086516</stp>
        <tr r="C1622" s="2"/>
      </tp>
      <tp t="s">
        <v>#N/A N/A</v>
        <stp/>
        <stp>BDP|1400979540358318703</stp>
        <tr r="T1407" s="2"/>
      </tp>
      <tp t="s">
        <v>#N/A N/A</v>
        <stp/>
        <stp>BDP|1432656333561081623</stp>
        <tr r="K2216" s="2"/>
      </tp>
      <tp t="s">
        <v>#N/A N/A</v>
        <stp/>
        <stp>BDP|2887312577614604187</stp>
        <tr r="R640" s="2"/>
      </tp>
      <tp t="s">
        <v>#N/A N/A</v>
        <stp/>
        <stp>BDP|7262231701840411645</stp>
        <tr r="C1555" s="2"/>
      </tp>
      <tp t="s">
        <v>#N/A N/A</v>
        <stp/>
        <stp>BDP|6890548677282384580</stp>
        <tr r="C1670" s="2"/>
      </tp>
      <tp t="s">
        <v>#N/A N/A</v>
        <stp/>
        <stp>BDP|4687670542865624058</stp>
        <tr r="E476" s="2"/>
      </tp>
      <tp t="s">
        <v>#N/A N/A</v>
        <stp/>
        <stp>BDP|4224853002307505808</stp>
        <tr r="C741" s="2"/>
      </tp>
      <tp t="s">
        <v>#N/A N/A</v>
        <stp/>
        <stp>BDP|3868919515178928056</stp>
        <tr r="S698" s="2"/>
      </tp>
      <tp t="s">
        <v>#N/A N/A</v>
        <stp/>
        <stp>BDP|3992768732133598783</stp>
        <tr r="M1369" s="2"/>
      </tp>
      <tp t="s">
        <v>#N/A N/A</v>
        <stp/>
        <stp>BDP|8931959520284872445</stp>
        <tr r="O1617" s="2"/>
      </tp>
      <tp t="s">
        <v>#N/A N/A</v>
        <stp/>
        <stp>BDP|1932161249993193478</stp>
        <tr r="A1120" s="2"/>
      </tp>
      <tp t="s">
        <v>#N/A N/A</v>
        <stp/>
        <stp>BDP|2963464158640082071</stp>
        <tr r="G2201" s="2"/>
      </tp>
      <tp t="s">
        <v>#N/A N/A</v>
        <stp/>
        <stp>BDP|6171403145615074048</stp>
        <tr r="O573" s="2"/>
      </tp>
      <tp t="s">
        <v>#N/A N/A</v>
        <stp/>
        <stp>BDP|2362347776603823698</stp>
        <tr r="N1040" s="2"/>
      </tp>
      <tp t="s">
        <v>#N/A N/A</v>
        <stp/>
        <stp>BDS|9507583606669287693</stp>
        <tr r="I1819" s="2"/>
      </tp>
      <tp t="s">
        <v>#N/A N/A</v>
        <stp/>
        <stp>BDP|1344624565152556019</stp>
        <tr r="M1308" s="2"/>
      </tp>
      <tp t="s">
        <v>#N/A N/A</v>
        <stp/>
        <stp>BDP|5314146482048189742</stp>
        <tr r="H411" s="2"/>
      </tp>
      <tp t="s">
        <v>#N/A N/A</v>
        <stp/>
        <stp>BDP|1672794065675311698</stp>
        <tr r="H620" s="2"/>
      </tp>
      <tp t="s">
        <v>#N/A N/A</v>
        <stp/>
        <stp>BDP|3837644112971935671</stp>
        <tr r="Q650" s="2"/>
      </tp>
      <tp t="s">
        <v>#N/A N/A</v>
        <stp/>
        <stp>BDP|5113933297341680735</stp>
        <tr r="E678" s="2"/>
      </tp>
      <tp t="s">
        <v>#N/A N/A</v>
        <stp/>
        <stp>BDP|7761741035879540937</stp>
        <tr r="K138" s="2"/>
      </tp>
      <tp t="s">
        <v>#N/A N/A</v>
        <stp/>
        <stp>BDP|5887023087376820856</stp>
        <tr r="M1539" s="2"/>
      </tp>
      <tp t="s">
        <v>#N/A N/A</v>
        <stp/>
        <stp>BDP|6480354847736708417</stp>
        <tr r="K1005" s="2"/>
      </tp>
      <tp t="s">
        <v>#N/A N/A</v>
        <stp/>
        <stp>BDP|9226807789088881231</stp>
        <tr r="H810" s="2"/>
      </tp>
      <tp t="s">
        <v>#N/A N/A</v>
        <stp/>
        <stp>BDP|5622747470273188533</stp>
        <tr r="P850" s="2"/>
      </tp>
      <tp t="s">
        <v>#N/A N/A</v>
        <stp/>
        <stp>BDP|2573744901530933699</stp>
        <tr r="D1393" s="2"/>
      </tp>
      <tp t="s">
        <v>#N/A N/A</v>
        <stp/>
        <stp>BDP|3498014304120623072</stp>
        <tr r="J518" s="2"/>
      </tp>
      <tp t="s">
        <v>#N/A N/A</v>
        <stp/>
        <stp>BDP|3651703724460794554</stp>
        <tr r="J2145" s="2"/>
      </tp>
      <tp t="s">
        <v>#N/A N/A</v>
        <stp/>
        <stp>BDP|1066316944671509409</stp>
        <tr r="K376" s="2"/>
      </tp>
      <tp t="s">
        <v>#N/A N/A</v>
        <stp/>
        <stp>BDP|5483486220576414685</stp>
        <tr r="P668" s="2"/>
      </tp>
      <tp t="s">
        <v>#N/A N/A</v>
        <stp/>
        <stp>BDP|6364628254261653736</stp>
        <tr r="S375" s="2"/>
      </tp>
      <tp t="s">
        <v>#N/A N/A</v>
        <stp/>
        <stp>BDP|2468768035475766003</stp>
        <tr r="T2189" s="2"/>
      </tp>
      <tp t="s">
        <v>#N/A N/A</v>
        <stp/>
        <stp>BDP|7972463341957771394</stp>
        <tr r="P964" s="2"/>
      </tp>
      <tp t="s">
        <v>#N/A N/A</v>
        <stp/>
        <stp>BDP|7546903503649061469</stp>
        <tr r="K2147" s="2"/>
      </tp>
      <tp t="s">
        <v>#N/A N/A</v>
        <stp/>
        <stp>BDP|5733784400999862876</stp>
        <tr r="C2068" s="2"/>
      </tp>
      <tp t="s">
        <v>#N/A N/A</v>
        <stp/>
        <stp>BDP|5206018903690339633</stp>
        <tr r="N603" s="2"/>
      </tp>
      <tp t="s">
        <v>#N/A N/A</v>
        <stp/>
        <stp>BDP|9914963905874370793</stp>
        <tr r="T2135" s="2"/>
      </tp>
      <tp t="s">
        <v>#N/A N/A</v>
        <stp/>
        <stp>BDP|7998600559776391139</stp>
        <tr r="D22" s="2"/>
      </tp>
      <tp t="s">
        <v>#N/A N/A</v>
        <stp/>
        <stp>BDP|5044586052963826528</stp>
        <tr r="N1868" s="2"/>
      </tp>
      <tp t="s">
        <v>#N/A N/A</v>
        <stp/>
        <stp>BDP|1499152713202492061</stp>
        <tr r="D258" s="2"/>
      </tp>
      <tp t="s">
        <v>#N/A N/A</v>
        <stp/>
        <stp>BDP|5027947724094974993</stp>
        <tr r="P413" s="2"/>
      </tp>
      <tp t="s">
        <v>#N/A N/A</v>
        <stp/>
        <stp>BDS|8424878466994530102</stp>
        <tr r="I1038" s="2"/>
      </tp>
      <tp t="s">
        <v>#N/A N/A</v>
        <stp/>
        <stp>BDP|2225750320951198563</stp>
        <tr r="S1930" s="2"/>
      </tp>
      <tp t="s">
        <v>#N/A N/A</v>
        <stp/>
        <stp>BDP|4674220555769831993</stp>
        <tr r="O971" s="2"/>
      </tp>
      <tp t="s">
        <v>#N/A N/A</v>
        <stp/>
        <stp>BDP|2415229918286983472</stp>
        <tr r="H664" s="2"/>
      </tp>
      <tp t="s">
        <v>#N/A N/A</v>
        <stp/>
        <stp>BDP|6682238354335002713</stp>
        <tr r="H873" s="2"/>
      </tp>
      <tp t="s">
        <v>#N/A N/A</v>
        <stp/>
        <stp>BDP|5877130758330241210</stp>
        <tr r="C54" s="2"/>
      </tp>
      <tp t="s">
        <v>#N/A N/A</v>
        <stp/>
        <stp>BDP|6715151141177691758</stp>
        <tr r="P1131" s="2"/>
      </tp>
      <tp t="s">
        <v>#N/A N/A</v>
        <stp/>
        <stp>BDP|7090150350871536102</stp>
        <tr r="R523" s="2"/>
      </tp>
      <tp t="s">
        <v>#N/A N/A</v>
        <stp/>
        <stp>BDP|1819768574604371698</stp>
        <tr r="C1369" s="2"/>
      </tp>
      <tp t="s">
        <v>#N/A N/A</v>
        <stp/>
        <stp>BDP|2078452156624704443</stp>
        <tr r="G2111" s="2"/>
      </tp>
      <tp t="s">
        <v>#N/A N/A</v>
        <stp/>
        <stp>BDP|5819449329977312760</stp>
        <tr r="P211" s="2"/>
      </tp>
      <tp t="s">
        <v>#N/A N/A</v>
        <stp/>
        <stp>BDP|3334126132557559565</stp>
        <tr r="E82" s="2"/>
      </tp>
      <tp t="s">
        <v>#N/A N/A</v>
        <stp/>
        <stp>BDP|5297788352096974216</stp>
        <tr r="S214" s="2"/>
      </tp>
      <tp t="s">
        <v>#N/A N/A</v>
        <stp/>
        <stp>BDP|8032415527669348454</stp>
        <tr r="D279" s="2"/>
      </tp>
      <tp t="s">
        <v>#N/A N/A</v>
        <stp/>
        <stp>BDP|6142210958570018283</stp>
        <tr r="O1849" s="2"/>
      </tp>
      <tp t="s">
        <v>#N/A N/A</v>
        <stp/>
        <stp>BDP|6371578529497589580</stp>
        <tr r="R2113" s="2"/>
      </tp>
      <tp t="s">
        <v>#N/A N/A</v>
        <stp/>
        <stp>BDP|5759684779181133670</stp>
        <tr r="P1460" s="2"/>
      </tp>
      <tp t="s">
        <v>#N/A N/A</v>
        <stp/>
        <stp>BDP|9159943457064109235</stp>
        <tr r="A674" s="2"/>
      </tp>
      <tp t="s">
        <v>#N/A N/A</v>
        <stp/>
        <stp>BDP|2244134541711013505</stp>
        <tr r="N66" s="2"/>
      </tp>
      <tp t="s">
        <v>#N/A N/A</v>
        <stp/>
        <stp>BDP|8452915347054649247</stp>
        <tr r="D1673" s="2"/>
      </tp>
      <tp t="s">
        <v>#N/A N/A</v>
        <stp/>
        <stp>BDP|4525039931941240555</stp>
        <tr r="K1953" s="2"/>
      </tp>
      <tp t="s">
        <v>#N/A N/A</v>
        <stp/>
        <stp>BDP|4539184615117977012</stp>
        <tr r="C939" s="2"/>
      </tp>
      <tp t="s">
        <v>#N/A N/A</v>
        <stp/>
        <stp>BDP|5112643023335308753</stp>
        <tr r="P2123" s="2"/>
      </tp>
      <tp t="s">
        <v>#N/A N/A</v>
        <stp/>
        <stp>BDP|8447393599423366270</stp>
        <tr r="Q1989" s="2"/>
      </tp>
      <tp t="s">
        <v>#N/A N/A</v>
        <stp/>
        <stp>BDP|2138492716883790795</stp>
        <tr r="J1329" s="2"/>
      </tp>
      <tp t="s">
        <v>#N/A N/A</v>
        <stp/>
        <stp>BDP|7163071641710723007</stp>
        <tr r="T1753" s="2"/>
      </tp>
      <tp t="s">
        <v>#N/A N/A</v>
        <stp/>
        <stp>BDP|9491313297839040923</stp>
        <tr r="K1436" s="2"/>
      </tp>
      <tp t="s">
        <v>#N/A N/A</v>
        <stp/>
        <stp>BDP|5611155897889393770</stp>
        <tr r="G1799" s="2"/>
      </tp>
      <tp t="s">
        <v>#N/A N/A</v>
        <stp/>
        <stp>BDP|3311907023359718271</stp>
        <tr r="R1487" s="2"/>
      </tp>
      <tp t="s">
        <v>#N/A N/A</v>
        <stp/>
        <stp>BDP|6726737525436318625</stp>
        <tr r="K586" s="2"/>
      </tp>
      <tp t="s">
        <v>#N/A N/A</v>
        <stp/>
        <stp>BDS|6771172802107421360</stp>
        <tr r="I131" s="2"/>
      </tp>
      <tp t="s">
        <v>#N/A N/A</v>
        <stp/>
        <stp>BDP|4597226981398794511</stp>
        <tr r="G650" s="2"/>
      </tp>
      <tp t="s">
        <v>#N/A N/A</v>
        <stp/>
        <stp>BDP|4735227144198731962</stp>
        <tr r="P972" s="2"/>
      </tp>
      <tp t="s">
        <v>#N/A N/A</v>
        <stp/>
        <stp>BDP|8740322160296300860</stp>
        <tr r="H894" s="2"/>
      </tp>
      <tp t="s">
        <v>#N/A N/A</v>
        <stp/>
        <stp>BDS|9376264626892581864</stp>
        <tr r="I379" s="2"/>
      </tp>
      <tp t="s">
        <v>#N/A N/A</v>
        <stp/>
        <stp>BDP|2988861419908077063</stp>
        <tr r="O1273" s="2"/>
      </tp>
      <tp t="s">
        <v>#N/A N/A</v>
        <stp/>
        <stp>BDP|1761975675468097459</stp>
        <tr r="P804" s="2"/>
      </tp>
      <tp t="s">
        <v>#N/A N/A</v>
        <stp/>
        <stp>BDP|2315071225193438055</stp>
        <tr r="E813" s="2"/>
      </tp>
      <tp t="s">
        <v>#N/A N/A</v>
        <stp/>
        <stp>BDP|3495159915279279962</stp>
        <tr r="P86" s="2"/>
      </tp>
      <tp t="s">
        <v>#N/A N/A</v>
        <stp/>
        <stp>BDS|4309543811055352653</stp>
        <tr r="I1084" s="2"/>
      </tp>
      <tp t="s">
        <v>#N/A N/A</v>
        <stp/>
        <stp>BDP|6991435510950226081</stp>
        <tr r="Q647" s="2"/>
      </tp>
      <tp t="s">
        <v>#N/A N/A</v>
        <stp/>
        <stp>BDP|2076019128424995705</stp>
        <tr r="T1910" s="2"/>
      </tp>
      <tp t="s">
        <v>#N/A N/A</v>
        <stp/>
        <stp>BDP|3043924924699700210</stp>
        <tr r="H1643" s="2"/>
      </tp>
      <tp t="s">
        <v>#N/A N/A</v>
        <stp/>
        <stp>BDP|1450560603893482453</stp>
        <tr r="C1388" s="2"/>
      </tp>
      <tp t="s">
        <v>#N/A N/A</v>
        <stp/>
        <stp>BDP|1308304429152201183</stp>
        <tr r="T1171" s="2"/>
      </tp>
      <tp t="s">
        <v>#N/A N/A</v>
        <stp/>
        <stp>BDP|2060971992242215372</stp>
        <tr r="T1195" s="2"/>
      </tp>
      <tp t="s">
        <v>#N/A N/A</v>
        <stp/>
        <stp>BDP|3353256684893496964</stp>
        <tr r="P31" s="2"/>
      </tp>
      <tp t="s">
        <v>#N/A N/A</v>
        <stp/>
        <stp>BDP|1138214093588335118</stp>
        <tr r="H1515" s="2"/>
      </tp>
      <tp t="s">
        <v>#N/A N/A</v>
        <stp/>
        <stp>BDP|8681452650252067827</stp>
        <tr r="H522" s="2"/>
      </tp>
      <tp t="s">
        <v>#N/A N/A</v>
        <stp/>
        <stp>BDP|8879909195689435282</stp>
        <tr r="O651" s="2"/>
      </tp>
      <tp t="s">
        <v>#N/A N/A</v>
        <stp/>
        <stp>BDP|3377954718719690194</stp>
        <tr r="H1116" s="2"/>
      </tp>
      <tp t="s">
        <v>#N/A N/A</v>
        <stp/>
        <stp>BDP|9288555081201271651</stp>
        <tr r="O1798" s="2"/>
      </tp>
      <tp t="s">
        <v>#N/A N/A</v>
        <stp/>
        <stp>BDP|6282972903518130465</stp>
        <tr r="J1390" s="2"/>
      </tp>
      <tp t="s">
        <v>#N/A N/A</v>
        <stp/>
        <stp>BDP|8023944584943312926</stp>
        <tr r="D317" s="2"/>
      </tp>
      <tp t="s">
        <v>#N/A N/A</v>
        <stp/>
        <stp>BDP|7631218714647453060</stp>
        <tr r="Q1071" s="2"/>
      </tp>
      <tp t="s">
        <v>#N/A N/A</v>
        <stp/>
        <stp>BDP|4508047036864306057</stp>
        <tr r="C1349" s="2"/>
      </tp>
      <tp t="s">
        <v>#N/A N/A</v>
        <stp/>
        <stp>BDP|2581432734043246515</stp>
        <tr r="T121" s="2"/>
      </tp>
      <tp t="s">
        <v>#N/A N/A</v>
        <stp/>
        <stp>BDP|5935287935883123445</stp>
        <tr r="M1782" s="2"/>
      </tp>
      <tp t="s">
        <v>#N/A N/A</v>
        <stp/>
        <stp>BDP|2384046052177352371</stp>
        <tr r="H1723" s="2"/>
      </tp>
      <tp t="s">
        <v>#N/A N/A</v>
        <stp/>
        <stp>BDP|7176178246943242239</stp>
        <tr r="N943" s="2"/>
      </tp>
      <tp t="s">
        <v>#N/A N/A</v>
        <stp/>
        <stp>BDP|2239377243221653718</stp>
        <tr r="G139" s="2"/>
      </tp>
      <tp t="s">
        <v>#N/A N/A</v>
        <stp/>
        <stp>BDP|3909486623597513168</stp>
        <tr r="A1724" s="2"/>
      </tp>
      <tp t="s">
        <v>#N/A N/A</v>
        <stp/>
        <stp>BDP|7929055277286396596</stp>
        <tr r="P1470" s="2"/>
      </tp>
      <tp t="s">
        <v>#N/A N/A</v>
        <stp/>
        <stp>BDP|2081572924033379517</stp>
        <tr r="C405" s="2"/>
      </tp>
      <tp t="s">
        <v>#N/A N/A</v>
        <stp/>
        <stp>BDP|8088623378708958223</stp>
        <tr r="N1804" s="2"/>
      </tp>
      <tp t="s">
        <v>#N/A N/A</v>
        <stp/>
        <stp>BDP|7794122578180812241</stp>
        <tr r="R1548" s="2"/>
      </tp>
      <tp t="s">
        <v>#N/A N/A</v>
        <stp/>
        <stp>BDP|9921823579812241710</stp>
        <tr r="S1812" s="2"/>
      </tp>
      <tp t="s">
        <v>#N/A N/A</v>
        <stp/>
        <stp>BDP|6373438312889388902</stp>
        <tr r="C1095" s="2"/>
      </tp>
      <tp t="s">
        <v>#N/A N/A</v>
        <stp/>
        <stp>BDP|3637648760742619250</stp>
        <tr r="H416" s="2"/>
      </tp>
      <tp t="s">
        <v>#N/A N/A</v>
        <stp/>
        <stp>BDP|8541054093421709359</stp>
        <tr r="M2122" s="2"/>
      </tp>
      <tp t="s">
        <v>#N/A N/A</v>
        <stp/>
        <stp>BDP|8191527246619452301</stp>
        <tr r="F2197" s="2"/>
      </tp>
      <tp t="s">
        <v>#N/A N/A</v>
        <stp/>
        <stp>BDP|3077369012764130646</stp>
        <tr r="M1017" s="2"/>
      </tp>
      <tp t="s">
        <v>#N/A N/A</v>
        <stp/>
        <stp>BDP|7939632688392667858</stp>
        <tr r="H1651" s="2"/>
      </tp>
      <tp t="s">
        <v>#N/A N/A</v>
        <stp/>
        <stp>BDP|5205516339800925020</stp>
        <tr r="E1093" s="2"/>
      </tp>
      <tp t="s">
        <v>#N/A N/A</v>
        <stp/>
        <stp>BDP|9243709167368542315</stp>
        <tr r="K1835" s="2"/>
      </tp>
      <tp t="s">
        <v>#N/A N/A</v>
        <stp/>
        <stp>BDP|9814585891060328639</stp>
        <tr r="O1748" s="2"/>
      </tp>
      <tp t="s">
        <v>#N/A N/A</v>
        <stp/>
        <stp>BDP|9437469839194808924</stp>
        <tr r="G670" s="2"/>
      </tp>
      <tp t="s">
        <v>#N/A N/A</v>
        <stp/>
        <stp>BDP|1199631137402702533</stp>
        <tr r="J1395" s="2"/>
      </tp>
      <tp t="s">
        <v>#N/A N/A</v>
        <stp/>
        <stp>BDP|1660067822920040033</stp>
        <tr r="E1693" s="2"/>
      </tp>
      <tp t="s">
        <v>#N/A N/A</v>
        <stp/>
        <stp>BDP|9906468259129631214</stp>
        <tr r="G2066" s="2"/>
      </tp>
      <tp t="s">
        <v>#N/A N/A</v>
        <stp/>
        <stp>BDP|1319906747896704921</stp>
        <tr r="J1789" s="2"/>
      </tp>
      <tp t="s">
        <v>#N/A N/A</v>
        <stp/>
        <stp>BDP|6250774859844520385</stp>
        <tr r="N1306" s="2"/>
      </tp>
      <tp t="s">
        <v>#N/A N/A</v>
        <stp/>
        <stp>BDP|6643600378125946160</stp>
        <tr r="H978" s="2"/>
      </tp>
      <tp t="s">
        <v>#N/A N/A</v>
        <stp/>
        <stp>BDP|4505024136973042708</stp>
        <tr r="Q1821" s="2"/>
      </tp>
      <tp t="s">
        <v>#N/A N/A</v>
        <stp/>
        <stp>BDP|6558677916203060157</stp>
        <tr r="J190" s="2"/>
      </tp>
      <tp t="s">
        <v>#N/A N/A</v>
        <stp/>
        <stp>BDP|8427919521436073659</stp>
        <tr r="M1412" s="2"/>
      </tp>
      <tp t="s">
        <v>#N/A N/A</v>
        <stp/>
        <stp>BDP|8486667400669480471</stp>
        <tr r="C1334" s="2"/>
      </tp>
      <tp t="s">
        <v>#N/A N/A</v>
        <stp/>
        <stp>BDP|1950192452464277214</stp>
        <tr r="S1583" s="2"/>
      </tp>
      <tp t="s">
        <v>#N/A N/A</v>
        <stp/>
        <stp>BDP|6314776075135300036</stp>
        <tr r="R645" s="2"/>
      </tp>
      <tp t="s">
        <v>#N/A N/A</v>
        <stp/>
        <stp>BDP|8325577245313126914</stp>
        <tr r="N826" s="2"/>
      </tp>
      <tp t="s">
        <v>#N/A N/A</v>
        <stp/>
        <stp>BDP|9994159842838997761</stp>
        <tr r="H825" s="2"/>
      </tp>
      <tp t="s">
        <v>#N/A N/A</v>
        <stp/>
        <stp>BDP|4740288111095991165</stp>
        <tr r="K1155" s="2"/>
      </tp>
      <tp t="s">
        <v>#N/A N/A</v>
        <stp/>
        <stp>BDP|3620057016095332476</stp>
        <tr r="T1376" s="2"/>
      </tp>
      <tp t="s">
        <v>#N/A N/A</v>
        <stp/>
        <stp>BDP|2568729173342599306</stp>
        <tr r="F660" s="2"/>
      </tp>
      <tp t="s">
        <v>#N/A N/A</v>
        <stp/>
        <stp>BDP|3738797978203575322</stp>
        <tr r="M1710" s="2"/>
      </tp>
      <tp t="s">
        <v>#N/A N/A</v>
        <stp/>
        <stp>BDP|3040237180379511372</stp>
        <tr r="M184" s="2"/>
      </tp>
      <tp t="s">
        <v>#N/A N/A</v>
        <stp/>
        <stp>BDP|3156694836584871170</stp>
        <tr r="C143" s="2"/>
      </tp>
      <tp t="s">
        <v>#N/A N/A</v>
        <stp/>
        <stp>BDP|4890314238206582154</stp>
        <tr r="H855" s="2"/>
      </tp>
      <tp t="s">
        <v>#N/A N/A</v>
        <stp/>
        <stp>BDP|9270213386402211262</stp>
        <tr r="M537" s="2"/>
      </tp>
      <tp t="s">
        <v>#N/A N/A</v>
        <stp/>
        <stp>BDP|8490360266069024759</stp>
        <tr r="F1398" s="2"/>
      </tp>
      <tp t="s">
        <v>#N/A N/A</v>
        <stp/>
        <stp>BDP|2854486445174136553</stp>
        <tr r="S987" s="2"/>
      </tp>
      <tp t="s">
        <v>#N/A N/A</v>
        <stp/>
        <stp>BDP|8667323727393770953</stp>
        <tr r="K758" s="2"/>
      </tp>
      <tp t="s">
        <v>#N/A N/A</v>
        <stp/>
        <stp>BDP|6437697419661571300</stp>
        <tr r="M858" s="2"/>
      </tp>
      <tp t="s">
        <v>#N/A N/A</v>
        <stp/>
        <stp>BDP|8450317401749244174</stp>
        <tr r="S2125" s="2"/>
      </tp>
      <tp t="s">
        <v>#N/A N/A</v>
        <stp/>
        <stp>BDP|5855264823227431185</stp>
        <tr r="H2209" s="2"/>
      </tp>
      <tp t="s">
        <v>#N/A N/A</v>
        <stp/>
        <stp>BDP|1056565967760406142</stp>
        <tr r="G743" s="2"/>
      </tp>
      <tp t="s">
        <v>#N/A N/A</v>
        <stp/>
        <stp>BDP|4209792629051171320</stp>
        <tr r="Q471" s="2"/>
      </tp>
      <tp t="s">
        <v>#N/A N/A</v>
        <stp/>
        <stp>BDP|7429226977145100411</stp>
        <tr r="E578" s="2"/>
      </tp>
      <tp t="s">
        <v>#N/A N/A</v>
        <stp/>
        <stp>BDP|2946429678867101531</stp>
        <tr r="H2154" s="2"/>
      </tp>
      <tp t="s">
        <v>#N/A N/A</v>
        <stp/>
        <stp>BDP|9744068480935862787</stp>
        <tr r="Q1286" s="2"/>
      </tp>
      <tp t="s">
        <v>#N/A N/A</v>
        <stp/>
        <stp>BDP|3175706622694576174</stp>
        <tr r="M1768" s="2"/>
      </tp>
      <tp t="s">
        <v>#N/A N/A</v>
        <stp/>
        <stp>BDP|5415635425285341706</stp>
        <tr r="N1225" s="2"/>
      </tp>
      <tp t="s">
        <v>#N/A N/A</v>
        <stp/>
        <stp>BDP|1169691215275457084</stp>
        <tr r="C1797" s="2"/>
      </tp>
      <tp t="s">
        <v>#N/A N/A</v>
        <stp/>
        <stp>BDP|6558324763260352062</stp>
        <tr r="N296" s="2"/>
      </tp>
      <tp t="s">
        <v>#N/A N/A</v>
        <stp/>
        <stp>BDP|3896178918793044365</stp>
        <tr r="G462" s="2"/>
      </tp>
      <tp t="s">
        <v>#N/A N/A</v>
        <stp/>
        <stp>BDP|1994877809913269947</stp>
        <tr r="K1181" s="2"/>
      </tp>
      <tp t="s">
        <v>#N/A N/A</v>
        <stp/>
        <stp>BDP|2257873087476374703</stp>
        <tr r="N355" s="2"/>
      </tp>
      <tp t="s">
        <v>#N/A N/A</v>
        <stp/>
        <stp>BDP|8783514631079323458</stp>
        <tr r="E155" s="2"/>
      </tp>
      <tp t="s">
        <v>#N/A N/A</v>
        <stp/>
        <stp>BDP|6547503713719133865</stp>
        <tr r="O720" s="2"/>
      </tp>
      <tp t="s">
        <v>#N/A N/A</v>
        <stp/>
        <stp>BDP|4045289522985945226</stp>
        <tr r="Q1653" s="2"/>
      </tp>
      <tp t="s">
        <v>#N/A N/A</v>
        <stp/>
        <stp>BDP|1075177956736110010</stp>
        <tr r="H928" s="2"/>
      </tp>
      <tp t="s">
        <v>#N/A N/A</v>
        <stp/>
        <stp>BDP|1969914245149536696</stp>
        <tr r="C224" s="2"/>
      </tp>
      <tp t="s">
        <v>#N/A N/A</v>
        <stp/>
        <stp>BDP|4773278710170473420</stp>
        <tr r="H1317" s="2"/>
      </tp>
      <tp t="s">
        <v>#N/A N/A</v>
        <stp/>
        <stp>BDP|3416638287558010664</stp>
        <tr r="K377" s="2"/>
      </tp>
      <tp t="s">
        <v>#N/A N/A</v>
        <stp/>
        <stp>BDP|7653895562833907921</stp>
        <tr r="G795" s="2"/>
      </tp>
      <tp t="s">
        <v>#N/A N/A</v>
        <stp/>
        <stp>BDP|1148698383579581588</stp>
        <tr r="J52" s="2"/>
      </tp>
      <tp t="s">
        <v>#N/A N/A</v>
        <stp/>
        <stp>BDP|2644569966732833080</stp>
        <tr r="T85" s="2"/>
      </tp>
      <tp t="s">
        <v>#N/A N/A</v>
        <stp/>
        <stp>BDP|9251852076181296456</stp>
        <tr r="M213" s="2"/>
      </tp>
      <tp t="s">
        <v>#N/A N/A</v>
        <stp/>
        <stp>BDP|3425992760229321688</stp>
        <tr r="M1006" s="2"/>
      </tp>
      <tp t="s">
        <v>#N/A N/A</v>
        <stp/>
        <stp>BDP|1451304149691297496</stp>
        <tr r="N1623" s="2"/>
      </tp>
      <tp t="s">
        <v>#N/A N/A</v>
        <stp/>
        <stp>BDP|7339865538246887934</stp>
        <tr r="A1274" s="2"/>
      </tp>
      <tp t="s">
        <v>#N/A N/A</v>
        <stp/>
        <stp>BDP|4359162345856258441</stp>
        <tr r="A624" s="2"/>
      </tp>
      <tp t="s">
        <v>#N/A N/A</v>
        <stp/>
        <stp>BDP|9391921237176975695</stp>
        <tr r="T516" s="2"/>
      </tp>
      <tp t="s">
        <v>#N/A N/A</v>
        <stp/>
        <stp>BDP|2663616096877146967</stp>
        <tr r="S931" s="2"/>
      </tp>
      <tp t="s">
        <v>#N/A N/A</v>
        <stp/>
        <stp>BDP|5971173566608996970</stp>
        <tr r="E854" s="2"/>
      </tp>
      <tp t="s">
        <v>#N/A N/A</v>
        <stp/>
        <stp>BDP|1055150202884615777</stp>
        <tr r="J270" s="2"/>
      </tp>
      <tp t="s">
        <v>#N/A N/A</v>
        <stp/>
        <stp>BDP|8266850177980614405</stp>
        <tr r="K1817" s="2"/>
      </tp>
      <tp t="s">
        <v>#N/A N/A</v>
        <stp/>
        <stp>BDP|2253659431517928391</stp>
        <tr r="C556" s="2"/>
      </tp>
      <tp t="s">
        <v>#N/A N/A</v>
        <stp/>
        <stp>BDP|4504025462287451678</stp>
        <tr r="M573" s="2"/>
      </tp>
      <tp t="s">
        <v>#N/A N/A</v>
        <stp/>
        <stp>BDP|4309871313216181801</stp>
        <tr r="E542" s="2"/>
      </tp>
      <tp t="s">
        <v>#N/A N/A</v>
        <stp/>
        <stp>BDP|4119745169353839529</stp>
        <tr r="S2114" s="2"/>
      </tp>
      <tp t="s">
        <v>#N/A N/A</v>
        <stp/>
        <stp>BDP|4824231918982073650</stp>
        <tr r="E797" s="2"/>
      </tp>
      <tp t="s">
        <v>#N/A N/A</v>
        <stp/>
        <stp>BDP|6486715614483419034</stp>
        <tr r="F90" s="2"/>
      </tp>
      <tp t="s">
        <v>#N/A N/A</v>
        <stp/>
        <stp>BDP|2437950186520436059</stp>
        <tr r="F2000" s="2"/>
      </tp>
      <tp t="s">
        <v>#N/A N/A</v>
        <stp/>
        <stp>BDP|5022072471962843381</stp>
        <tr r="E847" s="2"/>
      </tp>
      <tp t="s">
        <v>#N/A N/A</v>
        <stp/>
        <stp>BDP|7680662962706495208</stp>
        <tr r="S940" s="2"/>
      </tp>
      <tp t="s">
        <v>#N/A N/A</v>
        <stp/>
        <stp>BDP|8751893829034236539</stp>
        <tr r="S1527" s="2"/>
      </tp>
      <tp t="s">
        <v>#N/A N/A</v>
        <stp/>
        <stp>BDP|6444549719116749784</stp>
        <tr r="H1615" s="2"/>
      </tp>
      <tp t="s">
        <v>#N/A N/A</v>
        <stp/>
        <stp>BDP|1321017322807454727</stp>
        <tr r="M327" s="2"/>
      </tp>
      <tp t="s">
        <v>#N/A N/A</v>
        <stp/>
        <stp>BDP|8109834203770192365</stp>
        <tr r="S300" s="2"/>
      </tp>
      <tp t="s">
        <v>#N/A N/A</v>
        <stp/>
        <stp>BDP|3194315102696006545</stp>
        <tr r="Q1085" s="2"/>
      </tp>
      <tp t="s">
        <v>#N/A N/A</v>
        <stp/>
        <stp>BDP|9734894310097984410</stp>
        <tr r="K1509" s="2"/>
      </tp>
      <tp t="s">
        <v>#N/A N/A</v>
        <stp/>
        <stp>BDP|6592436218621147193</stp>
        <tr r="O1094" s="2"/>
      </tp>
      <tp t="s">
        <v>#N/A N/A</v>
        <stp/>
        <stp>BDP|7969776865044490197</stp>
        <tr r="F763" s="2"/>
      </tp>
      <tp t="s">
        <v>#N/A N/A</v>
        <stp/>
        <stp>BDP|5780170518730676686</stp>
        <tr r="N68" s="2"/>
      </tp>
      <tp t="s">
        <v>#N/A N/A</v>
        <stp/>
        <stp>BDP|6906774053840242796</stp>
        <tr r="Q93" s="2"/>
      </tp>
      <tp t="s">
        <v>#N/A N/A</v>
        <stp/>
        <stp>BDP|8821713883006875248</stp>
        <tr r="Q473" s="2"/>
      </tp>
      <tp t="s">
        <v>#N/A N/A</v>
        <stp/>
        <stp>BDP|6512145328204919269</stp>
        <tr r="E1936" s="2"/>
      </tp>
      <tp t="s">
        <v>#N/A N/A</v>
        <stp/>
        <stp>BDP|4652331167662170054</stp>
        <tr r="R882" s="2"/>
      </tp>
      <tp t="s">
        <v>#N/A N/A</v>
        <stp/>
        <stp>BDP|4326073562448836987</stp>
        <tr r="Q868" s="2"/>
      </tp>
      <tp t="s">
        <v>#N/A N/A</v>
        <stp/>
        <stp>BDP|1337163931796524674</stp>
        <tr r="K359" s="2"/>
      </tp>
      <tp t="s">
        <v>#N/A N/A</v>
        <stp/>
        <stp>BDP|8592050617233193902</stp>
        <tr r="Q2160" s="2"/>
      </tp>
      <tp t="s">
        <v>#N/A N/A</v>
        <stp/>
        <stp>BDP|4310964397876692124</stp>
        <tr r="A1493" s="2"/>
      </tp>
      <tp t="s">
        <v>#N/A N/A</v>
        <stp/>
        <stp>BDP|4817266411703800710</stp>
        <tr r="E202" s="2"/>
      </tp>
      <tp t="s">
        <v>#N/A N/A</v>
        <stp/>
        <stp>BDP|6735210466484677500</stp>
        <tr r="K1217" s="2"/>
      </tp>
      <tp t="s">
        <v>#N/A N/A</v>
        <stp/>
        <stp>BDP|5158404674887699250</stp>
        <tr r="M1650" s="2"/>
      </tp>
      <tp t="s">
        <v>#N/A N/A</v>
        <stp/>
        <stp>BDP|9878183220041007864</stp>
        <tr r="P412" s="2"/>
      </tp>
      <tp t="s">
        <v>#N/A N/A</v>
        <stp/>
        <stp>BDP|1139467905626279065</stp>
        <tr r="H1189" s="2"/>
      </tp>
      <tp t="s">
        <v>#N/A N/A</v>
        <stp/>
        <stp>BDP|7234276805052762413</stp>
        <tr r="E502" s="2"/>
      </tp>
      <tp t="s">
        <v>#N/A N/A</v>
        <stp/>
        <stp>BDP|1032106268552741797</stp>
        <tr r="C1214" s="2"/>
      </tp>
      <tp t="s">
        <v>#N/A N/A</v>
        <stp/>
        <stp>BDP|1372800968688577485</stp>
        <tr r="R687" s="2"/>
      </tp>
      <tp t="s">
        <v>#N/A N/A</v>
        <stp/>
        <stp>BDP|1368637177272608170</stp>
        <tr r="J1667" s="2"/>
      </tp>
      <tp t="s">
        <v>#N/A N/A</v>
        <stp/>
        <stp>BDP|3035450425207240146</stp>
        <tr r="S1050" s="2"/>
      </tp>
      <tp t="s">
        <v>#N/A N/A</v>
        <stp/>
        <stp>BDP|8148371197719159864</stp>
        <tr r="Q939" s="2"/>
      </tp>
      <tp t="s">
        <v>#N/A N/A</v>
        <stp/>
        <stp>BDP|1893197365445716058</stp>
        <tr r="P2049" s="2"/>
      </tp>
      <tp t="s">
        <v>#N/A N/A</v>
        <stp/>
        <stp>BDP|6578177348487470780</stp>
        <tr r="K319" s="2"/>
      </tp>
      <tp t="s">
        <v>#N/A N/A</v>
        <stp/>
        <stp>BDP|5775639516512595310</stp>
        <tr r="Q1892" s="2"/>
      </tp>
      <tp t="s">
        <v>#N/A N/A</v>
        <stp/>
        <stp>BDP|8504360765708273622</stp>
        <tr r="M540" s="2"/>
      </tp>
      <tp t="s">
        <v>#N/A N/A</v>
        <stp/>
        <stp>BDP|5973490178157975273</stp>
        <tr r="Q2185" s="2"/>
      </tp>
      <tp t="s">
        <v>#N/A N/A</v>
        <stp/>
        <stp>BDP|9356197694550867203</stp>
        <tr r="N2127" s="2"/>
      </tp>
      <tp t="s">
        <v>#N/A N/A</v>
        <stp/>
        <stp>BDP|4134071943962481171</stp>
        <tr r="Q1205" s="2"/>
      </tp>
      <tp t="s">
        <v>#N/A N/A</v>
        <stp/>
        <stp>BDP|6402465665155716260</stp>
        <tr r="H819" s="2"/>
      </tp>
      <tp t="s">
        <v>#N/A N/A</v>
        <stp/>
        <stp>BDP|7310532678642898469</stp>
        <tr r="T582" s="2"/>
      </tp>
      <tp t="s">
        <v>#N/A N/A</v>
        <stp/>
        <stp>BDP|3593158322571492209</stp>
        <tr r="Q1954" s="2"/>
      </tp>
      <tp t="s">
        <v>#N/A N/A</v>
        <stp/>
        <stp>BDP|3760526563642147116</stp>
        <tr r="R1963" s="2"/>
      </tp>
      <tp t="s">
        <v>#N/A N/A</v>
        <stp/>
        <stp>BDP|9039527521125229873</stp>
        <tr r="O25" s="2"/>
      </tp>
      <tp t="s">
        <v>#N/A N/A</v>
        <stp/>
        <stp>BDP|7327554793161778944</stp>
        <tr r="R978" s="2"/>
      </tp>
      <tp t="s">
        <v>#N/A N/A</v>
        <stp/>
        <stp>BDP|1658361381639510027</stp>
        <tr r="O137" s="2"/>
      </tp>
      <tp t="s">
        <v>#N/A N/A</v>
        <stp/>
        <stp>BDP|6036714330284775506</stp>
        <tr r="C505" s="2"/>
      </tp>
      <tp t="s">
        <v>#N/A N/A</v>
        <stp/>
        <stp>BDS|2623380082329929334</stp>
        <tr r="I496" s="2"/>
      </tp>
      <tp t="s">
        <v>#N/A N/A</v>
        <stp/>
        <stp>BDP|6765860295553206704</stp>
        <tr r="F1252" s="2"/>
      </tp>
      <tp t="s">
        <v>#N/A N/A</v>
        <stp/>
        <stp>BDP|1139119770192442628</stp>
        <tr r="Q1558" s="2"/>
      </tp>
      <tp t="s">
        <v>#N/A N/A</v>
        <stp/>
        <stp>BDP|4417505816880192352</stp>
        <tr r="O2196" s="2"/>
      </tp>
      <tp t="s">
        <v>#N/A N/A</v>
        <stp/>
        <stp>BDP|2314036617314520441</stp>
        <tr r="S999" s="2"/>
      </tp>
      <tp t="s">
        <v>#N/A N/A</v>
        <stp/>
        <stp>BDP|7088634994189521248</stp>
        <tr r="C995" s="2"/>
      </tp>
      <tp t="s">
        <v>#N/A N/A</v>
        <stp/>
        <stp>BDP|6913012321460867777</stp>
        <tr r="C1372" s="2"/>
      </tp>
      <tp t="s">
        <v>#N/A N/A</v>
        <stp/>
        <stp>BDP|1362541924106325362</stp>
        <tr r="C615" s="2"/>
      </tp>
      <tp t="s">
        <v>#N/A N/A</v>
        <stp/>
        <stp>BDP|4549993038765556873</stp>
        <tr r="K1403" s="2"/>
      </tp>
      <tp t="s">
        <v>#N/A N/A</v>
        <stp/>
        <stp>BDP|9471394095191602184</stp>
        <tr r="O1477" s="2"/>
      </tp>
      <tp t="s">
        <v>#N/A N/A</v>
        <stp/>
        <stp>BDP|6576673591593608928</stp>
        <tr r="H2059" s="2"/>
      </tp>
      <tp t="s">
        <v>#N/A N/A</v>
        <stp/>
        <stp>BDP|1183010107081372336</stp>
        <tr r="C1051" s="2"/>
      </tp>
      <tp t="s">
        <v>#N/A N/A</v>
        <stp/>
        <stp>BDP|1077841180577798543</stp>
        <tr r="M1420" s="2"/>
      </tp>
      <tp t="s">
        <v>#N/A N/A</v>
        <stp/>
        <stp>BDP|4660270194424227808</stp>
        <tr r="S954" s="2"/>
      </tp>
      <tp t="s">
        <v>#N/A N/A</v>
        <stp/>
        <stp>BDP|7882702317924923619</stp>
        <tr r="A1445" s="2"/>
      </tp>
      <tp t="s">
        <v>#N/A N/A</v>
        <stp/>
        <stp>BDP|4581965786714516273</stp>
        <tr r="T1043" s="2"/>
      </tp>
      <tp t="s">
        <v>#N/A N/A</v>
        <stp/>
        <stp>BDP|7356173432444425258</stp>
        <tr r="P460" s="2"/>
      </tp>
      <tp t="s">
        <v>#N/A N/A</v>
        <stp/>
        <stp>BDP|2558398708501293319</stp>
        <tr r="J1382" s="2"/>
      </tp>
      <tp t="s">
        <v>#N/A N/A</v>
        <stp/>
        <stp>BDP|3225957813441194920</stp>
        <tr r="K322" s="2"/>
      </tp>
      <tp t="s">
        <v>#N/A N/A</v>
        <stp/>
        <stp>BDP|9011977131071957188</stp>
        <tr r="G1177" s="2"/>
      </tp>
      <tp t="s">
        <v>#N/A N/A</v>
        <stp/>
        <stp>BDP|4650179066757034703</stp>
        <tr r="O205" s="2"/>
      </tp>
      <tp t="s">
        <v>#N/A N/A</v>
        <stp/>
        <stp>BDP|8552716415345731818</stp>
        <tr r="P1646" s="2"/>
      </tp>
      <tp t="s">
        <v>#N/A N/A</v>
        <stp/>
        <stp>BDP|6076720002911719304</stp>
        <tr r="R551" s="2"/>
      </tp>
      <tp t="s">
        <v>#N/A N/A</v>
        <stp/>
        <stp>BDP|6319230585267283800</stp>
        <tr r="S1487" s="2"/>
      </tp>
      <tp t="s">
        <v>#N/A N/A</v>
        <stp/>
        <stp>BDP|1159008072364254160</stp>
        <tr r="P1084" s="2"/>
      </tp>
      <tp t="s">
        <v>#N/A N/A</v>
        <stp/>
        <stp>BDS|3332651347003634108</stp>
        <tr r="I676" s="2"/>
      </tp>
      <tp t="s">
        <v>#N/A N/A</v>
        <stp/>
        <stp>BDS|9020580168621142869</stp>
        <tr r="I610" s="2"/>
      </tp>
      <tp t="s">
        <v>#N/A N/A</v>
        <stp/>
        <stp>BDP|7655111111756313228</stp>
        <tr r="P459" s="2"/>
      </tp>
      <tp t="s">
        <v>#N/A N/A</v>
        <stp/>
        <stp>BDP|2479703666839044952</stp>
        <tr r="N1814" s="2"/>
      </tp>
      <tp t="s">
        <v>#N/A N/A</v>
        <stp/>
        <stp>BDP|6259755223717080735</stp>
        <tr r="E914" s="2"/>
      </tp>
      <tp t="s">
        <v>#N/A N/A</v>
        <stp/>
        <stp>BDP|5274547559870925617</stp>
        <tr r="N1736" s="2"/>
      </tp>
      <tp t="s">
        <v>#N/A N/A</v>
        <stp/>
        <stp>BDP|9186530430578709420</stp>
        <tr r="N1940" s="2"/>
      </tp>
      <tp t="s">
        <v>#N/A N/A</v>
        <stp/>
        <stp>BDS|3410537847425352449</stp>
        <tr r="I1534" s="2"/>
      </tp>
      <tp t="s">
        <v>#N/A N/A</v>
        <stp/>
        <stp>BDP|3282576956280279066</stp>
        <tr r="K1620" s="2"/>
      </tp>
      <tp t="s">
        <v>#N/A N/A</v>
        <stp/>
        <stp>BDP|3852316249011795606</stp>
        <tr r="Q1427" s="2"/>
      </tp>
      <tp t="s">
        <v>#N/A N/A</v>
        <stp/>
        <stp>BDP|6613272277886558642</stp>
        <tr r="G1605" s="2"/>
      </tp>
      <tp t="s">
        <v>#N/A N/A</v>
        <stp/>
        <stp>BDP|7606965582291486413</stp>
        <tr r="R1243" s="2"/>
      </tp>
      <tp t="s">
        <v>#N/A N/A</v>
        <stp/>
        <stp>BDS|2405179777285522266</stp>
        <tr r="I1785" s="2"/>
      </tp>
      <tp t="s">
        <v>#N/A N/A</v>
        <stp/>
        <stp>BDP|4926939181061536797</stp>
        <tr r="O86" s="2"/>
      </tp>
      <tp t="s">
        <v>#N/A N/A</v>
        <stp/>
        <stp>BDP|5230387350596577689</stp>
        <tr r="A1751" s="2"/>
      </tp>
      <tp t="s">
        <v>#N/A N/A</v>
        <stp/>
        <stp>BDP|3801676973705886436</stp>
        <tr r="G1972" s="2"/>
      </tp>
      <tp t="s">
        <v>#N/A N/A</v>
        <stp/>
        <stp>BDP|6206146968932125082</stp>
        <tr r="Q1609" s="2"/>
      </tp>
      <tp t="s">
        <v>#N/A N/A</v>
        <stp/>
        <stp>BDP|5767557675215685165</stp>
        <tr r="J793" s="2"/>
      </tp>
      <tp t="s">
        <v>#N/A N/A</v>
        <stp/>
        <stp>BDP|4462369770416473512</stp>
        <tr r="T1731" s="2"/>
      </tp>
      <tp t="s">
        <v>#N/A N/A</v>
        <stp/>
        <stp>BDP|8309060483387484455</stp>
        <tr r="R611" s="2"/>
      </tp>
      <tp t="s">
        <v>#N/A N/A</v>
        <stp/>
        <stp>BDP|9466947533264756438</stp>
        <tr r="F1136" s="2"/>
      </tp>
      <tp t="s">
        <v>#N/A N/A</v>
        <stp/>
        <stp>BDP|5696141544791316220</stp>
        <tr r="C1739" s="2"/>
      </tp>
      <tp t="s">
        <v>#N/A N/A</v>
        <stp/>
        <stp>BDP|2268039722075692628</stp>
        <tr r="P99" s="2"/>
      </tp>
      <tp t="s">
        <v>#N/A N/A</v>
        <stp/>
        <stp>BDP|8349199590802569182</stp>
        <tr r="H107" s="2"/>
      </tp>
      <tp t="s">
        <v>#N/A N/A</v>
        <stp/>
        <stp>BDP|9321923354241530771</stp>
        <tr r="Q342" s="2"/>
      </tp>
      <tp t="s">
        <v>#N/A N/A</v>
        <stp/>
        <stp>BDP|2396869870198435663</stp>
        <tr r="R454" s="2"/>
      </tp>
      <tp t="s">
        <v>#N/A N/A</v>
        <stp/>
        <stp>BDP|4089973706389185771</stp>
        <tr r="G775" s="2"/>
      </tp>
      <tp t="s">
        <v>#N/A N/A</v>
        <stp/>
        <stp>BDP|9880789011458616405</stp>
        <tr r="Q815" s="2"/>
      </tp>
      <tp t="s">
        <v>#N/A N/A</v>
        <stp/>
        <stp>BDP|5375682837133253090</stp>
        <tr r="P463" s="2"/>
      </tp>
      <tp t="s">
        <v>#N/A N/A</v>
        <stp/>
        <stp>BDP|2180317953305350278</stp>
        <tr r="M541" s="2"/>
      </tp>
      <tp t="s">
        <v>#N/A N/A</v>
        <stp/>
        <stp>BDP|3809386314026771440</stp>
        <tr r="S2058" s="2"/>
      </tp>
      <tp t="s">
        <v>#N/A N/A</v>
        <stp/>
        <stp>BDP|2544350076145235036</stp>
        <tr r="M2109" s="2"/>
      </tp>
      <tp t="s">
        <v>#N/A N/A</v>
        <stp/>
        <stp>BDP|4961566398422106914</stp>
        <tr r="E1259" s="2"/>
      </tp>
      <tp t="s">
        <v>#N/A N/A</v>
        <stp/>
        <stp>BDP|2531901112250432943</stp>
        <tr r="C200" s="2"/>
      </tp>
      <tp t="s">
        <v>#N/A N/A</v>
        <stp/>
        <stp>BDP|3548088228944739656</stp>
        <tr r="T1794" s="2"/>
      </tp>
      <tp t="s">
        <v>#N/A N/A</v>
        <stp/>
        <stp>BDP|3515666125370253431</stp>
        <tr r="M1455" s="2"/>
      </tp>
      <tp t="s">
        <v>#N/A N/A</v>
        <stp/>
        <stp>BDP|4938461510751159390</stp>
        <tr r="O892" s="2"/>
      </tp>
      <tp t="s">
        <v>#N/A N/A</v>
        <stp/>
        <stp>BDP|8251102491316535517</stp>
        <tr r="E1327" s="2"/>
      </tp>
      <tp t="s">
        <v>#N/A N/A</v>
        <stp/>
        <stp>BDP|4598455256396770068</stp>
        <tr r="J75" s="2"/>
      </tp>
      <tp t="s">
        <v>#N/A N/A</v>
        <stp/>
        <stp>BDP|2753914508239148187</stp>
        <tr r="S1151" s="2"/>
      </tp>
      <tp t="s">
        <v>#N/A N/A</v>
        <stp/>
        <stp>BDP|9456632993947696257</stp>
        <tr r="C116" s="2"/>
      </tp>
      <tp t="s">
        <v>#N/A N/A</v>
        <stp/>
        <stp>BDP|5574042144482373016</stp>
        <tr r="R1312" s="2"/>
      </tp>
      <tp t="s">
        <v>#N/A N/A</v>
        <stp/>
        <stp>BDP|6649776536171604063</stp>
        <tr r="P955" s="2"/>
      </tp>
      <tp t="s">
        <v>#N/A N/A</v>
        <stp/>
        <stp>BDS|5344553671597843385</stp>
        <tr r="I1371" s="2"/>
      </tp>
      <tp t="s">
        <v>#N/A N/A</v>
        <stp/>
        <stp>BDP|3095529545178746976</stp>
        <tr r="D1264" s="2"/>
      </tp>
      <tp t="s">
        <v>#N/A N/A</v>
        <stp/>
        <stp>BDP|7013415576432347537</stp>
        <tr r="N2232" s="2"/>
      </tp>
      <tp t="s">
        <v>#N/A N/A</v>
        <stp/>
        <stp>BDS|7305067777633293078</stp>
        <tr r="I1032" s="2"/>
      </tp>
      <tp t="s">
        <v>#N/A N/A</v>
        <stp/>
        <stp>BDP|7739425552421670466</stp>
        <tr r="S1166" s="2"/>
      </tp>
      <tp t="s">
        <v>#N/A N/A</v>
        <stp/>
        <stp>BDP|3929440769976216419</stp>
        <tr r="Q338" s="2"/>
      </tp>
      <tp t="s">
        <v>#N/A N/A</v>
        <stp/>
        <stp>BDP|5333544920091774072</stp>
        <tr r="O501" s="2"/>
      </tp>
      <tp t="s">
        <v>#N/A N/A</v>
        <stp/>
        <stp>BDS|2923766578713466244</stp>
        <tr r="I25" s="2"/>
      </tp>
      <tp t="s">
        <v>#N/A N/A</v>
        <stp/>
        <stp>BDP|4744127922354434041</stp>
        <tr r="Q1016" s="2"/>
      </tp>
      <tp t="s">
        <v>#N/A N/A</v>
        <stp/>
        <stp>BDP|4469136722181248507</stp>
        <tr r="M48" s="2"/>
      </tp>
      <tp t="s">
        <v>#N/A N/A</v>
        <stp/>
        <stp>BDP|8244520660548069075</stp>
        <tr r="H1399" s="2"/>
      </tp>
      <tp t="s">
        <v>#N/A N/A</v>
        <stp/>
        <stp>BDP|1466880328889747148</stp>
        <tr r="A1826" s="2"/>
      </tp>
      <tp t="s">
        <v>#N/A N/A</v>
        <stp/>
        <stp>BDP|5026274222570188639</stp>
        <tr r="O365" s="2"/>
      </tp>
      <tp t="s">
        <v>#N/A N/A</v>
        <stp/>
        <stp>BDP|9592609077308256373</stp>
        <tr r="F2242" s="2"/>
      </tp>
      <tp t="s">
        <v>#N/A N/A</v>
        <stp/>
        <stp>BDP|7768692877651753492</stp>
        <tr r="J498" s="2"/>
      </tp>
      <tp t="s">
        <v>#N/A N/A</v>
        <stp/>
        <stp>BDP|3436264132412466330</stp>
        <tr r="O117" s="2"/>
      </tp>
      <tp t="s">
        <v>#N/A N/A</v>
        <stp/>
        <stp>BDP|7817391000661073664</stp>
        <tr r="D2032" s="2"/>
      </tp>
      <tp t="s">
        <v>#N/A N/A</v>
        <stp/>
        <stp>BDS|8725444635149404551</stp>
        <tr r="I215" s="2"/>
      </tp>
      <tp t="s">
        <v>#N/A N/A</v>
        <stp/>
        <stp>BDP|3380377677020629428</stp>
        <tr r="Q1297" s="2"/>
      </tp>
      <tp t="s">
        <v>#N/A N/A</v>
        <stp/>
        <stp>BDP|7277925133489660725</stp>
        <tr r="D2210" s="2"/>
      </tp>
      <tp t="s">
        <v>#N/A N/A</v>
        <stp/>
        <stp>BDP|5111744003521168003</stp>
        <tr r="G361" s="2"/>
      </tp>
      <tp t="s">
        <v>#N/A N/A</v>
        <stp/>
        <stp>BDP|3801118236027057589</stp>
        <tr r="E831" s="2"/>
      </tp>
      <tp t="s">
        <v>#N/A N/A</v>
        <stp/>
        <stp>BDP|3594711350024457679</stp>
        <tr r="H1307" s="2"/>
      </tp>
      <tp t="s">
        <v>#N/A N/A</v>
        <stp/>
        <stp>BDP|5503808697664130349</stp>
        <tr r="M1576" s="2"/>
      </tp>
      <tp t="s">
        <v>#N/A N/A</v>
        <stp/>
        <stp>BDP|3762144131421528300</stp>
        <tr r="N903" s="2"/>
      </tp>
      <tp t="s">
        <v>#N/A N/A</v>
        <stp/>
        <stp>BDP|6456954104444207802</stp>
        <tr r="M2080" s="2"/>
      </tp>
      <tp t="s">
        <v>#N/A N/A</v>
        <stp/>
        <stp>BDP|5734271044539110921</stp>
        <tr r="C646" s="2"/>
      </tp>
      <tp t="s">
        <v>#N/A N/A</v>
        <stp/>
        <stp>BDP|9549163493075656715</stp>
        <tr r="E1762" s="2"/>
      </tp>
      <tp t="s">
        <v>#N/A N/A</v>
        <stp/>
        <stp>BDP|5131137321973428608</stp>
        <tr r="C269" s="2"/>
      </tp>
      <tp t="s">
        <v>#N/A N/A</v>
        <stp/>
        <stp>BDP|1069274263134667252</stp>
        <tr r="N1490" s="2"/>
      </tp>
      <tp t="s">
        <v>#N/A N/A</v>
        <stp/>
        <stp>BDP|2042137721253314166</stp>
        <tr r="O464" s="2"/>
      </tp>
      <tp t="s">
        <v>#N/A N/A</v>
        <stp/>
        <stp>BDP|4730167004510404667</stp>
        <tr r="P1194" s="2"/>
      </tp>
      <tp t="s">
        <v>#N/A N/A</v>
        <stp/>
        <stp>BDP|5148910625144407963</stp>
        <tr r="K582" s="2"/>
      </tp>
      <tp t="s">
        <v>#N/A N/A</v>
        <stp/>
        <stp>BDP|5286171414261399754</stp>
        <tr r="O593" s="2"/>
      </tp>
      <tp t="s">
        <v>#N/A N/A</v>
        <stp/>
        <stp>BDP|2519215344511005677</stp>
        <tr r="R583" s="2"/>
      </tp>
      <tp t="s">
        <v>#N/A N/A</v>
        <stp/>
        <stp>BDP|7868193181978280552</stp>
        <tr r="N1028" s="2"/>
      </tp>
      <tp t="s">
        <v>#N/A N/A</v>
        <stp/>
        <stp>BDP|3774165344063739657</stp>
        <tr r="Q483" s="2"/>
      </tp>
      <tp t="s">
        <v>#N/A N/A</v>
        <stp/>
        <stp>BDP|3266218690963673819</stp>
        <tr r="F1919" s="2"/>
      </tp>
      <tp t="s">
        <v>#N/A N/A</v>
        <stp/>
        <stp>BDS|4662759700086068673</stp>
        <tr r="I1361" s="2"/>
      </tp>
      <tp t="s">
        <v>#N/A N/A</v>
        <stp/>
        <stp>BDP|3383028145265993192</stp>
        <tr r="D862" s="2"/>
      </tp>
      <tp t="s">
        <v>#N/A N/A</v>
        <stp/>
        <stp>BDP|4231801510636580835</stp>
        <tr r="T4" s="2"/>
      </tp>
      <tp t="s">
        <v>#N/A N/A</v>
        <stp/>
        <stp>BDP|9765474410888418702</stp>
        <tr r="O273" s="2"/>
      </tp>
      <tp t="s">
        <v>#N/A N/A</v>
        <stp/>
        <stp>BDP|7015853723836542877</stp>
        <tr r="G284" s="2"/>
      </tp>
      <tp t="s">
        <v>#N/A N/A</v>
        <stp/>
        <stp>BDP|9928830967371895511</stp>
        <tr r="J613" s="2"/>
      </tp>
      <tp t="s">
        <v>#N/A N/A</v>
        <stp/>
        <stp>BDP|2854027326286884501</stp>
        <tr r="C1792" s="2"/>
      </tp>
      <tp t="s">
        <v>#N/A N/A</v>
        <stp/>
        <stp>BDP|5891085650610271365</stp>
        <tr r="F1545" s="2"/>
      </tp>
      <tp t="s">
        <v>#N/A N/A</v>
        <stp/>
        <stp>BDP|3103948124119352264</stp>
        <tr r="R471" s="2"/>
      </tp>
      <tp t="s">
        <v>#N/A N/A</v>
        <stp/>
        <stp>BDP|6157003011033576719</stp>
        <tr r="A247" s="2"/>
      </tp>
      <tp t="s">
        <v>#N/A N/A</v>
        <stp/>
        <stp>BDP|3109783519344490201</stp>
        <tr r="P1062" s="2"/>
      </tp>
      <tp t="s">
        <v>#N/A N/A</v>
        <stp/>
        <stp>BDP|1248832210849327264</stp>
        <tr r="A2202" s="2"/>
      </tp>
      <tp t="s">
        <v>#N/A N/A</v>
        <stp/>
        <stp>BDP|4512303462400052238</stp>
        <tr r="S387" s="2"/>
      </tp>
      <tp t="s">
        <v>#N/A N/A</v>
        <stp/>
        <stp>BDP|5590073613116683138</stp>
        <tr r="N771" s="2"/>
      </tp>
      <tp t="s">
        <v>#N/A N/A</v>
        <stp/>
        <stp>BDP|6788260033036459226</stp>
        <tr r="A1272" s="2"/>
      </tp>
      <tp t="s">
        <v>#N/A N/A</v>
        <stp/>
        <stp>BDP|6232068163030128322</stp>
        <tr r="K1692" s="2"/>
      </tp>
      <tp t="s">
        <v>#N/A N/A</v>
        <stp/>
        <stp>BDP|6382896802045846841</stp>
        <tr r="F1434" s="2"/>
      </tp>
      <tp t="s">
        <v>#N/A N/A</v>
        <stp/>
        <stp>BDP|9083174953049675760</stp>
        <tr r="D2031" s="2"/>
      </tp>
      <tp t="s">
        <v>#N/A N/A</v>
        <stp/>
        <stp>BDP|8169424751089113379</stp>
        <tr r="N1761" s="2"/>
      </tp>
      <tp t="s">
        <v>#N/A N/A</v>
        <stp/>
        <stp>BDP|8664643757250297834</stp>
        <tr r="H1645" s="2"/>
      </tp>
      <tp t="s">
        <v>#N/A N/A</v>
        <stp/>
        <stp>BDP|1048023765055288115</stp>
        <tr r="S107" s="2"/>
      </tp>
      <tp t="s">
        <v>#N/A N/A</v>
        <stp/>
        <stp>BDP|2496071623242106150</stp>
        <tr r="K2115" s="2"/>
      </tp>
      <tp t="s">
        <v>#N/A N/A</v>
        <stp/>
        <stp>BDP|8496606957338354043</stp>
        <tr r="C2041" s="2"/>
      </tp>
      <tp t="s">
        <v>#N/A N/A</v>
        <stp/>
        <stp>BDP|9252229544274139817</stp>
        <tr r="D1333" s="2"/>
      </tp>
      <tp t="s">
        <v>#N/A N/A</v>
        <stp/>
        <stp>BDP|2693716619577218081</stp>
        <tr r="T1182" s="2"/>
      </tp>
      <tp t="s">
        <v>#N/A N/A</v>
        <stp/>
        <stp>BDP|8697723576252452920</stp>
        <tr r="F1197" s="2"/>
      </tp>
      <tp t="s">
        <v>#N/A N/A</v>
        <stp/>
        <stp>BDP|8919298697445109520</stp>
        <tr r="K1215" s="2"/>
      </tp>
      <tp t="s">
        <v>#N/A N/A</v>
        <stp/>
        <stp>BDP|1052219163754655203</stp>
        <tr r="T288" s="2"/>
      </tp>
      <tp t="s">
        <v>#N/A N/A</v>
        <stp/>
        <stp>BDP|2103379694582261947</stp>
        <tr r="N979" s="2"/>
      </tp>
      <tp t="s">
        <v>#N/A N/A</v>
        <stp/>
        <stp>BDP|1898865068144792859</stp>
        <tr r="C1899" s="2"/>
      </tp>
      <tp t="s">
        <v>#N/A N/A</v>
        <stp/>
        <stp>BDP|9875204711638514188</stp>
        <tr r="E1253" s="2"/>
      </tp>
      <tp t="s">
        <v>#N/A N/A</v>
        <stp/>
        <stp>BDP|8473161245476386806</stp>
        <tr r="Q331" s="2"/>
      </tp>
      <tp t="s">
        <v>#N/A N/A</v>
        <stp/>
        <stp>BDP|6818596709814411482</stp>
        <tr r="C2114" s="2"/>
      </tp>
      <tp t="s">
        <v>#N/A N/A</v>
        <stp/>
        <stp>BDP|8486017790012539040</stp>
        <tr r="R1480" s="2"/>
      </tp>
      <tp t="s">
        <v>#N/A N/A</v>
        <stp/>
        <stp>BDP|7994699758257453088</stp>
        <tr r="T659" s="2"/>
      </tp>
      <tp t="s">
        <v>#N/A N/A</v>
        <stp/>
        <stp>BDP|5036033676719881890</stp>
        <tr r="T173" s="2"/>
      </tp>
      <tp t="s">
        <v>#N/A N/A</v>
        <stp/>
        <stp>BDP|6541408805545700436</stp>
        <tr r="N1196" s="2"/>
      </tp>
      <tp t="s">
        <v>#N/A N/A</v>
        <stp/>
        <stp>BDP|3138020203872124256</stp>
        <tr r="Q777" s="2"/>
      </tp>
      <tp t="s">
        <v>#N/A N/A</v>
        <stp/>
        <stp>BDP|6336864489224899103</stp>
        <tr r="T1489" s="2"/>
      </tp>
      <tp t="s">
        <v>#N/A N/A</v>
        <stp/>
        <stp>BDP|5928506405291811209</stp>
        <tr r="G1868" s="2"/>
      </tp>
      <tp t="s">
        <v>#N/A N/A</v>
        <stp/>
        <stp>BDP|3787870199570474194</stp>
        <tr r="H292" s="2"/>
      </tp>
      <tp t="s">
        <v>#N/A N/A</v>
        <stp/>
        <stp>BDP|8341541770921764844</stp>
        <tr r="M455" s="2"/>
      </tp>
      <tp t="s">
        <v>#N/A N/A</v>
        <stp/>
        <stp>BDP|9025818426401571167</stp>
        <tr r="M494" s="2"/>
      </tp>
      <tp t="s">
        <v>#N/A N/A</v>
        <stp/>
        <stp>BDP|6602650765842720754</stp>
        <tr r="F1668" s="2"/>
      </tp>
      <tp t="s">
        <v>#N/A N/A</v>
        <stp/>
        <stp>BDS|3613162832820070261</stp>
        <tr r="I2011" s="2"/>
      </tp>
      <tp t="s">
        <v>#N/A N/A</v>
        <stp/>
        <stp>BDP|7737100336023602532</stp>
        <tr r="R1976" s="2"/>
      </tp>
      <tp t="s">
        <v>#N/A N/A</v>
        <stp/>
        <stp>BDP|5162604133857721419</stp>
        <tr r="K914" s="2"/>
      </tp>
      <tp t="s">
        <v>#N/A N/A</v>
        <stp/>
        <stp>BDP|3440949180620133159</stp>
        <tr r="P446" s="2"/>
      </tp>
      <tp t="s">
        <v>#N/A N/A</v>
        <stp/>
        <stp>BDP|7401374460472593328</stp>
        <tr r="Q2162" s="2"/>
      </tp>
      <tp t="s">
        <v>#N/A N/A</v>
        <stp/>
        <stp>BDS|1977267621156907433</stp>
        <tr r="I2121" s="2"/>
      </tp>
      <tp t="s">
        <v>#N/A N/A</v>
        <stp/>
        <stp>BDP|5179416029314435490</stp>
        <tr r="Q1425" s="2"/>
      </tp>
      <tp t="s">
        <v>#N/A N/A</v>
        <stp/>
        <stp>BDP|6608506202070820085</stp>
        <tr r="A1646" s="2"/>
      </tp>
      <tp t="s">
        <v>#N/A N/A</v>
        <stp/>
        <stp>BDP|5301550012971583351</stp>
        <tr r="J1183" s="2"/>
      </tp>
      <tp t="s">
        <v>#N/A N/A</v>
        <stp/>
        <stp>BDP|3073755040347237432</stp>
        <tr r="S1283" s="2"/>
      </tp>
      <tp t="s">
        <v>#N/A N/A</v>
        <stp/>
        <stp>BDP|2410212660571750463</stp>
        <tr r="O1196" s="2"/>
      </tp>
      <tp t="s">
        <v>#N/A N/A</v>
        <stp/>
        <stp>BDP|5442883537744781988</stp>
        <tr r="F900" s="2"/>
      </tp>
      <tp t="s">
        <v>#N/A N/A</v>
        <stp/>
        <stp>BDP|6973721410626857575</stp>
        <tr r="A488" s="2"/>
      </tp>
      <tp t="s">
        <v>#N/A N/A</v>
        <stp/>
        <stp>BDP|2047754268996190680</stp>
        <tr r="T1235" s="2"/>
      </tp>
      <tp t="s">
        <v>#N/A N/A</v>
        <stp/>
        <stp>BDP|2034708885978336621</stp>
        <tr r="D213" s="2"/>
      </tp>
      <tp t="s">
        <v>#N/A N/A</v>
        <stp/>
        <stp>BDP|4049146517232780508</stp>
        <tr r="N87" s="2"/>
      </tp>
      <tp t="s">
        <v>#N/A N/A</v>
        <stp/>
        <stp>BDS|1294544313996815096</stp>
        <tr r="I378" s="2"/>
      </tp>
      <tp t="s">
        <v>#N/A N/A</v>
        <stp/>
        <stp>BDS|7173264853285455644</stp>
        <tr r="I2057" s="2"/>
      </tp>
      <tp t="s">
        <v>#N/A N/A</v>
        <stp/>
        <stp>BDP|4229193946781814314</stp>
        <tr r="A355" s="2"/>
      </tp>
      <tp t="s">
        <v>#N/A N/A</v>
        <stp/>
        <stp>BDP|7955303939931393575</stp>
        <tr r="A895" s="2"/>
      </tp>
      <tp t="s">
        <v>#N/A N/A</v>
        <stp/>
        <stp>BDS|6697719822395278534</stp>
        <tr r="I826" s="2"/>
      </tp>
      <tp t="s">
        <v>#N/A N/A</v>
        <stp/>
        <stp>BDP|8114950942861693743</stp>
        <tr r="O1929" s="2"/>
      </tp>
      <tp t="s">
        <v>#N/A N/A</v>
        <stp/>
        <stp>BDP|3703724979291025186</stp>
        <tr r="N1755" s="2"/>
      </tp>
      <tp t="s">
        <v>#N/A N/A</v>
        <stp/>
        <stp>BDP|4284715415401031028</stp>
        <tr r="T410" s="2"/>
      </tp>
      <tp t="s">
        <v>#N/A N/A</v>
        <stp/>
        <stp>BDP|6824690652635703306</stp>
        <tr r="O1853" s="2"/>
      </tp>
      <tp t="s">
        <v>#N/A N/A</v>
        <stp/>
        <stp>BDP|9715131729519071090</stp>
        <tr r="R1555" s="2"/>
      </tp>
      <tp t="s">
        <v>#N/A N/A</v>
        <stp/>
        <stp>BDP|5165246181319349535</stp>
        <tr r="A306" s="2"/>
      </tp>
      <tp t="s">
        <v>#N/A N/A</v>
        <stp/>
        <stp>BDP|7373799506623128098</stp>
        <tr r="R1250" s="2"/>
      </tp>
      <tp t="s">
        <v>#N/A N/A</v>
        <stp/>
        <stp>BDP|3737052012107668624</stp>
        <tr r="N658" s="2"/>
      </tp>
      <tp t="s">
        <v>#N/A N/A</v>
        <stp/>
        <stp>BDP|5637344600672642700</stp>
        <tr r="N2158" s="2"/>
      </tp>
      <tp t="s">
        <v>#N/A N/A</v>
        <stp/>
        <stp>BDP|4931780404244334427</stp>
        <tr r="R972" s="2"/>
      </tp>
      <tp t="s">
        <v>#N/A N/A</v>
        <stp/>
        <stp>BDP|8241574495344026344</stp>
        <tr r="N850" s="2"/>
      </tp>
      <tp t="s">
        <v>#N/A N/A</v>
        <stp/>
        <stp>BDP|7959083745515372531</stp>
        <tr r="C126" s="2"/>
      </tp>
      <tp t="s">
        <v>#N/A N/A</v>
        <stp/>
        <stp>BDP|9465735313004423845</stp>
        <tr r="F2178" s="2"/>
      </tp>
      <tp t="s">
        <v>#N/A N/A</v>
        <stp/>
        <stp>BDP|4961996591325110246</stp>
        <tr r="A2213" s="2"/>
      </tp>
      <tp t="s">
        <v>#N/A N/A</v>
        <stp/>
        <stp>BDP|1616526595318480618</stp>
        <tr r="G82" s="2"/>
      </tp>
      <tp t="s">
        <v>#N/A N/A</v>
        <stp/>
        <stp>BDP|9808803351034830354</stp>
        <tr r="D17" s="2"/>
      </tp>
      <tp t="s">
        <v>#N/A N/A</v>
        <stp/>
        <stp>BDP|9550239443864488858</stp>
        <tr r="M1424" s="2"/>
      </tp>
      <tp t="s">
        <v>#N/A N/A</v>
        <stp/>
        <stp>BDP|8108387810029479094</stp>
        <tr r="J1101" s="2"/>
      </tp>
      <tp t="s">
        <v>#N/A N/A</v>
        <stp/>
        <stp>BDP|2717605043120434341</stp>
        <tr r="H872" s="2"/>
      </tp>
      <tp t="s">
        <v>#N/A N/A</v>
        <stp/>
        <stp>BDP|1057647675566475517</stp>
        <tr r="T1265" s="2"/>
      </tp>
      <tp t="s">
        <v>#N/A N/A</v>
        <stp/>
        <stp>BDP|3357124776130071630</stp>
        <tr r="J1815" s="2"/>
      </tp>
      <tp t="s">
        <v>#N/A N/A</v>
        <stp/>
        <stp>BDP|5107305667676652540</stp>
        <tr r="T654" s="2"/>
      </tp>
      <tp t="s">
        <v>#N/A N/A</v>
        <stp/>
        <stp>BDP|9612998313331085384</stp>
        <tr r="Q1895" s="2"/>
      </tp>
      <tp t="s">
        <v>#N/A N/A</v>
        <stp/>
        <stp>BDP|8914193585574974686</stp>
        <tr r="N811" s="2"/>
      </tp>
      <tp t="s">
        <v>#N/A N/A</v>
        <stp/>
        <stp>BDP|1409336195711036964</stp>
        <tr r="P1780" s="2"/>
      </tp>
      <tp t="s">
        <v>#N/A N/A</v>
        <stp/>
        <stp>BDP|8328225194118271837</stp>
        <tr r="F1586" s="2"/>
      </tp>
      <tp t="s">
        <v>#N/A N/A</v>
        <stp/>
        <stp>BDP|2367310905214759658</stp>
        <tr r="E1656" s="2"/>
      </tp>
      <tp t="s">
        <v>#N/A N/A</v>
        <stp/>
        <stp>BDP|6938431868306092171</stp>
        <tr r="H1237" s="2"/>
      </tp>
      <tp t="s">
        <v>#N/A N/A</v>
        <stp/>
        <stp>BDP|3348350694602792802</stp>
        <tr r="A704" s="2"/>
      </tp>
      <tp t="s">
        <v>#N/A N/A</v>
        <stp/>
        <stp>BDP|4827109612551908667</stp>
        <tr r="N1596" s="2"/>
      </tp>
      <tp t="s">
        <v>#N/A N/A</v>
        <stp/>
        <stp>BDP|9871372888359372818</stp>
        <tr r="J1421" s="2"/>
      </tp>
      <tp t="s">
        <v>#N/A N/A</v>
        <stp/>
        <stp>BDP|8481333702188834080</stp>
        <tr r="R721" s="2"/>
      </tp>
      <tp t="s">
        <v>#N/A N/A</v>
        <stp/>
        <stp>BDP|6513501879860906701</stp>
        <tr r="R593" s="2"/>
      </tp>
      <tp t="s">
        <v>#N/A N/A</v>
        <stp/>
        <stp>BDP|2637469629206495189</stp>
        <tr r="C539" s="2"/>
      </tp>
      <tp t="s">
        <v>#N/A N/A</v>
        <stp/>
        <stp>BDP|4516475047211273629</stp>
        <tr r="J611" s="2"/>
      </tp>
      <tp t="s">
        <v>#N/A N/A</v>
        <stp/>
        <stp>BDP|8732088332548860000</stp>
        <tr r="E1484" s="2"/>
      </tp>
      <tp t="s">
        <v>#N/A N/A</v>
        <stp/>
        <stp>BDP|9439628795393519631</stp>
        <tr r="E1106" s="2"/>
      </tp>
      <tp t="s">
        <v>#N/A N/A</v>
        <stp/>
        <stp>BDP|9335250572969009612</stp>
        <tr r="J2055" s="2"/>
      </tp>
      <tp t="s">
        <v>#N/A N/A</v>
        <stp/>
        <stp>BDP|4148849616366562830</stp>
        <tr r="R849" s="2"/>
      </tp>
      <tp t="s">
        <v>#N/A N/A</v>
        <stp/>
        <stp>BDP|7698583209347734652</stp>
        <tr r="R731" s="2"/>
      </tp>
      <tp t="s">
        <v>#N/A N/A</v>
        <stp/>
        <stp>BDP|9382412942178216272</stp>
        <tr r="F1085" s="2"/>
      </tp>
      <tp t="s">
        <v>#N/A N/A</v>
        <stp/>
        <stp>BDP|3294187820293862071</stp>
        <tr r="S856" s="2"/>
      </tp>
      <tp t="s">
        <v>#N/A N/A</v>
        <stp/>
        <stp>BDP|2257261336977302746</stp>
        <tr r="S571" s="2"/>
      </tp>
      <tp t="s">
        <v>#N/A N/A</v>
        <stp/>
        <stp>BDP|7312480728162192072</stp>
        <tr r="J1726" s="2"/>
      </tp>
      <tp t="s">
        <v>#N/A N/A</v>
        <stp/>
        <stp>BDS|7526865205904507866</stp>
        <tr r="I23" s="2"/>
      </tp>
      <tp t="s">
        <v>#N/A N/A</v>
        <stp/>
        <stp>BDP|7050302459033999155</stp>
        <tr r="R199" s="2"/>
      </tp>
      <tp t="s">
        <v>#N/A N/A</v>
        <stp/>
        <stp>BDP|7147285574865021481</stp>
        <tr r="A538" s="2"/>
      </tp>
      <tp t="s">
        <v>#N/A N/A</v>
        <stp/>
        <stp>BDP|6818995100369591514</stp>
        <tr r="D1382" s="2"/>
      </tp>
      <tp t="s">
        <v>#N/A N/A</v>
        <stp/>
        <stp>BDP|1342537948880568387</stp>
        <tr r="G315" s="2"/>
      </tp>
      <tp t="s">
        <v>#N/A N/A</v>
        <stp/>
        <stp>BDP|8425246083519340858</stp>
        <tr r="J863" s="2"/>
      </tp>
      <tp t="s">
        <v>#N/A N/A</v>
        <stp/>
        <stp>BDP|5275713403120415119</stp>
        <tr r="J782" s="2"/>
      </tp>
      <tp t="s">
        <v>#N/A N/A</v>
        <stp/>
        <stp>BDP|7244519567836495151</stp>
        <tr r="N1181" s="2"/>
      </tp>
      <tp t="s">
        <v>#N/A N/A</v>
        <stp/>
        <stp>BDP|7156216913456484122</stp>
        <tr r="N1319" s="2"/>
      </tp>
      <tp t="s">
        <v>#N/A N/A</v>
        <stp/>
        <stp>BDP|5672506861875715055</stp>
        <tr r="J2013" s="2"/>
      </tp>
      <tp t="s">
        <v>#N/A N/A</v>
        <stp/>
        <stp>BDS|7169700137679487976</stp>
        <tr r="I1037" s="2"/>
      </tp>
      <tp t="s">
        <v>#N/A N/A</v>
        <stp/>
        <stp>BDP|7393714304636147523</stp>
        <tr r="P1248" s="2"/>
      </tp>
      <tp t="s">
        <v>#N/A N/A</v>
        <stp/>
        <stp>BDP|5167349671537037515</stp>
        <tr r="C943" s="2"/>
      </tp>
      <tp t="s">
        <v>#N/A N/A</v>
        <stp/>
        <stp>BDP|9612808511051232206</stp>
        <tr r="Q458" s="2"/>
      </tp>
      <tp t="s">
        <v>#N/A N/A</v>
        <stp/>
        <stp>BDS|5725501124984152570</stp>
        <tr r="I1440" s="2"/>
      </tp>
      <tp t="s">
        <v>#N/A N/A</v>
        <stp/>
        <stp>BDP|7078240101007983193</stp>
        <tr r="P643" s="2"/>
      </tp>
      <tp t="s">
        <v>#N/A N/A</v>
        <stp/>
        <stp>BDP|5927987757338786241</stp>
        <tr r="K652" s="2"/>
      </tp>
      <tp t="s">
        <v>#N/A N/A</v>
        <stp/>
        <stp>BDP|3916362108977226407</stp>
        <tr r="R1420" s="2"/>
      </tp>
      <tp t="s">
        <v>#N/A N/A</v>
        <stp/>
        <stp>BDP|4753268540271591019</stp>
        <tr r="C597" s="2"/>
      </tp>
      <tp t="s">
        <v>#N/A N/A</v>
        <stp/>
        <stp>BDP|7794626561654231034</stp>
        <tr r="D1038" s="2"/>
      </tp>
      <tp t="s">
        <v>#N/A N/A</v>
        <stp/>
        <stp>BDP|1515168660043660601</stp>
        <tr r="N1321" s="2"/>
      </tp>
      <tp t="s">
        <v>#N/A N/A</v>
        <stp/>
        <stp>BDP|6696665326223657255</stp>
        <tr r="N1967" s="2"/>
      </tp>
      <tp t="s">
        <v>#N/A N/A</v>
        <stp/>
        <stp>BDP|4395441273697003310</stp>
        <tr r="D963" s="2"/>
      </tp>
      <tp t="s">
        <v>#N/A N/A</v>
        <stp/>
        <stp>BDP|2018157340845021102</stp>
        <tr r="E565" s="2"/>
      </tp>
      <tp t="s">
        <v>#N/A N/A</v>
        <stp/>
        <stp>BDP|2404179033794184748</stp>
        <tr r="R1904" s="2"/>
      </tp>
      <tp t="s">
        <v>#N/A N/A</v>
        <stp/>
        <stp>BDP|3549978971286501830</stp>
        <tr r="A1511" s="2"/>
      </tp>
      <tp t="s">
        <v>#N/A N/A</v>
        <stp/>
        <stp>BDP|2536239648900324780</stp>
        <tr r="R2187" s="2"/>
      </tp>
      <tp t="s">
        <v>#N/A N/A</v>
        <stp/>
        <stp>BDS|8816945458566702163</stp>
        <tr r="I687" s="2"/>
      </tp>
      <tp t="s">
        <v>#N/A N/A</v>
        <stp/>
        <stp>BDP|1719510860364640557</stp>
        <tr r="T1441" s="2"/>
      </tp>
      <tp t="s">
        <v>#N/A N/A</v>
        <stp/>
        <stp>BDP|1060222047557906390</stp>
        <tr r="K1792" s="2"/>
      </tp>
      <tp t="s">
        <v>#N/A N/A</v>
        <stp/>
        <stp>BDP|4497130390818406760</stp>
        <tr r="M985" s="2"/>
      </tp>
      <tp t="s">
        <v>#N/A N/A</v>
        <stp/>
        <stp>BDP|3165415636963020438</stp>
        <tr r="O534" s="2"/>
      </tp>
      <tp t="s">
        <v>#N/A N/A</v>
        <stp/>
        <stp>BDP|8955831089002370953</stp>
        <tr r="P1380" s="2"/>
      </tp>
      <tp t="s">
        <v>#N/A N/A</v>
        <stp/>
        <stp>BDP|7712240726326110213</stp>
        <tr r="E1085" s="2"/>
      </tp>
      <tp t="s">
        <v>#N/A N/A</v>
        <stp/>
        <stp>BDP|3517447124336015004</stp>
        <tr r="J1164" s="2"/>
      </tp>
      <tp t="s">
        <v>#N/A N/A</v>
        <stp/>
        <stp>BDP|1675016680718261200</stp>
        <tr r="O1127" s="2"/>
      </tp>
      <tp t="s">
        <v>#N/A N/A</v>
        <stp/>
        <stp>BDP|9287730387845558065</stp>
        <tr r="Q1784" s="2"/>
      </tp>
      <tp t="s">
        <v>#N/A N/A</v>
        <stp/>
        <stp>BDP|5811023928775409136</stp>
        <tr r="E1153" s="2"/>
      </tp>
      <tp t="s">
        <v>#N/A N/A</v>
        <stp/>
        <stp>BDP|1314271200044665475</stp>
        <tr r="M572" s="2"/>
      </tp>
      <tp t="s">
        <v>#N/A N/A</v>
        <stp/>
        <stp>BDP|1535642509916431298</stp>
        <tr r="Q1049" s="2"/>
      </tp>
      <tp t="s">
        <v>#N/A N/A</v>
        <stp/>
        <stp>BDP|2696066602933251250</stp>
        <tr r="R2242" s="2"/>
      </tp>
      <tp t="s">
        <v>#N/A N/A</v>
        <stp/>
        <stp>BDP|3646543466351565241</stp>
        <tr r="D339" s="2"/>
      </tp>
      <tp t="s">
        <v>#N/A N/A</v>
        <stp/>
        <stp>BDP|3703832063727142932</stp>
        <tr r="P1747" s="2"/>
      </tp>
      <tp t="s">
        <v>#N/A N/A</v>
        <stp/>
        <stp>BDP|4499871528359616489</stp>
        <tr r="P1885" s="2"/>
      </tp>
      <tp t="s">
        <v>#N/A N/A</v>
        <stp/>
        <stp>BDP|6507234474038565820</stp>
        <tr r="F962" s="2"/>
      </tp>
      <tp t="s">
        <v>#N/A N/A</v>
        <stp/>
        <stp>BDP|4099373810814617141</stp>
        <tr r="M1546" s="2"/>
      </tp>
      <tp t="s">
        <v>#N/A N/A</v>
        <stp/>
        <stp>BDP|5243527350775720324</stp>
        <tr r="Q498" s="2"/>
      </tp>
      <tp t="s">
        <v>#N/A N/A</v>
        <stp/>
        <stp>BDP|9210783957349050186</stp>
        <tr r="J1704" s="2"/>
      </tp>
      <tp t="s">
        <v>#N/A N/A</v>
        <stp/>
        <stp>BDP|1748090369776105231</stp>
        <tr r="D1188" s="2"/>
      </tp>
      <tp t="s">
        <v>#N/A N/A</v>
        <stp/>
        <stp>BDP|3523759595556537858</stp>
        <tr r="J496" s="2"/>
      </tp>
      <tp t="s">
        <v>#N/A N/A</v>
        <stp/>
        <stp>BDP|4332110301715695308</stp>
        <tr r="H988" s="2"/>
      </tp>
      <tp t="s">
        <v>#N/A N/A</v>
        <stp/>
        <stp>BDP|4493449534009910984</stp>
        <tr r="D686" s="2"/>
      </tp>
      <tp t="s">
        <v>#N/A N/A</v>
        <stp/>
        <stp>BDP|4878729159435197076</stp>
        <tr r="S855" s="2"/>
      </tp>
      <tp t="s">
        <v>#N/A N/A</v>
        <stp/>
        <stp>BDP|6833098973476322448</stp>
        <tr r="T1911" s="2"/>
      </tp>
      <tp t="s">
        <v>#N/A N/A</v>
        <stp/>
        <stp>BDP|7092635448374639289</stp>
        <tr r="F1208" s="2"/>
      </tp>
      <tp t="s">
        <v>#N/A N/A</v>
        <stp/>
        <stp>BDP|3344486651533965265</stp>
        <tr r="S708" s="2"/>
      </tp>
      <tp t="s">
        <v>#N/A N/A</v>
        <stp/>
        <stp>BDP|4432428205671793210</stp>
        <tr r="M1122" s="2"/>
      </tp>
      <tp t="s">
        <v>#N/A N/A</v>
        <stp/>
        <stp>BDP|4778490980119374285</stp>
        <tr r="K2179" s="2"/>
      </tp>
      <tp t="s">
        <v>#N/A N/A</v>
        <stp/>
        <stp>BDP|6697799128748146837</stp>
        <tr r="C92" s="2"/>
      </tp>
      <tp t="s">
        <v>#N/A N/A</v>
        <stp/>
        <stp>BDP|5287642774854774301</stp>
        <tr r="O213" s="2"/>
      </tp>
      <tp t="s">
        <v>#N/A N/A</v>
        <stp/>
        <stp>BDP|9117467250418139335</stp>
        <tr r="G1455" s="2"/>
      </tp>
      <tp t="s">
        <v>#N/A N/A</v>
        <stp/>
        <stp>BDP|7764966860922740939</stp>
        <tr r="N1007" s="2"/>
      </tp>
      <tp t="s">
        <v>#N/A N/A</v>
        <stp/>
        <stp>BDP|9577433674520269953</stp>
        <tr r="K1091" s="2"/>
      </tp>
      <tp t="s">
        <v>#N/A N/A</v>
        <stp/>
        <stp>BDP|3488628281039202704</stp>
        <tr r="D63" s="2"/>
      </tp>
      <tp t="s">
        <v>#N/A N/A</v>
        <stp/>
        <stp>BDS|9013879912620225328</stp>
        <tr r="I642" s="2"/>
      </tp>
      <tp t="s">
        <v>#N/A N/A</v>
        <stp/>
        <stp>BDP|7507001970283828086</stp>
        <tr r="Q640" s="2"/>
      </tp>
      <tp t="s">
        <v>#N/A N/A</v>
        <stp/>
        <stp>BDP|6602710135399305844</stp>
        <tr r="D1392" s="2"/>
      </tp>
      <tp t="s">
        <v>#N/A N/A</v>
        <stp/>
        <stp>BDP|5032495311791558282</stp>
        <tr r="S1889" s="2"/>
      </tp>
      <tp t="s">
        <v>#N/A N/A</v>
        <stp/>
        <stp>BDP|3448313002606040523</stp>
        <tr r="N1483" s="2"/>
      </tp>
      <tp t="s">
        <v>#N/A N/A</v>
        <stp/>
        <stp>BDP|6147624016692834083</stp>
        <tr r="D1175" s="2"/>
      </tp>
    </main>
    <main first="bofaddin.rtdserver">
      <tp t="s">
        <v>#N/A N/A</v>
        <stp/>
        <stp>BDP|36258997046253464</stp>
        <tr r="J89" s="2"/>
      </tp>
      <tp t="s">
        <v>#N/A N/A</v>
        <stp/>
        <stp>BDP|41791395021801600</stp>
        <tr r="Q2245" s="2"/>
      </tp>
      <tp t="s">
        <v>#N/A N/A</v>
        <stp/>
        <stp>BDP|97439246709068083</stp>
        <tr r="Q839" s="2"/>
      </tp>
      <tp t="s">
        <v>#N/A N/A</v>
        <stp/>
        <stp>BDP|67858978905286359</stp>
        <tr r="K555" s="2"/>
      </tp>
      <tp t="s">
        <v>#N/A N/A</v>
        <stp/>
        <stp>BDP|89986651112736750</stp>
        <tr r="H2251" s="2"/>
      </tp>
      <tp t="s">
        <v>#N/A N/A</v>
        <stp/>
        <stp>BDP|85958798141476814</stp>
        <tr r="H333" s="2"/>
      </tp>
      <tp t="s">
        <v>#N/A N/A</v>
        <stp/>
        <stp>BDP|19992463966608193</stp>
        <tr r="E2110" s="2"/>
      </tp>
      <tp t="s">
        <v>#N/A N/A</v>
        <stp/>
        <stp>BDP|64961503874395542</stp>
        <tr r="M526" s="2"/>
      </tp>
      <tp t="s">
        <v>#N/A N/A</v>
        <stp/>
        <stp>BDP|65733785461047650</stp>
        <tr r="R1995" s="2"/>
      </tp>
      <tp t="s">
        <v>#N/A N/A</v>
        <stp/>
        <stp>BDP|13879670437080070</stp>
        <tr r="T916" s="2"/>
      </tp>
      <tp t="s">
        <v>#N/A N/A</v>
        <stp/>
        <stp>BDP|87636789474004241</stp>
        <tr r="A1009" s="2"/>
      </tp>
      <tp t="s">
        <v>#N/A N/A</v>
        <stp/>
        <stp>BDP|52301614693248993</stp>
        <tr r="S1347" s="2"/>
      </tp>
      <tp t="s">
        <v>#N/A N/A</v>
        <stp/>
        <stp>BDP|38644348723398930</stp>
        <tr r="R288" s="2"/>
      </tp>
      <tp t="s">
        <v>#N/A N/A</v>
        <stp/>
        <stp>BDP|33008398267154633</stp>
        <tr r="T1336" s="2"/>
      </tp>
      <tp t="s">
        <v>#N/A N/A</v>
        <stp/>
        <stp>BDP|45448299144580102</stp>
        <tr r="Q74" s="2"/>
      </tp>
      <tp t="s">
        <v>#N/A N/A</v>
        <stp/>
        <stp>BDP|35687747192629802</stp>
        <tr r="T20" s="2"/>
      </tp>
      <tp t="s">
        <v>#N/A N/A</v>
        <stp/>
        <stp>BDP|38736950061637820</stp>
        <tr r="J609" s="2"/>
      </tp>
      <tp t="s">
        <v>#N/A N/A</v>
        <stp/>
        <stp>BDS|60932037154644674</stp>
        <tr r="I860" s="2"/>
      </tp>
      <tp t="s">
        <v>#N/A N/A</v>
        <stp/>
        <stp>BDP|51060997927260513</stp>
        <tr r="P773" s="2"/>
      </tp>
      <tp t="s">
        <v>#N/A N/A</v>
        <stp/>
        <stp>BDP|61551862480490803</stp>
        <tr r="E1877" s="2"/>
      </tp>
      <tp t="s">
        <v>#N/A N/A</v>
        <stp/>
        <stp>BDP|32553980141418712</stp>
        <tr r="J2198" s="2"/>
      </tp>
      <tp t="s">
        <v>#N/A N/A</v>
        <stp/>
        <stp>BDP|35963162043741725</stp>
        <tr r="J131" s="2"/>
      </tp>
      <tp t="s">
        <v>#N/A N/A</v>
        <stp/>
        <stp>BDP|87459091017931120</stp>
        <tr r="G916" s="2"/>
      </tp>
      <tp t="s">
        <v>#N/A N/A</v>
        <stp/>
        <stp>BDP|30597033699839495</stp>
        <tr r="H1431" s="2"/>
      </tp>
      <tp t="s">
        <v>#N/A N/A</v>
        <stp/>
        <stp>BDP|70384155239048455</stp>
        <tr r="D1904" s="2"/>
      </tp>
      <tp t="s">
        <v>#N/A N/A</v>
        <stp/>
        <stp>BDP|92453302847046912</stp>
        <tr r="F1536" s="2"/>
      </tp>
      <tp t="s">
        <v>#N/A N/A</v>
        <stp/>
        <stp>BDP|78060061085530902</stp>
        <tr r="T1433" s="2"/>
      </tp>
      <tp t="s">
        <v>#N/A N/A</v>
        <stp/>
        <stp>BDP|69300583979168817</stp>
        <tr r="E262" s="2"/>
      </tp>
      <tp t="s">
        <v>#N/A N/A</v>
        <stp/>
        <stp>BDP|50883774532632798</stp>
        <tr r="H527" s="2"/>
      </tp>
      <tp t="s">
        <v>#N/A N/A</v>
        <stp/>
        <stp>BDP|43513212166829887</stp>
        <tr r="Q963" s="2"/>
      </tp>
      <tp t="s">
        <v>#N/A N/A</v>
        <stp/>
        <stp>BDP|95858778514599180</stp>
        <tr r="O1784" s="2"/>
      </tp>
      <tp t="s">
        <v>#N/A N/A</v>
        <stp/>
        <stp>BDP|98901701317662474</stp>
        <tr r="M1043" s="2"/>
      </tp>
      <tp t="s">
        <v>#N/A N/A</v>
        <stp/>
        <stp>BDP|63915620654774578</stp>
        <tr r="H90" s="2"/>
      </tp>
      <tp t="s">
        <v>#N/A N/A</v>
        <stp/>
        <stp>BDP|22864696712857968</stp>
        <tr r="G2080" s="2"/>
      </tp>
      <tp t="s">
        <v>#N/A N/A</v>
        <stp/>
        <stp>BDP|90187076104663860</stp>
        <tr r="P1389" s="2"/>
      </tp>
      <tp t="s">
        <v>#N/A N/A</v>
        <stp/>
        <stp>BDP|33420472961972856</stp>
        <tr r="E1349" s="2"/>
      </tp>
      <tp t="s">
        <v>#N/A N/A</v>
        <stp/>
        <stp>BDP|24814024529495981</stp>
        <tr r="N2069" s="2"/>
      </tp>
      <tp t="s">
        <v>#N/A N/A</v>
        <stp/>
        <stp>BDP|89000186983470642</stp>
        <tr r="S286" s="2"/>
      </tp>
      <tp t="s">
        <v>#N/A N/A</v>
        <stp/>
        <stp>BDP|23613884271334200</stp>
        <tr r="D502" s="2"/>
      </tp>
      <tp t="s">
        <v>#N/A N/A</v>
        <stp/>
        <stp>BDP|48492098738224874</stp>
        <tr r="M1177" s="2"/>
      </tp>
      <tp t="s">
        <v>#N/A N/A</v>
        <stp/>
        <stp>BDP|66566231833064826</stp>
        <tr r="C1767" s="2"/>
      </tp>
      <tp t="s">
        <v>#N/A N/A</v>
        <stp/>
        <stp>BDP|22636445007160855</stp>
        <tr r="N819" s="2"/>
      </tp>
      <tp t="s">
        <v>#N/A N/A</v>
        <stp/>
        <stp>BDP|52598459344597943</stp>
        <tr r="S342" s="2"/>
      </tp>
      <tp t="s">
        <v>#N/A N/A</v>
        <stp/>
        <stp>BDP|82846079684677654</stp>
        <tr r="N267" s="2"/>
      </tp>
      <tp t="s">
        <v>#N/A N/A</v>
        <stp/>
        <stp>BDP|29922606475390184</stp>
        <tr r="T222" s="2"/>
      </tp>
      <tp t="s">
        <v>#N/A N/A</v>
        <stp/>
        <stp>BDP|98868898614600877</stp>
        <tr r="C2155" s="2"/>
      </tp>
      <tp t="s">
        <v>#N/A N/A</v>
        <stp/>
        <stp>BDP|36295573999760113</stp>
        <tr r="F102" s="2"/>
      </tp>
      <tp t="s">
        <v>#N/A N/A</v>
        <stp/>
        <stp>BDP|98857129963656465</stp>
        <tr r="K9" s="2"/>
      </tp>
      <tp t="s">
        <v>#N/A N/A</v>
        <stp/>
        <stp>BDP|45291295164564255</stp>
        <tr r="K2155" s="2"/>
      </tp>
      <tp t="s">
        <v>#N/A N/A</v>
        <stp/>
        <stp>BDP|48401433598223327</stp>
        <tr r="H1815" s="2"/>
      </tp>
      <tp t="s">
        <v>#N/A N/A</v>
        <stp/>
        <stp>BDP|85440918971224805</stp>
        <tr r="H1284" s="2"/>
      </tp>
      <tp t="s">
        <v>#N/A N/A</v>
        <stp/>
        <stp>BDP|12815355847861637</stp>
        <tr r="H403" s="2"/>
      </tp>
      <tp t="s">
        <v>#N/A N/A</v>
        <stp/>
        <stp>BDP|85805159165349456</stp>
        <tr r="F1777" s="2"/>
      </tp>
      <tp t="s">
        <v>#N/A N/A</v>
        <stp/>
        <stp>BDP|23420925768885202</stp>
        <tr r="H1901" s="2"/>
      </tp>
      <tp t="s">
        <v>#N/A N/A</v>
        <stp/>
        <stp>BDP|41000870989333293</stp>
        <tr r="A498" s="2"/>
      </tp>
      <tp t="s">
        <v>#N/A N/A</v>
        <stp/>
        <stp>BDP|95481599060038261</stp>
        <tr r="M178" s="2"/>
      </tp>
      <tp t="s">
        <v>#N/A N/A</v>
        <stp/>
        <stp>BDP|59973867225016548</stp>
        <tr r="D156" s="2"/>
      </tp>
      <tp t="s">
        <v>#N/A N/A</v>
        <stp/>
        <stp>BDP|13936671247366613</stp>
        <tr r="T374" s="2"/>
      </tp>
      <tp t="s">
        <v>#N/A N/A</v>
        <stp/>
        <stp>BDP|29345341038423014</stp>
        <tr r="N1610" s="2"/>
      </tp>
      <tp t="s">
        <v>#N/A N/A</v>
        <stp/>
        <stp>BDP|47939618535895225</stp>
        <tr r="A1734" s="2"/>
      </tp>
      <tp t="s">
        <v>#N/A N/A</v>
        <stp/>
        <stp>BDP|79330558608583127</stp>
        <tr r="C1027" s="2"/>
      </tp>
      <tp t="s">
        <v>#N/A N/A</v>
        <stp/>
        <stp>BDP|16901380958940658</stp>
        <tr r="A321" s="2"/>
      </tp>
      <tp t="s">
        <v>#N/A N/A</v>
        <stp/>
        <stp>BDP|37002664079850064</stp>
        <tr r="S1122" s="2"/>
      </tp>
      <tp t="s">
        <v>#N/A N/A</v>
        <stp/>
        <stp>BDP|11837805186462182</stp>
        <tr r="R1384" s="2"/>
      </tp>
      <tp t="s">
        <v>#N/A N/A</v>
        <stp/>
        <stp>BDP|29267148428447131</stp>
        <tr r="H1256" s="2"/>
      </tp>
      <tp t="s">
        <v>#N/A N/A</v>
        <stp/>
        <stp>BDP|84762212141461966</stp>
        <tr r="M2034" s="2"/>
      </tp>
      <tp t="s">
        <v>#N/A N/A</v>
        <stp/>
        <stp>BDP|68198943123529899</stp>
        <tr r="C636" s="2"/>
      </tp>
      <tp t="s">
        <v>#N/A N/A</v>
        <stp/>
        <stp>BDP|54393532418959663</stp>
        <tr r="D798" s="2"/>
      </tp>
      <tp t="s">
        <v>#N/A N/A</v>
        <stp/>
        <stp>BDP|97252300464070805</stp>
        <tr r="E190" s="2"/>
      </tp>
      <tp t="s">
        <v>#N/A N/A</v>
        <stp/>
        <stp>BDP|41323393193447708</stp>
        <tr r="K220" s="2"/>
      </tp>
      <tp t="s">
        <v>#N/A N/A</v>
        <stp/>
        <stp>BDP|64900466037928619</stp>
        <tr r="S1260" s="2"/>
      </tp>
      <tp t="s">
        <v>#N/A N/A</v>
        <stp/>
        <stp>BDP|76552729791435829</stp>
        <tr r="S210" s="2"/>
      </tp>
      <tp t="s">
        <v>#N/A N/A</v>
        <stp/>
        <stp>BDP|20396000944584949</stp>
        <tr r="H1243" s="2"/>
      </tp>
      <tp t="s">
        <v>#N/A N/A</v>
        <stp/>
        <stp>BDP|77402823879837135</stp>
        <tr r="K166" s="2"/>
      </tp>
      <tp t="s">
        <v>#N/A N/A</v>
        <stp/>
        <stp>BDP|74309537884934583</stp>
        <tr r="H1437" s="2"/>
      </tp>
      <tp t="s">
        <v>#N/A N/A</v>
        <stp/>
        <stp>BDP|22969491742168316</stp>
        <tr r="H603" s="2"/>
      </tp>
      <tp t="s">
        <v>#N/A N/A</v>
        <stp/>
        <stp>BDP|77420804884309121</stp>
        <tr r="A1210" s="2"/>
      </tp>
      <tp t="s">
        <v>#N/A N/A</v>
        <stp/>
        <stp>BDP|37343578993918611</stp>
        <tr r="G660" s="2"/>
      </tp>
      <tp t="s">
        <v>#N/A N/A</v>
        <stp/>
        <stp>BDP|22187907599560987</stp>
        <tr r="F1842" s="2"/>
      </tp>
      <tp t="s">
        <v>#N/A N/A</v>
        <stp/>
        <stp>BDP|26631012225650366</stp>
        <tr r="J437" s="2"/>
      </tp>
      <tp t="s">
        <v>#N/A N/A</v>
        <stp/>
        <stp>BDP|13058557303966750</stp>
        <tr r="Q1924" s="2"/>
      </tp>
      <tp t="s">
        <v>#N/A N/A</v>
        <stp/>
        <stp>BDP|35598325743335503</stp>
        <tr r="P486" s="2"/>
      </tp>
      <tp t="s">
        <v>#N/A N/A</v>
        <stp/>
        <stp>BDP|62415728144550308</stp>
        <tr r="R641" s="2"/>
      </tp>
      <tp t="s">
        <v>#N/A N/A</v>
        <stp/>
        <stp>BDP|22262703870105380</stp>
        <tr r="E2081" s="2"/>
      </tp>
      <tp t="s">
        <v>#N/A N/A</v>
        <stp/>
        <stp>BDP|71097337177496570</stp>
        <tr r="J1378" s="2"/>
      </tp>
      <tp t="s">
        <v>#N/A N/A</v>
        <stp/>
        <stp>BDP|24183566363639558</stp>
        <tr r="R2110" s="2"/>
      </tp>
      <tp t="s">
        <v>#N/A N/A</v>
        <stp/>
        <stp>BDP|57090625307704413</stp>
        <tr r="S2086" s="2"/>
      </tp>
      <tp t="s">
        <v>#N/A N/A</v>
        <stp/>
        <stp>BDP|67130600957060785</stp>
        <tr r="T2080" s="2"/>
      </tp>
      <tp t="s">
        <v>#N/A N/A</v>
        <stp/>
        <stp>BDP|59238903264578637</stp>
        <tr r="E1841" s="2"/>
      </tp>
      <tp t="s">
        <v>#N/A N/A</v>
        <stp/>
        <stp>BDP|76996340255725885</stp>
        <tr r="S1107" s="2"/>
      </tp>
      <tp t="s">
        <v>#N/A N/A</v>
        <stp/>
        <stp>BDP|33104443681676434</stp>
        <tr r="K2041" s="2"/>
      </tp>
      <tp t="s">
        <v>#N/A N/A</v>
        <stp/>
        <stp>BDP|77043361211691743</stp>
        <tr r="C1780" s="2"/>
      </tp>
      <tp t="s">
        <v>#N/A N/A</v>
        <stp/>
        <stp>BDP|91041441602403653</stp>
        <tr r="T1862" s="2"/>
      </tp>
      <tp t="s">
        <v>#N/A N/A</v>
        <stp/>
        <stp>BDP|95760262229376825</stp>
        <tr r="O2068" s="2"/>
      </tp>
      <tp t="s">
        <v>#N/A N/A</v>
        <stp/>
        <stp>BDP|29810138148573395</stp>
        <tr r="E1304" s="2"/>
      </tp>
      <tp t="s">
        <v>#N/A N/A</v>
        <stp/>
        <stp>BDP|17632607911656711</stp>
        <tr r="N1281" s="2"/>
      </tp>
      <tp t="s">
        <v>#N/A N/A</v>
        <stp/>
        <stp>BDS|30465356090674255</stp>
        <tr r="I2072" s="2"/>
      </tp>
      <tp t="s">
        <v>#N/A N/A</v>
        <stp/>
        <stp>BDP|68170606815857496</stp>
        <tr r="T1015" s="2"/>
      </tp>
      <tp t="s">
        <v>#N/A N/A</v>
        <stp/>
        <stp>BDP|17917872598100620</stp>
        <tr r="T17" s="2"/>
      </tp>
      <tp t="s">
        <v>#N/A N/A</v>
        <stp/>
        <stp>BDP|93478034937008024</stp>
        <tr r="A120" s="2"/>
      </tp>
      <tp t="s">
        <v>#N/A N/A</v>
        <stp/>
        <stp>BDP|76581863256389562</stp>
        <tr r="A2236" s="2"/>
      </tp>
      <tp t="s">
        <v>#N/A N/A</v>
        <stp/>
        <stp>BDP|79217688742466836</stp>
        <tr r="R1845" s="2"/>
      </tp>
      <tp t="s">
        <v>#N/A N/A</v>
        <stp/>
        <stp>BDP|87851417961895865</stp>
        <tr r="P1426" s="2"/>
      </tp>
      <tp t="s">
        <v>#N/A N/A</v>
        <stp/>
        <stp>BDP|56419698558491509</stp>
        <tr r="H1707" s="2"/>
      </tp>
      <tp t="s">
        <v>#N/A N/A</v>
        <stp/>
        <stp>BDP|89767028000776515</stp>
        <tr r="T1287" s="2"/>
      </tp>
      <tp t="s">
        <v>#N/A N/A</v>
        <stp/>
        <stp>BDP|29080725890672232</stp>
        <tr r="S555" s="2"/>
      </tp>
      <tp t="s">
        <v>#N/A N/A</v>
        <stp/>
        <stp>BDP|12635171805965425</stp>
        <tr r="R1170" s="2"/>
      </tp>
      <tp t="s">
        <v>#N/A N/A</v>
        <stp/>
        <stp>BDP|86837091766313783</stp>
        <tr r="O2171" s="2"/>
      </tp>
      <tp t="s">
        <v>#N/A N/A</v>
        <stp/>
        <stp>BDP|22452043453177058</stp>
        <tr r="P2190" s="2"/>
      </tp>
      <tp t="s">
        <v>#N/A N/A</v>
        <stp/>
        <stp>BDP|85598447755119719</stp>
        <tr r="M1568" s="2"/>
      </tp>
      <tp t="s">
        <v>#N/A N/A</v>
        <stp/>
        <stp>BDP|74798446126825693</stp>
        <tr r="O1239" s="2"/>
      </tp>
      <tp t="s">
        <v>#N/A N/A</v>
        <stp/>
        <stp>BDS|84336582753892858</stp>
        <tr r="I1228" s="2"/>
      </tp>
      <tp t="s">
        <v>#N/A N/A</v>
        <stp/>
        <stp>BDP|60597014623927484</stp>
        <tr r="C890" s="2"/>
      </tp>
      <tp t="s">
        <v>#N/A N/A</v>
        <stp/>
        <stp>BDP|88705133266847178</stp>
        <tr r="N1609" s="2"/>
      </tp>
      <tp t="s">
        <v>#N/A N/A</v>
        <stp/>
        <stp>BDP|46670200512815750</stp>
        <tr r="Q2227" s="2"/>
      </tp>
      <tp t="s">
        <v>#N/A N/A</v>
        <stp/>
        <stp>BDP|78033738582823286</stp>
        <tr r="O569" s="2"/>
      </tp>
      <tp t="s">
        <v>#N/A N/A</v>
        <stp/>
        <stp>BDP|64223328051138204</stp>
        <tr r="D1094" s="2"/>
      </tp>
      <tp t="s">
        <v>#N/A N/A</v>
        <stp/>
        <stp>BDP|94878211798711295</stp>
        <tr r="M2083" s="2"/>
      </tp>
      <tp t="s">
        <v>#N/A N/A</v>
        <stp/>
        <stp>BDP|71298542755995140</stp>
        <tr r="P308" s="2"/>
      </tp>
      <tp t="s">
        <v>#N/A N/A</v>
        <stp/>
        <stp>BDP|44603849273805359</stp>
        <tr r="O1954" s="2"/>
      </tp>
      <tp t="s">
        <v>#N/A N/A</v>
        <stp/>
        <stp>BDP|83106379546866247</stp>
        <tr r="H1581" s="2"/>
      </tp>
      <tp t="s">
        <v>#N/A N/A</v>
        <stp/>
        <stp>BDP|89020511927487453</stp>
        <tr r="T1030" s="2"/>
      </tp>
      <tp t="s">
        <v>#N/A N/A</v>
        <stp/>
        <stp>BDP|98353105288001922</stp>
        <tr r="S1582" s="2"/>
      </tp>
      <tp t="s">
        <v>#N/A N/A</v>
        <stp/>
        <stp>BDP|33967670188144446</stp>
        <tr r="A1926" s="2"/>
      </tp>
      <tp t="s">
        <v>#N/A N/A</v>
        <stp/>
        <stp>BDP|28379368554914363</stp>
        <tr r="E222" s="2"/>
      </tp>
      <tp t="s">
        <v>#N/A N/A</v>
        <stp/>
        <stp>BDP|30205950955816065</stp>
        <tr r="G639" s="2"/>
      </tp>
      <tp t="s">
        <v>#N/A N/A</v>
        <stp/>
        <stp>BDP|88042103341941309</stp>
        <tr r="G1624" s="2"/>
      </tp>
      <tp t="s">
        <v>#N/A N/A</v>
        <stp/>
        <stp>BDP|91396575203094501</stp>
        <tr r="P1044" s="2"/>
      </tp>
      <tp t="s">
        <v>#N/A N/A</v>
        <stp/>
        <stp>BDP|98566963231955015</stp>
        <tr r="Q1640" s="2"/>
      </tp>
      <tp t="s">
        <v>#N/A N/A</v>
        <stp/>
        <stp>BDP|16379337474538138</stp>
        <tr r="R1045" s="2"/>
      </tp>
      <tp t="s">
        <v>#N/A N/A</v>
        <stp/>
        <stp>BDP|73983821337334998</stp>
        <tr r="C1462" s="2"/>
      </tp>
      <tp t="s">
        <v>#N/A N/A</v>
        <stp/>
        <stp>BDP|83038466363553033</stp>
        <tr r="F1362" s="2"/>
      </tp>
      <tp t="s">
        <v>#N/A N/A</v>
        <stp/>
        <stp>BDP|45056944550654164</stp>
        <tr r="K1279" s="2"/>
      </tp>
      <tp t="s">
        <v>#N/A N/A</v>
        <stp/>
        <stp>BDP|44386963311497115</stp>
        <tr r="F503" s="2"/>
      </tp>
      <tp t="s">
        <v>#N/A N/A</v>
        <stp/>
        <stp>BDP|47435248887517217</stp>
        <tr r="H22" s="2"/>
      </tp>
      <tp t="s">
        <v>#N/A N/A</v>
        <stp/>
        <stp>BDP|75102040767863777</stp>
        <tr r="N484" s="2"/>
      </tp>
      <tp t="s">
        <v>#N/A N/A</v>
        <stp/>
        <stp>BDP|32775470672270787</stp>
        <tr r="N1212" s="2"/>
      </tp>
      <tp t="s">
        <v>#N/A N/A</v>
        <stp/>
        <stp>BDP|26930228556734878</stp>
        <tr r="O656" s="2"/>
      </tp>
      <tp t="s">
        <v>#N/A N/A</v>
        <stp/>
        <stp>BDP|16393039777874233</stp>
        <tr r="O609" s="2"/>
      </tp>
      <tp t="s">
        <v>#N/A N/A</v>
        <stp/>
        <stp>BDP|37855643009878061</stp>
        <tr r="S975" s="2"/>
      </tp>
      <tp t="s">
        <v>#N/A N/A</v>
        <stp/>
        <stp>BDP|74895396535424129</stp>
        <tr r="O2009" s="2"/>
      </tp>
      <tp t="s">
        <v>#N/A N/A</v>
        <stp/>
        <stp>BDP|99162254594156452</stp>
        <tr r="Q560" s="2"/>
      </tp>
      <tp t="s">
        <v>#N/A N/A</v>
        <stp/>
        <stp>BDP|52384541624765794</stp>
        <tr r="D129" s="2"/>
      </tp>
      <tp t="s">
        <v>#N/A N/A</v>
        <stp/>
        <stp>BDP|32354124754459127</stp>
        <tr r="J816" s="2"/>
      </tp>
      <tp t="s">
        <v>#N/A N/A</v>
        <stp/>
        <stp>BDP|65487788731386970</stp>
        <tr r="A2013" s="2"/>
      </tp>
      <tp t="s">
        <v>#N/A N/A</v>
        <stp/>
        <stp>BDP|76794224754113580</stp>
        <tr r="J1457" s="2"/>
      </tp>
      <tp t="s">
        <v>#N/A N/A</v>
        <stp/>
        <stp>BDP|79717864823599650</stp>
        <tr r="R1900" s="2"/>
      </tp>
      <tp t="s">
        <v>#N/A N/A</v>
        <stp/>
        <stp>BDP|28491848610069424</stp>
        <tr r="H608" s="2"/>
      </tp>
      <tp t="s">
        <v>#N/A N/A</v>
        <stp/>
        <stp>BDP|54401033831496264</stp>
        <tr r="R1685" s="2"/>
      </tp>
      <tp t="s">
        <v>#N/A N/A</v>
        <stp/>
        <stp>BDP|14288076854628567</stp>
        <tr r="M190" s="2"/>
      </tp>
      <tp t="s">
        <v>#N/A N/A</v>
        <stp/>
        <stp>BDP|69547229342130101</stp>
        <tr r="F1459" s="2"/>
      </tp>
      <tp t="s">
        <v>#N/A N/A</v>
        <stp/>
        <stp>BDP|66107958000476004</stp>
        <tr r="D1529" s="2"/>
      </tp>
      <tp t="s">
        <v>#N/A N/A</v>
        <stp/>
        <stp>BDP|82002322541713781</stp>
        <tr r="F1991" s="2"/>
      </tp>
      <tp t="s">
        <v>#N/A N/A</v>
        <stp/>
        <stp>BDP|52499453562566760</stp>
        <tr r="P1205" s="2"/>
      </tp>
      <tp t="s">
        <v>#N/A N/A</v>
        <stp/>
        <stp>BDS|40449795419461032</stp>
        <tr r="I1944" s="2"/>
      </tp>
      <tp t="s">
        <v>#N/A N/A</v>
        <stp/>
        <stp>BDP|27956524795244959</stp>
        <tr r="F348" s="2"/>
      </tp>
      <tp t="s">
        <v>#N/A N/A</v>
        <stp/>
        <stp>BDP|62270377810392251</stp>
        <tr r="A722" s="2"/>
      </tp>
      <tp t="s">
        <v>#N/A N/A</v>
        <stp/>
        <stp>BDS|50226317891785644</stp>
        <tr r="I2102" s="2"/>
      </tp>
      <tp t="s">
        <v>#N/A N/A</v>
        <stp/>
        <stp>BDP|51151864202192271</stp>
        <tr r="K73" s="2"/>
      </tp>
      <tp t="s">
        <v>#N/A N/A</v>
        <stp/>
        <stp>BDP|21339873563323074</stp>
        <tr r="F390" s="2"/>
      </tp>
      <tp t="s">
        <v>#N/A N/A</v>
        <stp/>
        <stp>BDP|76586498433468804</stp>
        <tr r="T731" s="2"/>
      </tp>
      <tp t="s">
        <v>#N/A N/A</v>
        <stp/>
        <stp>BDP|79016153791810386</stp>
        <tr r="A1490" s="2"/>
      </tp>
      <tp t="s">
        <v>#N/A N/A</v>
        <stp/>
        <stp>BDP|34643745383506661</stp>
        <tr r="P2102" s="2"/>
      </tp>
      <tp t="s">
        <v>#N/A N/A</v>
        <stp/>
        <stp>BDP|25773652894677132</stp>
        <tr r="O1422" s="2"/>
      </tp>
      <tp t="s">
        <v>#N/A N/A</v>
        <stp/>
        <stp>BDS|57028645219544924</stp>
        <tr r="I2116" s="2"/>
      </tp>
      <tp t="s">
        <v>#N/A N/A</v>
        <stp/>
        <stp>BDP|77759476925674250</stp>
        <tr r="E216" s="2"/>
      </tp>
      <tp t="s">
        <v>#N/A N/A</v>
        <stp/>
        <stp>BDP|51714058031151463</stp>
        <tr r="O618" s="2"/>
      </tp>
      <tp t="s">
        <v>#N/A N/A</v>
        <stp/>
        <stp>BDP|93944586856549081</stp>
        <tr r="K2140" s="2"/>
      </tp>
      <tp t="s">
        <v>#N/A N/A</v>
        <stp/>
        <stp>BDP|23078808433639451</stp>
        <tr r="T816" s="2"/>
      </tp>
      <tp t="s">
        <v>#N/A N/A</v>
        <stp/>
        <stp>BDP|90510951011882650</stp>
        <tr r="E789" s="2"/>
      </tp>
      <tp t="s">
        <v>#N/A N/A</v>
        <stp/>
        <stp>BDP|36500671631972450</stp>
        <tr r="P2119" s="2"/>
      </tp>
    </main>
    <main first="bofaddin.rtdserver">
      <tp t="s">
        <v>#N/A N/A</v>
        <stp/>
        <stp>BDP|48256692609164407</stp>
        <tr r="J606" s="2"/>
      </tp>
      <tp t="s">
        <v>#N/A N/A</v>
        <stp/>
        <stp>BDP|47644075545206218</stp>
        <tr r="N1595" s="2"/>
      </tp>
      <tp t="s">
        <v>#N/A N/A</v>
        <stp/>
        <stp>BDP|15204122551345736</stp>
        <tr r="R155" s="2"/>
      </tp>
      <tp t="s">
        <v>#N/A N/A</v>
        <stp/>
        <stp>BDP|36122521695294019</stp>
        <tr r="F781" s="2"/>
      </tp>
      <tp t="s">
        <v>#N/A N/A</v>
        <stp/>
        <stp>BDP|16298339473969482</stp>
        <tr r="G1223" s="2"/>
      </tp>
      <tp t="s">
        <v>#N/A N/A</v>
        <stp/>
        <stp>BDP|31408544241571705</stp>
        <tr r="S717" s="2"/>
      </tp>
      <tp t="s">
        <v>#N/A N/A</v>
        <stp/>
        <stp>BDP|77074926076828281</stp>
        <tr r="A281" s="2"/>
      </tp>
      <tp t="s">
        <v>#N/A N/A</v>
        <stp/>
        <stp>BDP|12244469690450255</stp>
        <tr r="E141" s="2"/>
      </tp>
      <tp t="s">
        <v>#N/A N/A</v>
        <stp/>
        <stp>BDP|28195639024374092</stp>
        <tr r="G412" s="2"/>
      </tp>
      <tp t="s">
        <v>#N/A N/A</v>
        <stp/>
        <stp>BDP|44030909364487264</stp>
        <tr r="O854" s="2"/>
      </tp>
      <tp t="s">
        <v>#N/A N/A</v>
        <stp/>
        <stp>BDP|71254920637473186</stp>
        <tr r="T2049" s="2"/>
      </tp>
      <tp t="s">
        <v>#N/A N/A</v>
        <stp/>
        <stp>BDP|384367858074202736</stp>
        <tr r="A165" s="2"/>
      </tp>
      <tp t="s">
        <v>#N/A N/A</v>
        <stp/>
        <stp>BDP|259096377831226327</stp>
        <tr r="G977" s="2"/>
      </tp>
      <tp t="s">
        <v>#N/A N/A</v>
        <stp/>
        <stp>BDP|933503865082492446</stp>
        <tr r="D290" s="2"/>
      </tp>
      <tp t="s">
        <v>#N/A N/A</v>
        <stp/>
        <stp>BDP|373428618575764523</stp>
        <tr r="A1704" s="2"/>
      </tp>
      <tp t="s">
        <v>#N/A N/A</v>
        <stp/>
        <stp>BDP|822258351862285026</stp>
        <tr r="P1129" s="2"/>
      </tp>
      <tp t="s">
        <v>#N/A N/A</v>
        <stp/>
        <stp>BDP|916621296712111805</stp>
        <tr r="S464" s="2"/>
      </tp>
      <tp t="s">
        <v>#N/A N/A</v>
        <stp/>
        <stp>BDP|481557468585733328</stp>
        <tr r="Q601" s="2"/>
      </tp>
      <tp t="s">
        <v>#N/A N/A</v>
        <stp/>
        <stp>BDP|862638769230781595</stp>
        <tr r="P1527" s="2"/>
      </tp>
      <tp t="s">
        <v>#N/A N/A</v>
        <stp/>
        <stp>BDP|220561761072939406</stp>
        <tr r="T1541" s="2"/>
      </tp>
      <tp t="s">
        <v>#N/A N/A</v>
        <stp/>
        <stp>BDP|965197172253746091</stp>
        <tr r="O1311" s="2"/>
      </tp>
      <tp t="s">
        <v>#N/A N/A</v>
        <stp/>
        <stp>BDS|452400005737817656</stp>
        <tr r="I2115" s="2"/>
      </tp>
      <tp t="s">
        <v>#N/A N/A</v>
        <stp/>
        <stp>BDP|945043534577034149</stp>
        <tr r="D1501" s="2"/>
      </tp>
      <tp t="s">
        <v>#N/A N/A</v>
        <stp/>
        <stp>BDP|794682114696760415</stp>
        <tr r="A1771" s="2"/>
      </tp>
      <tp t="s">
        <v>#N/A N/A</v>
        <stp/>
        <stp>BDP|925345399839843616</stp>
        <tr r="E1555" s="2"/>
      </tp>
      <tp t="s">
        <v>#N/A N/A</v>
        <stp/>
        <stp>BDP|945866685612763700</stp>
        <tr r="G1946" s="2"/>
      </tp>
      <tp t="s">
        <v>#N/A N/A</v>
        <stp/>
        <stp>BDP|253142010655821033</stp>
        <tr r="J1244" s="2"/>
      </tp>
      <tp t="s">
        <v>#N/A N/A</v>
        <stp/>
        <stp>BDP|391275770899997909</stp>
        <tr r="R1929" s="2"/>
      </tp>
      <tp t="s">
        <v>#N/A N/A</v>
        <stp/>
        <stp>BDP|667458772803527591</stp>
        <tr r="P1385" s="2"/>
      </tp>
      <tp t="s">
        <v>#N/A N/A</v>
        <stp/>
        <stp>BDP|450523104608509899</stp>
        <tr r="F1450" s="2"/>
      </tp>
      <tp t="s">
        <v>#N/A N/A</v>
        <stp/>
        <stp>BDP|597333046680622281</stp>
        <tr r="T467" s="2"/>
      </tp>
      <tp t="s">
        <v>#N/A N/A</v>
        <stp/>
        <stp>BDP|379627138833529326</stp>
        <tr r="G1752" s="2"/>
      </tp>
      <tp t="s">
        <v>#N/A N/A</v>
        <stp/>
        <stp>BDP|897509937167885499</stp>
        <tr r="C1014" s="2"/>
      </tp>
      <tp t="s">
        <v>#N/A N/A</v>
        <stp/>
        <stp>BDP|603580323665571760</stp>
        <tr r="C1268" s="2"/>
      </tp>
      <tp t="s">
        <v>#N/A N/A</v>
        <stp/>
        <stp>BDP|669280593256269814</stp>
        <tr r="E1094" s="2"/>
      </tp>
      <tp t="s">
        <v>#N/A N/A</v>
        <stp/>
        <stp>BDS|806243893096637874</stp>
        <tr r="I1507" s="2"/>
      </tp>
      <tp t="s">
        <v>#N/A N/A</v>
        <stp/>
        <stp>BDP|892659381208305316</stp>
        <tr r="P1377" s="2"/>
      </tp>
      <tp t="s">
        <v>#N/A N/A</v>
        <stp/>
        <stp>BDP|149493147391521443</stp>
        <tr r="O657" s="2"/>
      </tp>
      <tp t="s">
        <v>#N/A N/A</v>
        <stp/>
        <stp>BDP|929480287621989819</stp>
        <tr r="M1544" s="2"/>
      </tp>
      <tp t="s">
        <v>#N/A N/A</v>
        <stp/>
        <stp>BDP|295947922506283898</stp>
        <tr r="J1044" s="2"/>
      </tp>
      <tp t="s">
        <v>#N/A N/A</v>
        <stp/>
        <stp>BDP|749453894648192083</stp>
        <tr r="O130" s="2"/>
      </tp>
      <tp t="s">
        <v>#N/A N/A</v>
        <stp/>
        <stp>BDP|677775138886302753</stp>
        <tr r="K2167" s="2"/>
      </tp>
      <tp t="s">
        <v>#N/A N/A</v>
        <stp/>
        <stp>BDP|600683870256966289</stp>
        <tr r="J1143" s="2"/>
      </tp>
      <tp t="s">
        <v>#N/A N/A</v>
        <stp/>
        <stp>BDP|381870098540725440</stp>
        <tr r="P439" s="2"/>
      </tp>
      <tp t="s">
        <v>#N/A N/A</v>
        <stp/>
        <stp>BDP|752715543037371198</stp>
        <tr r="F1510" s="2"/>
      </tp>
      <tp t="s">
        <v>#N/A N/A</v>
        <stp/>
        <stp>BDP|277000502801722481</stp>
        <tr r="M1440" s="2"/>
      </tp>
      <tp t="s">
        <v>#N/A N/A</v>
        <stp/>
        <stp>BDP|156592901432730212</stp>
        <tr r="J1318" s="2"/>
      </tp>
      <tp t="s">
        <v>#N/A N/A</v>
        <stp/>
        <stp>BDP|316294112487189169</stp>
        <tr r="T903" s="2"/>
      </tp>
      <tp t="s">
        <v>#N/A N/A</v>
        <stp/>
        <stp>BDP|104658725822806366</stp>
        <tr r="O1524" s="2"/>
      </tp>
      <tp t="s">
        <v>#N/A N/A</v>
        <stp/>
        <stp>BDP|182525054417682298</stp>
        <tr r="F439" s="2"/>
      </tp>
      <tp t="s">
        <v>#N/A N/A</v>
        <stp/>
        <stp>BDP|861412963893461468</stp>
        <tr r="C1191" s="2"/>
      </tp>
      <tp t="s">
        <v>#N/A N/A</v>
        <stp/>
        <stp>BDP|179530911241222095</stp>
        <tr r="T1125" s="2"/>
      </tp>
      <tp t="s">
        <v>#N/A N/A</v>
        <stp/>
        <stp>BDS|561284389766562992</stp>
        <tr r="I1006" s="2"/>
      </tp>
      <tp t="s">
        <v>#N/A N/A</v>
        <stp/>
        <stp>BDP|407254824614935147</stp>
        <tr r="E1505" s="2"/>
      </tp>
      <tp t="s">
        <v>#N/A N/A</v>
        <stp/>
        <stp>BDP|826856490803683732</stp>
        <tr r="G2119" s="2"/>
      </tp>
      <tp t="s">
        <v>#N/A N/A</v>
        <stp/>
        <stp>BDP|755655913863990104</stp>
        <tr r="Q1768" s="2"/>
      </tp>
      <tp t="s">
        <v>#N/A N/A</v>
        <stp/>
        <stp>BDP|952816179013978901</stp>
        <tr r="G1044" s="2"/>
      </tp>
      <tp t="s">
        <v>#N/A N/A</v>
        <stp/>
        <stp>BDS|900950999891859447</stp>
        <tr r="I1224" s="2"/>
      </tp>
      <tp t="s">
        <v>#N/A N/A</v>
        <stp/>
        <stp>BDP|395641786112972915</stp>
        <tr r="E1560" s="2"/>
      </tp>
      <tp t="s">
        <v>#N/A N/A</v>
        <stp/>
        <stp>BDP|497043783109931433</stp>
        <tr r="R767" s="2"/>
      </tp>
      <tp t="s">
        <v>#N/A N/A</v>
        <stp/>
        <stp>BDP|807369336540663572</stp>
        <tr r="C1271" s="2"/>
      </tp>
      <tp t="s">
        <v>#N/A N/A</v>
        <stp/>
        <stp>BDP|518189896605725855</stp>
        <tr r="O1711" s="2"/>
      </tp>
      <tp t="s">
        <v>#N/A N/A</v>
        <stp/>
        <stp>BDP|899002556310206056</stp>
        <tr r="Q150" s="2"/>
      </tp>
      <tp t="s">
        <v>#N/A N/A</v>
        <stp/>
        <stp>BDP|438059918526019201</stp>
        <tr r="O922" s="2"/>
      </tp>
      <tp t="s">
        <v>#N/A N/A</v>
        <stp/>
        <stp>BDP|269113469425236710</stp>
        <tr r="P2075" s="2"/>
      </tp>
      <tp t="s">
        <v>#N/A N/A</v>
        <stp/>
        <stp>BDP|177592521521954397</stp>
        <tr r="F72" s="2"/>
      </tp>
      <tp t="s">
        <v>#N/A N/A</v>
        <stp/>
        <stp>BDP|742460455715440194</stp>
        <tr r="R716" s="2"/>
      </tp>
      <tp t="s">
        <v>#N/A N/A</v>
        <stp/>
        <stp>BDP|471904522669643790</stp>
        <tr r="A969" s="2"/>
      </tp>
      <tp t="s">
        <v>#N/A N/A</v>
        <stp/>
        <stp>BDP|847184111134944110</stp>
        <tr r="M2071" s="2"/>
      </tp>
      <tp t="s">
        <v>#N/A N/A</v>
        <stp/>
        <stp>BDP|356426352595188180</stp>
        <tr r="N1309" s="2"/>
      </tp>
      <tp t="s">
        <v>#N/A N/A</v>
        <stp/>
        <stp>BDP|177781853912645564</stp>
        <tr r="A2016" s="2"/>
      </tp>
      <tp t="s">
        <v>#N/A N/A</v>
        <stp/>
        <stp>BDP|420224089227281873</stp>
        <tr r="J376" s="2"/>
      </tp>
      <tp t="s">
        <v>#N/A N/A</v>
        <stp/>
        <stp>BDP|898678662252227753</stp>
        <tr r="F828" s="2"/>
      </tp>
      <tp t="s">
        <v>#N/A N/A</v>
        <stp/>
        <stp>BDP|110588117286190751</stp>
        <tr r="T142" s="2"/>
      </tp>
      <tp t="s">
        <v>#N/A N/A</v>
        <stp/>
        <stp>BDP|175251719500639613</stp>
        <tr r="T1972" s="2"/>
      </tp>
      <tp t="s">
        <v>#N/A N/A</v>
        <stp/>
        <stp>BDP|177013995514823870</stp>
        <tr r="G1632" s="2"/>
      </tp>
      <tp t="s">
        <v>#N/A N/A</v>
        <stp/>
        <stp>BDP|982880003685167898</stp>
        <tr r="F2013" s="2"/>
      </tp>
      <tp t="s">
        <v>#N/A N/A</v>
        <stp/>
        <stp>BDP|613306056591914233</stp>
        <tr r="O938" s="2"/>
      </tp>
      <tp t="s">
        <v>#N/A N/A</v>
        <stp/>
        <stp>BDP|634127462524419699</stp>
        <tr r="P97" s="2"/>
      </tp>
      <tp t="s">
        <v>#N/A N/A</v>
        <stp/>
        <stp>BDP|142097032795294333</stp>
        <tr r="Q2221" s="2"/>
      </tp>
      <tp t="s">
        <v>#N/A N/A</v>
        <stp/>
        <stp>BDP|655026812744585081</stp>
        <tr r="H1072" s="2"/>
      </tp>
      <tp t="s">
        <v>#N/A N/A</v>
        <stp/>
        <stp>BDP|218623525612944373</stp>
        <tr r="M962" s="2"/>
      </tp>
      <tp t="s">
        <v>#N/A N/A</v>
        <stp/>
        <stp>BDP|191583715870762102</stp>
        <tr r="D983" s="2"/>
      </tp>
      <tp t="s">
        <v>#N/A N/A</v>
        <stp/>
        <stp>BDP|838322255464305772</stp>
        <tr r="P426" s="2"/>
      </tp>
      <tp t="s">
        <v>#N/A N/A</v>
        <stp/>
        <stp>BDP|183159447199113995</stp>
        <tr r="E568" s="2"/>
      </tp>
      <tp t="s">
        <v>#N/A N/A</v>
        <stp/>
        <stp>BDP|410075544298019939</stp>
        <tr r="R2024" s="2"/>
      </tp>
      <tp t="s">
        <v>#N/A N/A</v>
        <stp/>
        <stp>BDP|460013911652858689</stp>
        <tr r="O1510" s="2"/>
      </tp>
      <tp t="s">
        <v>#N/A N/A</v>
        <stp/>
        <stp>BDP|727611238703880320</stp>
        <tr r="A47" s="2"/>
      </tp>
      <tp t="s">
        <v>#N/A N/A</v>
        <stp/>
        <stp>BDP|544444036366476478</stp>
        <tr r="E1785" s="2"/>
      </tp>
      <tp t="s">
        <v>#N/A N/A</v>
        <stp/>
        <stp>BDP|840582701442748224</stp>
        <tr r="P44" s="2"/>
      </tp>
      <tp t="s">
        <v>#N/A N/A</v>
        <stp/>
        <stp>BDP|205454222007733464</stp>
        <tr r="N620" s="2"/>
      </tp>
      <tp t="s">
        <v>#N/A N/A</v>
        <stp/>
        <stp>BDP|150595764403918511</stp>
        <tr r="F552" s="2"/>
      </tp>
      <tp t="s">
        <v>#N/A N/A</v>
        <stp/>
        <stp>BDP|252335220654362065</stp>
        <tr r="T437" s="2"/>
      </tp>
      <tp t="s">
        <v>#N/A N/A</v>
        <stp/>
        <stp>BDP|519208622035522071</stp>
        <tr r="M1215" s="2"/>
      </tp>
      <tp t="s">
        <v>#N/A N/A</v>
        <stp/>
        <stp>BDP|793354829152920677</stp>
        <tr r="K1981" s="2"/>
      </tp>
      <tp t="s">
        <v>#N/A N/A</v>
        <stp/>
        <stp>BDP|611939730156722972</stp>
        <tr r="R2072" s="2"/>
      </tp>
      <tp t="s">
        <v>#N/A N/A</v>
        <stp/>
        <stp>BDP|223749913703566054</stp>
        <tr r="K666" s="2"/>
      </tp>
      <tp t="s">
        <v>#N/A N/A</v>
        <stp/>
        <stp>BDP|343522838824504793</stp>
        <tr r="H833" s="2"/>
      </tp>
      <tp t="s">
        <v>#N/A N/A</v>
        <stp/>
        <stp>BDP|129583988790488803</stp>
        <tr r="M435" s="2"/>
      </tp>
      <tp t="s">
        <v>#N/A N/A</v>
        <stp/>
        <stp>BDP|684363202125389341</stp>
        <tr r="A1810" s="2"/>
      </tp>
      <tp t="s">
        <v>#N/A N/A</v>
        <stp/>
        <stp>BDP|757131703546775255</stp>
        <tr r="K1257" s="2"/>
      </tp>
      <tp t="s">
        <v>#N/A N/A</v>
        <stp/>
        <stp>BDP|622416563001125600</stp>
        <tr r="F227" s="2"/>
      </tp>
      <tp t="s">
        <v>#N/A N/A</v>
        <stp/>
        <stp>BDP|394067159409848919</stp>
        <tr r="M1854" s="2"/>
      </tp>
      <tp t="s">
        <v>#N/A N/A</v>
        <stp/>
        <stp>BDP|755787108124531674</stp>
        <tr r="S211" s="2"/>
      </tp>
      <tp t="s">
        <v>#N/A N/A</v>
        <stp/>
        <stp>BDS|228529632026682529</stp>
        <tr r="I214" s="2"/>
      </tp>
      <tp t="s">
        <v>#N/A N/A</v>
        <stp/>
        <stp>BDP|213197568041643339</stp>
        <tr r="S1382" s="2"/>
      </tp>
      <tp t="s">
        <v>#N/A N/A</v>
        <stp/>
        <stp>BDP|128456004334762518</stp>
        <tr r="P1076" s="2"/>
      </tp>
      <tp t="s">
        <v>#N/A N/A</v>
        <stp/>
        <stp>BDP|516397181307951929</stp>
        <tr r="F1857" s="2"/>
      </tp>
      <tp t="s">
        <v>#N/A N/A</v>
        <stp/>
        <stp>BDS|576051905945379007</stp>
        <tr r="I1843" s="2"/>
      </tp>
      <tp t="s">
        <v>#N/A N/A</v>
        <stp/>
        <stp>BDP|220551132142675159</stp>
        <tr r="F1843" s="2"/>
      </tp>
      <tp t="s">
        <v>#N/A N/A</v>
        <stp/>
        <stp>BDS|393403771685042345</stp>
        <tr r="I1264" s="2"/>
      </tp>
      <tp t="s">
        <v>#N/A N/A</v>
        <stp/>
        <stp>BDP|350818762832608908</stp>
        <tr r="J1906" s="2"/>
      </tp>
      <tp t="s">
        <v>#N/A N/A</v>
        <stp/>
        <stp>BDP|974507818949514829</stp>
        <tr r="A1499" s="2"/>
      </tp>
      <tp t="s">
        <v>#N/A N/A</v>
        <stp/>
        <stp>BDP|105607814312265014</stp>
        <tr r="F1719" s="2"/>
      </tp>
      <tp t="s">
        <v>#N/A N/A</v>
        <stp/>
        <stp>BDS|773839897271691532</stp>
        <tr r="I441" s="2"/>
      </tp>
      <tp t="s">
        <v>#N/A N/A</v>
        <stp/>
        <stp>BDP|644814641391102817</stp>
        <tr r="F830" s="2"/>
      </tp>
      <tp t="s">
        <v>#N/A N/A</v>
        <stp/>
        <stp>BDP|252654649404879307</stp>
        <tr r="O1302" s="2"/>
      </tp>
      <tp t="s">
        <v>#N/A N/A</v>
        <stp/>
        <stp>BDP|330094042461721094</stp>
        <tr r="O248" s="2"/>
      </tp>
      <tp t="s">
        <v>#N/A N/A</v>
        <stp/>
        <stp>BDS|512747230306195773</stp>
        <tr r="I2258" s="2"/>
      </tp>
      <tp t="s">
        <v>#N/A N/A</v>
        <stp/>
        <stp>BDP|436752044807648141</stp>
        <tr r="G1182" s="2"/>
      </tp>
      <tp t="s">
        <v>#N/A N/A</v>
        <stp/>
        <stp>BDP|981800071792629890</stp>
        <tr r="C182" s="2"/>
      </tp>
      <tp t="s">
        <v>#N/A N/A</v>
        <stp/>
        <stp>BDP|189161094714391974</stp>
        <tr r="F1945" s="2"/>
      </tp>
      <tp t="s">
        <v>#N/A N/A</v>
        <stp/>
        <stp>BDP|100921565763173901</stp>
        <tr r="S1794" s="2"/>
      </tp>
      <tp t="s">
        <v>#N/A N/A</v>
        <stp/>
        <stp>BDP|120548610282275309</stp>
        <tr r="C530" s="2"/>
      </tp>
      <tp t="s">
        <v>#N/A N/A</v>
        <stp/>
        <stp>BDP|568915899337838224</stp>
        <tr r="C955" s="2"/>
      </tp>
      <tp t="s">
        <v>#N/A N/A</v>
        <stp/>
        <stp>BDP|554705731497067635</stp>
        <tr r="O1471" s="2"/>
      </tp>
      <tp t="s">
        <v>#N/A N/A</v>
        <stp/>
        <stp>BDP|879598506284280421</stp>
        <tr r="A1329" s="2"/>
      </tp>
      <tp t="s">
        <v>#N/A N/A</v>
        <stp/>
        <stp>BDP|254420252555523178</stp>
        <tr r="A2106" s="2"/>
      </tp>
      <tp t="s">
        <v>#N/A N/A</v>
        <stp/>
        <stp>BDP|527731829852881278</stp>
        <tr r="S1743" s="2"/>
      </tp>
      <tp t="s">
        <v>#N/A N/A</v>
        <stp/>
        <stp>BDP|394671816702726051</stp>
        <tr r="H2103" s="2"/>
      </tp>
      <tp t="s">
        <v>#N/A N/A</v>
        <stp/>
        <stp>BDP|453738453333552416</stp>
        <tr r="G377" s="2"/>
      </tp>
      <tp t="s">
        <v>#N/A N/A</v>
        <stp/>
        <stp>BDP|297349264138108833</stp>
        <tr r="S626" s="2"/>
      </tp>
      <tp t="s">
        <v>#N/A N/A</v>
        <stp/>
        <stp>BDP|717834885683693678</stp>
        <tr r="M936" s="2"/>
      </tp>
      <tp t="s">
        <v>#N/A N/A</v>
        <stp/>
        <stp>BDP|421055341558975996</stp>
        <tr r="G488" s="2"/>
      </tp>
      <tp t="s">
        <v>#N/A N/A</v>
        <stp/>
        <stp>BDP|412074040412632356</stp>
        <tr r="A1378" s="2"/>
      </tp>
      <tp t="s">
        <v>#N/A N/A</v>
        <stp/>
        <stp>BDP|568697348890144758</stp>
        <tr r="P1884" s="2"/>
      </tp>
      <tp t="s">
        <v>#N/A N/A</v>
        <stp/>
        <stp>BDP|381696340795836230</stp>
        <tr r="H1258" s="2"/>
      </tp>
      <tp t="s">
        <v>#N/A N/A</v>
        <stp/>
        <stp>BDP|796059314956460237</stp>
        <tr r="O1669" s="2"/>
      </tp>
      <tp t="s">
        <v>#N/A N/A</v>
        <stp/>
        <stp>BDP|678267334746196241</stp>
        <tr r="C854" s="2"/>
      </tp>
      <tp t="s">
        <v>#N/A N/A</v>
        <stp/>
        <stp>BDP|982644556024273284</stp>
        <tr r="H1416" s="2"/>
      </tp>
      <tp t="s">
        <v>#N/A N/A</v>
        <stp/>
        <stp>BDP|539311188159467799</stp>
        <tr r="G787" s="2"/>
      </tp>
      <tp t="s">
        <v>#N/A N/A</v>
        <stp/>
        <stp>BDP|495533046743580759</stp>
        <tr r="R436" s="2"/>
      </tp>
      <tp t="s">
        <v>#N/A N/A</v>
        <stp/>
        <stp>BDP|242304320213780746</stp>
        <tr r="G356" s="2"/>
      </tp>
      <tp t="s">
        <v>#N/A N/A</v>
        <stp/>
        <stp>BDP|141067977162065014</stp>
        <tr r="R699" s="2"/>
      </tp>
      <tp t="s">
        <v>#N/A N/A</v>
        <stp/>
        <stp>BDP|599026755756570655</stp>
        <tr r="D1946" s="2"/>
      </tp>
      <tp t="s">
        <v>#N/A N/A</v>
        <stp/>
        <stp>BDP|432542916571144059</stp>
        <tr r="M753" s="2"/>
      </tp>
      <tp t="s">
        <v>#N/A N/A</v>
        <stp/>
        <stp>BDP|599214337164760063</stp>
        <tr r="P656" s="2"/>
      </tp>
      <tp t="s">
        <v>#N/A N/A</v>
        <stp/>
        <stp>BDP|180075478052489089</stp>
        <tr r="G1577" s="2"/>
      </tp>
      <tp t="s">
        <v>#N/A N/A</v>
        <stp/>
        <stp>BDP|268375987367743978</stp>
        <tr r="F2215" s="2"/>
      </tp>
      <tp t="s">
        <v>#N/A N/A</v>
        <stp/>
        <stp>BDP|241423682680079905</stp>
        <tr r="Q2230" s="2"/>
      </tp>
      <tp t="s">
        <v>#N/A N/A</v>
        <stp/>
        <stp>BDP|572597464456321097</stp>
        <tr r="S1771" s="2"/>
      </tp>
      <tp t="s">
        <v>#N/A N/A</v>
        <stp/>
        <stp>BDP|268434910673278317</stp>
        <tr r="Q117" s="2"/>
      </tp>
      <tp t="s">
        <v>#N/A N/A</v>
        <stp/>
        <stp>BDP|416856634486294841</stp>
        <tr r="O23" s="2"/>
      </tp>
      <tp t="s">
        <v>#N/A N/A</v>
        <stp/>
        <stp>BDP|834395181768618659</stp>
        <tr r="H1411" s="2"/>
      </tp>
      <tp t="s">
        <v>#N/A N/A</v>
        <stp/>
        <stp>BDP|774685965356955308</stp>
        <tr r="T435" s="2"/>
      </tp>
      <tp t="s">
        <v>#N/A N/A</v>
        <stp/>
        <stp>BDP|325335352424598749</stp>
        <tr r="P1438" s="2"/>
      </tp>
      <tp t="s">
        <v>#N/A N/A</v>
        <stp/>
        <stp>BDP|705811171439301375</stp>
        <tr r="M315" s="2"/>
      </tp>
      <tp t="s">
        <v>#N/A N/A</v>
        <stp/>
        <stp>BDP|457115655689527862</stp>
        <tr r="D1690" s="2"/>
      </tp>
      <tp t="s">
        <v>#N/A N/A</v>
        <stp/>
        <stp>BDP|335264346354919792</stp>
        <tr r="R1980" s="2"/>
      </tp>
      <tp t="s">
        <v>#N/A N/A</v>
        <stp/>
        <stp>BDP|530495427420131396</stp>
        <tr r="Q589" s="2"/>
      </tp>
      <tp t="s">
        <v>#N/A N/A</v>
        <stp/>
        <stp>BDP|657628036801984189</stp>
        <tr r="Q288" s="2"/>
      </tp>
      <tp t="s">
        <v>#N/A N/A</v>
        <stp/>
        <stp>BDP|409476143403303607</stp>
        <tr r="F624" s="2"/>
      </tp>
      <tp t="s">
        <v>#N/A N/A</v>
        <stp/>
        <stp>BDP|592288439973919613</stp>
        <tr r="Q1665" s="2"/>
      </tp>
      <tp t="s">
        <v>#N/A N/A</v>
        <stp/>
        <stp>BDP|692927177142623897</stp>
        <tr r="A106" s="2"/>
      </tp>
      <tp t="s">
        <v>#N/A N/A</v>
        <stp/>
        <stp>BDP|710268680169420794</stp>
        <tr r="N485" s="2"/>
      </tp>
      <tp t="s">
        <v>#N/A N/A</v>
        <stp/>
        <stp>BDP|748140725136399191</stp>
        <tr r="S283" s="2"/>
      </tp>
      <tp t="s">
        <v>#N/A N/A</v>
        <stp/>
        <stp>BDP|301139855546866619</stp>
        <tr r="H756" s="2"/>
      </tp>
      <tp t="s">
        <v>#N/A N/A</v>
        <stp/>
        <stp>BDP|525090336573471420</stp>
        <tr r="O888" s="2"/>
      </tp>
      <tp t="s">
        <v>#N/A N/A</v>
        <stp/>
        <stp>BDP|710527809929001809</stp>
        <tr r="T272" s="2"/>
      </tp>
      <tp t="s">
        <v>#N/A N/A</v>
        <stp/>
        <stp>BDP|980262856886178540</stp>
        <tr r="N1209" s="2"/>
      </tp>
      <tp t="s">
        <v>#N/A N/A</v>
        <stp/>
        <stp>BDP|135809715614061990</stp>
        <tr r="T1426" s="2"/>
      </tp>
      <tp t="s">
        <v>#N/A N/A</v>
        <stp/>
        <stp>BDP|858889770749421292</stp>
        <tr r="K2177" s="2"/>
      </tp>
      <tp t="s">
        <v>#N/A N/A</v>
        <stp/>
        <stp>BDP|830794549080097750</stp>
        <tr r="S1249" s="2"/>
      </tp>
      <tp t="s">
        <v>#N/A N/A</v>
        <stp/>
        <stp>BDS|424660399348160379</stp>
        <tr r="I1416" s="2"/>
      </tp>
      <tp t="s">
        <v>#N/A N/A</v>
        <stp/>
        <stp>BDP|406199732200198609</stp>
        <tr r="E1546" s="2"/>
      </tp>
      <tp t="s">
        <v>#N/A N/A</v>
        <stp/>
        <stp>BDP|894162636340541635</stp>
        <tr r="P729" s="2"/>
      </tp>
      <tp t="s">
        <v>#N/A N/A</v>
        <stp/>
        <stp>BDP|513110164110857369</stp>
        <tr r="T248" s="2"/>
      </tp>
      <tp t="s">
        <v>#N/A N/A</v>
        <stp/>
        <stp>BDP|974809894551742442</stp>
        <tr r="E140" s="2"/>
      </tp>
      <tp t="s">
        <v>#N/A N/A</v>
        <stp/>
        <stp>BDP|143281137825403048</stp>
        <tr r="G1811" s="2"/>
      </tp>
      <tp t="s">
        <v>#N/A N/A</v>
        <stp/>
        <stp>BDP|867298247797944504</stp>
        <tr r="T399" s="2"/>
      </tp>
      <tp t="s">
        <v>#N/A N/A</v>
        <stp/>
        <stp>BDP|713607989982404856</stp>
        <tr r="N2219" s="2"/>
      </tp>
      <tp t="s">
        <v>#N/A N/A</v>
        <stp/>
        <stp>BDP|716384898048860600</stp>
        <tr r="Q54" s="2"/>
      </tp>
      <tp t="s">
        <v>#N/A N/A</v>
        <stp/>
        <stp>BDP|140715439776068664</stp>
        <tr r="G1227" s="2"/>
      </tp>
      <tp t="s">
        <v>#N/A N/A</v>
        <stp/>
        <stp>BDP|879589001578165985</stp>
        <tr r="N816" s="2"/>
      </tp>
      <tp t="s">
        <v>#N/A N/A</v>
        <stp/>
        <stp>BDP|402670497978811340</stp>
        <tr r="H578" s="2"/>
      </tp>
      <tp t="s">
        <v>#N/A N/A</v>
        <stp/>
        <stp>BDS|835300631183258739</stp>
        <tr r="I627" s="2"/>
      </tp>
      <tp t="s">
        <v>#N/A N/A</v>
        <stp/>
        <stp>BDP|176084545444685420</stp>
        <tr r="D874" s="2"/>
      </tp>
      <tp t="s">
        <v>#N/A N/A</v>
        <stp/>
        <stp>BDS|315414383700090897</stp>
        <tr r="I1078" s="2"/>
      </tp>
      <tp t="s">
        <v>#N/A N/A</v>
        <stp/>
        <stp>BDP|827452551817169253</stp>
        <tr r="P2113" s="2"/>
      </tp>
      <tp t="s">
        <v>#N/A N/A</v>
        <stp/>
        <stp>BDS|505774561101348481</stp>
        <tr r="I988" s="2"/>
      </tp>
      <tp t="s">
        <v>#N/A N/A</v>
        <stp/>
        <stp>BDP|536103224587918004</stp>
        <tr r="P812" s="2"/>
      </tp>
      <tp t="s">
        <v>#N/A N/A</v>
        <stp/>
        <stp>BDP|294274966717896732</stp>
        <tr r="P1760" s="2"/>
      </tp>
      <tp t="s">
        <v>#N/A N/A</v>
        <stp/>
        <stp>BDP|470283506962524479</stp>
        <tr r="O1307" s="2"/>
      </tp>
      <tp t="s">
        <v>#N/A N/A</v>
        <stp/>
        <stp>BDP|553460649781436564</stp>
        <tr r="K560" s="2"/>
      </tp>
      <tp t="s">
        <v>#N/A N/A</v>
        <stp/>
        <stp>BDP|296929889375718067</stp>
        <tr r="H1457" s="2"/>
      </tp>
      <tp t="s">
        <v>#N/A N/A</v>
        <stp/>
        <stp>BDP|360881620859132734</stp>
        <tr r="Q81" s="2"/>
      </tp>
      <tp t="s">
        <v>#N/A N/A</v>
        <stp/>
        <stp>BDP|202194206467285266</stp>
        <tr r="G440" s="2"/>
      </tp>
      <tp t="s">
        <v>#N/A N/A</v>
        <stp/>
        <stp>BDP|944260440045127779</stp>
        <tr r="P1122" s="2"/>
      </tp>
      <tp t="s">
        <v>#N/A N/A</v>
        <stp/>
        <stp>BDP|927147001110008556</stp>
        <tr r="R1206" s="2"/>
      </tp>
      <tp t="s">
        <v>#N/A N/A</v>
        <stp/>
        <stp>BDP|398771775735848109</stp>
        <tr r="E310" s="2"/>
      </tp>
      <tp t="s">
        <v>#N/A N/A</v>
        <stp/>
        <stp>BDS|305569324811868204</stp>
        <tr r="I165" s="2"/>
      </tp>
      <tp t="s">
        <v>#N/A N/A</v>
        <stp/>
        <stp>BDP|304733276640802476</stp>
        <tr r="A213" s="2"/>
      </tp>
      <tp t="s">
        <v>#N/A N/A</v>
        <stp/>
        <stp>BDP|531802649610004850</stp>
        <tr r="M1833" s="2"/>
      </tp>
      <tp t="s">
        <v>#N/A N/A</v>
        <stp/>
        <stp>BDP|461179059869493979</stp>
        <tr r="T347" s="2"/>
      </tp>
      <tp t="s">
        <v>#N/A N/A</v>
        <stp/>
        <stp>BDP|997027052817505653</stp>
        <tr r="H429" s="2"/>
      </tp>
      <tp t="s">
        <v>#N/A N/A</v>
        <stp/>
        <stp>BDP|944194047292513382</stp>
        <tr r="K1658" s="2"/>
      </tp>
      <tp t="s">
        <v>#N/A N/A</v>
        <stp/>
        <stp>BDP|315909245950454982</stp>
        <tr r="C1024" s="2"/>
      </tp>
      <tp t="s">
        <v>#N/A N/A</v>
        <stp/>
        <stp>BDP|924403682371016914</stp>
        <tr r="R2059" s="2"/>
      </tp>
      <tp t="s">
        <v>#N/A N/A</v>
        <stp/>
        <stp>BDP|441365203541231692</stp>
        <tr r="M967" s="2"/>
      </tp>
      <tp t="s">
        <v>#N/A N/A</v>
        <stp/>
        <stp>BDP|187540459557267351</stp>
        <tr r="H1271" s="2"/>
      </tp>
      <tp t="s">
        <v>#N/A N/A</v>
        <stp/>
        <stp>BDP|953005027320600639</stp>
        <tr r="K207" s="2"/>
      </tp>
      <tp t="s">
        <v>#N/A N/A</v>
        <stp/>
        <stp>BDP|982706553412395422</stp>
        <tr r="S541" s="2"/>
      </tp>
      <tp t="s">
        <v>#N/A N/A</v>
        <stp/>
        <stp>BDP|982245940521293345</stp>
        <tr r="O814" s="2"/>
      </tp>
      <tp t="s">
        <v>#N/A N/A</v>
        <stp/>
        <stp>BDP|508787742303577416</stp>
        <tr r="G2090" s="2"/>
      </tp>
      <tp t="s">
        <v>#N/A N/A</v>
        <stp/>
        <stp>BDP|341718937288540840</stp>
        <tr r="H1744" s="2"/>
      </tp>
      <tp t="s">
        <v>#N/A N/A</v>
        <stp/>
        <stp>BDP|933584169135583295</stp>
        <tr r="S1256" s="2"/>
      </tp>
      <tp t="s">
        <v>#N/A N/A</v>
        <stp/>
        <stp>BDP|167088205634126093</stp>
        <tr r="H1533" s="2"/>
      </tp>
      <tp t="s">
        <v>#N/A N/A</v>
        <stp/>
        <stp>BDP|575815003384089837</stp>
        <tr r="H2117" s="2"/>
      </tp>
      <tp t="s">
        <v>#N/A N/A</v>
        <stp/>
        <stp>BDP|111432223555213778</stp>
        <tr r="N676" s="2"/>
      </tp>
      <tp t="s">
        <v>#N/A N/A</v>
        <stp/>
        <stp>BDP|862645918153748079</stp>
        <tr r="M364" s="2"/>
      </tp>
      <tp t="s">
        <v>#N/A N/A</v>
        <stp/>
        <stp>BDP|938653055666887152</stp>
        <tr r="F479" s="2"/>
      </tp>
      <tp t="s">
        <v>#N/A N/A</v>
        <stp/>
        <stp>BDP|771761491898673224</stp>
        <tr r="A10" s="2"/>
      </tp>
      <tp t="s">
        <v>#N/A N/A</v>
        <stp/>
        <stp>BDS|938200319321548619</stp>
        <tr r="I1990" s="2"/>
      </tp>
      <tp t="s">
        <v>#N/A N/A</v>
        <stp/>
        <stp>BDP|136630964565466162</stp>
        <tr r="E1410" s="2"/>
      </tp>
      <tp t="s">
        <v>#N/A N/A</v>
        <stp/>
        <stp>BDP|331130346211134033</stp>
        <tr r="J651" s="2"/>
      </tp>
      <tp t="s">
        <v>#N/A N/A</v>
        <stp/>
        <stp>BDP|546598249764066119</stp>
        <tr r="N752" s="2"/>
      </tp>
      <tp t="s">
        <v>#N/A N/A</v>
        <stp/>
        <stp>BDP|893522798149349143</stp>
        <tr r="M762" s="2"/>
      </tp>
      <tp t="s">
        <v>#N/A N/A</v>
        <stp/>
        <stp>BDP|989582370633536512</stp>
        <tr r="P1635" s="2"/>
      </tp>
      <tp t="s">
        <v>#N/A N/A</v>
        <stp/>
        <stp>BDP|719805926677617921</stp>
        <tr r="S1902" s="2"/>
      </tp>
      <tp t="s">
        <v>#N/A N/A</v>
        <stp/>
        <stp>BDP|560047191344108941</stp>
        <tr r="M486" s="2"/>
      </tp>
      <tp t="s">
        <v>#N/A N/A</v>
        <stp/>
        <stp>BDP|334618042781181744</stp>
        <tr r="O1949" s="2"/>
      </tp>
      <tp t="s">
        <v>#N/A N/A</v>
        <stp/>
        <stp>BDP|304021166742522074</stp>
        <tr r="J1116" s="2"/>
      </tp>
      <tp t="s">
        <v>#N/A N/A</v>
        <stp/>
        <stp>BDP|417423563075031300</stp>
        <tr r="K111" s="2"/>
      </tp>
      <tp t="s">
        <v>#N/A N/A</v>
        <stp/>
        <stp>BDP|731133832522760447</stp>
        <tr r="O2058" s="2"/>
      </tp>
      <tp t="s">
        <v>#N/A N/A</v>
        <stp/>
        <stp>BDP|731282577727940646</stp>
        <tr r="J1719" s="2"/>
      </tp>
      <tp t="s">
        <v>#N/A N/A</v>
        <stp/>
        <stp>BDP|180922147128710153</stp>
        <tr r="T1842" s="2"/>
      </tp>
      <tp t="s">
        <v>#N/A N/A</v>
        <stp/>
        <stp>BDS|847575662791284690</stp>
        <tr r="I1768" s="2"/>
      </tp>
      <tp t="s">
        <v>#N/A N/A</v>
        <stp/>
        <stp>BDP|657062617735772069</stp>
        <tr r="E1038" s="2"/>
      </tp>
      <tp t="s">
        <v>#N/A N/A</v>
        <stp/>
        <stp>BDP|694508212911624144</stp>
        <tr r="G1489" s="2"/>
      </tp>
      <tp t="s">
        <v>#N/A N/A</v>
        <stp/>
        <stp>BDP|287520894201740952</stp>
        <tr r="J371" s="2"/>
      </tp>
      <tp t="s">
        <v>#N/A N/A</v>
        <stp/>
        <stp>BDP|834720600695925656</stp>
        <tr r="Q2119" s="2"/>
      </tp>
      <tp t="s">
        <v>#N/A N/A</v>
        <stp/>
        <stp>BDP|329556733433728143</stp>
        <tr r="G867" s="2"/>
      </tp>
      <tp t="s">
        <v>#N/A N/A</v>
        <stp/>
        <stp>BDP|231777872312780674</stp>
        <tr r="T1756" s="2"/>
      </tp>
      <tp t="s">
        <v>#N/A N/A</v>
        <stp/>
        <stp>BDP|348029977702529141</stp>
        <tr r="A1544" s="2"/>
      </tp>
      <tp t="s">
        <v>#N/A N/A</v>
        <stp/>
        <stp>BDP|368702612715594733</stp>
        <tr r="F776" s="2"/>
      </tp>
      <tp t="s">
        <v>#N/A N/A</v>
        <stp/>
        <stp>BDP|702259488737896959</stp>
        <tr r="R2136" s="2"/>
      </tp>
      <tp t="s">
        <v>#N/A N/A</v>
        <stp/>
        <stp>BDP|274193350141573190</stp>
        <tr r="A637" s="2"/>
      </tp>
      <tp t="s">
        <v>#N/A N/A</v>
        <stp/>
        <stp>BDP|952934058501116942</stp>
        <tr r="D2155" s="2"/>
      </tp>
      <tp t="s">
        <v>#N/A N/A</v>
        <stp/>
        <stp>BDP|531706025218329940</stp>
        <tr r="C971" s="2"/>
      </tp>
      <tp t="s">
        <v>#N/A N/A</v>
        <stp/>
        <stp>BDP|968392525484087152</stp>
        <tr r="Q535" s="2"/>
      </tp>
      <tp t="s">
        <v>#N/A N/A</v>
        <stp/>
        <stp>BDP|553000254866302727</stp>
        <tr r="R930" s="2"/>
      </tp>
      <tp t="s">
        <v>#N/A N/A</v>
        <stp/>
        <stp>BDP|609459435357713410</stp>
        <tr r="M788" s="2"/>
      </tp>
      <tp t="s">
        <v>#N/A N/A</v>
        <stp/>
        <stp>BDP|753920993065638104</stp>
        <tr r="K1826" s="2"/>
      </tp>
      <tp t="s">
        <v>#N/A N/A</v>
        <stp/>
        <stp>BDP|595294839970465508</stp>
        <tr r="A1198" s="2"/>
      </tp>
      <tp t="s">
        <v>#N/A N/A</v>
        <stp/>
        <stp>BDP|157751261995149050</stp>
        <tr r="C1233" s="2"/>
      </tp>
      <tp t="s">
        <v>#N/A N/A</v>
        <stp/>
        <stp>BDP|164570472851627731</stp>
        <tr r="F447" s="2"/>
      </tp>
      <tp t="s">
        <v>#N/A N/A</v>
        <stp/>
        <stp>BDP|803506708496086718</stp>
        <tr r="Q2244" s="2"/>
      </tp>
      <tp t="s">
        <v>#N/A N/A</v>
        <stp/>
        <stp>BDP|483098257269252895</stp>
        <tr r="M1414" s="2"/>
      </tp>
      <tp t="s">
        <v>#N/A N/A</v>
        <stp/>
        <stp>BDP|720844351049509067</stp>
        <tr r="A1913" s="2"/>
      </tp>
      <tp t="s">
        <v>#N/A N/A</v>
        <stp/>
        <stp>BDP|959187427432314540</stp>
        <tr r="R1274" s="2"/>
      </tp>
      <tp t="s">
        <v>#N/A N/A</v>
        <stp/>
        <stp>BDP|418373931143209729</stp>
        <tr r="O844" s="2"/>
      </tp>
      <tp t="s">
        <v>#N/A N/A</v>
        <stp/>
        <stp>BDP|631920135947659957</stp>
        <tr r="E1797" s="2"/>
      </tp>
      <tp t="s">
        <v>#N/A N/A</v>
        <stp/>
        <stp>BDP|404589690151649983</stp>
        <tr r="O348" s="2"/>
      </tp>
      <tp t="s">
        <v>#N/A N/A</v>
        <stp/>
        <stp>BDS|341554297861115926</stp>
        <tr r="I1604" s="2"/>
      </tp>
      <tp t="s">
        <v>#N/A N/A</v>
        <stp/>
        <stp>BDP|477221008084977257</stp>
        <tr r="T41" s="2"/>
      </tp>
      <tp t="s">
        <v>#N/A N/A</v>
        <stp/>
        <stp>BDP|468874680023416755</stp>
        <tr r="F1665" s="2"/>
      </tp>
      <tp t="s">
        <v>#N/A N/A</v>
        <stp/>
        <stp>BDP|658536828406913561</stp>
        <tr r="F1897" s="2"/>
      </tp>
      <tp t="s">
        <v>#N/A N/A</v>
        <stp/>
        <stp>BDP|667091755311942017</stp>
        <tr r="S1457" s="2"/>
      </tp>
      <tp t="s">
        <v>#N/A N/A</v>
        <stp/>
        <stp>BDP|376783179482759671</stp>
        <tr r="H287" s="2"/>
      </tp>
      <tp t="s">
        <v>#N/A N/A</v>
        <stp/>
        <stp>BDP|269562484540359911</stp>
        <tr r="S1387" s="2"/>
      </tp>
      <tp t="s">
        <v>#N/A N/A</v>
        <stp/>
        <stp>BDP|542921699757580382</stp>
        <tr r="Q199" s="2"/>
      </tp>
      <tp t="s">
        <v>#N/A N/A</v>
        <stp/>
        <stp>BDP|253668644483519566</stp>
        <tr r="N776" s="2"/>
      </tp>
      <tp t="s">
        <v>#N/A N/A</v>
        <stp/>
        <stp>BDP|462756232113978399</stp>
        <tr r="T2142" s="2"/>
      </tp>
      <tp t="s">
        <v>#N/A N/A</v>
        <stp/>
        <stp>BDP|299221506211305766</stp>
        <tr r="D1414" s="2"/>
      </tp>
      <tp t="s">
        <v>#N/A N/A</v>
        <stp/>
        <stp>BDP|217639350145323216</stp>
        <tr r="E1585" s="2"/>
      </tp>
      <tp t="s">
        <v>#N/A N/A</v>
        <stp/>
        <stp>BDP|427274101210227634</stp>
        <tr r="M1989" s="2"/>
      </tp>
      <tp t="s">
        <v>#N/A N/A</v>
        <stp/>
        <stp>BDP|753554519555160591</stp>
        <tr r="A654" s="2"/>
      </tp>
      <tp t="s">
        <v>#N/A N/A</v>
        <stp/>
        <stp>BDP|398912147221511839</stp>
        <tr r="N2054" s="2"/>
      </tp>
      <tp t="s">
        <v>#N/A N/A</v>
        <stp/>
        <stp>BDP|542915525629357615</stp>
        <tr r="D1543" s="2"/>
      </tp>
      <tp t="s">
        <v>#N/A N/A</v>
        <stp/>
        <stp>BDS|312692338352842393</stp>
        <tr r="I1470" s="2"/>
      </tp>
      <tp t="s">
        <v>#N/A N/A</v>
        <stp/>
        <stp>BDP|968057648465571526</stp>
        <tr r="M422" s="2"/>
      </tp>
      <tp t="s">
        <v>#N/A N/A</v>
        <stp/>
        <stp>BDP|354674533137436607</stp>
        <tr r="A1266" s="2"/>
      </tp>
      <tp t="s">
        <v>#N/A N/A</v>
        <stp/>
        <stp>BDP|486457814322928003</stp>
        <tr r="F1096" s="2"/>
      </tp>
      <tp t="s">
        <v>#N/A N/A</v>
        <stp/>
        <stp>BDP|218735717005952433</stp>
        <tr r="N564" s="2"/>
      </tp>
      <tp t="s">
        <v>#N/A N/A</v>
        <stp/>
        <stp>BDS|640602427554500780</stp>
        <tr r="I1531" s="2"/>
      </tp>
      <tp t="s">
        <v>#N/A N/A</v>
        <stp/>
        <stp>BDP|972914049828959248</stp>
        <tr r="Q1813" s="2"/>
      </tp>
      <tp t="s">
        <v>#N/A N/A</v>
        <stp/>
        <stp>BDP|926655812113613358</stp>
        <tr r="A292" s="2"/>
      </tp>
      <tp t="s">
        <v>#N/A N/A</v>
        <stp/>
        <stp>BDP|121022478286676609</stp>
        <tr r="G1546" s="2"/>
      </tp>
      <tp t="s">
        <v>#N/A N/A</v>
        <stp/>
        <stp>BDP|847317833960477731</stp>
        <tr r="G456" s="2"/>
      </tp>
      <tp t="s">
        <v>#N/A N/A</v>
        <stp/>
        <stp>BDP|550482651266379022</stp>
        <tr r="F1237" s="2"/>
      </tp>
      <tp t="s">
        <v>#N/A N/A</v>
        <stp/>
        <stp>BDP|384948690265839227</stp>
        <tr r="M2163" s="2"/>
      </tp>
      <tp t="s">
        <v>#N/A N/A</v>
        <stp/>
        <stp>BDP|481668598601608910</stp>
        <tr r="F1416" s="2"/>
      </tp>
      <tp t="s">
        <v>#N/A N/A</v>
        <stp/>
        <stp>BDP|309278109424380130</stp>
        <tr r="E824" s="2"/>
      </tp>
      <tp t="s">
        <v>#N/A N/A</v>
        <stp/>
        <stp>BDP|253703349231271578</stp>
        <tr r="S937" s="2"/>
      </tp>
      <tp t="s">
        <v>#N/A N/A</v>
        <stp/>
        <stp>BDP|872538934029940885</stp>
        <tr r="R909" s="2"/>
      </tp>
      <tp t="s">
        <v>#N/A N/A</v>
        <stp/>
        <stp>BDP|899766693160313901</stp>
        <tr r="S1797" s="2"/>
      </tp>
      <tp t="s">
        <v>#N/A N/A</v>
        <stp/>
        <stp>BDP|695906682662348492</stp>
        <tr r="S58" s="2"/>
      </tp>
      <tp t="s">
        <v>#N/A N/A</v>
        <stp/>
        <stp>BDP|633929875101672891</stp>
        <tr r="C1749" s="2"/>
      </tp>
      <tp t="s">
        <v>#N/A N/A</v>
        <stp/>
        <stp>BDP|271300131767821051</stp>
        <tr r="K244" s="2"/>
      </tp>
      <tp t="s">
        <v>#N/A N/A</v>
        <stp/>
        <stp>BDP|269780302120479021</stp>
        <tr r="O773" s="2"/>
      </tp>
      <tp t="s">
        <v>#N/A N/A</v>
        <stp/>
        <stp>BDP|340243453083842325</stp>
        <tr r="J1641" s="2"/>
      </tp>
      <tp t="s">
        <v>#N/A N/A</v>
        <stp/>
        <stp>BDP|654068619631255746</stp>
        <tr r="Q1027" s="2"/>
      </tp>
      <tp t="s">
        <v>#N/A N/A</v>
        <stp/>
        <stp>BDP|918770616076294751</stp>
        <tr r="A1112" s="2"/>
      </tp>
      <tp t="s">
        <v>#N/A N/A</v>
        <stp/>
        <stp>BDP|416748435491920232</stp>
        <tr r="A2231" s="2"/>
      </tp>
      <tp t="s">
        <v>#N/A N/A</v>
        <stp/>
        <stp>BDP|686838482013931413</stp>
        <tr r="T1481" s="2"/>
      </tp>
      <tp t="s">
        <v>#N/A N/A</v>
        <stp/>
        <stp>BDP|971022380509454605</stp>
        <tr r="P420" s="2"/>
      </tp>
      <tp t="s">
        <v>#N/A N/A</v>
        <stp/>
        <stp>BDP|743489421911932081</stp>
        <tr r="P140" s="2"/>
      </tp>
      <tp t="s">
        <v>#N/A N/A</v>
        <stp/>
        <stp>BDP|811212158527995779</stp>
        <tr r="T71" s="2"/>
      </tp>
      <tp t="s">
        <v>#N/A N/A</v>
        <stp/>
        <stp>BDP|913858363069357039</stp>
        <tr r="T1099" s="2"/>
      </tp>
      <tp t="s">
        <v>#N/A N/A</v>
        <stp/>
        <stp>BDP|234216398539793543</stp>
        <tr r="N329" s="2"/>
      </tp>
      <tp t="s">
        <v>#N/A N/A</v>
        <stp/>
        <stp>BDS|608462148237588050</stp>
        <tr r="I1345" s="2"/>
      </tp>
      <tp t="s">
        <v>#N/A N/A</v>
        <stp/>
        <stp>BDP|697098966974746560</stp>
        <tr r="N1865" s="2"/>
      </tp>
      <tp t="s">
        <v>#N/A N/A</v>
        <stp/>
        <stp>BDP|162185802630508667</stp>
        <tr r="F1104" s="2"/>
      </tp>
      <tp t="s">
        <v>#N/A N/A</v>
        <stp/>
        <stp>BDP|898037360151517069</stp>
        <tr r="F1019" s="2"/>
      </tp>
      <tp t="s">
        <v>#N/A N/A</v>
        <stp/>
        <stp>BDP|816503530658160917</stp>
        <tr r="S1924" s="2"/>
      </tp>
      <tp t="s">
        <v>#N/A N/A</v>
        <stp/>
        <stp>BDP|863011285878321767</stp>
        <tr r="R1849" s="2"/>
      </tp>
      <tp t="s">
        <v>#N/A N/A</v>
        <stp/>
        <stp>BDP|374606228752291104</stp>
        <tr r="T964" s="2"/>
      </tp>
      <tp t="s">
        <v>#N/A N/A</v>
        <stp/>
        <stp>BDP|827662971304553238</stp>
        <tr r="T1650" s="2"/>
      </tp>
      <tp t="s">
        <v>#N/A N/A</v>
        <stp/>
        <stp>BDP|475420538311385142</stp>
        <tr r="J486" s="2"/>
      </tp>
      <tp t="s">
        <v>#N/A N/A</v>
        <stp/>
        <stp>BDP|834630964187695004</stp>
        <tr r="O1962" s="2"/>
      </tp>
      <tp t="s">
        <v>#N/A N/A</v>
        <stp/>
        <stp>BDP|312697079976933033</stp>
        <tr r="J985" s="2"/>
      </tp>
      <tp t="s">
        <v>#N/A N/A</v>
        <stp/>
        <stp>BDP|416460670634932027</stp>
        <tr r="S963" s="2"/>
      </tp>
      <tp t="s">
        <v>#N/A N/A</v>
        <stp/>
        <stp>BDP|890649754530042412</stp>
        <tr r="H867" s="2"/>
      </tp>
      <tp t="s">
        <v>#N/A N/A</v>
        <stp/>
        <stp>BDP|156393136716116160</stp>
        <tr r="D1013" s="2"/>
      </tp>
      <tp t="s">
        <v>#N/A N/A</v>
        <stp/>
        <stp>BDP|472371079593477075</stp>
        <tr r="M2014" s="2"/>
      </tp>
      <tp t="s">
        <v>#N/A N/A</v>
        <stp/>
        <stp>BDP|557522026233947310</stp>
        <tr r="E1211" s="2"/>
      </tp>
      <tp t="s">
        <v>#N/A N/A</v>
        <stp/>
        <stp>BDP|114297540345234430</stp>
        <tr r="H997" s="2"/>
      </tp>
      <tp t="s">
        <v>#N/A N/A</v>
        <stp/>
        <stp>BDP|760323182569600584</stp>
        <tr r="H1962" s="2"/>
      </tp>
      <tp t="s">
        <v>#N/A N/A</v>
        <stp/>
        <stp>BDP|744447212714002681</stp>
        <tr r="H1369" s="2"/>
      </tp>
      <tp t="s">
        <v>#N/A N/A</v>
        <stp/>
        <stp>BDS|467292886889661470</stp>
        <tr r="I1031" s="2"/>
      </tp>
      <tp t="s">
        <v>#N/A N/A</v>
        <stp/>
        <stp>BDP|509723769226709037</stp>
        <tr r="J1781" s="2"/>
      </tp>
      <tp t="s">
        <v>#N/A N/A</v>
        <stp/>
        <stp>BDP|290289258751989104</stp>
        <tr r="Q1901" s="2"/>
      </tp>
      <tp t="s">
        <v>#N/A N/A</v>
        <stp/>
        <stp>BDP|413688361431767613</stp>
        <tr r="G120" s="2"/>
      </tp>
      <tp t="s">
        <v>#N/A N/A</v>
        <stp/>
        <stp>BDP|689182871781372073</stp>
        <tr r="Q1747" s="2"/>
      </tp>
      <tp t="s">
        <v>#N/A N/A</v>
        <stp/>
        <stp>BDP|706241008510337539</stp>
        <tr r="H2159" s="2"/>
      </tp>
      <tp t="s">
        <v>#N/A N/A</v>
        <stp/>
        <stp>BDP|870546800965366743</stp>
        <tr r="T827" s="2"/>
      </tp>
      <tp t="s">
        <v>#N/A N/A</v>
        <stp/>
        <stp>BDP|700514551494922353</stp>
        <tr r="N305" s="2"/>
      </tp>
      <tp t="s">
        <v>#N/A N/A</v>
        <stp/>
        <stp>BDP|856766911282744333</stp>
        <tr r="P2118" s="2"/>
      </tp>
      <tp t="s">
        <v>#N/A N/A</v>
        <stp/>
        <stp>BDP|910560613650178367</stp>
        <tr r="S2063" s="2"/>
      </tp>
      <tp t="s">
        <v>#N/A N/A</v>
        <stp/>
        <stp>BDP|379157779419168855</stp>
        <tr r="G1560" s="2"/>
      </tp>
      <tp t="s">
        <v>#N/A N/A</v>
        <stp/>
        <stp>BDP|350334403757132391</stp>
        <tr r="K1347" s="2"/>
      </tp>
      <tp t="s">
        <v>#N/A N/A</v>
        <stp/>
        <stp>BDP|306333289794192838</stp>
        <tr r="E270" s="2"/>
      </tp>
      <tp t="s">
        <v>#N/A N/A</v>
        <stp/>
        <stp>BDP|614865175988708066</stp>
        <tr r="E745" s="2"/>
      </tp>
      <tp t="s">
        <v>#N/A N/A</v>
        <stp/>
        <stp>BDS|561358571853776028</stp>
        <tr r="I657" s="2"/>
      </tp>
      <tp t="s">
        <v>#N/A N/A</v>
        <stp/>
        <stp>BDS|385115781756317849</stp>
        <tr r="I491" s="2"/>
      </tp>
      <tp t="s">
        <v>#N/A N/A</v>
        <stp/>
        <stp>BDP|599675777024565249</stp>
        <tr r="S2073" s="2"/>
      </tp>
      <tp t="s">
        <v>#N/A N/A</v>
        <stp/>
        <stp>BDP|900616861584596389</stp>
        <tr r="D813" s="2"/>
      </tp>
      <tp t="s">
        <v>#N/A N/A</v>
        <stp/>
        <stp>BDP|737765922460101262</stp>
        <tr r="S2230" s="2"/>
      </tp>
      <tp t="s">
        <v>#N/A N/A</v>
        <stp/>
        <stp>BDP|956429870803777782</stp>
        <tr r="G1870" s="2"/>
      </tp>
      <tp t="s">
        <v>#N/A N/A</v>
        <stp/>
        <stp>BDP|480238411721332512</stp>
        <tr r="F1296" s="2"/>
      </tp>
      <tp t="s">
        <v>#N/A N/A</v>
        <stp/>
        <stp>BDP|501871321825064878</stp>
        <tr r="P131" s="2"/>
      </tp>
      <tp t="s">
        <v>#N/A N/A</v>
        <stp/>
        <stp>BDP|865554540390930619</stp>
        <tr r="Q1437" s="2"/>
      </tp>
      <tp t="s">
        <v>#N/A N/A</v>
        <stp/>
        <stp>BDP|860730821952802074</stp>
        <tr r="K2085" s="2"/>
      </tp>
      <tp t="s">
        <v>#N/A N/A</v>
        <stp/>
        <stp>BDP|241929085140810685</stp>
        <tr r="K18" s="2"/>
      </tp>
      <tp t="s">
        <v>#N/A N/A</v>
        <stp/>
        <stp>BDP|464072620570477529</stp>
        <tr r="R2056" s="2"/>
      </tp>
      <tp t="s">
        <v>#N/A N/A</v>
        <stp/>
        <stp>BDS|394105612150413703</stp>
        <tr r="I734" s="2"/>
      </tp>
      <tp t="s">
        <v>#N/A N/A</v>
        <stp/>
        <stp>BDS|309252764334256757</stp>
        <tr r="I1862" s="2"/>
      </tp>
      <tp t="s">
        <v>#N/A N/A</v>
        <stp/>
        <stp>BDP|205603805494798558</stp>
        <tr r="P339" s="2"/>
      </tp>
      <tp t="s">
        <v>#N/A N/A</v>
        <stp/>
        <stp>BDP|129811311376119857</stp>
        <tr r="R1032" s="2"/>
      </tp>
      <tp t="s">
        <v>#N/A N/A</v>
        <stp/>
        <stp>BDS|293026285167182812</stp>
        <tr r="I2142" s="2"/>
      </tp>
      <tp t="s">
        <v>#N/A N/A</v>
        <stp/>
        <stp>BDP|190418851216591021</stp>
        <tr r="F1689" s="2"/>
      </tp>
      <tp t="s">
        <v>#N/A N/A</v>
        <stp/>
        <stp>BDP|891885355498151223</stp>
        <tr r="A646" s="2"/>
      </tp>
      <tp t="s">
        <v>#N/A N/A</v>
        <stp/>
        <stp>BDP|663958488374566285</stp>
        <tr r="E525" s="2"/>
      </tp>
      <tp t="s">
        <v>#N/A N/A</v>
        <stp/>
        <stp>BDP|798015137134364047</stp>
        <tr r="E1607" s="2"/>
      </tp>
      <tp t="s">
        <v>#N/A N/A</v>
        <stp/>
        <stp>BDP|648311539813069489</stp>
        <tr r="F2220" s="2"/>
      </tp>
      <tp t="s">
        <v>#N/A N/A</v>
        <stp/>
        <stp>BDP|361348461813343130</stp>
        <tr r="F2041" s="2"/>
      </tp>
      <tp t="s">
        <v>#N/A N/A</v>
        <stp/>
        <stp>BDP|591538805383048156</stp>
        <tr r="D1741" s="2"/>
      </tp>
      <tp t="s">
        <v>#N/A N/A</v>
        <stp/>
        <stp>BDP|663173621152127670</stp>
        <tr r="J343" s="2"/>
      </tp>
      <tp t="s">
        <v>#N/A N/A</v>
        <stp/>
        <stp>BDP|980617619682293254</stp>
        <tr r="S440" s="2"/>
      </tp>
      <tp t="s">
        <v>#N/A N/A</v>
        <stp/>
        <stp>BDP|888080324937493270</stp>
        <tr r="D1086" s="2"/>
      </tp>
      <tp t="s">
        <v>#N/A N/A</v>
        <stp/>
        <stp>BDP|608717605488189843</stp>
        <tr r="J1105" s="2"/>
      </tp>
      <tp t="s">
        <v>#N/A N/A</v>
        <stp/>
        <stp>BDP|767387349702687276</stp>
        <tr r="H830" s="2"/>
      </tp>
      <tp t="s">
        <v>#N/A N/A</v>
        <stp/>
        <stp>BDP|528864296314633248</stp>
        <tr r="C1932" s="2"/>
      </tp>
      <tp t="s">
        <v>#N/A N/A</v>
        <stp/>
        <stp>BDP|113774175387010049</stp>
        <tr r="P2055" s="2"/>
      </tp>
      <tp t="s">
        <v>#N/A N/A</v>
        <stp/>
        <stp>BDP|400160405977708175</stp>
        <tr r="T1386" s="2"/>
      </tp>
      <tp t="s">
        <v>#N/A N/A</v>
        <stp/>
        <stp>BDP|212975672708706171</stp>
        <tr r="J546" s="2"/>
      </tp>
      <tp t="s">
        <v>#N/A N/A</v>
        <stp/>
        <stp>BDP|203502844315412353</stp>
        <tr r="P869" s="2"/>
      </tp>
      <tp t="s">
        <v>#N/A N/A</v>
        <stp/>
        <stp>BDS|293234413324497014</stp>
        <tr r="I528" s="2"/>
      </tp>
      <tp t="s">
        <v>#N/A N/A</v>
        <stp/>
        <stp>BDP|409049226843081618</stp>
        <tr r="C1159" s="2"/>
      </tp>
      <tp t="s">
        <v>#N/A N/A</v>
        <stp/>
        <stp>BDP|130863892251622747</stp>
        <tr r="C2167" s="2"/>
      </tp>
      <tp t="s">
        <v>#N/A N/A</v>
        <stp/>
        <stp>BDP|655721741591250500</stp>
        <tr r="N739" s="2"/>
      </tp>
      <tp t="s">
        <v>#N/A N/A</v>
        <stp/>
        <stp>BDP|984985260390302826</stp>
        <tr r="E423" s="2"/>
      </tp>
      <tp t="s">
        <v>#N/A N/A</v>
        <stp/>
        <stp>BDP|743674352910571476</stp>
        <tr r="E1755" s="2"/>
      </tp>
      <tp t="s">
        <v>#N/A N/A</v>
        <stp/>
        <stp>BDP|638759112190370125</stp>
        <tr r="T1976" s="2"/>
      </tp>
      <tp t="s">
        <v>#N/A N/A</v>
        <stp/>
        <stp>BDP|353976687806419076</stp>
        <tr r="T106" s="2"/>
      </tp>
      <tp t="s">
        <v>#N/A N/A</v>
        <stp/>
        <stp>BDP|647649642252320731</stp>
        <tr r="G773" s="2"/>
      </tp>
      <tp t="s">
        <v>#N/A N/A</v>
        <stp/>
        <stp>BDP|583230976127183512</stp>
        <tr r="H1132" s="2"/>
      </tp>
      <tp t="s">
        <v>#N/A N/A</v>
        <stp/>
        <stp>BDP|196233581408604559</stp>
        <tr r="H1398" s="2"/>
      </tp>
      <tp t="s">
        <v>#N/A N/A</v>
        <stp/>
        <stp>BDP|425765606183359377</stp>
        <tr r="G1475" s="2"/>
      </tp>
      <tp t="s">
        <v>#N/A N/A</v>
        <stp/>
        <stp>BDP|289838740039821297</stp>
        <tr r="H195" s="2"/>
      </tp>
      <tp t="s">
        <v>#N/A N/A</v>
        <stp/>
        <stp>BDP|647559273107422255</stp>
        <tr r="T569" s="2"/>
      </tp>
      <tp t="s">
        <v>#N/A N/A</v>
        <stp/>
        <stp>BDP|502383865962061095</stp>
        <tr r="D2233" s="2"/>
      </tp>
      <tp t="s">
        <v>#N/A N/A</v>
        <stp/>
        <stp>BDP|984329049759307904</stp>
        <tr r="M1719" s="2"/>
      </tp>
      <tp t="s">
        <v>#N/A N/A</v>
        <stp/>
        <stp>BDP|420763474986515129</stp>
        <tr r="P1773" s="2"/>
      </tp>
      <tp t="s">
        <v>#N/A N/A</v>
        <stp/>
        <stp>BDP|181567732863762230</stp>
        <tr r="D1779" s="2"/>
      </tp>
      <tp t="s">
        <v>#N/A N/A</v>
        <stp/>
        <stp>BDP|674110866239376935</stp>
        <tr r="Q416" s="2"/>
      </tp>
      <tp t="s">
        <v>#N/A N/A</v>
        <stp/>
        <stp>BDP|324718471137685044</stp>
        <tr r="D848" s="2"/>
      </tp>
      <tp t="s">
        <v>#N/A N/A</v>
        <stp/>
        <stp>BDP|404866554878700209</stp>
        <tr r="P919" s="2"/>
      </tp>
      <tp t="s">
        <v>#N/A N/A</v>
        <stp/>
        <stp>BDP|449187039931371479</stp>
        <tr r="D1403" s="2"/>
      </tp>
      <tp t="s">
        <v>#N/A N/A</v>
        <stp/>
        <stp>BDP|436793588520027842</stp>
        <tr r="N1760" s="2"/>
      </tp>
      <tp t="s">
        <v>#N/A N/A</v>
        <stp/>
        <stp>BDP|202315302911010537</stp>
        <tr r="R173" s="2"/>
      </tp>
      <tp t="s">
        <v>#N/A N/A</v>
        <stp/>
        <stp>BDP|164391232964059384</stp>
        <tr r="A906" s="2"/>
      </tp>
      <tp t="s">
        <v>#N/A N/A</v>
        <stp/>
        <stp>BDS|112844886815358224</stp>
        <tr r="I609" s="2"/>
      </tp>
      <tp t="s">
        <v>#N/A N/A</v>
        <stp/>
        <stp>BDP|842171527045278181</stp>
        <tr r="F2143" s="2"/>
      </tp>
      <tp t="s">
        <v>#N/A N/A</v>
        <stp/>
        <stp>BDP|494397377357147498</stp>
        <tr r="H1137" s="2"/>
      </tp>
      <tp t="s">
        <v>#N/A N/A</v>
        <stp/>
        <stp>BDP|847027924103552691</stp>
        <tr r="Q610" s="2"/>
      </tp>
      <tp t="s">
        <v>#N/A N/A</v>
        <stp/>
        <stp>BDP|460072586837035879</stp>
        <tr r="H1756" s="2"/>
      </tp>
      <tp t="s">
        <v>#N/A N/A</v>
        <stp/>
        <stp>BDP|194076043961093278</stp>
        <tr r="Q530" s="2"/>
      </tp>
      <tp t="s">
        <v>#N/A N/A</v>
        <stp/>
        <stp>BDP|289272559739813968</stp>
        <tr r="K1531" s="2"/>
      </tp>
      <tp t="s">
        <v>#N/A N/A</v>
        <stp/>
        <stp>BDP|742231135725195331</stp>
        <tr r="Q2083" s="2"/>
      </tp>
      <tp t="s">
        <v>#N/A N/A</v>
        <stp/>
        <stp>BDP|531226625371247638</stp>
        <tr r="C938" s="2"/>
      </tp>
      <tp t="s">
        <v>#N/A N/A</v>
        <stp/>
        <stp>BDP|757109977725601450</stp>
        <tr r="J1133" s="2"/>
      </tp>
      <tp t="s">
        <v>#N/A N/A</v>
        <stp/>
        <stp>BDP|487100485378246601</stp>
        <tr r="O1131" s="2"/>
      </tp>
      <tp t="s">
        <v>#N/A N/A</v>
        <stp/>
        <stp>BDP|886456177797852313</stp>
        <tr r="Q299" s="2"/>
      </tp>
      <tp t="s">
        <v>#N/A N/A</v>
        <stp/>
        <stp>BDP|131609822563739070</stp>
        <tr r="K320" s="2"/>
      </tp>
      <tp t="s">
        <v>#N/A N/A</v>
        <stp/>
        <stp>BDP|445087800033647494</stp>
        <tr r="Q270" s="2"/>
      </tp>
      <tp t="s">
        <v>#N/A N/A</v>
        <stp/>
        <stp>BDP|264070466090954193</stp>
        <tr r="M488" s="2"/>
      </tp>
      <tp t="s">
        <v>#N/A N/A</v>
        <stp/>
        <stp>BDP|740947202976562879</stp>
        <tr r="H1514" s="2"/>
      </tp>
      <tp t="s">
        <v>#N/A N/A</v>
        <stp/>
        <stp>BDP|930046061682786275</stp>
        <tr r="S820" s="2"/>
      </tp>
      <tp t="s">
        <v>#N/A N/A</v>
        <stp/>
        <stp>BDP|515275019891536423</stp>
        <tr r="E2036" s="2"/>
      </tp>
      <tp t="s">
        <v>#N/A N/A</v>
        <stp/>
        <stp>BDP|257329289084307961</stp>
        <tr r="A162" s="2"/>
      </tp>
      <tp t="s">
        <v>#N/A N/A</v>
        <stp/>
        <stp>BDP|855754795521605927</stp>
        <tr r="R1543" s="2"/>
      </tp>
      <tp t="s">
        <v>#N/A N/A</v>
        <stp/>
        <stp>BDP|903100736622365600</stp>
        <tr r="T2179" s="2"/>
      </tp>
      <tp t="s">
        <v>#N/A N/A</v>
        <stp/>
        <stp>BDP|920632403468474812</stp>
        <tr r="P1223" s="2"/>
      </tp>
      <tp t="s">
        <v>#N/A N/A</v>
        <stp/>
        <stp>BDP|794530948512181512</stp>
        <tr r="J1192" s="2"/>
      </tp>
      <tp t="s">
        <v>#N/A N/A</v>
        <stp/>
        <stp>BDP|261477208682852088</stp>
        <tr r="S665" s="2"/>
      </tp>
      <tp t="s">
        <v>#N/A N/A</v>
        <stp/>
        <stp>BDP|449129007487932052</stp>
        <tr r="J2057" s="2"/>
      </tp>
      <tp t="s">
        <v>#N/A N/A</v>
        <stp/>
        <stp>BDP|490834435635915864</stp>
        <tr r="G86" s="2"/>
      </tp>
      <tp t="s">
        <v>#N/A N/A</v>
        <stp/>
        <stp>BDP|731777869956429101</stp>
        <tr r="H1097" s="2"/>
      </tp>
      <tp t="s">
        <v>#N/A N/A</v>
        <stp/>
        <stp>BDP|223343770650923228</stp>
        <tr r="F675" s="2"/>
      </tp>
      <tp t="s">
        <v>#N/A N/A</v>
        <stp/>
        <stp>BDP|705141847107059497</stp>
        <tr r="F1943" s="2"/>
      </tp>
      <tp t="s">
        <v>#N/A N/A</v>
        <stp/>
        <stp>BDP|772398470807404574</stp>
        <tr r="C1585" s="2"/>
      </tp>
      <tp t="s">
        <v>#N/A N/A</v>
        <stp/>
        <stp>BDP|996786654704813009</stp>
        <tr r="D1799" s="2"/>
      </tp>
      <tp t="s">
        <v>#N/A N/A</v>
        <stp/>
        <stp>BDP|787616408005010539</stp>
        <tr r="G2057" s="2"/>
      </tp>
      <tp t="s">
        <v>#N/A N/A</v>
        <stp/>
        <stp>BDP|962837090646194168</stp>
        <tr r="C283" s="2"/>
      </tp>
      <tp t="s">
        <v>#N/A N/A</v>
        <stp/>
        <stp>BDP|995944790385039308</stp>
        <tr r="O116" s="2"/>
      </tp>
      <tp t="s">
        <v>#N/A N/A</v>
        <stp/>
        <stp>BDP|183710873944937248</stp>
        <tr r="H1391" s="2"/>
      </tp>
      <tp t="s">
        <v>#N/A N/A</v>
        <stp/>
        <stp>BDP|931659815512316345</stp>
        <tr r="O1754" s="2"/>
      </tp>
      <tp t="s">
        <v>#N/A N/A</v>
        <stp/>
        <stp>BDP|851200943358592800</stp>
        <tr r="H499" s="2"/>
      </tp>
      <tp t="s">
        <v>#N/A N/A</v>
        <stp/>
        <stp>BDP|749695936971036264</stp>
        <tr r="Q1761" s="2"/>
      </tp>
      <tp t="s">
        <v>#N/A N/A</v>
        <stp/>
        <stp>BDP|275543031869109980</stp>
        <tr r="S200" s="2"/>
      </tp>
      <tp t="s">
        <v>#N/A N/A</v>
        <stp/>
        <stp>BDP|944274329795940301</stp>
        <tr r="D1633" s="2"/>
      </tp>
      <tp t="s">
        <v>#N/A N/A</v>
        <stp/>
        <stp>BDP|950152172737164715</stp>
        <tr r="C433" s="2"/>
      </tp>
      <tp t="s">
        <v>#N/A N/A</v>
        <stp/>
        <stp>BDP|754391949633142281</stp>
        <tr r="R397" s="2"/>
      </tp>
      <tp t="s">
        <v>#N/A N/A</v>
        <stp/>
        <stp>BDP|536036226115648184</stp>
        <tr r="Q1377" s="2"/>
      </tp>
      <tp t="s">
        <v>#N/A N/A</v>
        <stp/>
        <stp>BDP|884347602974562154</stp>
        <tr r="G695" s="2"/>
      </tp>
      <tp t="s">
        <v>#N/A N/A</v>
        <stp/>
        <stp>BDP|797536329789728851</stp>
        <tr r="J2095" s="2"/>
      </tp>
      <tp t="s">
        <v>#N/A N/A</v>
        <stp/>
        <stp>BDP|431672102185801563</stp>
        <tr r="J1494" s="2"/>
      </tp>
      <tp t="s">
        <v>#N/A N/A</v>
        <stp/>
        <stp>BDP|643022708245063337</stp>
        <tr r="P1644" s="2"/>
      </tp>
      <tp t="s">
        <v>#N/A N/A</v>
        <stp/>
        <stp>BDP|169153800154897347</stp>
        <tr r="E2142" s="2"/>
      </tp>
      <tp t="s">
        <v>#N/A N/A</v>
        <stp/>
        <stp>BDP|784342910743901726</stp>
        <tr r="P2161" s="2"/>
      </tp>
      <tp t="s">
        <v>#N/A N/A</v>
        <stp/>
        <stp>BDP|871191228554185102</stp>
        <tr r="P735" s="2"/>
      </tp>
      <tp t="s">
        <v>#N/A N/A</v>
        <stp/>
        <stp>BDP|129293975773414018</stp>
        <tr r="S1993" s="2"/>
      </tp>
      <tp t="s">
        <v>#N/A N/A</v>
        <stp/>
        <stp>BDP|371974592266871065</stp>
        <tr r="J125" s="2"/>
      </tp>
      <tp t="s">
        <v>#N/A N/A</v>
        <stp/>
        <stp>BDP|208306758772051223</stp>
        <tr r="F1748" s="2"/>
      </tp>
      <tp t="s">
        <v>#N/A N/A</v>
        <stp/>
        <stp>BDP|841776435100006224</stp>
        <tr r="K1018" s="2"/>
      </tp>
      <tp t="s">
        <v>#N/A N/A</v>
        <stp/>
        <stp>BDS|500495005432686063</stp>
        <tr r="I1491" s="2"/>
      </tp>
      <tp t="s">
        <v>#N/A N/A</v>
        <stp/>
        <stp>BDP|857969456382979880</stp>
        <tr r="H1100" s="2"/>
      </tp>
      <tp t="s">
        <v>#N/A N/A</v>
        <stp/>
        <stp>BDP|538838698100041771</stp>
        <tr r="E573" s="2"/>
      </tp>
      <tp t="s">
        <v>#N/A N/A</v>
        <stp/>
        <stp>BDP|862681348930858496</stp>
        <tr r="O157" s="2"/>
      </tp>
      <tp t="s">
        <v>#N/A N/A</v>
        <stp/>
        <stp>BDP|758061218512113510</stp>
        <tr r="M1739" s="2"/>
      </tp>
      <tp t="s">
        <v>#N/A N/A</v>
        <stp/>
        <stp>BDP|571054449674044604</stp>
        <tr r="H1506" s="2"/>
      </tp>
      <tp t="s">
        <v>#N/A N/A</v>
        <stp/>
        <stp>BDP|634888715049453654</stp>
        <tr r="R634" s="2"/>
      </tp>
      <tp t="s">
        <v>#N/A N/A</v>
        <stp/>
        <stp>BDP|452009490776911971</stp>
        <tr r="Q628" s="2"/>
      </tp>
      <tp t="s">
        <v>#N/A N/A</v>
        <stp/>
        <stp>BDS|584783351142124673</stp>
        <tr r="I326" s="2"/>
      </tp>
      <tp t="s">
        <v>#N/A N/A</v>
        <stp/>
        <stp>BDP|725229655404824526</stp>
        <tr r="T1034" s="2"/>
      </tp>
      <tp t="s">
        <v>#N/A N/A</v>
        <stp/>
        <stp>BDP|341486676701524429</stp>
        <tr r="D1316" s="2"/>
      </tp>
      <tp t="s">
        <v>#N/A N/A</v>
        <stp/>
        <stp>BDP|973710462125827288</stp>
        <tr r="C1674" s="2"/>
      </tp>
      <tp t="s">
        <v>#N/A N/A</v>
        <stp/>
        <stp>BDP|541125305771079682</stp>
        <tr r="R164" s="2"/>
      </tp>
      <tp t="s">
        <v>#N/A N/A</v>
        <stp/>
        <stp>BDP|535278228235885382</stp>
        <tr r="O1549" s="2"/>
      </tp>
      <tp t="s">
        <v>#N/A N/A</v>
        <stp/>
        <stp>BDP|557826398762261571</stp>
        <tr r="C1278" s="2"/>
      </tp>
      <tp t="s">
        <v>#N/A N/A</v>
        <stp/>
        <stp>BDP|310476166663049784</stp>
        <tr r="H1652" s="2"/>
      </tp>
      <tp t="s">
        <v>#N/A N/A</v>
        <stp/>
        <stp>BDP|529215432403576490</stp>
        <tr r="Q1735" s="2"/>
      </tp>
      <tp t="s">
        <v>#N/A N/A</v>
        <stp/>
        <stp>BDP|634180216395051320</stp>
        <tr r="G790" s="2"/>
      </tp>
      <tp t="s">
        <v>#N/A N/A</v>
        <stp/>
        <stp>BDP|490511053054853248</stp>
        <tr r="K406" s="2"/>
      </tp>
      <tp t="s">
        <v>#N/A N/A</v>
        <stp/>
        <stp>BDP|558460646796993071</stp>
        <tr r="A1096" s="2"/>
      </tp>
      <tp t="s">
        <v>#N/A N/A</v>
        <stp/>
        <stp>BDP|643416327997266794</stp>
        <tr r="H78" s="2"/>
      </tp>
      <tp t="s">
        <v>#N/A N/A</v>
        <stp/>
        <stp>BDS|808112500953465497</stp>
        <tr r="I915" s="2"/>
      </tp>
      <tp t="s">
        <v>#N/A N/A</v>
        <stp/>
        <stp>BDP|349476444444152258</stp>
        <tr r="R399" s="2"/>
      </tp>
      <tp t="s">
        <v>#N/A N/A</v>
        <stp/>
        <stp>BDP|697650447616124214</stp>
        <tr r="F1342" s="2"/>
      </tp>
      <tp t="s">
        <v>#N/A N/A</v>
        <stp/>
        <stp>BDP|154516311856467412</stp>
        <tr r="A1348" s="2"/>
      </tp>
      <tp t="s">
        <v>#N/A N/A</v>
        <stp/>
        <stp>BDP|348928109047462889</stp>
        <tr r="F1751" s="2"/>
      </tp>
      <tp t="s">
        <v>#N/A N/A</v>
        <stp/>
        <stp>BDP|736633807661716106</stp>
        <tr r="H1542" s="2"/>
      </tp>
      <tp t="s">
        <v>#N/A N/A</v>
        <stp/>
        <stp>BDP|684564970857031341</stp>
        <tr r="P1119" s="2"/>
      </tp>
      <tp t="s">
        <v>#N/A N/A</v>
        <stp/>
        <stp>BDP|419067440162061067</stp>
        <tr r="P1496" s="2"/>
      </tp>
      <tp t="s">
        <v>#N/A N/A</v>
        <stp/>
        <stp>BDS|539257004652834684</stp>
        <tr r="I2047" s="2"/>
      </tp>
      <tp t="s">
        <v>#N/A N/A</v>
        <stp/>
        <stp>BDP|405937600619651651</stp>
        <tr r="E796" s="2"/>
      </tp>
      <tp t="s">
        <v>#N/A N/A</v>
        <stp/>
        <stp>BDP|764903663151455859</stp>
        <tr r="M2127" s="2"/>
      </tp>
      <tp t="s">
        <v>#N/A N/A</v>
        <stp/>
        <stp>BDP|401823982892513443</stp>
        <tr r="J837" s="2"/>
      </tp>
      <tp t="s">
        <v>#N/A N/A</v>
        <stp/>
        <stp>BDP|410878624444043827</stp>
        <tr r="F1903" s="2"/>
      </tp>
      <tp t="s">
        <v>#N/A N/A</v>
        <stp/>
        <stp>BDP|216232955125386426</stp>
        <tr r="A662" s="2"/>
      </tp>
      <tp t="s">
        <v>#N/A N/A</v>
        <stp/>
        <stp>BDP|770116223924725176</stp>
        <tr r="P1410" s="2"/>
      </tp>
      <tp t="s">
        <v>#N/A N/A</v>
        <stp/>
        <stp>BDP|920409329046410618</stp>
        <tr r="S1639" s="2"/>
      </tp>
      <tp t="s">
        <v>#N/A N/A</v>
        <stp/>
        <stp>BDP|990303271735849759</stp>
        <tr r="K1914" s="2"/>
      </tp>
      <tp t="s">
        <v>#N/A N/A</v>
        <stp/>
        <stp>BDP|299339331017370167</stp>
        <tr r="P1249" s="2"/>
      </tp>
      <tp t="s">
        <v>#N/A N/A</v>
        <stp/>
        <stp>BDP|863476868196078226</stp>
        <tr r="O2137" s="2"/>
      </tp>
      <tp t="s">
        <v>#N/A N/A</v>
        <stp/>
        <stp>BDP|850087070348108941</stp>
        <tr r="F702" s="2"/>
      </tp>
      <tp t="s">
        <v>#N/A N/A</v>
        <stp/>
        <stp>BDP|531020560266667646</stp>
        <tr r="E325" s="2"/>
      </tp>
      <tp t="s">
        <v>#N/A N/A</v>
        <stp/>
        <stp>BDP|921777253754977013</stp>
        <tr r="H1012" s="2"/>
      </tp>
      <tp t="s">
        <v>#N/A N/A</v>
        <stp/>
        <stp>BDP|131463729002316287</stp>
        <tr r="S187" s="2"/>
      </tp>
      <tp t="s">
        <v>#N/A N/A</v>
        <stp/>
        <stp>BDP|189302270651674311</stp>
        <tr r="E1052" s="2"/>
      </tp>
      <tp t="s">
        <v>#N/A N/A</v>
        <stp/>
        <stp>BDP|960547409072499166</stp>
        <tr r="A1894" s="2"/>
      </tp>
      <tp t="s">
        <v>#N/A N/A</v>
        <stp/>
        <stp>BDS|370411092598597334</stp>
        <tr r="I592" s="2"/>
      </tp>
      <tp t="s">
        <v>#N/A N/A</v>
        <stp/>
        <stp>BDP|606757643481160479</stp>
        <tr r="N1433" s="2"/>
      </tp>
      <tp t="s">
        <v>#N/A N/A</v>
        <stp/>
        <stp>BDP|286741512261552173</stp>
        <tr r="N1970" s="2"/>
      </tp>
      <tp t="s">
        <v>#N/A N/A</v>
        <stp/>
        <stp>BDP|254995430005923940</stp>
        <tr r="G1561" s="2"/>
      </tp>
      <tp t="s">
        <v>#N/A N/A</v>
        <stp/>
        <stp>BDP|928501810765661791</stp>
        <tr r="T1290" s="2"/>
      </tp>
      <tp t="s">
        <v>#N/A N/A</v>
        <stp/>
        <stp>BDP|405850521445407920</stp>
        <tr r="E203" s="2"/>
      </tp>
      <tp t="s">
        <v>#N/A N/A</v>
        <stp/>
        <stp>BDP|111671314081491013</stp>
        <tr r="Q1698" s="2"/>
      </tp>
      <tp t="s">
        <v>#N/A N/A</v>
        <stp/>
        <stp>BDP|810428933382696389</stp>
        <tr r="J1021" s="2"/>
      </tp>
      <tp t="s">
        <v>#N/A N/A</v>
        <stp/>
        <stp>BDP|418208720071276717</stp>
        <tr r="S1559" s="2"/>
      </tp>
      <tp t="s">
        <v>#N/A N/A</v>
        <stp/>
        <stp>BDP|992682612426021740</stp>
        <tr r="D71" s="2"/>
      </tp>
      <tp t="s">
        <v>#N/A N/A</v>
        <stp/>
        <stp>BDP|212044820410053417</stp>
        <tr r="E562" s="2"/>
      </tp>
      <tp t="s">
        <v>#N/A N/A</v>
        <stp/>
        <stp>BDP|724428825623161369</stp>
        <tr r="R1348" s="2"/>
      </tp>
      <tp t="s">
        <v>#N/A N/A</v>
        <stp/>
        <stp>BDP|221604690080326964</stp>
        <tr r="C1134" s="2"/>
      </tp>
      <tp t="s">
        <v>#N/A N/A</v>
        <stp/>
        <stp>BDP|567755816772305225</stp>
        <tr r="C1732" s="2"/>
      </tp>
      <tp t="s">
        <v>#N/A N/A</v>
        <stp/>
        <stp>BDP|104440465136610216</stp>
        <tr r="K79" s="2"/>
      </tp>
      <tp t="s">
        <v>#N/A N/A</v>
        <stp/>
        <stp>BDP|532884536249955422</stp>
        <tr r="C397" s="2"/>
      </tp>
      <tp t="s">
        <v>#N/A N/A</v>
        <stp/>
        <stp>BDP|381367679912827044</stp>
        <tr r="N412" s="2"/>
      </tp>
      <tp t="s">
        <v>#N/A N/A</v>
        <stp/>
        <stp>BDP|417852386477649112</stp>
        <tr r="J1391" s="2"/>
      </tp>
      <tp t="s">
        <v>#N/A N/A</v>
        <stp/>
        <stp>BDP|602122275327678777</stp>
        <tr r="N2216" s="2"/>
      </tp>
      <tp t="s">
        <v>#N/A N/A</v>
        <stp/>
        <stp>BDP|271747946440342536</stp>
        <tr r="G1810" s="2"/>
      </tp>
      <tp t="s">
        <v>#N/A N/A</v>
        <stp/>
        <stp>BDP|742351864926787513</stp>
        <tr r="D1902" s="2"/>
      </tp>
      <tp t="s">
        <v>#N/A N/A</v>
        <stp/>
        <stp>BDS|709720723560689317</stp>
        <tr r="I1934" s="2"/>
      </tp>
      <tp t="s">
        <v>#N/A N/A</v>
        <stp/>
        <stp>BDP|620908172240439812</stp>
        <tr r="F1097" s="2"/>
      </tp>
      <tp t="s">
        <v>#N/A N/A</v>
        <stp/>
        <stp>BDP|908771735896329494</stp>
        <tr r="K1720" s="2"/>
      </tp>
      <tp t="s">
        <v>#N/A N/A</v>
        <stp/>
        <stp>BDP|448079217391517600</stp>
        <tr r="T598" s="2"/>
      </tp>
      <tp t="s">
        <v>#N/A N/A</v>
        <stp/>
        <stp>BDP|187417843377425162</stp>
        <tr r="T734" s="2"/>
      </tp>
      <tp t="s">
        <v>#N/A N/A</v>
        <stp/>
        <stp>BDP|193736358914224097</stp>
        <tr r="T2165" s="2"/>
      </tp>
      <tp t="s">
        <v>#N/A N/A</v>
        <stp/>
        <stp>BDP|287560828608986940</stp>
        <tr r="S1246" s="2"/>
      </tp>
      <tp t="s">
        <v>#N/A N/A</v>
        <stp/>
        <stp>BDP|679570301051960284</stp>
        <tr r="N755" s="2"/>
      </tp>
      <tp t="s">
        <v>#N/A N/A</v>
        <stp/>
        <stp>BDP|258619122664037632</stp>
        <tr r="E1590" s="2"/>
      </tp>
      <tp t="s">
        <v>#N/A N/A</v>
        <stp/>
        <stp>BDP|599993346773179891</stp>
        <tr r="S553" s="2"/>
      </tp>
      <tp t="s">
        <v>#N/A N/A</v>
        <stp/>
        <stp>BDP|743657200722592251</stp>
        <tr r="S797" s="2"/>
      </tp>
      <tp t="s">
        <v>#N/A N/A</v>
        <stp/>
        <stp>BDP|796914696685313317</stp>
        <tr r="F1301" s="2"/>
      </tp>
      <tp t="s">
        <v>#N/A N/A</v>
        <stp/>
        <stp>BDP|492925592971404727</stp>
        <tr r="P1253" s="2"/>
      </tp>
      <tp t="s">
        <v>#N/A N/A</v>
        <stp/>
        <stp>BDP|889363282088900578</stp>
        <tr r="O1624" s="2"/>
      </tp>
      <tp t="s">
        <v>#N/A N/A</v>
        <stp/>
        <stp>BDP|755767335235428723</stp>
        <tr r="T1160" s="2"/>
      </tp>
      <tp t="s">
        <v>#N/A N/A</v>
        <stp/>
        <stp>BDP|147943205519363612</stp>
        <tr r="T183" s="2"/>
      </tp>
      <tp t="s">
        <v>#N/A N/A</v>
        <stp/>
        <stp>BDP|479365311571222532</stp>
        <tr r="O57" s="2"/>
      </tp>
      <tp t="s">
        <v>#N/A N/A</v>
        <stp/>
        <stp>BDP|701058783089455767</stp>
        <tr r="A2221" s="2"/>
      </tp>
      <tp t="s">
        <v>#N/A N/A</v>
        <stp/>
        <stp>BDP|422511163941661436</stp>
        <tr r="S638" s="2"/>
      </tp>
      <tp t="s">
        <v>#N/A N/A</v>
        <stp/>
        <stp>BDS|396841491711139647</stp>
        <tr r="I795" s="2"/>
      </tp>
      <tp t="s">
        <v>#N/A N/A</v>
        <stp/>
        <stp>BDP|765563004316405528</stp>
        <tr r="O1585" s="2"/>
      </tp>
      <tp t="s">
        <v>#N/A N/A</v>
        <stp/>
        <stp>BDP|810955589897726002</stp>
        <tr r="M933" s="2"/>
      </tp>
      <tp t="s">
        <v>#N/A N/A</v>
        <stp/>
        <stp>BDP|585003844597430560</stp>
        <tr r="G1369" s="2"/>
      </tp>
      <tp t="s">
        <v>#N/A N/A</v>
        <stp/>
        <stp>BDP|394413607401590334</stp>
        <tr r="N494" s="2"/>
      </tp>
      <tp t="s">
        <v>#N/A N/A</v>
        <stp/>
        <stp>BDP|356801814348307776</stp>
        <tr r="O1780" s="2"/>
      </tp>
      <tp t="s">
        <v>#N/A N/A</v>
        <stp/>
        <stp>BDP|310623173536479156</stp>
        <tr r="F1331" s="2"/>
      </tp>
      <tp t="s">
        <v>#N/A N/A</v>
        <stp/>
        <stp>BDP|449641669496340093</stp>
        <tr r="J1777" s="2"/>
      </tp>
      <tp t="s">
        <v>#N/A N/A</v>
        <stp/>
        <stp>BDP|467217756653842284</stp>
        <tr r="E1126" s="2"/>
      </tp>
      <tp t="s">
        <v>#N/A N/A</v>
        <stp/>
        <stp>BDP|845350157412022295</stp>
        <tr r="F589" s="2"/>
      </tp>
      <tp t="s">
        <v>#N/A N/A</v>
        <stp/>
        <stp>BDP|111428593443481871</stp>
        <tr r="D835" s="2"/>
      </tp>
      <tp t="s">
        <v>#N/A N/A</v>
        <stp/>
        <stp>BDP|597656951114196132</stp>
        <tr r="D66" s="2"/>
      </tp>
      <tp t="s">
        <v>#N/A N/A</v>
        <stp/>
        <stp>BDP|532154677631066142</stp>
        <tr r="N1897" s="2"/>
      </tp>
      <tp t="s">
        <v>#N/A N/A</v>
        <stp/>
        <stp>BDP|956950941885659970</stp>
        <tr r="M220" s="2"/>
      </tp>
      <tp t="s">
        <v>#N/A N/A</v>
        <stp/>
        <stp>BDP|616125360012957418</stp>
        <tr r="D1916" s="2"/>
      </tp>
      <tp t="s">
        <v>#N/A N/A</v>
        <stp/>
        <stp>BDP|783868971936550890</stp>
        <tr r="T2128" s="2"/>
      </tp>
      <tp t="s">
        <v>#N/A N/A</v>
        <stp/>
        <stp>BDP|443764362445849542</stp>
        <tr r="D1773" s="2"/>
      </tp>
      <tp t="s">
        <v>#N/A N/A</v>
        <stp/>
        <stp>BDP|840902187708721840</stp>
        <tr r="C1182" s="2"/>
      </tp>
      <tp t="s">
        <v>#N/A N/A</v>
        <stp/>
        <stp>BDP|422892876348189668</stp>
        <tr r="T951" s="2"/>
      </tp>
      <tp t="s">
        <v>#N/A N/A</v>
        <stp/>
        <stp>BDP|856169145426782203</stp>
        <tr r="R2219" s="2"/>
      </tp>
      <tp t="s">
        <v>#N/A N/A</v>
        <stp/>
        <stp>BDP|660661455591871310</stp>
        <tr r="O834" s="2"/>
      </tp>
      <tp t="s">
        <v>#N/A N/A</v>
        <stp/>
        <stp>BDP|295729637162231797</stp>
        <tr r="E1322" s="2"/>
      </tp>
      <tp t="s">
        <v>#N/A N/A</v>
        <stp/>
        <stp>BDP|854553479295082696</stp>
        <tr r="M1915" s="2"/>
      </tp>
      <tp t="s">
        <v>#N/A N/A</v>
        <stp/>
        <stp>BDP|806733629286804278</stp>
        <tr r="H1789" s="2"/>
      </tp>
      <tp t="s">
        <v>#N/A N/A</v>
        <stp/>
        <stp>BDP|225627065089082884</stp>
        <tr r="M809" s="2"/>
      </tp>
      <tp t="s">
        <v>#N/A N/A</v>
        <stp/>
        <stp>BDP|266291117445187704</stp>
        <tr r="J722" s="2"/>
      </tp>
      <tp t="s">
        <v>#N/A N/A</v>
        <stp/>
        <stp>BDP|965111077352383510</stp>
        <tr r="S908" s="2"/>
      </tp>
      <tp t="s">
        <v>#N/A N/A</v>
        <stp/>
        <stp>BDP|802670350773637149</stp>
        <tr r="C1593" s="2"/>
      </tp>
      <tp t="s">
        <v>#N/A N/A</v>
        <stp/>
        <stp>BDP|566472743519581899</stp>
        <tr r="S1614" s="2"/>
      </tp>
      <tp t="s">
        <v>#N/A N/A</v>
        <stp/>
        <stp>BDP|906563864447303553</stp>
        <tr r="T1757" s="2"/>
      </tp>
      <tp t="s">
        <v>#N/A N/A</v>
        <stp/>
        <stp>BDP|419285742347611053</stp>
        <tr r="R823" s="2"/>
      </tp>
      <tp t="s">
        <v>#N/A N/A</v>
        <stp/>
        <stp>BDP|883958986952018252</stp>
        <tr r="T1593" s="2"/>
      </tp>
      <tp t="s">
        <v>#N/A N/A</v>
        <stp/>
        <stp>BDP|268384196843666847</stp>
        <tr r="H1081" s="2"/>
      </tp>
      <tp t="s">
        <v>#N/A N/A</v>
        <stp/>
        <stp>BDP|215322722683582393</stp>
        <tr r="F2038" s="2"/>
      </tp>
      <tp t="s">
        <v>#N/A N/A</v>
        <stp/>
        <stp>BDS|227362549905440373</stp>
        <tr r="I452" s="2"/>
      </tp>
      <tp t="s">
        <v>#N/A N/A</v>
        <stp/>
        <stp>BDP|433919281188845823</stp>
        <tr r="Q738" s="2"/>
      </tp>
      <tp t="s">
        <v>#N/A N/A</v>
        <stp/>
        <stp>BDP|688316959743310434</stp>
        <tr r="G1439" s="2"/>
      </tp>
      <tp t="s">
        <v>#N/A N/A</v>
        <stp/>
        <stp>BDP|879738470314537502</stp>
        <tr r="N1880" s="2"/>
      </tp>
      <tp t="s">
        <v>#N/A N/A</v>
        <stp/>
        <stp>BDP|813368365824099058</stp>
        <tr r="J2254" s="2"/>
      </tp>
      <tp t="s">
        <v>#N/A N/A</v>
        <stp/>
        <stp>BDP|959422332206046071</stp>
        <tr r="N360" s="2"/>
      </tp>
      <tp t="s">
        <v>#N/A N/A</v>
        <stp/>
        <stp>BDP|852050192751112903</stp>
        <tr r="R1764" s="2"/>
      </tp>
      <tp t="s">
        <v>#N/A N/A</v>
        <stp/>
        <stp>BDP|542610147144403794</stp>
        <tr r="M1839" s="2"/>
      </tp>
      <tp t="s">
        <v>#N/A N/A</v>
        <stp/>
        <stp>BDP|526753374604812520</stp>
        <tr r="T2034" s="2"/>
      </tp>
      <tp t="s">
        <v>#N/A N/A</v>
        <stp/>
        <stp>BDP|953323783702380841</stp>
        <tr r="O1290" s="2"/>
      </tp>
      <tp t="s">
        <v>#N/A N/A</v>
        <stp/>
        <stp>BDP|316393046877075134</stp>
        <tr r="G433" s="2"/>
      </tp>
      <tp t="s">
        <v>#N/A N/A</v>
        <stp/>
        <stp>BDP|990968276968621704</stp>
        <tr r="H1112" s="2"/>
      </tp>
      <tp t="s">
        <v>#N/A N/A</v>
        <stp/>
        <stp>BDP|509810222182978904</stp>
        <tr r="E159" s="2"/>
      </tp>
      <tp t="s">
        <v>#N/A N/A</v>
        <stp/>
        <stp>BDP|612707099477076805</stp>
        <tr r="A1865" s="2"/>
      </tp>
      <tp t="s">
        <v>#N/A N/A</v>
        <stp/>
        <stp>BDP|758561168233189107</stp>
        <tr r="P1189" s="2"/>
      </tp>
      <tp t="s">
        <v>#N/A N/A</v>
        <stp/>
        <stp>BDP|384016103449072891</stp>
        <tr r="E1954" s="2"/>
      </tp>
      <tp t="s">
        <v>#N/A N/A</v>
        <stp/>
        <stp>BDP|280805189604508569</stp>
        <tr r="N944" s="2"/>
      </tp>
      <tp t="s">
        <v>#N/A N/A</v>
        <stp/>
        <stp>BDP|531589995048393530</stp>
        <tr r="H373" s="2"/>
      </tp>
      <tp t="s">
        <v>#N/A N/A</v>
        <stp/>
        <stp>BDP|803649604697285026</stp>
        <tr r="E2065" s="2"/>
      </tp>
      <tp t="s">
        <v>#N/A N/A</v>
        <stp/>
        <stp>BDP|462367611530269393</stp>
        <tr r="H2004" s="2"/>
      </tp>
      <tp t="s">
        <v>#N/A N/A</v>
        <stp/>
        <stp>BDP|515483222305570220</stp>
        <tr r="D1494" s="2"/>
      </tp>
      <tp t="s">
        <v>#N/A N/A</v>
        <stp/>
        <stp>BDP|207539114574441182</stp>
        <tr r="K1834" s="2"/>
      </tp>
      <tp t="s">
        <v>#N/A N/A</v>
        <stp/>
        <stp>BDP|498990269077858954</stp>
        <tr r="F472" s="2"/>
      </tp>
      <tp t="s">
        <v>#N/A N/A</v>
        <stp/>
        <stp>BDP|791284372290442405</stp>
        <tr r="G1020" s="2"/>
      </tp>
      <tp t="s">
        <v>#N/A N/A</v>
        <stp/>
        <stp>BDP|173699725284633120</stp>
        <tr r="P2104" s="2"/>
      </tp>
      <tp t="s">
        <v>#N/A N/A</v>
        <stp/>
        <stp>BDP|215345109803525132</stp>
        <tr r="G1488" s="2"/>
      </tp>
      <tp t="s">
        <v>#N/A N/A</v>
        <stp/>
        <stp>BDP|855275762684262163</stp>
        <tr r="A878" s="2"/>
      </tp>
      <tp t="s">
        <v>#N/A N/A</v>
        <stp/>
        <stp>BDP|275224431696059683</stp>
        <tr r="Q322" s="2"/>
      </tp>
      <tp t="s">
        <v>#N/A N/A</v>
        <stp/>
        <stp>BDP|923931187425281569</stp>
        <tr r="J473" s="2"/>
      </tp>
      <tp t="s">
        <v>#N/A N/A</v>
        <stp/>
        <stp>BDP|419686164124186536</stp>
        <tr r="D1862" s="2"/>
      </tp>
      <tp t="s">
        <v>#N/A N/A</v>
        <stp/>
        <stp>BDP|212633242557888416</stp>
        <tr r="P1782" s="2"/>
      </tp>
      <tp t="s">
        <v>#N/A N/A</v>
        <stp/>
        <stp>BDP|241342666435226189</stp>
        <tr r="T1792" s="2"/>
      </tp>
      <tp t="s">
        <v>#N/A N/A</v>
        <stp/>
        <stp>BDP|419280100677625407</stp>
        <tr r="D2202" s="2"/>
      </tp>
      <tp t="s">
        <v>#N/A N/A</v>
        <stp/>
        <stp>BDP|968929591561895081</stp>
        <tr r="Q231" s="2"/>
      </tp>
      <tp t="s">
        <v>#N/A N/A</v>
        <stp/>
        <stp>BDP|272573616841873418</stp>
        <tr r="R527" s="2"/>
      </tp>
      <tp t="s">
        <v>#N/A N/A</v>
        <stp/>
        <stp>BDP|338387573593220600</stp>
        <tr r="K1684" s="2"/>
      </tp>
      <tp t="s">
        <v>#N/A N/A</v>
        <stp/>
        <stp>BDP|311711011446073190</stp>
        <tr r="N1503" s="2"/>
      </tp>
      <tp t="s">
        <v>#N/A N/A</v>
        <stp/>
        <stp>BDP|237346367103349780</stp>
        <tr r="K980" s="2"/>
      </tp>
      <tp t="s">
        <v>#N/A N/A</v>
        <stp/>
        <stp>BDP|674951260328854610</stp>
        <tr r="F1512" s="2"/>
      </tp>
      <tp t="s">
        <v>#N/A N/A</v>
        <stp/>
        <stp>BDP|386845229839648238</stp>
        <tr r="F2225" s="2"/>
      </tp>
      <tp t="s">
        <v>#N/A N/A</v>
        <stp/>
        <stp>BDP|446889504851404871</stp>
        <tr r="N2218" s="2"/>
      </tp>
      <tp t="s">
        <v>#N/A N/A</v>
        <stp/>
        <stp>BDP|331218408014924773</stp>
        <tr r="M254" s="2"/>
      </tp>
      <tp t="s">
        <v>#N/A N/A</v>
        <stp/>
        <stp>BDP|584805566479353645</stp>
        <tr r="Q1484" s="2"/>
      </tp>
      <tp t="s">
        <v>#N/A N/A</v>
        <stp/>
        <stp>BDP|662446598479769592</stp>
        <tr r="O167" s="2"/>
      </tp>
      <tp t="s">
        <v>#N/A N/A</v>
        <stp/>
        <stp>BDP|761706152677177400</stp>
        <tr r="R1410" s="2"/>
      </tp>
      <tp t="s">
        <v>#N/A N/A</v>
        <stp/>
        <stp>BDP|260238373164502038</stp>
        <tr r="T634" s="2"/>
      </tp>
      <tp t="s">
        <v>#N/A N/A</v>
        <stp/>
        <stp>BDP|842971548238503460</stp>
        <tr r="G383" s="2"/>
      </tp>
      <tp t="s">
        <v>#N/A N/A</v>
        <stp/>
        <stp>BDP|845237246636113183</stp>
        <tr r="H190" s="2"/>
      </tp>
      <tp t="s">
        <v>#N/A N/A</v>
        <stp/>
        <stp>BDP|966692456143047124</stp>
        <tr r="F192" s="2"/>
      </tp>
      <tp t="s">
        <v>#N/A N/A</v>
        <stp/>
        <stp>BDP|810869438649366307</stp>
        <tr r="G1569" s="2"/>
      </tp>
      <tp t="s">
        <v>#N/A N/A</v>
        <stp/>
        <stp>BDS|159932492689498814</stp>
        <tr r="I2128" s="2"/>
      </tp>
      <tp t="s">
        <v>#N/A N/A</v>
        <stp/>
        <stp>BDP|220046465925301250</stp>
        <tr r="O586" s="2"/>
      </tp>
      <tp t="s">
        <v>#N/A N/A</v>
        <stp/>
        <stp>BDP|281488488224497938</stp>
        <tr r="N1592" s="2"/>
      </tp>
      <tp t="s">
        <v>#N/A N/A</v>
        <stp/>
        <stp>BDP|973697444612260130</stp>
        <tr r="A2073" s="2"/>
      </tp>
      <tp t="s">
        <v>#N/A N/A</v>
        <stp/>
        <stp>BDP|503702521307412356</stp>
        <tr r="M409" s="2"/>
      </tp>
      <tp t="s">
        <v>#N/A N/A</v>
        <stp/>
        <stp>BDP|395075660840268735</stp>
        <tr r="A412" s="2"/>
      </tp>
      <tp t="s">
        <v>#N/A N/A</v>
        <stp/>
        <stp>BDP|943987169529521783</stp>
        <tr r="M1046" s="2"/>
      </tp>
      <tp t="s">
        <v>#N/A N/A</v>
        <stp/>
        <stp>BDP|204326554550674771</stp>
        <tr r="Q475" s="2"/>
      </tp>
      <tp t="s">
        <v>#N/A N/A</v>
        <stp/>
        <stp>BDP|166009352072601634</stp>
        <tr r="A2107" s="2"/>
      </tp>
      <tp t="s">
        <v>#N/A N/A</v>
        <stp/>
        <stp>BDP|978560270900924304</stp>
        <tr r="O1401" s="2"/>
      </tp>
      <tp t="s">
        <v>#N/A N/A</v>
        <stp/>
        <stp>BDS|736718252205784659</stp>
        <tr r="I1204" s="2"/>
      </tp>
      <tp t="s">
        <v>#N/A N/A</v>
        <stp/>
        <stp>BDP|959730129356582200</stp>
        <tr r="J2187" s="2"/>
      </tp>
      <tp t="s">
        <v>#N/A N/A</v>
        <stp/>
        <stp>BDP|740375255945614255</stp>
        <tr r="R313" s="2"/>
      </tp>
      <tp t="s">
        <v>#N/A N/A</v>
        <stp/>
        <stp>BDP|219627816445344335</stp>
        <tr r="H1672" s="2"/>
      </tp>
      <tp t="s">
        <v>#N/A N/A</v>
        <stp/>
        <stp>BDP|378769433586348339</stp>
        <tr r="M666" s="2"/>
      </tp>
      <tp t="s">
        <v>#N/A N/A</v>
        <stp/>
        <stp>BDP|602011827593462024</stp>
        <tr r="K1448" s="2"/>
      </tp>
      <tp t="s">
        <v>#N/A N/A</v>
        <stp/>
        <stp>BDP|503324744622336464</stp>
        <tr r="T2235" s="2"/>
      </tp>
      <tp t="s">
        <v>#N/A N/A</v>
        <stp/>
        <stp>BDP|336699477483200387</stp>
        <tr r="J637" s="2"/>
      </tp>
      <tp t="s">
        <v>#N/A N/A</v>
        <stp/>
        <stp>BDP|997192867906889086</stp>
        <tr r="G1505" s="2"/>
      </tp>
      <tp t="s">
        <v>#N/A N/A</v>
        <stp/>
        <stp>BDP|315156455127611225</stp>
        <tr r="E497" s="2"/>
      </tp>
      <tp t="s">
        <v>#N/A N/A</v>
        <stp/>
        <stp>BDS|864035266202951532</stp>
        <tr r="I752" s="2"/>
      </tp>
      <tp t="s">
        <v>#N/A N/A</v>
        <stp/>
        <stp>BDP|273243266150259554</stp>
        <tr r="E2146" s="2"/>
      </tp>
      <tp t="s">
        <v>#N/A N/A</v>
        <stp/>
        <stp>BDP|681716951072187103</stp>
        <tr r="J384" s="2"/>
      </tp>
      <tp t="s">
        <v>#N/A N/A</v>
        <stp/>
        <stp>BDP|301767807795796352</stp>
        <tr r="S1925" s="2"/>
      </tp>
      <tp t="s">
        <v>#N/A N/A</v>
        <stp/>
        <stp>BDP|147794739863448654</stp>
        <tr r="J1584" s="2"/>
      </tp>
      <tp t="s">
        <v>#N/A N/A</v>
        <stp/>
        <stp>BDS|617671859526193495</stp>
        <tr r="I822" s="2"/>
      </tp>
      <tp t="s">
        <v>#N/A N/A</v>
        <stp/>
        <stp>BDP|967123558491699451</stp>
        <tr r="C1438" s="2"/>
      </tp>
      <tp t="s">
        <v>#N/A N/A</v>
        <stp/>
        <stp>BDP|657461810942571654</stp>
        <tr r="N482" s="2"/>
      </tp>
      <tp t="s">
        <v>#N/A N/A</v>
        <stp/>
        <stp>BDP|494391322876826670</stp>
        <tr r="F1159" s="2"/>
      </tp>
      <tp t="s">
        <v>#N/A N/A</v>
        <stp/>
        <stp>BDS|143205751145919392</stp>
        <tr r="I34" s="2"/>
      </tp>
      <tp t="s">
        <v>#N/A N/A</v>
        <stp/>
        <stp>BDP|316335873970345508</stp>
        <tr r="K80" s="2"/>
      </tp>
      <tp t="s">
        <v>#N/A N/A</v>
        <stp/>
        <stp>BDP|267252770015334142</stp>
        <tr r="N200" s="2"/>
      </tp>
      <tp t="s">
        <v>#N/A N/A</v>
        <stp/>
        <stp>BDP|512266576591306578</stp>
        <tr r="D1005" s="2"/>
      </tp>
      <tp t="s">
        <v>#N/A N/A</v>
        <stp/>
        <stp>BDP|372230480579759268</stp>
        <tr r="F1703" s="2"/>
      </tp>
      <tp t="s">
        <v>#N/A N/A</v>
        <stp/>
        <stp>BDS|226510603855202135</stp>
        <tr r="I970" s="2"/>
      </tp>
      <tp t="s">
        <v>#N/A N/A</v>
        <stp/>
        <stp>BDP|413048014240759022</stp>
        <tr r="T1366" s="2"/>
      </tp>
      <tp t="s">
        <v>#N/A N/A</v>
        <stp/>
        <stp>BDP|355418893724597851</stp>
        <tr r="T2201" s="2"/>
      </tp>
      <tp t="s">
        <v>#N/A N/A</v>
        <stp/>
        <stp>BDP|721082062386963156</stp>
        <tr r="Q764" s="2"/>
      </tp>
      <tp t="s">
        <v>#N/A N/A</v>
        <stp/>
        <stp>BDP|314413810796540261</stp>
        <tr r="T1951" s="2"/>
      </tp>
      <tp t="s">
        <v>#N/A N/A</v>
        <stp/>
        <stp>BDP|413130144527559370</stp>
        <tr r="D423" s="2"/>
      </tp>
      <tp t="s">
        <v>#N/A N/A</v>
        <stp/>
        <stp>BDP|392810205339557039</stp>
        <tr r="N1411" s="2"/>
      </tp>
      <tp t="s">
        <v>#N/A N/A</v>
        <stp/>
        <stp>BDP|572125136836882586</stp>
        <tr r="H265" s="2"/>
      </tp>
      <tp t="s">
        <v>#N/A N/A</v>
        <stp/>
        <stp>BDP|556114768266781092</stp>
        <tr r="O757" s="2"/>
      </tp>
      <tp t="s">
        <v>#N/A N/A</v>
        <stp/>
        <stp>BDP|655859482412228315</stp>
        <tr r="H408" s="2"/>
      </tp>
      <tp t="s">
        <v>#N/A N/A</v>
        <stp/>
        <stp>BDP|745879628578307394</stp>
        <tr r="R697" s="2"/>
      </tp>
      <tp t="s">
        <v>#N/A N/A</v>
        <stp/>
        <stp>BDP|427569352663156235</stp>
        <tr r="H2100" s="2"/>
      </tp>
      <tp t="s">
        <v>#N/A N/A</v>
        <stp/>
        <stp>BDP|397366866115386125</stp>
        <tr r="C1449" s="2"/>
      </tp>
      <tp t="s">
        <v>#N/A N/A</v>
        <stp/>
        <stp>BDP|326764763561018141</stp>
        <tr r="G2016" s="2"/>
      </tp>
      <tp t="s">
        <v>#N/A N/A</v>
        <stp/>
        <stp>BDP|707255694119766335</stp>
        <tr r="S294" s="2"/>
      </tp>
      <tp t="s">
        <v>#N/A N/A</v>
        <stp/>
        <stp>BDP|637284449576067150</stp>
        <tr r="F1893" s="2"/>
      </tp>
      <tp t="s">
        <v>#N/A N/A</v>
        <stp/>
        <stp>BDP|314281539486096608</stp>
        <tr r="K1305" s="2"/>
      </tp>
      <tp t="s">
        <v>#N/A N/A</v>
        <stp/>
        <stp>BDP|900369229708235868</stp>
        <tr r="C1439" s="2"/>
      </tp>
      <tp t="s">
        <v>#N/A N/A</v>
        <stp/>
        <stp>BDP|618045574882550403</stp>
        <tr r="K2258" s="2"/>
      </tp>
      <tp t="s">
        <v>#N/A N/A</v>
        <stp/>
        <stp>BDP|529799827743923714</stp>
        <tr r="Q460" s="2"/>
      </tp>
      <tp t="s">
        <v>#N/A N/A</v>
        <stp/>
        <stp>BDP|953749550134662785</stp>
        <tr r="J1303" s="2"/>
      </tp>
      <tp t="s">
        <v>#N/A N/A</v>
        <stp/>
        <stp>BDP|957199057825570011</stp>
        <tr r="N1282" s="2"/>
      </tp>
      <tp t="s">
        <v>#N/A N/A</v>
        <stp/>
        <stp>BDP|905514106447406392</stp>
        <tr r="T1668" s="2"/>
      </tp>
      <tp t="s">
        <v>#N/A N/A</v>
        <stp/>
        <stp>BDP|985685155194594626</stp>
        <tr r="S716" s="2"/>
      </tp>
      <tp t="s">
        <v>#N/A N/A</v>
        <stp/>
        <stp>BDP|510066868794957316</stp>
        <tr r="M1321" s="2"/>
      </tp>
      <tp t="s">
        <v>#N/A N/A</v>
        <stp/>
        <stp>BDP|826493480164506970</stp>
        <tr r="O2008" s="2"/>
      </tp>
      <tp t="s">
        <v>#N/A N/A</v>
        <stp/>
        <stp>BDP|202617062698517971</stp>
        <tr r="A464" s="2"/>
      </tp>
      <tp t="s">
        <v>#N/A N/A</v>
        <stp/>
        <stp>BDP|506672551242969090</stp>
        <tr r="J1420" s="2"/>
      </tp>
      <tp t="s">
        <v>#N/A N/A</v>
        <stp/>
        <stp>BDP|397425244472686306</stp>
        <tr r="N1054" s="2"/>
      </tp>
      <tp t="s">
        <v>#N/A N/A</v>
        <stp/>
        <stp>BDP|518000416779449945</stp>
        <tr r="R2011" s="2"/>
      </tp>
      <tp t="s">
        <v>#N/A N/A</v>
        <stp/>
        <stp>BDP|710490143442074218</stp>
        <tr r="T1477" s="2"/>
      </tp>
      <tp t="s">
        <v>#N/A N/A</v>
        <stp/>
        <stp>BDP|306294499252858978</stp>
        <tr r="O1590" s="2"/>
      </tp>
      <tp t="s">
        <v>#N/A N/A</v>
        <stp/>
        <stp>BDS|298581815815487170</stp>
        <tr r="I1382" s="2"/>
      </tp>
      <tp t="s">
        <v>#N/A N/A</v>
        <stp/>
        <stp>BDP|393400812462465797</stp>
        <tr r="T1623" s="2"/>
      </tp>
      <tp t="s">
        <v>#N/A N/A</v>
        <stp/>
        <stp>BDP|263346918975426769</stp>
        <tr r="Q241" s="2"/>
      </tp>
      <tp t="s">
        <v>#N/A N/A</v>
        <stp/>
        <stp>BDP|265476567685804761</stp>
        <tr r="D2074" s="2"/>
      </tp>
      <tp t="s">
        <v>#N/A N/A</v>
        <stp/>
        <stp>BDP|898353333437706759</stp>
        <tr r="T597" s="2"/>
      </tp>
      <tp t="s">
        <v>#N/A N/A</v>
        <stp/>
        <stp>BDP|257865201929803100</stp>
        <tr r="R244" s="2"/>
      </tp>
      <tp t="s">
        <v>#N/A N/A</v>
        <stp/>
        <stp>BDS|823475903380508448</stp>
        <tr r="I1997" s="2"/>
      </tp>
      <tp t="s">
        <v>#N/A N/A</v>
        <stp/>
        <stp>BDP|284363999098610268</stp>
        <tr r="J1141" s="2"/>
      </tp>
      <tp t="s">
        <v>#N/A N/A</v>
        <stp/>
        <stp>BDP|539844236733379896</stp>
        <tr r="J820" s="2"/>
      </tp>
      <tp t="s">
        <v>#N/A N/A</v>
        <stp/>
        <stp>BDP|578507548532396338</stp>
        <tr r="Q925" s="2"/>
      </tp>
      <tp t="s">
        <v>#N/A N/A</v>
        <stp/>
        <stp>BDP|205238438024753538</stp>
        <tr r="R2134" s="2"/>
      </tp>
      <tp t="s">
        <v>#N/A N/A</v>
        <stp/>
        <stp>BDP|180059964334881261</stp>
        <tr r="J584" s="2"/>
      </tp>
      <tp t="s">
        <v>#N/A N/A</v>
        <stp/>
        <stp>BDP|829969915079120141</stp>
        <tr r="K1861" s="2"/>
      </tp>
      <tp t="s">
        <v>#N/A N/A</v>
        <stp/>
        <stp>BDP|874236358870525787</stp>
        <tr r="R2109" s="2"/>
      </tp>
      <tp t="s">
        <v>#N/A N/A</v>
        <stp/>
        <stp>BDP|694601068964172415</stp>
        <tr r="Q2002" s="2"/>
      </tp>
      <tp t="s">
        <v>#N/A N/A</v>
        <stp/>
        <stp>BDP|639021423186916402</stp>
        <tr r="S1606" s="2"/>
      </tp>
      <tp t="s">
        <v>#N/A N/A</v>
        <stp/>
        <stp>BDP|225327468213677601</stp>
        <tr r="J1836" s="2"/>
      </tp>
      <tp t="s">
        <v>#N/A N/A</v>
        <stp/>
        <stp>BDP|632279248233629501</stp>
        <tr r="J337" s="2"/>
      </tp>
      <tp t="s">
        <v>#N/A N/A</v>
        <stp/>
        <stp>BDP|134269118030545350</stp>
        <tr r="K231" s="2"/>
      </tp>
      <tp t="s">
        <v>#N/A N/A</v>
        <stp/>
        <stp>BDP|341602418742595516</stp>
        <tr r="A680" s="2"/>
      </tp>
      <tp t="s">
        <v>#N/A N/A</v>
        <stp/>
        <stp>BDP|673088410561239036</stp>
        <tr r="E304" s="2"/>
      </tp>
      <tp t="s">
        <v>#N/A N/A</v>
        <stp/>
        <stp>BDP|754846493980828177</stp>
        <tr r="J1188" s="2"/>
      </tp>
      <tp t="s">
        <v>#N/A N/A</v>
        <stp/>
        <stp>BDS|386198007661486062</stp>
        <tr r="I1710" s="2"/>
      </tp>
      <tp t="s">
        <v>#N/A N/A</v>
        <stp/>
        <stp>BDP|965127279456475090</stp>
        <tr r="N1512" s="2"/>
      </tp>
      <tp t="s">
        <v>#N/A N/A</v>
        <stp/>
        <stp>BDP|983967484349736845</stp>
        <tr r="N1182" s="2"/>
      </tp>
      <tp t="s">
        <v>#N/A N/A</v>
        <stp/>
        <stp>BDS|543200389928035247</stp>
        <tr r="I2225" s="2"/>
      </tp>
      <tp t="s">
        <v>#N/A N/A</v>
        <stp/>
        <stp>BDP|203353640471916668</stp>
        <tr r="G463" s="2"/>
      </tp>
      <tp t="s">
        <v>#N/A N/A</v>
        <stp/>
        <stp>BDP|364254844170852625</stp>
        <tr r="P714" s="2"/>
      </tp>
      <tp t="s">
        <v>#N/A N/A</v>
        <stp/>
        <stp>BDP|936271796849946299</stp>
        <tr r="P628" s="2"/>
      </tp>
      <tp t="s">
        <v>#N/A N/A</v>
        <stp/>
        <stp>BDP|210136661846986110</stp>
        <tr r="M1255" s="2"/>
      </tp>
      <tp t="s">
        <v>#N/A N/A</v>
        <stp/>
        <stp>BDP|470941203978826139</stp>
        <tr r="H901" s="2"/>
      </tp>
      <tp t="s">
        <v>#N/A N/A</v>
        <stp/>
        <stp>BDP|783649769644042427</stp>
        <tr r="J256" s="2"/>
      </tp>
      <tp t="s">
        <v>#N/A N/A</v>
        <stp/>
        <stp>BDP|154780868003961206</stp>
        <tr r="M1026" s="2"/>
      </tp>
      <tp t="s">
        <v>#N/A N/A</v>
        <stp/>
        <stp>BDP|327424527767603184</stp>
        <tr r="F2083" s="2"/>
      </tp>
      <tp t="s">
        <v>#N/A N/A</v>
        <stp/>
        <stp>BDS|742368064382934756</stp>
        <tr r="I2220" s="2"/>
      </tp>
      <tp t="s">
        <v>#N/A N/A</v>
        <stp/>
        <stp>BDP|393657899106574937</stp>
        <tr r="F1123" s="2"/>
      </tp>
      <tp t="s">
        <v>#N/A N/A</v>
        <stp/>
        <stp>BDP|572539311011624581</stp>
        <tr r="T368" s="2"/>
      </tp>
      <tp t="s">
        <v>#N/A N/A</v>
        <stp/>
        <stp>BDP|106155815762153297</stp>
        <tr r="T839" s="2"/>
      </tp>
      <tp t="s">
        <v>#N/A N/A</v>
        <stp/>
        <stp>BDP|577450208611507541</stp>
        <tr r="F2161" s="2"/>
      </tp>
      <tp t="s">
        <v>#N/A N/A</v>
        <stp/>
        <stp>BDP|988619420885162108</stp>
        <tr r="C1697" s="2"/>
      </tp>
      <tp t="s">
        <v>#N/A N/A</v>
        <stp/>
        <stp>BDP|433698330427745200</stp>
        <tr r="E1509" s="2"/>
      </tp>
      <tp t="s">
        <v>#N/A N/A</v>
        <stp/>
        <stp>BDP|347696604483305579</stp>
        <tr r="N1582" s="2"/>
      </tp>
      <tp t="s">
        <v>#N/A N/A</v>
        <stp/>
        <stp>BDP|187874470046915952</stp>
        <tr r="N1993" s="2"/>
      </tp>
      <tp t="s">
        <v>#N/A N/A</v>
        <stp/>
        <stp>BDP|632205518574461703</stp>
        <tr r="H489" s="2"/>
      </tp>
      <tp t="s">
        <v>#N/A N/A</v>
        <stp/>
        <stp>BDP|578483991809508424</stp>
        <tr r="F925" s="2"/>
      </tp>
      <tp t="s">
        <v>#N/A N/A</v>
        <stp/>
        <stp>BDP|897382955691760792</stp>
        <tr r="O1198" s="2"/>
      </tp>
      <tp t="s">
        <v>#N/A N/A</v>
        <stp/>
        <stp>BDP|788529588894253943</stp>
        <tr r="Q2066" s="2"/>
      </tp>
      <tp t="s">
        <v>#N/A N/A</v>
        <stp/>
        <stp>BDP|226266795568947335</stp>
        <tr r="K550" s="2"/>
      </tp>
      <tp t="s">
        <v>#N/A N/A</v>
        <stp/>
        <stp>BDP|826070879294832352</stp>
        <tr r="P2085" s="2"/>
      </tp>
      <tp t="s">
        <v>#N/A N/A</v>
        <stp/>
        <stp>BDP|699395930890070044</stp>
        <tr r="D357" s="2"/>
      </tp>
      <tp t="s">
        <v>#N/A N/A</v>
        <stp/>
        <stp>BDP|654851898742509354</stp>
        <tr r="C156" s="2"/>
      </tp>
      <tp t="s">
        <v>#N/A N/A</v>
        <stp/>
        <stp>BDP|764042979531362623</stp>
        <tr r="F370" s="2"/>
      </tp>
      <tp t="s">
        <v>#N/A N/A</v>
        <stp/>
        <stp>BDP|479463664271450396</stp>
        <tr r="J1533" s="2"/>
      </tp>
      <tp t="s">
        <v>#N/A N/A</v>
        <stp/>
        <stp>BDP|574243979465541061</stp>
        <tr r="K576" s="2"/>
      </tp>
      <tp t="s">
        <v>#N/A N/A</v>
        <stp/>
        <stp>BDS|821143252003351798</stp>
        <tr r="I597" s="2"/>
      </tp>
      <tp t="s">
        <v>#N/A N/A</v>
        <stp/>
        <stp>BDP|796544203497550211</stp>
        <tr r="J754" s="2"/>
      </tp>
      <tp t="s">
        <v>#N/A N/A</v>
        <stp/>
        <stp>BDP|607955926049656273</stp>
        <tr r="R1263" s="2"/>
      </tp>
      <tp t="s">
        <v>#N/A N/A</v>
        <stp/>
        <stp>BDP|231783951042828072</stp>
        <tr r="C2130" s="2"/>
      </tp>
      <tp t="s">
        <v>#N/A N/A</v>
        <stp/>
        <stp>BDP|553585052262931221</stp>
        <tr r="P1197" s="2"/>
      </tp>
      <tp t="s">
        <v>#N/A N/A</v>
        <stp/>
        <stp>BDS|897299367760613441</stp>
        <tr r="I1848" s="2"/>
      </tp>
      <tp t="s">
        <v>#N/A N/A</v>
        <stp/>
        <stp>BDP|220054831197616441</stp>
        <tr r="K88" s="2"/>
      </tp>
      <tp t="s">
        <v>#N/A N/A</v>
        <stp/>
        <stp>BDP|823952640448028593</stp>
        <tr r="E422" s="2"/>
      </tp>
      <tp t="s">
        <v>#N/A N/A</v>
        <stp/>
        <stp>BDP|734646634976069321</stp>
        <tr r="E1223" s="2"/>
      </tp>
      <tp t="s">
        <v>#N/A N/A</v>
        <stp/>
        <stp>BDP|969106002917750695</stp>
        <tr r="S1470" s="2"/>
      </tp>
      <tp t="s">
        <v>#N/A N/A</v>
        <stp/>
        <stp>BDP|378121989169823059</stp>
        <tr r="E138" s="2"/>
      </tp>
      <tp t="s">
        <v>#N/A N/A</v>
        <stp/>
        <stp>BDP|421558566927228403</stp>
        <tr r="N2151" s="2"/>
      </tp>
      <tp t="s">
        <v>#N/A N/A</v>
        <stp/>
        <stp>BDP|263071314595344477</stp>
        <tr r="E539" s="2"/>
      </tp>
      <tp t="s">
        <v>#N/A N/A</v>
        <stp/>
        <stp>BDP|173844441159144507</stp>
        <tr r="A1016" s="2"/>
      </tp>
      <tp t="s">
        <v>#N/A N/A</v>
        <stp/>
        <stp>BDP|336481772294923754</stp>
        <tr r="J1672" s="2"/>
      </tp>
      <tp t="s">
        <v>#N/A N/A</v>
        <stp/>
        <stp>BDP|137324383289170245</stp>
        <tr r="G166" s="2"/>
      </tp>
      <tp t="s">
        <v>#N/A N/A</v>
        <stp/>
        <stp>BDP|731622573859384804</stp>
        <tr r="O1458" s="2"/>
      </tp>
      <tp t="s">
        <v>#N/A N/A</v>
        <stp/>
        <stp>BDP|391500242180723100</stp>
        <tr r="E1230" s="2"/>
      </tp>
      <tp t="s">
        <v>#N/A N/A</v>
        <stp/>
        <stp>BDP|985680242683210175</stp>
        <tr r="Q1479" s="2"/>
      </tp>
      <tp t="s">
        <v>#N/A N/A</v>
        <stp/>
        <stp>BDP|106671465082608238</stp>
        <tr r="M1619" s="2"/>
      </tp>
      <tp t="s">
        <v>#N/A N/A</v>
        <stp/>
        <stp>BDP|239639495387472867</stp>
        <tr r="J2039" s="2"/>
      </tp>
      <tp t="s">
        <v>#N/A N/A</v>
        <stp/>
        <stp>BDP|373708412155135364</stp>
        <tr r="Q1003" s="2"/>
      </tp>
      <tp t="s">
        <v>#N/A N/A</v>
        <stp/>
        <stp>BDP|968345185099749298</stp>
        <tr r="T278" s="2"/>
      </tp>
      <tp t="s">
        <v>#N/A N/A</v>
        <stp/>
        <stp>BDP|842007227220131281</stp>
        <tr r="F697" s="2"/>
      </tp>
      <tp t="s">
        <v>#N/A N/A</v>
        <stp/>
        <stp>BDP|648436857515567411</stp>
        <tr r="P822" s="2"/>
      </tp>
      <tp t="s">
        <v>#N/A N/A</v>
        <stp/>
        <stp>BDP|288849782498455867</stp>
        <tr r="T1783" s="2"/>
      </tp>
      <tp t="s">
        <v>#N/A N/A</v>
        <stp/>
        <stp>BDP|732982657479761588</stp>
        <tr r="J616" s="2"/>
      </tp>
      <tp t="s">
        <v>#N/A N/A</v>
        <stp/>
        <stp>BDP|629010286631006966</stp>
        <tr r="H2053" s="2"/>
      </tp>
      <tp t="s">
        <v>#N/A N/A</v>
        <stp/>
        <stp>BDP|885715093667891950</stp>
        <tr r="P2134" s="2"/>
      </tp>
      <tp t="s">
        <v>#N/A N/A</v>
        <stp/>
        <stp>BDP|708711420931281433</stp>
        <tr r="O889" s="2"/>
      </tp>
      <tp t="s">
        <v>#N/A N/A</v>
        <stp/>
        <stp>BDP|280170123903997088</stp>
        <tr r="S1061" s="2"/>
      </tp>
      <tp t="s">
        <v>#N/A N/A</v>
        <stp/>
        <stp>BDP|322254634018747924</stp>
        <tr r="N2098" s="2"/>
      </tp>
      <tp t="s">
        <v>#N/A N/A</v>
        <stp/>
        <stp>BDP|478959285502097335</stp>
        <tr r="N726" s="2"/>
      </tp>
      <tp t="s">
        <v>#N/A N/A</v>
        <stp/>
        <stp>BDP|926687876024015501</stp>
        <tr r="N1337" s="2"/>
      </tp>
      <tp t="s">
        <v>#N/A N/A</v>
        <stp/>
        <stp>BDP|987495879677190488</stp>
        <tr r="A1152" s="2"/>
      </tp>
      <tp t="s">
        <v>#N/A N/A</v>
        <stp/>
        <stp>BDP|663369330625358535</stp>
        <tr r="P2174" s="2"/>
      </tp>
      <tp t="s">
        <v>#N/A N/A</v>
        <stp/>
        <stp>BDP|575441806014617018</stp>
        <tr r="G1136" s="2"/>
      </tp>
      <tp t="s">
        <v>#N/A N/A</v>
        <stp/>
        <stp>BDP|410369321474223511</stp>
        <tr r="S1638" s="2"/>
      </tp>
      <tp t="s">
        <v>#N/A N/A</v>
        <stp/>
        <stp>BDP|495423846775807580</stp>
        <tr r="A1129" s="2"/>
      </tp>
      <tp t="s">
        <v>#N/A N/A</v>
        <stp/>
        <stp>BDP|974589652788683851</stp>
        <tr r="O1475" s="2"/>
      </tp>
      <tp t="s">
        <v>#N/A N/A</v>
        <stp/>
        <stp>BDP|124781643796963532</stp>
        <tr r="G1703" s="2"/>
      </tp>
      <tp t="s">
        <v>#N/A N/A</v>
        <stp/>
        <stp>BDP|952523248111222015</stp>
        <tr r="M468" s="2"/>
      </tp>
      <tp t="s">
        <v>#N/A N/A</v>
        <stp/>
        <stp>BDS|687248515745737604</stp>
        <tr r="I1045" s="2"/>
      </tp>
      <tp t="s">
        <v>#N/A N/A</v>
        <stp/>
        <stp>BDP|948389519821070384</stp>
        <tr r="Q896" s="2"/>
      </tp>
      <tp t="s">
        <v>#N/A N/A</v>
        <stp/>
        <stp>BDP|702201756231263631</stp>
        <tr r="K48" s="2"/>
      </tp>
      <tp t="s">
        <v>#N/A N/A</v>
        <stp/>
        <stp>BDP|704526638063921541</stp>
        <tr r="J137" s="2"/>
      </tp>
      <tp t="s">
        <v>#N/A N/A</v>
        <stp/>
        <stp>BDP|201519685384395949</stp>
        <tr r="O1971" s="2"/>
      </tp>
      <tp t="s">
        <v>#N/A N/A</v>
        <stp/>
        <stp>BDP|144668180156661807</stp>
        <tr r="M2258" s="2"/>
      </tp>
      <tp t="s">
        <v>#N/A N/A</v>
        <stp/>
        <stp>BDP|114159486531616851</stp>
        <tr r="C1106" s="2"/>
      </tp>
      <tp t="s">
        <v>#N/A N/A</v>
        <stp/>
        <stp>BDP|610531974133981199</stp>
        <tr r="J1447" s="2"/>
      </tp>
      <tp t="s">
        <v>#N/A N/A</v>
        <stp/>
        <stp>BDP|466053954462122754</stp>
        <tr r="P868" s="2"/>
      </tp>
      <tp t="s">
        <v>#N/A N/A</v>
        <stp/>
        <stp>BDP|131978357769213528</stp>
        <tr r="P1590" s="2"/>
      </tp>
      <tp t="s">
        <v>#N/A N/A</v>
        <stp/>
        <stp>BDP|563703547011292226</stp>
        <tr r="F117" s="2"/>
      </tp>
      <tp t="s">
        <v>#N/A N/A</v>
        <stp/>
        <stp>BDP|937806188939133925</stp>
        <tr r="H1486" s="2"/>
      </tp>
      <tp t="s">
        <v>#N/A N/A</v>
        <stp/>
        <stp>BDP|464202433967452613</stp>
        <tr r="R1207" s="2"/>
      </tp>
      <tp t="s">
        <v>#N/A N/A</v>
        <stp/>
        <stp>BDP|770005037952338111</stp>
        <tr r="G1988" s="2"/>
      </tp>
      <tp t="s">
        <v>#N/A N/A</v>
        <stp/>
        <stp>BDP|155522666763664016</stp>
        <tr r="E1682" s="2"/>
      </tp>
      <tp t="s">
        <v>#N/A N/A</v>
        <stp/>
        <stp>BDP|751141654290121445</stp>
        <tr r="S223" s="2"/>
      </tp>
      <tp t="s">
        <v>#N/A N/A</v>
        <stp/>
        <stp>BDP|615835653348480509</stp>
        <tr r="N1754" s="2"/>
      </tp>
      <tp t="s">
        <v>#N/A N/A</v>
        <stp/>
        <stp>BDP|943174475197971101</stp>
        <tr r="N3" s="2"/>
      </tp>
      <tp t="s">
        <v>#N/A N/A</v>
        <stp/>
        <stp>BDP|334331233235310526</stp>
        <tr r="G1535" s="2"/>
      </tp>
      <tp t="s">
        <v>#N/A N/A</v>
        <stp/>
        <stp>BDS|930389210797637545</stp>
        <tr r="I956" s="2"/>
      </tp>
      <tp t="s">
        <v>#N/A N/A</v>
        <stp/>
        <stp>BDS|606968685210526133</stp>
        <tr r="I419" s="2"/>
      </tp>
      <tp t="s">
        <v>#N/A N/A</v>
        <stp/>
        <stp>BDS|407838429372502883</stp>
        <tr r="I1737" s="2"/>
      </tp>
      <tp t="s">
        <v>#N/A N/A</v>
        <stp/>
        <stp>BDP|939854097409185896</stp>
        <tr r="T1008" s="2"/>
      </tp>
      <tp t="s">
        <v>#N/A N/A</v>
        <stp/>
        <stp>BDP|587619364079665956</stp>
        <tr r="N1381" s="2"/>
      </tp>
      <tp t="s">
        <v>#N/A N/A</v>
        <stp/>
        <stp>BDP|600468925723101579</stp>
        <tr r="F890" s="2"/>
      </tp>
      <tp t="s">
        <v>#N/A N/A</v>
        <stp/>
        <stp>BDP|666425103366105257</stp>
        <tr r="G1209" s="2"/>
      </tp>
      <tp t="s">
        <v>#N/A N/A</v>
        <stp/>
        <stp>BDP|350312478242379558</stp>
        <tr r="M1189" s="2"/>
      </tp>
      <tp t="s">
        <v>#N/A N/A</v>
        <stp/>
        <stp>BDP|516903128930004813</stp>
        <tr r="N1295" s="2"/>
      </tp>
      <tp t="s">
        <v>#N/A N/A</v>
        <stp/>
        <stp>BDP|830819395253732173</stp>
        <tr r="S3" s="2"/>
      </tp>
      <tp t="s">
        <v>#N/A N/A</v>
        <stp/>
        <stp>BDP|298009103563851059</stp>
        <tr r="O2228" s="2"/>
      </tp>
      <tp t="s">
        <v>#N/A N/A</v>
        <stp/>
        <stp>BDP|775545560813810374</stp>
        <tr r="F384" s="2"/>
      </tp>
      <tp t="s">
        <v>#N/A N/A</v>
        <stp/>
        <stp>BDP|669311226713493195</stp>
        <tr r="P1745" s="2"/>
      </tp>
      <tp t="s">
        <v>#N/A N/A</v>
        <stp/>
        <stp>BDP|892426575709656951</stp>
        <tr r="O91" s="2"/>
      </tp>
      <tp t="s">
        <v>#N/A N/A</v>
        <stp/>
        <stp>BDP|828222674555592371</stp>
        <tr r="D1163" s="2"/>
      </tp>
      <tp t="s">
        <v>#N/A N/A</v>
        <stp/>
        <stp>BDP|914429505775586271</stp>
        <tr r="C765" s="2"/>
      </tp>
      <tp t="s">
        <v>#N/A N/A</v>
        <stp/>
        <stp>BDP|401761102262429685</stp>
        <tr r="M402" s="2"/>
      </tp>
      <tp t="s">
        <v>#N/A N/A</v>
        <stp/>
        <stp>BDP|904798603054682088</stp>
        <tr r="T1833" s="2"/>
      </tp>
      <tp t="s">
        <v>#N/A N/A</v>
        <stp/>
        <stp>BDP|892182985623125993</stp>
        <tr r="M1111" s="2"/>
      </tp>
      <tp t="s">
        <v>#N/A N/A</v>
        <stp/>
        <stp>BDP|826566793998227722</stp>
        <tr r="Q803" s="2"/>
      </tp>
      <tp t="s">
        <v>#N/A N/A</v>
        <stp/>
        <stp>BDP|885700000132433618</stp>
        <tr r="M41" s="2"/>
      </tp>
      <tp t="s">
        <v>#N/A N/A</v>
        <stp/>
        <stp>BDP|903093624161074097</stp>
        <tr r="T815" s="2"/>
      </tp>
      <tp t="s">
        <v>#N/A N/A</v>
        <stp/>
        <stp>BDP|148649859822437251</stp>
        <tr r="S2204" s="2"/>
      </tp>
      <tp t="s">
        <v>#N/A N/A</v>
        <stp/>
        <stp>BDP|593002903601283291</stp>
        <tr r="N384" s="2"/>
      </tp>
      <tp t="s">
        <v>#N/A N/A</v>
        <stp/>
        <stp>BDP|717160860930843448</stp>
        <tr r="J1604" s="2"/>
      </tp>
      <tp t="s">
        <v>#N/A N/A</v>
        <stp/>
        <stp>BDP|173192030968578930</stp>
        <tr r="F1153" s="2"/>
      </tp>
      <tp t="s">
        <v>#N/A N/A</v>
        <stp/>
        <stp>BDP|428126947451945766</stp>
        <tr r="E1364" s="2"/>
      </tp>
      <tp t="s">
        <v>#N/A N/A</v>
        <stp/>
        <stp>BDP|200695964560400353</stp>
        <tr r="P2027" s="2"/>
      </tp>
      <tp t="s">
        <v>#N/A N/A</v>
        <stp/>
        <stp>BDP|315542605226434081</stp>
        <tr r="R2188" s="2"/>
      </tp>
      <tp t="s">
        <v>#N/A N/A</v>
        <stp/>
        <stp>BDP|946356094040565934</stp>
        <tr r="J1038" s="2"/>
      </tp>
      <tp t="s">
        <v>#N/A N/A</v>
        <stp/>
        <stp>BDP|931536753171203255</stp>
        <tr r="A930" s="2"/>
      </tp>
      <tp t="s">
        <v>#N/A N/A</v>
        <stp/>
        <stp>BDP|916727706277678354</stp>
        <tr r="O291" s="2"/>
      </tp>
      <tp t="s">
        <v>#N/A N/A</v>
        <stp/>
        <stp>BDP|343717328133406505</stp>
        <tr r="O768" s="2"/>
      </tp>
      <tp t="s">
        <v>#N/A N/A</v>
        <stp/>
        <stp>BDP|849174655096026158</stp>
        <tr r="M373" s="2"/>
      </tp>
      <tp t="s">
        <v>#N/A N/A</v>
        <stp/>
        <stp>BDP|572148053334572383</stp>
        <tr r="O1095" s="2"/>
      </tp>
      <tp t="s">
        <v>#N/A N/A</v>
        <stp/>
        <stp>BDP|970177934627678638</stp>
        <tr r="P1574" s="2"/>
      </tp>
      <tp t="s">
        <v>#N/A N/A</v>
        <stp/>
        <stp>BDS|396696874085057714</stp>
        <tr r="I2112" s="2"/>
      </tp>
      <tp t="s">
        <v>#N/A N/A</v>
        <stp/>
        <stp>BDP|532317053470842508</stp>
        <tr r="J1005" s="2"/>
      </tp>
      <tp t="s">
        <v>#N/A N/A</v>
        <stp/>
        <stp>BDP|998337159654838149</stp>
        <tr r="E171" s="2"/>
      </tp>
      <tp t="s">
        <v>#N/A N/A</v>
        <stp/>
        <stp>BDP|816590971140711185</stp>
        <tr r="M198" s="2"/>
      </tp>
      <tp t="s">
        <v>#N/A N/A</v>
        <stp/>
        <stp>BDP|276937893576535583</stp>
        <tr r="N111" s="2"/>
      </tp>
      <tp t="s">
        <v>#N/A N/A</v>
        <stp/>
        <stp>BDP|965553252205458657</stp>
        <tr r="T1493" s="2"/>
      </tp>
      <tp t="s">
        <v>#N/A N/A</v>
        <stp/>
        <stp>BDP|920618728925109299</stp>
        <tr r="N2009" s="2"/>
      </tp>
      <tp t="s">
        <v>#N/A N/A</v>
        <stp/>
        <stp>BDP|539498911051513701</stp>
        <tr r="D1740" s="2"/>
      </tp>
      <tp t="s">
        <v>#N/A N/A</v>
        <stp/>
        <stp>BDP|905014326395595437</stp>
        <tr r="A1094" s="2"/>
      </tp>
      <tp t="s">
        <v>#N/A N/A</v>
        <stp/>
        <stp>BDP|811154816400679359</stp>
        <tr r="P2141" s="2"/>
      </tp>
      <tp t="s">
        <v>#N/A N/A</v>
        <stp/>
        <stp>BDP|336727465413591195</stp>
        <tr r="S1910" s="2"/>
      </tp>
      <tp t="s">
        <v>#N/A N/A</v>
        <stp/>
        <stp>BDP|584720997735019883</stp>
        <tr r="R1955" s="2"/>
      </tp>
      <tp t="s">
        <v>#N/A N/A</v>
        <stp/>
        <stp>BDP|386424874710596098</stp>
        <tr r="M1057" s="2"/>
      </tp>
      <tp t="s">
        <v>#N/A N/A</v>
        <stp/>
        <stp>BDP|475430149150042378</stp>
        <tr r="T357" s="2"/>
      </tp>
      <tp t="s">
        <v>#N/A N/A</v>
        <stp/>
        <stp>BDP|662739613274868170</stp>
        <tr r="D1762" s="2"/>
      </tp>
      <tp t="s">
        <v>#N/A N/A</v>
        <stp/>
        <stp>BDP|753129558240132756</stp>
        <tr r="Q172" s="2"/>
      </tp>
      <tp t="s">
        <v>#N/A N/A</v>
        <stp/>
        <stp>BDP|959220348237245282</stp>
        <tr r="T1333" s="2"/>
      </tp>
      <tp t="s">
        <v>#N/A N/A</v>
        <stp/>
        <stp>BDP|250802099727521573</stp>
        <tr r="H341" s="2"/>
      </tp>
      <tp t="s">
        <v>#N/A N/A</v>
        <stp/>
        <stp>BDP|928703236206778113</stp>
        <tr r="D1919" s="2"/>
      </tp>
      <tp t="s">
        <v>#N/A N/A</v>
        <stp/>
        <stp>BDP|812367756181642477</stp>
        <tr r="M1707" s="2"/>
      </tp>
      <tp t="s">
        <v>#N/A N/A</v>
        <stp/>
        <stp>BDS|371531539566822385</stp>
        <tr r="I1020" s="2"/>
      </tp>
      <tp t="s">
        <v>#N/A N/A</v>
        <stp/>
        <stp>BDP|481324938802767138</stp>
        <tr r="S106" s="2"/>
      </tp>
      <tp t="s">
        <v>#N/A N/A</v>
        <stp/>
        <stp>BDP|812788867226887458</stp>
        <tr r="J86" s="2"/>
      </tp>
      <tp t="s">
        <v>#N/A N/A</v>
        <stp/>
        <stp>BDP|414397863632463409</stp>
        <tr r="J1594" s="2"/>
      </tp>
      <tp t="s">
        <v>#N/A N/A</v>
        <stp/>
        <stp>BDP|594464769160964195</stp>
        <tr r="K93" s="2"/>
      </tp>
      <tp t="s">
        <v>#N/A N/A</v>
        <stp/>
        <stp>BDP|996357346533725775</stp>
        <tr r="F1214" s="2"/>
      </tp>
      <tp t="s">
        <v>#N/A N/A</v>
        <stp/>
        <stp>BDP|426128394222910914</stp>
        <tr r="D803" s="2"/>
      </tp>
      <tp t="s">
        <v>#N/A N/A</v>
        <stp/>
        <stp>BDP|365230708249074823</stp>
        <tr r="O983" s="2"/>
      </tp>
      <tp t="s">
        <v>#N/A N/A</v>
        <stp/>
        <stp>BDP|898120084189506318</stp>
        <tr r="S531" s="2"/>
      </tp>
      <tp t="s">
        <v>#N/A N/A</v>
        <stp/>
        <stp>BDP|362893594440631223</stp>
        <tr r="J990" s="2"/>
      </tp>
      <tp t="s">
        <v>#N/A N/A</v>
        <stp/>
        <stp>BDP|835415517394654226</stp>
        <tr r="R491" s="2"/>
      </tp>
      <tp t="s">
        <v>#N/A N/A</v>
        <stp/>
        <stp>BDP|154914474738642584</stp>
        <tr r="C204" s="2"/>
      </tp>
      <tp t="s">
        <v>#N/A N/A</v>
        <stp/>
        <stp>BDP|989227976984765207</stp>
        <tr r="P1228" s="2"/>
      </tp>
      <tp t="s">
        <v>#N/A N/A</v>
        <stp/>
        <stp>BDP|470174031371173088</stp>
        <tr r="E1719" s="2"/>
      </tp>
      <tp t="s">
        <v>#N/A N/A</v>
        <stp/>
        <stp>BDP|412573879232846398</stp>
        <tr r="K526" s="2"/>
      </tp>
      <tp t="s">
        <v>#N/A N/A</v>
        <stp/>
        <stp>BDP|767926806608962211</stp>
        <tr r="G1671" s="2"/>
      </tp>
      <tp t="s">
        <v>#N/A N/A</v>
        <stp/>
        <stp>BDP|586683451445870500</stp>
        <tr r="A216" s="2"/>
      </tp>
      <tp t="s">
        <v>#N/A N/A</v>
        <stp/>
        <stp>BDP|767056626980124116</stp>
        <tr r="T853" s="2"/>
      </tp>
      <tp t="s">
        <v>#N/A N/A</v>
        <stp/>
        <stp>BDP|552155587598072232</stp>
        <tr r="A125" s="2"/>
      </tp>
      <tp t="s">
        <v>#N/A N/A</v>
        <stp/>
        <stp>BDP|158806936760409875</stp>
        <tr r="G450" s="2"/>
      </tp>
      <tp t="s">
        <v>#N/A N/A</v>
        <stp/>
        <stp>BDP|176902150378683724</stp>
        <tr r="G1504" s="2"/>
      </tp>
      <tp t="s">
        <v>#N/A N/A</v>
        <stp/>
        <stp>BDP|366079063296771351</stp>
        <tr r="Q1114" s="2"/>
      </tp>
      <tp t="s">
        <v>#N/A N/A</v>
        <stp/>
        <stp>BDP|913392226996389409</stp>
        <tr r="C1801" s="2"/>
      </tp>
      <tp t="s">
        <v>#N/A N/A</v>
        <stp/>
        <stp>BDP|621733654817168657</stp>
        <tr r="C2052" s="2"/>
      </tp>
      <tp t="s">
        <v>#N/A N/A</v>
        <stp/>
        <stp>BDP|964831180093884070</stp>
        <tr r="C139" s="2"/>
      </tp>
      <tp t="s">
        <v>#N/A N/A</v>
        <stp/>
        <stp>BDP|469249029113426080</stp>
        <tr r="A1538" s="2"/>
      </tp>
      <tp t="s">
        <v>#N/A N/A</v>
        <stp/>
        <stp>BDP|664331359845995006</stp>
        <tr r="N55" s="2"/>
      </tp>
      <tp t="s">
        <v>#N/A N/A</v>
        <stp/>
        <stp>BDP|598018846364577323</stp>
        <tr r="S2247" s="2"/>
      </tp>
      <tp t="s">
        <v>#N/A N/A</v>
        <stp/>
        <stp>BDP|292193156085041289</stp>
        <tr r="E1740" s="2"/>
      </tp>
      <tp t="s">
        <v>#N/A N/A</v>
        <stp/>
        <stp>BDP|193066808503982036</stp>
        <tr r="P1553" s="2"/>
      </tp>
      <tp t="s">
        <v>#N/A N/A</v>
        <stp/>
        <stp>BDP|360217402995442419</stp>
        <tr r="K1193" s="2"/>
      </tp>
      <tp t="s">
        <v>#N/A N/A</v>
        <stp/>
        <stp>BDP|149261944603091650</stp>
        <tr r="O469" s="2"/>
      </tp>
      <tp t="s">
        <v>#N/A N/A</v>
        <stp/>
        <stp>BDP|655261140194588137</stp>
        <tr r="K1816" s="2"/>
      </tp>
      <tp t="s">
        <v>#N/A N/A</v>
        <stp/>
        <stp>BDP|349020260912365740</stp>
        <tr r="C1909" s="2"/>
      </tp>
      <tp t="s">
        <v>#N/A N/A</v>
        <stp/>
        <stp>BDP|488347245017419375</stp>
        <tr r="N701" s="2"/>
      </tp>
      <tp t="s">
        <v>#N/A N/A</v>
        <stp/>
        <stp>BDP|889894208753999869</stp>
        <tr r="O293" s="2"/>
      </tp>
      <tp t="s">
        <v>#N/A N/A</v>
        <stp/>
        <stp>BDS|167029024444621570</stp>
        <tr r="I624" s="2"/>
      </tp>
      <tp t="s">
        <v>#N/A N/A</v>
        <stp/>
        <stp>BDP|445526395448402718</stp>
        <tr r="A451" s="2"/>
      </tp>
      <tp t="s">
        <v>#N/A N/A</v>
        <stp/>
        <stp>BDP|593672623537079076</stp>
        <tr r="R1385" s="2"/>
      </tp>
      <tp t="s">
        <v>#N/A N/A</v>
        <stp/>
        <stp>BDP|815225324683908010</stp>
        <tr r="N1086" s="2"/>
      </tp>
      <tp t="s">
        <v>#N/A N/A</v>
        <stp/>
        <stp>BDP|367224333872281063</stp>
        <tr r="P1951" s="2"/>
      </tp>
      <tp t="s">
        <v>#N/A N/A</v>
        <stp/>
        <stp>BDP|262294059505604126</stp>
        <tr r="H954" s="2"/>
      </tp>
      <tp t="s">
        <v>#N/A N/A</v>
        <stp/>
        <stp>BDP|577719320556559078</stp>
        <tr r="N532" s="2"/>
      </tp>
      <tp t="s">
        <v>#N/A N/A</v>
        <stp/>
        <stp>BDP|940515214484334392</stp>
        <tr r="C1205" s="2"/>
      </tp>
      <tp t="s">
        <v>#N/A N/A</v>
        <stp/>
        <stp>BDP|633752300421277577</stp>
        <tr r="O1028" s="2"/>
      </tp>
      <tp t="s">
        <v>#N/A N/A</v>
        <stp/>
        <stp>BDP|140306324731026332</stp>
        <tr r="J1204" s="2"/>
      </tp>
      <tp t="s">
        <v>#N/A N/A</v>
        <stp/>
        <stp>BDP|631030316872120050</stp>
        <tr r="K1476" s="2"/>
      </tp>
      <tp t="s">
        <v>#N/A N/A</v>
        <stp/>
        <stp>BDP|965425228100778539</stp>
        <tr r="K305" s="2"/>
      </tp>
      <tp t="s">
        <v>#N/A N/A</v>
        <stp/>
        <stp>BDP|907930252066834972</stp>
        <tr r="N1619" s="2"/>
      </tp>
      <tp t="s">
        <v>#N/A N/A</v>
        <stp/>
        <stp>BDP|427774694485734877</stp>
        <tr r="A1143" s="2"/>
      </tp>
      <tp t="s">
        <v>#N/A N/A</v>
        <stp/>
        <stp>BDP|296780627110980636</stp>
        <tr r="K1635" s="2"/>
      </tp>
      <tp t="s">
        <v>#N/A N/A</v>
        <stp/>
        <stp>BDP|639327354156154364</stp>
        <tr r="J2209" s="2"/>
      </tp>
      <tp t="s">
        <v>#N/A N/A</v>
        <stp/>
        <stp>BDP|243308635914754774</stp>
        <tr r="T1775" s="2"/>
      </tp>
      <tp t="s">
        <v>#N/A N/A</v>
        <stp/>
        <stp>BDP|720729664680838294</stp>
        <tr r="H1397" s="2"/>
      </tp>
      <tp t="s">
        <v>#N/A N/A</v>
        <stp/>
        <stp>BDP|882220919650170021</stp>
        <tr r="F142" s="2"/>
      </tp>
      <tp t="s">
        <v>#N/A N/A</v>
        <stp/>
        <stp>BDP|972478994439208783</stp>
        <tr r="O2180" s="2"/>
      </tp>
      <tp t="s">
        <v>#N/A N/A</v>
        <stp/>
        <stp>BDP|236273678406990043</stp>
        <tr r="N1014" s="2"/>
      </tp>
      <tp t="s">
        <v>#N/A N/A</v>
        <stp/>
        <stp>BDP|111506176625497436</stp>
        <tr r="D511" s="2"/>
      </tp>
      <tp t="s">
        <v>#N/A N/A</v>
        <stp/>
        <stp>BDP|899032822987019693</stp>
        <tr r="S1425" s="2"/>
      </tp>
      <tp t="s">
        <v>#N/A N/A</v>
        <stp/>
        <stp>BDP|650605564295049627</stp>
        <tr r="G2233" s="2"/>
      </tp>
      <tp t="s">
        <v>#N/A N/A</v>
        <stp/>
        <stp>BDP|123524143272429040</stp>
        <tr r="H639" s="2"/>
      </tp>
      <tp t="s">
        <v>#N/A N/A</v>
        <stp/>
        <stp>BDP|662523700923020548</stp>
        <tr r="D1141" s="2"/>
      </tp>
      <tp t="s">
        <v>#N/A N/A</v>
        <stp/>
        <stp>BDP|544707461111029347</stp>
        <tr r="H2045" s="2"/>
      </tp>
      <tp t="s">
        <v>#N/A N/A</v>
        <stp/>
        <stp>BDP|957006059074452241</stp>
        <tr r="Q341" s="2"/>
      </tp>
      <tp t="s">
        <v>#N/A N/A</v>
        <stp/>
        <stp>BDP|730480632873876758</stp>
        <tr r="F543" s="2"/>
      </tp>
      <tp t="s">
        <v>#N/A N/A</v>
        <stp/>
        <stp>BDP|915616243967843620</stp>
        <tr r="N477" s="2"/>
      </tp>
      <tp t="s">
        <v>#N/A N/A</v>
        <stp/>
        <stp>BDP|144379777020267720</stp>
        <tr r="C2166" s="2"/>
      </tp>
      <tp t="s">
        <v>#N/A N/A</v>
        <stp/>
        <stp>BDP|405549864644656432</stp>
        <tr r="E1606" s="2"/>
      </tp>
      <tp t="s">
        <v>#N/A N/A</v>
        <stp/>
        <stp>BDP|985116818734060717</stp>
        <tr r="N2116" s="2"/>
      </tp>
      <tp t="s">
        <v>#N/A N/A</v>
        <stp/>
        <stp>BDP|404326385261091922</stp>
        <tr r="O1397" s="2"/>
      </tp>
      <tp t="s">
        <v>#N/A N/A</v>
        <stp/>
        <stp>BDP|650781070436704583</stp>
        <tr r="O329" s="2"/>
      </tp>
      <tp t="s">
        <v>#N/A N/A</v>
        <stp/>
        <stp>BDP|161255603169774815</stp>
        <tr r="G2044" s="2"/>
      </tp>
      <tp t="s">
        <v>#N/A N/A</v>
        <stp/>
        <stp>BDP|325754122584018255</stp>
        <tr r="C307" s="2"/>
      </tp>
      <tp t="s">
        <v>#N/A N/A</v>
        <stp/>
        <stp>BDP|149817837110406826</stp>
        <tr r="J1690" s="2"/>
      </tp>
      <tp t="s">
        <v>#N/A N/A</v>
        <stp/>
        <stp>BDP|646576761495105538</stp>
        <tr r="T1777" s="2"/>
      </tp>
      <tp t="s">
        <v>#N/A N/A</v>
        <stp/>
        <stp>BDP|187539580736931898</stp>
        <tr r="Q1311" s="2"/>
      </tp>
      <tp t="s">
        <v>#N/A N/A</v>
        <stp/>
        <stp>BDP|794316427871268311</stp>
        <tr r="S427" s="2"/>
      </tp>
      <tp t="s">
        <v>#N/A N/A</v>
        <stp/>
        <stp>BDP|113426734685592108</stp>
        <tr r="T339" s="2"/>
      </tp>
      <tp t="s">
        <v>#N/A N/A</v>
        <stp/>
        <stp>BDP|930158106047182595</stp>
        <tr r="R904" s="2"/>
      </tp>
      <tp t="s">
        <v>#N/A N/A</v>
        <stp/>
        <stp>BDP|924938111862103987</stp>
        <tr r="S352" s="2"/>
      </tp>
      <tp t="s">
        <v>#N/A N/A</v>
        <stp/>
        <stp>BDP|909335117136993775</stp>
        <tr r="N1053" s="2"/>
      </tp>
      <tp t="s">
        <v>#N/A N/A</v>
        <stp/>
        <stp>BDP|755709422425160371</stp>
        <tr r="O415" s="2"/>
      </tp>
      <tp t="s">
        <v>#N/A N/A</v>
        <stp/>
        <stp>BDS|424063646835234258</stp>
        <tr r="I42" s="2"/>
      </tp>
      <tp t="s">
        <v>#N/A N/A</v>
        <stp/>
        <stp>BDP|157782247532933242</stp>
        <tr r="P642" s="2"/>
      </tp>
      <tp t="s">
        <v>#N/A N/A</v>
        <stp/>
        <stp>BDP|329879821508095161</stp>
        <tr r="F1307" s="2"/>
      </tp>
      <tp t="s">
        <v>#N/A N/A</v>
        <stp/>
        <stp>BDP|378502846011268346</stp>
        <tr r="P927" s="2"/>
      </tp>
      <tp t="s">
        <v>#N/A N/A</v>
        <stp/>
        <stp>BDP|401935554457573853</stp>
        <tr r="D59" s="2"/>
      </tp>
      <tp t="s">
        <v>#N/A N/A</v>
        <stp/>
        <stp>BDP|635532009574090306</stp>
        <tr r="P944" s="2"/>
      </tp>
      <tp t="s">
        <v>#N/A N/A</v>
        <stp/>
        <stp>BDP|799763275391176397</stp>
        <tr r="F424" s="2"/>
      </tp>
      <tp t="s">
        <v>#N/A N/A</v>
        <stp/>
        <stp>BDP|524919328581854885</stp>
        <tr r="A1787" s="2"/>
      </tp>
      <tp t="s">
        <v>#N/A N/A</v>
        <stp/>
        <stp>BDP|586247497719990033</stp>
        <tr r="H2170" s="2"/>
      </tp>
      <tp t="s">
        <v>#N/A N/A</v>
        <stp/>
        <stp>BDP|864163821468052937</stp>
        <tr r="S2171" s="2"/>
      </tp>
      <tp t="s">
        <v>#N/A N/A</v>
        <stp/>
        <stp>BDP|854101110144351677</stp>
        <tr r="K676" s="2"/>
      </tp>
      <tp t="s">
        <v>#N/A N/A</v>
        <stp/>
        <stp>BDP|400706209316584349</stp>
        <tr r="J1100" s="2"/>
      </tp>
      <tp t="s">
        <v>#N/A N/A</v>
        <stp/>
        <stp>BDP|282039620603980355</stp>
        <tr r="G1370" s="2"/>
      </tp>
      <tp t="s">
        <v>#N/A N/A</v>
        <stp/>
        <stp>BDP|392279818721183004</stp>
        <tr r="S1478" s="2"/>
      </tp>
      <tp t="s">
        <v>#N/A N/A</v>
        <stp/>
        <stp>BDP|265572456972828060</stp>
        <tr r="K1537" s="2"/>
      </tp>
      <tp t="s">
        <v>#N/A N/A</v>
        <stp/>
        <stp>BDP|734293944083641718</stp>
        <tr r="H711" s="2"/>
      </tp>
      <tp t="s">
        <v>#N/A N/A</v>
        <stp/>
        <stp>BDP|578866369738666410</stp>
        <tr r="E1338" s="2"/>
      </tp>
      <tp t="s">
        <v>#N/A N/A</v>
        <stp/>
        <stp>BDP|207918820250793995</stp>
        <tr r="K205" s="2"/>
      </tp>
      <tp t="s">
        <v>#N/A N/A</v>
        <stp/>
        <stp>BDP|151502952041749395</stp>
        <tr r="T2013" s="2"/>
      </tp>
      <tp t="s">
        <v>#N/A N/A</v>
        <stp/>
        <stp>BDP|436354096560078898</stp>
        <tr r="T886" s="2"/>
      </tp>
      <tp t="s">
        <v>#N/A N/A</v>
        <stp/>
        <stp>BDP|285600003704645096</stp>
        <tr r="O2122" s="2"/>
      </tp>
      <tp t="s">
        <v>#N/A N/A</v>
        <stp/>
        <stp>BDP|141015550364608382</stp>
        <tr r="P1448" s="2"/>
      </tp>
      <tp t="s">
        <v>#N/A N/A</v>
        <stp/>
        <stp>BDP|676583230543217720</stp>
        <tr r="N400" s="2"/>
      </tp>
      <tp t="s">
        <v>#N/A N/A</v>
        <stp/>
        <stp>BDP|241404461579968945</stp>
        <tr r="H1117" s="2"/>
      </tp>
      <tp t="s">
        <v>#N/A N/A</v>
        <stp/>
        <stp>BDP|112329874530109693</stp>
        <tr r="A1504" s="2"/>
      </tp>
      <tp t="s">
        <v>#N/A N/A</v>
        <stp/>
        <stp>BDP|895100503637202463</stp>
        <tr r="J1230" s="2"/>
      </tp>
      <tp t="s">
        <v>#N/A N/A</v>
        <stp/>
        <stp>BDP|821457715406499135</stp>
        <tr r="G1680" s="2"/>
      </tp>
      <tp t="s">
        <v>#N/A N/A</v>
        <stp/>
        <stp>BDP|945369318148197898</stp>
        <tr r="M1069" s="2"/>
      </tp>
      <tp t="s">
        <v>#N/A N/A</v>
        <stp/>
        <stp>BDP|687561569808797961</stp>
        <tr r="M2207" s="2"/>
      </tp>
      <tp t="s">
        <v>#N/A N/A</v>
        <stp/>
        <stp>BDP|108294651415881096</stp>
        <tr r="P2003" s="2"/>
      </tp>
      <tp t="s">
        <v>#N/A N/A</v>
        <stp/>
        <stp>BDP|613358533004848602</stp>
        <tr r="R228" s="2"/>
      </tp>
      <tp t="s">
        <v>#N/A N/A</v>
        <stp/>
        <stp>BDP|821035830367145623</stp>
        <tr r="H1979" s="2"/>
      </tp>
      <tp t="s">
        <v>#N/A N/A</v>
        <stp/>
        <stp>BDP|198879410452715994</stp>
        <tr r="C218" s="2"/>
      </tp>
      <tp t="s">
        <v>#N/A N/A</v>
        <stp/>
        <stp>BDS|690968917768600297</stp>
        <tr r="I2108" s="2"/>
      </tp>
      <tp t="s">
        <v>#N/A N/A</v>
        <stp/>
        <stp>BDP|595087292858325343</stp>
        <tr r="T1381" s="2"/>
      </tp>
      <tp t="s">
        <v>#N/A N/A</v>
        <stp/>
        <stp>BDP|126631163721821312</stp>
        <tr r="P2050" s="2"/>
      </tp>
      <tp t="s">
        <v>#N/A N/A</v>
        <stp/>
        <stp>BDP|226282337262126145</stp>
        <tr r="E800" s="2"/>
      </tp>
      <tp t="s">
        <v>#N/A N/A</v>
        <stp/>
        <stp>BDP|839147780003273878</stp>
        <tr r="E500" s="2"/>
      </tp>
      <tp t="s">
        <v>#N/A N/A</v>
        <stp/>
        <stp>BDP|892646392984696913</stp>
        <tr r="F243" s="2"/>
      </tp>
      <tp t="s">
        <v>#N/A N/A</v>
        <stp/>
        <stp>BDP|470071603154905607</stp>
        <tr r="A1056" s="2"/>
      </tp>
      <tp t="s">
        <v>#N/A N/A</v>
        <stp/>
        <stp>BDP|600498204352780454</stp>
        <tr r="D2185" s="2"/>
      </tp>
      <tp t="s">
        <v>#N/A N/A</v>
        <stp/>
        <stp>BDP|880544245624627752</stp>
        <tr r="R1554" s="2"/>
      </tp>
      <tp t="s">
        <v>#N/A N/A</v>
        <stp/>
        <stp>BDP|546186170882733606</stp>
        <tr r="G1960" s="2"/>
      </tp>
      <tp t="s">
        <v>#N/A N/A</v>
        <stp/>
        <stp>BDP|103324504656988746</stp>
        <tr r="O2188" s="2"/>
      </tp>
      <tp t="s">
        <v>#N/A N/A</v>
        <stp/>
        <stp>BDP|665259527993932179</stp>
        <tr r="E882" s="2"/>
      </tp>
      <tp t="s">
        <v>#N/A N/A</v>
        <stp/>
        <stp>BDP|319720748081156028</stp>
        <tr r="D1794" s="2"/>
      </tp>
      <tp t="s">
        <v>#N/A N/A</v>
        <stp/>
        <stp>BDP|945764946122218313</stp>
        <tr r="E234" s="2"/>
      </tp>
      <tp t="s">
        <v>#N/A N/A</v>
        <stp/>
        <stp>BDP|653611856788970925</stp>
        <tr r="Q1132" s="2"/>
      </tp>
      <tp t="s">
        <v>#N/A N/A</v>
        <stp/>
        <stp>BDS|364516419397415154</stp>
        <tr r="I246" s="2"/>
      </tp>
      <tp t="s">
        <v>#N/A N/A</v>
        <stp/>
        <stp>BDP|211536355020818263</stp>
        <tr r="S862" s="2"/>
      </tp>
      <tp t="s">
        <v>#N/A N/A</v>
        <stp/>
        <stp>BDP|663733735653397580</stp>
        <tr r="E775" s="2"/>
      </tp>
      <tp t="s">
        <v>#N/A N/A</v>
        <stp/>
        <stp>BDP|205922039571576979</stp>
        <tr r="J284" s="2"/>
      </tp>
      <tp t="s">
        <v>#N/A N/A</v>
        <stp/>
        <stp>BDP|866884338870126921</stp>
        <tr r="D447" s="2"/>
      </tp>
      <tp t="s">
        <v>#N/A N/A</v>
        <stp/>
        <stp>BDP|109190822157941687</stp>
        <tr r="J1749" s="2"/>
      </tp>
      <tp t="s">
        <v>#N/A N/A</v>
        <stp/>
        <stp>BDP|869270751984680135</stp>
        <tr r="Q251" s="2"/>
      </tp>
      <tp t="s">
        <v>#N/A N/A</v>
        <stp/>
        <stp>BDP|979440831692426730</stp>
        <tr r="R37" s="2"/>
      </tp>
      <tp t="s">
        <v>#N/A N/A</v>
        <stp/>
        <stp>BDP|330257105246025680</stp>
        <tr r="A849" s="2"/>
      </tp>
      <tp t="s">
        <v>#N/A N/A</v>
        <stp/>
        <stp>BDS|799296991048354182</stp>
        <tr r="I386" s="2"/>
      </tp>
      <tp t="s">
        <v>#N/A N/A</v>
        <stp/>
        <stp>BDP|569689398295773863</stp>
        <tr r="N1481" s="2"/>
      </tp>
      <tp t="s">
        <v>#N/A N/A</v>
        <stp/>
        <stp>BDP|159952916058381250</stp>
        <tr r="Q441" s="2"/>
      </tp>
      <tp t="s">
        <v>#N/A N/A</v>
        <stp/>
        <stp>BDP|202196911026853460</stp>
        <tr r="C203" s="2"/>
      </tp>
      <tp t="s">
        <v>#N/A N/A</v>
        <stp/>
        <stp>BDP|495005819554198783</stp>
        <tr r="K240" s="2"/>
      </tp>
      <tp t="s">
        <v>#N/A N/A</v>
        <stp/>
        <stp>BDP|175778735156467038</stp>
        <tr r="P453" s="2"/>
      </tp>
      <tp t="s">
        <v>#N/A N/A</v>
        <stp/>
        <stp>BDP|707012894859540238</stp>
        <tr r="M963" s="2"/>
      </tp>
      <tp t="s">
        <v>#N/A N/A</v>
        <stp/>
        <stp>BDP|890743893735345993</stp>
        <tr r="N1649" s="2"/>
      </tp>
      <tp t="s">
        <v>#N/A N/A</v>
        <stp/>
        <stp>BDP|190479005485194376</stp>
        <tr r="O1907" s="2"/>
      </tp>
      <tp t="s">
        <v>#N/A N/A</v>
        <stp/>
        <stp>BDP|159592479290093042</stp>
        <tr r="O1108" s="2"/>
      </tp>
      <tp t="s">
        <v>#N/A N/A</v>
        <stp/>
        <stp>BDP|292948698115370788</stp>
        <tr r="R2145" s="2"/>
      </tp>
      <tp t="s">
        <v>#N/A N/A</v>
        <stp/>
        <stp>BDP|601400093729621669</stp>
        <tr r="T1642" s="2"/>
      </tp>
      <tp t="s">
        <v>#N/A N/A</v>
        <stp/>
        <stp>BDP|523647798678466588</stp>
        <tr r="A1645" s="2"/>
      </tp>
      <tp t="s">
        <v>#N/A N/A</v>
        <stp/>
        <stp>BDP|313334709367913655</stp>
        <tr r="C1886" s="2"/>
      </tp>
      <tp t="s">
        <v>#N/A N/A</v>
        <stp/>
        <stp>BDS|503507880776927991</stp>
        <tr r="I620" s="2"/>
      </tp>
      <tp t="s">
        <v>#N/A N/A</v>
        <stp/>
        <stp>BDP|154384721731508280</stp>
        <tr r="A1256" s="2"/>
      </tp>
      <tp t="s">
        <v>#N/A N/A</v>
        <stp/>
        <stp>BDP|141620413344249174</stp>
        <tr r="P1316" s="2"/>
      </tp>
      <tp t="s">
        <v>#N/A N/A</v>
        <stp/>
        <stp>BDP|118912704133521847</stp>
        <tr r="C343" s="2"/>
      </tp>
      <tp t="s">
        <v>#N/A N/A</v>
        <stp/>
        <stp>BDP|617265041052200660</stp>
        <tr r="T933" s="2"/>
      </tp>
      <tp t="s">
        <v>#N/A N/A</v>
        <stp/>
        <stp>BDP|270100754555091301</stp>
        <tr r="K1383" s="2"/>
      </tp>
      <tp t="s">
        <v>#N/A N/A</v>
        <stp/>
        <stp>BDP|132438212354572337</stp>
        <tr r="C1997" s="2"/>
      </tp>
      <tp t="s">
        <v>#N/A N/A</v>
        <stp/>
        <stp>BDP|281860991347317404</stp>
        <tr r="J1316" s="2"/>
      </tp>
      <tp t="s">
        <v>#N/A N/A</v>
        <stp/>
        <stp>BDP|581750698668658484</stp>
        <tr r="C1788" s="2"/>
      </tp>
      <tp t="s">
        <v>#N/A N/A</v>
        <stp/>
        <stp>BDP|605315293449080125</stp>
        <tr r="D1655" s="2"/>
      </tp>
      <tp t="s">
        <v>#N/A N/A</v>
        <stp/>
        <stp>BDP|944639194929000488</stp>
        <tr r="F2154" s="2"/>
      </tp>
      <tp t="s">
        <v>#N/A N/A</v>
        <stp/>
        <stp>BDP|153062724017171742</stp>
        <tr r="A1610" s="2"/>
      </tp>
      <tp t="s">
        <v>#N/A N/A</v>
        <stp/>
        <stp>BDP|209132930531344140</stp>
        <tr r="N741" s="2"/>
      </tp>
      <tp t="s">
        <v>#N/A N/A</v>
        <stp/>
        <stp>BDP|820003426207144793</stp>
        <tr r="T993" s="2"/>
      </tp>
      <tp t="s">
        <v>#N/A N/A</v>
        <stp/>
        <stp>BDP|554165874954295035</stp>
        <tr r="P1845" s="2"/>
      </tp>
      <tp t="s">
        <v>#N/A N/A</v>
        <stp/>
        <stp>BDP|843586805863577475</stp>
        <tr r="H1387" s="2"/>
      </tp>
      <tp t="s">
        <v>#N/A N/A</v>
        <stp/>
        <stp>BDP|526514475889763914</stp>
        <tr r="E666" s="2"/>
      </tp>
      <tp t="s">
        <v>#N/A N/A</v>
        <stp/>
        <stp>BDP|626174055570423673</stp>
        <tr r="J717" s="2"/>
      </tp>
      <tp t="s">
        <v>#N/A N/A</v>
        <stp/>
        <stp>BDP|317704553895282556</stp>
        <tr r="T50" s="2"/>
      </tp>
      <tp t="s">
        <v>#N/A N/A</v>
        <stp/>
        <stp>BDP|263624034060549760</stp>
        <tr r="F290" s="2"/>
      </tp>
      <tp t="s">
        <v>#N/A N/A</v>
        <stp/>
        <stp>BDP|947875628140547843</stp>
        <tr r="A1654" s="2"/>
      </tp>
      <tp t="s">
        <v>#N/A N/A</v>
        <stp/>
        <stp>BDS|400266552431340441</stp>
        <tr r="I962" s="2"/>
      </tp>
      <tp t="s">
        <v>#N/A N/A</v>
        <stp/>
        <stp>BDP|421591058497044526</stp>
        <tr r="N492" s="2"/>
      </tp>
      <tp t="s">
        <v>#N/A N/A</v>
        <stp/>
        <stp>BDP|395750624930382712</stp>
        <tr r="J1787" s="2"/>
      </tp>
      <tp t="s">
        <v>#N/A N/A</v>
        <stp/>
        <stp>BDP|682611596324920982</stp>
        <tr r="Q1771" s="2"/>
      </tp>
      <tp t="s">
        <v>#N/A N/A</v>
        <stp/>
        <stp>BDP|145944980257337469</stp>
        <tr r="H486" s="2"/>
      </tp>
      <tp t="s">
        <v>#N/A N/A</v>
        <stp/>
        <stp>BDS|277906348737995837</stp>
        <tr r="I219" s="2"/>
      </tp>
      <tp t="s">
        <v>#N/A N/A</v>
        <stp/>
        <stp>BDP|136481206426914068</stp>
        <tr r="P1558" s="2"/>
      </tp>
      <tp t="s">
        <v>#N/A N/A</v>
        <stp/>
        <stp>BDP|202479336896754349</stp>
        <tr r="O382" s="2"/>
      </tp>
      <tp t="s">
        <v>#N/A N/A</v>
        <stp/>
        <stp>BDP|727115416787359534</stp>
        <tr r="Q1340" s="2"/>
      </tp>
      <tp t="s">
        <v>#N/A N/A</v>
        <stp/>
        <stp>BDP|539521023562727732</stp>
        <tr r="E344" s="2"/>
      </tp>
      <tp t="s">
        <v>#N/A N/A</v>
        <stp/>
        <stp>BDP|524133822651403000</stp>
        <tr r="T1364" s="2"/>
      </tp>
      <tp t="s">
        <v>#N/A N/A</v>
        <stp/>
        <stp>BDP|298771760963069050</stp>
        <tr r="E535" s="2"/>
      </tp>
      <tp t="s">
        <v>#N/A N/A</v>
        <stp/>
        <stp>BDP|103006290233335820</stp>
        <tr r="D1089" s="2"/>
      </tp>
      <tp t="s">
        <v>#N/A N/A</v>
        <stp/>
        <stp>BDP|405804726250265805</stp>
        <tr r="C1561" s="2"/>
      </tp>
      <tp t="s">
        <v>#N/A N/A</v>
        <stp/>
        <stp>BDP|952807714552447996</stp>
        <tr r="F1711" s="2"/>
      </tp>
      <tp t="s">
        <v>#N/A N/A</v>
        <stp/>
        <stp>BDP|133469362276147656</stp>
        <tr r="S530" s="2"/>
      </tp>
      <tp t="s">
        <v>#N/A N/A</v>
        <stp/>
        <stp>BDP|244322138151844319</stp>
        <tr r="G1169" s="2"/>
      </tp>
      <tp t="s">
        <v>#N/A N/A</v>
        <stp/>
        <stp>BDP|857697189395135989</stp>
        <tr r="D754" s="2"/>
      </tp>
      <tp t="s">
        <v>#N/A N/A</v>
        <stp/>
        <stp>BDP|253684032945845214</stp>
        <tr r="H1440" s="2"/>
      </tp>
      <tp t="s">
        <v>#N/A N/A</v>
        <stp/>
        <stp>BDP|686737145891099010</stp>
        <tr r="N1431" s="2"/>
      </tp>
      <tp t="s">
        <v>#N/A N/A</v>
        <stp/>
        <stp>BDP|611290778500337754</stp>
        <tr r="G803" s="2"/>
      </tp>
      <tp t="s">
        <v>#N/A N/A</v>
        <stp/>
        <stp>BDP|970697812392668752</stp>
        <tr r="J446" s="2"/>
      </tp>
      <tp t="s">
        <v>#N/A N/A</v>
        <stp/>
        <stp>BDP|562710347396209702</stp>
        <tr r="A1522" s="2"/>
      </tp>
      <tp t="s">
        <v>#N/A N/A</v>
        <stp/>
        <stp>BDP|322001055393513425</stp>
        <tr r="K1966" s="2"/>
      </tp>
      <tp t="s">
        <v>#N/A N/A</v>
        <stp/>
        <stp>BDP|137867683117797529</stp>
        <tr r="A2080" s="2"/>
      </tp>
      <tp t="s">
        <v>#N/A N/A</v>
        <stp/>
        <stp>BDP|283024371590454576</stp>
        <tr r="D1634" s="2"/>
      </tp>
      <tp t="s">
        <v>#N/A N/A</v>
        <stp/>
        <stp>BDP|723451795946712921</stp>
        <tr r="S607" s="2"/>
      </tp>
      <tp t="s">
        <v>#N/A N/A</v>
        <stp/>
        <stp>BDP|470059542107101105</stp>
        <tr r="P554" s="2"/>
      </tp>
      <tp t="s">
        <v>#N/A N/A</v>
        <stp/>
        <stp>BDP|708648742720768040</stp>
        <tr r="H169" s="2"/>
      </tp>
      <tp t="s">
        <v>#N/A N/A</v>
        <stp/>
        <stp>BDS|208121641996702141</stp>
        <tr r="I35" s="2"/>
      </tp>
      <tp t="s">
        <v>#N/A N/A</v>
        <stp/>
        <stp>BDP|754468217525419206</stp>
        <tr r="R1172" s="2"/>
      </tp>
      <tp t="s">
        <v>#N/A N/A</v>
        <stp/>
        <stp>BDP|162423936755442035</stp>
        <tr r="R82" s="2"/>
      </tp>
      <tp t="s">
        <v>#N/A N/A</v>
        <stp/>
        <stp>BDP|365238413230438159</stp>
        <tr r="P436" s="2"/>
      </tp>
      <tp t="s">
        <v>#N/A N/A</v>
        <stp/>
        <stp>BDP|895405694836733991</stp>
        <tr r="T1139" s="2"/>
      </tp>
      <tp t="s">
        <v>#N/A N/A</v>
        <stp/>
        <stp>BDP|770723620403074471</stp>
        <tr r="D577" s="2"/>
      </tp>
      <tp t="s">
        <v>#N/A N/A</v>
        <stp/>
        <stp>BDP|895237367563852575</stp>
        <tr r="D198" s="2"/>
      </tp>
      <tp t="s">
        <v>#N/A N/A</v>
        <stp/>
        <stp>BDP|381960204358152336</stp>
        <tr r="G615" s="2"/>
      </tp>
      <tp t="s">
        <v>#N/A N/A</v>
        <stp/>
        <stp>BDP|636439902273169557</stp>
        <tr r="T2017" s="2"/>
      </tp>
      <tp t="s">
        <v>#N/A N/A</v>
        <stp/>
        <stp>BDP|964183706061583214</stp>
        <tr r="K379" s="2"/>
      </tp>
      <tp t="s">
        <v>#N/A N/A</v>
        <stp/>
        <stp>BDP|887608859246370718</stp>
        <tr r="P1233" s="2"/>
      </tp>
      <tp t="s">
        <v>#N/A N/A</v>
        <stp/>
        <stp>BDS|278951996451082329</stp>
        <tr r="I1949" s="2"/>
      </tp>
      <tp t="s">
        <v>#N/A N/A</v>
        <stp/>
        <stp>BDP|405686670704800770</stp>
        <tr r="N2215" s="2"/>
      </tp>
      <tp t="s">
        <v>#N/A N/A</v>
        <stp/>
        <stp>BDP|529777685479117456</stp>
        <tr r="N1660" s="2"/>
      </tp>
      <tp t="s">
        <v>#N/A N/A</v>
        <stp/>
        <stp>BDP|758671430741540662</stp>
        <tr r="J2222" s="2"/>
      </tp>
      <tp t="s">
        <v>#N/A N/A</v>
        <stp/>
        <stp>BDP|114735506998102297</stp>
        <tr r="M1220" s="2"/>
      </tp>
      <tp t="s">
        <v>#N/A N/A</v>
        <stp/>
        <stp>BDP|813520251958013573</stp>
        <tr r="A990" s="2"/>
      </tp>
      <tp t="s">
        <v>#N/A N/A</v>
        <stp/>
        <stp>BDP|981877548481376097</stp>
        <tr r="H1677" s="2"/>
      </tp>
      <tp t="s">
        <v>#N/A N/A</v>
        <stp/>
        <stp>BDP|621620985824897758</stp>
        <tr r="J1377" s="2"/>
      </tp>
      <tp t="s">
        <v>#N/A N/A</v>
        <stp/>
        <stp>BDP|338594379968960766</stp>
        <tr r="P130" s="2"/>
      </tp>
      <tp t="s">
        <v>#N/A N/A</v>
        <stp/>
        <stp>BDP|991355309367071997</stp>
        <tr r="F966" s="2"/>
      </tp>
      <tp t="s">
        <v>#N/A N/A</v>
        <stp/>
        <stp>BDP|610802898594101834</stp>
        <tr r="Q1238" s="2"/>
      </tp>
      <tp t="s">
        <v>#N/A N/A</v>
        <stp/>
        <stp>BDP|951625096662450053</stp>
        <tr r="J451" s="2"/>
      </tp>
      <tp t="s">
        <v>#N/A N/A</v>
        <stp/>
        <stp>BDP|580189806115163963</stp>
        <tr r="S948" s="2"/>
      </tp>
      <tp t="s">
        <v>#N/A N/A</v>
        <stp/>
        <stp>BDP|703495491928728854</stp>
        <tr r="K625" s="2"/>
      </tp>
      <tp t="s">
        <v>#N/A N/A</v>
        <stp/>
        <stp>BDP|189888526850204701</stp>
        <tr r="H1205" s="2"/>
      </tp>
      <tp t="s">
        <v>#N/A N/A</v>
        <stp/>
        <stp>BDP|661862472456709481</stp>
        <tr r="A1209" s="2"/>
      </tp>
      <tp t="s">
        <v>#N/A N/A</v>
        <stp/>
        <stp>BDP|505940777237319485</stp>
        <tr r="G904" s="2"/>
      </tp>
      <tp t="s">
        <v>#N/A N/A</v>
        <stp/>
        <stp>BDP|954420480612122375</stp>
        <tr r="P2152" s="2"/>
      </tp>
      <tp t="s">
        <v>#N/A N/A</v>
        <stp/>
        <stp>BDP|837557662929659776</stp>
        <tr r="S1709" s="2"/>
      </tp>
      <tp t="s">
        <v>#N/A N/A</v>
        <stp/>
        <stp>BDP|408288434609353554</stp>
        <tr r="A1798" s="2"/>
      </tp>
      <tp t="s">
        <v>#N/A N/A</v>
        <stp/>
        <stp>BDP|590882142503679274</stp>
        <tr r="S646" s="2"/>
      </tp>
      <tp t="s">
        <v>#N/A N/A</v>
        <stp/>
        <stp>BDP|201692170788542403</stp>
        <tr r="P2041" s="2"/>
      </tp>
      <tp t="s">
        <v>#N/A N/A</v>
        <stp/>
        <stp>BDP|137549428199700348</stp>
        <tr r="N1392" s="2"/>
      </tp>
      <tp t="s">
        <v>#N/A N/A</v>
        <stp/>
        <stp>BDP|857385265679223193</stp>
        <tr r="R565" s="2"/>
      </tp>
      <tp t="s">
        <v>#N/A N/A</v>
        <stp/>
        <stp>BDP|938556982288079804</stp>
        <tr r="A1592" s="2"/>
      </tp>
      <tp t="s">
        <v>#N/A N/A</v>
        <stp/>
        <stp>BDP|474891875200192266</stp>
        <tr r="J1838" s="2"/>
      </tp>
      <tp t="s">
        <v>#N/A N/A</v>
        <stp/>
        <stp>BDP|447958859714203553</stp>
        <tr r="E1215" s="2"/>
      </tp>
      <tp t="s">
        <v>#N/A N/A</v>
        <stp/>
        <stp>BDP|270685909653833845</stp>
        <tr r="P620" s="2"/>
      </tp>
      <tp t="s">
        <v>#N/A N/A</v>
        <stp/>
        <stp>BDP|393448458805429948</stp>
        <tr r="D1579" s="2"/>
      </tp>
      <tp t="s">
        <v>#N/A N/A</v>
        <stp/>
        <stp>BDP|887899371032907060</stp>
        <tr r="A48" s="2"/>
      </tp>
      <tp t="s">
        <v>#N/A N/A</v>
        <stp/>
        <stp>BDP|697738648498218603</stp>
        <tr r="E2080" s="2"/>
      </tp>
      <tp t="s">
        <v>#N/A N/A</v>
        <stp/>
        <stp>BDP|303241682451307690</stp>
        <tr r="G1129" s="2"/>
      </tp>
      <tp t="s">
        <v>#N/A N/A</v>
        <stp/>
        <stp>BDP|281990380099517561</stp>
        <tr r="Q831" s="2"/>
      </tp>
      <tp t="s">
        <v>#N/A N/A</v>
        <stp/>
        <stp>BDP|596230718716253847</stp>
        <tr r="Q92" s="2"/>
      </tp>
      <tp t="s">
        <v>#N/A N/A</v>
        <stp/>
        <stp>BDP|804031495094759019</stp>
        <tr r="C138" s="2"/>
      </tp>
      <tp t="s">
        <v>#N/A N/A</v>
        <stp/>
        <stp>BDP|332096053650640877</stp>
        <tr r="H1809" s="2"/>
      </tp>
      <tp t="s">
        <v>#N/A N/A</v>
        <stp/>
        <stp>BDP|443355214098441793</stp>
        <tr r="G1118" s="2"/>
      </tp>
      <tp t="s">
        <v>#N/A N/A</v>
        <stp/>
        <stp>BDP|922489582917971622</stp>
        <tr r="D331" s="2"/>
      </tp>
      <tp t="s">
        <v>#N/A N/A</v>
        <stp/>
        <stp>BDP|530434412580829844</stp>
        <tr r="J370" s="2"/>
      </tp>
      <tp t="s">
        <v>#N/A N/A</v>
        <stp/>
        <stp>BDP|624712726680051888</stp>
        <tr r="A910" s="2"/>
      </tp>
      <tp t="s">
        <v>#N/A N/A</v>
        <stp/>
        <stp>BDS|966452306881347801</stp>
        <tr r="I32" s="2"/>
      </tp>
      <tp t="s">
        <v>#N/A N/A</v>
        <stp/>
        <stp>BDP|622313669819774107</stp>
        <tr r="H1794" s="2"/>
      </tp>
      <tp t="s">
        <v>#N/A N/A</v>
        <stp/>
        <stp>BDP|861900644254688432</stp>
        <tr r="Q998" s="2"/>
      </tp>
      <tp t="s">
        <v>#N/A N/A</v>
        <stp/>
        <stp>BDP|168413941579824439</stp>
        <tr r="J1319" s="2"/>
      </tp>
      <tp t="s">
        <v>#N/A N/A</v>
        <stp/>
        <stp>BDP|886609886711178255</stp>
        <tr r="M394" s="2"/>
      </tp>
      <tp t="s">
        <v>#N/A N/A</v>
        <stp/>
        <stp>BDP|329889081119255436</stp>
        <tr r="C1722" s="2"/>
      </tp>
      <tp t="s">
        <v>#N/A N/A</v>
        <stp/>
        <stp>BDP|305480361409958688</stp>
        <tr r="P2202" s="2"/>
      </tp>
      <tp t="s">
        <v>#N/A N/A</v>
        <stp/>
        <stp>BDP|976181185357729384</stp>
        <tr r="N1332" s="2"/>
      </tp>
      <tp t="s">
        <v>#N/A N/A</v>
        <stp/>
        <stp>BDP|920962566652300016</stp>
        <tr r="N789" s="2"/>
      </tp>
      <tp t="s">
        <v>#N/A N/A</v>
        <stp/>
        <stp>BDP|174096340011179822</stp>
        <tr r="Q2039" s="2"/>
      </tp>
      <tp t="s">
        <v>#N/A N/A</v>
        <stp/>
        <stp>BDP|184004309499834440</stp>
        <tr r="C1717" s="2"/>
      </tp>
      <tp t="s">
        <v>#N/A N/A</v>
        <stp/>
        <stp>BDP|532366726705814998</stp>
        <tr r="S807" s="2"/>
      </tp>
      <tp t="s">
        <v>#N/A N/A</v>
        <stp/>
        <stp>BDP|721154990595496022</stp>
        <tr r="D1823" s="2"/>
      </tp>
      <tp t="s">
        <v>#N/A N/A</v>
        <stp/>
        <stp>BDP|521330820329516577</stp>
        <tr r="S1482" s="2"/>
      </tp>
      <tp t="s">
        <v>#N/A N/A</v>
        <stp/>
        <stp>BDP|387901951110643108</stp>
        <tr r="G2020" s="2"/>
      </tp>
      <tp t="s">
        <v>#N/A N/A</v>
        <stp/>
        <stp>BDP|739116610794337908</stp>
        <tr r="F2228" s="2"/>
      </tp>
      <tp t="s">
        <v>#N/A N/A</v>
        <stp/>
        <stp>BDP|218379309298859613</stp>
        <tr r="G643" s="2"/>
      </tp>
      <tp t="s">
        <v>#N/A N/A</v>
        <stp/>
        <stp>BDP|859092147309614059</stp>
        <tr r="K679" s="2"/>
      </tp>
      <tp t="s">
        <v>#N/A N/A</v>
        <stp/>
        <stp>BDP|139549685636702621</stp>
        <tr r="G2087" s="2"/>
      </tp>
      <tp t="s">
        <v>#N/A N/A</v>
        <stp/>
        <stp>BDP|348483261576664996</stp>
        <tr r="Q1642" s="2"/>
      </tp>
      <tp t="s">
        <v>#N/A N/A</v>
        <stp/>
        <stp>BDP|927049548940534953</stp>
        <tr r="P313" s="2"/>
      </tp>
      <tp t="s">
        <v>#N/A N/A</v>
        <stp/>
        <stp>BDP|314015294307650353</stp>
        <tr r="P1689" s="2"/>
      </tp>
      <tp t="s">
        <v>#N/A N/A</v>
        <stp/>
        <stp>BDP|118942133050460772</stp>
        <tr r="N346" s="2"/>
      </tp>
      <tp t="s">
        <v>#N/A N/A</v>
        <stp/>
        <stp>BDP|259807054476024631</stp>
        <tr r="K923" s="2"/>
      </tp>
      <tp t="s">
        <v>#N/A N/A</v>
        <stp/>
        <stp>BDP|386547691281653063</stp>
        <tr r="J412" s="2"/>
      </tp>
      <tp t="s">
        <v>#N/A N/A</v>
        <stp/>
        <stp>BDP|656112841051581951</stp>
        <tr r="G193" s="2"/>
      </tp>
      <tp t="s">
        <v>#N/A N/A</v>
        <stp/>
        <stp>BDP|400166309058401498</stp>
        <tr r="D970" s="2"/>
      </tp>
      <tp t="s">
        <v>#N/A N/A</v>
        <stp/>
        <stp>BDP|889880044592667345</stp>
        <tr r="A1867" s="2"/>
      </tp>
      <tp t="s">
        <v>#N/A N/A</v>
        <stp/>
        <stp>BDP|493138463128089227</stp>
        <tr r="N581" s="2"/>
      </tp>
      <tp t="s">
        <v>#N/A N/A</v>
        <stp/>
        <stp>BDP|342310692184059360</stp>
        <tr r="G774" s="2"/>
      </tp>
      <tp t="s">
        <v>#N/A N/A</v>
        <stp/>
        <stp>BDP|957036096484942034</stp>
        <tr r="A1943" s="2"/>
      </tp>
      <tp t="s">
        <v>#N/A N/A</v>
        <stp/>
        <stp>BDP|305277693142207433</stp>
        <tr r="J336" s="2"/>
      </tp>
      <tp t="s">
        <v>#N/A N/A</v>
        <stp/>
        <stp>BDP|377250392134120231</stp>
        <tr r="A765" s="2"/>
      </tp>
      <tp t="s">
        <v>#N/A N/A</v>
        <stp/>
        <stp>BDP|597374440123371961</stp>
        <tr r="S588" s="2"/>
      </tp>
      <tp t="s">
        <v>#N/A N/A</v>
        <stp/>
        <stp>BDP|525162155880348920</stp>
        <tr r="T64" s="2"/>
      </tp>
      <tp t="s">
        <v>#N/A N/A</v>
        <stp/>
        <stp>BDP|193226834625336938</stp>
        <tr r="T1169" s="2"/>
      </tp>
      <tp t="s">
        <v>#N/A N/A</v>
        <stp/>
        <stp>BDS|679995927857828179</stp>
        <tr r="I857" s="2"/>
      </tp>
      <tp t="s">
        <v>#N/A N/A</v>
        <stp/>
        <stp>BDP|956580991772418334</stp>
        <tr r="A1067" s="2"/>
      </tp>
      <tp t="s">
        <v>#N/A N/A</v>
        <stp/>
        <stp>BDP|707841554081560129</stp>
        <tr r="N1721" s="2"/>
      </tp>
      <tp t="s">
        <v>#N/A N/A</v>
        <stp/>
        <stp>BDP|779446168849942623</stp>
        <tr r="N675" s="2"/>
      </tp>
      <tp t="s">
        <v>#N/A N/A</v>
        <stp/>
        <stp>BDP|322505852485589849</stp>
        <tr r="R897" s="2"/>
      </tp>
      <tp t="s">
        <v>#N/A N/A</v>
        <stp/>
        <stp>BDP|837690365389470404</stp>
        <tr r="T273" s="2"/>
      </tp>
      <tp t="s">
        <v>#N/A N/A</v>
        <stp/>
        <stp>BDP|101620954349759707</stp>
        <tr r="F851" s="2"/>
      </tp>
      <tp t="s">
        <v>#N/A N/A</v>
        <stp/>
        <stp>BDP|559358517767090875</stp>
        <tr r="D2111" s="2"/>
      </tp>
      <tp t="s">
        <v>#N/A N/A</v>
        <stp/>
        <stp>BDP|716923349538483888</stp>
        <tr r="F644" s="2"/>
      </tp>
      <tp t="s">
        <v>#N/A N/A</v>
        <stp/>
        <stp>BDP|221873455541077107</stp>
        <tr r="M82" s="2"/>
      </tp>
      <tp t="s">
        <v>#N/A N/A</v>
        <stp/>
        <stp>BDP|585708041308176651</stp>
        <tr r="E2092" s="2"/>
      </tp>
      <tp t="s">
        <v>#N/A N/A</v>
        <stp/>
        <stp>BDP|871777344916345888</stp>
        <tr r="M1463" s="2"/>
      </tp>
      <tp t="s">
        <v>#N/A N/A</v>
        <stp/>
        <stp>BDP|329810730023092531</stp>
        <tr r="R826" s="2"/>
      </tp>
      <tp t="s">
        <v>#N/A N/A</v>
        <stp/>
        <stp>BDP|643681664978963522</stp>
        <tr r="E1530" s="2"/>
      </tp>
      <tp t="s">
        <v>#N/A N/A</v>
        <stp/>
        <stp>BDP|323886043890176185</stp>
        <tr r="K335" s="2"/>
      </tp>
      <tp t="s">
        <v>#N/A N/A</v>
        <stp/>
        <stp>BDP|166343885831903782</stp>
        <tr r="A1158" s="2"/>
      </tp>
      <tp t="s">
        <v>#N/A N/A</v>
        <stp/>
        <stp>BDP|557105213049255459</stp>
        <tr r="Q1521" s="2"/>
      </tp>
      <tp t="s">
        <v>#N/A N/A</v>
        <stp/>
        <stp>BDP|661914948049860967</stp>
        <tr r="N2131" s="2"/>
      </tp>
      <tp t="s">
        <v>#N/A N/A</v>
        <stp/>
        <stp>BDS|421886890974927877</stp>
        <tr r="I1268" s="2"/>
      </tp>
      <tp t="s">
        <v>#N/A N/A</v>
        <stp/>
        <stp>BDP|285870260417029470</stp>
        <tr r="E1608" s="2"/>
      </tp>
      <tp t="s">
        <v>#N/A N/A</v>
        <stp/>
        <stp>BDP|176079416095601942</stp>
        <tr r="Q1513" s="2"/>
      </tp>
      <tp t="s">
        <v>#N/A N/A</v>
        <stp/>
        <stp>BDP|680259834415416916</stp>
        <tr r="E732" s="2"/>
      </tp>
      <tp t="s">
        <v>#N/A N/A</v>
        <stp/>
        <stp>BDP|613209794775291326</stp>
        <tr r="D128" s="2"/>
      </tp>
      <tp t="s">
        <v>#N/A N/A</v>
        <stp/>
        <stp>BDP|712296464959880007</stp>
        <tr r="K1168" s="2"/>
      </tp>
      <tp t="s">
        <v>#N/A N/A</v>
        <stp/>
        <stp>BDP|238436899957895722</stp>
        <tr r="T1682" s="2"/>
      </tp>
      <tp t="s">
        <v>#N/A N/A</v>
        <stp/>
        <stp>BDP|633998246762978236</stp>
        <tr r="C1596" s="2"/>
      </tp>
      <tp t="s">
        <v>#N/A N/A</v>
        <stp/>
        <stp>BDP|156736985060465207</stp>
        <tr r="S140" s="2"/>
      </tp>
      <tp t="s">
        <v>#N/A N/A</v>
        <stp/>
        <stp>BDP|957690193441240325</stp>
        <tr r="C2058" s="2"/>
      </tp>
      <tp t="s">
        <v>#N/A N/A</v>
        <stp/>
        <stp>BDP|105632191975727778</stp>
        <tr r="O1650" s="2"/>
      </tp>
      <tp t="s">
        <v>#N/A N/A</v>
        <stp/>
        <stp>BDP|650779061374831945</stp>
        <tr r="O871" s="2"/>
      </tp>
      <tp t="s">
        <v>#N/A N/A</v>
        <stp/>
        <stp>BDP|913545121209312239</stp>
        <tr r="T699" s="2"/>
      </tp>
      <tp t="s">
        <v>#N/A N/A</v>
        <stp/>
        <stp>BDP|133165186215804057</stp>
        <tr r="J1562" s="2"/>
      </tp>
      <tp t="s">
        <v>#N/A N/A</v>
        <stp/>
        <stp>BDS|401966018306236243</stp>
        <tr r="I77" s="2"/>
      </tp>
      <tp t="s">
        <v>#N/A N/A</v>
        <stp/>
        <stp>BDP|471515198381820189</stp>
        <tr r="C1093" s="2"/>
      </tp>
      <tp t="s">
        <v>#N/A N/A</v>
        <stp/>
        <stp>BDP|741830842442810239</stp>
        <tr r="H299" s="2"/>
      </tp>
      <tp t="s">
        <v>#N/A N/A</v>
        <stp/>
        <stp>BDP|905683217039987225</stp>
        <tr r="F140" s="2"/>
      </tp>
      <tp t="s">
        <v>#N/A N/A</v>
        <stp/>
        <stp>BDP|175823655468871934</stp>
        <tr r="C477" s="2"/>
      </tp>
      <tp t="s">
        <v>#N/A N/A</v>
        <stp/>
        <stp>BDP|920273477459135056</stp>
        <tr r="P1306" s="2"/>
      </tp>
      <tp t="s">
        <v>#N/A N/A</v>
        <stp/>
        <stp>BDP|521225142378900212</stp>
        <tr r="D46" s="2"/>
      </tp>
      <tp t="s">
        <v>#N/A N/A</v>
        <stp/>
        <stp>BDP|206551968518533772</stp>
        <tr r="A1571" s="2"/>
      </tp>
      <tp t="s">
        <v>#N/A N/A</v>
        <stp/>
        <stp>BDP|867328460101057842</stp>
        <tr r="P118" s="2"/>
      </tp>
      <tp t="s">
        <v>#N/A N/A</v>
        <stp/>
        <stp>BDP|200551785811521093</stp>
        <tr r="P327" s="2"/>
      </tp>
      <tp t="s">
        <v>#N/A N/A</v>
        <stp/>
        <stp>BDP|992297884544236281</stp>
        <tr r="H2183" s="2"/>
      </tp>
      <tp t="s">
        <v>#N/A N/A</v>
        <stp/>
        <stp>BDP|822991557185166594</stp>
        <tr r="S2009" s="2"/>
      </tp>
      <tp t="s">
        <v>#N/A N/A</v>
        <stp/>
        <stp>BDP|535285353412222920</stp>
        <tr r="E931" s="2"/>
      </tp>
      <tp t="s">
        <v>#N/A N/A</v>
        <stp/>
        <stp>BDP|616564983382529385</stp>
        <tr r="K1008" s="2"/>
      </tp>
      <tp t="s">
        <v>#N/A N/A</v>
        <stp/>
        <stp>BDP|223098407955470962</stp>
        <tr r="Q143" s="2"/>
      </tp>
      <tp t="s">
        <v>#N/A N/A</v>
        <stp/>
        <stp>BDP|659696171464662972</stp>
        <tr r="P199" s="2"/>
      </tp>
      <tp t="s">
        <v>#N/A N/A</v>
        <stp/>
        <stp>BDP|414908495164685883</stp>
        <tr r="Q9" s="2"/>
      </tp>
      <tp t="s">
        <v>#N/A N/A</v>
        <stp/>
        <stp>BDP|382971847691805049</stp>
        <tr r="T2152" s="2"/>
      </tp>
      <tp t="s">
        <v>#N/A N/A</v>
        <stp/>
        <stp>BDP|657069789807577349</stp>
        <tr r="F162" s="2"/>
      </tp>
      <tp t="s">
        <v>#N/A N/A</v>
        <stp/>
        <stp>BDP|590756899643271132</stp>
        <tr r="P748" s="2"/>
      </tp>
      <tp t="s">
        <v>#N/A N/A</v>
        <stp/>
        <stp>BDP|950869834436094130</stp>
        <tr r="Q15" s="2"/>
      </tp>
      <tp t="s">
        <v>#N/A N/A</v>
        <stp/>
        <stp>BDP|574493816298032123</stp>
        <tr r="G735" s="2"/>
      </tp>
      <tp t="s">
        <v>#N/A N/A</v>
        <stp/>
        <stp>BDP|220457986084916400</stp>
        <tr r="J1643" s="2"/>
      </tp>
      <tp t="s">
        <v>#N/A N/A</v>
        <stp/>
        <stp>BDP|329389703537449851</stp>
        <tr r="E570" s="2"/>
      </tp>
      <tp t="s">
        <v>#N/A N/A</v>
        <stp/>
        <stp>BDP|634468394285409496</stp>
        <tr r="G1873" s="2"/>
      </tp>
      <tp t="s">
        <v>#N/A N/A</v>
        <stp/>
        <stp>BDP|898606444176652836</stp>
        <tr r="N759" s="2"/>
      </tp>
      <tp t="s">
        <v>#N/A N/A</v>
        <stp/>
        <stp>BDP|168390786493536427</stp>
        <tr r="C2061" s="2"/>
      </tp>
      <tp t="s">
        <v>#N/A N/A</v>
        <stp/>
        <stp>BDP|738079626979882742</stp>
        <tr r="R809" s="2"/>
      </tp>
      <tp t="s">
        <v>#N/A N/A</v>
        <stp/>
        <stp>BDP|250133918958759443</stp>
        <tr r="O417" s="2"/>
      </tp>
      <tp t="s">
        <v>#N/A N/A</v>
        <stp/>
        <stp>BDP|932140647009142019</stp>
        <tr r="K2034" s="2"/>
      </tp>
      <tp t="s">
        <v>#N/A N/A</v>
        <stp/>
        <stp>BDP|652866479255156628</stp>
        <tr r="Q283" s="2"/>
      </tp>
      <tp t="s">
        <v>#N/A N/A</v>
        <stp/>
        <stp>BDP|352412848684938890</stp>
        <tr r="D403" s="2"/>
      </tp>
      <tp t="s">
        <v>#N/A N/A</v>
        <stp/>
        <stp>BDP|213976816452116681</stp>
        <tr r="O1509" s="2"/>
      </tp>
      <tp t="s">
        <v>#N/A N/A</v>
        <stp/>
        <stp>BDP|726215664408148096</stp>
        <tr r="Q976" s="2"/>
      </tp>
      <tp t="s">
        <v>#N/A N/A</v>
        <stp/>
        <stp>BDP|245336179379172133</stp>
        <tr r="A1514" s="2"/>
      </tp>
      <tp t="s">
        <v>#N/A N/A</v>
        <stp/>
        <stp>BDP|737037546980076896</stp>
        <tr r="M1319" s="2"/>
      </tp>
      <tp t="s">
        <v>#N/A N/A</v>
        <stp/>
        <stp>BDP|757706789472080153</stp>
        <tr r="H1525" s="2"/>
      </tp>
      <tp t="s">
        <v>#N/A N/A</v>
        <stp/>
        <stp>BDP|894693936870480988</stp>
        <tr r="C1838" s="2"/>
      </tp>
      <tp t="s">
        <v>#N/A N/A</v>
        <stp/>
        <stp>BDP|713884643531128161</stp>
        <tr r="H1293" s="2"/>
      </tp>
      <tp t="s">
        <v>#N/A N/A</v>
        <stp/>
        <stp>BDP|641934879490505227</stp>
        <tr r="F1157" s="2"/>
      </tp>
      <tp t="s">
        <v>#N/A N/A</v>
        <stp/>
        <stp>BDP|955880242177944713</stp>
        <tr r="H1712" s="2"/>
      </tp>
      <tp t="s">
        <v>#N/A N/A</v>
        <stp/>
        <stp>BDP|811157087882699776</stp>
        <tr r="C1362" s="2"/>
      </tp>
      <tp t="s">
        <v>#N/A N/A</v>
        <stp/>
        <stp>BDP|108828518450086502</stp>
        <tr r="S289" s="2"/>
      </tp>
      <tp t="s">
        <v>#N/A N/A</v>
        <stp/>
        <stp>BDP|252815318766762376</stp>
        <tr r="T1704" s="2"/>
      </tp>
      <tp t="s">
        <v>#N/A N/A</v>
        <stp/>
        <stp>BDP|717376048243598897</stp>
        <tr r="G2219" s="2"/>
      </tp>
      <tp t="s">
        <v>#N/A N/A</v>
        <stp/>
        <stp>BDP|357149683410184516</stp>
        <tr r="G925" s="2"/>
      </tp>
      <tp t="s">
        <v>#N/A N/A</v>
        <stp/>
        <stp>BDP|501750862304457921</stp>
        <tr r="A35" s="2"/>
      </tp>
      <tp t="s">
        <v>#N/A N/A</v>
        <stp/>
        <stp>BDP|470071580757662310</stp>
        <tr r="E2071" s="2"/>
      </tp>
      <tp t="s">
        <v>#N/A N/A</v>
        <stp/>
        <stp>BDP|117452872709368615</stp>
        <tr r="E1557" s="2"/>
      </tp>
      <tp t="s">
        <v>#N/A N/A</v>
        <stp/>
        <stp>BDP|391296024618319480</stp>
        <tr r="G1172" s="2"/>
      </tp>
      <tp t="s">
        <v>#N/A N/A</v>
        <stp/>
        <stp>BDP|597554380439024852</stp>
        <tr r="E1130" s="2"/>
      </tp>
      <tp t="s">
        <v>#N/A N/A</v>
        <stp/>
        <stp>BDP|444553043804146965</stp>
        <tr r="N1959" s="2"/>
      </tp>
      <tp t="s">
        <v>#N/A N/A</v>
        <stp/>
        <stp>BDP|819737680753849068</stp>
        <tr r="K386" s="2"/>
      </tp>
      <tp t="s">
        <v>#N/A N/A</v>
        <stp/>
        <stp>BDP|416336572448947094</stp>
        <tr r="Q1207" s="2"/>
      </tp>
      <tp t="s">
        <v>#N/A N/A</v>
        <stp/>
        <stp>BDP|778519804848270157</stp>
        <tr r="T249" s="2"/>
      </tp>
      <tp t="s">
        <v>#N/A N/A</v>
        <stp/>
        <stp>BDP|705427826169627303</stp>
        <tr r="D1018" s="2"/>
      </tp>
      <tp t="s">
        <v>#N/A N/A</v>
        <stp/>
        <stp>BDP|282196869653659819</stp>
        <tr r="J2157" s="2"/>
      </tp>
      <tp t="s">
        <v>#N/A N/A</v>
        <stp/>
        <stp>BDP|386798538758189054</stp>
        <tr r="P1431" s="2"/>
      </tp>
      <tp t="s">
        <v>#N/A N/A</v>
        <stp/>
        <stp>BDP|830902563764887755</stp>
        <tr r="E410" s="2"/>
      </tp>
      <tp t="s">
        <v>#N/A N/A</v>
        <stp/>
        <stp>BDP|399591860307949857</stp>
        <tr r="G263" s="2"/>
      </tp>
      <tp t="s">
        <v>#N/A N/A</v>
        <stp/>
        <stp>BDP|593597518030479861</stp>
        <tr r="F2025" s="2"/>
      </tp>
      <tp t="s">
        <v>#N/A N/A</v>
        <stp/>
        <stp>BDP|252162491557288314</stp>
        <tr r="S902" s="2"/>
      </tp>
      <tp t="s">
        <v>#N/A N/A</v>
        <stp/>
        <stp>BDP|878896726873423556</stp>
        <tr r="O211" s="2"/>
      </tp>
      <tp t="s">
        <v>#N/A N/A</v>
        <stp/>
        <stp>BDP|704271498923938478</stp>
        <tr r="E1965" s="2"/>
      </tp>
      <tp t="s">
        <v>#N/A N/A</v>
        <stp/>
        <stp>BDS|490790534571728989</stp>
        <tr r="I1514" s="2"/>
      </tp>
      <tp t="s">
        <v>#N/A N/A</v>
        <stp/>
        <stp>BDP|425344875738651051</stp>
        <tr r="K1905" s="2"/>
      </tp>
      <tp t="s">
        <v>#N/A N/A</v>
        <stp/>
        <stp>BDP|918593571976376854</stp>
        <tr r="S1358" s="2"/>
      </tp>
      <tp t="s">
        <v>#N/A N/A</v>
        <stp/>
        <stp>BDP|506898749094239403</stp>
        <tr r="K2074" s="2"/>
      </tp>
      <tp t="s">
        <v>#N/A N/A</v>
        <stp/>
        <stp>BDP|568795768034597964</stp>
        <tr r="O1299" s="2"/>
      </tp>
      <tp t="s">
        <v>#N/A N/A</v>
        <stp/>
        <stp>BDP|421976011286322266</stp>
        <tr r="R2107" s="2"/>
      </tp>
      <tp t="s">
        <v>#N/A N/A</v>
        <stp/>
        <stp>BDP|792500324262138958</stp>
        <tr r="R472" s="2"/>
      </tp>
      <tp t="s">
        <v>#N/A N/A</v>
        <stp/>
        <stp>BDP|388545593681450178</stp>
        <tr r="D256" s="2"/>
      </tp>
      <tp t="s">
        <v>#N/A N/A</v>
        <stp/>
        <stp>BDP|923639999987212464</stp>
        <tr r="T860" s="2"/>
      </tp>
      <tp t="s">
        <v>#N/A N/A</v>
        <stp/>
        <stp>BDP|679237917708118742</stp>
        <tr r="C896" s="2"/>
      </tp>
      <tp t="s">
        <v>#N/A N/A</v>
        <stp/>
        <stp>BDP|651544382157693666</stp>
        <tr r="C812" s="2"/>
      </tp>
      <tp t="s">
        <v>#N/A N/A</v>
        <stp/>
        <stp>BDP|534937513430283475</stp>
        <tr r="T216" s="2"/>
      </tp>
      <tp t="s">
        <v>#N/A N/A</v>
        <stp/>
        <stp>BDP|454733665564470966</stp>
        <tr r="F475" s="2"/>
      </tp>
      <tp t="s">
        <v>#N/A N/A</v>
        <stp/>
        <stp>BDP|671407793360766125</stp>
        <tr r="E1015" s="2"/>
      </tp>
      <tp t="s">
        <v>#N/A N/A</v>
        <stp/>
        <stp>BDP|637965844814737527</stp>
        <tr r="Q2101" s="2"/>
      </tp>
      <tp t="s">
        <v>#N/A N/A</v>
        <stp/>
        <stp>BDP|225868114696823394</stp>
        <tr r="O2128" s="2"/>
      </tp>
      <tp t="s">
        <v>#N/A N/A</v>
        <stp/>
        <stp>BDP|345417664578685615</stp>
        <tr r="T1180" s="2"/>
      </tp>
      <tp t="s">
        <v>#N/A N/A</v>
        <stp/>
        <stp>BDP|568540843809106427</stp>
        <tr r="T2158" s="2"/>
      </tp>
      <tp t="s">
        <v>#N/A N/A</v>
        <stp/>
        <stp>BDP|280381420704991928</stp>
        <tr r="S2170" s="2"/>
      </tp>
      <tp t="s">
        <v>#N/A N/A</v>
        <stp/>
        <stp>BDP|695726179124429881</stp>
        <tr r="D1960" s="2"/>
      </tp>
      <tp t="s">
        <v>#N/A N/A</v>
        <stp/>
        <stp>BDP|615212347378598249</stp>
        <tr r="O2210" s="2"/>
      </tp>
      <tp t="s">
        <v>#N/A N/A</v>
        <stp/>
        <stp>BDP|475932215616529266</stp>
        <tr r="O1424" s="2"/>
      </tp>
      <tp t="s">
        <v>#N/A N/A</v>
        <stp/>
        <stp>BDP|393437201979228121</stp>
        <tr r="G148" s="2"/>
      </tp>
      <tp t="s">
        <v>#N/A N/A</v>
        <stp/>
        <stp>BDP|551867446267269763</stp>
        <tr r="D1686" s="2"/>
      </tp>
      <tp t="s">
        <v>#N/A N/A</v>
        <stp/>
        <stp>BDP|363319927165722806</stp>
        <tr r="O1854" s="2"/>
      </tp>
      <tp t="s">
        <v>#N/A N/A</v>
        <stp/>
        <stp>BDP|484040324408279643</stp>
        <tr r="P2033" s="2"/>
      </tp>
      <tp t="s">
        <v>#N/A N/A</v>
        <stp/>
        <stp>BDP|576625322518598021</stp>
        <tr r="R2042" s="2"/>
      </tp>
      <tp t="s">
        <v>#N/A N/A</v>
        <stp/>
        <stp>BDP|274396160528158181</stp>
        <tr r="E114" s="2"/>
      </tp>
      <tp t="s">
        <v>#N/A N/A</v>
        <stp/>
        <stp>BDP|301360786095496258</stp>
        <tr r="F984" s="2"/>
      </tp>
      <tp t="s">
        <v>#N/A N/A</v>
        <stp/>
        <stp>BDP|452936632532049473</stp>
        <tr r="A556" s="2"/>
      </tp>
      <tp t="s">
        <v>#N/A N/A</v>
        <stp/>
        <stp>BDP|147387163649924016</stp>
        <tr r="D1440" s="2"/>
      </tp>
      <tp t="s">
        <v>#N/A N/A</v>
        <stp/>
        <stp>BDP|784641366074319854</stp>
        <tr r="G1636" s="2"/>
      </tp>
      <tp t="s">
        <v>#N/A N/A</v>
        <stp/>
        <stp>BDP|355730596876713420</stp>
        <tr r="O1045" s="2"/>
      </tp>
      <tp t="s">
        <v>#N/A N/A</v>
        <stp/>
        <stp>BDP|726535984159434875</stp>
        <tr r="T1974" s="2"/>
      </tp>
      <tp t="s">
        <v>#N/A N/A</v>
        <stp/>
        <stp>BDP|524881118645554030</stp>
        <tr r="J755" s="2"/>
      </tp>
      <tp t="s">
        <v>#N/A N/A</v>
        <stp/>
        <stp>BDP|414036101154638832</stp>
        <tr r="C179" s="2"/>
      </tp>
      <tp t="s">
        <v>#N/A N/A</v>
        <stp/>
        <stp>BDP|878628716449943196</stp>
        <tr r="Q375" s="2"/>
      </tp>
      <tp t="s">
        <v>#N/A N/A</v>
        <stp/>
        <stp>BDS|884185250272881945</stp>
        <tr r="I853" s="2"/>
      </tp>
      <tp t="s">
        <v>#N/A N/A</v>
        <stp/>
        <stp>BDP|753106070559391088</stp>
        <tr r="Q2070" s="2"/>
      </tp>
      <tp t="s">
        <v>#N/A N/A</v>
        <stp/>
        <stp>BDP|141384881221268560</stp>
        <tr r="O502" s="2"/>
      </tp>
      <tp t="s">
        <v>#N/A N/A</v>
        <stp/>
        <stp>BDP|377697225889423261</stp>
        <tr r="C1545" s="2"/>
      </tp>
      <tp t="s">
        <v>#N/A N/A</v>
        <stp/>
        <stp>BDP|491207609744512951</stp>
        <tr r="S450" s="2"/>
      </tp>
      <tp t="s">
        <v>#N/A N/A</v>
        <stp/>
        <stp>BDP|330164753403321888</stp>
        <tr r="F990" s="2"/>
      </tp>
      <tp t="s">
        <v>#N/A N/A</v>
        <stp/>
        <stp>BDP|925845423297212219</stp>
        <tr r="F40" s="2"/>
      </tp>
      <tp t="s">
        <v>#N/A N/A</v>
        <stp/>
        <stp>BDP|763690592505685578</stp>
        <tr r="O84" s="2"/>
      </tp>
      <tp t="s">
        <v>#N/A N/A</v>
        <stp/>
        <stp>BDP|624171348872029848</stp>
        <tr r="J2000" s="2"/>
      </tp>
      <tp t="s">
        <v>#N/A N/A</v>
        <stp/>
        <stp>BDP|784958334285200093</stp>
        <tr r="D845" s="2"/>
      </tp>
      <tp t="s">
        <v>#N/A N/A</v>
        <stp/>
        <stp>BDP|196560199080607363</stp>
        <tr r="G2184" s="2"/>
      </tp>
      <tp t="s">
        <v>#N/A N/A</v>
        <stp/>
        <stp>BDP|147891438933949770</stp>
        <tr r="T1147" s="2"/>
      </tp>
      <tp t="s">
        <v>#N/A N/A</v>
        <stp/>
        <stp>BDS|163641915918951074</stp>
        <tr r="I798" s="2"/>
      </tp>
      <tp t="s">
        <v>#N/A N/A</v>
        <stp/>
        <stp>BDP|692187026404609805</stp>
        <tr r="H467" s="2"/>
      </tp>
      <tp t="s">
        <v>#N/A N/A</v>
        <stp/>
        <stp>BDP|653240131097414998</stp>
        <tr r="S456" s="2"/>
      </tp>
      <tp t="s">
        <v>#N/A N/A</v>
        <stp/>
        <stp>BDP|822215822208085751</stp>
        <tr r="D250" s="2"/>
      </tp>
      <tp t="s">
        <v>#N/A N/A</v>
        <stp/>
        <stp>BDP|985361098315830014</stp>
        <tr r="T276" s="2"/>
      </tp>
      <tp t="s">
        <v>#N/A N/A</v>
        <stp/>
        <stp>BDP|763393151088923185</stp>
        <tr r="R706" s="2"/>
      </tp>
      <tp t="s">
        <v>#N/A N/A</v>
        <stp/>
        <stp>BDP|565130659478458355</stp>
        <tr r="M1257" s="2"/>
      </tp>
      <tp t="s">
        <v>#N/A N/A</v>
        <stp/>
        <stp>BDP|462273421268500790</stp>
        <tr r="F804" s="2"/>
      </tp>
      <tp t="s">
        <v>#N/A N/A</v>
        <stp/>
        <stp>BDP|932131590743300472</stp>
        <tr r="T662" s="2"/>
      </tp>
      <tp t="s">
        <v>#N/A N/A</v>
        <stp/>
        <stp>BDP|247283436227235901</stp>
        <tr r="K1278" s="2"/>
      </tp>
      <tp t="s">
        <v>#N/A N/A</v>
        <stp/>
        <stp>BDP|502388133467316824</stp>
        <tr r="N2008" s="2"/>
      </tp>
      <tp t="s">
        <v>#N/A N/A</v>
        <stp/>
        <stp>BDP|664777898077443622</stp>
        <tr r="K1467" s="2"/>
      </tp>
      <tp t="s">
        <v>#N/A N/A</v>
        <stp/>
        <stp>BDP|271360211465971830</stp>
        <tr r="R2085" s="2"/>
      </tp>
      <tp t="s">
        <v>#N/A N/A</v>
        <stp/>
        <stp>BDP|483538816499630282</stp>
        <tr r="J965" s="2"/>
      </tp>
      <tp t="s">
        <v>#N/A N/A</v>
        <stp/>
        <stp>BDP|350969238292430717</stp>
        <tr r="R1977" s="2"/>
      </tp>
      <tp t="s">
        <v>#N/A N/A</v>
        <stp/>
        <stp>BDP|758178913299224697</stp>
        <tr r="Q96" s="2"/>
      </tp>
      <tp t="s">
        <v>#N/A N/A</v>
        <stp/>
        <stp>BDP|651346006019994550</stp>
        <tr r="P1444" s="2"/>
      </tp>
      <tp t="s">
        <v>#N/A N/A</v>
        <stp/>
        <stp>BDP|815079463088580118</stp>
        <tr r="S1459" s="2"/>
      </tp>
      <tp t="s">
        <v>#N/A N/A</v>
        <stp/>
        <stp>BDP|884060896375461340</stp>
        <tr r="H890" s="2"/>
      </tp>
      <tp t="s">
        <v>#N/A N/A</v>
        <stp/>
        <stp>BDP|538753199900568154</stp>
        <tr r="Q744" s="2"/>
      </tp>
      <tp t="s">
        <v>#N/A N/A</v>
        <stp/>
        <stp>BDP|782013724215241895</stp>
        <tr r="E132" s="2"/>
      </tp>
      <tp t="s">
        <v>#N/A N/A</v>
        <stp/>
        <stp>BDP|577959975416409783</stp>
        <tr r="S1544" s="2"/>
      </tp>
      <tp t="s">
        <v>#N/A N/A</v>
        <stp/>
        <stp>BDP|253806508876551160</stp>
        <tr r="K1510" s="2"/>
      </tp>
      <tp t="s">
        <v>#N/A N/A</v>
        <stp/>
        <stp>BDP|242330959370369921</stp>
        <tr r="D427" s="2"/>
      </tp>
      <tp t="s">
        <v>#N/A N/A</v>
        <stp/>
        <stp>BDS|774890098447908962</stp>
        <tr r="I777" s="2"/>
      </tp>
      <tp t="s">
        <v>#N/A N/A</v>
        <stp/>
        <stp>BDP|343304298755766056</stp>
        <tr r="R1516" s="2"/>
      </tp>
      <tp t="s">
        <v>#N/A N/A</v>
        <stp/>
        <stp>BDS|197915218931480658</stp>
        <tr r="I1554" s="2"/>
      </tp>
      <tp t="s">
        <v>#N/A N/A</v>
        <stp/>
        <stp>BDP|284809353722862005</stp>
        <tr r="S282" s="2"/>
      </tp>
      <tp t="s">
        <v>#N/A N/A</v>
        <stp/>
        <stp>BDP|354606089611663068</stp>
        <tr r="H715" s="2"/>
      </tp>
      <tp t="s">
        <v>#N/A N/A</v>
        <stp/>
        <stp>BDP|576941187636494880</stp>
        <tr r="A2066" s="2"/>
      </tp>
      <tp t="s">
        <v>#N/A N/A</v>
        <stp/>
        <stp>BDP|328677279256330846</stp>
        <tr r="S796" s="2"/>
      </tp>
      <tp t="s">
        <v>#N/A N/A</v>
        <stp/>
        <stp>BDP|172468399175776739</stp>
        <tr r="Q1624" s="2"/>
      </tp>
      <tp t="s">
        <v>#N/A N/A</v>
        <stp/>
        <stp>BDP|218392992291741444</stp>
        <tr r="Q164" s="2"/>
      </tp>
      <tp t="s">
        <v>#N/A N/A</v>
        <stp/>
        <stp>BDP|616787213080115966</stp>
        <tr r="G1298" s="2"/>
      </tp>
      <tp t="s">
        <v>#N/A N/A</v>
        <stp/>
        <stp>BDP|804726494138599918</stp>
        <tr r="F399" s="2"/>
      </tp>
      <tp t="s">
        <v>#N/A N/A</v>
        <stp/>
        <stp>BDP|732407747079878627</stp>
        <tr r="R134" s="2"/>
      </tp>
      <tp t="s">
        <v>#N/A N/A</v>
        <stp/>
        <stp>BDP|906467391317497515</stp>
        <tr r="R128" s="2"/>
      </tp>
      <tp t="s">
        <v>#N/A N/A</v>
        <stp/>
        <stp>BDP|497401519708055263</stp>
        <tr r="O1104" s="2"/>
      </tp>
      <tp t="s">
        <v>#N/A N/A</v>
        <stp/>
        <stp>BDP|582711903690877844</stp>
        <tr r="G2212" s="2"/>
      </tp>
      <tp t="s">
        <v>#N/A N/A</v>
        <stp/>
        <stp>BDP|231458608149147252</stp>
        <tr r="J401" s="2"/>
      </tp>
      <tp t="s">
        <v>#N/A N/A</v>
        <stp/>
        <stp>BDP|612572904153899966</stp>
        <tr r="M1258" s="2"/>
      </tp>
      <tp t="s">
        <v>#N/A N/A</v>
        <stp/>
        <stp>BDP|551393874163077831</stp>
        <tr r="M663" s="2"/>
      </tp>
      <tp t="s">
        <v>#N/A N/A</v>
        <stp/>
        <stp>BDP|362719971989059682</stp>
        <tr r="T122" s="2"/>
      </tp>
      <tp t="s">
        <v>#N/A N/A</v>
        <stp/>
        <stp>BDP|630554592006820524</stp>
        <tr r="E975" s="2"/>
      </tp>
      <tp t="s">
        <v>#N/A N/A</v>
        <stp/>
        <stp>BDP|894805764813576222</stp>
        <tr r="C767" s="2"/>
      </tp>
      <tp t="s">
        <v>#N/A N/A</v>
        <stp/>
        <stp>BDP|116656531108058219</stp>
        <tr r="C2240" s="2"/>
      </tp>
      <tp t="s">
        <v>#N/A N/A</v>
        <stp/>
        <stp>BDP|773669882316172763</stp>
        <tr r="M35" s="2"/>
      </tp>
      <tp t="s">
        <v>#N/A N/A</v>
        <stp/>
        <stp>BDP|555682189921723070</stp>
        <tr r="R1306" s="2"/>
      </tp>
      <tp t="s">
        <v>#N/A N/A</v>
        <stp/>
        <stp>BDP|436830865302551338</stp>
        <tr r="N1284" s="2"/>
      </tp>
      <tp t="s">
        <v>#N/A N/A</v>
        <stp/>
        <stp>BDP|687392930296971922</stp>
        <tr r="A2206" s="2"/>
      </tp>
      <tp t="s">
        <v>#N/A N/A</v>
        <stp/>
        <stp>BDP|462667141028043574</stp>
        <tr r="P725" s="2"/>
      </tp>
      <tp t="s">
        <v>#N/A N/A</v>
        <stp/>
        <stp>BDP|776945028633732780</stp>
        <tr r="R1397" s="2"/>
      </tp>
      <tp t="s">
        <v>#N/A N/A</v>
        <stp/>
        <stp>BDP|462718589506091686</stp>
        <tr r="K2211" s="2"/>
      </tp>
      <tp t="s">
        <v>#N/A N/A</v>
        <stp/>
        <stp>BDP|447107694675724232</stp>
        <tr r="Q2166" s="2"/>
      </tp>
      <tp t="s">
        <v>#N/A N/A</v>
        <stp/>
        <stp>BDP|304164380847007104</stp>
        <tr r="C367" s="2"/>
      </tp>
      <tp t="s">
        <v>#N/A N/A</v>
        <stp/>
        <stp>BDS|529839207546158154</stp>
        <tr r="I881" s="2"/>
      </tp>
      <tp t="s">
        <v>#N/A N/A</v>
        <stp/>
        <stp>BDP|845561752927967805</stp>
        <tr r="O841" s="2"/>
      </tp>
      <tp t="s">
        <v>#N/A N/A</v>
        <stp/>
        <stp>BDP|801408093503908170</stp>
        <tr r="S1990" s="2"/>
      </tp>
      <tp t="s">
        <v>#N/A N/A</v>
        <stp/>
        <stp>BDP|669935903013010531</stp>
        <tr r="K1951" s="2"/>
      </tp>
      <tp t="s">
        <v>#N/A N/A</v>
        <stp/>
        <stp>BDP|401639929973976820</stp>
        <tr r="C1765" s="2"/>
      </tp>
      <tp t="s">
        <v>#N/A N/A</v>
        <stp/>
        <stp>BDP|534556095746208525</stp>
        <tr r="T2000" s="2"/>
      </tp>
      <tp t="s">
        <v>#N/A N/A</v>
        <stp/>
        <stp>BDP|881637108980263947</stp>
        <tr r="G966" s="2"/>
      </tp>
      <tp t="s">
        <v>#N/A N/A</v>
        <stp/>
        <stp>BDP|402013269651155885</stp>
        <tr r="Q1381" s="2"/>
      </tp>
      <tp t="s">
        <v>#N/A N/A</v>
        <stp/>
        <stp>BDP|967759989264159426</stp>
        <tr r="Q1958" s="2"/>
      </tp>
      <tp t="s">
        <v>#N/A N/A</v>
        <stp/>
        <stp>BDP|160178712298301713</stp>
        <tr r="P1392" s="2"/>
      </tp>
      <tp t="s">
        <v>#N/A N/A</v>
        <stp/>
        <stp>BDP|866920565031084191</stp>
        <tr r="F200" s="2"/>
      </tp>
      <tp t="s">
        <v>#N/A N/A</v>
        <stp/>
        <stp>BDP|790542303859478328</stp>
        <tr r="F206" s="2"/>
      </tp>
      <tp t="s">
        <v>#N/A N/A</v>
        <stp/>
        <stp>BDP|293593335958019180</stp>
        <tr r="P1199" s="2"/>
      </tp>
      <tp t="s">
        <v>#N/A N/A</v>
        <stp/>
        <stp>BDP|344986201813983550</stp>
        <tr r="J30" s="2"/>
      </tp>
      <tp t="s">
        <v>#N/A N/A</v>
        <stp/>
        <stp>BDP|664911349030885215</stp>
        <tr r="E1326" s="2"/>
      </tp>
      <tp t="s">
        <v>#N/A N/A</v>
        <stp/>
        <stp>BDP|331340620099184710</stp>
        <tr r="S1520" s="2"/>
      </tp>
      <tp t="s">
        <v>#N/A N/A</v>
        <stp/>
        <stp>BDP|173161363438326008</stp>
        <tr r="C73" s="2"/>
      </tp>
      <tp t="s">
        <v>#N/A N/A</v>
        <stp/>
        <stp>BDP|409514450007584872</stp>
        <tr r="O1947" s="2"/>
      </tp>
      <tp t="s">
        <v>#N/A N/A</v>
        <stp/>
        <stp>BDP|288449923778698141</stp>
        <tr r="D1322" s="2"/>
      </tp>
      <tp t="s">
        <v>#N/A N/A</v>
        <stp/>
        <stp>BDP|953467251889120784</stp>
        <tr r="F122" s="2"/>
      </tp>
      <tp t="s">
        <v>#N/A N/A</v>
        <stp/>
        <stp>BDP|128967393609525663</stp>
        <tr r="N1762" s="2"/>
      </tp>
      <tp t="s">
        <v>#N/A N/A</v>
        <stp/>
        <stp>BDP|647846895498525657</stp>
        <tr r="C1940" s="2"/>
      </tp>
      <tp t="s">
        <v>#N/A N/A</v>
        <stp/>
        <stp>BDP|917089206898258724</stp>
        <tr r="O524" s="2"/>
      </tp>
      <tp t="s">
        <v>#N/A N/A</v>
        <stp/>
        <stp>BDP|378988648520540218</stp>
        <tr r="K1165" s="2"/>
      </tp>
      <tp t="s">
        <v>#N/A N/A</v>
        <stp/>
        <stp>BDP|499448653807171958</stp>
        <tr r="C1747" s="2"/>
      </tp>
      <tp t="s">
        <v>#N/A N/A</v>
        <stp/>
        <stp>BDP|716894010072055496</stp>
        <tr r="F393" s="2"/>
      </tp>
      <tp t="s">
        <v>#N/A N/A</v>
        <stp/>
        <stp>BDP|677873030807118302</stp>
        <tr r="T1346" s="2"/>
      </tp>
      <tp t="s">
        <v>#N/A N/A</v>
        <stp/>
        <stp>BDP|881194502026769847</stp>
        <tr r="Q935" s="2"/>
      </tp>
      <tp t="s">
        <v>#N/A N/A</v>
        <stp/>
        <stp>BDP|112913859547933407</stp>
        <tr r="P372" s="2"/>
      </tp>
      <tp t="s">
        <v>#N/A N/A</v>
        <stp/>
        <stp>BDP|140427697720443201</stp>
        <tr r="G2004" s="2"/>
      </tp>
      <tp t="s">
        <v>#N/A N/A</v>
        <stp/>
        <stp>BDP|231140187972447458</stp>
        <tr r="K1781" s="2"/>
      </tp>
      <tp t="s">
        <v>#N/A N/A</v>
        <stp/>
        <stp>BDP|406259684114464119</stp>
        <tr r="F2258" s="2"/>
      </tp>
      <tp t="s">
        <v>#N/A N/A</v>
        <stp/>
        <stp>BDS|758816376842744265</stp>
        <tr r="I1679" s="2"/>
      </tp>
      <tp t="s">
        <v>#N/A N/A</v>
        <stp/>
        <stp>BDP|579479509658818320</stp>
        <tr r="D1609" s="2"/>
      </tp>
      <tp t="s">
        <v>#N/A N/A</v>
        <stp/>
        <stp>BDP|244317184550073468</stp>
        <tr r="O886" s="2"/>
      </tp>
      <tp t="s">
        <v>#N/A N/A</v>
        <stp/>
        <stp>BDP|336711650915208817</stp>
        <tr r="Q1790" s="2"/>
      </tp>
      <tp t="s">
        <v>#N/A N/A</v>
        <stp/>
        <stp>BDP|889584322001181928</stp>
        <tr r="E2139" s="2"/>
      </tp>
      <tp t="s">
        <v>#N/A N/A</v>
        <stp/>
        <stp>BDP|182264901284213953</stp>
        <tr r="J1661" s="2"/>
      </tp>
      <tp t="s">
        <v>#N/A N/A</v>
        <stp/>
        <stp>BDP|460865766887409617</stp>
        <tr r="D859" s="2"/>
      </tp>
      <tp t="s">
        <v>#N/A N/A</v>
        <stp/>
        <stp>BDP|381839116486039076</stp>
        <tr r="H108" s="2"/>
      </tp>
      <tp t="s">
        <v>#N/A N/A</v>
        <stp/>
        <stp>BDP|382540115659567268</stp>
        <tr r="S2095" s="2"/>
      </tp>
      <tp t="s">
        <v>#N/A N/A</v>
        <stp/>
        <stp>BDP|332895711764225282</stp>
        <tr r="G1712" s="2"/>
      </tp>
      <tp t="s">
        <v>#N/A N/A</v>
        <stp/>
        <stp>BDP|479772176936730938</stp>
        <tr r="S561" s="2"/>
      </tp>
      <tp t="s">
        <v>#N/A N/A</v>
        <stp/>
        <stp>BDP|648280808388443537</stp>
        <tr r="G503" s="2"/>
      </tp>
      <tp t="s">
        <v>#N/A N/A</v>
        <stp/>
        <stp>BDS|526507685833502149</stp>
        <tr r="I2198" s="2"/>
      </tp>
      <tp t="s">
        <v>#N/A N/A</v>
        <stp/>
        <stp>BDP|710888079062762235</stp>
        <tr r="G374" s="2"/>
      </tp>
      <tp t="s">
        <v>#N/A N/A</v>
        <stp/>
        <stp>BDP|632787526529283383</stp>
        <tr r="T7" s="2"/>
      </tp>
      <tp t="s">
        <v>#N/A N/A</v>
        <stp/>
        <stp>BDP|550624857805422964</stp>
        <tr r="D567" s="2"/>
      </tp>
      <tp t="s">
        <v>#N/A N/A</v>
        <stp/>
        <stp>BDP|547837706965502275</stp>
        <tr r="F209" s="2"/>
      </tp>
      <tp t="s">
        <v>#N/A N/A</v>
        <stp/>
        <stp>BDP|292225337227410912</stp>
        <tr r="H484" s="2"/>
      </tp>
      <tp t="s">
        <v>#N/A N/A</v>
        <stp/>
        <stp>BDS|968335247750756885</stp>
        <tr r="I748" s="2"/>
      </tp>
      <tp t="s">
        <v>#N/A N/A</v>
        <stp/>
        <stp>BDP|236542555229021615</stp>
        <tr r="E663" s="2"/>
      </tp>
      <tp t="s">
        <v>#N/A N/A</v>
        <stp/>
        <stp>BDP|127455643838739729</stp>
        <tr r="E1959" s="2"/>
      </tp>
      <tp t="s">
        <v>#N/A N/A</v>
        <stp/>
        <stp>BDP|348779956968071506</stp>
        <tr r="C1317" s="2"/>
      </tp>
      <tp t="s">
        <v>#N/A N/A</v>
        <stp/>
        <stp>BDP|205138348122957836</stp>
        <tr r="R1424" s="2"/>
      </tp>
      <tp t="s">
        <v>#N/A N/A</v>
        <stp/>
        <stp>BDP|535898360450762182</stp>
        <tr r="A97" s="2"/>
      </tp>
      <tp t="s">
        <v>#N/A N/A</v>
        <stp/>
        <stp>BDP|395808998828940614</stp>
        <tr r="P508" s="2"/>
      </tp>
      <tp t="s">
        <v>#N/A N/A</v>
        <stp/>
        <stp>BDP|450731593647236658</stp>
        <tr r="N869" s="2"/>
      </tp>
      <tp t="s">
        <v>#N/A N/A</v>
        <stp/>
        <stp>BDP|128672447199248406</stp>
        <tr r="Q1627" s="2"/>
      </tp>
      <tp t="s">
        <v>#N/A N/A</v>
        <stp/>
        <stp>BDP|643915469212440297</stp>
        <tr r="K568" s="2"/>
      </tp>
      <tp t="s">
        <v>#N/A N/A</v>
        <stp/>
        <stp>BDP|464924916377231017</stp>
        <tr r="E940" s="2"/>
      </tp>
      <tp t="s">
        <v>#N/A N/A</v>
        <stp/>
        <stp>BDP|714852023562873659</stp>
        <tr r="C782" s="2"/>
      </tp>
      <tp t="s">
        <v>#N/A N/A</v>
        <stp/>
        <stp>BDP|618575218202133844</stp>
        <tr r="G2114" s="2"/>
      </tp>
      <tp t="s">
        <v>#N/A N/A</v>
        <stp/>
        <stp>BDP|671996070328709843</stp>
        <tr r="R1285" s="2"/>
      </tp>
      <tp t="s">
        <v>#N/A N/A</v>
        <stp/>
        <stp>BDP|460481860788554453</stp>
        <tr r="D779" s="2"/>
      </tp>
      <tp t="s">
        <v>#N/A N/A</v>
        <stp/>
        <stp>BDP|898321651391323953</stp>
        <tr r="P1764" s="2"/>
      </tp>
      <tp t="s">
        <v>#N/A N/A</v>
        <stp/>
        <stp>BDP|558776526393191880</stp>
        <tr r="P1320" s="2"/>
      </tp>
      <tp t="s">
        <v>#N/A N/A</v>
        <stp/>
        <stp>BDP|418415539898424158</stp>
        <tr r="T974" s="2"/>
      </tp>
      <tp t="s">
        <v>#N/A N/A</v>
        <stp/>
        <stp>BDP|314376098084487061</stp>
        <tr r="R1157" s="2"/>
      </tp>
      <tp t="s">
        <v>#N/A N/A</v>
        <stp/>
        <stp>BDP|977190139825529936</stp>
        <tr r="M913" s="2"/>
      </tp>
      <tp t="s">
        <v>#N/A N/A</v>
        <stp/>
        <stp>BDP|961080788906775013</stp>
        <tr r="M1040" s="2"/>
      </tp>
      <tp t="s">
        <v>#N/A N/A</v>
        <stp/>
        <stp>BDP|134128306056245980</stp>
        <tr r="G941" s="2"/>
      </tp>
      <tp t="s">
        <v>#N/A N/A</v>
        <stp/>
        <stp>BDP|116593384222134125</stp>
        <tr r="P1578" s="2"/>
      </tp>
      <tp t="s">
        <v>#N/A N/A</v>
        <stp/>
        <stp>BDP|384343678633534922</stp>
        <tr r="S1057" s="2"/>
      </tp>
      <tp t="s">
        <v>#N/A N/A</v>
        <stp/>
        <stp>BDP|526869361885912534</stp>
        <tr r="Q359" s="2"/>
      </tp>
      <tp t="s">
        <v>#N/A N/A</v>
        <stp/>
        <stp>BDP|973216582736747240</stp>
        <tr r="J296" s="2"/>
      </tp>
      <tp t="s">
        <v>#N/A N/A</v>
        <stp/>
        <stp>BDP|449785381681382079</stp>
        <tr r="A1937" s="2"/>
      </tp>
      <tp t="s">
        <v>#N/A N/A</v>
        <stp/>
        <stp>BDS|132992084838075766</stp>
        <tr r="I1635" s="2"/>
      </tp>
      <tp t="s">
        <v>#N/A N/A</v>
        <stp/>
        <stp>BDS|212419614682910946</stp>
        <tr r="I2054" s="2"/>
      </tp>
      <tp t="s">
        <v>#N/A N/A</v>
        <stp/>
        <stp>BDP|754636494648280982</stp>
        <tr r="J294" s="2"/>
      </tp>
      <tp t="s">
        <v>#N/A N/A</v>
        <stp/>
        <stp>BDP|640780484393561251</stp>
        <tr r="E1020" s="2"/>
      </tp>
      <tp t="s">
        <v>#N/A N/A</v>
        <stp/>
        <stp>BDP|644082096182641542</stp>
        <tr r="S2094" s="2"/>
      </tp>
      <tp t="s">
        <v>#N/A N/A</v>
        <stp/>
        <stp>BDS|393626028343745949</stp>
        <tr r="I1267" s="2"/>
      </tp>
      <tp t="s">
        <v>#N/A N/A</v>
        <stp/>
        <stp>BDP|228083625388670430</stp>
        <tr r="H1564" s="2"/>
      </tp>
      <tp t="s">
        <v>#N/A N/A</v>
        <stp/>
        <stp>BDP|573940678635228509</stp>
        <tr r="J1852" s="2"/>
      </tp>
      <tp t="s">
        <v>#N/A N/A</v>
        <stp/>
        <stp>BDP|707252918718289535</stp>
        <tr r="E1830" s="2"/>
      </tp>
      <tp t="s">
        <v>#N/A N/A</v>
        <stp/>
        <stp>BDP|873388350638352083</stp>
        <tr r="M665" s="2"/>
      </tp>
      <tp t="s">
        <v>#N/A N/A</v>
        <stp/>
        <stp>BDP|352694885886144652</stp>
        <tr r="P2145" s="2"/>
      </tp>
      <tp t="s">
        <v>#N/A N/A</v>
        <stp/>
        <stp>BDP|561985424471474460</stp>
        <tr r="T207" s="2"/>
      </tp>
      <tp t="s">
        <v>#N/A N/A</v>
        <stp/>
        <stp>BDP|591997870804772406</stp>
        <tr r="C1972" s="2"/>
      </tp>
      <tp t="s">
        <v>#N/A N/A</v>
        <stp/>
        <stp>BDP|855201999301312491</stp>
        <tr r="Q1948" s="2"/>
      </tp>
      <tp t="s">
        <v>#N/A N/A</v>
        <stp/>
        <stp>BDP|999174546859745244</stp>
        <tr r="D2003" s="2"/>
      </tp>
      <tp t="s">
        <v>#N/A N/A</v>
        <stp/>
        <stp>BDP|556237039096935928</stp>
        <tr r="J1856" s="2"/>
      </tp>
      <tp t="s">
        <v>#N/A N/A</v>
        <stp/>
        <stp>BDP|736629099390923114</stp>
        <tr r="N148" s="2"/>
      </tp>
      <tp t="s">
        <v>#N/A N/A</v>
        <stp/>
        <stp>BDP|960289605909146511</stp>
        <tr r="S997" s="2"/>
      </tp>
      <tp t="s">
        <v>#N/A N/A</v>
        <stp/>
        <stp>BDS|262263646548168077</stp>
        <tr r="I58" s="2"/>
      </tp>
      <tp t="s">
        <v>#N/A N/A</v>
        <stp/>
        <stp>BDP|704433544218147654</stp>
        <tr r="O528" s="2"/>
      </tp>
      <tp t="s">
        <v>#N/A N/A</v>
        <stp/>
        <stp>BDP|342136305107821896</stp>
        <tr r="T1933" s="2"/>
      </tp>
      <tp t="s">
        <v>#N/A N/A</v>
        <stp/>
        <stp>BDP|609714903541235826</stp>
        <tr r="E1064" s="2"/>
      </tp>
      <tp t="s">
        <v>#N/A N/A</v>
        <stp/>
        <stp>BDS|807679471039804632</stp>
        <tr r="I1959" s="2"/>
      </tp>
      <tp t="s">
        <v>#N/A N/A</v>
        <stp/>
        <stp>BDS|532350395877310334</stp>
        <tr r="I1539" s="2"/>
      </tp>
      <tp t="s">
        <v>#N/A N/A</v>
        <stp/>
        <stp>BDP|785783415599658196</stp>
        <tr r="R2141" s="2"/>
      </tp>
      <tp t="s">
        <v>#N/A N/A</v>
        <stp/>
        <stp>BDP|383812643351298363</stp>
        <tr r="D2028" s="2"/>
      </tp>
      <tp t="s">
        <v>#N/A N/A</v>
        <stp/>
        <stp>BDP|572282538558770776</stp>
        <tr r="M2010" s="2"/>
      </tp>
      <tp t="s">
        <v>#N/A N/A</v>
        <stp/>
        <stp>BDP|922430785001909335</stp>
        <tr r="R2229" s="2"/>
      </tp>
      <tp t="s">
        <v>#N/A N/A</v>
        <stp/>
        <stp>BDP|792779665618367737</stp>
        <tr r="F1511" s="2"/>
      </tp>
      <tp t="s">
        <v>#N/A N/A</v>
        <stp/>
        <stp>BDP|901286140091041947</stp>
        <tr r="C482" s="2"/>
      </tp>
      <tp t="s">
        <v>#N/A N/A</v>
        <stp/>
        <stp>BDP|799993965238565984</stp>
        <tr r="A1000" s="2"/>
      </tp>
      <tp t="s">
        <v>#N/A N/A</v>
        <stp/>
        <stp>BDP|104405964585019939</stp>
        <tr r="E512" s="2"/>
      </tp>
      <tp t="s">
        <v>#N/A N/A</v>
        <stp/>
        <stp>BDP|902603767348089681</stp>
        <tr r="N1213" s="2"/>
      </tp>
      <tp t="s">
        <v>#N/A N/A</v>
        <stp/>
        <stp>BDP|248942530494333038</stp>
        <tr r="P518" s="2"/>
      </tp>
      <tp t="s">
        <v>#N/A N/A</v>
        <stp/>
        <stp>BDP|714873398587841867</stp>
        <tr r="Q1668" s="2"/>
      </tp>
      <tp t="s">
        <v>#N/A N/A</v>
        <stp/>
        <stp>BDP|304577602479952293</stp>
        <tr r="E20" s="2"/>
      </tp>
      <tp t="s">
        <v>#N/A N/A</v>
        <stp/>
        <stp>BDP|687774888030941177</stp>
        <tr r="O598" s="2"/>
      </tp>
      <tp t="s">
        <v>#N/A N/A</v>
        <stp/>
        <stp>BDP|118922251765619738</stp>
        <tr r="J1385" s="2"/>
      </tp>
      <tp t="s">
        <v>#N/A N/A</v>
        <stp/>
        <stp>BDP|635796714300545893</stp>
        <tr r="P1988" s="2"/>
      </tp>
      <tp t="s">
        <v>#N/A N/A</v>
        <stp/>
        <stp>BDP|249342255000350874</stp>
        <tr r="C1201" s="2"/>
      </tp>
      <tp t="s">
        <v>#N/A N/A</v>
        <stp/>
        <stp>BDP|397581478154627850</stp>
        <tr r="F498" s="2"/>
      </tp>
      <tp t="s">
        <v>#N/A N/A</v>
        <stp/>
        <stp>BDP|840488483051567368</stp>
        <tr r="N1323" s="2"/>
      </tp>
      <tp t="s">
        <v>#N/A N/A</v>
        <stp/>
        <stp>BDP|792659813308251131</stp>
        <tr r="G1289" s="2"/>
      </tp>
      <tp t="s">
        <v>#N/A N/A</v>
        <stp/>
        <stp>BDP|331134744588268360</stp>
        <tr r="T415" s="2"/>
      </tp>
      <tp t="s">
        <v>#N/A N/A</v>
        <stp/>
        <stp>BDP|144844514805918293</stp>
        <tr r="P2244" s="2"/>
      </tp>
      <tp t="s">
        <v>#N/A N/A</v>
        <stp/>
        <stp>BDP|871305691820950414</stp>
        <tr r="O2116" s="2"/>
      </tp>
      <tp t="s">
        <v>#N/A N/A</v>
        <stp/>
        <stp>BDP|409961077250581018</stp>
        <tr r="E785" s="2"/>
      </tp>
      <tp t="s">
        <v>#N/A N/A</v>
        <stp/>
        <stp>BDP|609804831672153774</stp>
        <tr r="D1226" s="2"/>
      </tp>
      <tp t="s">
        <v>#N/A N/A</v>
        <stp/>
        <stp>BDP|406251643048063034</stp>
        <tr r="N533" s="2"/>
      </tp>
      <tp t="s">
        <v>#N/A N/A</v>
        <stp/>
        <stp>BDP|740727694329048904</stp>
        <tr r="K1465" s="2"/>
      </tp>
      <tp t="s">
        <v>#N/A N/A</v>
        <stp/>
        <stp>BDP|226613843449105502</stp>
        <tr r="Q421" s="2"/>
      </tp>
      <tp t="s">
        <v>#N/A N/A</v>
        <stp/>
        <stp>BDP|288225187433240749</stp>
        <tr r="A2021" s="2"/>
      </tp>
      <tp t="s">
        <v>#N/A N/A</v>
        <stp/>
        <stp>BDP|186241735677084813</stp>
        <tr r="G240" s="2"/>
      </tp>
      <tp t="s">
        <v>#N/A N/A</v>
        <stp/>
        <stp>BDP|232916177899769919</stp>
        <tr r="Q932" s="2"/>
      </tp>
      <tp t="s">
        <v>#N/A N/A</v>
        <stp/>
        <stp>BDP|971016398113246403</stp>
        <tr r="D112" s="2"/>
      </tp>
      <tp t="s">
        <v>#N/A N/A</v>
        <stp/>
        <stp>BDP|140306223576667965</stp>
        <tr r="E468" s="2"/>
      </tp>
      <tp t="s">
        <v>#N/A N/A</v>
        <stp/>
        <stp>BDP|144464174509344424</stp>
        <tr r="N254" s="2"/>
      </tp>
      <tp t="s">
        <v>#N/A N/A</v>
        <stp/>
        <stp>BDP|180845087987065918</stp>
        <tr r="C619" s="2"/>
      </tp>
      <tp t="s">
        <v>#N/A N/A</v>
        <stp/>
        <stp>BDP|374152174240841899</stp>
        <tr r="O1908" s="2"/>
      </tp>
      <tp t="s">
        <v>#N/A N/A</v>
        <stp/>
        <stp>BDP|159332972069488376</stp>
        <tr r="K530" s="2"/>
      </tp>
      <tp t="s">
        <v>#N/A N/A</v>
        <stp/>
        <stp>BDP|798485896077310493</stp>
        <tr r="P2069" s="2"/>
      </tp>
      <tp t="s">
        <v>#N/A N/A</v>
        <stp/>
        <stp>BDP|711225472733242868</stp>
        <tr r="S1957" s="2"/>
      </tp>
      <tp t="s">
        <v>#N/A N/A</v>
        <stp/>
        <stp>BDP|110152523935446803</stp>
        <tr r="N1123" s="2"/>
      </tp>
      <tp t="s">
        <v>#N/A N/A</v>
        <stp/>
        <stp>BDP|469858569970958021</stp>
        <tr r="Q1060" s="2"/>
      </tp>
      <tp t="s">
        <v>#N/A N/A</v>
        <stp/>
        <stp>BDP|340696675259581698</stp>
        <tr r="O1479" s="2"/>
      </tp>
      <tp t="s">
        <v>#N/A N/A</v>
        <stp/>
        <stp>BDP|836327550979353652</stp>
        <tr r="Q592" s="2"/>
      </tp>
      <tp t="s">
        <v>#N/A N/A</v>
        <stp/>
        <stp>BDP|778350528289552139</stp>
        <tr r="F193" s="2"/>
      </tp>
      <tp t="s">
        <v>#N/A N/A</v>
        <stp/>
        <stp>BDP|648266614638192293</stp>
        <tr r="P445" s="2"/>
      </tp>
      <tp t="s">
        <v>#N/A N/A</v>
        <stp/>
        <stp>BDP|215500612885464880</stp>
        <tr r="D834" s="2"/>
      </tp>
      <tp t="s">
        <v>#N/A N/A</v>
        <stp/>
        <stp>BDP|408576668752288856</stp>
        <tr r="D788" s="2"/>
      </tp>
      <tp t="s">
        <v>#N/A N/A</v>
        <stp/>
        <stp>BDP|827284543497732882</stp>
        <tr r="N1809" s="2"/>
      </tp>
      <tp t="s">
        <v>#N/A N/A</v>
        <stp/>
        <stp>BDP|875563781091161523</stp>
        <tr r="P1701" s="2"/>
      </tp>
      <tp t="s">
        <v>#N/A N/A</v>
        <stp/>
        <stp>BDP|820647412167216902</stp>
        <tr r="S1865" s="2"/>
      </tp>
      <tp t="s">
        <v>#N/A N/A</v>
        <stp/>
        <stp>BDP|515841908514515500</stp>
        <tr r="Q1285" s="2"/>
      </tp>
      <tp t="s">
        <v>#N/A N/A</v>
        <stp/>
        <stp>BDP|970621661180446939</stp>
        <tr r="A913" s="2"/>
      </tp>
      <tp t="s">
        <v>#N/A N/A</v>
        <stp/>
        <stp>BDS|920977628324393685</stp>
        <tr r="I1895" s="2"/>
      </tp>
      <tp t="s">
        <v>#N/A N/A</v>
        <stp/>
        <stp>BDP|412386855859361674</stp>
        <tr r="A206" s="2"/>
      </tp>
      <tp t="s">
        <v>#N/A N/A</v>
        <stp/>
        <stp>BDP|656366727219947137</stp>
        <tr r="R1629" s="2"/>
      </tp>
      <tp t="s">
        <v>#N/A N/A</v>
        <stp/>
        <stp>BDP|524165325508934221</stp>
        <tr r="S126" s="2"/>
      </tp>
      <tp t="s">
        <v>#N/A N/A</v>
        <stp/>
        <stp>BDP|877655087476758105</stp>
        <tr r="F2218" s="2"/>
      </tp>
      <tp t="s">
        <v>#N/A N/A</v>
        <stp/>
        <stp>BDP|114990164152502445</stp>
        <tr r="O731" s="2"/>
      </tp>
      <tp t="s">
        <v>#N/A N/A</v>
        <stp/>
        <stp>BDP|261792340428684232</stp>
        <tr r="G1005" s="2"/>
      </tp>
      <tp t="s">
        <v>#N/A N/A</v>
        <stp/>
        <stp>BDP|698143066218864625</stp>
        <tr r="G777" s="2"/>
      </tp>
      <tp t="s">
        <v>#N/A N/A</v>
        <stp/>
        <stp>BDP|580722109136531853</stp>
        <tr r="F1900" s="2"/>
      </tp>
      <tp t="s">
        <v>#N/A N/A</v>
        <stp/>
        <stp>BDP|697197495337672623</stp>
        <tr r="E904" s="2"/>
      </tp>
      <tp t="s">
        <v>#N/A N/A</v>
        <stp/>
        <stp>BDP|496332534659910040</stp>
        <tr r="E1217" s="2"/>
      </tp>
      <tp t="s">
        <v>#N/A N/A</v>
        <stp/>
        <stp>BDP|765606919899622767</stp>
        <tr r="P1149" s="2"/>
      </tp>
      <tp t="s">
        <v>#N/A N/A</v>
        <stp/>
        <stp>BDP|914254991051705347</stp>
        <tr r="A423" s="2"/>
      </tp>
      <tp t="s">
        <v>#N/A N/A</v>
        <stp/>
        <stp>BDP|310472200194934932</stp>
        <tr r="E1098" s="2"/>
      </tp>
      <tp t="s">
        <v>#N/A N/A</v>
        <stp/>
        <stp>BDP|133407558570173865</stp>
        <tr r="S1376" s="2"/>
      </tp>
      <tp t="s">
        <v>#N/A N/A</v>
        <stp/>
        <stp>BDP|716660950778966267</stp>
        <tr r="P1727" s="2"/>
      </tp>
      <tp t="s">
        <v>#N/A N/A</v>
        <stp/>
        <stp>BDS|627098292777703754</stp>
        <tr r="I1801" s="2"/>
      </tp>
      <tp t="s">
        <v>#N/A N/A</v>
        <stp/>
        <stp>BDP|641311998871266224</stp>
        <tr r="O1041" s="2"/>
      </tp>
      <tp t="s">
        <v>#N/A N/A</v>
        <stp/>
        <stp>BDP|509945104317928735</stp>
        <tr r="S749" s="2"/>
      </tp>
      <tp t="s">
        <v>#N/A N/A</v>
        <stp/>
        <stp>BDP|580290385753563038</stp>
        <tr r="C276" s="2"/>
      </tp>
      <tp t="s">
        <v>#N/A N/A</v>
        <stp/>
        <stp>BDP|458465950058305098</stp>
        <tr r="D333" s="2"/>
      </tp>
      <tp t="s">
        <v>#N/A N/A</v>
        <stp/>
        <stp>BDP|854034087404487505</stp>
        <tr r="A372" s="2"/>
      </tp>
      <tp t="s">
        <v>#N/A N/A</v>
        <stp/>
        <stp>BDP|218461145369831019</stp>
        <tr r="D857" s="2"/>
      </tp>
      <tp t="s">
        <v>#N/A N/A</v>
        <stp/>
        <stp>BDP|923024891766045628</stp>
        <tr r="C574" s="2"/>
      </tp>
      <tp t="s">
        <v>#N/A N/A</v>
        <stp/>
        <stp>BDP|789924819713699220</stp>
        <tr r="S651" s="2"/>
      </tp>
      <tp t="s">
        <v>#N/A N/A</v>
        <stp/>
        <stp>BDP|133534189646043235</stp>
        <tr r="N1264" s="2"/>
      </tp>
      <tp t="s">
        <v>#N/A N/A</v>
        <stp/>
        <stp>BDP|190495791323653766</stp>
        <tr r="K2218" s="2"/>
      </tp>
      <tp t="s">
        <v>#N/A N/A</v>
        <stp/>
        <stp>BDP|134560645141967924</stp>
        <tr r="S353" s="2"/>
      </tp>
      <tp t="s">
        <v>#N/A N/A</v>
        <stp/>
        <stp>BDP|979003410298193024</stp>
        <tr r="G1848" s="2"/>
      </tp>
      <tp t="s">
        <v>#N/A N/A</v>
        <stp/>
        <stp>BDP|745855354163880747</stp>
        <tr r="C723" s="2"/>
      </tp>
      <tp t="s">
        <v>#N/A N/A</v>
        <stp/>
        <stp>BDP|976643331215006969</stp>
        <tr r="K627" s="2"/>
      </tp>
      <tp t="s">
        <v>#N/A N/A</v>
        <stp/>
        <stp>BDP|405567182954247086</stp>
        <tr r="D1014" s="2"/>
      </tp>
      <tp t="s">
        <v>#N/A N/A</v>
        <stp/>
        <stp>BDP|615503697680906526</stp>
        <tr r="J1695" s="2"/>
      </tp>
      <tp t="s">
        <v>#N/A N/A</v>
        <stp/>
        <stp>BDP|898827030365722779</stp>
        <tr r="S2211" s="2"/>
      </tp>
      <tp t="s">
        <v>#N/A N/A</v>
        <stp/>
        <stp>BDP|661087953369657510</stp>
        <tr r="H1544" s="2"/>
      </tp>
      <tp t="s">
        <v>#N/A N/A</v>
        <stp/>
        <stp>BDP|179640726425976801</stp>
        <tr r="P1177" s="2"/>
      </tp>
      <tp t="s">
        <v>#N/A N/A</v>
        <stp/>
        <stp>BDP|624139398881720004</stp>
        <tr r="H1879" s="2"/>
      </tp>
      <tp t="s">
        <v>#N/A N/A</v>
        <stp/>
        <stp>BDP|250152682833751390</stp>
        <tr r="N291" s="2"/>
      </tp>
      <tp t="s">
        <v>#N/A N/A</v>
        <stp/>
        <stp>BDP|143685348428240389</stp>
        <tr r="R683" s="2"/>
      </tp>
      <tp t="s">
        <v>#N/A N/A</v>
        <stp/>
        <stp>BDP|536105961076859871</stp>
        <tr r="M2185" s="2"/>
      </tp>
      <tp t="s">
        <v>#N/A N/A</v>
        <stp/>
        <stp>BDP|748993411061464001</stp>
        <tr r="S1888" s="2"/>
      </tp>
      <tp t="s">
        <v>#N/A N/A</v>
        <stp/>
        <stp>BDP|929235227410162974</stp>
        <tr r="G124" s="2"/>
      </tp>
      <tp t="s">
        <v>#N/A N/A</v>
        <stp/>
        <stp>BDP|147245515813998925</stp>
        <tr r="K356" s="2"/>
      </tp>
      <tp t="s">
        <v>#N/A N/A</v>
        <stp/>
        <stp>BDP|873931907520534025</stp>
        <tr r="J15" s="2"/>
      </tp>
      <tp t="s">
        <v>#N/A N/A</v>
        <stp/>
        <stp>BDP|395455198364939036</stp>
        <tr r="P665" s="2"/>
      </tp>
      <tp t="s">
        <v>#N/A N/A</v>
        <stp/>
        <stp>BDP|149378891881290216</stp>
        <tr r="G234" s="2"/>
      </tp>
      <tp t="s">
        <v>#N/A N/A</v>
        <stp/>
        <stp>BDP|993696007328468778</stp>
        <tr r="P1215" s="2"/>
      </tp>
      <tp t="s">
        <v>#N/A N/A</v>
        <stp/>
        <stp>BDP|803465046790496989</stp>
        <tr r="N1910" s="2"/>
      </tp>
      <tp t="s">
        <v>#N/A N/A</v>
        <stp/>
        <stp>BDP|576013982654298509</stp>
        <tr r="M2241" s="2"/>
      </tp>
      <tp t="s">
        <v>#N/A N/A</v>
        <stp/>
        <stp>BDP|741426093234759056</stp>
        <tr r="D207" s="2"/>
      </tp>
      <tp t="s">
        <v>#N/A N/A</v>
        <stp/>
        <stp>BDP|513321343199149715</stp>
        <tr r="N1915" s="2"/>
      </tp>
      <tp t="s">
        <v>#N/A N/A</v>
        <stp/>
        <stp>BDP|352579384893764733</stp>
        <tr r="H147" s="2"/>
      </tp>
      <tp t="s">
        <v>#N/A N/A</v>
        <stp/>
        <stp>BDP|109571823148355622</stp>
        <tr r="D599" s="2"/>
      </tp>
      <tp t="s">
        <v>#N/A N/A</v>
        <stp/>
        <stp>BDP|170076481715562478</stp>
        <tr r="M676" s="2"/>
      </tp>
      <tp t="s">
        <v>#N/A N/A</v>
        <stp/>
        <stp>BDS|148842620131685260</stp>
        <tr r="I1362" s="2"/>
      </tp>
      <tp t="s">
        <v>#N/A N/A</v>
        <stp/>
        <stp>BDP|204657912247897980</stp>
        <tr r="Q2184" s="2"/>
      </tp>
      <tp t="s">
        <v>#N/A N/A</v>
        <stp/>
        <stp>BDP|990297094884624677</stp>
        <tr r="R1315" s="2"/>
      </tp>
      <tp t="s">
        <v>#N/A N/A</v>
        <stp/>
        <stp>BDS|234952283098224033</stp>
        <tr r="I462" s="2"/>
      </tp>
      <tp t="s">
        <v>#N/A N/A</v>
        <stp/>
        <stp>BDP|282081676847197988</stp>
        <tr r="P1109" s="2"/>
      </tp>
      <tp t="s">
        <v>#N/A N/A</v>
        <stp/>
        <stp>BDP|478689849509483242</stp>
        <tr r="T854" s="2"/>
      </tp>
      <tp t="s">
        <v>#N/A N/A</v>
        <stp/>
        <stp>BDP|144534752551701824</stp>
        <tr r="T947" s="2"/>
      </tp>
      <tp t="s">
        <v>#N/A N/A</v>
        <stp/>
        <stp>BDP|220572410208359530</stp>
        <tr r="N618" s="2"/>
      </tp>
      <tp t="s">
        <v>#N/A N/A</v>
        <stp/>
        <stp>BDP|250065595619178956</stp>
        <tr r="C1365" s="2"/>
      </tp>
      <tp t="s">
        <v>#N/A N/A</v>
        <stp/>
        <stp>BDP|568058511691418931</stp>
        <tr r="E2055" s="2"/>
      </tp>
      <tp t="s">
        <v>#N/A N/A</v>
        <stp/>
        <stp>BDP|325002465767501859</stp>
        <tr r="G562" s="2"/>
      </tp>
      <tp t="s">
        <v>#N/A N/A</v>
        <stp/>
        <stp>BDP|339319192102449123</stp>
        <tr r="G877" s="2"/>
      </tp>
      <tp t="s">
        <v>#N/A N/A</v>
        <stp/>
        <stp>BDP|453615699326207087</stp>
        <tr r="D1617" s="2"/>
      </tp>
      <tp t="s">
        <v>#N/A N/A</v>
        <stp/>
        <stp>BDP|667719377280380950</stp>
        <tr r="Q1516" s="2"/>
      </tp>
      <tp t="s">
        <v>#N/A N/A</v>
        <stp/>
        <stp>BDP|895126262119737786</stp>
        <tr r="J824" s="2"/>
      </tp>
      <tp t="s">
        <v>#N/A N/A</v>
        <stp/>
        <stp>BDP|283539213739098456</stp>
        <tr r="F459" s="2"/>
      </tp>
      <tp t="s">
        <v>#N/A N/A</v>
        <stp/>
        <stp>BDP|918011004180978929</stp>
        <tr r="K1238" s="2"/>
      </tp>
      <tp t="s">
        <v>#N/A N/A</v>
        <stp/>
        <stp>BDP|769198999798064900</stp>
        <tr r="H1015" s="2"/>
      </tp>
      <tp t="s">
        <v>#N/A N/A</v>
        <stp/>
        <stp>BDP|690592524209814748</stp>
        <tr r="Q758" s="2"/>
      </tp>
      <tp t="s">
        <v>#N/A N/A</v>
        <stp/>
        <stp>BDP|284391084717803508</stp>
        <tr r="C1592" s="2"/>
      </tp>
      <tp t="s">
        <v>#N/A N/A</v>
        <stp/>
        <stp>BDP|366449796400582449</stp>
        <tr r="T814" s="2"/>
      </tp>
      <tp t="s">
        <v>#N/A N/A</v>
        <stp/>
        <stp>BDP|298281511008838230</stp>
        <tr r="M1994" s="2"/>
      </tp>
      <tp t="s">
        <v>#N/A N/A</v>
        <stp/>
        <stp>BDP|248524587175291157</stp>
        <tr r="M750" s="2"/>
      </tp>
      <tp t="s">
        <v>#N/A N/A</v>
        <stp/>
        <stp>BDP|884063199730260055</stp>
        <tr r="E1145" s="2"/>
      </tp>
      <tp t="s">
        <v>#N/A N/A</v>
        <stp/>
        <stp>BDP|777079036053700912</stp>
        <tr r="H421" s="2"/>
      </tp>
      <tp t="s">
        <v>#N/A N/A</v>
        <stp/>
        <stp>BDP|953019568927253821</stp>
        <tr r="A109" s="2"/>
      </tp>
      <tp t="s">
        <v>#N/A N/A</v>
        <stp/>
        <stp>BDP|926446863929786293</stp>
        <tr r="F1549" s="2"/>
      </tp>
      <tp t="s">
        <v>#N/A N/A</v>
        <stp/>
        <stp>BDP|577804360685633230</stp>
        <tr r="S1372" s="2"/>
      </tp>
      <tp t="s">
        <v>#N/A N/A</v>
        <stp/>
        <stp>BDP|642514284565716140</stp>
        <tr r="S1039" s="2"/>
      </tp>
      <tp t="s">
        <v>#N/A N/A</v>
        <stp/>
        <stp>BDP|961800609109214822</stp>
        <tr r="P92" s="2"/>
      </tp>
      <tp t="s">
        <v>#N/A N/A</v>
        <stp/>
        <stp>BDP|717700586286555043</stp>
        <tr r="F2054" s="2"/>
      </tp>
      <tp t="s">
        <v>#N/A N/A</v>
        <stp/>
        <stp>BDP|484806806583060237</stp>
        <tr r="S554" s="2"/>
      </tp>
      <tp t="s">
        <v>#N/A N/A</v>
        <stp/>
        <stp>BDP|574309380462014040</stp>
        <tr r="T2116" s="2"/>
      </tp>
      <tp t="s">
        <v>#N/A N/A</v>
        <stp/>
        <stp>BDP|467708687523572573</stp>
        <tr r="O14" s="2"/>
      </tp>
      <tp t="s">
        <v>#N/A N/A</v>
        <stp/>
        <stp>BDP|733151156448013556</stp>
        <tr r="K299" s="2"/>
      </tp>
      <tp t="s">
        <v>#N/A N/A</v>
        <stp/>
        <stp>BDP|591248172018115431</stp>
        <tr r="T104" s="2"/>
      </tp>
      <tp t="s">
        <v>#N/A N/A</v>
        <stp/>
        <stp>BDP|758194688665136562</stp>
        <tr r="H1706" s="2"/>
      </tp>
      <tp t="s">
        <v>#N/A N/A</v>
        <stp/>
        <stp>BDP|697064290201608178</stp>
        <tr r="N1523" s="2"/>
      </tp>
      <tp t="s">
        <v>#N/A N/A</v>
        <stp/>
        <stp>BDP|225851348184599180</stp>
        <tr r="K1683" s="2"/>
      </tp>
      <tp t="s">
        <v>#N/A N/A</v>
        <stp/>
        <stp>BDP|485940734902285142</stp>
        <tr r="H781" s="2"/>
      </tp>
      <tp t="s">
        <v>#N/A N/A</v>
        <stp/>
        <stp>BDS|367016985060062159</stp>
        <tr r="I2196" s="2"/>
      </tp>
      <tp t="s">
        <v>#N/A N/A</v>
        <stp/>
        <stp>BDP|661097623922673983</stp>
        <tr r="T1635" s="2"/>
      </tp>
      <tp t="s">
        <v>#N/A N/A</v>
        <stp/>
        <stp>BDP|512370255826352961</stp>
        <tr r="K566" s="2"/>
      </tp>
      <tp t="s">
        <v>#N/A N/A</v>
        <stp/>
        <stp>BDP|320639102468159718</stp>
        <tr r="N1572" s="2"/>
      </tp>
      <tp t="s">
        <v>#N/A N/A</v>
        <stp/>
        <stp>BDP|964295433931787962</stp>
        <tr r="S271" s="2"/>
      </tp>
      <tp t="s">
        <v>#N/A N/A</v>
        <stp/>
        <stp>BDP|943989583738387034</stp>
        <tr r="A919" s="2"/>
      </tp>
      <tp t="s">
        <v>#N/A N/A</v>
        <stp/>
        <stp>BDP|406815600061548026</stp>
        <tr r="H975" s="2"/>
      </tp>
      <tp t="s">
        <v>#N/A N/A</v>
        <stp/>
        <stp>BDP|972055098474781419</stp>
        <tr r="A1115" s="2"/>
      </tp>
      <tp t="s">
        <v>#N/A N/A</v>
        <stp/>
        <stp>BDP|682030547729027417</stp>
        <tr r="R1027" s="2"/>
      </tp>
      <tp t="s">
        <v>#N/A N/A</v>
        <stp/>
        <stp>BDP|632938142695104154</stp>
        <tr r="F1382" s="2"/>
      </tp>
      <tp t="s">
        <v>#N/A N/A</v>
        <stp/>
        <stp>BDP|421017228453962879</stp>
        <tr r="E1593" s="2"/>
      </tp>
      <tp t="s">
        <v>#N/A N/A</v>
        <stp/>
        <stp>BDP|148772691994189358</stp>
        <tr r="H1992" s="2"/>
      </tp>
      <tp t="s">
        <v>#N/A N/A</v>
        <stp/>
        <stp>BDP|595179640554302827</stp>
        <tr r="F10" s="2"/>
      </tp>
      <tp t="s">
        <v>#N/A N/A</v>
        <stp/>
        <stp>BDP|349328942817232924</stp>
        <tr r="P165" s="2"/>
      </tp>
      <tp t="s">
        <v>#N/A N/A</v>
        <stp/>
        <stp>BDP|398159686507427771</stp>
        <tr r="E278" s="2"/>
      </tp>
      <tp t="s">
        <v>#N/A N/A</v>
        <stp/>
        <stp>BDP|850046698530440034</stp>
        <tr r="M705" s="2"/>
      </tp>
      <tp t="s">
        <v>#N/A N/A</v>
        <stp/>
        <stp>BDP|423441587793600623</stp>
        <tr r="H932" s="2"/>
      </tp>
      <tp t="s">
        <v>#N/A N/A</v>
        <stp/>
        <stp>BDP|481880634510896230</stp>
        <tr r="T304" s="2"/>
      </tp>
      <tp t="s">
        <v>#N/A N/A</v>
        <stp/>
        <stp>BDP|800428618858409455</stp>
        <tr r="O667" s="2"/>
      </tp>
      <tp t="s">
        <v>#N/A N/A</v>
        <stp/>
        <stp>BDP|874069880028547870</stp>
        <tr r="O1690" s="2"/>
      </tp>
      <tp t="s">
        <v>#N/A N/A</v>
        <stp/>
        <stp>BDP|846913750244245079</stp>
        <tr r="A2242" s="2"/>
      </tp>
      <tp t="s">
        <v>#N/A N/A</v>
        <stp/>
        <stp>BDP|182024867666063885</stp>
        <tr r="G759" s="2"/>
      </tp>
      <tp t="s">
        <v>#N/A N/A</v>
        <stp/>
        <stp>BDP|390390766674334932</stp>
        <tr r="G1394" s="2"/>
      </tp>
      <tp t="s">
        <v>#N/A N/A</v>
        <stp/>
        <stp>BDP|808041327643340941</stp>
        <tr r="H521" s="2"/>
      </tp>
      <tp t="s">
        <v>#N/A N/A</v>
        <stp/>
        <stp>BDP|946889072875674290</stp>
        <tr r="T427" s="2"/>
      </tp>
      <tp t="s">
        <v>#N/A N/A</v>
        <stp/>
        <stp>BDP|111553208924187911</stp>
        <tr r="P267" s="2"/>
      </tp>
      <tp t="s">
        <v>#N/A N/A</v>
        <stp/>
        <stp>BDP|859641214626139957</stp>
        <tr r="H350" s="2"/>
      </tp>
      <tp t="s">
        <v>#N/A N/A</v>
        <stp/>
        <stp>BDP|402906219624159402</stp>
        <tr r="F1039" s="2"/>
      </tp>
      <tp t="s">
        <v>#N/A N/A</v>
        <stp/>
        <stp>BDP|270050491724304597</stp>
        <tr r="G369" s="2"/>
      </tp>
      <tp t="s">
        <v>#N/A N/A</v>
        <stp/>
        <stp>BDP|453497946721602910</stp>
        <tr r="N1098" s="2"/>
      </tp>
      <tp t="s">
        <v>#N/A N/A</v>
        <stp/>
        <stp>BDS|581160309120333943</stp>
        <tr r="I1802" s="2"/>
      </tp>
      <tp t="s">
        <v>#N/A N/A</v>
        <stp/>
        <stp>BDP|624634708979506750</stp>
        <tr r="G41" s="2"/>
      </tp>
      <tp t="s">
        <v>#N/A N/A</v>
        <stp/>
        <stp>BDP|853358823641058832</stp>
        <tr r="C817" s="2"/>
      </tp>
      <tp t="s">
        <v>#N/A N/A</v>
        <stp/>
        <stp>BDP|121465289251303505</stp>
        <tr r="T367" s="2"/>
      </tp>
      <tp t="s">
        <v>#N/A N/A</v>
        <stp/>
        <stp>BDP|495871364562169480</stp>
        <tr r="R1890" s="2"/>
      </tp>
      <tp t="s">
        <v>#N/A N/A</v>
        <stp/>
        <stp>BDP|174373899486011413</stp>
        <tr r="M1130" s="2"/>
      </tp>
      <tp t="s">
        <v>#N/A N/A</v>
        <stp/>
        <stp>BDP|310201498644338766</stp>
        <tr r="P890" s="2"/>
      </tp>
      <tp t="s">
        <v>#N/A N/A</v>
        <stp/>
        <stp>BDP|471836376514770380</stp>
        <tr r="H404" s="2"/>
      </tp>
      <tp t="s">
        <v>#N/A N/A</v>
        <stp/>
        <stp>BDS|626075678336529920</stp>
        <tr r="I1270" s="2"/>
      </tp>
      <tp t="s">
        <v>#N/A N/A</v>
        <stp/>
        <stp>BDP|160166653284246882</stp>
        <tr r="M1564" s="2"/>
      </tp>
      <tp t="s">
        <v>#N/A N/A</v>
        <stp/>
        <stp>BDP|955893128862556021</stp>
        <tr r="N874" s="2"/>
      </tp>
      <tp t="s">
        <v>#N/A N/A</v>
        <stp/>
        <stp>BDP|715621998325393212</stp>
        <tr r="J2159" s="2"/>
      </tp>
      <tp t="s">
        <v>#N/A N/A</v>
        <stp/>
        <stp>BDP|505819860934814237</stp>
        <tr r="M453" s="2"/>
      </tp>
      <tp t="s">
        <v>#N/A N/A</v>
        <stp/>
        <stp>BDP|463959258934420023</stp>
        <tr r="M1012" s="2"/>
      </tp>
      <tp t="s">
        <v>#N/A N/A</v>
        <stp/>
        <stp>BDP|923077694334447569</stp>
        <tr r="A617" s="2"/>
      </tp>
      <tp t="s">
        <v>#N/A N/A</v>
        <stp/>
        <stp>BDP|253217498511468279</stp>
        <tr r="Q910" s="2"/>
      </tp>
      <tp t="s">
        <v>#N/A N/A</v>
        <stp/>
        <stp>BDP|981215663588596463</stp>
        <tr r="C2136" s="2"/>
      </tp>
      <tp t="s">
        <v>#N/A N/A</v>
        <stp/>
        <stp>BDP|554929232263581184</stp>
        <tr r="K1525" s="2"/>
      </tp>
      <tp t="s">
        <v>#N/A N/A</v>
        <stp/>
        <stp>BDP|463308461939904443</stp>
        <tr r="J2203" s="2"/>
      </tp>
      <tp t="s">
        <v>#N/A N/A</v>
        <stp/>
        <stp>BDP|227288645436034879</stp>
        <tr r="S760" s="2"/>
      </tp>
      <tp t="s">
        <v>#N/A N/A</v>
        <stp/>
        <stp>BDP|529801661734877246</stp>
        <tr r="N762" s="2"/>
      </tp>
      <tp t="s">
        <v>#N/A N/A</v>
        <stp/>
        <stp>BDP|173282679154880909</stp>
        <tr r="F653" s="2"/>
      </tp>
      <tp t="s">
        <v>#N/A N/A</v>
        <stp/>
        <stp>BDP|825177271898114664</stp>
        <tr r="O1716" s="2"/>
      </tp>
      <tp t="s">
        <v>#N/A N/A</v>
        <stp/>
        <stp>BDP|668087944004680850</stp>
        <tr r="K514" s="2"/>
      </tp>
      <tp t="s">
        <v>#N/A N/A</v>
        <stp/>
        <stp>BDP|579591993022601604</stp>
        <tr r="F415" s="2"/>
      </tp>
      <tp t="s">
        <v>#N/A N/A</v>
        <stp/>
        <stp>BDP|543260789961494376</stp>
        <tr r="O1233" s="2"/>
      </tp>
      <tp t="s">
        <v>#N/A N/A</v>
        <stp/>
        <stp>BDP|346377213638619284</stp>
        <tr r="D1253" s="2"/>
      </tp>
      <tp t="s">
        <v>#N/A N/A</v>
        <stp/>
        <stp>BDP|514443531789145680</stp>
        <tr r="T1274" s="2"/>
      </tp>
      <tp t="s">
        <v>#N/A N/A</v>
        <stp/>
        <stp>BDP|728459085033496798</stp>
        <tr r="Q2171" s="2"/>
      </tp>
      <tp t="s">
        <v>#N/A N/A</v>
        <stp/>
        <stp>BDP|570998722764007742</stp>
        <tr r="C4" s="2"/>
      </tp>
      <tp t="s">
        <v>#N/A N/A</v>
        <stp/>
        <stp>BDP|509813518345592439</stp>
        <tr r="F1107" s="2"/>
      </tp>
      <tp t="s">
        <v>#N/A N/A</v>
        <stp/>
        <stp>BDP|922172458088554495</stp>
        <tr r="S1097" s="2"/>
      </tp>
      <tp t="s">
        <v>#N/A N/A</v>
        <stp/>
        <stp>BDP|761081985315613561</stp>
        <tr r="C1771" s="2"/>
      </tp>
      <tp t="s">
        <v>#N/A N/A</v>
        <stp/>
        <stp>BDS|423625398817727025</stp>
        <tr r="I349" s="2"/>
      </tp>
      <tp t="s">
        <v>#N/A N/A</v>
        <stp/>
        <stp>BDS|153799537264299869</stp>
        <tr r="I2208" s="2"/>
      </tp>
      <tp t="s">
        <v>#N/A N/A</v>
        <stp/>
        <stp>BDP|597082293691112040</stp>
        <tr r="S93" s="2"/>
      </tp>
      <tp t="s">
        <v>#N/A N/A</v>
        <stp/>
        <stp>BDP|591054538489241210</stp>
        <tr r="K384" s="2"/>
      </tp>
      <tp t="s">
        <v>#N/A N/A</v>
        <stp/>
        <stp>BDP|801604112598265734</stp>
        <tr r="J1130" s="2"/>
      </tp>
      <tp t="s">
        <v>#N/A N/A</v>
        <stp/>
        <stp>BDP|319978322794638747</stp>
        <tr r="E1125" s="2"/>
      </tp>
      <tp t="s">
        <v>#N/A N/A</v>
        <stp/>
        <stp>BDP|575568850541628913</stp>
        <tr r="E426" s="2"/>
      </tp>
      <tp t="s">
        <v>#N/A N/A</v>
        <stp/>
        <stp>BDP|829992112167295755</stp>
        <tr r="P225" s="2"/>
      </tp>
      <tp t="s">
        <v>#N/A N/A</v>
        <stp/>
        <stp>BDP|824435441660996875</stp>
        <tr r="C547" s="2"/>
      </tp>
      <tp t="s">
        <v>#N/A N/A</v>
        <stp/>
        <stp>BDP|139703281190625720</stp>
        <tr r="S308" s="2"/>
      </tp>
      <tp t="s">
        <v>#N/A N/A</v>
        <stp/>
        <stp>BDP|786564712245075979</stp>
        <tr r="N1351" s="2"/>
      </tp>
      <tp t="s">
        <v>#N/A N/A</v>
        <stp/>
        <stp>BDS|962887982828098077</stp>
        <tr r="I2175" s="2"/>
      </tp>
      <tp t="s">
        <v>#N/A N/A</v>
        <stp/>
        <stp>BDP|621046494054253505</stp>
        <tr r="S161" s="2"/>
      </tp>
      <tp t="s">
        <v>#N/A N/A</v>
        <stp/>
        <stp>BDP|787876122817452527</stp>
        <tr r="R1758" s="2"/>
      </tp>
      <tp t="s">
        <v>#N/A N/A</v>
        <stp/>
        <stp>BDP|870881202990116064</stp>
        <tr r="Q1552" s="2"/>
      </tp>
      <tp t="s">
        <v>#N/A N/A</v>
        <stp/>
        <stp>BDP|735124730853848981</stp>
        <tr r="F1633" s="2"/>
      </tp>
      <tp t="s">
        <v>#N/A N/A</v>
        <stp/>
        <stp>BDP|301946346422720739</stp>
        <tr r="M823" s="2"/>
      </tp>
      <tp t="s">
        <v>#N/A N/A</v>
        <stp/>
        <stp>BDP|692104443469679460</stp>
        <tr r="H133" s="2"/>
      </tp>
      <tp t="s">
        <v>#N/A N/A</v>
        <stp/>
        <stp>BDP|441814830921529255</stp>
        <tr r="E2098" s="2"/>
      </tp>
      <tp t="s">
        <v>#N/A N/A</v>
        <stp/>
        <stp>BDP|531064496357513659</stp>
        <tr r="R1477" s="2"/>
      </tp>
      <tp t="s">
        <v>#N/A N/A</v>
        <stp/>
        <stp>BDP|591852500857796726</stp>
        <tr r="H1212" s="2"/>
      </tp>
      <tp t="s">
        <v>#N/A N/A</v>
        <stp/>
        <stp>BDP|152781558749703333</stp>
        <tr r="H1557" s="2"/>
      </tp>
      <tp t="s">
        <v>#N/A N/A</v>
        <stp/>
        <stp>BDP|520024091774655552</stp>
        <tr r="K1631" s="2"/>
      </tp>
      <tp t="s">
        <v>#N/A N/A</v>
        <stp/>
        <stp>BDP|619924905607271663</stp>
        <tr r="Q1656" s="2"/>
      </tp>
      <tp t="s">
        <v>#N/A N/A</v>
        <stp/>
        <stp>BDP|249470934337372875</stp>
        <tr r="O1246" s="2"/>
      </tp>
      <tp t="s">
        <v>#N/A N/A</v>
        <stp/>
        <stp>BDP|895341019513667954</stp>
        <tr r="R1005" s="2"/>
      </tp>
      <tp t="s">
        <v>#N/A N/A</v>
        <stp/>
        <stp>BDS|156965171660566652</stp>
        <tr r="I1958" s="2"/>
      </tp>
      <tp t="s">
        <v>#N/A N/A</v>
        <stp/>
        <stp>BDP|225332863738106554</stp>
        <tr r="N1966" s="2"/>
      </tp>
      <tp t="s">
        <v>#N/A N/A</v>
        <stp/>
        <stp>BDP|227666243938293237</stp>
        <tr r="P1495" s="2"/>
      </tp>
      <tp t="s">
        <v>#N/A N/A</v>
        <stp/>
        <stp>BDP|275080789590443017</stp>
        <tr r="C1770" s="2"/>
      </tp>
      <tp t="s">
        <v>#N/A N/A</v>
        <stp/>
        <stp>BDP|402063997305341405</stp>
        <tr r="O18" s="2"/>
      </tp>
      <tp t="s">
        <v>#N/A N/A</v>
        <stp/>
        <stp>BDP|556835062572531477</stp>
        <tr r="K157" s="2"/>
      </tp>
      <tp t="s">
        <v>#N/A N/A</v>
        <stp/>
        <stp>BDS|332635411688575721</stp>
        <tr r="I1873" s="2"/>
      </tp>
      <tp t="s">
        <v>#N/A N/A</v>
        <stp/>
        <stp>BDS|414634759999906219</stp>
        <tr r="I450" s="2"/>
      </tp>
      <tp t="s">
        <v>#N/A N/A</v>
        <stp/>
        <stp>BDP|606898845217897358</stp>
        <tr r="C957" s="2"/>
      </tp>
      <tp t="s">
        <v>#N/A N/A</v>
        <stp/>
        <stp>BDP|181818466976027013</stp>
        <tr r="R786" s="2"/>
      </tp>
      <tp t="s">
        <v>#N/A N/A</v>
        <stp/>
        <stp>BDP|785981137186916466</stp>
        <tr r="N274" s="2"/>
      </tp>
      <tp t="s">
        <v>#N/A N/A</v>
        <stp/>
        <stp>BDP|562384088697512477</stp>
        <tr r="A1640" s="2"/>
      </tp>
      <tp t="s">
        <v>#N/A N/A</v>
        <stp/>
        <stp>BDS|150300623349016055</stp>
        <tr r="I1295" s="2"/>
      </tp>
      <tp t="s">
        <v>#N/A N/A</v>
        <stp/>
        <stp>BDP|412754357493522943</stp>
        <tr r="K126" s="2"/>
      </tp>
      <tp t="s">
        <v>#N/A N/A</v>
        <stp/>
        <stp>BDP|955985135533778145</stp>
        <tr r="H1626" s="2"/>
      </tp>
      <tp t="s">
        <v>#N/A N/A</v>
        <stp/>
        <stp>BDP|514089132618951365</stp>
        <tr r="E1404" s="2"/>
      </tp>
      <tp t="s">
        <v>#N/A N/A</v>
        <stp/>
        <stp>BDP|251264734960183911</stp>
        <tr r="O206" s="2"/>
      </tp>
      <tp t="s">
        <v>#N/A N/A</v>
        <stp/>
        <stp>BDP|459705415227103904</stp>
        <tr r="A558" s="2"/>
      </tp>
      <tp t="s">
        <v>#N/A N/A</v>
        <stp/>
        <stp>BDP|150851572763653402</stp>
        <tr r="A1216" s="2"/>
      </tp>
      <tp t="s">
        <v>#N/A N/A</v>
        <stp/>
        <stp>BDP|104889778754360332</stp>
        <tr r="T1677" s="2"/>
      </tp>
      <tp t="s">
        <v>#N/A N/A</v>
        <stp/>
        <stp>BDP|770422032376390954</stp>
        <tr r="O1190" s="2"/>
      </tp>
      <tp t="s">
        <v>#N/A N/A</v>
        <stp/>
        <stp>BDP|389405237479195648</stp>
        <tr r="K1450" s="2"/>
      </tp>
      <tp t="s">
        <v>#N/A N/A</v>
        <stp/>
        <stp>BDP|891958277812819430</stp>
        <tr r="P2111" s="2"/>
      </tp>
      <tp t="s">
        <v>#N/A N/A</v>
        <stp/>
        <stp>BDP|350078131279403207</stp>
        <tr r="R780" s="2"/>
      </tp>
      <tp t="s">
        <v>#N/A N/A</v>
        <stp/>
        <stp>BDP|675822830972465119</stp>
        <tr r="S2015" s="2"/>
      </tp>
      <tp t="s">
        <v>#N/A N/A</v>
        <stp/>
        <stp>BDP|124232340506678853</stp>
        <tr r="C1404" s="2"/>
      </tp>
      <tp t="s">
        <v>#N/A N/A</v>
        <stp/>
        <stp>BDP|208942477000211625</stp>
        <tr r="T594" s="2"/>
      </tp>
      <tp t="s">
        <v>#N/A N/A</v>
        <stp/>
        <stp>BDP|836342169544111950</stp>
        <tr r="K1696" s="2"/>
      </tp>
      <tp t="s">
        <v>#N/A N/A</v>
        <stp/>
        <stp>BDP|437580477603034998</stp>
        <tr r="S801" s="2"/>
      </tp>
      <tp t="s">
        <v>#N/A N/A</v>
        <stp/>
        <stp>BDP|116594536876968857</stp>
        <tr r="E181" s="2"/>
      </tp>
      <tp t="s">
        <v>#N/A N/A</v>
        <stp/>
        <stp>BDP|159972802346184770</stp>
        <tr r="O1453" s="2"/>
      </tp>
      <tp t="s">
        <v>#N/A N/A</v>
        <stp/>
        <stp>BDS|302165704430242919</stp>
        <tr r="I1408" s="2"/>
      </tp>
      <tp t="s">
        <v>#N/A N/A</v>
        <stp/>
        <stp>BDP|902888962137079113</stp>
        <tr r="G1281" s="2"/>
      </tp>
      <tp t="s">
        <v>#N/A N/A</v>
        <stp/>
        <stp>BDP|709725956039951384</stp>
        <tr r="M2052" s="2"/>
      </tp>
      <tp t="s">
        <v>#N/A N/A</v>
        <stp/>
        <stp>BDP|799555144400494919</stp>
        <tr r="C31" s="2"/>
      </tp>
      <tp t="s">
        <v>#N/A N/A</v>
        <stp/>
        <stp>BDP|180455582930297475</stp>
        <tr r="R1301" s="2"/>
      </tp>
      <tp t="s">
        <v>#N/A N/A</v>
        <stp/>
        <stp>BDP|565371280824254732</stp>
        <tr r="D164" s="2"/>
      </tp>
      <tp t="s">
        <v>#N/A N/A</v>
        <stp/>
        <stp>BDP|544263100623388937</stp>
        <tr r="M1873" s="2"/>
      </tp>
      <tp t="s">
        <v>#N/A N/A</v>
        <stp/>
        <stp>BDP|625449002115395901</stp>
        <tr r="R870" s="2"/>
      </tp>
      <tp t="s">
        <v>#N/A N/A</v>
        <stp/>
        <stp>BDP|615020782678145841</stp>
        <tr r="Q514" s="2"/>
      </tp>
      <tp t="s">
        <v>#N/A N/A</v>
        <stp/>
        <stp>BDP|450442052338130104</stp>
        <tr r="K1302" s="2"/>
      </tp>
      <tp t="s">
        <v>#N/A N/A</v>
        <stp/>
        <stp>BDP|459012432568231365</stp>
        <tr r="N1996" s="2"/>
      </tp>
      <tp t="s">
        <v>#N/A N/A</v>
        <stp/>
        <stp>BDP|834430814498597664</stp>
        <tr r="F139" s="2"/>
      </tp>
      <tp t="s">
        <v>#N/A N/A</v>
        <stp/>
        <stp>BDP|453479294110806637</stp>
        <tr r="R337" s="2"/>
      </tp>
      <tp t="s">
        <v>#N/A N/A</v>
        <stp/>
        <stp>BDP|767485783892150515</stp>
        <tr r="M1186" s="2"/>
      </tp>
      <tp t="s">
        <v>#N/A N/A</v>
        <stp/>
        <stp>BDS|428623078002294803</stp>
        <tr r="I1511" s="2"/>
      </tp>
      <tp t="s">
        <v>#N/A N/A</v>
        <stp/>
        <stp>BDP|509185785610090243</stp>
        <tr r="A1765" s="2"/>
      </tp>
      <tp t="s">
        <v>#N/A N/A</v>
        <stp/>
        <stp>BDP|170700778013699831</stp>
        <tr r="Q1385" s="2"/>
      </tp>
      <tp t="s">
        <v>#N/A N/A</v>
        <stp/>
        <stp>BDP|132592966931660942</stp>
        <tr r="J966" s="2"/>
      </tp>
      <tp t="s">
        <v>#N/A N/A</v>
        <stp/>
        <stp>BDP|947779724008192678</stp>
        <tr r="R335" s="2"/>
      </tp>
      <tp t="s">
        <v>#N/A N/A</v>
        <stp/>
        <stp>BDP|429560044073217983</stp>
        <tr r="C1584" s="2"/>
      </tp>
      <tp t="s">
        <v>#N/A N/A</v>
        <stp/>
        <stp>BDP|857131281597423525</stp>
        <tr r="K1041" s="2"/>
      </tp>
      <tp t="s">
        <v>#N/A N/A</v>
        <stp/>
        <stp>BDP|936071683610557344</stp>
        <tr r="J1506" s="2"/>
      </tp>
      <tp t="s">
        <v>#N/A N/A</v>
        <stp/>
        <stp>BDP|179272831238966238</stp>
        <tr r="K1177" s="2"/>
      </tp>
      <tp t="s">
        <v>#N/A N/A</v>
        <stp/>
        <stp>BDP|535772138916636914</stp>
        <tr r="N1143" s="2"/>
      </tp>
      <tp t="s">
        <v>#N/A N/A</v>
        <stp/>
        <stp>BDP|240579082422831426</stp>
        <tr r="P1340" s="2"/>
      </tp>
      <tp t="s">
        <v>#N/A N/A</v>
        <stp/>
        <stp>BDP|884179051499502667</stp>
        <tr r="Q1373" s="2"/>
      </tp>
      <tp t="s">
        <v>#N/A N/A</v>
        <stp/>
        <stp>BDP|652424534808420498</stp>
        <tr r="J2144" s="2"/>
      </tp>
      <tp t="s">
        <v>#N/A N/A</v>
        <stp/>
        <stp>BDP|706330078169957681</stp>
        <tr r="S532" s="2"/>
      </tp>
      <tp t="s">
        <v>#N/A N/A</v>
        <stp/>
        <stp>BDP|674955888482190847</stp>
        <tr r="F1292" s="2"/>
      </tp>
      <tp t="s">
        <v>#N/A N/A</v>
        <stp/>
        <stp>BDP|374888976870284411</stp>
        <tr r="S1713" s="2"/>
      </tp>
      <tp t="s">
        <v>#N/A N/A</v>
        <stp/>
        <stp>BDP|356969669166315211</stp>
        <tr r="E581" s="2"/>
      </tp>
      <tp t="s">
        <v>#N/A N/A</v>
        <stp/>
        <stp>BDP|978990140814689285</stp>
        <tr r="O2096" s="2"/>
      </tp>
      <tp t="s">
        <v>#N/A N/A</v>
        <stp/>
        <stp>BDP|140997412801536218</stp>
        <tr r="E621" s="2"/>
      </tp>
      <tp t="s">
        <v>#N/A N/A</v>
        <stp/>
        <stp>BDP|243834606777133481</stp>
        <tr r="N1104" s="2"/>
      </tp>
      <tp t="s">
        <v>#N/A N/A</v>
        <stp/>
        <stp>BDP|949803552812505416</stp>
        <tr r="A1696" s="2"/>
      </tp>
      <tp t="s">
        <v>#N/A N/A</v>
        <stp/>
        <stp>BDP|442629629247245822</stp>
        <tr r="H445" s="2"/>
      </tp>
      <tp t="s">
        <v>#N/A N/A</v>
        <stp/>
        <stp>BDP|428737884714582094</stp>
        <tr r="E563" s="2"/>
      </tp>
      <tp t="s">
        <v>#N/A N/A</v>
        <stp/>
        <stp>BDP|803906440514543229</stp>
        <tr r="T1534" s="2"/>
      </tp>
      <tp t="s">
        <v>#N/A N/A</v>
        <stp/>
        <stp>BDP|849939022484745413</stp>
        <tr r="G1052" s="2"/>
      </tp>
      <tp t="s">
        <v>#N/A N/A</v>
        <stp/>
        <stp>BDP|271534891965945261</stp>
        <tr r="D283" s="2"/>
      </tp>
      <tp t="s">
        <v>#N/A N/A</v>
        <stp/>
        <stp>BDP|293168419608439366</stp>
        <tr r="N847" s="2"/>
      </tp>
      <tp t="s">
        <v>#N/A N/A</v>
        <stp/>
        <stp>BDP|904837007116585504</stp>
        <tr r="C294" s="2"/>
      </tp>
      <tp t="s">
        <v>#N/A N/A</v>
        <stp/>
        <stp>BDP|429385077836458974</stp>
        <tr r="E2160" s="2"/>
      </tp>
      <tp t="s">
        <v>#N/A N/A</v>
        <stp/>
        <stp>BDP|605575969440546858</stp>
        <tr r="F594" s="2"/>
      </tp>
      <tp t="s">
        <v>#N/A N/A</v>
        <stp/>
        <stp>BDP|373607189543580670</stp>
        <tr r="E1315" s="2"/>
      </tp>
      <tp t="s">
        <v>#N/A N/A</v>
        <stp/>
        <stp>BDP|808038575275686903</stp>
        <tr r="A1229" s="2"/>
      </tp>
      <tp t="s">
        <v>#N/A N/A</v>
        <stp/>
        <stp>BDP|124207233113903932</stp>
        <tr r="P1283" s="2"/>
      </tp>
      <tp t="s">
        <v>#N/A N/A</v>
        <stp/>
        <stp>BDP|297907052301820609</stp>
        <tr r="J2064" s="2"/>
      </tp>
      <tp t="s">
        <v>#N/A N/A</v>
        <stp/>
        <stp>BDP|670337584085922518</stp>
        <tr r="G2134" s="2"/>
      </tp>
      <tp t="s">
        <v>#N/A N/A</v>
        <stp/>
        <stp>BDP|675704680582791686</stp>
        <tr r="Q1974" s="2"/>
      </tp>
      <tp t="s">
        <v>#N/A N/A</v>
        <stp/>
        <stp>BDS|432298130793005940</stp>
        <tr r="I976" s="2"/>
      </tp>
      <tp t="s">
        <v>#N/A N/A</v>
        <stp/>
        <stp>BDP|771895343682164550</stp>
        <tr r="K691" s="2"/>
      </tp>
      <tp t="s">
        <v>#N/A N/A</v>
        <stp/>
        <stp>BDP|283591882985743374</stp>
        <tr r="A1132" s="2"/>
      </tp>
      <tp t="s">
        <v>#N/A N/A</v>
        <stp/>
        <stp>BDP|845091388611935296</stp>
        <tr r="Q1382" s="2"/>
      </tp>
      <tp t="s">
        <v>#N/A N/A</v>
        <stp/>
        <stp>BDP|951773127667549950</stp>
        <tr r="M1875" s="2"/>
      </tp>
      <tp t="s">
        <v>#N/A N/A</v>
        <stp/>
        <stp>BDP|341824228117427647</stp>
        <tr r="O1682" s="2"/>
      </tp>
      <tp t="s">
        <v>#N/A N/A</v>
        <stp/>
        <stp>BDP|171929423987120780</stp>
        <tr r="O1304" s="2"/>
      </tp>
      <tp t="s">
        <v>#N/A N/A</v>
        <stp/>
        <stp>BDP|765753792933853627</stp>
        <tr r="T405" s="2"/>
      </tp>
      <tp t="s">
        <v>#N/A N/A</v>
        <stp/>
        <stp>BDP|460898851802789413</stp>
        <tr r="M603" s="2"/>
      </tp>
      <tp t="s">
        <v>#N/A N/A</v>
        <stp/>
        <stp>BDS|793938946241870707</stp>
        <tr r="I1098" s="2"/>
      </tp>
      <tp t="s">
        <v>#N/A N/A</v>
        <stp/>
        <stp>BDS|498253000120816939</stp>
        <tr r="I1105" s="2"/>
      </tp>
      <tp t="s">
        <v>#N/A N/A</v>
        <stp/>
        <stp>BDP|593024078458086457</stp>
        <tr r="P1280" s="2"/>
      </tp>
      <tp t="s">
        <v>#N/A N/A</v>
        <stp/>
        <stp>BDP|921504697691453601</stp>
        <tr r="Q1819" s="2"/>
      </tp>
      <tp t="s">
        <v>#N/A N/A</v>
        <stp/>
        <stp>BDP|467203969949248643</stp>
        <tr r="Q1918" s="2"/>
      </tp>
      <tp t="s">
        <v>#N/A N/A</v>
        <stp/>
        <stp>BDP|498819430978719893</stp>
        <tr r="D1604" s="2"/>
      </tp>
      <tp t="s">
        <v>#N/A N/A</v>
        <stp/>
        <stp>BDP|570188741887508928</stp>
        <tr r="O2172" s="2"/>
      </tp>
      <tp t="s">
        <v>#N/A N/A</v>
        <stp/>
        <stp>BDP|428431666209254080</stp>
        <tr r="H2043" s="2"/>
      </tp>
      <tp t="s">
        <v>#N/A N/A</v>
        <stp/>
        <stp>BDP|875399739648597365</stp>
        <tr r="C2006" s="2"/>
      </tp>
      <tp t="s">
        <v>#N/A N/A</v>
        <stp/>
        <stp>BDP|262210840344086972</stp>
        <tr r="M425" s="2"/>
      </tp>
      <tp t="s">
        <v>#N/A N/A</v>
        <stp/>
        <stp>BDP|687990731058329997</stp>
        <tr r="A1692" s="2"/>
      </tp>
      <tp t="s">
        <v>#N/A N/A</v>
        <stp/>
        <stp>BDP|624762634389754671</stp>
        <tr r="E1817" s="2"/>
      </tp>
      <tp t="s">
        <v>#N/A N/A</v>
        <stp/>
        <stp>BDP|714351214829754047</stp>
        <tr r="F2070" s="2"/>
      </tp>
      <tp t="s">
        <v>#N/A N/A</v>
        <stp/>
        <stp>BDP|383419656943630972</stp>
        <tr r="G516" s="2"/>
      </tp>
      <tp t="s">
        <v>#N/A N/A</v>
        <stp/>
        <stp>BDP|358432114928566645</stp>
        <tr r="Q1822" s="2"/>
      </tp>
      <tp t="s">
        <v>#N/A N/A</v>
        <stp/>
        <stp>BDP|587956131833356273</stp>
        <tr r="R1249" s="2"/>
      </tp>
      <tp t="s">
        <v>#N/A N/A</v>
        <stp/>
        <stp>BDP|815913615354121785</stp>
        <tr r="Q452" s="2"/>
      </tp>
      <tp t="s">
        <v>#N/A N/A</v>
        <stp/>
        <stp>BDP|411071347689119600</stp>
        <tr r="K937" s="2"/>
      </tp>
      <tp t="s">
        <v>#N/A N/A</v>
        <stp/>
        <stp>BDP|894038229979677018</stp>
        <tr r="K390" s="2"/>
      </tp>
      <tp t="s">
        <v>#N/A N/A</v>
        <stp/>
        <stp>BDP|516826866777713235</stp>
        <tr r="G53" s="2"/>
      </tp>
      <tp t="s">
        <v>#N/A N/A</v>
        <stp/>
        <stp>BDP|997355585958867847</stp>
        <tr r="S1278" s="2"/>
      </tp>
      <tp t="s">
        <v>#N/A N/A</v>
        <stp/>
        <stp>BDP|566220650769073522</stp>
        <tr r="A938" s="2"/>
      </tp>
      <tp t="s">
        <v>#N/A N/A</v>
        <stp/>
        <stp>BDP|358409113617385967</stp>
        <tr r="A174" s="2"/>
      </tp>
      <tp t="s">
        <v>#N/A N/A</v>
        <stp/>
        <stp>BDP|545166616118380300</stp>
        <tr r="R1601" s="2"/>
      </tp>
      <tp t="s">
        <v>#N/A N/A</v>
        <stp/>
        <stp>BDP|903602313725997954</stp>
        <tr r="E1589" s="2"/>
      </tp>
      <tp t="s">
        <v>#N/A N/A</v>
        <stp/>
        <stp>BDP|881580586452631466</stp>
        <tr r="J558" s="2"/>
      </tp>
      <tp t="s">
        <v>#N/A N/A</v>
        <stp/>
        <stp>BDP|215414383207458020</stp>
        <tr r="A2148" s="2"/>
      </tp>
      <tp t="s">
        <v>#N/A N/A</v>
        <stp/>
        <stp>BDP|218082287113218091</stp>
        <tr r="K778" s="2"/>
      </tp>
      <tp t="s">
        <v>#N/A N/A</v>
        <stp/>
        <stp>BDP|536380481955910539</stp>
        <tr r="P1328" s="2"/>
      </tp>
      <tp t="s">
        <v>#N/A N/A</v>
        <stp/>
        <stp>BDP|753145682100193269</stp>
        <tr r="O1191" s="2"/>
      </tp>
      <tp t="s">
        <v>#N/A N/A</v>
        <stp/>
        <stp>BDP|898473814319955754</stp>
        <tr r="J1552" s="2"/>
      </tp>
      <tp t="s">
        <v>#N/A N/A</v>
        <stp/>
        <stp>BDP|836764255519997055</stp>
        <tr r="K1326" s="2"/>
      </tp>
      <tp t="s">
        <v>#N/A N/A</v>
        <stp/>
        <stp>BDP|489823678251974501</stp>
        <tr r="C1872" s="2"/>
      </tp>
      <tp t="s">
        <v>#N/A N/A</v>
        <stp/>
        <stp>BDP|707283395566507689</stp>
        <tr r="C709" s="2"/>
      </tp>
      <tp t="s">
        <v>#N/A N/A</v>
        <stp/>
        <stp>BDP|655955245140546644</stp>
        <tr r="J2204" s="2"/>
      </tp>
      <tp t="s">
        <v>#N/A N/A</v>
        <stp/>
        <stp>BDP|924097490833645118</stp>
        <tr r="M449" s="2"/>
      </tp>
      <tp t="s">
        <v>#N/A N/A</v>
        <stp/>
        <stp>BDP|342720862898598212</stp>
        <tr r="S1240" s="2"/>
      </tp>
      <tp t="s">
        <v>#N/A N/A</v>
        <stp/>
        <stp>BDP|973356866639477795</stp>
        <tr r="Q1785" s="2"/>
      </tp>
      <tp t="s">
        <v>#N/A N/A</v>
        <stp/>
        <stp>BDP|358933453024261318</stp>
        <tr r="G1312" s="2"/>
      </tp>
      <tp t="s">
        <v>#N/A N/A</v>
        <stp/>
        <stp>BDP|942497445873678835</stp>
        <tr r="S866" s="2"/>
      </tp>
      <tp t="s">
        <v>#N/A N/A</v>
        <stp/>
        <stp>BDS|805011068709169409</stp>
        <tr r="I1445" s="2"/>
      </tp>
      <tp t="s">
        <v>#N/A N/A</v>
        <stp/>
        <stp>BDP|115270048869801460</stp>
        <tr r="F201" s="2"/>
      </tp>
      <tp t="s">
        <v>#N/A N/A</v>
        <stp/>
        <stp>BDP|144736986452380670</stp>
        <tr r="N1548" s="2"/>
      </tp>
      <tp t="s">
        <v>#N/A N/A</v>
        <stp/>
        <stp>BDP|680600032559625722</stp>
        <tr r="P661" s="2"/>
      </tp>
      <tp t="s">
        <v>#N/A N/A</v>
        <stp/>
        <stp>BDP|900137055849806672</stp>
        <tr r="A618" s="2"/>
      </tp>
      <tp t="s">
        <v>#N/A N/A</v>
        <stp/>
        <stp>BDP|228899847992818540</stp>
        <tr r="Q900" s="2"/>
      </tp>
      <tp t="s">
        <v>#N/A N/A</v>
        <stp/>
        <stp>BDP|126574564508425065</stp>
        <tr r="J2084" s="2"/>
      </tp>
      <tp t="s">
        <v>#N/A N/A</v>
        <stp/>
        <stp>BDS|724003156889918796</stp>
        <tr r="I587" s="2"/>
      </tp>
      <tp t="s">
        <v>#N/A N/A</v>
        <stp/>
        <stp>BDP|160772338339890672</stp>
        <tr r="P2109" s="2"/>
      </tp>
      <tp t="s">
        <v>#N/A N/A</v>
        <stp/>
        <stp>BDP|833350416710980930</stp>
        <tr r="O2006" s="2"/>
      </tp>
      <tp t="s">
        <v>#N/A N/A</v>
        <stp/>
        <stp>BDP|170451689557462087</stp>
        <tr r="A454" s="2"/>
      </tp>
      <tp t="s">
        <v>#N/A N/A</v>
        <stp/>
        <stp>BDP|402120837730745975</stp>
        <tr r="N450" s="2"/>
      </tp>
      <tp t="s">
        <v>#N/A N/A</v>
        <stp/>
        <stp>BDP|374462116547132936</stp>
        <tr r="J1160" s="2"/>
      </tp>
      <tp t="s">
        <v>#N/A N/A</v>
        <stp/>
        <stp>BDP|235735190963068630</stp>
        <tr r="D1942" s="2"/>
      </tp>
      <tp t="s">
        <v>#N/A N/A</v>
        <stp/>
        <stp>BDP|100112584331745318</stp>
        <tr r="R1535" s="2"/>
      </tp>
      <tp t="s">
        <v>#N/A N/A</v>
        <stp/>
        <stp>BDP|621192518483546807</stp>
        <tr r="E1986" s="2"/>
      </tp>
      <tp t="s">
        <v>#N/A N/A</v>
        <stp/>
        <stp>BDS|153801600162457174</stp>
        <tr r="I2096" s="2"/>
      </tp>
      <tp t="s">
        <v>#N/A N/A</v>
        <stp/>
        <stp>BDP|534027276464238816</stp>
        <tr r="C2202" s="2"/>
      </tp>
      <tp t="s">
        <v>#N/A N/A</v>
        <stp/>
        <stp>BDP|396939079762841728</stp>
        <tr r="E2144" s="2"/>
      </tp>
      <tp t="s">
        <v>#N/A N/A</v>
        <stp/>
        <stp>BDP|433055495370059278</stp>
        <tr r="Q2059" s="2"/>
      </tp>
      <tp t="s">
        <v>#N/A N/A</v>
        <stp/>
        <stp>BDP|799260802780636965</stp>
        <tr r="M1423" s="2"/>
      </tp>
      <tp t="s">
        <v>#N/A N/A</v>
        <stp/>
        <stp>BDP|372108736581543837</stp>
        <tr r="E2256" s="2"/>
      </tp>
      <tp t="s">
        <v>#N/A N/A</v>
        <stp/>
        <stp>BDP|211414821289563448</stp>
        <tr r="N1072" s="2"/>
      </tp>
      <tp t="s">
        <v>#N/A N/A</v>
        <stp/>
        <stp>BDP|181557796224942386</stp>
        <tr r="Q358" s="2"/>
      </tp>
      <tp t="s">
        <v>#N/A N/A</v>
        <stp/>
        <stp>BDP|262502006787366949</stp>
        <tr r="M1013" s="2"/>
      </tp>
      <tp t="s">
        <v>#N/A N/A</v>
        <stp/>
        <stp>BDP|360141577654591964</stp>
        <tr r="Q828" s="2"/>
      </tp>
      <tp t="s">
        <v>#N/A N/A</v>
        <stp/>
        <stp>BDP|631910730640646123</stp>
        <tr r="G995" s="2"/>
      </tp>
      <tp t="s">
        <v>#N/A N/A</v>
        <stp/>
        <stp>BDP|949653308759098478</stp>
        <tr r="O1329" s="2"/>
      </tp>
      <tp t="s">
        <v>#N/A N/A</v>
        <stp/>
        <stp>BDP|695905027154035429</stp>
        <tr r="C1400" s="2"/>
      </tp>
      <tp t="s">
        <v>#N/A N/A</v>
        <stp/>
        <stp>BDS|962542178101676805</stp>
        <tr r="I615" s="2"/>
      </tp>
      <tp t="s">
        <v>#N/A N/A</v>
        <stp/>
        <stp>BDP|770538942748287274</stp>
        <tr r="E754" s="2"/>
      </tp>
      <tp t="s">
        <v>#N/A N/A</v>
        <stp/>
        <stp>BDP|430809580033128992</stp>
        <tr r="J1561" s="2"/>
      </tp>
      <tp t="s">
        <v>#N/A N/A</v>
        <stp/>
        <stp>BDS|916223032343632838</stp>
        <tr r="I1186" s="2"/>
      </tp>
      <tp t="s">
        <v>#N/A N/A</v>
        <stp/>
        <stp>BDP|200898342354217275</stp>
        <tr r="F2257" s="2"/>
      </tp>
      <tp t="s">
        <v>#N/A N/A</v>
        <stp/>
        <stp>BDP|897702541158175142</stp>
        <tr r="K2070" s="2"/>
      </tp>
      <tp t="s">
        <v>#N/A N/A</v>
        <stp/>
        <stp>BDP|989272896210269163</stp>
        <tr r="N2135" s="2"/>
      </tp>
      <tp t="s">
        <v>#N/A N/A</v>
        <stp/>
        <stp>BDP|828916466917029225</stp>
        <tr r="Q1834" s="2"/>
      </tp>
      <tp t="s">
        <v>#N/A N/A</v>
        <stp/>
        <stp>BDP|768668542368801064</stp>
        <tr r="G1038" s="2"/>
      </tp>
      <tp t="s">
        <v>#N/A N/A</v>
        <stp/>
        <stp>BDS|401377714021296981</stp>
        <tr r="I1088" s="2"/>
      </tp>
      <tp t="s">
        <v>#N/A N/A</v>
        <stp/>
        <stp>BDP|252646949141742954</stp>
        <tr r="M1079" s="2"/>
      </tp>
      <tp t="s">
        <v>#N/A N/A</v>
        <stp/>
        <stp>BDP|728731269028384339</stp>
        <tr r="N497" s="2"/>
      </tp>
      <tp t="s">
        <v>#N/A N/A</v>
        <stp/>
        <stp>BDP|465947070457905344</stp>
        <tr r="E832" s="2"/>
      </tp>
      <tp t="s">
        <v>#N/A N/A</v>
        <stp/>
        <stp>BDP|163235934123344881</stp>
        <tr r="D815" s="2"/>
      </tp>
      <tp t="s">
        <v>#N/A N/A</v>
        <stp/>
        <stp>BDP|216865120397130783</stp>
        <tr r="F2256" s="2"/>
      </tp>
      <tp t="s">
        <v>#N/A N/A</v>
        <stp/>
        <stp>BDP|779194374609546525</stp>
        <tr r="T1821" s="2"/>
      </tp>
      <tp t="s">
        <v>#N/A N/A</v>
        <stp/>
        <stp>BDP|576967922201938069</stp>
        <tr r="C1071" s="2"/>
      </tp>
      <tp t="s">
        <v>#N/A N/A</v>
        <stp/>
        <stp>BDP|385352857594795885</stp>
        <tr r="O1867" s="2"/>
      </tp>
      <tp t="s">
        <v>#N/A N/A</v>
        <stp/>
        <stp>BDP|646983351492258435</stp>
        <tr r="R921" s="2"/>
      </tp>
      <tp t="s">
        <v>#N/A N/A</v>
        <stp/>
        <stp>BDP|978694940329745197</stp>
        <tr r="Q940" s="2"/>
      </tp>
      <tp t="s">
        <v>#N/A N/A</v>
        <stp/>
        <stp>BDP|266009129031761930</stp>
        <tr r="T55" s="2"/>
      </tp>
      <tp t="s">
        <v>#N/A N/A</v>
        <stp/>
        <stp>BDS|353630610134733986</stp>
        <tr r="I1150" s="2"/>
      </tp>
      <tp t="s">
        <v>#N/A N/A</v>
        <stp/>
        <stp>BDP|489397887165030459</stp>
        <tr r="D627" s="2"/>
      </tp>
      <tp t="s">
        <v>#N/A N/A</v>
        <stp/>
        <stp>BDP|527503936719394582</stp>
        <tr r="D2050" s="2"/>
      </tp>
      <tp t="s">
        <v>#N/A N/A</v>
        <stp/>
        <stp>BDP|189291280932772275</stp>
        <tr r="H2210" s="2"/>
      </tp>
      <tp t="s">
        <v>#N/A N/A</v>
        <stp/>
        <stp>BDP|465142545669404690</stp>
        <tr r="Q2143" s="2"/>
      </tp>
      <tp t="s">
        <v>#N/A N/A</v>
        <stp/>
        <stp>BDP|609129932880762896</stp>
        <tr r="R713" s="2"/>
      </tp>
      <tp t="s">
        <v>#N/A N/A</v>
        <stp/>
        <stp>BDP|525322959259558533</stp>
        <tr r="M1639" s="2"/>
      </tp>
      <tp t="s">
        <v>#N/A N/A</v>
        <stp/>
        <stp>BDP|867264721779195373</stp>
        <tr r="E1580" s="2"/>
      </tp>
      <tp t="s">
        <v>#N/A N/A</v>
        <stp/>
        <stp>BDP|446969399042185839</stp>
        <tr r="S847" s="2"/>
      </tp>
      <tp t="s">
        <v>#N/A N/A</v>
        <stp/>
        <stp>BDP|548886759777426094</stp>
        <tr r="D2206" s="2"/>
      </tp>
      <tp t="s">
        <v>#N/A N/A</v>
        <stp/>
        <stp>BDP|798973387002740998</stp>
        <tr r="H1286" s="2"/>
      </tp>
      <tp t="s">
        <v>#N/A N/A</v>
        <stp/>
        <stp>BDP|731273980038815817</stp>
        <tr r="H720" s="2"/>
      </tp>
      <tp t="s">
        <v>#N/A N/A</v>
        <stp/>
        <stp>BDP|722786495646417275</stp>
        <tr r="M2002" s="2"/>
      </tp>
      <tp t="s">
        <v>#N/A N/A</v>
        <stp/>
        <stp>BDP|587827717616987505</stp>
        <tr r="F809" s="2"/>
      </tp>
      <tp t="s">
        <v>#N/A N/A</v>
        <stp/>
        <stp>BDP|221629778129484268</stp>
        <tr r="O79" s="2"/>
      </tp>
      <tp t="s">
        <v>#N/A N/A</v>
        <stp/>
        <stp>BDP|611802612471854269</stp>
        <tr r="H1751" s="2"/>
      </tp>
      <tp t="s">
        <v>#N/A N/A</v>
        <stp/>
        <stp>BDP|924945276705478159</stp>
        <tr r="K467" s="2"/>
      </tp>
      <tp t="s">
        <v>#N/A N/A</v>
        <stp/>
        <stp>BDP|466800411823875075</stp>
        <tr r="T1322" s="2"/>
      </tp>
      <tp t="s">
        <v>#N/A N/A</v>
        <stp/>
        <stp>BDP|143667755881126899</stp>
        <tr r="S2187" s="2"/>
      </tp>
      <tp t="s">
        <v>#N/A N/A</v>
        <stp/>
        <stp>BDP|327620238119614652</stp>
        <tr r="Q903" s="2"/>
      </tp>
      <tp t="s">
        <v>#N/A N/A</v>
        <stp/>
        <stp>BDP|782183808319976248</stp>
        <tr r="C962" s="2"/>
      </tp>
      <tp t="s">
        <v>#N/A N/A</v>
        <stp/>
        <stp>BDP|717748453620316899</stp>
        <tr r="H923" s="2"/>
      </tp>
      <tp t="s">
        <v>#N/A N/A</v>
        <stp/>
        <stp>BDP|500320764887144888</stp>
        <tr r="D1782" s="2"/>
      </tp>
      <tp t="s">
        <v>#N/A N/A</v>
        <stp/>
        <stp>BDP|625581585383845490</stp>
        <tr r="P2255" s="2"/>
      </tp>
      <tp t="s">
        <v>#N/A N/A</v>
        <stp/>
        <stp>BDP|555993613226728423</stp>
        <tr r="C1894" s="2"/>
      </tp>
      <tp t="s">
        <v>#N/A N/A</v>
        <stp/>
        <stp>BDP|665008890310524384</stp>
        <tr r="A1439" s="2"/>
      </tp>
      <tp t="s">
        <v>#N/A N/A</v>
        <stp/>
        <stp>BDP|518939508116199543</stp>
        <tr r="G1031" s="2"/>
      </tp>
      <tp t="s">
        <v>#N/A N/A</v>
        <stp/>
        <stp>BDP|271224467456439884</stp>
        <tr r="R1405" s="2"/>
      </tp>
      <tp t="s">
        <v>#N/A N/A</v>
        <stp/>
        <stp>BDP|153652880226127219</stp>
        <tr r="P298" s="2"/>
      </tp>
      <tp t="s">
        <v>#N/A N/A</v>
        <stp/>
        <stp>BDP|699312514449221152</stp>
        <tr r="H1638" s="2"/>
      </tp>
      <tp t="s">
        <v>#N/A N/A</v>
        <stp/>
        <stp>BDP|738140124228050138</stp>
        <tr r="K165" s="2"/>
      </tp>
      <tp t="s">
        <v>#N/A N/A</v>
        <stp/>
        <stp>BDS|309907000204539726</stp>
        <tr r="I858" s="2"/>
      </tp>
      <tp t="s">
        <v>#N/A N/A</v>
        <stp/>
        <stp>BDP|421376434798131226</stp>
        <tr r="C1080" s="2"/>
      </tp>
      <tp t="s">
        <v>#N/A N/A</v>
        <stp/>
        <stp>BDS|897980445151780679</stp>
        <tr r="I1405" s="2"/>
      </tp>
      <tp t="s">
        <v>#N/A N/A</v>
        <stp/>
        <stp>BDP|333748556499525113</stp>
        <tr r="C700" s="2"/>
      </tp>
      <tp t="s">
        <v>#N/A N/A</v>
        <stp/>
        <stp>BDP|728572831298643429</stp>
        <tr r="E356" s="2"/>
      </tp>
      <tp t="s">
        <v>#N/A N/A</v>
        <stp/>
        <stp>BDS|961494868980453891</stp>
        <tr r="I884" s="2"/>
      </tp>
      <tp t="s">
        <v>#N/A N/A</v>
        <stp/>
        <stp>BDP|681143714622050837</stp>
        <tr r="G751" s="2"/>
      </tp>
      <tp t="s">
        <v>#N/A N/A</v>
        <stp/>
        <stp>BDP|430918407166715504</stp>
        <tr r="A1562" s="2"/>
      </tp>
      <tp t="s">
        <v>#N/A N/A</v>
        <stp/>
        <stp>BDP|870298420848598212</stp>
        <tr r="E999" s="2"/>
      </tp>
      <tp t="s">
        <v>#N/A N/A</v>
        <stp/>
        <stp>BDP|281450842528047205</stp>
        <tr r="D1651" s="2"/>
      </tp>
      <tp t="s">
        <v>#N/A N/A</v>
        <stp/>
        <stp>BDP|632855302501509311</stp>
        <tr r="T1384" s="2"/>
      </tp>
      <tp t="s">
        <v>#N/A N/A</v>
        <stp/>
        <stp>BDP|253955660402151735</stp>
        <tr r="K1718" s="2"/>
      </tp>
      <tp t="s">
        <v>#N/A N/A</v>
        <stp/>
        <stp>BDP|552870547854301203</stp>
        <tr r="M1089" s="2"/>
      </tp>
      <tp t="s">
        <v>#N/A N/A</v>
        <stp/>
        <stp>BDP|725641630519159640</stp>
        <tr r="N535" s="2"/>
      </tp>
      <tp t="s">
        <v>#N/A N/A</v>
        <stp/>
        <stp>BDP|394817920790424008</stp>
        <tr r="M2202" s="2"/>
      </tp>
      <tp t="s">
        <v>#N/A N/A</v>
        <stp/>
        <stp>BDP|534545487571103610</stp>
        <tr r="C2149" s="2"/>
      </tp>
      <tp t="s">
        <v>#N/A N/A</v>
        <stp/>
        <stp>BDP|821923340827900059</stp>
        <tr r="T1472" s="2"/>
      </tp>
      <tp t="s">
        <v>#N/A N/A</v>
        <stp/>
        <stp>BDP|816554239604349816</stp>
        <tr r="T1548" s="2"/>
      </tp>
      <tp t="s">
        <v>#N/A N/A</v>
        <stp/>
        <stp>BDP|843805820047844763</stp>
        <tr r="T1900" s="2"/>
      </tp>
      <tp t="s">
        <v>#N/A N/A</v>
        <stp/>
        <stp>BDP|717270096271820087</stp>
        <tr r="T872" s="2"/>
      </tp>
      <tp t="s">
        <v>#N/A N/A</v>
        <stp/>
        <stp>BDP|469093498930149336</stp>
        <tr r="H2071" s="2"/>
      </tp>
      <tp t="s">
        <v>#N/A N/A</v>
        <stp/>
        <stp>BDP|244295096983955238</stp>
        <tr r="R1018" s="2"/>
      </tp>
      <tp t="s">
        <v>#N/A N/A</v>
        <stp/>
        <stp>BDP|904572269791260859</stp>
        <tr r="H1915" s="2"/>
      </tp>
      <tp t="s">
        <v>#N/A N/A</v>
        <stp/>
        <stp>BDP|331775788940537593</stp>
        <tr r="E1148" s="2"/>
      </tp>
      <tp t="s">
        <v>#N/A N/A</v>
        <stp/>
        <stp>BDP|696609490142685705</stp>
        <tr r="E2061" s="2"/>
      </tp>
      <tp t="s">
        <v>#N/A N/A</v>
        <stp/>
        <stp>BDP|332981405847642483</stp>
        <tr r="T1432" s="2"/>
      </tp>
      <tp t="s">
        <v>#N/A N/A</v>
        <stp/>
        <stp>BDP|633943240735092223</stp>
        <tr r="D951" s="2"/>
      </tp>
      <tp t="s">
        <v>#N/A N/A</v>
        <stp/>
        <stp>BDP|659727613628336445</stp>
        <tr r="A1503" s="2"/>
      </tp>
      <tp t="s">
        <v>#N/A N/A</v>
        <stp/>
        <stp>BDP|597039551079160660</stp>
        <tr r="A208" s="2"/>
      </tp>
      <tp t="s">
        <v>#N/A N/A</v>
        <stp/>
        <stp>BDP|199067275164650953</stp>
        <tr r="C400" s="2"/>
      </tp>
      <tp t="s">
        <v>#N/A N/A</v>
        <stp/>
        <stp>BDP|313049893113229072</stp>
        <tr r="D1257" s="2"/>
      </tp>
      <tp t="s">
        <v>#N/A N/A</v>
        <stp/>
        <stp>BDP|104968034336604644</stp>
        <tr r="G235" s="2"/>
      </tp>
      <tp t="s">
        <v>#N/A N/A</v>
        <stp/>
        <stp>BDP|843662372703885856</stp>
        <tr r="P1187" s="2"/>
      </tp>
      <tp t="s">
        <v>#N/A N/A</v>
        <stp/>
        <stp>BDP|696209520803348940</stp>
        <tr r="C838" s="2"/>
      </tp>
      <tp t="s">
        <v>#N/A N/A</v>
        <stp/>
        <stp>BDP|488841408103129187</stp>
        <tr r="F854" s="2"/>
      </tp>
      <tp t="s">
        <v>#N/A N/A</v>
        <stp/>
        <stp>BDP|833855709761764324</stp>
        <tr r="H12" s="2"/>
      </tp>
      <tp t="s">
        <v>#N/A N/A</v>
        <stp/>
        <stp>BDP|555036783291623327</stp>
        <tr r="D735" s="2"/>
      </tp>
      <tp t="s">
        <v>#N/A N/A</v>
        <stp/>
        <stp>BDP|115313651015721974</stp>
        <tr r="N1807" s="2"/>
      </tp>
      <tp t="s">
        <v>#N/A N/A</v>
        <stp/>
        <stp>BDP|454521504187189828</stp>
        <tr r="N232" s="2"/>
      </tp>
      <tp t="s">
        <v>#N/A N/A</v>
        <stp/>
        <stp>BDP|599888276574086197</stp>
        <tr r="P1504" s="2"/>
      </tp>
      <tp t="s">
        <v>#N/A N/A</v>
        <stp/>
        <stp>BDP|711712416314310818</stp>
        <tr r="C1008" s="2"/>
      </tp>
      <tp t="s">
        <v>#N/A N/A</v>
        <stp/>
        <stp>BDP|921097267448092457</stp>
        <tr r="P1052" s="2"/>
      </tp>
      <tp t="s">
        <v>#N/A N/A</v>
        <stp/>
        <stp>BDP|756458884813338579</stp>
        <tr r="G1837" s="2"/>
      </tp>
      <tp t="s">
        <v>#N/A N/A</v>
        <stp/>
        <stp>BDP|373979934553770350</stp>
        <tr r="M782" s="2"/>
      </tp>
      <tp t="s">
        <v>#N/A N/A</v>
        <stp/>
        <stp>BDP|824824557841704682</stp>
        <tr r="C2173" s="2"/>
      </tp>
      <tp t="s">
        <v>#N/A N/A</v>
        <stp/>
        <stp>BDP|148831278172175794</stp>
        <tr r="T2022" s="2"/>
      </tp>
      <tp t="s">
        <v>#N/A N/A</v>
        <stp/>
        <stp>BDP|100437321738216436</stp>
        <tr r="S1348" s="2"/>
      </tp>
      <tp t="s">
        <v>#N/A N/A</v>
        <stp/>
        <stp>BDP|338930204073386040</stp>
        <tr r="J1550" s="2"/>
      </tp>
      <tp t="s">
        <v>#N/A N/A</v>
        <stp/>
        <stp>BDP|278869690059624214</stp>
        <tr r="T666" s="2"/>
      </tp>
      <tp t="s">
        <v>#N/A N/A</v>
        <stp/>
        <stp>BDP|364029646177660921</stp>
        <tr r="H842" s="2"/>
      </tp>
      <tp t="s">
        <v>#N/A N/A</v>
        <stp/>
        <stp>BDP|662747093322743659</stp>
        <tr r="C431" s="2"/>
      </tp>
      <tp t="s">
        <v>#N/A N/A</v>
        <stp/>
        <stp>BDP|372447352093146874</stp>
        <tr r="E1734" s="2"/>
      </tp>
      <tp t="s">
        <v>#N/A N/A</v>
        <stp/>
        <stp>BDP|438533115688529645</stp>
        <tr r="P2129" s="2"/>
      </tp>
      <tp t="s">
        <v>#N/A N/A</v>
        <stp/>
        <stp>BDP|108432084064075253</stp>
        <tr r="C39" s="2"/>
      </tp>
      <tp t="s">
        <v>#N/A N/A</v>
        <stp/>
        <stp>BDP|711920423384519505</stp>
        <tr r="E1301" s="2"/>
      </tp>
      <tp t="s">
        <v>#N/A N/A</v>
        <stp/>
        <stp>BDP|838366316540828834</stp>
        <tr r="S1631" s="2"/>
      </tp>
      <tp t="s">
        <v>#N/A N/A</v>
        <stp/>
        <stp>BDP|169936326839546828</stp>
        <tr r="O189" s="2"/>
      </tp>
      <tp t="s">
        <v>#N/A N/A</v>
        <stp/>
        <stp>BDP|674854801258516</stp>
        <tr r="M251" s="2"/>
      </tp>
      <tp t="s">
        <v>#N/A N/A</v>
        <stp/>
        <stp>BDP|659040267113538</stp>
        <tr r="F1351" s="2"/>
      </tp>
      <tp t="s">
        <v>#N/A N/A</v>
        <stp/>
        <stp>BDP|503650877499556</stp>
        <tr r="M1940" s="2"/>
      </tp>
      <tp t="s">
        <v>#N/A N/A</v>
        <stp/>
        <stp>BDP|341872511181634</stp>
        <tr r="D1499" s="2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volatileDependencies" Target="volatileDependencies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258"/>
  <sheetViews>
    <sheetView workbookViewId="0">
      <selection activeCell="C2" sqref="C2"/>
    </sheetView>
  </sheetViews>
  <sheetFormatPr defaultRowHeight="15" x14ac:dyDescent="0.25"/>
  <cols>
    <col min="1" max="20" width="9.140625" bestFit="1" customWidth="1"/>
  </cols>
  <sheetData>
    <row r="1" spans="1:20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</row>
    <row r="2" spans="1:20" x14ac:dyDescent="0.25">
      <c r="A2" t="str">
        <f>_xll.BDP("13063DAQ Muni","ID_CUSIP")</f>
        <v>13063DAQ1</v>
      </c>
      <c r="B2" t="s">
        <v>20</v>
      </c>
      <c r="C2" t="str">
        <f>_xll.BDP("13063DAQ Muni","INSURANCE_STATUS")</f>
        <v>N</v>
      </c>
      <c r="D2" t="str">
        <f>_xll.BDP("13063DAQ Muni","STATE_CODE")</f>
        <v>CA</v>
      </c>
      <c r="E2" t="str">
        <f>_xll.BDP("13063DAQ Muni","COUNTY_LOCATION_ISSUER")</f>
        <v>Sacramento, CA</v>
      </c>
      <c r="F2">
        <f>_xll.BDP("13063DAQ Muni","DUR_ADJ_MID")</f>
        <v>3.0299719197408277</v>
      </c>
      <c r="G2">
        <f>_xll.BDP("13063DAQ Muni","SPREAD_AT_ISSUANCE_TO_WORST")</f>
        <v>23.73827601678795</v>
      </c>
      <c r="H2" t="str">
        <f>_xll.BDP("13063DAQ Muni","ISSUE_DT")</f>
        <v>9/12/2017</v>
      </c>
      <c r="I2" t="str">
        <f>_xll.BDS("13063DAQ Muni","MUNI_PURPOSE_SCHED", "aggregate=y")</f>
        <v>SCHOOL IMPS. WATER UTILITY IMPS. REFUNDING NOTES</v>
      </c>
      <c r="J2">
        <f>_xll.BDP("13063DAQ Muni","CPN")</f>
        <v>4</v>
      </c>
      <c r="K2" t="str">
        <f>_xll.BDP("13063DAQ Muni","MATURITY")</f>
        <v>11/1/2025</v>
      </c>
      <c r="L2">
        <v>31985000</v>
      </c>
      <c r="M2">
        <f>_xll.BDP("13063DAQ Muni","YIELD_ON_ISSUE_DATE")</f>
        <v>1.85</v>
      </c>
      <c r="N2">
        <f>_xll.BDP("13063DAQ Muni","YTW_SPREAD_TO_MATURITY_AT_ISSU")</f>
        <v>23.73827601678795</v>
      </c>
      <c r="O2" t="str">
        <f>_xll.BDP("13063DAQ Muni","BVAL_MID_YTM")</f>
        <v>#N/A Authorization</v>
      </c>
      <c r="P2" t="str">
        <f>_xll.BDP("13063DAQ Muni","MUNI_TAX_PROV")</f>
        <v>FED &amp; ST TAX-EXEMPT</v>
      </c>
      <c r="Q2" t="str">
        <f>_xll.BDP("13063DAQ Muni","MUNI_FED_TAX")</f>
        <v>N</v>
      </c>
      <c r="R2">
        <f>_xll.BDP("13063DAQ Muni","MUNI_MSRB_VOLUME")</f>
        <v>45000</v>
      </c>
      <c r="S2" t="str">
        <f>_xll.BDP("13063DAQ Muni","BB_COMPOSITE")</f>
        <v>AA-</v>
      </c>
      <c r="T2">
        <f>_xll.BDP("13063DAQ Muni","LQA_LIQUIDITY_SCORE")</f>
        <v>77</v>
      </c>
    </row>
    <row r="3" spans="1:20" x14ac:dyDescent="0.25">
      <c r="A3" t="str">
        <f>_xll.BDP("13034ARW Muni","ID_CUSIP")</f>
        <v>13034ARW2</v>
      </c>
      <c r="B3" t="s">
        <v>21</v>
      </c>
      <c r="C3" t="str">
        <f>_xll.BDP("13034ARW Muni","INSURANCE_STATUS")</f>
        <v>N</v>
      </c>
      <c r="D3" t="str">
        <f>_xll.BDP("13034ARW Muni","STATE_CODE")</f>
        <v>CA</v>
      </c>
      <c r="E3" t="str">
        <f>_xll.BDP("13034ARW Muni","COUNTY_LOCATION_ISSUER")</f>
        <v>Sacramento, CA</v>
      </c>
      <c r="F3">
        <f>_xll.BDP("13034ARW Muni","DUR_ADJ_MID")</f>
        <v>1.1200801314619979</v>
      </c>
      <c r="G3">
        <f>_xll.BDP("13034ARW Muni","SPREAD_AT_ISSUANCE_TO_WORST")</f>
        <v>-2.7976382589976589</v>
      </c>
      <c r="H3" t="str">
        <f>_xll.BDP("13034ARW Muni","ISSUE_DT")</f>
        <v>3/23/2017</v>
      </c>
      <c r="I3" t="str">
        <f>_xll.BDS("13034ARW Muni","MUNI_PURPOSE_SCHED", "aggregate=y")</f>
        <v>GREEN PURPOSE WATER UTILITY IMPS.</v>
      </c>
      <c r="J3">
        <f>_xll.BDP("13034ARW Muni","CPN")</f>
        <v>5</v>
      </c>
      <c r="K3" t="str">
        <f>_xll.BDP("13034ARW Muni","MATURITY")</f>
        <v>10/1/2023</v>
      </c>
      <c r="L3">
        <v>39755000</v>
      </c>
      <c r="M3">
        <f>_xll.BDP("13034ARW Muni","YIELD_ON_ISSUE_DATE")</f>
        <v>1.77</v>
      </c>
      <c r="N3">
        <f>_xll.BDP("13034ARW Muni","YTW_SPREAD_TO_MATURITY_AT_ISSU")</f>
        <v>-2.7976382589976589</v>
      </c>
      <c r="O3" t="str">
        <f>_xll.BDP("13034ARW Muni","BVAL_MID_YTM")</f>
        <v>#N/A Authorization</v>
      </c>
      <c r="P3" t="str">
        <f>_xll.BDP("13034ARW Muni","MUNI_TAX_PROV")</f>
        <v>FED &amp; ST TAX-EXEMPT</v>
      </c>
      <c r="Q3" t="str">
        <f>_xll.BDP("13034ARW Muni","MUNI_FED_TAX")</f>
        <v>N</v>
      </c>
      <c r="R3">
        <f>_xll.BDP("13034ARW Muni","MUNI_MSRB_VOLUME")</f>
        <v>75000</v>
      </c>
      <c r="S3" t="str">
        <f>_xll.BDP("13034ARW Muni","BB_COMPOSITE")</f>
        <v>AAA</v>
      </c>
      <c r="T3">
        <f>_xll.BDP("13034ARW Muni","LQA_LIQUIDITY_SCORE")</f>
        <v>95</v>
      </c>
    </row>
    <row r="4" spans="1:20" x14ac:dyDescent="0.25">
      <c r="A4" t="str">
        <f>_xll.BDP("64986DDG Muni","ID_CUSIP")</f>
        <v>64986DDG7</v>
      </c>
      <c r="B4" t="s">
        <v>22</v>
      </c>
      <c r="C4" t="str">
        <f>_xll.BDP("64986DDG Muni","INSURANCE_STATUS")</f>
        <v>N</v>
      </c>
      <c r="D4" t="str">
        <f>_xll.BDP("64986DDG Muni","STATE_CODE")</f>
        <v>NY</v>
      </c>
      <c r="E4" t="str">
        <f>_xll.BDP("64986DDG Muni","COUNTY_LOCATION_ISSUER")</f>
        <v>Albany, NY</v>
      </c>
      <c r="F4">
        <f>_xll.BDP("64986DDG Muni","DUR_ADJ_MID")</f>
        <v>2.6809280077526085</v>
      </c>
      <c r="G4">
        <f>_xll.BDP("64986DDG Muni","SPREAD_AT_ISSUANCE_TO_WORST")</f>
        <v>6.733772291209883</v>
      </c>
      <c r="H4" t="str">
        <f>_xll.BDP("64986DDG Muni","ISSUE_DT")</f>
        <v>4/13/2017</v>
      </c>
      <c r="I4" t="str">
        <f>_xll.BDS("64986DDG Muni","MUNI_PURPOSE_SCHED", "aggregate=y")</f>
        <v>WATER UTILITY IMPS. CURRENT REFUNDING GREEN PURPOSE</v>
      </c>
      <c r="J4">
        <f>_xll.BDP("64986DDG Muni","CPN")</f>
        <v>5</v>
      </c>
      <c r="K4" t="str">
        <f>_xll.BDP("64986DDG Muni","MATURITY")</f>
        <v>6/15/2025</v>
      </c>
      <c r="L4">
        <v>19725000</v>
      </c>
      <c r="M4">
        <f>_xll.BDP("64986DDG Muni","YIELD_ON_ISSUE_DATE")</f>
        <v>2.2400000000000002</v>
      </c>
      <c r="N4">
        <f>_xll.BDP("64986DDG Muni","YTW_SPREAD_TO_MATURITY_AT_ISSU")</f>
        <v>6.733772291209883</v>
      </c>
      <c r="O4" t="str">
        <f>_xll.BDP("64986DDG Muni","BVAL_MID_YTM")</f>
        <v>#N/A Authorization</v>
      </c>
      <c r="P4" t="str">
        <f>_xll.BDP("64986DDG Muni","MUNI_TAX_PROV")</f>
        <v>FED &amp; ST TAX-EXEMPT</v>
      </c>
      <c r="Q4" t="str">
        <f>_xll.BDP("64986DDG Muni","MUNI_FED_TAX")</f>
        <v>N</v>
      </c>
      <c r="R4">
        <f>_xll.BDP("64986DDG Muni","MUNI_MSRB_VOLUME")</f>
        <v>100000</v>
      </c>
      <c r="S4" t="str">
        <f>_xll.BDP("64986DDG Muni","BB_COMPOSITE")</f>
        <v>AAA</v>
      </c>
      <c r="T4">
        <f>_xll.BDP("64986DDG Muni","LQA_LIQUIDITY_SCORE")</f>
        <v>80</v>
      </c>
    </row>
    <row r="5" spans="1:20" x14ac:dyDescent="0.25">
      <c r="A5" t="str">
        <f>_xll.BDP("51219SFN Muni","ID_CUSIP")</f>
        <v>51219SFN3</v>
      </c>
      <c r="B5" t="s">
        <v>23</v>
      </c>
      <c r="C5" t="str">
        <f>_xll.BDP("51219SFN Muni","INSURANCE_STATUS")</f>
        <v>Y</v>
      </c>
      <c r="D5" t="str">
        <f>_xll.BDP("51219SFN Muni","STATE_CODE")</f>
        <v>TX</v>
      </c>
      <c r="E5" t="str">
        <f>_xll.BDP("51219SFN Muni","COUNTY_LOCATION_ISSUER")</f>
        <v>Travis, TX</v>
      </c>
      <c r="F5">
        <f>_xll.BDP("51219SFN Muni","DUR_ADJ_MID")</f>
        <v>1.0486591545700168</v>
      </c>
      <c r="G5">
        <f>_xll.BDP("51219SFN Muni","SPREAD_AT_ISSUANCE_TO_WORST")</f>
        <v>39.541356164383565</v>
      </c>
      <c r="H5" t="str">
        <f>_xll.BDP("51219SFN Muni","ISSUE_DT")</f>
        <v>12/1/2017</v>
      </c>
      <c r="I5" t="str">
        <f>_xll.BDS("51219SFN Muni","MUNI_PURPOSE_SCHED", "aggregate=y")</f>
        <v>WATER UTILITY IMPS. SEWER IMPS.</v>
      </c>
      <c r="J5">
        <f>_xll.BDP("51219SFN Muni","CPN")</f>
        <v>3</v>
      </c>
      <c r="K5" t="str">
        <f>_xll.BDP("51219SFN Muni","MATURITY")</f>
        <v>9/1/2023</v>
      </c>
      <c r="L5">
        <v>300000</v>
      </c>
      <c r="M5">
        <f>_xll.BDP("51219SFN Muni","YIELD_ON_ISSUE_DATE")</f>
        <v>2.25</v>
      </c>
      <c r="N5">
        <f>_xll.BDP("51219SFN Muni","YTW_SPREAD_TO_MATURITY_AT_ISSU")</f>
        <v>39.541356164383565</v>
      </c>
      <c r="O5" t="str">
        <f>_xll.BDP("51219SFN Muni","BVAL_MID_YTM")</f>
        <v>#N/A Authorization</v>
      </c>
      <c r="P5" t="str">
        <f>_xll.BDP("51219SFN Muni","MUNI_TAX_PROV")</f>
        <v>FED BQ</v>
      </c>
      <c r="Q5" t="str">
        <f>_xll.BDP("51219SFN Muni","MUNI_FED_TAX")</f>
        <v>N</v>
      </c>
      <c r="R5">
        <f>_xll.BDP("51219SFN Muni","MUNI_MSRB_VOLUME")</f>
        <v>400000</v>
      </c>
      <c r="S5" t="str">
        <f>_xll.BDP("51219SFN Muni","BB_COMPOSITE")</f>
        <v>A</v>
      </c>
      <c r="T5">
        <f>_xll.BDP("51219SFN Muni","LQA_LIQUIDITY_SCORE")</f>
        <v>89</v>
      </c>
    </row>
    <row r="6" spans="1:20" x14ac:dyDescent="0.25">
      <c r="A6" t="str">
        <f>_xll.BDP("837545LL Muni","ID_CUSIP")</f>
        <v>837545LL4</v>
      </c>
      <c r="B6" t="s">
        <v>24</v>
      </c>
      <c r="C6" t="str">
        <f>_xll.BDP("837545LL Muni","INSURANCE_STATUS")</f>
        <v>N</v>
      </c>
      <c r="D6" t="str">
        <f>_xll.BDP("837545LL Muni","STATE_CODE")</f>
        <v>SD</v>
      </c>
      <c r="E6" t="str">
        <f>_xll.BDP("837545LL Muni","COUNTY_LOCATION_ISSUER")</f>
        <v>Hughes, SD</v>
      </c>
      <c r="F6">
        <f>_xll.BDP("837545LL Muni","DUR_ADJ_MID")</f>
        <v>3.6572327106455629</v>
      </c>
      <c r="G6">
        <f>_xll.BDP("837545LL Muni","SPREAD_AT_ISSUANCE_TO_WORST")</f>
        <v>6.3528135363118743</v>
      </c>
      <c r="H6" t="str">
        <f>_xll.BDP("837545LL Muni","ISSUE_DT")</f>
        <v>8/23/2017</v>
      </c>
      <c r="I6" t="str">
        <f>_xll.BDS("837545LL Muni","MUNI_PURPOSE_SCHED", "aggregate=y")</f>
        <v>WATER UTILITY IMPS. SEWER IMPS. ADVANCE REFUNDING</v>
      </c>
      <c r="J6">
        <f>_xll.BDP("837545LL Muni","CPN")</f>
        <v>5</v>
      </c>
      <c r="K6" t="str">
        <f>_xll.BDP("837545LL Muni","MATURITY")</f>
        <v>8/1/2026</v>
      </c>
      <c r="L6">
        <v>6565000</v>
      </c>
      <c r="M6">
        <f>_xll.BDP("837545LL Muni","YIELD_ON_ISSUE_DATE")</f>
        <v>1.86</v>
      </c>
      <c r="N6">
        <f>_xll.BDP("837545LL Muni","YTW_SPREAD_TO_MATURITY_AT_ISSU")</f>
        <v>6.3528135363118743</v>
      </c>
      <c r="O6" t="str">
        <f>_xll.BDP("837545LL Muni","BVAL_MID_YTM")</f>
        <v>#N/A Authorization</v>
      </c>
      <c r="P6" t="str">
        <f>_xll.BDP("837545LL Muni","MUNI_TAX_PROV")</f>
        <v>FED TAX-EXEMPT</v>
      </c>
      <c r="Q6" t="str">
        <f>_xll.BDP("837545LL Muni","MUNI_FED_TAX")</f>
        <v>N</v>
      </c>
      <c r="R6">
        <f>_xll.BDP("837545LL Muni","MUNI_MSRB_VOLUME")</f>
        <v>435000</v>
      </c>
      <c r="S6" t="str">
        <f>_xll.BDP("837545LL Muni","BB_COMPOSITE")</f>
        <v>AAA</v>
      </c>
      <c r="T6">
        <f>_xll.BDP("837545LL Muni","LQA_LIQUIDITY_SCORE")</f>
        <v>60</v>
      </c>
    </row>
    <row r="7" spans="1:20" x14ac:dyDescent="0.25">
      <c r="A7" t="str">
        <f>_xll.BDP("45204EXP Muni","ID_CUSIP")</f>
        <v>45204EXP8</v>
      </c>
      <c r="B7" t="s">
        <v>25</v>
      </c>
      <c r="C7" t="str">
        <f>_xll.BDP("45204EXP Muni","INSURANCE_STATUS")</f>
        <v>N</v>
      </c>
      <c r="D7" t="str">
        <f>_xll.BDP("45204EXP Muni","STATE_CODE")</f>
        <v>IL</v>
      </c>
      <c r="E7" t="str">
        <f>_xll.BDP("45204EXP Muni","COUNTY_LOCATION_ISSUER")</f>
        <v>Cook, IL</v>
      </c>
      <c r="F7">
        <f>_xll.BDP("45204EXP Muni","DUR_ADJ_MID")</f>
        <v>2.7186202960932668</v>
      </c>
      <c r="G7">
        <f>_xll.BDP("45204EXP Muni","SPREAD_AT_ISSUANCE_TO_WORST")</f>
        <v>28.523949513826729</v>
      </c>
      <c r="H7" t="str">
        <f>_xll.BDP("45204EXP Muni","ISSUE_DT")</f>
        <v>9/12/2017</v>
      </c>
      <c r="I7" t="str">
        <f>_xll.BDS("45204EXP Muni","MUNI_PURPOSE_SCHED", "aggregate=y")</f>
        <v>GREEN PURPOSE WATER UTILITY IMPS. SEWER IMPS.</v>
      </c>
      <c r="J7">
        <f>_xll.BDP("45204EXP Muni","CPN")</f>
        <v>5</v>
      </c>
      <c r="K7" t="str">
        <f>_xll.BDP("45204EXP Muni","MATURITY")</f>
        <v>7/1/2025</v>
      </c>
      <c r="L7">
        <v>16730000</v>
      </c>
      <c r="M7">
        <f>_xll.BDP("45204EXP Muni","YIELD_ON_ISSUE_DATE")</f>
        <v>1.85</v>
      </c>
      <c r="N7">
        <f>_xll.BDP("45204EXP Muni","YTW_SPREAD_TO_MATURITY_AT_ISSU")</f>
        <v>28.523949513826729</v>
      </c>
      <c r="O7" t="str">
        <f>_xll.BDP("45204EXP Muni","BVAL_MID_YTM")</f>
        <v>#N/A Authorization</v>
      </c>
      <c r="P7" t="str">
        <f>_xll.BDP("45204EXP Muni","MUNI_TAX_PROV")</f>
        <v>FED TAX-EXEMPT/ST TAXABLE</v>
      </c>
      <c r="Q7" t="str">
        <f>_xll.BDP("45204EXP Muni","MUNI_FED_TAX")</f>
        <v>N</v>
      </c>
      <c r="R7">
        <f>_xll.BDP("45204EXP Muni","MUNI_MSRB_VOLUME")</f>
        <v>100000</v>
      </c>
      <c r="S7" t="str">
        <f>_xll.BDP("45204EXP Muni","BB_COMPOSITE")</f>
        <v>AAA</v>
      </c>
      <c r="T7">
        <f>_xll.BDP("45204EXP Muni","LQA_LIQUIDITY_SCORE")</f>
        <v>79</v>
      </c>
    </row>
    <row r="8" spans="1:20" x14ac:dyDescent="0.25">
      <c r="A8" t="str">
        <f>_xll.BDP("13034ARZ Muni","ID_CUSIP")</f>
        <v>13034ARZ5</v>
      </c>
      <c r="B8" t="s">
        <v>21</v>
      </c>
      <c r="C8" t="str">
        <f>_xll.BDP("13034ARZ Muni","INSURANCE_STATUS")</f>
        <v>N</v>
      </c>
      <c r="D8" t="str">
        <f>_xll.BDP("13034ARZ Muni","STATE_CODE")</f>
        <v>CA</v>
      </c>
      <c r="E8" t="str">
        <f>_xll.BDP("13034ARZ Muni","COUNTY_LOCATION_ISSUER")</f>
        <v>Sacramento, CA</v>
      </c>
      <c r="F8">
        <f>_xll.BDP("13034ARZ Muni","DUR_ADJ_MID")</f>
        <v>3.7428802360014557</v>
      </c>
      <c r="G8">
        <f>_xll.BDP("13034ARZ Muni","SPREAD_AT_ISSUANCE_TO_WORST")</f>
        <v>4.3383690781315654</v>
      </c>
      <c r="H8" t="str">
        <f>_xll.BDP("13034ARZ Muni","ISSUE_DT")</f>
        <v>3/23/2017</v>
      </c>
      <c r="I8" t="str">
        <f>_xll.BDS("13034ARZ Muni","MUNI_PURPOSE_SCHED", "aggregate=y")</f>
        <v>GREEN PURPOSE WATER UTILITY IMPS.</v>
      </c>
      <c r="J8">
        <f>_xll.BDP("13034ARZ Muni","CPN")</f>
        <v>5</v>
      </c>
      <c r="K8" t="str">
        <f>_xll.BDP("13034ARZ Muni","MATURITY")</f>
        <v>10/1/2026</v>
      </c>
      <c r="L8">
        <v>24525000</v>
      </c>
      <c r="M8">
        <f>_xll.BDP("13034ARZ Muni","YIELD_ON_ISSUE_DATE")</f>
        <v>2.27</v>
      </c>
      <c r="N8">
        <f>_xll.BDP("13034ARZ Muni","YTW_SPREAD_TO_MATURITY_AT_ISSU")</f>
        <v>4.3383690781315654</v>
      </c>
      <c r="O8" t="str">
        <f>_xll.BDP("13034ARZ Muni","BVAL_MID_YTM")</f>
        <v>#N/A Authorization</v>
      </c>
      <c r="P8" t="str">
        <f>_xll.BDP("13034ARZ Muni","MUNI_TAX_PROV")</f>
        <v>FED &amp; ST TAX-EXEMPT</v>
      </c>
      <c r="Q8" t="str">
        <f>_xll.BDP("13034ARZ Muni","MUNI_FED_TAX")</f>
        <v>N</v>
      </c>
      <c r="R8">
        <f>_xll.BDP("13034ARZ Muni","MUNI_MSRB_VOLUME")</f>
        <v>25000</v>
      </c>
      <c r="S8" t="str">
        <f>_xll.BDP("13034ARZ Muni","BB_COMPOSITE")</f>
        <v>AAA</v>
      </c>
      <c r="T8">
        <f>_xll.BDP("13034ARZ Muni","LQA_LIQUIDITY_SCORE")</f>
        <v>73</v>
      </c>
    </row>
    <row r="9" spans="1:20" x14ac:dyDescent="0.25">
      <c r="A9" t="str">
        <f>_xll.BDP("917572WH Muni","ID_CUSIP")</f>
        <v>917572WH8</v>
      </c>
      <c r="B9" t="s">
        <v>26</v>
      </c>
      <c r="C9" t="str">
        <f>_xll.BDP("917572WH Muni","INSURANCE_STATUS")</f>
        <v>N</v>
      </c>
      <c r="D9" t="str">
        <f>_xll.BDP("917572WH Muni","STATE_CODE")</f>
        <v>UT</v>
      </c>
      <c r="E9" t="str">
        <f>_xll.BDP("917572WH Muni","COUNTY_LOCATION_ISSUER")</f>
        <v>Salt Lake, UT</v>
      </c>
      <c r="F9">
        <f>_xll.BDP("917572WH Muni","DUR_ADJ_MID")</f>
        <v>1.4970961904765159</v>
      </c>
      <c r="G9">
        <f>_xll.BDP("917572WH Muni","SPREAD_AT_ISSUANCE_TO_WORST")</f>
        <v>19.858415436318122</v>
      </c>
      <c r="H9" t="str">
        <f>_xll.BDP("917572WH Muni","ISSUE_DT")</f>
        <v>7/20/2017</v>
      </c>
      <c r="I9" t="str">
        <f>_xll.BDS("917572WH Muni","MUNI_PURPOSE_SCHED", "aggregate=y")</f>
        <v>WATER UTILITY IMPS. SEWER IMPS.</v>
      </c>
      <c r="J9">
        <f>_xll.BDP("917572WH Muni","CPN")</f>
        <v>5</v>
      </c>
      <c r="K9" t="str">
        <f>_xll.BDP("917572WH Muni","MATURITY")</f>
        <v>3/1/2024</v>
      </c>
      <c r="L9">
        <v>3305000</v>
      </c>
      <c r="M9">
        <f>_xll.BDP("917572WH Muni","YIELD_ON_ISSUE_DATE")</f>
        <v>1.6500000000000001</v>
      </c>
      <c r="N9">
        <f>_xll.BDP("917572WH Muni","YTW_SPREAD_TO_MATURITY_AT_ISSU")</f>
        <v>19.858415436318122</v>
      </c>
      <c r="O9" t="str">
        <f>_xll.BDP("917572WH Muni","BVAL_MID_YTM")</f>
        <v>#N/A Authorization</v>
      </c>
      <c r="P9" t="str">
        <f>_xll.BDP("917572WH Muni","MUNI_TAX_PROV")</f>
        <v>FED &amp; ST TAX-EXEMPT</v>
      </c>
      <c r="Q9" t="str">
        <f>_xll.BDP("917572WH Muni","MUNI_FED_TAX")</f>
        <v>N</v>
      </c>
      <c r="R9">
        <f>_xll.BDP("917572WH Muni","MUNI_MSRB_VOLUME")</f>
        <v>30000</v>
      </c>
      <c r="S9" t="str">
        <f>_xll.BDP("917572WH Muni","BB_COMPOSITE")</f>
        <v>AA</v>
      </c>
      <c r="T9">
        <f>_xll.BDP("917572WH Muni","LQA_LIQUIDITY_SCORE")</f>
        <v>79</v>
      </c>
    </row>
    <row r="10" spans="1:20" x14ac:dyDescent="0.25">
      <c r="A10" t="str">
        <f>_xll.BDP("013493HD Muni","ID_CUSIP")</f>
        <v>013493HD6</v>
      </c>
      <c r="B10" t="s">
        <v>27</v>
      </c>
      <c r="C10" t="str">
        <f>_xll.BDP("013493HD Muni","INSURANCE_STATUS")</f>
        <v>N</v>
      </c>
      <c r="D10" t="str">
        <f>_xll.BDP("013493HD Muni","STATE_CODE")</f>
        <v>NM</v>
      </c>
      <c r="E10" t="str">
        <f>_xll.BDP("013493HD Muni","COUNTY_LOCATION_ISSUER")</f>
        <v>Bernalillo, NM</v>
      </c>
      <c r="F10">
        <f>_xll.BDP("013493HD Muni","DUR_ADJ_MID")</f>
        <v>0.89574888041160405</v>
      </c>
      <c r="G10">
        <f>_xll.BDP("013493HD Muni","SPREAD_AT_ISSUANCE_TO_WORST")</f>
        <v>16.65243162403587</v>
      </c>
      <c r="H10" t="str">
        <f>_xll.BDP("013493HD Muni","ISSUE_DT")</f>
        <v>3/1/2017</v>
      </c>
      <c r="I10" t="str">
        <f>_xll.BDS("013493HD Muni","MUNI_PURPOSE_SCHED", "aggregate=y")</f>
        <v>WATER UTILITY IMPS. SEWER IMPS. ADVANCE REFUNDING</v>
      </c>
      <c r="J10">
        <f>_xll.BDP("013493HD Muni","CPN")</f>
        <v>5</v>
      </c>
      <c r="K10" t="str">
        <f>_xll.BDP("013493HD Muni","MATURITY")</f>
        <v>7/1/2023</v>
      </c>
      <c r="L10">
        <v>4910000</v>
      </c>
      <c r="M10">
        <f>_xll.BDP("013493HD Muni","YIELD_ON_ISSUE_DATE")</f>
        <v>2.06</v>
      </c>
      <c r="N10">
        <f>_xll.BDP("013493HD Muni","YTW_SPREAD_TO_MATURITY_AT_ISSU")</f>
        <v>16.65243162403587</v>
      </c>
      <c r="O10" t="str">
        <f>_xll.BDP("013493HD Muni","BVAL_MID_YTM")</f>
        <v>#N/A Authorization</v>
      </c>
      <c r="P10" t="str">
        <f>_xll.BDP("013493HD Muni","MUNI_TAX_PROV")</f>
        <v>FED &amp; ST TAX-EXEMPT</v>
      </c>
      <c r="Q10" t="str">
        <f>_xll.BDP("013493HD Muni","MUNI_FED_TAX")</f>
        <v>N</v>
      </c>
      <c r="R10">
        <f>_xll.BDP("013493HD Muni","MUNI_MSRB_VOLUME")</f>
        <v>700000</v>
      </c>
      <c r="S10" t="str">
        <f>_xll.BDP("013493HD Muni","BB_COMPOSITE")</f>
        <v>AA</v>
      </c>
      <c r="T10">
        <f>_xll.BDP("013493HD Muni","LQA_LIQUIDITY_SCORE")</f>
        <v>93</v>
      </c>
    </row>
    <row r="11" spans="1:20" x14ac:dyDescent="0.25">
      <c r="A11" t="str">
        <f>_xll.BDP("46246K3X Muni","ID_CUSIP")</f>
        <v>46246K3X8</v>
      </c>
      <c r="B11" t="s">
        <v>28</v>
      </c>
      <c r="C11" t="str">
        <f>_xll.BDP("46246K3X Muni","INSURANCE_STATUS")</f>
        <v>N</v>
      </c>
      <c r="D11" t="str">
        <f>_xll.BDP("46246K3X Muni","STATE_CODE")</f>
        <v>IA</v>
      </c>
      <c r="E11" t="str">
        <f>_xll.BDP("46246K3X Muni","COUNTY_LOCATION_ISSUER")</f>
        <v>Polk, IA</v>
      </c>
      <c r="F11">
        <f>_xll.BDP("46246K3X Muni","DUR_ADJ_MID")</f>
        <v>0.97268242408841621</v>
      </c>
      <c r="G11">
        <f>_xll.BDP("46246K3X Muni","SPREAD_AT_ISSUANCE_TO_WORST")</f>
        <v>15.779890410958885</v>
      </c>
      <c r="H11" t="str">
        <f>_xll.BDP("46246K3X Muni","ISSUE_DT")</f>
        <v>12/14/2017</v>
      </c>
      <c r="I11" t="str">
        <f>_xll.BDS("46246K3X Muni","MUNI_PURPOSE_SCHED", "aggregate=y")</f>
        <v>WATER UTILITY IMPS. GREEN PURPOSE ADVANCE REFUNDING</v>
      </c>
      <c r="J11">
        <f>_xll.BDP("46246K3X Muni","CPN")</f>
        <v>5</v>
      </c>
      <c r="K11" t="str">
        <f>_xll.BDP("46246K3X Muni","MATURITY")</f>
        <v>8/1/2023</v>
      </c>
      <c r="L11">
        <v>12775000</v>
      </c>
      <c r="M11">
        <f>_xll.BDP("46246K3X Muni","YIELD_ON_ISSUE_DATE")</f>
        <v>1.9000000000000001</v>
      </c>
      <c r="N11">
        <f>_xll.BDP("46246K3X Muni","YTW_SPREAD_TO_MATURITY_AT_ISSU")</f>
        <v>15.779890410958885</v>
      </c>
      <c r="O11" t="str">
        <f>_xll.BDP("46246K3X Muni","BVAL_MID_YTM")</f>
        <v>#N/A Authorization</v>
      </c>
      <c r="P11" t="str">
        <f>_xll.BDP("46246K3X Muni","MUNI_TAX_PROV")</f>
        <v>FED &amp; ST TAX-EXEMPT</v>
      </c>
      <c r="Q11" t="str">
        <f>_xll.BDP("46246K3X Muni","MUNI_FED_TAX")</f>
        <v>N</v>
      </c>
      <c r="R11">
        <f>_xll.BDP("46246K3X Muni","MUNI_MSRB_VOLUME")</f>
        <v>15000</v>
      </c>
      <c r="S11" t="str">
        <f>_xll.BDP("46246K3X Muni","BB_COMPOSITE")</f>
        <v>AAA</v>
      </c>
      <c r="T11">
        <f>_xll.BDP("46246K3X Muni","LQA_LIQUIDITY_SCORE")</f>
        <v>91</v>
      </c>
    </row>
    <row r="12" spans="1:20" x14ac:dyDescent="0.25">
      <c r="A12" t="str">
        <f>_xll.BDP("98618FAH Muni","ID_CUSIP")</f>
        <v>98618FAH7</v>
      </c>
      <c r="B12" t="s">
        <v>29</v>
      </c>
      <c r="C12" t="str">
        <f>_xll.BDP("98618FAH Muni","INSURANCE_STATUS")</f>
        <v>N</v>
      </c>
      <c r="D12" t="str">
        <f>_xll.BDP("98618FAH Muni","STATE_CODE")</f>
        <v>CA</v>
      </c>
      <c r="E12" t="str">
        <f>_xll.BDP("98618FAH Muni","COUNTY_LOCATION_ISSUER")</f>
        <v>Orange, CA</v>
      </c>
      <c r="F12">
        <f>_xll.BDP("98618FAH Muni","DUR_ADJ_MID")</f>
        <v>2.0280865484276545</v>
      </c>
      <c r="G12">
        <f>_xll.BDP("98618FAH Muni","SPREAD_AT_ISSUANCE_TO_WORST")</f>
        <v>2.5450883671672475</v>
      </c>
      <c r="H12" t="str">
        <f>_xll.BDP("98618FAH Muni","ISSUE_DT")</f>
        <v>5/11/2017</v>
      </c>
      <c r="I12" t="str">
        <f>_xll.BDS("98618FAH Muni","MUNI_PURPOSE_SCHED", "aggregate=y")</f>
        <v>ADVANCE REFUNDING WATER UTILITY IMPS.</v>
      </c>
      <c r="J12">
        <f>_xll.BDP("98618FAH Muni","CPN")</f>
        <v>5</v>
      </c>
      <c r="K12" t="str">
        <f>_xll.BDP("98618FAH Muni","MATURITY")</f>
        <v>10/1/2024</v>
      </c>
      <c r="L12">
        <v>1095000</v>
      </c>
      <c r="M12">
        <f>_xll.BDP("98618FAH Muni","YIELD_ON_ISSUE_DATE")</f>
        <v>1.81</v>
      </c>
      <c r="N12">
        <f>_xll.BDP("98618FAH Muni","YTW_SPREAD_TO_MATURITY_AT_ISSU")</f>
        <v>2.5450883671672475</v>
      </c>
      <c r="O12" t="str">
        <f>_xll.BDP("98618FAH Muni","BVAL_MID_YTM")</f>
        <v>#N/A Authorization</v>
      </c>
      <c r="P12" t="str">
        <f>_xll.BDP("98618FAH Muni","MUNI_TAX_PROV")</f>
        <v>FED &amp; ST TAX-EXEMPT</v>
      </c>
      <c r="Q12" t="str">
        <f>_xll.BDP("98618FAH Muni","MUNI_FED_TAX")</f>
        <v>N</v>
      </c>
      <c r="R12">
        <f>_xll.BDP("98618FAH Muni","MUNI_MSRB_VOLUME")</f>
        <v>600000</v>
      </c>
      <c r="S12" t="str">
        <f>_xll.BDP("98618FAH Muni","BB_COMPOSITE")</f>
        <v>AA+</v>
      </c>
      <c r="T12">
        <f>_xll.BDP("98618FAH Muni","LQA_LIQUIDITY_SCORE")</f>
        <v>68</v>
      </c>
    </row>
    <row r="13" spans="1:20" x14ac:dyDescent="0.25">
      <c r="A13" t="str">
        <f>_xll.BDP("898797EC Muni","ID_CUSIP")</f>
        <v>898797EC5</v>
      </c>
      <c r="B13" t="s">
        <v>30</v>
      </c>
      <c r="C13" t="str">
        <f>_xll.BDP("898797EC Muni","INSURANCE_STATUS")</f>
        <v>N</v>
      </c>
      <c r="D13" t="str">
        <f>_xll.BDP("898797EC Muni","STATE_CODE")</f>
        <v>AZ</v>
      </c>
      <c r="E13" t="str">
        <f>_xll.BDP("898797EC Muni","COUNTY_LOCATION_ISSUER")</f>
        <v>Pima, AZ</v>
      </c>
      <c r="F13">
        <f>_xll.BDP("898797EC Muni","DUR_ADJ_MID")</f>
        <v>1.8286813328672389</v>
      </c>
      <c r="G13">
        <f>_xll.BDP("898797EC Muni","SPREAD_AT_ISSUANCE_TO_WORST")</f>
        <v>8.9499650945381823</v>
      </c>
      <c r="H13" t="str">
        <f>_xll.BDP("898797EC Muni","ISSUE_DT")</f>
        <v>6/28/2017</v>
      </c>
      <c r="I13" t="str">
        <f>_xll.BDS("898797EC Muni","MUNI_PURPOSE_SCHED", "aggregate=y")</f>
        <v>ADVANCE REFUNDING CURRENT REFUNDING WATER UTILITY IMPS.</v>
      </c>
      <c r="J13">
        <f>_xll.BDP("898797EC Muni","CPN")</f>
        <v>5</v>
      </c>
      <c r="K13" t="str">
        <f>_xll.BDP("898797EC Muni","MATURITY")</f>
        <v>7/1/2024</v>
      </c>
      <c r="L13">
        <v>6880000</v>
      </c>
      <c r="M13">
        <f>_xll.BDP("898797EC Muni","YIELD_ON_ISSUE_DATE")</f>
        <v>1.59</v>
      </c>
      <c r="N13">
        <f>_xll.BDP("898797EC Muni","YTW_SPREAD_TO_MATURITY_AT_ISSU")</f>
        <v>8.9499650945381823</v>
      </c>
      <c r="O13" t="str">
        <f>_xll.BDP("898797EC Muni","BVAL_MID_YTM")</f>
        <v>#N/A Authorization</v>
      </c>
      <c r="P13" t="str">
        <f>_xll.BDP("898797EC Muni","MUNI_TAX_PROV")</f>
        <v>FED &amp; ST TAX-EXEMPT</v>
      </c>
      <c r="Q13" t="str">
        <f>_xll.BDP("898797EC Muni","MUNI_FED_TAX")</f>
        <v>N</v>
      </c>
      <c r="R13">
        <f>_xll.BDP("898797EC Muni","MUNI_MSRB_VOLUME")</f>
        <v>75000</v>
      </c>
      <c r="S13" t="str">
        <f>_xll.BDP("898797EC Muni","BB_COMPOSITE")</f>
        <v>AA</v>
      </c>
      <c r="T13">
        <f>_xll.BDP("898797EC Muni","LQA_LIQUIDITY_SCORE")</f>
        <v>79</v>
      </c>
    </row>
    <row r="14" spans="1:20" x14ac:dyDescent="0.25">
      <c r="A14" t="str">
        <f>_xll.BDP("882854ZS Muni","ID_CUSIP")</f>
        <v>882854ZS4</v>
      </c>
      <c r="B14" t="s">
        <v>31</v>
      </c>
      <c r="C14" t="str">
        <f>_xll.BDP("882854ZS Muni","INSURANCE_STATUS")</f>
        <v>N</v>
      </c>
      <c r="D14" t="str">
        <f>_xll.BDP("882854ZS Muni","STATE_CODE")</f>
        <v>TX</v>
      </c>
      <c r="E14" t="str">
        <f>_xll.BDP("882854ZS Muni","COUNTY_LOCATION_ISSUER")</f>
        <v>Travis, TX</v>
      </c>
      <c r="F14">
        <f>_xll.BDP("882854ZS Muni","DUR_ADJ_MID")</f>
        <v>2.5115709963877588</v>
      </c>
      <c r="G14">
        <f>_xll.BDP("882854ZS Muni","SPREAD_AT_ISSUANCE_TO_WORST")</f>
        <v>16.649802739726027</v>
      </c>
      <c r="H14" t="str">
        <f>_xll.BDP("882854ZS Muni","ISSUE_DT")</f>
        <v>10/12/2017</v>
      </c>
      <c r="I14" t="str">
        <f>_xll.BDS("882854ZS Muni","MUNI_PURPOSE_SCHED", "aggregate=y")</f>
        <v>WATER UTILITY IMPS.</v>
      </c>
      <c r="J14">
        <f>_xll.BDP("882854ZS Muni","CPN")</f>
        <v>5</v>
      </c>
      <c r="K14" t="str">
        <f>_xll.BDP("882854ZS Muni","MATURITY")</f>
        <v>4/15/2025</v>
      </c>
      <c r="L14">
        <v>27850000</v>
      </c>
      <c r="M14">
        <f>_xll.BDP("882854ZS Muni","YIELD_ON_ISSUE_DATE")</f>
        <v>1.79</v>
      </c>
      <c r="N14">
        <f>_xll.BDP("882854ZS Muni","YTW_SPREAD_TO_MATURITY_AT_ISSU")</f>
        <v>16.649802739726027</v>
      </c>
      <c r="O14" t="str">
        <f>_xll.BDP("882854ZS Muni","BVAL_MID_YTM")</f>
        <v>#N/A Authorization</v>
      </c>
      <c r="P14" t="str">
        <f>_xll.BDP("882854ZS Muni","MUNI_TAX_PROV")</f>
        <v>FED TAX-EXEMPT</v>
      </c>
      <c r="Q14" t="str">
        <f>_xll.BDP("882854ZS Muni","MUNI_FED_TAX")</f>
        <v>N</v>
      </c>
      <c r="R14">
        <f>_xll.BDP("882854ZS Muni","MUNI_MSRB_VOLUME")</f>
        <v>225000</v>
      </c>
      <c r="S14" t="str">
        <f>_xll.BDP("882854ZS Muni","BB_COMPOSITE")</f>
        <v>AAA</v>
      </c>
      <c r="T14">
        <f>_xll.BDP("882854ZS Muni","LQA_LIQUIDITY_SCORE")</f>
        <v>85</v>
      </c>
    </row>
    <row r="15" spans="1:20" x14ac:dyDescent="0.25">
      <c r="A15" t="str">
        <f>_xll.BDP("64986DDF Muni","ID_CUSIP")</f>
        <v>64986DDF9</v>
      </c>
      <c r="B15" t="s">
        <v>22</v>
      </c>
      <c r="C15" t="str">
        <f>_xll.BDP("64986DDF Muni","INSURANCE_STATUS")</f>
        <v>N</v>
      </c>
      <c r="D15" t="str">
        <f>_xll.BDP("64986DDF Muni","STATE_CODE")</f>
        <v>NY</v>
      </c>
      <c r="E15" t="str">
        <f>_xll.BDP("64986DDF Muni","COUNTY_LOCATION_ISSUER")</f>
        <v>Albany, NY</v>
      </c>
      <c r="F15">
        <f>_xll.BDP("64986DDF Muni","DUR_ADJ_MID")</f>
        <v>1.785985605460026</v>
      </c>
      <c r="G15">
        <f>_xll.BDP("64986DDF Muni","SPREAD_AT_ISSUANCE_TO_WORST")</f>
        <v>7.0974808942408263</v>
      </c>
      <c r="H15" t="str">
        <f>_xll.BDP("64986DDF Muni","ISSUE_DT")</f>
        <v>4/13/2017</v>
      </c>
      <c r="I15" t="str">
        <f>_xll.BDS("64986DDF Muni","MUNI_PURPOSE_SCHED", "aggregate=y")</f>
        <v>WATER UTILITY IMPS. CURRENT REFUNDING GREEN PURPOSE</v>
      </c>
      <c r="J15">
        <f>_xll.BDP("64986DDF Muni","CPN")</f>
        <v>5</v>
      </c>
      <c r="K15" t="str">
        <f>_xll.BDP("64986DDF Muni","MATURITY")</f>
        <v>6/15/2024</v>
      </c>
      <c r="L15">
        <v>21670000</v>
      </c>
      <c r="M15">
        <f>_xll.BDP("64986DDF Muni","YIELD_ON_ISSUE_DATE")</f>
        <v>2.09</v>
      </c>
      <c r="N15">
        <f>_xll.BDP("64986DDF Muni","YTW_SPREAD_TO_MATURITY_AT_ISSU")</f>
        <v>7.0974808942408263</v>
      </c>
      <c r="O15" t="str">
        <f>_xll.BDP("64986DDF Muni","BVAL_MID_YTM")</f>
        <v>#N/A Authorization</v>
      </c>
      <c r="P15" t="str">
        <f>_xll.BDP("64986DDF Muni","MUNI_TAX_PROV")</f>
        <v>FED &amp; ST TAX-EXEMPT</v>
      </c>
      <c r="Q15" t="str">
        <f>_xll.BDP("64986DDF Muni","MUNI_FED_TAX")</f>
        <v>N</v>
      </c>
      <c r="R15">
        <f>_xll.BDP("64986DDF Muni","MUNI_MSRB_VOLUME")</f>
        <v>150000</v>
      </c>
      <c r="S15" t="str">
        <f>_xll.BDP("64986DDF Muni","BB_COMPOSITE")</f>
        <v>AAA</v>
      </c>
      <c r="T15">
        <f>_xll.BDP("64986DDF Muni","LQA_LIQUIDITY_SCORE")</f>
        <v>87</v>
      </c>
    </row>
    <row r="16" spans="1:20" x14ac:dyDescent="0.25">
      <c r="A16" t="str">
        <f>_xll.BDP("906400DV Muni","ID_CUSIP")</f>
        <v>906400DV5</v>
      </c>
      <c r="B16" t="s">
        <v>32</v>
      </c>
      <c r="C16" t="str">
        <f>_xll.BDP("906400DV Muni","INSURANCE_STATUS")</f>
        <v>N</v>
      </c>
      <c r="D16" t="str">
        <f>_xll.BDP("906400DV Muni","STATE_CODE")</f>
        <v>NC</v>
      </c>
      <c r="E16" t="str">
        <f>_xll.BDP("906400DV Muni","COUNTY_LOCATION_ISSUER")</f>
        <v>Union, NC</v>
      </c>
      <c r="F16">
        <f>_xll.BDP("906400DV Muni","DUR_ADJ_MID")</f>
        <v>2.6383522217427617</v>
      </c>
      <c r="G16">
        <f>_xll.BDP("906400DV Muni","SPREAD_AT_ISSUANCE_TO_WORST")</f>
        <v>6.7582626000100232</v>
      </c>
      <c r="H16" t="str">
        <f>_xll.BDP("906400DV Muni","ISSUE_DT")</f>
        <v>8/30/2017</v>
      </c>
      <c r="I16" t="str">
        <f>_xll.BDS("906400DV Muni","MUNI_PURPOSE_SCHED", "aggregate=y")</f>
        <v>WATER UTILITY IMPS. SEWER IMPS.</v>
      </c>
      <c r="J16">
        <f>_xll.BDP("906400DV Muni","CPN")</f>
        <v>5</v>
      </c>
      <c r="K16" t="str">
        <f>_xll.BDP("906400DV Muni","MATURITY")</f>
        <v>6/1/2025</v>
      </c>
      <c r="L16">
        <v>2190000</v>
      </c>
      <c r="M16">
        <f>_xll.BDP("906400DV Muni","YIELD_ON_ISSUE_DATE")</f>
        <v>1.6300000000000001</v>
      </c>
      <c r="N16">
        <f>_xll.BDP("906400DV Muni","YTW_SPREAD_TO_MATURITY_AT_ISSU")</f>
        <v>6.7582626000100232</v>
      </c>
      <c r="O16" t="str">
        <f>_xll.BDP("906400DV Muni","BVAL_MID_YTM")</f>
        <v>#N/A Authorization</v>
      </c>
      <c r="P16" t="str">
        <f>_xll.BDP("906400DV Muni","MUNI_TAX_PROV")</f>
        <v>FED &amp; ST TAX-EXEMPT</v>
      </c>
      <c r="Q16" t="str">
        <f>_xll.BDP("906400DV Muni","MUNI_FED_TAX")</f>
        <v>N</v>
      </c>
      <c r="R16">
        <f>_xll.BDP("906400DV Muni","MUNI_MSRB_VOLUME")</f>
        <v>500000</v>
      </c>
      <c r="S16" t="str">
        <f>_xll.BDP("906400DV Muni","BB_COMPOSITE")</f>
        <v>AA</v>
      </c>
      <c r="T16">
        <f>_xll.BDP("906400DV Muni","LQA_LIQUIDITY_SCORE")</f>
        <v>67</v>
      </c>
    </row>
    <row r="17" spans="1:20" x14ac:dyDescent="0.25">
      <c r="A17" t="str">
        <f>_xll.BDP("89658HUY Muni","ID_CUSIP")</f>
        <v>89658HUY4</v>
      </c>
      <c r="B17" t="s">
        <v>33</v>
      </c>
      <c r="C17" t="str">
        <f>_xll.BDP("89658HUY Muni","INSURANCE_STATUS")</f>
        <v>N</v>
      </c>
      <c r="D17" t="str">
        <f>_xll.BDP("89658HUY Muni","STATE_CODE")</f>
        <v>TX</v>
      </c>
      <c r="E17" t="str">
        <f>_xll.BDP("89658HUY Muni","COUNTY_LOCATION_ISSUER")</f>
        <v>Tarrant, TX</v>
      </c>
      <c r="F17">
        <f>_xll.BDP("89658HUY Muni","DUR_ADJ_MID")</f>
        <v>3.6563430287050247</v>
      </c>
      <c r="G17">
        <f>_xll.BDP("89658HUY Muni","SPREAD_AT_ISSUANCE_TO_WORST")</f>
        <v>20.208971274119804</v>
      </c>
      <c r="H17" t="str">
        <f>_xll.BDP("89658HUY Muni","ISSUE_DT")</f>
        <v>5/1/2017</v>
      </c>
      <c r="I17" t="str">
        <f>_xll.BDS("89658HUY Muni","MUNI_PURPOSE_SCHED", "aggregate=y")</f>
        <v>ADVANCE REFUNDING WATER UTILITY IMPS. SEWER IMPS.</v>
      </c>
      <c r="J17">
        <f>_xll.BDP("89658HUY Muni","CPN")</f>
        <v>5</v>
      </c>
      <c r="K17" t="str">
        <f>_xll.BDP("89658HUY Muni","MATURITY")</f>
        <v>8/1/2026</v>
      </c>
      <c r="L17">
        <v>6625000</v>
      </c>
      <c r="M17">
        <f>_xll.BDP("89658HUY Muni","YIELD_ON_ISSUE_DATE")</f>
        <v>2.2800000000000002</v>
      </c>
      <c r="N17">
        <f>_xll.BDP("89658HUY Muni","YTW_SPREAD_TO_MATURITY_AT_ISSU")</f>
        <v>20.208971274119804</v>
      </c>
      <c r="O17" t="str">
        <f>_xll.BDP("89658HUY Muni","BVAL_MID_YTM")</f>
        <v>#N/A Authorization</v>
      </c>
      <c r="P17" t="str">
        <f>_xll.BDP("89658HUY Muni","MUNI_TAX_PROV")</f>
        <v>FED TAX-EXEMPT</v>
      </c>
      <c r="Q17" t="str">
        <f>_xll.BDP("89658HUY Muni","MUNI_FED_TAX")</f>
        <v>N</v>
      </c>
      <c r="R17">
        <f>_xll.BDP("89658HUY Muni","MUNI_MSRB_VOLUME")</f>
        <v>395000</v>
      </c>
      <c r="S17" t="str">
        <f>_xll.BDP("89658HUY Muni","BB_COMPOSITE")</f>
        <v>AAA</v>
      </c>
      <c r="T17">
        <f>_xll.BDP("89658HUY Muni","LQA_LIQUIDITY_SCORE")</f>
        <v>74</v>
      </c>
    </row>
    <row r="18" spans="1:20" x14ac:dyDescent="0.25">
      <c r="A18" t="str">
        <f>_xll.BDP("695283CX Muni","ID_CUSIP")</f>
        <v>695283CX7</v>
      </c>
      <c r="B18" t="s">
        <v>34</v>
      </c>
      <c r="C18" t="str">
        <f>_xll.BDP("695283CX Muni","INSURANCE_STATUS")</f>
        <v>N</v>
      </c>
      <c r="D18" t="str">
        <f>_xll.BDP("695283CX Muni","STATE_CODE")</f>
        <v>CA</v>
      </c>
      <c r="E18" t="str">
        <f>_xll.BDP("695283CX Muni","COUNTY_LOCATION_ISSUER")</f>
        <v>San Diego, CA</v>
      </c>
      <c r="F18">
        <f>_xll.BDP("695283CX Muni","DUR_ADJ_MID")</f>
        <v>1.1152350726380686</v>
      </c>
      <c r="G18">
        <f>_xll.BDP("695283CX Muni","SPREAD_AT_ISSUANCE_TO_WORST")</f>
        <v>3.6816980995586501</v>
      </c>
      <c r="H18" t="str">
        <f>_xll.BDP("695283CX Muni","ISSUE_DT")</f>
        <v>6/15/2017</v>
      </c>
      <c r="I18" t="str">
        <f>_xll.BDS("695283CX Muni","MUNI_PURPOSE_SCHED", "aggregate=y")</f>
        <v>ADVANCE REFUNDING WATER UTILITY IMPS.</v>
      </c>
      <c r="J18">
        <f>_xll.BDP("695283CX Muni","CPN")</f>
        <v>5</v>
      </c>
      <c r="K18" t="str">
        <f>_xll.BDP("695283CX Muni","MATURITY")</f>
        <v>10/1/2023</v>
      </c>
      <c r="L18">
        <v>1690000</v>
      </c>
      <c r="M18">
        <f>_xll.BDP("695283CX Muni","YIELD_ON_ISSUE_DATE")</f>
        <v>1.42</v>
      </c>
      <c r="N18">
        <f>_xll.BDP("695283CX Muni","YTW_SPREAD_TO_MATURITY_AT_ISSU")</f>
        <v>3.6816980995586501</v>
      </c>
      <c r="O18" t="str">
        <f>_xll.BDP("695283CX Muni","BVAL_MID_YTM")</f>
        <v>#N/A Authorization</v>
      </c>
      <c r="P18" t="str">
        <f>_xll.BDP("695283CX Muni","MUNI_TAX_PROV")</f>
        <v>FED &amp; ST TAX-EXEMPT</v>
      </c>
      <c r="Q18" t="str">
        <f>_xll.BDP("695283CX Muni","MUNI_FED_TAX")</f>
        <v>N</v>
      </c>
      <c r="R18">
        <f>_xll.BDP("695283CX Muni","MUNI_MSRB_VOLUME")</f>
        <v>5000</v>
      </c>
      <c r="S18" t="str">
        <f>_xll.BDP("695283CX Muni","BB_COMPOSITE")</f>
        <v>AA+</v>
      </c>
      <c r="T18">
        <f>_xll.BDP("695283CX Muni","LQA_LIQUIDITY_SCORE")</f>
        <v>77</v>
      </c>
    </row>
    <row r="19" spans="1:20" x14ac:dyDescent="0.25">
      <c r="A19" t="str">
        <f>_xll.BDP("64986DDJ Muni","ID_CUSIP")</f>
        <v>64986DDJ1</v>
      </c>
      <c r="B19" t="s">
        <v>22</v>
      </c>
      <c r="C19" t="str">
        <f>_xll.BDP("64986DDJ Muni","INSURANCE_STATUS")</f>
        <v>N</v>
      </c>
      <c r="D19" t="str">
        <f>_xll.BDP("64986DDJ Muni","STATE_CODE")</f>
        <v>NY</v>
      </c>
      <c r="E19" t="str">
        <f>_xll.BDP("64986DDJ Muni","COUNTY_LOCATION_ISSUER")</f>
        <v>Albany, NY</v>
      </c>
      <c r="F19">
        <f>_xll.BDP("64986DDJ Muni","DUR_ADJ_MID")</f>
        <v>4.3522196195939191</v>
      </c>
      <c r="G19">
        <f>_xll.BDP("64986DDJ Muni","SPREAD_AT_ISSUANCE_TO_WORST")</f>
        <v>6.4572270066915127</v>
      </c>
      <c r="H19" t="str">
        <f>_xll.BDP("64986DDJ Muni","ISSUE_DT")</f>
        <v>4/13/2017</v>
      </c>
      <c r="I19" t="str">
        <f>_xll.BDS("64986DDJ Muni","MUNI_PURPOSE_SCHED", "aggregate=y")</f>
        <v>WATER UTILITY IMPS. CURRENT REFUNDING GREEN PURPOSE</v>
      </c>
      <c r="J19">
        <f>_xll.BDP("64986DDJ Muni","CPN")</f>
        <v>5</v>
      </c>
      <c r="K19" t="str">
        <f>_xll.BDP("64986DDJ Muni","MATURITY")</f>
        <v>6/15/2027</v>
      </c>
      <c r="L19">
        <v>21210000</v>
      </c>
      <c r="M19">
        <f>_xll.BDP("64986DDJ Muni","YIELD_ON_ISSUE_DATE")</f>
        <v>2.48</v>
      </c>
      <c r="N19">
        <f>_xll.BDP("64986DDJ Muni","YTW_SPREAD_TO_MATURITY_AT_ISSU")</f>
        <v>6.4572270066915127</v>
      </c>
      <c r="O19" t="str">
        <f>_xll.BDP("64986DDJ Muni","BVAL_MID_YTM")</f>
        <v>#N/A Authorization</v>
      </c>
      <c r="P19" t="str">
        <f>_xll.BDP("64986DDJ Muni","MUNI_TAX_PROV")</f>
        <v>FED &amp; ST TAX-EXEMPT</v>
      </c>
      <c r="Q19" t="str">
        <f>_xll.BDP("64986DDJ Muni","MUNI_FED_TAX")</f>
        <v>N</v>
      </c>
      <c r="R19">
        <f>_xll.BDP("64986DDJ Muni","MUNI_MSRB_VOLUME")</f>
        <v>25000</v>
      </c>
      <c r="S19" t="str">
        <f>_xll.BDP("64986DDJ Muni","BB_COMPOSITE")</f>
        <v>AAA</v>
      </c>
      <c r="T19">
        <f>_xll.BDP("64986DDJ Muni","LQA_LIQUIDITY_SCORE")</f>
        <v>70</v>
      </c>
    </row>
    <row r="20" spans="1:20" x14ac:dyDescent="0.25">
      <c r="A20" t="str">
        <f>_xll.BDP("20775YCZ Muni","ID_CUSIP")</f>
        <v>20775YCZ7</v>
      </c>
      <c r="B20" t="s">
        <v>35</v>
      </c>
      <c r="C20" t="str">
        <f>_xll.BDP("20775YCZ Muni","INSURANCE_STATUS")</f>
        <v>N</v>
      </c>
      <c r="D20" t="str">
        <f>_xll.BDP("20775YCZ Muni","STATE_CODE")</f>
        <v>CT</v>
      </c>
      <c r="E20" t="str">
        <f>_xll.BDP("20775YCZ Muni","COUNTY_LOCATION_ISSUER")</f>
        <v>Hartford, CT</v>
      </c>
      <c r="F20">
        <f>_xll.BDP("20775YCZ Muni","DUR_ADJ_MID")</f>
        <v>1.6630233567117265</v>
      </c>
      <c r="G20">
        <f>_xll.BDP("20775YCZ Muni","SPREAD_AT_ISSUANCE_TO_WORST")</f>
        <v>11.212818715023975</v>
      </c>
      <c r="H20" t="str">
        <f>_xll.BDP("20775YCZ Muni","ISSUE_DT")</f>
        <v>6/15/2017</v>
      </c>
      <c r="I20" t="str">
        <f>_xll.BDS("20775YCZ Muni","MUNI_PURPOSE_SCHED", "aggregate=y")</f>
        <v>GREEN PURPOSE WATER UTILITY IMPS. SEWER IMPS.</v>
      </c>
      <c r="J20">
        <f>_xll.BDP("20775YCZ Muni","CPN")</f>
        <v>5</v>
      </c>
      <c r="K20" t="str">
        <f>_xll.BDP("20775YCZ Muni","MATURITY")</f>
        <v>5/1/2024</v>
      </c>
      <c r="L20">
        <v>9390000</v>
      </c>
      <c r="M20">
        <f>_xll.BDP("20775YCZ Muni","YIELD_ON_ISSUE_DATE")</f>
        <v>1.57</v>
      </c>
      <c r="N20">
        <f>_xll.BDP("20775YCZ Muni","YTW_SPREAD_TO_MATURITY_AT_ISSU")</f>
        <v>11.212818715023975</v>
      </c>
      <c r="O20" t="str">
        <f>_xll.BDP("20775YCZ Muni","BVAL_MID_YTM")</f>
        <v>#N/A Authorization</v>
      </c>
      <c r="P20" t="str">
        <f>_xll.BDP("20775YCZ Muni","MUNI_TAX_PROV")</f>
        <v>FED &amp; ST TAX-EXEMPT</v>
      </c>
      <c r="Q20" t="str">
        <f>_xll.BDP("20775YCZ Muni","MUNI_FED_TAX")</f>
        <v>N</v>
      </c>
      <c r="R20">
        <f>_xll.BDP("20775YCZ Muni","MUNI_MSRB_VOLUME")</f>
        <v>80000</v>
      </c>
      <c r="S20" t="str">
        <f>_xll.BDP("20775YCZ Muni","BB_COMPOSITE")</f>
        <v>AAA</v>
      </c>
      <c r="T20">
        <f>_xll.BDP("20775YCZ Muni","LQA_LIQUIDITY_SCORE")</f>
        <v>77</v>
      </c>
    </row>
    <row r="21" spans="1:20" x14ac:dyDescent="0.25">
      <c r="A21" t="str">
        <f>_xll.BDP("20775YDD Muni","ID_CUSIP")</f>
        <v>20775YDD5</v>
      </c>
      <c r="B21" t="s">
        <v>35</v>
      </c>
      <c r="C21" t="str">
        <f>_xll.BDP("20775YDD Muni","INSURANCE_STATUS")</f>
        <v>N</v>
      </c>
      <c r="D21" t="str">
        <f>_xll.BDP("20775YDD Muni","STATE_CODE")</f>
        <v>CT</v>
      </c>
      <c r="E21" t="str">
        <f>_xll.BDP("20775YDD Muni","COUNTY_LOCATION_ISSUER")</f>
        <v>Hartford, CT</v>
      </c>
      <c r="F21">
        <f>_xll.BDP("20775YDD Muni","DUR_ADJ_MID")</f>
        <v>3.4119318568477959</v>
      </c>
      <c r="G21">
        <f>_xll.BDP("20775YDD Muni","SPREAD_AT_ISSUANCE_TO_WORST")</f>
        <v>17.034925909554865</v>
      </c>
      <c r="H21" t="str">
        <f>_xll.BDP("20775YDD Muni","ISSUE_DT")</f>
        <v>6/15/2017</v>
      </c>
      <c r="I21" t="str">
        <f>_xll.BDS("20775YDD Muni","MUNI_PURPOSE_SCHED", "aggregate=y")</f>
        <v>GREEN PURPOSE WATER UTILITY IMPS. SEWER IMPS.</v>
      </c>
      <c r="J21">
        <f>_xll.BDP("20775YDD Muni","CPN")</f>
        <v>5</v>
      </c>
      <c r="K21" t="str">
        <f>_xll.BDP("20775YDD Muni","MATURITY")</f>
        <v>5/1/2026</v>
      </c>
      <c r="L21">
        <v>10905000</v>
      </c>
      <c r="M21">
        <f>_xll.BDP("20775YDD Muni","YIELD_ON_ISSUE_DATE")</f>
        <v>1.93</v>
      </c>
      <c r="N21">
        <f>_xll.BDP("20775YDD Muni","YTW_SPREAD_TO_MATURITY_AT_ISSU")</f>
        <v>17.034925909554865</v>
      </c>
      <c r="O21" t="str">
        <f>_xll.BDP("20775YDD Muni","BVAL_MID_YTM")</f>
        <v>#N/A Authorization</v>
      </c>
      <c r="P21" t="str">
        <f>_xll.BDP("20775YDD Muni","MUNI_TAX_PROV")</f>
        <v>FED &amp; ST TAX-EXEMPT</v>
      </c>
      <c r="Q21" t="str">
        <f>_xll.BDP("20775YDD Muni","MUNI_FED_TAX")</f>
        <v>N</v>
      </c>
      <c r="R21">
        <f>_xll.BDP("20775YDD Muni","MUNI_MSRB_VOLUME")</f>
        <v>100000</v>
      </c>
      <c r="S21" t="str">
        <f>_xll.BDP("20775YDD Muni","BB_COMPOSITE")</f>
        <v>AAA</v>
      </c>
      <c r="T21">
        <f>_xll.BDP("20775YDD Muni","LQA_LIQUIDITY_SCORE")</f>
        <v>63</v>
      </c>
    </row>
    <row r="22" spans="1:20" x14ac:dyDescent="0.25">
      <c r="A22" t="str">
        <f>_xll.BDP("45204EXJ Muni","ID_CUSIP")</f>
        <v>45204EXJ2</v>
      </c>
      <c r="B22" t="s">
        <v>25</v>
      </c>
      <c r="C22" t="str">
        <f>_xll.BDP("45204EXJ Muni","INSURANCE_STATUS")</f>
        <v>N</v>
      </c>
      <c r="D22" t="str">
        <f>_xll.BDP("45204EXJ Muni","STATE_CODE")</f>
        <v>IL</v>
      </c>
      <c r="E22" t="str">
        <f>_xll.BDP("45204EXJ Muni","COUNTY_LOCATION_ISSUER")</f>
        <v>Cook, IL</v>
      </c>
      <c r="F22">
        <f>_xll.BDP("45204EXJ Muni","DUR_ADJ_MID")</f>
        <v>0.4115652792270682</v>
      </c>
      <c r="G22">
        <f>_xll.BDP("45204EXJ Muni","SPREAD_AT_ISSUANCE_TO_WORST")</f>
        <v>20.569293776331232</v>
      </c>
      <c r="H22" t="str">
        <f>_xll.BDP("45204EXJ Muni","ISSUE_DT")</f>
        <v>9/12/2017</v>
      </c>
      <c r="I22" t="str">
        <f>_xll.BDS("45204EXJ Muni","MUNI_PURPOSE_SCHED", "aggregate=y")</f>
        <v>GREEN PURPOSE WATER UTILITY IMPS. SEWER IMPS.</v>
      </c>
      <c r="J22">
        <f>_xll.BDP("45204EXJ Muni","CPN")</f>
        <v>5</v>
      </c>
      <c r="K22" t="str">
        <f>_xll.BDP("45204EXJ Muni","MATURITY")</f>
        <v>1/1/2023</v>
      </c>
      <c r="L22">
        <v>15750000</v>
      </c>
      <c r="M22">
        <f>_xll.BDP("45204EXJ Muni","YIELD_ON_ISSUE_DATE")</f>
        <v>1.4000000000000001</v>
      </c>
      <c r="N22">
        <f>_xll.BDP("45204EXJ Muni","YTW_SPREAD_TO_MATURITY_AT_ISSU")</f>
        <v>20.569293776331232</v>
      </c>
      <c r="O22" t="str">
        <f>_xll.BDP("45204EXJ Muni","BVAL_MID_YTM")</f>
        <v>#N/A Authorization</v>
      </c>
      <c r="P22" t="str">
        <f>_xll.BDP("45204EXJ Muni","MUNI_TAX_PROV")</f>
        <v>FED TAX-EXEMPT/ST TAXABLE</v>
      </c>
      <c r="Q22" t="str">
        <f>_xll.BDP("45204EXJ Muni","MUNI_FED_TAX")</f>
        <v>N</v>
      </c>
      <c r="R22">
        <f>_xll.BDP("45204EXJ Muni","MUNI_MSRB_VOLUME")</f>
        <v>4040000</v>
      </c>
      <c r="S22" t="str">
        <f>_xll.BDP("45204EXJ Muni","BB_COMPOSITE")</f>
        <v>AAA</v>
      </c>
      <c r="T22">
        <f>_xll.BDP("45204EXJ Muni","LQA_LIQUIDITY_SCORE")</f>
        <v>92</v>
      </c>
    </row>
    <row r="23" spans="1:20" x14ac:dyDescent="0.25">
      <c r="A23" t="str">
        <f>_xll.BDP("882854ZU Muni","ID_CUSIP")</f>
        <v>882854ZU9</v>
      </c>
      <c r="B23" t="s">
        <v>31</v>
      </c>
      <c r="C23" t="str">
        <f>_xll.BDP("882854ZU Muni","INSURANCE_STATUS")</f>
        <v>N</v>
      </c>
      <c r="D23" t="str">
        <f>_xll.BDP("882854ZU Muni","STATE_CODE")</f>
        <v>TX</v>
      </c>
      <c r="E23" t="str">
        <f>_xll.BDP("882854ZU Muni","COUNTY_LOCATION_ISSUER")</f>
        <v>Travis, TX</v>
      </c>
      <c r="F23">
        <f>_xll.BDP("882854ZU Muni","DUR_ADJ_MID")</f>
        <v>3.3664954889037295</v>
      </c>
      <c r="G23">
        <f>_xll.BDP("882854ZU Muni","SPREAD_AT_ISSUANCE_TO_WORST")</f>
        <v>18.39928219178082</v>
      </c>
      <c r="H23" t="str">
        <f>_xll.BDP("882854ZU Muni","ISSUE_DT")</f>
        <v>10/12/2017</v>
      </c>
      <c r="I23" t="str">
        <f>_xll.BDS("882854ZU Muni","MUNI_PURPOSE_SCHED", "aggregate=y")</f>
        <v>WATER UTILITY IMPS.</v>
      </c>
      <c r="J23">
        <f>_xll.BDP("882854ZU Muni","CPN")</f>
        <v>5</v>
      </c>
      <c r="K23" t="str">
        <f>_xll.BDP("882854ZU Muni","MATURITY")</f>
        <v>4/15/2026</v>
      </c>
      <c r="L23">
        <v>21395000</v>
      </c>
      <c r="M23">
        <f>_xll.BDP("882854ZU Muni","YIELD_ON_ISSUE_DATE")</f>
        <v>1.94</v>
      </c>
      <c r="N23">
        <f>_xll.BDP("882854ZU Muni","YTW_SPREAD_TO_MATURITY_AT_ISSU")</f>
        <v>18.39928219178082</v>
      </c>
      <c r="O23" t="str">
        <f>_xll.BDP("882854ZU Muni","BVAL_MID_YTM")</f>
        <v>#N/A Authorization</v>
      </c>
      <c r="P23" t="str">
        <f>_xll.BDP("882854ZU Muni","MUNI_TAX_PROV")</f>
        <v>FED TAX-EXEMPT</v>
      </c>
      <c r="Q23" t="str">
        <f>_xll.BDP("882854ZU Muni","MUNI_FED_TAX")</f>
        <v>N</v>
      </c>
      <c r="R23">
        <f>_xll.BDP("882854ZU Muni","MUNI_MSRB_VOLUME")</f>
        <v>175000</v>
      </c>
      <c r="S23" t="str">
        <f>_xll.BDP("882854ZU Muni","BB_COMPOSITE")</f>
        <v>AAA</v>
      </c>
      <c r="T23">
        <f>_xll.BDP("882854ZU Muni","LQA_LIQUIDITY_SCORE")</f>
        <v>80</v>
      </c>
    </row>
    <row r="24" spans="1:20" x14ac:dyDescent="0.25">
      <c r="A24" t="str">
        <f>_xll.BDP("03588HRT Muni","ID_CUSIP")</f>
        <v>03588HRT5</v>
      </c>
      <c r="B24" t="s">
        <v>36</v>
      </c>
      <c r="C24" t="str">
        <f>_xll.BDP("03588HRT Muni","INSURANCE_STATUS")</f>
        <v>N</v>
      </c>
      <c r="D24" t="str">
        <f>_xll.BDP("03588HRT Muni","STATE_CODE")</f>
        <v>MD</v>
      </c>
      <c r="E24" t="str">
        <f>_xll.BDP("03588HRT Muni","COUNTY_LOCATION_ISSUER")</f>
        <v>Anne Arundel, MD</v>
      </c>
      <c r="F24">
        <f>_xll.BDP("03588HRT Muni","DUR_ADJ_MID")</f>
        <v>3.7447065270950297</v>
      </c>
      <c r="G24">
        <f>_xll.BDP("03588HRT Muni","SPREAD_AT_ISSUANCE_TO_WORST")</f>
        <v>2.8519227147368209</v>
      </c>
      <c r="H24" t="str">
        <f>_xll.BDP("03588HRT Muni","ISSUE_DT")</f>
        <v>4/12/2017</v>
      </c>
      <c r="I24" t="str">
        <f>_xll.BDS("03588HRT Muni","MUNI_PURPOSE_SCHED", "aggregate=y")</f>
        <v>WATER UTILITY IMPS. SEWER IMPS.</v>
      </c>
      <c r="J24">
        <f>_xll.BDP("03588HRT Muni","CPN")</f>
        <v>5</v>
      </c>
      <c r="K24" t="str">
        <f>_xll.BDP("03588HRT Muni","MATURITY")</f>
        <v>10/1/2026</v>
      </c>
      <c r="L24">
        <v>2125000</v>
      </c>
      <c r="M24">
        <f>_xll.BDP("03588HRT Muni","YIELD_ON_ISSUE_DATE")</f>
        <v>2.25</v>
      </c>
      <c r="N24">
        <f>_xll.BDP("03588HRT Muni","YTW_SPREAD_TO_MATURITY_AT_ISSU")</f>
        <v>2.8519227147368209</v>
      </c>
      <c r="O24" t="str">
        <f>_xll.BDP("03588HRT Muni","BVAL_MID_YTM")</f>
        <v>#N/A Authorization</v>
      </c>
      <c r="P24" t="str">
        <f>_xll.BDP("03588HRT Muni","MUNI_TAX_PROV")</f>
        <v>FED &amp; ST TAX-EXEMPT</v>
      </c>
      <c r="Q24" t="str">
        <f>_xll.BDP("03588HRT Muni","MUNI_FED_TAX")</f>
        <v>N</v>
      </c>
      <c r="R24">
        <f>_xll.BDP("03588HRT Muni","MUNI_MSRB_VOLUME")</f>
        <v>450000</v>
      </c>
      <c r="S24" t="str">
        <f>_xll.BDP("03588HRT Muni","BB_COMPOSITE")</f>
        <v>AAA</v>
      </c>
      <c r="T24">
        <f>_xll.BDP("03588HRT Muni","LQA_LIQUIDITY_SCORE")</f>
        <v>79</v>
      </c>
    </row>
    <row r="25" spans="1:20" x14ac:dyDescent="0.25">
      <c r="A25" t="str">
        <f>_xll.BDP("13063DAM Muni","ID_CUSIP")</f>
        <v>13063DAM0</v>
      </c>
      <c r="B25" t="s">
        <v>20</v>
      </c>
      <c r="C25" t="str">
        <f>_xll.BDP("13063DAM Muni","INSURANCE_STATUS")</f>
        <v>N</v>
      </c>
      <c r="D25" t="str">
        <f>_xll.BDP("13063DAM Muni","STATE_CODE")</f>
        <v>CA</v>
      </c>
      <c r="E25" t="str">
        <f>_xll.BDP("13063DAM Muni","COUNTY_LOCATION_ISSUER")</f>
        <v>Sacramento, CA</v>
      </c>
      <c r="F25">
        <f>_xll.BDP("13063DAM Muni","DUR_ADJ_MID")</f>
        <v>0.24677574841800529</v>
      </c>
      <c r="G25">
        <f>_xll.BDP("13063DAM Muni","SPREAD_AT_ISSUANCE_TO_WORST")</f>
        <v>16.999719009201918</v>
      </c>
      <c r="H25" t="str">
        <f>_xll.BDP("13063DAM Muni","ISSUE_DT")</f>
        <v>9/12/2017</v>
      </c>
      <c r="I25" t="str">
        <f>_xll.BDS("13063DAM Muni","MUNI_PURPOSE_SCHED", "aggregate=y")</f>
        <v>SCHOOL IMPS. WATER UTILITY IMPS. REFUNDING NOTES</v>
      </c>
      <c r="J25">
        <f>_xll.BDP("13063DAM Muni","CPN")</f>
        <v>5</v>
      </c>
      <c r="K25" t="str">
        <f>_xll.BDP("13063DAM Muni","MATURITY")</f>
        <v>11/1/2022</v>
      </c>
      <c r="L25">
        <v>45000000</v>
      </c>
      <c r="M25">
        <f>_xll.BDP("13063DAM Muni","YIELD_ON_ISSUE_DATE")</f>
        <v>1.34</v>
      </c>
      <c r="N25">
        <f>_xll.BDP("13063DAM Muni","YTW_SPREAD_TO_MATURITY_AT_ISSU")</f>
        <v>16.999719009201918</v>
      </c>
      <c r="O25" t="str">
        <f>_xll.BDP("13063DAM Muni","BVAL_MID_YTM")</f>
        <v>#N/A Authorization</v>
      </c>
      <c r="P25" t="str">
        <f>_xll.BDP("13063DAM Muni","MUNI_TAX_PROV")</f>
        <v>FED &amp; ST TAX-EXEMPT</v>
      </c>
      <c r="Q25" t="str">
        <f>_xll.BDP("13063DAM Muni","MUNI_FED_TAX")</f>
        <v>N</v>
      </c>
      <c r="R25">
        <f>_xll.BDP("13063DAM Muni","MUNI_MSRB_VOLUME")</f>
        <v>310000</v>
      </c>
      <c r="S25" t="str">
        <f>_xll.BDP("13063DAM Muni","BB_COMPOSITE")</f>
        <v>AA-</v>
      </c>
      <c r="T25">
        <f>_xll.BDP("13063DAM Muni","LQA_LIQUIDITY_SCORE")</f>
        <v>97</v>
      </c>
    </row>
    <row r="26" spans="1:20" x14ac:dyDescent="0.25">
      <c r="A26" t="str">
        <f>_xll.BDP("79765RQ8 Muni","ID_CUSIP")</f>
        <v>79765RQ85</v>
      </c>
      <c r="B26" t="s">
        <v>37</v>
      </c>
      <c r="C26" t="str">
        <f>_xll.BDP("79765RQ8 Muni","INSURANCE_STATUS")</f>
        <v>N</v>
      </c>
      <c r="D26" t="str">
        <f>_xll.BDP("79765RQ8 Muni","STATE_CODE")</f>
        <v>CA</v>
      </c>
      <c r="E26" t="str">
        <f>_xll.BDP("79765RQ8 Muni","COUNTY_LOCATION_ISSUER")</f>
        <v>San Francisco, CA</v>
      </c>
      <c r="F26">
        <f>_xll.BDP("79765RQ8 Muni","DUR_ADJ_MID")</f>
        <v>2.1163468953311835</v>
      </c>
      <c r="G26">
        <f>_xll.BDP("79765RQ8 Muni","SPREAD_AT_ISSUANCE_TO_WORST")</f>
        <v>-7.8150027397260402</v>
      </c>
      <c r="H26" t="str">
        <f>_xll.BDP("79765RQ8 Muni","ISSUE_DT")</f>
        <v>12/13/2017</v>
      </c>
      <c r="I26" t="str">
        <f>_xll.BDS("79765RQ8 Muni","MUNI_PURPOSE_SCHED", "aggregate=y")</f>
        <v>GREEN PURPOSE WATER UTILITY IMPS. REFUNDING NOTES</v>
      </c>
      <c r="J26">
        <f>_xll.BDP("79765RQ8 Muni","CPN")</f>
        <v>5</v>
      </c>
      <c r="K26" t="str">
        <f>_xll.BDP("79765RQ8 Muni","MATURITY")</f>
        <v>11/1/2024</v>
      </c>
      <c r="L26">
        <v>2570000</v>
      </c>
      <c r="M26">
        <f>_xll.BDP("79765RQ8 Muni","YIELD_ON_ISSUE_DATE")</f>
        <v>1.8900000000000001</v>
      </c>
      <c r="N26">
        <f>_xll.BDP("79765RQ8 Muni","YTW_SPREAD_TO_MATURITY_AT_ISSU")</f>
        <v>-7.8150027397260402</v>
      </c>
      <c r="O26" t="str">
        <f>_xll.BDP("79765RQ8 Muni","BVAL_MID_YTM")</f>
        <v>#N/A Authorization</v>
      </c>
      <c r="P26" t="str">
        <f>_xll.BDP("79765RQ8 Muni","MUNI_TAX_PROV")</f>
        <v>FED &amp; ST TAX-EXEMPT</v>
      </c>
      <c r="Q26" t="str">
        <f>_xll.BDP("79765RQ8 Muni","MUNI_FED_TAX")</f>
        <v>N</v>
      </c>
      <c r="R26">
        <f>_xll.BDP("79765RQ8 Muni","MUNI_MSRB_VOLUME")</f>
        <v>700000</v>
      </c>
      <c r="S26" t="str">
        <f>_xll.BDP("79765RQ8 Muni","BB_COMPOSITE")</f>
        <v>AA-</v>
      </c>
      <c r="T26">
        <f>_xll.BDP("79765RQ8 Muni","LQA_LIQUIDITY_SCORE")</f>
        <v>82</v>
      </c>
    </row>
    <row r="27" spans="1:20" x14ac:dyDescent="0.25">
      <c r="A27" t="str">
        <f>_xll.BDP("20775YDF Muni","ID_CUSIP")</f>
        <v>20775YDF0</v>
      </c>
      <c r="B27" t="s">
        <v>35</v>
      </c>
      <c r="C27" t="str">
        <f>_xll.BDP("20775YDF Muni","INSURANCE_STATUS")</f>
        <v>N</v>
      </c>
      <c r="D27" t="str">
        <f>_xll.BDP("20775YDF Muni","STATE_CODE")</f>
        <v>CT</v>
      </c>
      <c r="E27" t="str">
        <f>_xll.BDP("20775YDF Muni","COUNTY_LOCATION_ISSUER")</f>
        <v>Hartford, CT</v>
      </c>
      <c r="F27">
        <f>_xll.BDP("20775YDF Muni","DUR_ADJ_MID")</f>
        <v>4.226918621723704</v>
      </c>
      <c r="G27">
        <f>_xll.BDP("20775YDF Muni","SPREAD_AT_ISSUANCE_TO_WORST")</f>
        <v>17.249330658145535</v>
      </c>
      <c r="H27" t="str">
        <f>_xll.BDP("20775YDF Muni","ISSUE_DT")</f>
        <v>6/15/2017</v>
      </c>
      <c r="I27" t="str">
        <f>_xll.BDS("20775YDF Muni","MUNI_PURPOSE_SCHED", "aggregate=y")</f>
        <v>GREEN PURPOSE WATER UTILITY IMPS. SEWER IMPS.</v>
      </c>
      <c r="J27">
        <f>_xll.BDP("20775YDF Muni","CPN")</f>
        <v>5</v>
      </c>
      <c r="K27" t="str">
        <f>_xll.BDP("20775YDF Muni","MATURITY")</f>
        <v>5/1/2027</v>
      </c>
      <c r="L27">
        <v>8675000</v>
      </c>
      <c r="M27">
        <f>_xll.BDP("20775YDF Muni","YIELD_ON_ISSUE_DATE")</f>
        <v>2.0499999999999998</v>
      </c>
      <c r="N27">
        <f>_xll.BDP("20775YDF Muni","YTW_SPREAD_TO_MATURITY_AT_ISSU")</f>
        <v>17.249330658145535</v>
      </c>
      <c r="O27" t="str">
        <f>_xll.BDP("20775YDF Muni","BVAL_MID_YTM")</f>
        <v>#N/A Authorization</v>
      </c>
      <c r="P27" t="str">
        <f>_xll.BDP("20775YDF Muni","MUNI_TAX_PROV")</f>
        <v>FED &amp; ST TAX-EXEMPT</v>
      </c>
      <c r="Q27" t="str">
        <f>_xll.BDP("20775YDF Muni","MUNI_FED_TAX")</f>
        <v>N</v>
      </c>
      <c r="R27">
        <f>_xll.BDP("20775YDF Muni","MUNI_MSRB_VOLUME")</f>
        <v>100000</v>
      </c>
      <c r="S27" t="str">
        <f>_xll.BDP("20775YDF Muni","BB_COMPOSITE")</f>
        <v>AAA</v>
      </c>
      <c r="T27">
        <f>_xll.BDP("20775YDF Muni","LQA_LIQUIDITY_SCORE")</f>
        <v>32</v>
      </c>
    </row>
    <row r="28" spans="1:20" x14ac:dyDescent="0.25">
      <c r="A28" t="str">
        <f>_xll.BDP("64986DFD Muni","ID_CUSIP")</f>
        <v>64986DFD2</v>
      </c>
      <c r="B28" t="s">
        <v>22</v>
      </c>
      <c r="C28" t="str">
        <f>_xll.BDP("64986DFD Muni","INSURANCE_STATUS")</f>
        <v>N</v>
      </c>
      <c r="D28" t="str">
        <f>_xll.BDP("64986DFD Muni","STATE_CODE")</f>
        <v>NY</v>
      </c>
      <c r="E28" t="str">
        <f>_xll.BDP("64986DFD Muni","COUNTY_LOCATION_ISSUER")</f>
        <v>Albany, NY</v>
      </c>
      <c r="F28">
        <f>_xll.BDP("64986DFD Muni","DUR_ADJ_MID")</f>
        <v>3.5369992034519715</v>
      </c>
      <c r="G28">
        <f>_xll.BDP("64986DFD Muni","SPREAD_AT_ISSUANCE_TO_WORST")</f>
        <v>0.43429589041097394</v>
      </c>
      <c r="H28" t="str">
        <f>_xll.BDP("64986DFD Muni","ISSUE_DT")</f>
        <v>12/14/2017</v>
      </c>
      <c r="I28" t="str">
        <f>_xll.BDS("64986DFD Muni","MUNI_PURPOSE_SCHED", "aggregate=y")</f>
        <v>WATER UTILITY IMPS. GREEN PURPOSE</v>
      </c>
      <c r="J28">
        <f>_xll.BDP("64986DFD Muni","CPN")</f>
        <v>5</v>
      </c>
      <c r="K28" t="str">
        <f>_xll.BDP("64986DFD Muni","MATURITY")</f>
        <v>6/15/2026</v>
      </c>
      <c r="L28">
        <v>7615000</v>
      </c>
      <c r="M28">
        <f>_xll.BDP("64986DFD Muni","YIELD_ON_ISSUE_DATE")</f>
        <v>2.09</v>
      </c>
      <c r="N28">
        <f>_xll.BDP("64986DFD Muni","YTW_SPREAD_TO_MATURITY_AT_ISSU")</f>
        <v>0.43429589041097394</v>
      </c>
      <c r="O28" t="str">
        <f>_xll.BDP("64986DFD Muni","BVAL_MID_YTM")</f>
        <v>#N/A Authorization</v>
      </c>
      <c r="P28" t="str">
        <f>_xll.BDP("64986DFD Muni","MUNI_TAX_PROV")</f>
        <v>FED &amp; ST TAX-EXEMPT</v>
      </c>
      <c r="Q28" t="str">
        <f>_xll.BDP("64986DFD Muni","MUNI_FED_TAX")</f>
        <v>N</v>
      </c>
      <c r="R28">
        <f>_xll.BDP("64986DFD Muni","MUNI_MSRB_VOLUME")</f>
        <v>550000</v>
      </c>
      <c r="S28" t="str">
        <f>_xll.BDP("64986DFD Muni","BB_COMPOSITE")</f>
        <v>AAA</v>
      </c>
      <c r="T28">
        <f>_xll.BDP("64986DFD Muni","LQA_LIQUIDITY_SCORE")</f>
        <v>76</v>
      </c>
    </row>
    <row r="29" spans="1:20" x14ac:dyDescent="0.25">
      <c r="A29" t="str">
        <f>_xll.BDP("98618FAG Muni","ID_CUSIP")</f>
        <v>98618FAG9</v>
      </c>
      <c r="B29" t="s">
        <v>29</v>
      </c>
      <c r="C29" t="str">
        <f>_xll.BDP("98618FAG Muni","INSURANCE_STATUS")</f>
        <v>N</v>
      </c>
      <c r="D29" t="str">
        <f>_xll.BDP("98618FAG Muni","STATE_CODE")</f>
        <v>CA</v>
      </c>
      <c r="E29" t="str">
        <f>_xll.BDP("98618FAG Muni","COUNTY_LOCATION_ISSUER")</f>
        <v>Orange, CA</v>
      </c>
      <c r="F29">
        <f>_xll.BDP("98618FAG Muni","DUR_ADJ_MID")</f>
        <v>1.1176649044200093</v>
      </c>
      <c r="G29">
        <f>_xll.BDP("98618FAG Muni","SPREAD_AT_ISSUANCE_TO_WORST")</f>
        <v>2.6787809533364459</v>
      </c>
      <c r="H29" t="str">
        <f>_xll.BDP("98618FAG Muni","ISSUE_DT")</f>
        <v>5/11/2017</v>
      </c>
      <c r="I29" t="str">
        <f>_xll.BDS("98618FAG Muni","MUNI_PURPOSE_SCHED", "aggregate=y")</f>
        <v>ADVANCE REFUNDING WATER UTILITY IMPS.</v>
      </c>
      <c r="J29">
        <f>_xll.BDP("98618FAG Muni","CPN")</f>
        <v>5</v>
      </c>
      <c r="K29" t="str">
        <f>_xll.BDP("98618FAG Muni","MATURITY")</f>
        <v>10/1/2023</v>
      </c>
      <c r="L29">
        <v>1045000</v>
      </c>
      <c r="M29">
        <f>_xll.BDP("98618FAG Muni","YIELD_ON_ISSUE_DATE")</f>
        <v>1.6500000000000001</v>
      </c>
      <c r="N29">
        <f>_xll.BDP("98618FAG Muni","YTW_SPREAD_TO_MATURITY_AT_ISSU")</f>
        <v>2.6787809533364459</v>
      </c>
      <c r="O29" t="str">
        <f>_xll.BDP("98618FAG Muni","BVAL_MID_YTM")</f>
        <v>#N/A Authorization</v>
      </c>
      <c r="P29" t="str">
        <f>_xll.BDP("98618FAG Muni","MUNI_TAX_PROV")</f>
        <v>FED &amp; ST TAX-EXEMPT</v>
      </c>
      <c r="Q29" t="str">
        <f>_xll.BDP("98618FAG Muni","MUNI_FED_TAX")</f>
        <v>N</v>
      </c>
      <c r="R29">
        <f>_xll.BDP("98618FAG Muni","MUNI_MSRB_VOLUME")</f>
        <v>450000</v>
      </c>
      <c r="S29" t="str">
        <f>_xll.BDP("98618FAG Muni","BB_COMPOSITE")</f>
        <v>AA+</v>
      </c>
      <c r="T29">
        <f>_xll.BDP("98618FAG Muni","LQA_LIQUIDITY_SCORE")</f>
        <v>78</v>
      </c>
    </row>
    <row r="30" spans="1:20" x14ac:dyDescent="0.25">
      <c r="A30" t="str">
        <f>_xll.BDP("394641MY Muni","ID_CUSIP")</f>
        <v>394641MY7</v>
      </c>
      <c r="B30" t="s">
        <v>38</v>
      </c>
      <c r="C30" t="str">
        <f>_xll.BDP("394641MY Muni","INSURANCE_STATUS")</f>
        <v>N</v>
      </c>
      <c r="D30" t="str">
        <f>_xll.BDP("394641MY Muni","STATE_CODE")</f>
        <v>OH</v>
      </c>
      <c r="E30" t="str">
        <f>_xll.BDP("394641MY Muni","COUNTY_LOCATION_ISSUER")</f>
        <v>Greene, OH</v>
      </c>
      <c r="F30">
        <f>_xll.BDP("394641MY Muni","DUR_ADJ_MID")</f>
        <v>0.32933099122149884</v>
      </c>
      <c r="G30">
        <f>_xll.BDP("394641MY Muni","SPREAD_AT_ISSUANCE_TO_WORST")</f>
        <v>10.72867306144316</v>
      </c>
      <c r="H30" t="str">
        <f>_xll.BDP("394641MY Muni","ISSUE_DT")</f>
        <v>9/28/2017</v>
      </c>
      <c r="I30" t="str">
        <f>_xll.BDS("394641MY Muni","MUNI_PURPOSE_SCHED", "aggregate=y")</f>
        <v>WATER UTILITY IMPS.</v>
      </c>
      <c r="J30">
        <f>_xll.BDP("394641MY Muni","CPN")</f>
        <v>2</v>
      </c>
      <c r="K30" t="str">
        <f>_xll.BDP("394641MY Muni","MATURITY")</f>
        <v>12/1/2022</v>
      </c>
      <c r="L30">
        <v>350000</v>
      </c>
      <c r="M30">
        <f>_xll.BDP("394641MY Muni","YIELD_ON_ISSUE_DATE")</f>
        <v>1.3</v>
      </c>
      <c r="N30">
        <f>_xll.BDP("394641MY Muni","YTW_SPREAD_TO_MATURITY_AT_ISSU")</f>
        <v>10.72867306144316</v>
      </c>
      <c r="O30" t="str">
        <f>_xll.BDP("394641MY Muni","BVAL_MID_YTM")</f>
        <v>#N/A Authorization</v>
      </c>
      <c r="P30" t="str">
        <f>_xll.BDP("394641MY Muni","MUNI_TAX_PROV")</f>
        <v>FED BQ/ST TAX-EXEMPT</v>
      </c>
      <c r="Q30" t="str">
        <f>_xll.BDP("394641MY Muni","MUNI_FED_TAX")</f>
        <v>N</v>
      </c>
      <c r="R30">
        <f>_xll.BDP("394641MY Muni","MUNI_MSRB_VOLUME")</f>
        <v>200000</v>
      </c>
      <c r="S30" t="str">
        <f>_xll.BDP("394641MY Muni","BB_COMPOSITE")</f>
        <v>#N/A N/A</v>
      </c>
      <c r="T30">
        <f>_xll.BDP("394641MY Muni","LQA_LIQUIDITY_SCORE")</f>
        <v>89</v>
      </c>
    </row>
    <row r="31" spans="1:20" x14ac:dyDescent="0.25">
      <c r="A31" t="str">
        <f>_xll.BDP("593241BL Muni","ID_CUSIP")</f>
        <v>593241BL5</v>
      </c>
      <c r="B31" t="s">
        <v>39</v>
      </c>
      <c r="C31" t="str">
        <f>_xll.BDP("593241BL Muni","INSURANCE_STATUS")</f>
        <v>N</v>
      </c>
      <c r="D31" t="str">
        <f>_xll.BDP("593241BL Muni","STATE_CODE")</f>
        <v>FL</v>
      </c>
      <c r="E31" t="str">
        <f>_xll.BDP("593241BL Muni","COUNTY_LOCATION_ISSUER")</f>
        <v>Dade, FL</v>
      </c>
      <c r="F31">
        <f>_xll.BDP("593241BL Muni","DUR_ADJ_MID")</f>
        <v>4.4597694685100979</v>
      </c>
      <c r="G31">
        <f>_xll.BDP("593241BL Muni","SPREAD_AT_ISSUANCE_TO_WORST")</f>
        <v>26.151512328767133</v>
      </c>
      <c r="H31" t="str">
        <f>_xll.BDP("593241BL Muni","ISSUE_DT")</f>
        <v>12/14/2017</v>
      </c>
      <c r="I31" t="str">
        <f>_xll.BDS("593241BL Muni","MUNI_PURPOSE_SCHED", "aggregate=y")</f>
        <v>WATER UTILITY IMPS. SEWER IMPS. CURRENT REFUNDING</v>
      </c>
      <c r="J31">
        <f>_xll.BDP("593241BL Muni","CPN")</f>
        <v>5</v>
      </c>
      <c r="K31" t="str">
        <f>_xll.BDP("593241BL Muni","MATURITY")</f>
        <v>9/1/2027</v>
      </c>
      <c r="L31">
        <v>4180000</v>
      </c>
      <c r="M31">
        <f>_xll.BDP("593241BL Muni","YIELD_ON_ISSUE_DATE")</f>
        <v>2.48</v>
      </c>
      <c r="N31">
        <f>_xll.BDP("593241BL Muni","YTW_SPREAD_TO_MATURITY_AT_ISSU")</f>
        <v>26.151512328767133</v>
      </c>
      <c r="O31" t="str">
        <f>_xll.BDP("593241BL Muni","BVAL_MID_YTM")</f>
        <v>#N/A Authorization</v>
      </c>
      <c r="P31" t="str">
        <f>_xll.BDP("593241BL Muni","MUNI_TAX_PROV")</f>
        <v>FED &amp; ST TAX-EXEMPT</v>
      </c>
      <c r="Q31" t="str">
        <f>_xll.BDP("593241BL Muni","MUNI_FED_TAX")</f>
        <v>N</v>
      </c>
      <c r="R31">
        <f>_xll.BDP("593241BL Muni","MUNI_MSRB_VOLUME")</f>
        <v>700000</v>
      </c>
      <c r="S31" t="str">
        <f>_xll.BDP("593241BL Muni","BB_COMPOSITE")</f>
        <v>AA-</v>
      </c>
      <c r="T31">
        <f>_xll.BDP("593241BL Muni","LQA_LIQUIDITY_SCORE")</f>
        <v>55</v>
      </c>
    </row>
    <row r="32" spans="1:20" x14ac:dyDescent="0.25">
      <c r="A32" t="str">
        <f>_xll.BDP("405108SB Muni","ID_CUSIP")</f>
        <v>405108SB8</v>
      </c>
      <c r="B32" t="s">
        <v>40</v>
      </c>
      <c r="C32" t="str">
        <f>_xll.BDP("405108SB Muni","INSURANCE_STATUS")</f>
        <v>N</v>
      </c>
      <c r="D32" t="str">
        <f>_xll.BDP("405108SB Muni","STATE_CODE")</f>
        <v>MD</v>
      </c>
      <c r="E32" t="str">
        <f>_xll.BDP("405108SB Muni","COUNTY_LOCATION_ISSUER")</f>
        <v>Washington, MD</v>
      </c>
      <c r="F32">
        <f>_xll.BDP("405108SB Muni","DUR_ADJ_MID")</f>
        <v>4.4014623235459451</v>
      </c>
      <c r="G32">
        <f>_xll.BDP("405108SB Muni","SPREAD_AT_ISSUANCE_TO_WORST")</f>
        <v>65.430402867214227</v>
      </c>
      <c r="H32" t="str">
        <f>_xll.BDP("405108SB Muni","ISSUE_DT")</f>
        <v>6/1/2017</v>
      </c>
      <c r="I32" t="str">
        <f>_xll.BDS("405108SB Muni","MUNI_PURPOSE_SCHED", "aggregate=y")</f>
        <v>PUBLIC IMPS. WATER UTILITY IMPS. SEWER IMPS.</v>
      </c>
      <c r="J32">
        <f>_xll.BDP("405108SB Muni","CPN")</f>
        <v>3.25</v>
      </c>
      <c r="K32" t="str">
        <f>_xll.BDP("405108SB Muni","MATURITY")</f>
        <v>6/1/2027</v>
      </c>
      <c r="L32">
        <v>75000</v>
      </c>
      <c r="M32">
        <f>_xll.BDP("405108SB Muni","YIELD_ON_ISSUE_DATE")</f>
        <v>3</v>
      </c>
      <c r="N32">
        <f>_xll.BDP("405108SB Muni","YTW_SPREAD_TO_MATURITY_AT_ISSU")</f>
        <v>65.430402867214227</v>
      </c>
      <c r="O32" t="str">
        <f>_xll.BDP("405108SB Muni","BVAL_MID_YTM")</f>
        <v>#N/A Authorization</v>
      </c>
      <c r="P32" t="str">
        <f>_xll.BDP("405108SB Muni","MUNI_TAX_PROV")</f>
        <v>FED TAXABLE/ST TAX-EXEMPT</v>
      </c>
      <c r="Q32" t="str">
        <f>_xll.BDP("405108SB Muni","MUNI_FED_TAX")</f>
        <v>Y</v>
      </c>
      <c r="R32">
        <f>_xll.BDP("405108SB Muni","MUNI_MSRB_VOLUME")</f>
        <v>30000</v>
      </c>
      <c r="S32" t="str">
        <f>_xll.BDP("405108SB Muni","BB_COMPOSITE")</f>
        <v>AA-</v>
      </c>
      <c r="T32">
        <f>_xll.BDP("405108SB Muni","LQA_LIQUIDITY_SCORE")</f>
        <v>55</v>
      </c>
    </row>
    <row r="33" spans="1:20" x14ac:dyDescent="0.25">
      <c r="A33" t="str">
        <f>_xll.BDP("13063DAR Muni","ID_CUSIP")</f>
        <v>13063DAR9</v>
      </c>
      <c r="B33" t="s">
        <v>20</v>
      </c>
      <c r="C33" t="str">
        <f>_xll.BDP("13063DAR Muni","INSURANCE_STATUS")</f>
        <v>N</v>
      </c>
      <c r="D33" t="str">
        <f>_xll.BDP("13063DAR Muni","STATE_CODE")</f>
        <v>CA</v>
      </c>
      <c r="E33" t="str">
        <f>_xll.BDP("13063DAR Muni","COUNTY_LOCATION_ISSUER")</f>
        <v>Sacramento, CA</v>
      </c>
      <c r="F33">
        <f>_xll.BDP("13063DAR Muni","DUR_ADJ_MID")</f>
        <v>3.888895898814186</v>
      </c>
      <c r="G33">
        <f>_xll.BDP("13063DAR Muni","SPREAD_AT_ISSUANCE_TO_WORST")</f>
        <v>23.732234329489966</v>
      </c>
      <c r="H33" t="str">
        <f>_xll.BDP("13063DAR Muni","ISSUE_DT")</f>
        <v>9/12/2017</v>
      </c>
      <c r="I33" t="str">
        <f>_xll.BDS("13063DAR Muni","MUNI_PURPOSE_SCHED", "aggregate=y")</f>
        <v>SCHOOL IMPS. WATER UTILITY IMPS. REFUNDING NOTES</v>
      </c>
      <c r="J33">
        <f>_xll.BDP("13063DAR Muni","CPN")</f>
        <v>4</v>
      </c>
      <c r="K33" t="str">
        <f>_xll.BDP("13063DAR Muni","MATURITY")</f>
        <v>11/1/2026</v>
      </c>
      <c r="L33">
        <v>10565000</v>
      </c>
      <c r="M33">
        <f>_xll.BDP("13063DAR Muni","YIELD_ON_ISSUE_DATE")</f>
        <v>1.98</v>
      </c>
      <c r="N33">
        <f>_xll.BDP("13063DAR Muni","YTW_SPREAD_TO_MATURITY_AT_ISSU")</f>
        <v>23.732234329489966</v>
      </c>
      <c r="O33" t="str">
        <f>_xll.BDP("13063DAR Muni","BVAL_MID_YTM")</f>
        <v>#N/A Authorization</v>
      </c>
      <c r="P33" t="str">
        <f>_xll.BDP("13063DAR Muni","MUNI_TAX_PROV")</f>
        <v>FED &amp; ST TAX-EXEMPT</v>
      </c>
      <c r="Q33" t="str">
        <f>_xll.BDP("13063DAR Muni","MUNI_FED_TAX")</f>
        <v>N</v>
      </c>
      <c r="R33">
        <f>_xll.BDP("13063DAR Muni","MUNI_MSRB_VOLUME")</f>
        <v>130000</v>
      </c>
      <c r="S33" t="str">
        <f>_xll.BDP("13063DAR Muni","BB_COMPOSITE")</f>
        <v>AA-</v>
      </c>
      <c r="T33">
        <f>_xll.BDP("13063DAR Muni","LQA_LIQUIDITY_SCORE")</f>
        <v>68</v>
      </c>
    </row>
    <row r="34" spans="1:20" x14ac:dyDescent="0.25">
      <c r="A34" t="str">
        <f>_xll.BDP("13034ARY Muni","ID_CUSIP")</f>
        <v>13034ARY8</v>
      </c>
      <c r="B34" t="s">
        <v>21</v>
      </c>
      <c r="C34" t="str">
        <f>_xll.BDP("13034ARY Muni","INSURANCE_STATUS")</f>
        <v>N</v>
      </c>
      <c r="D34" t="str">
        <f>_xll.BDP("13034ARY Muni","STATE_CODE")</f>
        <v>CA</v>
      </c>
      <c r="E34" t="str">
        <f>_xll.BDP("13034ARY Muni","COUNTY_LOCATION_ISSUER")</f>
        <v>Sacramento, CA</v>
      </c>
      <c r="F34">
        <f>_xll.BDP("13034ARY Muni","DUR_ADJ_MID")</f>
        <v>2.9086605536218828</v>
      </c>
      <c r="G34">
        <f>_xll.BDP("13034ARY Muni","SPREAD_AT_ISSUANCE_TO_WORST")</f>
        <v>3.4497176807526841</v>
      </c>
      <c r="H34" t="str">
        <f>_xll.BDP("13034ARY Muni","ISSUE_DT")</f>
        <v>3/23/2017</v>
      </c>
      <c r="I34" t="str">
        <f>_xll.BDS("13034ARY Muni","MUNI_PURPOSE_SCHED", "aggregate=y")</f>
        <v>GREEN PURPOSE WATER UTILITY IMPS.</v>
      </c>
      <c r="J34">
        <f>_xll.BDP("13034ARY Muni","CPN")</f>
        <v>5</v>
      </c>
      <c r="K34" t="str">
        <f>_xll.BDP("13034ARY Muni","MATURITY")</f>
        <v>10/1/2025</v>
      </c>
      <c r="L34">
        <v>26860000</v>
      </c>
      <c r="M34">
        <f>_xll.BDP("13034ARY Muni","YIELD_ON_ISSUE_DATE")</f>
        <v>2.14</v>
      </c>
      <c r="N34">
        <f>_xll.BDP("13034ARY Muni","YTW_SPREAD_TO_MATURITY_AT_ISSU")</f>
        <v>3.4497176807526841</v>
      </c>
      <c r="O34" t="str">
        <f>_xll.BDP("13034ARY Muni","BVAL_MID_YTM")</f>
        <v>#N/A Authorization</v>
      </c>
      <c r="P34" t="str">
        <f>_xll.BDP("13034ARY Muni","MUNI_TAX_PROV")</f>
        <v>FED &amp; ST TAX-EXEMPT</v>
      </c>
      <c r="Q34" t="str">
        <f>_xll.BDP("13034ARY Muni","MUNI_FED_TAX")</f>
        <v>N</v>
      </c>
      <c r="R34">
        <f>_xll.BDP("13034ARY Muni","MUNI_MSRB_VOLUME")</f>
        <v>120000</v>
      </c>
      <c r="S34" t="str">
        <f>_xll.BDP("13034ARY Muni","BB_COMPOSITE")</f>
        <v>AAA</v>
      </c>
      <c r="T34">
        <f>_xll.BDP("13034ARY Muni","LQA_LIQUIDITY_SCORE")</f>
        <v>80</v>
      </c>
    </row>
    <row r="35" spans="1:20" x14ac:dyDescent="0.25">
      <c r="A35" t="str">
        <f>_xll.BDP("89658HUT Muni","ID_CUSIP")</f>
        <v>89658HUT5</v>
      </c>
      <c r="B35" t="s">
        <v>33</v>
      </c>
      <c r="C35" t="str">
        <f>_xll.BDP("89658HUT Muni","INSURANCE_STATUS")</f>
        <v>N</v>
      </c>
      <c r="D35" t="str">
        <f>_xll.BDP("89658HUT Muni","STATE_CODE")</f>
        <v>TX</v>
      </c>
      <c r="E35" t="str">
        <f>_xll.BDP("89658HUT Muni","COUNTY_LOCATION_ISSUER")</f>
        <v>Tarrant, TX</v>
      </c>
      <c r="F35">
        <f>_xll.BDP("89658HUT Muni","DUR_ADJ_MID")</f>
        <v>1.9384790999327159</v>
      </c>
      <c r="G35">
        <f>_xll.BDP("89658HUT Muni","SPREAD_AT_ISSUANCE_TO_WORST")</f>
        <v>30.156373819358183</v>
      </c>
      <c r="H35" t="str">
        <f>_xll.BDP("89658HUT Muni","ISSUE_DT")</f>
        <v>5/1/2017</v>
      </c>
      <c r="I35" t="str">
        <f>_xll.BDS("89658HUT Muni","MUNI_PURPOSE_SCHED", "aggregate=y")</f>
        <v>ADVANCE REFUNDING WATER UTILITY IMPS. SEWER IMPS.</v>
      </c>
      <c r="J35">
        <f>_xll.BDP("89658HUT Muni","CPN")</f>
        <v>3</v>
      </c>
      <c r="K35" t="str">
        <f>_xll.BDP("89658HUT Muni","MATURITY")</f>
        <v>8/1/2024</v>
      </c>
      <c r="L35">
        <v>14380000</v>
      </c>
      <c r="M35">
        <f>_xll.BDP("89658HUT Muni","YIELD_ON_ISSUE_DATE")</f>
        <v>2.08</v>
      </c>
      <c r="N35">
        <f>_xll.BDP("89658HUT Muni","YTW_SPREAD_TO_MATURITY_AT_ISSU")</f>
        <v>30.156373819358183</v>
      </c>
      <c r="O35" t="str">
        <f>_xll.BDP("89658HUT Muni","BVAL_MID_YTM")</f>
        <v>#N/A Authorization</v>
      </c>
      <c r="P35" t="str">
        <f>_xll.BDP("89658HUT Muni","MUNI_TAX_PROV")</f>
        <v>FED TAX-EXEMPT</v>
      </c>
      <c r="Q35" t="str">
        <f>_xll.BDP("89658HUT Muni","MUNI_FED_TAX")</f>
        <v>N</v>
      </c>
      <c r="R35">
        <f>_xll.BDP("89658HUT Muni","MUNI_MSRB_VOLUME")</f>
        <v>200000</v>
      </c>
      <c r="S35" t="str">
        <f>_xll.BDP("89658HUT Muni","BB_COMPOSITE")</f>
        <v>AAA</v>
      </c>
      <c r="T35">
        <f>_xll.BDP("89658HUT Muni","LQA_LIQUIDITY_SCORE")</f>
        <v>82</v>
      </c>
    </row>
    <row r="36" spans="1:20" x14ac:dyDescent="0.25">
      <c r="A36" t="str">
        <f>_xll.BDP("303891B5 Muni","ID_CUSIP")</f>
        <v>303891B53</v>
      </c>
      <c r="B36" t="s">
        <v>41</v>
      </c>
      <c r="C36" t="str">
        <f>_xll.BDP("303891B5 Muni","INSURANCE_STATUS")</f>
        <v>N</v>
      </c>
      <c r="D36" t="str">
        <f>_xll.BDP("303891B5 Muni","STATE_CODE")</f>
        <v>VA</v>
      </c>
      <c r="E36" t="str">
        <f>_xll.BDP("303891B5 Muni","COUNTY_LOCATION_ISSUER")</f>
        <v>Fairfax, VA</v>
      </c>
      <c r="F36">
        <f>_xll.BDP("303891B5 Muni","DUR_ADJ_MID")</f>
        <v>2.4735736654449041</v>
      </c>
      <c r="G36">
        <f>_xll.BDP("303891B5 Muni","SPREAD_AT_ISSUANCE_TO_WORST")</f>
        <v>-2.464421513032411</v>
      </c>
      <c r="H36" t="str">
        <f>_xll.BDP("303891B5 Muni","ISSUE_DT")</f>
        <v>3/1/2017</v>
      </c>
      <c r="I36" t="str">
        <f>_xll.BDS("303891B5 Muni","MUNI_PURPOSE_SCHED", "aggregate=y")</f>
        <v>CURRENT REFUNDING WATER UTILITY IMPS.</v>
      </c>
      <c r="J36">
        <f>_xll.BDP("303891B5 Muni","CPN")</f>
        <v>5</v>
      </c>
      <c r="K36" t="str">
        <f>_xll.BDP("303891B5 Muni","MATURITY")</f>
        <v>4/1/2025</v>
      </c>
      <c r="L36">
        <v>5795000</v>
      </c>
      <c r="M36">
        <f>_xll.BDP("303891B5 Muni","YIELD_ON_ISSUE_DATE")</f>
        <v>2.0300000000000002</v>
      </c>
      <c r="N36">
        <f>_xll.BDP("303891B5 Muni","YTW_SPREAD_TO_MATURITY_AT_ISSU")</f>
        <v>-2.464421513032411</v>
      </c>
      <c r="O36" t="str">
        <f>_xll.BDP("303891B5 Muni","BVAL_MID_YTM")</f>
        <v>#N/A Authorization</v>
      </c>
      <c r="P36" t="str">
        <f>_xll.BDP("303891B5 Muni","MUNI_TAX_PROV")</f>
        <v>FED &amp; ST TAX-EXEMPT</v>
      </c>
      <c r="Q36" t="str">
        <f>_xll.BDP("303891B5 Muni","MUNI_FED_TAX")</f>
        <v>N</v>
      </c>
      <c r="R36">
        <f>_xll.BDP("303891B5 Muni","MUNI_MSRB_VOLUME")</f>
        <v>155000</v>
      </c>
      <c r="S36" t="str">
        <f>_xll.BDP("303891B5 Muni","BB_COMPOSITE")</f>
        <v>AAA</v>
      </c>
      <c r="T36">
        <f>_xll.BDP("303891B5 Muni","LQA_LIQUIDITY_SCORE")</f>
        <v>83</v>
      </c>
    </row>
    <row r="37" spans="1:20" x14ac:dyDescent="0.25">
      <c r="A37" t="str">
        <f>_xll.BDP("76222RVB Muni","ID_CUSIP")</f>
        <v>76222RVB5</v>
      </c>
      <c r="B37" t="s">
        <v>42</v>
      </c>
      <c r="C37" t="str">
        <f>_xll.BDP("76222RVB Muni","INSURANCE_STATUS")</f>
        <v>N</v>
      </c>
      <c r="D37" t="str">
        <f>_xll.BDP("76222RVB Muni","STATE_CODE")</f>
        <v>RI</v>
      </c>
      <c r="E37" t="str">
        <f>_xll.BDP("76222RVB Muni","COUNTY_LOCATION_ISSUER")</f>
        <v>Providence, RI</v>
      </c>
      <c r="F37">
        <f>_xll.BDP("76222RVB Muni","DUR_ADJ_MID")</f>
        <v>3.409868127514633</v>
      </c>
      <c r="G37">
        <f>_xll.BDP("76222RVB Muni","SPREAD_AT_ISSUANCE_TO_WORST")</f>
        <v>24.462256551810711</v>
      </c>
      <c r="H37" t="str">
        <f>_xll.BDP("76222RVB Muni","ISSUE_DT")</f>
        <v>5/9/2017</v>
      </c>
      <c r="I37" t="str">
        <f>_xll.BDS("76222RVB Muni","MUNI_PURPOSE_SCHED", "aggregate=y")</f>
        <v>HOUSING UNIV. &amp; COLLEGE IMPS. WATER UTILITY IMPS.</v>
      </c>
      <c r="J37">
        <f>_xll.BDP("76222RVB Muni","CPN")</f>
        <v>5</v>
      </c>
      <c r="K37" t="str">
        <f>_xll.BDP("76222RVB Muni","MATURITY")</f>
        <v>5/1/2026</v>
      </c>
      <c r="L37">
        <v>4180000</v>
      </c>
      <c r="M37">
        <f>_xll.BDP("76222RVB Muni","YIELD_ON_ISSUE_DATE")</f>
        <v>2.2400000000000002</v>
      </c>
      <c r="N37">
        <f>_xll.BDP("76222RVB Muni","YTW_SPREAD_TO_MATURITY_AT_ISSU")</f>
        <v>24.462256551810711</v>
      </c>
      <c r="O37" t="str">
        <f>_xll.BDP("76222RVB Muni","BVAL_MID_YTM")</f>
        <v>#N/A Authorization</v>
      </c>
      <c r="P37" t="str">
        <f>_xll.BDP("76222RVB Muni","MUNI_TAX_PROV")</f>
        <v>FED &amp; ST TAX-EXEMPT</v>
      </c>
      <c r="Q37" t="str">
        <f>_xll.BDP("76222RVB Muni","MUNI_FED_TAX")</f>
        <v>N</v>
      </c>
      <c r="R37">
        <f>_xll.BDP("76222RVB Muni","MUNI_MSRB_VOLUME")</f>
        <v>200000</v>
      </c>
      <c r="S37" t="str">
        <f>_xll.BDP("76222RVB Muni","BB_COMPOSITE")</f>
        <v>AA</v>
      </c>
      <c r="T37">
        <f>_xll.BDP("76222RVB Muni","LQA_LIQUIDITY_SCORE")</f>
        <v>66</v>
      </c>
    </row>
    <row r="38" spans="1:20" x14ac:dyDescent="0.25">
      <c r="A38" t="str">
        <f>_xll.BDP("889753NM Muni","ID_CUSIP")</f>
        <v>889753NM7</v>
      </c>
      <c r="B38" t="s">
        <v>43</v>
      </c>
      <c r="C38" t="str">
        <f>_xll.BDP("889753NM Muni","INSURANCE_STATUS")</f>
        <v>Y</v>
      </c>
      <c r="D38" t="str">
        <f>_xll.BDP("889753NM Muni","STATE_CODE")</f>
        <v>WI</v>
      </c>
      <c r="E38" t="str">
        <f>_xll.BDP("889753NM Muni","COUNTY_LOCATION_ISSUER")</f>
        <v>Monroe, WI</v>
      </c>
      <c r="F38">
        <f>_xll.BDP("889753NM Muni","DUR_ADJ_MID")</f>
        <v>0.56851961451889255</v>
      </c>
      <c r="G38">
        <f>_xll.BDP("889753NM Muni","SPREAD_AT_ISSUANCE_TO_WORST")</f>
        <v>20.669464846794973</v>
      </c>
      <c r="H38" t="str">
        <f>_xll.BDP("889753NM Muni","ISSUE_DT")</f>
        <v>3/30/2017</v>
      </c>
      <c r="I38" t="str">
        <f>_xll.BDS("889753NM Muni","MUNI_PURPOSE_SCHED", "aggregate=y")</f>
        <v>PUBLIC IMPS. WATER UTILITY IMPS. SEWER IMPS.</v>
      </c>
      <c r="J38">
        <f>_xll.BDP("889753NM Muni","CPN")</f>
        <v>3</v>
      </c>
      <c r="K38" t="str">
        <f>_xll.BDP("889753NM Muni","MATURITY")</f>
        <v>3/1/2023</v>
      </c>
      <c r="L38">
        <v>330000</v>
      </c>
      <c r="M38">
        <f>_xll.BDP("889753NM Muni","YIELD_ON_ISSUE_DATE")</f>
        <v>2.1</v>
      </c>
      <c r="N38">
        <f>_xll.BDP("889753NM Muni","YTW_SPREAD_TO_MATURITY_AT_ISSU")</f>
        <v>20.669464846794973</v>
      </c>
      <c r="O38" t="str">
        <f>_xll.BDP("889753NM Muni","BVAL_MID_YTM")</f>
        <v>#N/A Authorization</v>
      </c>
      <c r="P38" t="str">
        <f>_xll.BDP("889753NM Muni","MUNI_TAX_PROV")</f>
        <v>FED BQ/ST TAXABLE</v>
      </c>
      <c r="Q38" t="str">
        <f>_xll.BDP("889753NM Muni","MUNI_FED_TAX")</f>
        <v>N</v>
      </c>
      <c r="R38">
        <f>_xll.BDP("889753NM Muni","MUNI_MSRB_VOLUME")</f>
        <v>350000</v>
      </c>
      <c r="S38" t="str">
        <f>_xll.BDP("889753NM Muni","BB_COMPOSITE")</f>
        <v>AA-</v>
      </c>
      <c r="T38">
        <f>_xll.BDP("889753NM Muni","LQA_LIQUIDITY_SCORE")</f>
        <v>91</v>
      </c>
    </row>
    <row r="39" spans="1:20" x14ac:dyDescent="0.25">
      <c r="A39" t="str">
        <f>_xll.BDP("45204EXN Muni","ID_CUSIP")</f>
        <v>45204EXN3</v>
      </c>
      <c r="B39" t="s">
        <v>25</v>
      </c>
      <c r="C39" t="str">
        <f>_xll.BDP("45204EXN Muni","INSURANCE_STATUS")</f>
        <v>N</v>
      </c>
      <c r="D39" t="str">
        <f>_xll.BDP("45204EXN Muni","STATE_CODE")</f>
        <v>IL</v>
      </c>
      <c r="E39" t="str">
        <f>_xll.BDP("45204EXN Muni","COUNTY_LOCATION_ISSUER")</f>
        <v>Cook, IL</v>
      </c>
      <c r="F39">
        <f>_xll.BDP("45204EXN Muni","DUR_ADJ_MID")</f>
        <v>2.2775133738409949</v>
      </c>
      <c r="G39">
        <f>_xll.BDP("45204EXN Muni","SPREAD_AT_ISSUANCE_TO_WORST")</f>
        <v>27.972585402920068</v>
      </c>
      <c r="H39" t="str">
        <f>_xll.BDP("45204EXN Muni","ISSUE_DT")</f>
        <v>9/12/2017</v>
      </c>
      <c r="I39" t="str">
        <f>_xll.BDS("45204EXN Muni","MUNI_PURPOSE_SCHED", "aggregate=y")</f>
        <v>GREEN PURPOSE WATER UTILITY IMPS. SEWER IMPS.</v>
      </c>
      <c r="J39">
        <f>_xll.BDP("45204EXN Muni","CPN")</f>
        <v>5</v>
      </c>
      <c r="K39" t="str">
        <f>_xll.BDP("45204EXN Muni","MATURITY")</f>
        <v>1/1/2025</v>
      </c>
      <c r="L39">
        <v>16835000</v>
      </c>
      <c r="M39">
        <f>_xll.BDP("45204EXN Muni","YIELD_ON_ISSUE_DATE")</f>
        <v>1.77</v>
      </c>
      <c r="N39">
        <f>_xll.BDP("45204EXN Muni","YTW_SPREAD_TO_MATURITY_AT_ISSU")</f>
        <v>27.972585402920068</v>
      </c>
      <c r="O39" t="str">
        <f>_xll.BDP("45204EXN Muni","BVAL_MID_YTM")</f>
        <v>#N/A Authorization</v>
      </c>
      <c r="P39" t="str">
        <f>_xll.BDP("45204EXN Muni","MUNI_TAX_PROV")</f>
        <v>FED TAX-EXEMPT/ST TAXABLE</v>
      </c>
      <c r="Q39" t="str">
        <f>_xll.BDP("45204EXN Muni","MUNI_FED_TAX")</f>
        <v>N</v>
      </c>
      <c r="R39">
        <f>_xll.BDP("45204EXN Muni","MUNI_MSRB_VOLUME")</f>
        <v>30000</v>
      </c>
      <c r="S39" t="str">
        <f>_xll.BDP("45204EXN Muni","BB_COMPOSITE")</f>
        <v>AAA</v>
      </c>
      <c r="T39">
        <f>_xll.BDP("45204EXN Muni","LQA_LIQUIDITY_SCORE")</f>
        <v>82</v>
      </c>
    </row>
    <row r="40" spans="1:20" x14ac:dyDescent="0.25">
      <c r="A40" t="str">
        <f>_xll.BDP("13034ARV Muni","ID_CUSIP")</f>
        <v>13034ARV4</v>
      </c>
      <c r="B40" t="s">
        <v>21</v>
      </c>
      <c r="C40" t="str">
        <f>_xll.BDP("13034ARV Muni","INSURANCE_STATUS")</f>
        <v>N</v>
      </c>
      <c r="D40" t="str">
        <f>_xll.BDP("13034ARV Muni","STATE_CODE")</f>
        <v>CA</v>
      </c>
      <c r="E40" t="str">
        <f>_xll.BDP("13034ARV Muni","COUNTY_LOCATION_ISSUER")</f>
        <v>Sacramento, CA</v>
      </c>
      <c r="F40">
        <f>_xll.BDP("13034ARV Muni","DUR_ADJ_MID")</f>
        <v>0.16350124063345525</v>
      </c>
      <c r="G40">
        <f>_xll.BDP("13034ARV Muni","SPREAD_AT_ISSUANCE_TO_WORST")</f>
        <v>-8.4133711862190985</v>
      </c>
      <c r="H40" t="str">
        <f>_xll.BDP("13034ARV Muni","ISSUE_DT")</f>
        <v>3/23/2017</v>
      </c>
      <c r="I40" t="str">
        <f>_xll.BDS("13034ARV Muni","MUNI_PURPOSE_SCHED", "aggregate=y")</f>
        <v>GREEN PURPOSE WATER UTILITY IMPS.</v>
      </c>
      <c r="J40">
        <f>_xll.BDP("13034ARV Muni","CPN")</f>
        <v>5</v>
      </c>
      <c r="K40" t="str">
        <f>_xll.BDP("13034ARV Muni","MATURITY")</f>
        <v>10/1/2022</v>
      </c>
      <c r="L40">
        <v>26725000</v>
      </c>
      <c r="M40">
        <f>_xll.BDP("13034ARV Muni","YIELD_ON_ISSUE_DATE")</f>
        <v>1.55</v>
      </c>
      <c r="N40">
        <f>_xll.BDP("13034ARV Muni","YTW_SPREAD_TO_MATURITY_AT_ISSU")</f>
        <v>-8.4133711862190985</v>
      </c>
      <c r="O40" t="str">
        <f>_xll.BDP("13034ARV Muni","BVAL_MID_YTM")</f>
        <v>#N/A Authorization</v>
      </c>
      <c r="P40" t="str">
        <f>_xll.BDP("13034ARV Muni","MUNI_TAX_PROV")</f>
        <v>FED &amp; ST TAX-EXEMPT</v>
      </c>
      <c r="Q40" t="str">
        <f>_xll.BDP("13034ARV Muni","MUNI_FED_TAX")</f>
        <v>N</v>
      </c>
      <c r="R40">
        <f>_xll.BDP("13034ARV Muni","MUNI_MSRB_VOLUME")</f>
        <v>80000</v>
      </c>
      <c r="S40" t="str">
        <f>_xll.BDP("13034ARV Muni","BB_COMPOSITE")</f>
        <v>AAA</v>
      </c>
      <c r="T40">
        <f>_xll.BDP("13034ARV Muni","LQA_LIQUIDITY_SCORE")</f>
        <v>99</v>
      </c>
    </row>
    <row r="41" spans="1:20" x14ac:dyDescent="0.25">
      <c r="A41" t="str">
        <f>_xll.BDP("544525VU Muni","ID_CUSIP")</f>
        <v>544525VU9</v>
      </c>
      <c r="B41" t="s">
        <v>44</v>
      </c>
      <c r="C41" t="str">
        <f>_xll.BDP("544525VU Muni","INSURANCE_STATUS")</f>
        <v>N</v>
      </c>
      <c r="D41" t="str">
        <f>_xll.BDP("544525VU Muni","STATE_CODE")</f>
        <v>CA</v>
      </c>
      <c r="E41" t="str">
        <f>_xll.BDP("544525VU Muni","COUNTY_LOCATION_ISSUER")</f>
        <v>Los Angeles, CA</v>
      </c>
      <c r="F41">
        <f>_xll.BDP("544525VU Muni","DUR_ADJ_MID")</f>
        <v>3.5780007149419673</v>
      </c>
      <c r="G41">
        <f>_xll.BDP("544525VU Muni","SPREAD_AT_ISSUANCE_TO_WORST")</f>
        <v>11.935224062226579</v>
      </c>
      <c r="H41" t="str">
        <f>_xll.BDP("544525VU Muni","ISSUE_DT")</f>
        <v>5/11/2017</v>
      </c>
      <c r="I41" t="str">
        <f>_xll.BDS("544525VU Muni","MUNI_PURPOSE_SCHED", "aggregate=y")</f>
        <v>CURRENT REFUNDING WATER UTILITY IMPS. REPAYMENT OF BANK LOAN</v>
      </c>
      <c r="J41">
        <f>_xll.BDP("544525VU Muni","CPN")</f>
        <v>5</v>
      </c>
      <c r="K41" t="str">
        <f>_xll.BDP("544525VU Muni","MATURITY")</f>
        <v>7/1/2026</v>
      </c>
      <c r="L41">
        <v>10880000</v>
      </c>
      <c r="M41">
        <f>_xll.BDP("544525VU Muni","YIELD_ON_ISSUE_DATE")</f>
        <v>2.16</v>
      </c>
      <c r="N41">
        <f>_xll.BDP("544525VU Muni","YTW_SPREAD_TO_MATURITY_AT_ISSU")</f>
        <v>11.935224062226579</v>
      </c>
      <c r="O41" t="str">
        <f>_xll.BDP("544525VU Muni","BVAL_MID_YTM")</f>
        <v>#N/A Authorization</v>
      </c>
      <c r="P41" t="str">
        <f>_xll.BDP("544525VU Muni","MUNI_TAX_PROV")</f>
        <v>FED &amp; ST TAX-EXEMPT</v>
      </c>
      <c r="Q41" t="str">
        <f>_xll.BDP("544525VU Muni","MUNI_FED_TAX")</f>
        <v>N</v>
      </c>
      <c r="R41">
        <f>_xll.BDP("544525VU Muni","MUNI_MSRB_VOLUME")</f>
        <v>20000</v>
      </c>
      <c r="S41" t="str">
        <f>_xll.BDP("544525VU Muni","BB_COMPOSITE")</f>
        <v>AA</v>
      </c>
      <c r="T41">
        <f>_xll.BDP("544525VU Muni","LQA_LIQUIDITY_SCORE")</f>
        <v>72</v>
      </c>
    </row>
    <row r="42" spans="1:20" x14ac:dyDescent="0.25">
      <c r="A42" t="str">
        <f>_xll.BDP("13034ARX Muni","ID_CUSIP")</f>
        <v>13034ARX0</v>
      </c>
      <c r="B42" t="s">
        <v>21</v>
      </c>
      <c r="C42" t="str">
        <f>_xll.BDP("13034ARX Muni","INSURANCE_STATUS")</f>
        <v>N</v>
      </c>
      <c r="D42" t="str">
        <f>_xll.BDP("13034ARX Muni","STATE_CODE")</f>
        <v>CA</v>
      </c>
      <c r="E42" t="str">
        <f>_xll.BDP("13034ARX Muni","COUNTY_LOCATION_ISSUER")</f>
        <v>Sacramento, CA</v>
      </c>
      <c r="F42">
        <f>_xll.BDP("13034ARX Muni","DUR_ADJ_MID")</f>
        <v>2.0313791379683379</v>
      </c>
      <c r="G42">
        <f>_xll.BDP("13034ARX Muni","SPREAD_AT_ISSUANCE_TO_WORST")</f>
        <v>1.1478484270493583</v>
      </c>
      <c r="H42" t="str">
        <f>_xll.BDP("13034ARX Muni","ISSUE_DT")</f>
        <v>3/23/2017</v>
      </c>
      <c r="I42" t="str">
        <f>_xll.BDS("13034ARX Muni","MUNI_PURPOSE_SCHED", "aggregate=y")</f>
        <v>GREEN PURPOSE WATER UTILITY IMPS.</v>
      </c>
      <c r="J42">
        <f>_xll.BDP("13034ARX Muni","CPN")</f>
        <v>5</v>
      </c>
      <c r="K42" t="str">
        <f>_xll.BDP("13034ARX Muni","MATURITY")</f>
        <v>10/1/2024</v>
      </c>
      <c r="L42">
        <v>40840000</v>
      </c>
      <c r="M42">
        <f>_xll.BDP("13034ARX Muni","YIELD_ON_ISSUE_DATE")</f>
        <v>1.97</v>
      </c>
      <c r="N42">
        <f>_xll.BDP("13034ARX Muni","YTW_SPREAD_TO_MATURITY_AT_ISSU")</f>
        <v>1.1478484270493583</v>
      </c>
      <c r="O42" t="str">
        <f>_xll.BDP("13034ARX Muni","BVAL_MID_YTM")</f>
        <v>#N/A Authorization</v>
      </c>
      <c r="P42" t="str">
        <f>_xll.BDP("13034ARX Muni","MUNI_TAX_PROV")</f>
        <v>FED &amp; ST TAX-EXEMPT</v>
      </c>
      <c r="Q42" t="str">
        <f>_xll.BDP("13034ARX Muni","MUNI_FED_TAX")</f>
        <v>N</v>
      </c>
      <c r="R42">
        <f>_xll.BDP("13034ARX Muni","MUNI_MSRB_VOLUME")</f>
        <v>15000</v>
      </c>
      <c r="S42" t="str">
        <f>_xll.BDP("13034ARX Muni","BB_COMPOSITE")</f>
        <v>AAA</v>
      </c>
      <c r="T42">
        <f>_xll.BDP("13034ARX Muni","LQA_LIQUIDITY_SCORE")</f>
        <v>88</v>
      </c>
    </row>
    <row r="43" spans="1:20" x14ac:dyDescent="0.25">
      <c r="A43" t="str">
        <f>_xll.BDP("899138AF Muni","ID_CUSIP")</f>
        <v>899138AF8</v>
      </c>
      <c r="B43" t="s">
        <v>45</v>
      </c>
      <c r="C43" t="str">
        <f>_xll.BDP("899138AF Muni","INSURANCE_STATUS")</f>
        <v>Y</v>
      </c>
      <c r="D43" t="str">
        <f>_xll.BDP("899138AF Muni","STATE_CODE")</f>
        <v>CA</v>
      </c>
      <c r="E43" t="str">
        <f>_xll.BDP("899138AF Muni","COUNTY_LOCATION_ISSUER")</f>
        <v>#N/A Field Not Applicable</v>
      </c>
      <c r="F43">
        <f>_xll.BDP("899138AF Muni","DUR_ADJ_MID")</f>
        <v>1.2914027560218435</v>
      </c>
      <c r="G43">
        <f>_xll.BDP("899138AF Muni","SPREAD_AT_ISSUANCE_TO_WORST")</f>
        <v>12.081605479452051</v>
      </c>
      <c r="H43" t="str">
        <f>_xll.BDP("899138AF Muni","ISSUE_DT")</f>
        <v>12/6/2017</v>
      </c>
      <c r="I43" t="str">
        <f>_xll.BDS("899138AF Muni","MUNI_PURPOSE_SCHED", "aggregate=y")</f>
        <v>WATER UTILITY IMPS.</v>
      </c>
      <c r="J43">
        <f>_xll.BDP("899138AF Muni","CPN")</f>
        <v>4</v>
      </c>
      <c r="K43" t="str">
        <f>_xll.BDP("899138AF Muni","MATURITY")</f>
        <v>12/1/2023</v>
      </c>
      <c r="L43">
        <v>380000</v>
      </c>
      <c r="M43">
        <f>_xll.BDP("899138AF Muni","YIELD_ON_ISSUE_DATE")</f>
        <v>1.75</v>
      </c>
      <c r="N43">
        <f>_xll.BDP("899138AF Muni","YTW_SPREAD_TO_MATURITY_AT_ISSU")</f>
        <v>12.081605479452051</v>
      </c>
      <c r="O43" t="str">
        <f>_xll.BDP("899138AF Muni","BVAL_MID_YTM")</f>
        <v>#N/A Authorization</v>
      </c>
      <c r="P43" t="str">
        <f>_xll.BDP("899138AF Muni","MUNI_TAX_PROV")</f>
        <v>FED &amp; ST TAX-EXEMPT</v>
      </c>
      <c r="Q43" t="str">
        <f>_xll.BDP("899138AF Muni","MUNI_FED_TAX")</f>
        <v>N</v>
      </c>
      <c r="R43">
        <f>_xll.BDP("899138AF Muni","MUNI_MSRB_VOLUME")</f>
        <v>420000</v>
      </c>
      <c r="S43" t="str">
        <f>_xll.BDP("899138AF Muni","BB_COMPOSITE")</f>
        <v>#N/A N/A</v>
      </c>
      <c r="T43">
        <f>_xll.BDP("899138AF Muni","LQA_LIQUIDITY_SCORE")</f>
        <v>72</v>
      </c>
    </row>
    <row r="44" spans="1:20" x14ac:dyDescent="0.25">
      <c r="A44" t="str">
        <f>_xll.BDP("581714VQ Muni","ID_CUSIP")</f>
        <v>581714VQ2</v>
      </c>
      <c r="B44" t="s">
        <v>46</v>
      </c>
      <c r="C44" t="str">
        <f>_xll.BDP("581714VQ Muni","INSURANCE_STATUS")</f>
        <v>N</v>
      </c>
      <c r="D44" t="str">
        <f>_xll.BDP("581714VQ Muni","STATE_CODE")</f>
        <v>TX</v>
      </c>
      <c r="E44" t="str">
        <f>_xll.BDP("581714VQ Muni","COUNTY_LOCATION_ISSUER")</f>
        <v>Collin, TX</v>
      </c>
      <c r="F44">
        <f>_xll.BDP("581714VQ Muni","DUR_ADJ_MID")</f>
        <v>3.2808375709592306</v>
      </c>
      <c r="G44">
        <f>_xll.BDP("581714VQ Muni","SPREAD_AT_ISSUANCE_TO_WORST")</f>
        <v>23.611689627111886</v>
      </c>
      <c r="H44" t="str">
        <f>_xll.BDP("581714VQ Muni","ISSUE_DT")</f>
        <v>8/1/2017</v>
      </c>
      <c r="I44" t="str">
        <f>_xll.BDS("581714VQ Muni","MUNI_PURPOSE_SCHED", "aggregate=y")</f>
        <v>WATER UTILITY IMPS. SEWER IMPS. ADVANCE REFUNDING</v>
      </c>
      <c r="J44">
        <f>_xll.BDP("581714VQ Muni","CPN")</f>
        <v>5</v>
      </c>
      <c r="K44" t="str">
        <f>_xll.BDP("581714VQ Muni","MATURITY")</f>
        <v>3/15/2026</v>
      </c>
      <c r="L44">
        <v>2905000</v>
      </c>
      <c r="M44">
        <f>_xll.BDP("581714VQ Muni","YIELD_ON_ISSUE_DATE")</f>
        <v>1.97</v>
      </c>
      <c r="N44">
        <f>_xll.BDP("581714VQ Muni","YTW_SPREAD_TO_MATURITY_AT_ISSU")</f>
        <v>23.611689627111886</v>
      </c>
      <c r="O44" t="str">
        <f>_xll.BDP("581714VQ Muni","BVAL_MID_YTM")</f>
        <v>#N/A Authorization</v>
      </c>
      <c r="P44" t="str">
        <f>_xll.BDP("581714VQ Muni","MUNI_TAX_PROV")</f>
        <v>FED TAX-EXEMPT</v>
      </c>
      <c r="Q44" t="str">
        <f>_xll.BDP("581714VQ Muni","MUNI_FED_TAX")</f>
        <v>N</v>
      </c>
      <c r="R44">
        <f>_xll.BDP("581714VQ Muni","MUNI_MSRB_VOLUME")</f>
        <v>260000</v>
      </c>
      <c r="S44" t="str">
        <f>_xll.BDP("581714VQ Muni","BB_COMPOSITE")</f>
        <v>AA+</v>
      </c>
      <c r="T44">
        <f>_xll.BDP("581714VQ Muni","LQA_LIQUIDITY_SCORE")</f>
        <v>77</v>
      </c>
    </row>
    <row r="45" spans="1:20" x14ac:dyDescent="0.25">
      <c r="A45" t="str">
        <f>_xll.BDP("13063DAN Muni","ID_CUSIP")</f>
        <v>13063DAN8</v>
      </c>
      <c r="B45" t="s">
        <v>20</v>
      </c>
      <c r="C45" t="str">
        <f>_xll.BDP("13063DAN Muni","INSURANCE_STATUS")</f>
        <v>N</v>
      </c>
      <c r="D45" t="str">
        <f>_xll.BDP("13063DAN Muni","STATE_CODE")</f>
        <v>CA</v>
      </c>
      <c r="E45" t="str">
        <f>_xll.BDP("13063DAN Muni","COUNTY_LOCATION_ISSUER")</f>
        <v>Sacramento, CA</v>
      </c>
      <c r="F45">
        <f>_xll.BDP("13063DAN Muni","DUR_ADJ_MID")</f>
        <v>1.2072032647568363</v>
      </c>
      <c r="G45">
        <f>_xll.BDP("13063DAN Muni","SPREAD_AT_ISSUANCE_TO_WORST")</f>
        <v>17.402074474724529</v>
      </c>
      <c r="H45" t="str">
        <f>_xll.BDP("13063DAN Muni","ISSUE_DT")</f>
        <v>9/12/2017</v>
      </c>
      <c r="I45" t="str">
        <f>_xll.BDS("13063DAN Muni","MUNI_PURPOSE_SCHED", "aggregate=y")</f>
        <v>SCHOOL IMPS. WATER UTILITY IMPS. REFUNDING NOTES</v>
      </c>
      <c r="J45">
        <f>_xll.BDP("13063DAN Muni","CPN")</f>
        <v>4</v>
      </c>
      <c r="K45" t="str">
        <f>_xll.BDP("13063DAN Muni","MATURITY")</f>
        <v>11/1/2023</v>
      </c>
      <c r="L45">
        <v>26695000</v>
      </c>
      <c r="M45">
        <f>_xll.BDP("13063DAN Muni","YIELD_ON_ISSUE_DATE")</f>
        <v>1.49</v>
      </c>
      <c r="N45">
        <f>_xll.BDP("13063DAN Muni","YTW_SPREAD_TO_MATURITY_AT_ISSU")</f>
        <v>17.402074474724529</v>
      </c>
      <c r="O45" t="str">
        <f>_xll.BDP("13063DAN Muni","BVAL_MID_YTM")</f>
        <v>#N/A Authorization</v>
      </c>
      <c r="P45" t="str">
        <f>_xll.BDP("13063DAN Muni","MUNI_TAX_PROV")</f>
        <v>FED &amp; ST TAX-EXEMPT</v>
      </c>
      <c r="Q45" t="str">
        <f>_xll.BDP("13063DAN Muni","MUNI_FED_TAX")</f>
        <v>N</v>
      </c>
      <c r="R45">
        <f>_xll.BDP("13063DAN Muni","MUNI_MSRB_VOLUME")</f>
        <v>10000</v>
      </c>
      <c r="S45" t="str">
        <f>_xll.BDP("13063DAN Muni","BB_COMPOSITE")</f>
        <v>AA-</v>
      </c>
      <c r="T45">
        <f>_xll.BDP("13063DAN Muni","LQA_LIQUIDITY_SCORE")</f>
        <v>89</v>
      </c>
    </row>
    <row r="46" spans="1:20" x14ac:dyDescent="0.25">
      <c r="A46" t="str">
        <f>_xll.BDP("590545YA Muni","ID_CUSIP")</f>
        <v>590545YA1</v>
      </c>
      <c r="B46" t="s">
        <v>47</v>
      </c>
      <c r="C46" t="str">
        <f>_xll.BDP("590545YA Muni","INSURANCE_STATUS")</f>
        <v>N</v>
      </c>
      <c r="D46" t="str">
        <f>_xll.BDP("590545YA Muni","STATE_CODE")</f>
        <v>AZ</v>
      </c>
      <c r="E46" t="str">
        <f>_xll.BDP("590545YA Muni","COUNTY_LOCATION_ISSUER")</f>
        <v>Maricopa, AZ</v>
      </c>
      <c r="F46">
        <f>_xll.BDP("590545YA Muni","DUR_ADJ_MID")</f>
        <v>1.8269609098792856</v>
      </c>
      <c r="G46">
        <f>_xll.BDP("590545YA Muni","SPREAD_AT_ISSUANCE_TO_WORST")</f>
        <v>12.5478407158226</v>
      </c>
      <c r="H46" t="str">
        <f>_xll.BDP("590545YA Muni","ISSUE_DT")</f>
        <v>5/24/2017</v>
      </c>
      <c r="I46" t="str">
        <f>_xll.BDS("590545YA Muni","MUNI_PURPOSE_SCHED", "aggregate=y")</f>
        <v>WATER UTILITY IMPS. SEWER IMPS. MULT. UTILITY IMPS.</v>
      </c>
      <c r="J46">
        <f>_xll.BDP("590545YA Muni","CPN")</f>
        <v>5</v>
      </c>
      <c r="K46" t="str">
        <f>_xll.BDP("590545YA Muni","MATURITY")</f>
        <v>7/1/2024</v>
      </c>
      <c r="L46">
        <v>2500000</v>
      </c>
      <c r="M46">
        <f>_xll.BDP("590545YA Muni","YIELD_ON_ISSUE_DATE")</f>
        <v>1.8900000000000001</v>
      </c>
      <c r="N46">
        <f>_xll.BDP("590545YA Muni","YTW_SPREAD_TO_MATURITY_AT_ISSU")</f>
        <v>12.5478407158226</v>
      </c>
      <c r="O46" t="str">
        <f>_xll.BDP("590545YA Muni","BVAL_MID_YTM")</f>
        <v>#N/A Authorization</v>
      </c>
      <c r="P46" t="str">
        <f>_xll.BDP("590545YA Muni","MUNI_TAX_PROV")</f>
        <v>FED &amp; ST TAX-EXEMPT</v>
      </c>
      <c r="Q46" t="str">
        <f>_xll.BDP("590545YA Muni","MUNI_FED_TAX")</f>
        <v>N</v>
      </c>
      <c r="R46">
        <f>_xll.BDP("590545YA Muni","MUNI_MSRB_VOLUME")</f>
        <v>60000</v>
      </c>
      <c r="S46" t="str">
        <f>_xll.BDP("590545YA Muni","BB_COMPOSITE")</f>
        <v>AA-</v>
      </c>
      <c r="T46">
        <f>_xll.BDP("590545YA Muni","LQA_LIQUIDITY_SCORE")</f>
        <v>87</v>
      </c>
    </row>
    <row r="47" spans="1:20" x14ac:dyDescent="0.25">
      <c r="A47" t="str">
        <f>_xll.BDP("181126LM Muni","ID_CUSIP")</f>
        <v>181126LM3</v>
      </c>
      <c r="B47" t="s">
        <v>48</v>
      </c>
      <c r="C47" t="str">
        <f>_xll.BDP("181126LM Muni","INSURANCE_STATUS")</f>
        <v>N</v>
      </c>
      <c r="D47" t="str">
        <f>_xll.BDP("181126LM Muni","STATE_CODE")</f>
        <v>WA</v>
      </c>
      <c r="E47" t="str">
        <f>_xll.BDP("181126LM Muni","COUNTY_LOCATION_ISSUER")</f>
        <v>Clark, WA</v>
      </c>
      <c r="F47">
        <f>_xll.BDP("181126LM Muni","DUR_ADJ_MID")</f>
        <v>0.41158950686919488</v>
      </c>
      <c r="G47">
        <f>_xll.BDP("181126LM Muni","SPREAD_AT_ISSUANCE_TO_WORST")</f>
        <v>23.135638007735349</v>
      </c>
      <c r="H47" t="str">
        <f>_xll.BDP("181126LM Muni","ISSUE_DT")</f>
        <v>3/30/2017</v>
      </c>
      <c r="I47" t="str">
        <f>_xll.BDS("181126LM Muni","MUNI_PURPOSE_SCHED", "aggregate=y")</f>
        <v>ADVANCE REFUNDING CURRENT REFUNDING WATER UTILITY IMPS.</v>
      </c>
      <c r="J47">
        <f>_xll.BDP("181126LM Muni","CPN")</f>
        <v>5</v>
      </c>
      <c r="K47" t="str">
        <f>_xll.BDP("181126LM Muni","MATURITY")</f>
        <v>1/1/2023</v>
      </c>
      <c r="L47">
        <v>2290000</v>
      </c>
      <c r="M47">
        <f>_xll.BDP("181126LM Muni","YIELD_ON_ISSUE_DATE")</f>
        <v>2.0300000000000002</v>
      </c>
      <c r="N47">
        <f>_xll.BDP("181126LM Muni","YTW_SPREAD_TO_MATURITY_AT_ISSU")</f>
        <v>23.135638007735349</v>
      </c>
      <c r="O47" t="str">
        <f>_xll.BDP("181126LM Muni","BVAL_MID_YTM")</f>
        <v>#N/A Authorization</v>
      </c>
      <c r="P47" t="str">
        <f>_xll.BDP("181126LM Muni","MUNI_TAX_PROV")</f>
        <v>FED TAX-EXEMPT</v>
      </c>
      <c r="Q47" t="str">
        <f>_xll.BDP("181126LM Muni","MUNI_FED_TAX")</f>
        <v>N</v>
      </c>
      <c r="R47">
        <f>_xll.BDP("181126LM Muni","MUNI_MSRB_VOLUME")</f>
        <v>280000</v>
      </c>
      <c r="S47" t="str">
        <f>_xll.BDP("181126LM Muni","BB_COMPOSITE")</f>
        <v>AA-</v>
      </c>
      <c r="T47">
        <f>_xll.BDP("181126LM Muni","LQA_LIQUIDITY_SCORE")</f>
        <v>95</v>
      </c>
    </row>
    <row r="48" spans="1:20" x14ac:dyDescent="0.25">
      <c r="A48" t="str">
        <f>_xll.BDP("659666XH Muni","ID_CUSIP")</f>
        <v>659666XH9</v>
      </c>
      <c r="B48" t="s">
        <v>49</v>
      </c>
      <c r="C48" t="str">
        <f>_xll.BDP("659666XH Muni","INSURANCE_STATUS")</f>
        <v>N</v>
      </c>
      <c r="D48" t="str">
        <f>_xll.BDP("659666XH Muni","STATE_CODE")</f>
        <v>NY</v>
      </c>
      <c r="E48" t="str">
        <f>_xll.BDP("659666XH Muni","COUNTY_LOCATION_ISSUER")</f>
        <v>Nassau, NY</v>
      </c>
      <c r="F48">
        <f>_xll.BDP("659666XH Muni","DUR_ADJ_MID")</f>
        <v>2.0537449224314717</v>
      </c>
      <c r="G48">
        <f>_xll.BDP("659666XH Muni","SPREAD_AT_ISSUANCE_TO_WORST")</f>
        <v>1.1211359113090014</v>
      </c>
      <c r="H48" t="str">
        <f>_xll.BDP("659666XH Muni","ISSUE_DT")</f>
        <v>9/27/2017</v>
      </c>
      <c r="I48" t="str">
        <f>_xll.BDS("659666XH Muni","MUNI_PURPOSE_SCHED", "aggregate=y")</f>
        <v>RECREATIONAL FAC. IMPS. WATER UTILITY IMPS. REFUNDING NOTES</v>
      </c>
      <c r="J48">
        <f>_xll.BDP("659666XH Muni","CPN")</f>
        <v>2</v>
      </c>
      <c r="K48" t="str">
        <f>_xll.BDP("659666XH Muni","MATURITY")</f>
        <v>9/15/2024</v>
      </c>
      <c r="L48">
        <v>1090000</v>
      </c>
      <c r="M48">
        <f>_xll.BDP("659666XH Muni","YIELD_ON_ISSUE_DATE")</f>
        <v>1.51</v>
      </c>
      <c r="N48">
        <f>_xll.BDP("659666XH Muni","YTW_SPREAD_TO_MATURITY_AT_ISSU")</f>
        <v>1.1211359113090014</v>
      </c>
      <c r="O48" t="str">
        <f>_xll.BDP("659666XH Muni","BVAL_MID_YTM")</f>
        <v>#N/A Authorization</v>
      </c>
      <c r="P48" t="str">
        <f>_xll.BDP("659666XH Muni","MUNI_TAX_PROV")</f>
        <v>FED &amp; ST TAX-EXEMPT</v>
      </c>
      <c r="Q48" t="str">
        <f>_xll.BDP("659666XH Muni","MUNI_FED_TAX")</f>
        <v>N</v>
      </c>
      <c r="R48">
        <f>_xll.BDP("659666XH Muni","MUNI_MSRB_VOLUME")</f>
        <v>100000</v>
      </c>
      <c r="S48" t="str">
        <f>_xll.BDP("659666XH Muni","BB_COMPOSITE")</f>
        <v>#N/A N/A</v>
      </c>
      <c r="T48">
        <f>_xll.BDP("659666XH Muni","LQA_LIQUIDITY_SCORE")</f>
        <v>70</v>
      </c>
    </row>
    <row r="49" spans="1:20" x14ac:dyDescent="0.25">
      <c r="A49" t="str">
        <f>_xll.BDP("80168FMR Muni","ID_CUSIP")</f>
        <v>80168FMR4</v>
      </c>
      <c r="B49" t="s">
        <v>50</v>
      </c>
      <c r="C49" t="str">
        <f>_xll.BDP("80168FMR Muni","INSURANCE_STATUS")</f>
        <v>N</v>
      </c>
      <c r="D49" t="str">
        <f>_xll.BDP("80168FMR Muni","STATE_CODE")</f>
        <v>CA</v>
      </c>
      <c r="E49" t="str">
        <f>_xll.BDP("80168FMR Muni","COUNTY_LOCATION_ISSUER")</f>
        <v>Santa Clara, CA</v>
      </c>
      <c r="F49">
        <f>_xll.BDP("80168FMR Muni","DUR_ADJ_MID")</f>
        <v>1.4495645631140599</v>
      </c>
      <c r="G49">
        <f>_xll.BDP("80168FMR Muni","SPREAD_AT_ISSUANCE_TO_WORST")</f>
        <v>0.53995388787948517</v>
      </c>
      <c r="H49" t="str">
        <f>_xll.BDP("80168FMR Muni","ISSUE_DT")</f>
        <v>3/7/2017</v>
      </c>
      <c r="I49" t="str">
        <f>_xll.BDS("80168FMR Muni","MUNI_PURPOSE_SCHED", "aggregate=y")</f>
        <v>CURRENT REFUNDING WATER UTILITY IMPS.</v>
      </c>
      <c r="J49">
        <f>_xll.BDP("80168FMR Muni","CPN")</f>
        <v>5</v>
      </c>
      <c r="K49" t="str">
        <f>_xll.BDP("80168FMR Muni","MATURITY")</f>
        <v>2/1/2024</v>
      </c>
      <c r="L49">
        <v>4575000</v>
      </c>
      <c r="M49">
        <f>_xll.BDP("80168FMR Muni","YIELD_ON_ISSUE_DATE")</f>
        <v>1.9000000000000001</v>
      </c>
      <c r="N49">
        <f>_xll.BDP("80168FMR Muni","YTW_SPREAD_TO_MATURITY_AT_ISSU")</f>
        <v>0.53995388787948517</v>
      </c>
      <c r="O49" t="str">
        <f>_xll.BDP("80168FMR Muni","BVAL_MID_YTM")</f>
        <v>#N/A Authorization</v>
      </c>
      <c r="P49" t="str">
        <f>_xll.BDP("80168FMR Muni","MUNI_TAX_PROV")</f>
        <v>FED &amp; ST TAX-EXEMPT</v>
      </c>
      <c r="Q49" t="str">
        <f>_xll.BDP("80168FMR Muni","MUNI_FED_TAX")</f>
        <v>N</v>
      </c>
      <c r="R49">
        <f>_xll.BDP("80168FMR Muni","MUNI_MSRB_VOLUME")</f>
        <v>10000</v>
      </c>
      <c r="S49" t="str">
        <f>_xll.BDP("80168FMR Muni","BB_COMPOSITE")</f>
        <v>AA+</v>
      </c>
      <c r="T49">
        <f>_xll.BDP("80168FMR Muni","LQA_LIQUIDITY_SCORE")</f>
        <v>84</v>
      </c>
    </row>
    <row r="50" spans="1:20" x14ac:dyDescent="0.25">
      <c r="A50" t="str">
        <f>_xll.BDP("424672WP Muni","ID_CUSIP")</f>
        <v>424672WP4</v>
      </c>
      <c r="B50" t="s">
        <v>51</v>
      </c>
      <c r="C50" t="str">
        <f>_xll.BDP("424672WP Muni","INSURANCE_STATUS")</f>
        <v>Y</v>
      </c>
      <c r="D50" t="str">
        <f>_xll.BDP("424672WP Muni","STATE_CODE")</f>
        <v>NY</v>
      </c>
      <c r="E50" t="str">
        <f>_xll.BDP("424672WP Muni","COUNTY_LOCATION_ISSUER")</f>
        <v>Nassau, NY</v>
      </c>
      <c r="F50">
        <f>_xll.BDP("424672WP Muni","DUR_ADJ_MID")</f>
        <v>2.5015802152823388</v>
      </c>
      <c r="G50">
        <f>_xll.BDP("424672WP Muni","SPREAD_AT_ISSUANCE_TO_WORST")</f>
        <v>29.896925833000299</v>
      </c>
      <c r="H50" t="str">
        <f>_xll.BDP("424672WP Muni","ISSUE_DT")</f>
        <v>4/13/2017</v>
      </c>
      <c r="I50" t="str">
        <f>_xll.BDS("424672WP Muni","MUNI_PURPOSE_SCHED", "aggregate=y")</f>
        <v>PUBLIC IMPS. HIGHWAY IMPS. WATER UTILITY IMPS.</v>
      </c>
      <c r="J50">
        <f>_xll.BDP("424672WP Muni","CPN")</f>
        <v>4</v>
      </c>
      <c r="K50" t="str">
        <f>_xll.BDP("424672WP Muni","MATURITY")</f>
        <v>4/1/2025</v>
      </c>
      <c r="L50">
        <v>6320000</v>
      </c>
      <c r="M50">
        <f>_xll.BDP("424672WP Muni","YIELD_ON_ISSUE_DATE")</f>
        <v>2.29</v>
      </c>
      <c r="N50">
        <f>_xll.BDP("424672WP Muni","YTW_SPREAD_TO_MATURITY_AT_ISSU")</f>
        <v>29.896925833000299</v>
      </c>
      <c r="O50" t="str">
        <f>_xll.BDP("424672WP Muni","BVAL_MID_YTM")</f>
        <v>#N/A Authorization</v>
      </c>
      <c r="P50" t="str">
        <f>_xll.BDP("424672WP Muni","MUNI_TAX_PROV")</f>
        <v>FED &amp; ST TAX-EXEMPT</v>
      </c>
      <c r="Q50" t="str">
        <f>_xll.BDP("424672WP Muni","MUNI_FED_TAX")</f>
        <v>N</v>
      </c>
      <c r="R50">
        <f>_xll.BDP("424672WP Muni","MUNI_MSRB_VOLUME")</f>
        <v>50000</v>
      </c>
      <c r="S50" t="str">
        <f>_xll.BDP("424672WP Muni","BB_COMPOSITE")</f>
        <v>#N/A N/A</v>
      </c>
      <c r="T50">
        <f>_xll.BDP("424672WP Muni","LQA_LIQUIDITY_SCORE")</f>
        <v>78</v>
      </c>
    </row>
    <row r="51" spans="1:20" x14ac:dyDescent="0.25">
      <c r="A51" t="str">
        <f>_xll.BDP("194749CK Muni","ID_CUSIP")</f>
        <v>194749CK1</v>
      </c>
      <c r="B51" t="s">
        <v>52</v>
      </c>
      <c r="C51" t="str">
        <f>_xll.BDP("194749CK Muni","INSURANCE_STATUS")</f>
        <v>N</v>
      </c>
      <c r="D51" t="str">
        <f>_xll.BDP("194749CK Muni","STATE_CODE")</f>
        <v>TX</v>
      </c>
      <c r="E51" t="str">
        <f>_xll.BDP("194749CK Muni","COUNTY_LOCATION_ISSUER")</f>
        <v>Collin, TX</v>
      </c>
      <c r="F51">
        <f>_xll.BDP("194749CK Muni","DUR_ADJ_MID")</f>
        <v>4.6707999258652579</v>
      </c>
      <c r="G51">
        <f>_xll.BDP("194749CK Muni","SPREAD_AT_ISSUANCE_TO_WORST")</f>
        <v>131.22323885937297</v>
      </c>
      <c r="H51" t="str">
        <f>_xll.BDP("194749CK Muni","ISSUE_DT")</f>
        <v>9/15/2017</v>
      </c>
      <c r="I51" t="str">
        <f>_xll.BDS("194749CK Muni","MUNI_PURPOSE_SCHED", "aggregate=y")</f>
        <v>WATER UTILITY IMPS. SEWER IMPS.</v>
      </c>
      <c r="J51">
        <f>_xll.BDP("194749CK Muni","CPN")</f>
        <v>3</v>
      </c>
      <c r="K51" t="str">
        <f>_xll.BDP("194749CK Muni","MATURITY")</f>
        <v>9/15/2027</v>
      </c>
      <c r="L51">
        <v>165000</v>
      </c>
      <c r="M51">
        <f>_xll.BDP("194749CK Muni","YIELD_ON_ISSUE_DATE")</f>
        <v>3.1</v>
      </c>
      <c r="N51">
        <f>_xll.BDP("194749CK Muni","YTW_SPREAD_TO_MATURITY_AT_ISSU")</f>
        <v>131.22323885937297</v>
      </c>
      <c r="O51" t="str">
        <f>_xll.BDP("194749CK Muni","BVAL_MID_YTM")</f>
        <v>#N/A Authorization</v>
      </c>
      <c r="P51" t="str">
        <f>_xll.BDP("194749CK Muni","MUNI_TAX_PROV")</f>
        <v>FED BQ</v>
      </c>
      <c r="Q51" t="str">
        <f>_xll.BDP("194749CK Muni","MUNI_FED_TAX")</f>
        <v>N</v>
      </c>
      <c r="R51">
        <f>_xll.BDP("194749CK Muni","MUNI_MSRB_VOLUME")</f>
        <v>400000</v>
      </c>
      <c r="S51" t="str">
        <f>_xll.BDP("194749CK Muni","BB_COMPOSITE")</f>
        <v>#N/A N/A</v>
      </c>
      <c r="T51">
        <f>_xll.BDP("194749CK Muni","LQA_LIQUIDITY_SCORE")</f>
        <v>41</v>
      </c>
    </row>
    <row r="52" spans="1:20" x14ac:dyDescent="0.25">
      <c r="A52" t="str">
        <f>_xll.BDP("424672WM Muni","ID_CUSIP")</f>
        <v>424672WM1</v>
      </c>
      <c r="B52" t="s">
        <v>51</v>
      </c>
      <c r="C52" t="str">
        <f>_xll.BDP("424672WM Muni","INSURANCE_STATUS")</f>
        <v>Y</v>
      </c>
      <c r="D52" t="str">
        <f>_xll.BDP("424672WM Muni","STATE_CODE")</f>
        <v>NY</v>
      </c>
      <c r="E52" t="str">
        <f>_xll.BDP("424672WM Muni","COUNTY_LOCATION_ISSUER")</f>
        <v>Nassau, NY</v>
      </c>
      <c r="F52">
        <f>_xll.BDP("424672WM Muni","DUR_ADJ_MID")</f>
        <v>0.65005518903643988</v>
      </c>
      <c r="G52">
        <f>_xll.BDP("424672WM Muni","SPREAD_AT_ISSUANCE_TO_WORST")</f>
        <v>22.567815115848887</v>
      </c>
      <c r="H52" t="str">
        <f>_xll.BDP("424672WM Muni","ISSUE_DT")</f>
        <v>4/13/2017</v>
      </c>
      <c r="I52" t="str">
        <f>_xll.BDS("424672WM Muni","MUNI_PURPOSE_SCHED", "aggregate=y")</f>
        <v>PUBLIC IMPS. HIGHWAY IMPS. WATER UTILITY IMPS.</v>
      </c>
      <c r="J52">
        <f>_xll.BDP("424672WM Muni","CPN")</f>
        <v>4</v>
      </c>
      <c r="K52" t="str">
        <f>_xll.BDP("424672WM Muni","MATURITY")</f>
        <v>4/1/2023</v>
      </c>
      <c r="L52">
        <v>5835000</v>
      </c>
      <c r="M52">
        <f>_xll.BDP("424672WM Muni","YIELD_ON_ISSUE_DATE")</f>
        <v>1.8900000000000001</v>
      </c>
      <c r="N52">
        <f>_xll.BDP("424672WM Muni","YTW_SPREAD_TO_MATURITY_AT_ISSU")</f>
        <v>22.567815115848887</v>
      </c>
      <c r="O52" t="str">
        <f>_xll.BDP("424672WM Muni","BVAL_MID_YTM")</f>
        <v>#N/A Authorization</v>
      </c>
      <c r="P52" t="str">
        <f>_xll.BDP("424672WM Muni","MUNI_TAX_PROV")</f>
        <v>FED &amp; ST TAX-EXEMPT</v>
      </c>
      <c r="Q52" t="str">
        <f>_xll.BDP("424672WM Muni","MUNI_FED_TAX")</f>
        <v>N</v>
      </c>
      <c r="R52">
        <f>_xll.BDP("424672WM Muni","MUNI_MSRB_VOLUME")</f>
        <v>100000</v>
      </c>
      <c r="S52" t="str">
        <f>_xll.BDP("424672WM Muni","BB_COMPOSITE")</f>
        <v>#N/A N/A</v>
      </c>
      <c r="T52">
        <f>_xll.BDP("424672WM Muni","LQA_LIQUIDITY_SCORE")</f>
        <v>98</v>
      </c>
    </row>
    <row r="53" spans="1:20" x14ac:dyDescent="0.25">
      <c r="A53" t="str">
        <f>_xll.BDP("5907746Z Muni","ID_CUSIP")</f>
        <v>5907746Z3</v>
      </c>
      <c r="B53" t="s">
        <v>53</v>
      </c>
      <c r="C53" t="str">
        <f>_xll.BDP("5907746Z Muni","INSURANCE_STATUS")</f>
        <v>N</v>
      </c>
      <c r="D53" t="str">
        <f>_xll.BDP("5907746Z Muni","STATE_CODE")</f>
        <v>TX</v>
      </c>
      <c r="E53" t="str">
        <f>_xll.BDP("5907746Z Muni","COUNTY_LOCATION_ISSUER")</f>
        <v>Dallas, TX</v>
      </c>
      <c r="F53">
        <f>_xll.BDP("5907746Z Muni","DUR_ADJ_MID")</f>
        <v>0.56732084663480864</v>
      </c>
      <c r="G53">
        <f>_xll.BDP("5907746Z Muni","SPREAD_AT_ISSUANCE_TO_WORST")</f>
        <v>24.040207052674379</v>
      </c>
      <c r="H53" t="str">
        <f>_xll.BDP("5907746Z Muni","ISSUE_DT")</f>
        <v>5/1/2017</v>
      </c>
      <c r="I53" t="str">
        <f>_xll.BDS("5907746Z Muni","MUNI_PURPOSE_SCHED", "aggregate=y")</f>
        <v>WATER UTILITY IMPS. SEWER IMPS. ADVANCE REFUNDING</v>
      </c>
      <c r="J53">
        <f>_xll.BDP("5907746Z Muni","CPN")</f>
        <v>4</v>
      </c>
      <c r="K53" t="str">
        <f>_xll.BDP("5907746Z Muni","MATURITY")</f>
        <v>3/1/2023</v>
      </c>
      <c r="L53">
        <v>735000</v>
      </c>
      <c r="M53">
        <f>_xll.BDP("5907746Z Muni","YIELD_ON_ISSUE_DATE")</f>
        <v>1.76</v>
      </c>
      <c r="N53">
        <f>_xll.BDP("5907746Z Muni","YTW_SPREAD_TO_MATURITY_AT_ISSU")</f>
        <v>24.040207052674379</v>
      </c>
      <c r="O53" t="str">
        <f>_xll.BDP("5907746Z Muni","BVAL_MID_YTM")</f>
        <v>#N/A Authorization</v>
      </c>
      <c r="P53" t="str">
        <f>_xll.BDP("5907746Z Muni","MUNI_TAX_PROV")</f>
        <v>FED TAX-EXEMPT</v>
      </c>
      <c r="Q53" t="str">
        <f>_xll.BDP("5907746Z Muni","MUNI_FED_TAX")</f>
        <v>N</v>
      </c>
      <c r="R53">
        <f>_xll.BDP("5907746Z Muni","MUNI_MSRB_VOLUME")</f>
        <v>225000</v>
      </c>
      <c r="S53" t="str">
        <f>_xll.BDP("5907746Z Muni","BB_COMPOSITE")</f>
        <v>AA</v>
      </c>
      <c r="T53">
        <f>_xll.BDP("5907746Z Muni","LQA_LIQUIDITY_SCORE")</f>
        <v>96</v>
      </c>
    </row>
    <row r="54" spans="1:20" x14ac:dyDescent="0.25">
      <c r="A54" t="str">
        <f>_xll.BDP("271014E4 Muni","ID_CUSIP")</f>
        <v>271014E40</v>
      </c>
      <c r="B54" t="s">
        <v>54</v>
      </c>
      <c r="C54" t="str">
        <f>_xll.BDP("271014E4 Muni","INSURANCE_STATUS")</f>
        <v>N</v>
      </c>
      <c r="D54" t="str">
        <f>_xll.BDP("271014E4 Muni","STATE_CODE")</f>
        <v>CA</v>
      </c>
      <c r="E54" t="str">
        <f>_xll.BDP("271014E4 Muni","COUNTY_LOCATION_ISSUER")</f>
        <v>San Mateo, CA</v>
      </c>
      <c r="F54">
        <f>_xll.BDP("271014E4 Muni","DUR_ADJ_MID")</f>
        <v>4.3901964547240846</v>
      </c>
      <c r="G54">
        <f>_xll.BDP("271014E4 Muni","SPREAD_AT_ISSUANCE_TO_WORST")</f>
        <v>-1.1400050915203241</v>
      </c>
      <c r="H54" t="str">
        <f>_xll.BDP("271014E4 Muni","ISSUE_DT")</f>
        <v>6/22/2017</v>
      </c>
      <c r="I54" t="str">
        <f>_xll.BDS("271014E4 Muni","MUNI_PURPOSE_SCHED", "aggregate=y")</f>
        <v>ADVANCE REFUNDING WATER UTILITY IMPS. CURRENT REFUNDING</v>
      </c>
      <c r="J54">
        <f>_xll.BDP("271014E4 Muni","CPN")</f>
        <v>4</v>
      </c>
      <c r="K54" t="str">
        <f>_xll.BDP("271014E4 Muni","MATURITY")</f>
        <v>6/1/2027</v>
      </c>
      <c r="L54">
        <v>5000000</v>
      </c>
      <c r="M54">
        <f>_xll.BDP("271014E4 Muni","YIELD_ON_ISSUE_DATE")</f>
        <v>1.82</v>
      </c>
      <c r="N54">
        <f>_xll.BDP("271014E4 Muni","YTW_SPREAD_TO_MATURITY_AT_ISSU")</f>
        <v>-1.1400050915203241</v>
      </c>
      <c r="O54" t="str">
        <f>_xll.BDP("271014E4 Muni","BVAL_MID_YTM")</f>
        <v>#N/A Authorization</v>
      </c>
      <c r="P54" t="str">
        <f>_xll.BDP("271014E4 Muni","MUNI_TAX_PROV")</f>
        <v>FED &amp; ST TAX-EXEMPT</v>
      </c>
      <c r="Q54" t="str">
        <f>_xll.BDP("271014E4 Muni","MUNI_FED_TAX")</f>
        <v>N</v>
      </c>
      <c r="R54">
        <f>_xll.BDP("271014E4 Muni","MUNI_MSRB_VOLUME")</f>
        <v>10000</v>
      </c>
      <c r="S54" t="str">
        <f>_xll.BDP("271014E4 Muni","BB_COMPOSITE")</f>
        <v>AA+</v>
      </c>
      <c r="T54">
        <f>_xll.BDP("271014E4 Muni","LQA_LIQUIDITY_SCORE")</f>
        <v>48</v>
      </c>
    </row>
    <row r="55" spans="1:20" x14ac:dyDescent="0.25">
      <c r="A55" t="str">
        <f>_xll.BDP("967338D2 Muni","ID_CUSIP")</f>
        <v>967338D27</v>
      </c>
      <c r="B55" t="s">
        <v>55</v>
      </c>
      <c r="C55" t="str">
        <f>_xll.BDP("967338D2 Muni","INSURANCE_STATUS")</f>
        <v>N</v>
      </c>
      <c r="D55" t="str">
        <f>_xll.BDP("967338D2 Muni","STATE_CODE")</f>
        <v>KS</v>
      </c>
      <c r="E55" t="str">
        <f>_xll.BDP("967338D2 Muni","COUNTY_LOCATION_ISSUER")</f>
        <v>Sedgwick, KS</v>
      </c>
      <c r="F55">
        <f>_xll.BDP("967338D2 Muni","DUR_ADJ_MID")</f>
        <v>4.5370764640776544</v>
      </c>
      <c r="G55">
        <f>_xll.BDP("967338D2 Muni","SPREAD_AT_ISSUANCE_TO_WORST")</f>
        <v>20.313427141588789</v>
      </c>
      <c r="H55" t="str">
        <f>_xll.BDP("967338D2 Muni","ISSUE_DT")</f>
        <v>6/1/2017</v>
      </c>
      <c r="I55" t="str">
        <f>_xll.BDS("967338D2 Muni","MUNI_PURPOSE_SCHED", "aggregate=y")</f>
        <v>WATER UTILITY IMPS. SEWER IMPS.</v>
      </c>
      <c r="J55">
        <f>_xll.BDP("967338D2 Muni","CPN")</f>
        <v>5</v>
      </c>
      <c r="K55" t="str">
        <f>_xll.BDP("967338D2 Muni","MATURITY")</f>
        <v>10/1/2027</v>
      </c>
      <c r="L55">
        <v>3305000</v>
      </c>
      <c r="M55">
        <f>_xll.BDP("967338D2 Muni","YIELD_ON_ISSUE_DATE")</f>
        <v>2.38</v>
      </c>
      <c r="N55">
        <f>_xll.BDP("967338D2 Muni","YTW_SPREAD_TO_MATURITY_AT_ISSU")</f>
        <v>20.313427141588789</v>
      </c>
      <c r="O55" t="str">
        <f>_xll.BDP("967338D2 Muni","BVAL_MID_YTM")</f>
        <v>#N/A Authorization</v>
      </c>
      <c r="P55" t="str">
        <f>_xll.BDP("967338D2 Muni","MUNI_TAX_PROV")</f>
        <v>FED &amp; ST TAX-EXEMPT</v>
      </c>
      <c r="Q55" t="str">
        <f>_xll.BDP("967338D2 Muni","MUNI_FED_TAX")</f>
        <v>N</v>
      </c>
      <c r="R55">
        <f>_xll.BDP("967338D2 Muni","MUNI_MSRB_VOLUME")</f>
        <v>240000</v>
      </c>
      <c r="S55" t="str">
        <f>_xll.BDP("967338D2 Muni","BB_COMPOSITE")</f>
        <v>#N/A N/A</v>
      </c>
      <c r="T55">
        <f>_xll.BDP("967338D2 Muni","LQA_LIQUIDITY_SCORE")</f>
        <v>57</v>
      </c>
    </row>
    <row r="56" spans="1:20" x14ac:dyDescent="0.25">
      <c r="A56" t="str">
        <f>_xll.BDP("59059CAG Muni","ID_CUSIP")</f>
        <v>59059CAG4</v>
      </c>
      <c r="B56" t="s">
        <v>56</v>
      </c>
      <c r="C56" t="str">
        <f>_xll.BDP("59059CAG Muni","INSURANCE_STATUS")</f>
        <v>N</v>
      </c>
      <c r="D56" t="str">
        <f>_xll.BDP("59059CAG Muni","STATE_CODE")</f>
        <v>CA</v>
      </c>
      <c r="E56" t="str">
        <f>_xll.BDP("59059CAG Muni","COUNTY_LOCATION_ISSUER")</f>
        <v>Orange, CA</v>
      </c>
      <c r="F56">
        <f>_xll.BDP("59059CAG Muni","DUR_ADJ_MID")</f>
        <v>1.5357465336876042</v>
      </c>
      <c r="G56">
        <f>_xll.BDP("59059CAG Muni","SPREAD_AT_ISSUANCE_TO_WORST")</f>
        <v>-2.3672053724667075</v>
      </c>
      <c r="H56" t="str">
        <f>_xll.BDP("59059CAG Muni","ISSUE_DT")</f>
        <v>6/21/2017</v>
      </c>
      <c r="I56" t="str">
        <f>_xll.BDS("59059CAG Muni","MUNI_PURPOSE_SCHED", "aggregate=y")</f>
        <v>ADVANCE REFUNDING WATER UTILITY IMPS.</v>
      </c>
      <c r="J56">
        <f>_xll.BDP("59059CAG Muni","CPN")</f>
        <v>5</v>
      </c>
      <c r="K56" t="str">
        <f>_xll.BDP("59059CAG Muni","MATURITY")</f>
        <v>3/15/2024</v>
      </c>
      <c r="L56">
        <v>3605000</v>
      </c>
      <c r="M56">
        <f>_xll.BDP("59059CAG Muni","YIELD_ON_ISSUE_DATE")</f>
        <v>1.45</v>
      </c>
      <c r="N56">
        <f>_xll.BDP("59059CAG Muni","YTW_SPREAD_TO_MATURITY_AT_ISSU")</f>
        <v>-2.3672053724667075</v>
      </c>
      <c r="O56" t="str">
        <f>_xll.BDP("59059CAG Muni","BVAL_MID_YTM")</f>
        <v>#N/A Authorization</v>
      </c>
      <c r="P56" t="str">
        <f>_xll.BDP("59059CAG Muni","MUNI_TAX_PROV")</f>
        <v>FED &amp; ST TAX-EXEMPT</v>
      </c>
      <c r="Q56" t="str">
        <f>_xll.BDP("59059CAG Muni","MUNI_FED_TAX")</f>
        <v>N</v>
      </c>
      <c r="R56">
        <f>_xll.BDP("59059CAG Muni","MUNI_MSRB_VOLUME")</f>
        <v>50000</v>
      </c>
      <c r="S56" t="str">
        <f>_xll.BDP("59059CAG Muni","BB_COMPOSITE")</f>
        <v>AAA</v>
      </c>
      <c r="T56">
        <f>_xll.BDP("59059CAG Muni","LQA_LIQUIDITY_SCORE")</f>
        <v>73</v>
      </c>
    </row>
    <row r="57" spans="1:20" x14ac:dyDescent="0.25">
      <c r="A57" t="str">
        <f>_xll.BDP("64985HXR Muni","ID_CUSIP")</f>
        <v>64985HXR3</v>
      </c>
      <c r="B57" t="s">
        <v>22</v>
      </c>
      <c r="C57" t="str">
        <f>_xll.BDP("64985HXR Muni","INSURANCE_STATUS")</f>
        <v>N</v>
      </c>
      <c r="D57" t="str">
        <f>_xll.BDP("64985HXR Muni","STATE_CODE")</f>
        <v>NY</v>
      </c>
      <c r="E57" t="str">
        <f>_xll.BDP("64985HXR Muni","COUNTY_LOCATION_ISSUER")</f>
        <v>Albany, NY</v>
      </c>
      <c r="F57">
        <f>_xll.BDP("64985HXR Muni","DUR_ADJ_MID")</f>
        <v>2.3472845741142301</v>
      </c>
      <c r="G57">
        <f>_xll.BDP("64985HXR Muni","SPREAD_AT_ISSUANCE_TO_WORST")</f>
        <v>-1.4824712328767253</v>
      </c>
      <c r="H57" t="str">
        <f>_xll.BDP("64985HXR Muni","ISSUE_DT")</f>
        <v>11/9/2017</v>
      </c>
      <c r="I57" t="str">
        <f>_xll.BDS("64985HXR Muni","MUNI_PURPOSE_SCHED", "aggregate=y")</f>
        <v>GREEN PURPOSE WATER UTILITY IMPS.</v>
      </c>
      <c r="J57">
        <f>_xll.BDP("64985HXR Muni","CPN")</f>
        <v>5</v>
      </c>
      <c r="K57" t="str">
        <f>_xll.BDP("64985HXR Muni","MATURITY")</f>
        <v>2/15/2025</v>
      </c>
      <c r="L57">
        <v>1840000</v>
      </c>
      <c r="M57">
        <f>_xll.BDP("64985HXR Muni","YIELD_ON_ISSUE_DATE")</f>
        <v>1.6300000000000001</v>
      </c>
      <c r="N57">
        <f>_xll.BDP("64985HXR Muni","YTW_SPREAD_TO_MATURITY_AT_ISSU")</f>
        <v>-1.4824712328767253</v>
      </c>
      <c r="O57" t="str">
        <f>_xll.BDP("64985HXR Muni","BVAL_MID_YTM")</f>
        <v>#N/A Authorization</v>
      </c>
      <c r="P57" t="str">
        <f>_xll.BDP("64985HXR Muni","MUNI_TAX_PROV")</f>
        <v>FED &amp; ST TAX-EXEMPT</v>
      </c>
      <c r="Q57" t="str">
        <f>_xll.BDP("64985HXR Muni","MUNI_FED_TAX")</f>
        <v>N</v>
      </c>
      <c r="R57">
        <f>_xll.BDP("64985HXR Muni","MUNI_MSRB_VOLUME")</f>
        <v>40000</v>
      </c>
      <c r="S57" t="str">
        <f>_xll.BDP("64985HXR Muni","BB_COMPOSITE")</f>
        <v>AAA</v>
      </c>
      <c r="T57">
        <f>_xll.BDP("64985HXR Muni","LQA_LIQUIDITY_SCORE")</f>
        <v>82</v>
      </c>
    </row>
    <row r="58" spans="1:20" x14ac:dyDescent="0.25">
      <c r="A58" t="str">
        <f>_xll.BDP("575829DB Muni","ID_CUSIP")</f>
        <v>575829DB9</v>
      </c>
      <c r="B58" t="s">
        <v>57</v>
      </c>
      <c r="C58" t="str">
        <f>_xll.BDP("575829DB Muni","INSURANCE_STATUS")</f>
        <v>N</v>
      </c>
      <c r="D58" t="str">
        <f>_xll.BDP("575829DB Muni","STATE_CODE")</f>
        <v>MA</v>
      </c>
      <c r="E58" t="str">
        <f>_xll.BDP("575829DB Muni","COUNTY_LOCATION_ISSUER")</f>
        <v>Suffolk, MA</v>
      </c>
      <c r="F58">
        <f>_xll.BDP("575829DB Muni","DUR_ADJ_MID")</f>
        <v>0.49400065462248138</v>
      </c>
      <c r="G58">
        <f>_xll.BDP("575829DB Muni","SPREAD_AT_ISSUANCE_TO_WORST")</f>
        <v>3.9769106866969217</v>
      </c>
      <c r="H58" t="str">
        <f>_xll.BDP("575829DB Muni","ISSUE_DT")</f>
        <v>4/13/2017</v>
      </c>
      <c r="I58" t="str">
        <f>_xll.BDS("575829DB Muni","MUNI_PURPOSE_SCHED", "aggregate=y")</f>
        <v>GREEN PURPOSE WATER UTILITY IMPS. SEWER IMPS.</v>
      </c>
      <c r="J58">
        <f>_xll.BDP("575829DB Muni","CPN")</f>
        <v>5</v>
      </c>
      <c r="K58" t="str">
        <f>_xll.BDP("575829DB Muni","MATURITY")</f>
        <v>2/1/2023</v>
      </c>
      <c r="L58">
        <v>7670000</v>
      </c>
      <c r="M58">
        <f>_xll.BDP("575829DB Muni","YIELD_ON_ISSUE_DATE")</f>
        <v>1.7000000000000002</v>
      </c>
      <c r="N58">
        <f>_xll.BDP("575829DB Muni","YTW_SPREAD_TO_MATURITY_AT_ISSU")</f>
        <v>3.9769106866969217</v>
      </c>
      <c r="O58" t="str">
        <f>_xll.BDP("575829DB Muni","BVAL_MID_YTM")</f>
        <v>#N/A Authorization</v>
      </c>
      <c r="P58" t="str">
        <f>_xll.BDP("575829DB Muni","MUNI_TAX_PROV")</f>
        <v>FED &amp; ST TAX-EXEMPT</v>
      </c>
      <c r="Q58" t="str">
        <f>_xll.BDP("575829DB Muni","MUNI_FED_TAX")</f>
        <v>N</v>
      </c>
      <c r="R58">
        <f>_xll.BDP("575829DB Muni","MUNI_MSRB_VOLUME")</f>
        <v>15000</v>
      </c>
      <c r="S58" t="str">
        <f>_xll.BDP("575829DB Muni","BB_COMPOSITE")</f>
        <v>AAA</v>
      </c>
      <c r="T58">
        <f>_xll.BDP("575829DB Muni","LQA_LIQUIDITY_SCORE")</f>
        <v>96</v>
      </c>
    </row>
    <row r="59" spans="1:20" x14ac:dyDescent="0.25">
      <c r="A59" t="str">
        <f>_xll.BDP("899656QP Muni","ID_CUSIP")</f>
        <v>899656QP0</v>
      </c>
      <c r="B59" t="s">
        <v>58</v>
      </c>
      <c r="C59" t="str">
        <f>_xll.BDP("899656QP Muni","INSURANCE_STATUS")</f>
        <v>N</v>
      </c>
      <c r="D59" t="str">
        <f>_xll.BDP("899656QP Muni","STATE_CODE")</f>
        <v>OK</v>
      </c>
      <c r="E59" t="str">
        <f>_xll.BDP("899656QP Muni","COUNTY_LOCATION_ISSUER")</f>
        <v>Tulsa, OK</v>
      </c>
      <c r="F59">
        <f>_xll.BDP("899656QP Muni","DUR_ADJ_MID")</f>
        <v>0.49411315574048298</v>
      </c>
      <c r="G59">
        <f>_xll.BDP("899656QP Muni","SPREAD_AT_ISSUANCE_TO_WORST")</f>
        <v>21.266322072192168</v>
      </c>
      <c r="H59" t="str">
        <f>_xll.BDP("899656QP Muni","ISSUE_DT")</f>
        <v>2/3/2017</v>
      </c>
      <c r="I59" t="str">
        <f>_xll.BDS("899656QP Muni","MUNI_PURPOSE_SCHED", "aggregate=y")</f>
        <v>CURRENT REFUNDING WATER UTILITY IMPS. SEWER IMPS.</v>
      </c>
      <c r="J59">
        <f>_xll.BDP("899656QP Muni","CPN")</f>
        <v>3</v>
      </c>
      <c r="K59" t="str">
        <f>_xll.BDP("899656QP Muni","MATURITY")</f>
        <v>2/1/2023</v>
      </c>
      <c r="L59">
        <v>1940000</v>
      </c>
      <c r="M59">
        <f>_xll.BDP("899656QP Muni","YIELD_ON_ISSUE_DATE")</f>
        <v>2.0499999999999998</v>
      </c>
      <c r="N59">
        <f>_xll.BDP("899656QP Muni","YTW_SPREAD_TO_MATURITY_AT_ISSU")</f>
        <v>21.266322072192168</v>
      </c>
      <c r="O59" t="str">
        <f>_xll.BDP("899656QP Muni","BVAL_MID_YTM")</f>
        <v>#N/A Authorization</v>
      </c>
      <c r="P59" t="str">
        <f>_xll.BDP("899656QP Muni","MUNI_TAX_PROV")</f>
        <v>FED &amp; ST TAX-EXEMPT</v>
      </c>
      <c r="Q59" t="str">
        <f>_xll.BDP("899656QP Muni","MUNI_FED_TAX")</f>
        <v>N</v>
      </c>
      <c r="R59">
        <f>_xll.BDP("899656QP Muni","MUNI_MSRB_VOLUME")</f>
        <v>200000</v>
      </c>
      <c r="S59" t="str">
        <f>_xll.BDP("899656QP Muni","BB_COMPOSITE")</f>
        <v>AA+</v>
      </c>
      <c r="T59">
        <f>_xll.BDP("899656QP Muni","LQA_LIQUIDITY_SCORE")</f>
        <v>87</v>
      </c>
    </row>
    <row r="60" spans="1:20" x14ac:dyDescent="0.25">
      <c r="A60" t="str">
        <f>_xll.BDP("544525VT Muni","ID_CUSIP")</f>
        <v>544525VT2</v>
      </c>
      <c r="B60" t="s">
        <v>44</v>
      </c>
      <c r="C60" t="str">
        <f>_xll.BDP("544525VT Muni","INSURANCE_STATUS")</f>
        <v>N</v>
      </c>
      <c r="D60" t="str">
        <f>_xll.BDP("544525VT Muni","STATE_CODE")</f>
        <v>CA</v>
      </c>
      <c r="E60" t="str">
        <f>_xll.BDP("544525VT Muni","COUNTY_LOCATION_ISSUER")</f>
        <v>Los Angeles, CA</v>
      </c>
      <c r="F60">
        <f>_xll.BDP("544525VT Muni","DUR_ADJ_MID")</f>
        <v>2.7195779709827241</v>
      </c>
      <c r="G60">
        <f>_xll.BDP("544525VT Muni","SPREAD_AT_ISSUANCE_TO_WORST")</f>
        <v>9.8462859587011167</v>
      </c>
      <c r="H60" t="str">
        <f>_xll.BDP("544525VT Muni","ISSUE_DT")</f>
        <v>5/11/2017</v>
      </c>
      <c r="I60" t="str">
        <f>_xll.BDS("544525VT Muni","MUNI_PURPOSE_SCHED", "aggregate=y")</f>
        <v>CURRENT REFUNDING WATER UTILITY IMPS. REPAYMENT OF BANK LOAN</v>
      </c>
      <c r="J60">
        <f>_xll.BDP("544525VT Muni","CPN")</f>
        <v>5</v>
      </c>
      <c r="K60" t="str">
        <f>_xll.BDP("544525VT Muni","MATURITY")</f>
        <v>7/1/2025</v>
      </c>
      <c r="L60">
        <v>4975000</v>
      </c>
      <c r="M60">
        <f>_xll.BDP("544525VT Muni","YIELD_ON_ISSUE_DATE")</f>
        <v>2</v>
      </c>
      <c r="N60">
        <f>_xll.BDP("544525VT Muni","YTW_SPREAD_TO_MATURITY_AT_ISSU")</f>
        <v>9.8462859587011167</v>
      </c>
      <c r="O60" t="str">
        <f>_xll.BDP("544525VT Muni","BVAL_MID_YTM")</f>
        <v>#N/A Authorization</v>
      </c>
      <c r="P60" t="str">
        <f>_xll.BDP("544525VT Muni","MUNI_TAX_PROV")</f>
        <v>FED &amp; ST TAX-EXEMPT</v>
      </c>
      <c r="Q60" t="str">
        <f>_xll.BDP("544525VT Muni","MUNI_FED_TAX")</f>
        <v>N</v>
      </c>
      <c r="R60">
        <f>_xll.BDP("544525VT Muni","MUNI_MSRB_VOLUME")</f>
        <v>30000</v>
      </c>
      <c r="S60" t="str">
        <f>_xll.BDP("544525VT Muni","BB_COMPOSITE")</f>
        <v>AA</v>
      </c>
      <c r="T60">
        <f>_xll.BDP("544525VT Muni","LQA_LIQUIDITY_SCORE")</f>
        <v>77</v>
      </c>
    </row>
    <row r="61" spans="1:20" x14ac:dyDescent="0.25">
      <c r="A61" t="str">
        <f>_xll.BDP("45204EXQ Muni","ID_CUSIP")</f>
        <v>45204EXQ6</v>
      </c>
      <c r="B61" t="s">
        <v>25</v>
      </c>
      <c r="C61" t="str">
        <f>_xll.BDP("45204EXQ Muni","INSURANCE_STATUS")</f>
        <v>N</v>
      </c>
      <c r="D61" t="str">
        <f>_xll.BDP("45204EXQ Muni","STATE_CODE")</f>
        <v>IL</v>
      </c>
      <c r="E61" t="str">
        <f>_xll.BDP("45204EXQ Muni","COUNTY_LOCATION_ISSUER")</f>
        <v>Cook, IL</v>
      </c>
      <c r="F61">
        <f>_xll.BDP("45204EXQ Muni","DUR_ADJ_MID")</f>
        <v>3.1538027968402642</v>
      </c>
      <c r="G61">
        <f>_xll.BDP("45204EXQ Muni","SPREAD_AT_ISSUANCE_TO_WORST")</f>
        <v>33.479342984408731</v>
      </c>
      <c r="H61" t="str">
        <f>_xll.BDP("45204EXQ Muni","ISSUE_DT")</f>
        <v>9/12/2017</v>
      </c>
      <c r="I61" t="str">
        <f>_xll.BDS("45204EXQ Muni","MUNI_PURPOSE_SCHED", "aggregate=y")</f>
        <v>GREEN PURPOSE WATER UTILITY IMPS. SEWER IMPS.</v>
      </c>
      <c r="J61">
        <f>_xll.BDP("45204EXQ Muni","CPN")</f>
        <v>5</v>
      </c>
      <c r="K61" t="str">
        <f>_xll.BDP("45204EXQ Muni","MATURITY")</f>
        <v>1/1/2026</v>
      </c>
      <c r="L61">
        <v>16555000</v>
      </c>
      <c r="M61">
        <f>_xll.BDP("45204EXQ Muni","YIELD_ON_ISSUE_DATE")</f>
        <v>1.97</v>
      </c>
      <c r="N61">
        <f>_xll.BDP("45204EXQ Muni","YTW_SPREAD_TO_MATURITY_AT_ISSU")</f>
        <v>33.479342984408731</v>
      </c>
      <c r="O61" t="str">
        <f>_xll.BDP("45204EXQ Muni","BVAL_MID_YTM")</f>
        <v>#N/A Authorization</v>
      </c>
      <c r="P61" t="str">
        <f>_xll.BDP("45204EXQ Muni","MUNI_TAX_PROV")</f>
        <v>FED TAX-EXEMPT/ST TAXABLE</v>
      </c>
      <c r="Q61" t="str">
        <f>_xll.BDP("45204EXQ Muni","MUNI_FED_TAX")</f>
        <v>N</v>
      </c>
      <c r="R61">
        <f>_xll.BDP("45204EXQ Muni","MUNI_MSRB_VOLUME")</f>
        <v>20000</v>
      </c>
      <c r="S61" t="str">
        <f>_xll.BDP("45204EXQ Muni","BB_COMPOSITE")</f>
        <v>AAA</v>
      </c>
      <c r="T61">
        <f>_xll.BDP("45204EXQ Muni","LQA_LIQUIDITY_SCORE")</f>
        <v>76</v>
      </c>
    </row>
    <row r="62" spans="1:20" x14ac:dyDescent="0.25">
      <c r="A62" t="str">
        <f>_xll.BDP("89658HUV Muni","ID_CUSIP")</f>
        <v>89658HUV0</v>
      </c>
      <c r="B62" t="s">
        <v>33</v>
      </c>
      <c r="C62" t="str">
        <f>_xll.BDP("89658HUV Muni","INSURANCE_STATUS")</f>
        <v>N</v>
      </c>
      <c r="D62" t="str">
        <f>_xll.BDP("89658HUV Muni","STATE_CODE")</f>
        <v>TX</v>
      </c>
      <c r="E62" t="str">
        <f>_xll.BDP("89658HUV Muni","COUNTY_LOCATION_ISSUER")</f>
        <v>Tarrant, TX</v>
      </c>
      <c r="F62">
        <f>_xll.BDP("89658HUV Muni","DUR_ADJ_MID")</f>
        <v>2.8615234361208008</v>
      </c>
      <c r="G62">
        <f>_xll.BDP("89658HUV Muni","SPREAD_AT_ISSUANCE_TO_WORST")</f>
        <v>36.193954766663495</v>
      </c>
      <c r="H62" t="str">
        <f>_xll.BDP("89658HUV Muni","ISSUE_DT")</f>
        <v>5/1/2017</v>
      </c>
      <c r="I62" t="str">
        <f>_xll.BDS("89658HUV Muni","MUNI_PURPOSE_SCHED", "aggregate=y")</f>
        <v>ADVANCE REFUNDING WATER UTILITY IMPS. SEWER IMPS.</v>
      </c>
      <c r="J62">
        <f>_xll.BDP("89658HUV Muni","CPN")</f>
        <v>3</v>
      </c>
      <c r="K62" t="str">
        <f>_xll.BDP("89658HUV Muni","MATURITY")</f>
        <v>8/1/2025</v>
      </c>
      <c r="L62">
        <v>14720000</v>
      </c>
      <c r="M62">
        <f>_xll.BDP("89658HUV Muni","YIELD_ON_ISSUE_DATE")</f>
        <v>2.3000000000000003</v>
      </c>
      <c r="N62">
        <f>_xll.BDP("89658HUV Muni","YTW_SPREAD_TO_MATURITY_AT_ISSU")</f>
        <v>36.193954766663495</v>
      </c>
      <c r="O62" t="str">
        <f>_xll.BDP("89658HUV Muni","BVAL_MID_YTM")</f>
        <v>#N/A Authorization</v>
      </c>
      <c r="P62" t="str">
        <f>_xll.BDP("89658HUV Muni","MUNI_TAX_PROV")</f>
        <v>FED TAX-EXEMPT</v>
      </c>
      <c r="Q62" t="str">
        <f>_xll.BDP("89658HUV Muni","MUNI_FED_TAX")</f>
        <v>N</v>
      </c>
      <c r="R62">
        <f>_xll.BDP("89658HUV Muni","MUNI_MSRB_VOLUME")</f>
        <v>35000</v>
      </c>
      <c r="S62" t="str">
        <f>_xll.BDP("89658HUV Muni","BB_COMPOSITE")</f>
        <v>AAA</v>
      </c>
      <c r="T62">
        <f>_xll.BDP("89658HUV Muni","LQA_LIQUIDITY_SCORE")</f>
        <v>72</v>
      </c>
    </row>
    <row r="63" spans="1:20" x14ac:dyDescent="0.25">
      <c r="A63" t="str">
        <f>_xll.BDP("434830SA Muni","ID_CUSIP")</f>
        <v>434830SA4</v>
      </c>
      <c r="B63" t="s">
        <v>59</v>
      </c>
      <c r="C63" t="str">
        <f>_xll.BDP("434830SA Muni","INSURANCE_STATUS")</f>
        <v>N</v>
      </c>
      <c r="D63" t="str">
        <f>_xll.BDP("434830SA Muni","STATE_CODE")</f>
        <v>MA</v>
      </c>
      <c r="E63" t="str">
        <f>_xll.BDP("434830SA Muni","COUNTY_LOCATION_ISSUER")</f>
        <v>Worcester, MA</v>
      </c>
      <c r="F63">
        <f>_xll.BDP("434830SA Muni","DUR_ADJ_MID")</f>
        <v>0.85140290923050155</v>
      </c>
      <c r="G63">
        <f>_xll.BDP("434830SA Muni","SPREAD_AT_ISSUANCE_TO_WORST")</f>
        <v>6.3897280259866074</v>
      </c>
      <c r="H63" t="str">
        <f>_xll.BDP("434830SA Muni","ISSUE_DT")</f>
        <v>6/15/2017</v>
      </c>
      <c r="I63" t="str">
        <f>_xll.BDS("434830SA Muni","MUNI_PURPOSE_SCHED", "aggregate=y")</f>
        <v>REFUNDING NOTES WATER UTILITY IMPS. SEWER IMPS.</v>
      </c>
      <c r="J63">
        <f>_xll.BDP("434830SA Muni","CPN")</f>
        <v>5</v>
      </c>
      <c r="K63" t="str">
        <f>_xll.BDP("434830SA Muni","MATURITY")</f>
        <v>6/15/2023</v>
      </c>
      <c r="L63">
        <v>315000</v>
      </c>
      <c r="M63">
        <f>_xll.BDP("434830SA Muni","YIELD_ON_ISSUE_DATE")</f>
        <v>1.4000000000000001</v>
      </c>
      <c r="N63">
        <f>_xll.BDP("434830SA Muni","YTW_SPREAD_TO_MATURITY_AT_ISSU")</f>
        <v>6.3897280259866074</v>
      </c>
      <c r="O63" t="str">
        <f>_xll.BDP("434830SA Muni","BVAL_MID_YTM")</f>
        <v>#N/A Authorization</v>
      </c>
      <c r="P63" t="str">
        <f>_xll.BDP("434830SA Muni","MUNI_TAX_PROV")</f>
        <v>FED BQ/ST TAX-EXEMPT</v>
      </c>
      <c r="Q63" t="str">
        <f>_xll.BDP("434830SA Muni","MUNI_FED_TAX")</f>
        <v>N</v>
      </c>
      <c r="R63">
        <f>_xll.BDP("434830SA Muni","MUNI_MSRB_VOLUME")</f>
        <v>100000</v>
      </c>
      <c r="S63" t="str">
        <f>_xll.BDP("434830SA Muni","BB_COMPOSITE")</f>
        <v>#N/A N/A</v>
      </c>
      <c r="T63">
        <f>_xll.BDP("434830SA Muni","LQA_LIQUIDITY_SCORE")</f>
        <v>93</v>
      </c>
    </row>
    <row r="64" spans="1:20" x14ac:dyDescent="0.25">
      <c r="A64" t="str">
        <f>_xll.BDP("795604AJ Muni","ID_CUSIP")</f>
        <v>795604AJ6</v>
      </c>
      <c r="B64" t="s">
        <v>60</v>
      </c>
      <c r="C64" t="str">
        <f>_xll.BDP("795604AJ Muni","INSURANCE_STATUS")</f>
        <v>N</v>
      </c>
      <c r="D64" t="str">
        <f>_xll.BDP("795604AJ Muni","STATE_CODE")</f>
        <v>UT</v>
      </c>
      <c r="E64" t="str">
        <f>_xll.BDP("795604AJ Muni","COUNTY_LOCATION_ISSUER")</f>
        <v>#N/A Field Not Applicable</v>
      </c>
      <c r="F64">
        <f>_xll.BDP("795604AJ Muni","DUR_ADJ_MID")</f>
        <v>3.2329843995921808</v>
      </c>
      <c r="G64">
        <f>_xll.BDP("795604AJ Muni","SPREAD_AT_ISSUANCE_TO_WORST")</f>
        <v>15.368054355469596</v>
      </c>
      <c r="H64" t="str">
        <f>_xll.BDP("795604AJ Muni","ISSUE_DT")</f>
        <v>4/5/2017</v>
      </c>
      <c r="I64" t="str">
        <f>_xll.BDS("795604AJ Muni","MUNI_PURPOSE_SCHED", "aggregate=y")</f>
        <v>WATER UTILITY IMPS. SEWER IMPS. ADVANCE REFUNDING</v>
      </c>
      <c r="J64">
        <f>_xll.BDP("795604AJ Muni","CPN")</f>
        <v>5</v>
      </c>
      <c r="K64" t="str">
        <f>_xll.BDP("795604AJ Muni","MATURITY")</f>
        <v>2/1/2026</v>
      </c>
      <c r="L64">
        <v>3350000</v>
      </c>
      <c r="M64">
        <f>_xll.BDP("795604AJ Muni","YIELD_ON_ISSUE_DATE")</f>
        <v>2.31</v>
      </c>
      <c r="N64">
        <f>_xll.BDP("795604AJ Muni","YTW_SPREAD_TO_MATURITY_AT_ISSU")</f>
        <v>15.368054355469596</v>
      </c>
      <c r="O64" t="str">
        <f>_xll.BDP("795604AJ Muni","BVAL_MID_YTM")</f>
        <v>#N/A Authorization</v>
      </c>
      <c r="P64" t="str">
        <f>_xll.BDP("795604AJ Muni","MUNI_TAX_PROV")</f>
        <v>FED &amp; ST TAX-EXEMPT</v>
      </c>
      <c r="Q64" t="str">
        <f>_xll.BDP("795604AJ Muni","MUNI_FED_TAX")</f>
        <v>N</v>
      </c>
      <c r="R64">
        <f>_xll.BDP("795604AJ Muni","MUNI_MSRB_VOLUME")</f>
        <v>50000</v>
      </c>
      <c r="S64" t="str">
        <f>_xll.BDP("795604AJ Muni","BB_COMPOSITE")</f>
        <v>AA+</v>
      </c>
      <c r="T64">
        <f>_xll.BDP("795604AJ Muni","LQA_LIQUIDITY_SCORE")</f>
        <v>77</v>
      </c>
    </row>
    <row r="65" spans="1:20" x14ac:dyDescent="0.25">
      <c r="A65" t="str">
        <f>_xll.BDP("63045RAF Muni","ID_CUSIP")</f>
        <v>63045RAF2</v>
      </c>
      <c r="B65" t="s">
        <v>61</v>
      </c>
      <c r="C65" t="str">
        <f>_xll.BDP("63045RAF Muni","INSURANCE_STATUS")</f>
        <v>N</v>
      </c>
      <c r="D65" t="str">
        <f>_xll.BDP("63045RAF Muni","STATE_CODE")</f>
        <v>IL</v>
      </c>
      <c r="E65" t="str">
        <f>_xll.BDP("63045RAF Muni","COUNTY_LOCATION_ISSUER")</f>
        <v>La Salle, IL</v>
      </c>
      <c r="F65">
        <f>_xll.BDP("63045RAF Muni","DUR_ADJ_MID")</f>
        <v>0.32424266679686664</v>
      </c>
      <c r="G65">
        <f>_xll.BDP("63045RAF Muni","SPREAD_AT_ISSUANCE_TO_WORST")</f>
        <v>136.98855519138388</v>
      </c>
      <c r="H65" t="str">
        <f>_xll.BDP("63045RAF Muni","ISSUE_DT")</f>
        <v>4/11/2017</v>
      </c>
      <c r="I65" t="str">
        <f>_xll.BDS("63045RAF Muni","MUNI_PURPOSE_SCHED", "aggregate=y")</f>
        <v>WATER UTILITY IMPS. PROPERTY ACQUISITION</v>
      </c>
      <c r="J65">
        <f>_xll.BDP("63045RAF Muni","CPN")</f>
        <v>4.75</v>
      </c>
      <c r="K65" t="str">
        <f>_xll.BDP("63045RAF Muni","MATURITY")</f>
        <v>12/1/2022</v>
      </c>
      <c r="L65">
        <v>10000</v>
      </c>
      <c r="M65">
        <f>_xll.BDP("63045RAF Muni","YIELD_ON_ISSUE_DATE")</f>
        <v>3</v>
      </c>
      <c r="N65">
        <f>_xll.BDP("63045RAF Muni","YTW_SPREAD_TO_MATURITY_AT_ISSU")</f>
        <v>136.98855519138388</v>
      </c>
      <c r="O65" t="str">
        <f>_xll.BDP("63045RAF Muni","BVAL_MID_YTM")</f>
        <v>#N/A Authorization</v>
      </c>
      <c r="P65" t="str">
        <f>_xll.BDP("63045RAF Muni","MUNI_TAX_PROV")</f>
        <v>FED BQ/ST TAXABLE</v>
      </c>
      <c r="Q65" t="str">
        <f>_xll.BDP("63045RAF Muni","MUNI_FED_TAX")</f>
        <v>N</v>
      </c>
      <c r="R65">
        <f>_xll.BDP("63045RAF Muni","MUNI_MSRB_VOLUME")</f>
        <v>40000</v>
      </c>
      <c r="S65" t="str">
        <f>_xll.BDP("63045RAF Muni","BB_COMPOSITE")</f>
        <v>#N/A N/A</v>
      </c>
      <c r="T65">
        <f>_xll.BDP("63045RAF Muni","LQA_LIQUIDITY_SCORE")</f>
        <v>92</v>
      </c>
    </row>
    <row r="66" spans="1:20" x14ac:dyDescent="0.25">
      <c r="A66" t="str">
        <f>_xll.BDP("979149GB Muni","ID_CUSIP")</f>
        <v>979149GB1</v>
      </c>
      <c r="B66" t="s">
        <v>62</v>
      </c>
      <c r="C66" t="str">
        <f>_xll.BDP("979149GB Muni","INSURANCE_STATUS")</f>
        <v>N</v>
      </c>
      <c r="D66" t="str">
        <f>_xll.BDP("979149GB Muni","STATE_CODE")</f>
        <v>NJ</v>
      </c>
      <c r="E66" t="str">
        <f>_xll.BDP("979149GB Muni","COUNTY_LOCATION_ISSUER")</f>
        <v>Gloucester, NJ</v>
      </c>
      <c r="F66">
        <f>_xll.BDP("979149GB Muni","DUR_ADJ_MID")</f>
        <v>4.3843328266938917</v>
      </c>
      <c r="G66">
        <f>_xll.BDP("979149GB Muni","SPREAD_AT_ISSUANCE_TO_WORST")</f>
        <v>37.947167751200325</v>
      </c>
      <c r="H66" t="str">
        <f>_xll.BDP("979149GB Muni","ISSUE_DT")</f>
        <v>6/7/2017</v>
      </c>
      <c r="I66" t="str">
        <f>_xll.BDS("979149GB Muni","MUNI_PURPOSE_SCHED", "aggregate=y")</f>
        <v>PUBLIC IMPS. WATER UTILITY IMPS. SEWER IMPS.</v>
      </c>
      <c r="J66">
        <f>_xll.BDP("979149GB Muni","CPN")</f>
        <v>3</v>
      </c>
      <c r="K66" t="str">
        <f>_xll.BDP("979149GB Muni","MATURITY")</f>
        <v>5/1/2027</v>
      </c>
      <c r="L66">
        <v>950000</v>
      </c>
      <c r="M66">
        <f>_xll.BDP("979149GB Muni","YIELD_ON_ISSUE_DATE")</f>
        <v>2.35</v>
      </c>
      <c r="N66">
        <f>_xll.BDP("979149GB Muni","YTW_SPREAD_TO_MATURITY_AT_ISSU")</f>
        <v>37.947167751200325</v>
      </c>
      <c r="O66" t="str">
        <f>_xll.BDP("979149GB Muni","BVAL_MID_YTM")</f>
        <v>#N/A Authorization</v>
      </c>
      <c r="P66" t="str">
        <f>_xll.BDP("979149GB Muni","MUNI_TAX_PROV")</f>
        <v>FED &amp; ST TAX-EXEMPT</v>
      </c>
      <c r="Q66" t="str">
        <f>_xll.BDP("979149GB Muni","MUNI_FED_TAX")</f>
        <v>N</v>
      </c>
      <c r="R66">
        <f>_xll.BDP("979149GB Muni","MUNI_MSRB_VOLUME")</f>
        <v>30000</v>
      </c>
      <c r="S66" t="str">
        <f>_xll.BDP("979149GB Muni","BB_COMPOSITE")</f>
        <v>#N/A N/A</v>
      </c>
      <c r="T66">
        <f>_xll.BDP("979149GB Muni","LQA_LIQUIDITY_SCORE")</f>
        <v>40</v>
      </c>
    </row>
    <row r="67" spans="1:20" x14ac:dyDescent="0.25">
      <c r="A67" t="str">
        <f>_xll.BDP("13063DAS Muni","ID_CUSIP")</f>
        <v>13063DAS7</v>
      </c>
      <c r="B67" t="s">
        <v>20</v>
      </c>
      <c r="C67" t="str">
        <f>_xll.BDP("13063DAS Muni","INSURANCE_STATUS")</f>
        <v>N</v>
      </c>
      <c r="D67" t="str">
        <f>_xll.BDP("13063DAS Muni","STATE_CODE")</f>
        <v>CA</v>
      </c>
      <c r="E67" t="str">
        <f>_xll.BDP("13063DAS Muni","COUNTY_LOCATION_ISSUER")</f>
        <v>Sacramento, CA</v>
      </c>
      <c r="F67">
        <f>_xll.BDP("13063DAS Muni","DUR_ADJ_MID")</f>
        <v>4.6307649775644562</v>
      </c>
      <c r="G67">
        <f>_xll.BDP("13063DAS Muni","SPREAD_AT_ISSUANCE_TO_WORST")</f>
        <v>24.883613722653241</v>
      </c>
      <c r="H67" t="str">
        <f>_xll.BDP("13063DAS Muni","ISSUE_DT")</f>
        <v>9/12/2017</v>
      </c>
      <c r="I67" t="str">
        <f>_xll.BDS("13063DAS Muni","MUNI_PURPOSE_SCHED", "aggregate=y")</f>
        <v>SCHOOL IMPS. WATER UTILITY IMPS. REFUNDING NOTES</v>
      </c>
      <c r="J67">
        <f>_xll.BDP("13063DAS Muni","CPN")</f>
        <v>5</v>
      </c>
      <c r="K67" t="str">
        <f>_xll.BDP("13063DAS Muni","MATURITY")</f>
        <v>11/1/2027</v>
      </c>
      <c r="L67">
        <v>36000000</v>
      </c>
      <c r="M67">
        <f>_xll.BDP("13063DAS Muni","YIELD_ON_ISSUE_DATE")</f>
        <v>2.1</v>
      </c>
      <c r="N67">
        <f>_xll.BDP("13063DAS Muni","YTW_SPREAD_TO_MATURITY_AT_ISSU")</f>
        <v>24.883613722653241</v>
      </c>
      <c r="O67" t="str">
        <f>_xll.BDP("13063DAS Muni","BVAL_MID_YTM")</f>
        <v>#N/A Authorization</v>
      </c>
      <c r="P67" t="str">
        <f>_xll.BDP("13063DAS Muni","MUNI_TAX_PROV")</f>
        <v>FED &amp; ST TAX-EXEMPT</v>
      </c>
      <c r="Q67" t="str">
        <f>_xll.BDP("13063DAS Muni","MUNI_FED_TAX")</f>
        <v>N</v>
      </c>
      <c r="R67">
        <f>_xll.BDP("13063DAS Muni","MUNI_MSRB_VOLUME")</f>
        <v>115000</v>
      </c>
      <c r="S67" t="str">
        <f>_xll.BDP("13063DAS Muni","BB_COMPOSITE")</f>
        <v>AA-</v>
      </c>
      <c r="T67">
        <f>_xll.BDP("13063DAS Muni","LQA_LIQUIDITY_SCORE")</f>
        <v>67</v>
      </c>
    </row>
    <row r="68" spans="1:20" x14ac:dyDescent="0.25">
      <c r="A68" t="str">
        <f>_xll.BDP("798569BV Muni","ID_CUSIP")</f>
        <v>798569BV0</v>
      </c>
      <c r="B68" t="s">
        <v>63</v>
      </c>
      <c r="C68" t="str">
        <f>_xll.BDP("798569BV Muni","INSURANCE_STATUS")</f>
        <v>N</v>
      </c>
      <c r="D68" t="str">
        <f>_xll.BDP("798569BV Muni","STATE_CODE")</f>
        <v>CA</v>
      </c>
      <c r="E68" t="str">
        <f>_xll.BDP("798569BV Muni","COUNTY_LOCATION_ISSUER")</f>
        <v>Merced, CA</v>
      </c>
      <c r="F68">
        <f>_xll.BDP("798569BV Muni","DUR_ADJ_MID")</f>
        <v>0.97802024086906725</v>
      </c>
      <c r="G68">
        <f>_xll.BDP("798569BV Muni","SPREAD_AT_ISSUANCE_TO_WORST")</f>
        <v>39.69438560183589</v>
      </c>
      <c r="H68" t="str">
        <f>_xll.BDP("798569BV Muni","ISSUE_DT")</f>
        <v>6/22/2017</v>
      </c>
      <c r="I68" t="str">
        <f>_xll.BDS("798569BV Muni","MUNI_PURPOSE_SCHED", "aggregate=y")</f>
        <v>WATER UTILITY IMPS.</v>
      </c>
      <c r="J68">
        <f>_xll.BDP("798569BV Muni","CPN")</f>
        <v>5</v>
      </c>
      <c r="K68" t="str">
        <f>_xll.BDP("798569BV Muni","MATURITY")</f>
        <v>8/1/2023</v>
      </c>
      <c r="L68">
        <v>2400000</v>
      </c>
      <c r="M68">
        <f>_xll.BDP("798569BV Muni","YIELD_ON_ISSUE_DATE")</f>
        <v>1.7000000000000002</v>
      </c>
      <c r="N68">
        <f>_xll.BDP("798569BV Muni","YTW_SPREAD_TO_MATURITY_AT_ISSU")</f>
        <v>39.69438560183589</v>
      </c>
      <c r="O68" t="str">
        <f>_xll.BDP("798569BV Muni","BVAL_MID_YTM")</f>
        <v>#N/A Authorization</v>
      </c>
      <c r="P68" t="str">
        <f>_xll.BDP("798569BV Muni","MUNI_TAX_PROV")</f>
        <v>FED &amp; ST TAX-EXEMPT</v>
      </c>
      <c r="Q68" t="str">
        <f>_xll.BDP("798569BV Muni","MUNI_FED_TAX")</f>
        <v>N</v>
      </c>
      <c r="R68">
        <f>_xll.BDP("798569BV Muni","MUNI_MSRB_VOLUME")</f>
        <v>600000</v>
      </c>
      <c r="S68" t="str">
        <f>_xll.BDP("798569BV Muni","BB_COMPOSITE")</f>
        <v>#N/A N/A</v>
      </c>
      <c r="T68">
        <f>_xll.BDP("798569BV Muni","LQA_LIQUIDITY_SCORE")</f>
        <v>83</v>
      </c>
    </row>
    <row r="69" spans="1:20" x14ac:dyDescent="0.25">
      <c r="A69" t="str">
        <f>_xll.BDP("303891B6 Muni","ID_CUSIP")</f>
        <v>303891B61</v>
      </c>
      <c r="B69" t="s">
        <v>41</v>
      </c>
      <c r="C69" t="str">
        <f>_xll.BDP("303891B6 Muni","INSURANCE_STATUS")</f>
        <v>N</v>
      </c>
      <c r="D69" t="str">
        <f>_xll.BDP("303891B6 Muni","STATE_CODE")</f>
        <v>VA</v>
      </c>
      <c r="E69" t="str">
        <f>_xll.BDP("303891B6 Muni","COUNTY_LOCATION_ISSUER")</f>
        <v>Fairfax, VA</v>
      </c>
      <c r="F69">
        <f>_xll.BDP("303891B6 Muni","DUR_ADJ_MID")</f>
        <v>3.3238295468127768</v>
      </c>
      <c r="G69">
        <f>_xll.BDP("303891B6 Muni","SPREAD_AT_ISSUANCE_TO_WORST")</f>
        <v>-1.382779483609875</v>
      </c>
      <c r="H69" t="str">
        <f>_xll.BDP("303891B6 Muni","ISSUE_DT")</f>
        <v>3/1/2017</v>
      </c>
      <c r="I69" t="str">
        <f>_xll.BDS("303891B6 Muni","MUNI_PURPOSE_SCHED", "aggregate=y")</f>
        <v>CURRENT REFUNDING WATER UTILITY IMPS.</v>
      </c>
      <c r="J69">
        <f>_xll.BDP("303891B6 Muni","CPN")</f>
        <v>5</v>
      </c>
      <c r="K69" t="str">
        <f>_xll.BDP("303891B6 Muni","MATURITY")</f>
        <v>4/1/2026</v>
      </c>
      <c r="L69">
        <v>10265000</v>
      </c>
      <c r="M69">
        <f>_xll.BDP("303891B6 Muni","YIELD_ON_ISSUE_DATE")</f>
        <v>2.17</v>
      </c>
      <c r="N69">
        <f>_xll.BDP("303891B6 Muni","YTW_SPREAD_TO_MATURITY_AT_ISSU")</f>
        <v>-1.382779483609875</v>
      </c>
      <c r="O69" t="str">
        <f>_xll.BDP("303891B6 Muni","BVAL_MID_YTM")</f>
        <v>#N/A Authorization</v>
      </c>
      <c r="P69" t="str">
        <f>_xll.BDP("303891B6 Muni","MUNI_TAX_PROV")</f>
        <v>FED &amp; ST TAX-EXEMPT</v>
      </c>
      <c r="Q69" t="str">
        <f>_xll.BDP("303891B6 Muni","MUNI_FED_TAX")</f>
        <v>N</v>
      </c>
      <c r="R69">
        <f>_xll.BDP("303891B6 Muni","MUNI_MSRB_VOLUME")</f>
        <v>30000</v>
      </c>
      <c r="S69" t="str">
        <f>_xll.BDP("303891B6 Muni","BB_COMPOSITE")</f>
        <v>AAA</v>
      </c>
      <c r="T69">
        <f>_xll.BDP("303891B6 Muni","LQA_LIQUIDITY_SCORE")</f>
        <v>77</v>
      </c>
    </row>
    <row r="70" spans="1:20" x14ac:dyDescent="0.25">
      <c r="A70" t="str">
        <f>_xll.BDP("45204EXM Muni","ID_CUSIP")</f>
        <v>45204EXM5</v>
      </c>
      <c r="B70" t="s">
        <v>25</v>
      </c>
      <c r="C70" t="str">
        <f>_xll.BDP("45204EXM Muni","INSURANCE_STATUS")</f>
        <v>N</v>
      </c>
      <c r="D70" t="str">
        <f>_xll.BDP("45204EXM Muni","STATE_CODE")</f>
        <v>IL</v>
      </c>
      <c r="E70" t="str">
        <f>_xll.BDP("45204EXM Muni","COUNTY_LOCATION_ISSUER")</f>
        <v>Cook, IL</v>
      </c>
      <c r="F70">
        <f>_xll.BDP("45204EXM Muni","DUR_ADJ_MID")</f>
        <v>1.8273092242688873</v>
      </c>
      <c r="G70">
        <f>_xll.BDP("45204EXM Muni","SPREAD_AT_ISSUANCE_TO_WORST")</f>
        <v>25.517951576097108</v>
      </c>
      <c r="H70" t="str">
        <f>_xll.BDP("45204EXM Muni","ISSUE_DT")</f>
        <v>9/12/2017</v>
      </c>
      <c r="I70" t="str">
        <f>_xll.BDS("45204EXM Muni","MUNI_PURPOSE_SCHED", "aggregate=y")</f>
        <v>GREEN PURPOSE WATER UTILITY IMPS. SEWER IMPS.</v>
      </c>
      <c r="J70">
        <f>_xll.BDP("45204EXM Muni","CPN")</f>
        <v>5</v>
      </c>
      <c r="K70" t="str">
        <f>_xll.BDP("45204EXM Muni","MATURITY")</f>
        <v>7/1/2024</v>
      </c>
      <c r="L70">
        <v>16745000</v>
      </c>
      <c r="M70">
        <f>_xll.BDP("45204EXM Muni","YIELD_ON_ISSUE_DATE")</f>
        <v>1.67</v>
      </c>
      <c r="N70">
        <f>_xll.BDP("45204EXM Muni","YTW_SPREAD_TO_MATURITY_AT_ISSU")</f>
        <v>25.517951576097108</v>
      </c>
      <c r="O70" t="str">
        <f>_xll.BDP("45204EXM Muni","BVAL_MID_YTM")</f>
        <v>#N/A Authorization</v>
      </c>
      <c r="P70" t="str">
        <f>_xll.BDP("45204EXM Muni","MUNI_TAX_PROV")</f>
        <v>FED TAX-EXEMPT/ST TAXABLE</v>
      </c>
      <c r="Q70" t="str">
        <f>_xll.BDP("45204EXM Muni","MUNI_FED_TAX")</f>
        <v>N</v>
      </c>
      <c r="R70">
        <f>_xll.BDP("45204EXM Muni","MUNI_MSRB_VOLUME")</f>
        <v>125000</v>
      </c>
      <c r="S70" t="str">
        <f>_xll.BDP("45204EXM Muni","BB_COMPOSITE")</f>
        <v>AAA</v>
      </c>
      <c r="T70">
        <f>_xll.BDP("45204EXM Muni","LQA_LIQUIDITY_SCORE")</f>
        <v>85</v>
      </c>
    </row>
    <row r="71" spans="1:20" x14ac:dyDescent="0.25">
      <c r="A71" t="str">
        <f>_xll.BDP("8800642E Muni","ID_CUSIP")</f>
        <v>8800642E9</v>
      </c>
      <c r="B71" t="s">
        <v>64</v>
      </c>
      <c r="C71" t="str">
        <f>_xll.BDP("8800642E Muni","INSURANCE_STATUS")</f>
        <v>N</v>
      </c>
      <c r="D71" t="str">
        <f>_xll.BDP("8800642E Muni","STATE_CODE")</f>
        <v>TX</v>
      </c>
      <c r="E71" t="str">
        <f>_xll.BDP("8800642E Muni","COUNTY_LOCATION_ISSUER")</f>
        <v>Bell, TX</v>
      </c>
      <c r="F71">
        <f>_xll.BDP("8800642E Muni","DUR_ADJ_MID")</f>
        <v>1.9089028205153469</v>
      </c>
      <c r="G71">
        <f>_xll.BDP("8800642E Muni","SPREAD_AT_ISSUANCE_TO_WORST")</f>
        <v>17.491364383561645</v>
      </c>
      <c r="H71" t="str">
        <f>_xll.BDP("8800642E Muni","ISSUE_DT")</f>
        <v>11/8/2017</v>
      </c>
      <c r="I71" t="str">
        <f>_xll.BDS("8800642E Muni","MUNI_PURPOSE_SCHED", "aggregate=y")</f>
        <v>PUBLIC IMPS. WATER UTILITY IMPS. SEWER IMPS.</v>
      </c>
      <c r="J71">
        <f>_xll.BDP("8800642E Muni","CPN")</f>
        <v>5</v>
      </c>
      <c r="K71" t="str">
        <f>_xll.BDP("8800642E Muni","MATURITY")</f>
        <v>8/1/2024</v>
      </c>
      <c r="L71">
        <v>1300000</v>
      </c>
      <c r="M71">
        <f>_xll.BDP("8800642E Muni","YIELD_ON_ISSUE_DATE")</f>
        <v>1.75</v>
      </c>
      <c r="N71">
        <f>_xll.BDP("8800642E Muni","YTW_SPREAD_TO_MATURITY_AT_ISSU")</f>
        <v>17.491364383561645</v>
      </c>
      <c r="O71" t="str">
        <f>_xll.BDP("8800642E Muni","BVAL_MID_YTM")</f>
        <v>#N/A Authorization</v>
      </c>
      <c r="P71" t="str">
        <f>_xll.BDP("8800642E Muni","MUNI_TAX_PROV")</f>
        <v>FED TAX-EXEMPT</v>
      </c>
      <c r="Q71" t="str">
        <f>_xll.BDP("8800642E Muni","MUNI_FED_TAX")</f>
        <v>N</v>
      </c>
      <c r="R71">
        <f>_xll.BDP("8800642E Muni","MUNI_MSRB_VOLUME")</f>
        <v>50000</v>
      </c>
      <c r="S71" t="str">
        <f>_xll.BDP("8800642E Muni","BB_COMPOSITE")</f>
        <v>#N/A N/A</v>
      </c>
      <c r="T71">
        <f>_xll.BDP("8800642E Muni","LQA_LIQUIDITY_SCORE")</f>
        <v>84</v>
      </c>
    </row>
    <row r="72" spans="1:20" x14ac:dyDescent="0.25">
      <c r="A72" t="str">
        <f>_xll.BDP("03588HRR Muni","ID_CUSIP")</f>
        <v>03588HRR9</v>
      </c>
      <c r="B72" t="s">
        <v>36</v>
      </c>
      <c r="C72" t="str">
        <f>_xll.BDP("03588HRR Muni","INSURANCE_STATUS")</f>
        <v>N</v>
      </c>
      <c r="D72" t="str">
        <f>_xll.BDP("03588HRR Muni","STATE_CODE")</f>
        <v>MD</v>
      </c>
      <c r="E72" t="str">
        <f>_xll.BDP("03588HRR Muni","COUNTY_LOCATION_ISSUER")</f>
        <v>Anne Arundel, MD</v>
      </c>
      <c r="F72">
        <f>_xll.BDP("03588HRR Muni","DUR_ADJ_MID")</f>
        <v>2.0331292743983846</v>
      </c>
      <c r="G72">
        <f>_xll.BDP("03588HRR Muni","SPREAD_AT_ISSUANCE_TO_WORST")</f>
        <v>6.6794439071388823</v>
      </c>
      <c r="H72" t="str">
        <f>_xll.BDP("03588HRR Muni","ISSUE_DT")</f>
        <v>4/12/2017</v>
      </c>
      <c r="I72" t="str">
        <f>_xll.BDS("03588HRR Muni","MUNI_PURPOSE_SCHED", "aggregate=y")</f>
        <v>WATER UTILITY IMPS. SEWER IMPS.</v>
      </c>
      <c r="J72">
        <f>_xll.BDP("03588HRR Muni","CPN")</f>
        <v>5</v>
      </c>
      <c r="K72" t="str">
        <f>_xll.BDP("03588HRR Muni","MATURITY")</f>
        <v>10/1/2024</v>
      </c>
      <c r="L72">
        <v>2125000</v>
      </c>
      <c r="M72">
        <f>_xll.BDP("03588HRR Muni","YIELD_ON_ISSUE_DATE")</f>
        <v>2.0100000000000002</v>
      </c>
      <c r="N72">
        <f>_xll.BDP("03588HRR Muni","YTW_SPREAD_TO_MATURITY_AT_ISSU")</f>
        <v>6.6794439071388823</v>
      </c>
      <c r="O72" t="str">
        <f>_xll.BDP("03588HRR Muni","BVAL_MID_YTM")</f>
        <v>#N/A Authorization</v>
      </c>
      <c r="P72" t="str">
        <f>_xll.BDP("03588HRR Muni","MUNI_TAX_PROV")</f>
        <v>FED &amp; ST TAX-EXEMPT</v>
      </c>
      <c r="Q72" t="str">
        <f>_xll.BDP("03588HRR Muni","MUNI_FED_TAX")</f>
        <v>N</v>
      </c>
      <c r="R72">
        <f>_xll.BDP("03588HRR Muni","MUNI_MSRB_VOLUME")</f>
        <v>40000</v>
      </c>
      <c r="S72" t="str">
        <f>_xll.BDP("03588HRR Muni","BB_COMPOSITE")</f>
        <v>AAA</v>
      </c>
      <c r="T72">
        <f>_xll.BDP("03588HRR Muni","LQA_LIQUIDITY_SCORE")</f>
        <v>88</v>
      </c>
    </row>
    <row r="73" spans="1:20" x14ac:dyDescent="0.25">
      <c r="A73" t="str">
        <f>_xll.BDP("655867VV Muni","ID_CUSIP")</f>
        <v>655867VV8</v>
      </c>
      <c r="B73" t="s">
        <v>65</v>
      </c>
      <c r="C73" t="str">
        <f>_xll.BDP("655867VV Muni","INSURANCE_STATUS")</f>
        <v>N</v>
      </c>
      <c r="D73" t="str">
        <f>_xll.BDP("655867VV Muni","STATE_CODE")</f>
        <v>VA</v>
      </c>
      <c r="E73" t="str">
        <f>_xll.BDP("655867VV Muni","COUNTY_LOCATION_ISSUER")</f>
        <v>Norfolk, VA</v>
      </c>
      <c r="F73">
        <f>_xll.BDP("655867VV Muni","DUR_ADJ_MID")</f>
        <v>1.0369463970685628</v>
      </c>
      <c r="G73">
        <f>_xll.BDP("655867VV Muni","SPREAD_AT_ISSUANCE_TO_WORST")</f>
        <v>9.7621917808219152</v>
      </c>
      <c r="H73" t="str">
        <f>_xll.BDP("655867VV Muni","ISSUE_DT")</f>
        <v>12/5/2017</v>
      </c>
      <c r="I73" t="str">
        <f>_xll.BDS("655867VV Muni","MUNI_PURPOSE_SCHED", "aggregate=y")</f>
        <v>PUBLIC IMPS. WATER UTILITY IMPS. SEWER IMPS.</v>
      </c>
      <c r="J73">
        <f>_xll.BDP("655867VV Muni","CPN")</f>
        <v>5</v>
      </c>
      <c r="K73" t="str">
        <f>_xll.BDP("655867VV Muni","MATURITY")</f>
        <v>9/1/2023</v>
      </c>
      <c r="L73">
        <v>5510000</v>
      </c>
      <c r="M73">
        <f>_xll.BDP("655867VV Muni","YIELD_ON_ISSUE_DATE")</f>
        <v>1.7000000000000002</v>
      </c>
      <c r="N73">
        <f>_xll.BDP("655867VV Muni","YTW_SPREAD_TO_MATURITY_AT_ISSU")</f>
        <v>9.7621917808219152</v>
      </c>
      <c r="O73" t="str">
        <f>_xll.BDP("655867VV Muni","BVAL_MID_YTM")</f>
        <v>#N/A Authorization</v>
      </c>
      <c r="P73" t="str">
        <f>_xll.BDP("655867VV Muni","MUNI_TAX_PROV")</f>
        <v>FED &amp; ST TAX-EXEMPT</v>
      </c>
      <c r="Q73" t="str">
        <f>_xll.BDP("655867VV Muni","MUNI_FED_TAX")</f>
        <v>N</v>
      </c>
      <c r="R73">
        <f>_xll.BDP("655867VV Muni","MUNI_MSRB_VOLUME")</f>
        <v>20000</v>
      </c>
      <c r="S73" t="str">
        <f>_xll.BDP("655867VV Muni","BB_COMPOSITE")</f>
        <v>AA+</v>
      </c>
      <c r="T73">
        <f>_xll.BDP("655867VV Muni","LQA_LIQUIDITY_SCORE")</f>
        <v>90</v>
      </c>
    </row>
    <row r="74" spans="1:20" x14ac:dyDescent="0.25">
      <c r="A74" t="str">
        <f>_xll.BDP("158855DS Muni","ID_CUSIP")</f>
        <v>158855DS2</v>
      </c>
      <c r="B74" t="s">
        <v>66</v>
      </c>
      <c r="C74" t="str">
        <f>_xll.BDP("158855DS Muni","INSURANCE_STATUS")</f>
        <v>N</v>
      </c>
      <c r="D74" t="str">
        <f>_xll.BDP("158855DS Muni","STATE_CODE")</f>
        <v>AZ</v>
      </c>
      <c r="E74" t="str">
        <f>_xll.BDP("158855DS Muni","COUNTY_LOCATION_ISSUER")</f>
        <v>Maricopa, AZ</v>
      </c>
      <c r="F74">
        <f>_xll.BDP("158855DS Muni","DUR_ADJ_MID")</f>
        <v>0.8954127042351484</v>
      </c>
      <c r="G74">
        <f>_xll.BDP("158855DS Muni","SPREAD_AT_ISSUANCE_TO_WORST")</f>
        <v>3.3870958904109516</v>
      </c>
      <c r="H74" t="str">
        <f>_xll.BDP("158855DS Muni","ISSUE_DT")</f>
        <v>12/19/2017</v>
      </c>
      <c r="I74" t="str">
        <f>_xll.BDS("158855DS Muni","MUNI_PURPOSE_SCHED", "aggregate=y")</f>
        <v>WATER UTILITY IMPS. SEWER IMPS.</v>
      </c>
      <c r="J74">
        <f>_xll.BDP("158855DS Muni","CPN")</f>
        <v>5</v>
      </c>
      <c r="K74" t="str">
        <f>_xll.BDP("158855DS Muni","MATURITY")</f>
        <v>7/1/2023</v>
      </c>
      <c r="L74">
        <v>1185000</v>
      </c>
      <c r="M74">
        <f>_xll.BDP("158855DS Muni","YIELD_ON_ISSUE_DATE")</f>
        <v>1.78</v>
      </c>
      <c r="N74">
        <f>_xll.BDP("158855DS Muni","YTW_SPREAD_TO_MATURITY_AT_ISSU")</f>
        <v>3.3870958904109516</v>
      </c>
      <c r="O74" t="str">
        <f>_xll.BDP("158855DS Muni","BVAL_MID_YTM")</f>
        <v>#N/A Authorization</v>
      </c>
      <c r="P74" t="str">
        <f>_xll.BDP("158855DS Muni","MUNI_TAX_PROV")</f>
        <v>FED &amp; ST TAX-EXEMPT</v>
      </c>
      <c r="Q74" t="str">
        <f>_xll.BDP("158855DS Muni","MUNI_FED_TAX")</f>
        <v>N</v>
      </c>
      <c r="R74">
        <f>_xll.BDP("158855DS Muni","MUNI_MSRB_VOLUME")</f>
        <v>400000</v>
      </c>
      <c r="S74" t="str">
        <f>_xll.BDP("158855DS Muni","BB_COMPOSITE")</f>
        <v>AA+</v>
      </c>
      <c r="T74">
        <f>_xll.BDP("158855DS Muni","LQA_LIQUIDITY_SCORE")</f>
        <v>92</v>
      </c>
    </row>
    <row r="75" spans="1:20" x14ac:dyDescent="0.25">
      <c r="A75" t="str">
        <f>_xll.BDP("364478TV Muni","ID_CUSIP")</f>
        <v>364478TV9</v>
      </c>
      <c r="B75" t="s">
        <v>67</v>
      </c>
      <c r="C75" t="str">
        <f>_xll.BDP("364478TV Muni","INSURANCE_STATUS")</f>
        <v>N</v>
      </c>
      <c r="D75" t="str">
        <f>_xll.BDP("364478TV Muni","STATE_CODE")</f>
        <v>TX</v>
      </c>
      <c r="E75" t="str">
        <f>_xll.BDP("364478TV Muni","COUNTY_LOCATION_ISSUER")</f>
        <v>Galveston, TX</v>
      </c>
      <c r="F75">
        <f>_xll.BDP("364478TV Muni","DUR_ADJ_MID")</f>
        <v>4.3037609482331511</v>
      </c>
      <c r="G75">
        <f>_xll.BDP("364478TV Muni","SPREAD_AT_ISSUANCE_TO_WORST")</f>
        <v>48.255566037868562</v>
      </c>
      <c r="H75" t="str">
        <f>_xll.BDP("364478TV Muni","ISSUE_DT")</f>
        <v>2/15/2017</v>
      </c>
      <c r="I75" t="str">
        <f>_xll.BDS("364478TV Muni","MUNI_PURPOSE_SCHED", "aggregate=y")</f>
        <v>WATER UTILITY IMPS. SEWER IMPS.</v>
      </c>
      <c r="J75">
        <f>_xll.BDP("364478TV Muni","CPN")</f>
        <v>4</v>
      </c>
      <c r="K75" t="str">
        <f>_xll.BDP("364478TV Muni","MATURITY")</f>
        <v>5/1/2027</v>
      </c>
      <c r="L75">
        <v>845000</v>
      </c>
      <c r="M75">
        <f>_xll.BDP("364478TV Muni","YIELD_ON_ISSUE_DATE")</f>
        <v>2.82</v>
      </c>
      <c r="N75">
        <f>_xll.BDP("364478TV Muni","YTW_SPREAD_TO_MATURITY_AT_ISSU")</f>
        <v>48.255566037868562</v>
      </c>
      <c r="O75" t="str">
        <f>_xll.BDP("364478TV Muni","BVAL_MID_YTM")</f>
        <v>#N/A Authorization</v>
      </c>
      <c r="P75" t="str">
        <f>_xll.BDP("364478TV Muni","MUNI_TAX_PROV")</f>
        <v>FED TAX-EXEMPT</v>
      </c>
      <c r="Q75" t="str">
        <f>_xll.BDP("364478TV Muni","MUNI_FED_TAX")</f>
        <v>N</v>
      </c>
      <c r="R75">
        <f>_xll.BDP("364478TV Muni","MUNI_MSRB_VOLUME")</f>
        <v>100000</v>
      </c>
      <c r="S75" t="str">
        <f>_xll.BDP("364478TV Muni","BB_COMPOSITE")</f>
        <v>AA-</v>
      </c>
      <c r="T75">
        <f>_xll.BDP("364478TV Muni","LQA_LIQUIDITY_SCORE")</f>
        <v>60</v>
      </c>
    </row>
    <row r="76" spans="1:20" x14ac:dyDescent="0.25">
      <c r="A76" t="str">
        <f>_xll.BDP("882854ZR Muni","ID_CUSIP")</f>
        <v>882854ZR6</v>
      </c>
      <c r="B76" t="s">
        <v>31</v>
      </c>
      <c r="C76" t="str">
        <f>_xll.BDP("882854ZR Muni","INSURANCE_STATUS")</f>
        <v>N</v>
      </c>
      <c r="D76" t="str">
        <f>_xll.BDP("882854ZR Muni","STATE_CODE")</f>
        <v>TX</v>
      </c>
      <c r="E76" t="str">
        <f>_xll.BDP("882854ZR Muni","COUNTY_LOCATION_ISSUER")</f>
        <v>Travis, TX</v>
      </c>
      <c r="F76">
        <f>_xll.BDP("882854ZR Muni","DUR_ADJ_MID")</f>
        <v>1.6193265024826307</v>
      </c>
      <c r="G76">
        <f>_xll.BDP("882854ZR Muni","SPREAD_AT_ISSUANCE_TO_WORST")</f>
        <v>15.746484931506831</v>
      </c>
      <c r="H76" t="str">
        <f>_xll.BDP("882854ZR Muni","ISSUE_DT")</f>
        <v>10/12/2017</v>
      </c>
      <c r="I76" t="str">
        <f>_xll.BDS("882854ZR Muni","MUNI_PURPOSE_SCHED", "aggregate=y")</f>
        <v>WATER UTILITY IMPS.</v>
      </c>
      <c r="J76">
        <f>_xll.BDP("882854ZR Muni","CPN")</f>
        <v>5</v>
      </c>
      <c r="K76" t="str">
        <f>_xll.BDP("882854ZR Muni","MATURITY")</f>
        <v>4/15/2024</v>
      </c>
      <c r="L76">
        <v>26100000</v>
      </c>
      <c r="M76">
        <f>_xll.BDP("882854ZR Muni","YIELD_ON_ISSUE_DATE")</f>
        <v>1.6400000000000001</v>
      </c>
      <c r="N76">
        <f>_xll.BDP("882854ZR Muni","YTW_SPREAD_TO_MATURITY_AT_ISSU")</f>
        <v>15.746484931506831</v>
      </c>
      <c r="O76" t="str">
        <f>_xll.BDP("882854ZR Muni","BVAL_MID_YTM")</f>
        <v>#N/A Authorization</v>
      </c>
      <c r="P76" t="str">
        <f>_xll.BDP("882854ZR Muni","MUNI_TAX_PROV")</f>
        <v>FED TAX-EXEMPT</v>
      </c>
      <c r="Q76" t="str">
        <f>_xll.BDP("882854ZR Muni","MUNI_FED_TAX")</f>
        <v>N</v>
      </c>
      <c r="R76">
        <f>_xll.BDP("882854ZR Muni","MUNI_MSRB_VOLUME")</f>
        <v>40000</v>
      </c>
      <c r="S76" t="str">
        <f>_xll.BDP("882854ZR Muni","BB_COMPOSITE")</f>
        <v>AAA</v>
      </c>
      <c r="T76">
        <f>_xll.BDP("882854ZR Muni","LQA_LIQUIDITY_SCORE")</f>
        <v>92</v>
      </c>
    </row>
    <row r="77" spans="1:20" x14ac:dyDescent="0.25">
      <c r="A77" t="str">
        <f>_xll.BDP("14762PAG Muni","ID_CUSIP")</f>
        <v>14762PAG8</v>
      </c>
      <c r="B77" t="s">
        <v>68</v>
      </c>
      <c r="C77" t="str">
        <f>_xll.BDP("14762PAG Muni","INSURANCE_STATUS")</f>
        <v>N</v>
      </c>
      <c r="D77" t="str">
        <f>_xll.BDP("14762PAG Muni","STATE_CODE")</f>
        <v>CA</v>
      </c>
      <c r="E77" t="str">
        <f>_xll.BDP("14762PAG Muni","COUNTY_LOCATION_ISSUER")</f>
        <v>Ventura, CA</v>
      </c>
      <c r="F77">
        <f>_xll.BDP("14762PAG Muni","DUR_ADJ_MID")</f>
        <v>1.0417008378293593</v>
      </c>
      <c r="G77">
        <f>_xll.BDP("14762PAG Muni","SPREAD_AT_ISSUANCE_TO_WORST")</f>
        <v>48.329103241687775</v>
      </c>
      <c r="H77" t="str">
        <f>_xll.BDP("14762PAG Muni","ISSUE_DT")</f>
        <v>5/31/2017</v>
      </c>
      <c r="I77" t="str">
        <f>_xll.BDS("14762PAG Muni","MUNI_PURPOSE_SCHED", "aggregate=y")</f>
        <v>WATER UTILITY IMPS.</v>
      </c>
      <c r="J77">
        <f>_xll.BDP("14762PAG Muni","CPN")</f>
        <v>4</v>
      </c>
      <c r="K77" t="str">
        <f>_xll.BDP("14762PAG Muni","MATURITY")</f>
        <v>9/1/2023</v>
      </c>
      <c r="L77">
        <v>395000</v>
      </c>
      <c r="M77">
        <f>_xll.BDP("14762PAG Muni","YIELD_ON_ISSUE_DATE")</f>
        <v>2.0699999999999998</v>
      </c>
      <c r="N77">
        <f>_xll.BDP("14762PAG Muni","YTW_SPREAD_TO_MATURITY_AT_ISSU")</f>
        <v>48.329103241687775</v>
      </c>
      <c r="O77" t="str">
        <f>_xll.BDP("14762PAG Muni","BVAL_MID_YTM")</f>
        <v>#N/A Authorization</v>
      </c>
      <c r="P77" t="str">
        <f>_xll.BDP("14762PAG Muni","MUNI_TAX_PROV")</f>
        <v>FED &amp; ST TAX-EXEMPT</v>
      </c>
      <c r="Q77" t="str">
        <f>_xll.BDP("14762PAG Muni","MUNI_FED_TAX")</f>
        <v>N</v>
      </c>
      <c r="R77">
        <f>_xll.BDP("14762PAG Muni","MUNI_MSRB_VOLUME")</f>
        <v>60000</v>
      </c>
      <c r="S77" t="str">
        <f>_xll.BDP("14762PAG Muni","BB_COMPOSITE")</f>
        <v>#N/A N/A</v>
      </c>
      <c r="T77">
        <f>_xll.BDP("14762PAG Muni","LQA_LIQUIDITY_SCORE")</f>
        <v>85</v>
      </c>
    </row>
    <row r="78" spans="1:20" x14ac:dyDescent="0.25">
      <c r="A78" t="str">
        <f>_xll.BDP("729654TG Muni","ID_CUSIP")</f>
        <v>729654TG8</v>
      </c>
      <c r="B78" t="s">
        <v>69</v>
      </c>
      <c r="C78" t="str">
        <f>_xll.BDP("729654TG Muni","INSURANCE_STATUS")</f>
        <v>N</v>
      </c>
      <c r="D78" t="str">
        <f>_xll.BDP("729654TG Muni","STATE_CODE")</f>
        <v>MA</v>
      </c>
      <c r="E78" t="str">
        <f>_xll.BDP("729654TG Muni","COUNTY_LOCATION_ISSUER")</f>
        <v>Plymouth, MA</v>
      </c>
      <c r="F78">
        <f>_xll.BDP("729654TG Muni","DUR_ADJ_MID")</f>
        <v>0.73092430395130104</v>
      </c>
      <c r="G78">
        <f>_xll.BDP("729654TG Muni","SPREAD_AT_ISSUANCE_TO_WORST")</f>
        <v>18.58156773226316</v>
      </c>
      <c r="H78" t="str">
        <f>_xll.BDP("729654TG Muni","ISSUE_DT")</f>
        <v>5/4/2017</v>
      </c>
      <c r="I78" t="str">
        <f>_xll.BDS("729654TG Muni","MUNI_PURPOSE_SCHED", "aggregate=y")</f>
        <v>REFUNDING NOTES WATER UTILITY IMPS. PUBLIC IMPS.</v>
      </c>
      <c r="J78">
        <f>_xll.BDP("729654TG Muni","CPN")</f>
        <v>5</v>
      </c>
      <c r="K78" t="str">
        <f>_xll.BDP("729654TG Muni","MATURITY")</f>
        <v>5/1/2023</v>
      </c>
      <c r="L78">
        <v>2810000</v>
      </c>
      <c r="M78">
        <f>_xll.BDP("729654TG Muni","YIELD_ON_ISSUE_DATE")</f>
        <v>1.71</v>
      </c>
      <c r="N78">
        <f>_xll.BDP("729654TG Muni","YTW_SPREAD_TO_MATURITY_AT_ISSU")</f>
        <v>18.58156773226316</v>
      </c>
      <c r="O78" t="str">
        <f>_xll.BDP("729654TG Muni","BVAL_MID_YTM")</f>
        <v>#N/A Authorization</v>
      </c>
      <c r="P78" t="str">
        <f>_xll.BDP("729654TG Muni","MUNI_TAX_PROV")</f>
        <v>FED &amp; ST TAX-EXEMPT</v>
      </c>
      <c r="Q78" t="str">
        <f>_xll.BDP("729654TG Muni","MUNI_FED_TAX")</f>
        <v>N</v>
      </c>
      <c r="R78">
        <f>_xll.BDP("729654TG Muni","MUNI_MSRB_VOLUME")</f>
        <v>40000</v>
      </c>
      <c r="S78" t="str">
        <f>_xll.BDP("729654TG Muni","BB_COMPOSITE")</f>
        <v>AA</v>
      </c>
      <c r="T78">
        <f>_xll.BDP("729654TG Muni","LQA_LIQUIDITY_SCORE")</f>
        <v>92</v>
      </c>
    </row>
    <row r="79" spans="1:20" x14ac:dyDescent="0.25">
      <c r="A79" t="str">
        <f>_xll.BDP("42703JBB Muni","ID_CUSIP")</f>
        <v>42703JBB5</v>
      </c>
      <c r="B79" t="s">
        <v>70</v>
      </c>
      <c r="C79" t="str">
        <f>_xll.BDP("42703JBB Muni","INSURANCE_STATUS")</f>
        <v>N</v>
      </c>
      <c r="D79" t="str">
        <f>_xll.BDP("42703JBB Muni","STATE_CODE")</f>
        <v>MO</v>
      </c>
      <c r="E79" t="str">
        <f>_xll.BDP("42703JBB Muni","COUNTY_LOCATION_ISSUER")</f>
        <v>Jefferson, MO</v>
      </c>
      <c r="F79">
        <f>_xll.BDP("42703JBB Muni","DUR_ADJ_MID")</f>
        <v>0.20210185193503016</v>
      </c>
      <c r="G79">
        <f>_xll.BDP("42703JBB Muni","SPREAD_AT_ISSUANCE_TO_WORST")</f>
        <v>45.091685503473421</v>
      </c>
      <c r="H79" t="str">
        <f>_xll.BDP("42703JBB Muni","ISSUE_DT")</f>
        <v>9/28/2017</v>
      </c>
      <c r="I79" t="str">
        <f>_xll.BDS("42703JBB Muni","MUNI_PURPOSE_SCHED", "aggregate=y")</f>
        <v>ADVANCE REFUNDING PUBLIC IMPS. WATER UTILITY IMPS.</v>
      </c>
      <c r="J79">
        <f>_xll.BDP("42703JBB Muni","CPN")</f>
        <v>3</v>
      </c>
      <c r="K79" t="str">
        <f>_xll.BDP("42703JBB Muni","MATURITY")</f>
        <v>10/15/2022</v>
      </c>
      <c r="L79">
        <v>415000</v>
      </c>
      <c r="M79">
        <f>_xll.BDP("42703JBB Muni","YIELD_ON_ISSUE_DATE")</f>
        <v>1.6500000000000001</v>
      </c>
      <c r="N79">
        <f>_xll.BDP("42703JBB Muni","YTW_SPREAD_TO_MATURITY_AT_ISSU")</f>
        <v>45.091685503473421</v>
      </c>
      <c r="O79" t="str">
        <f>_xll.BDP("42703JBB Muni","BVAL_MID_YTM")</f>
        <v>#N/A Authorization</v>
      </c>
      <c r="P79" t="str">
        <f>_xll.BDP("42703JBB Muni","MUNI_TAX_PROV")</f>
        <v>FED BQ/ST TAX-EXEMPT</v>
      </c>
      <c r="Q79" t="str">
        <f>_xll.BDP("42703JBB Muni","MUNI_FED_TAX")</f>
        <v>N</v>
      </c>
      <c r="R79">
        <f>_xll.BDP("42703JBB Muni","MUNI_MSRB_VOLUME")</f>
        <v>540000</v>
      </c>
      <c r="S79" t="str">
        <f>_xll.BDP("42703JBB Muni","BB_COMPOSITE")</f>
        <v>#N/A N/A</v>
      </c>
      <c r="T79">
        <f>_xll.BDP("42703JBB Muni","LQA_LIQUIDITY_SCORE")</f>
        <v>99</v>
      </c>
    </row>
    <row r="80" spans="1:20" x14ac:dyDescent="0.25">
      <c r="A80" t="str">
        <f>_xll.BDP("161069S5 Muni","ID_CUSIP")</f>
        <v>161069S59</v>
      </c>
      <c r="B80" t="s">
        <v>71</v>
      </c>
      <c r="C80" t="str">
        <f>_xll.BDP("161069S5 Muni","INSURANCE_STATUS")</f>
        <v>N</v>
      </c>
      <c r="D80" t="str">
        <f>_xll.BDP("161069S5 Muni","STATE_CODE")</f>
        <v>VA</v>
      </c>
      <c r="E80" t="str">
        <f>_xll.BDP("161069S5 Muni","COUNTY_LOCATION_ISSUER")</f>
        <v>Charlottesville, VA</v>
      </c>
      <c r="F80">
        <f>_xll.BDP("161069S5 Muni","DUR_ADJ_MID")</f>
        <v>3.2348341982739042</v>
      </c>
      <c r="G80">
        <f>_xll.BDP("161069S5 Muni","SPREAD_AT_ISSUANCE_TO_WORST")</f>
        <v>-6.7400634992418773</v>
      </c>
      <c r="H80" t="str">
        <f>_xll.BDP("161069S5 Muni","ISSUE_DT")</f>
        <v>6/29/2017</v>
      </c>
      <c r="I80" t="str">
        <f>_xll.BDS("161069S5 Muni","MUNI_PURPOSE_SCHED", "aggregate=y")</f>
        <v>PUBLIC IMPS. SCHOOL IMPS. WATER UTILITY IMPS.</v>
      </c>
      <c r="J80">
        <f>_xll.BDP("161069S5 Muni","CPN")</f>
        <v>2</v>
      </c>
      <c r="K80" t="str">
        <f>_xll.BDP("161069S5 Muni","MATURITY")</f>
        <v>12/15/2025</v>
      </c>
      <c r="L80">
        <v>690000</v>
      </c>
      <c r="M80">
        <f>_xll.BDP("161069S5 Muni","YIELD_ON_ISSUE_DATE")</f>
        <v>1.6400000000000001</v>
      </c>
      <c r="N80">
        <f>_xll.BDP("161069S5 Muni","YTW_SPREAD_TO_MATURITY_AT_ISSU")</f>
        <v>-6.7400634992418773</v>
      </c>
      <c r="O80" t="str">
        <f>_xll.BDP("161069S5 Muni","BVAL_MID_YTM")</f>
        <v>#N/A Authorization</v>
      </c>
      <c r="P80" t="str">
        <f>_xll.BDP("161069S5 Muni","MUNI_TAX_PROV")</f>
        <v>FED &amp; ST TAX-EXEMPT</v>
      </c>
      <c r="Q80" t="str">
        <f>_xll.BDP("161069S5 Muni","MUNI_FED_TAX")</f>
        <v>N</v>
      </c>
      <c r="R80">
        <f>_xll.BDP("161069S5 Muni","MUNI_MSRB_VOLUME")</f>
        <v>440000</v>
      </c>
      <c r="S80" t="str">
        <f>_xll.BDP("161069S5 Muni","BB_COMPOSITE")</f>
        <v>AAA</v>
      </c>
      <c r="T80">
        <f>_xll.BDP("161069S5 Muni","LQA_LIQUIDITY_SCORE")</f>
        <v>53</v>
      </c>
    </row>
    <row r="81" spans="1:20" x14ac:dyDescent="0.25">
      <c r="A81" t="str">
        <f>_xll.BDP("303891B3 Muni","ID_CUSIP")</f>
        <v>303891B38</v>
      </c>
      <c r="B81" t="s">
        <v>41</v>
      </c>
      <c r="C81" t="str">
        <f>_xll.BDP("303891B3 Muni","INSURANCE_STATUS")</f>
        <v>N</v>
      </c>
      <c r="D81" t="str">
        <f>_xll.BDP("303891B3 Muni","STATE_CODE")</f>
        <v>VA</v>
      </c>
      <c r="E81" t="str">
        <f>_xll.BDP("303891B3 Muni","COUNTY_LOCATION_ISSUER")</f>
        <v>Fairfax, VA</v>
      </c>
      <c r="F81">
        <f>_xll.BDP("303891B3 Muni","DUR_ADJ_MID")</f>
        <v>0.64584165096717061</v>
      </c>
      <c r="G81">
        <f>_xll.BDP("303891B3 Muni","SPREAD_AT_ISSUANCE_TO_WORST")</f>
        <v>-5.2284138704383309</v>
      </c>
      <c r="H81" t="str">
        <f>_xll.BDP("303891B3 Muni","ISSUE_DT")</f>
        <v>3/1/2017</v>
      </c>
      <c r="I81" t="str">
        <f>_xll.BDS("303891B3 Muni","MUNI_PURPOSE_SCHED", "aggregate=y")</f>
        <v>CURRENT REFUNDING WATER UTILITY IMPS.</v>
      </c>
      <c r="J81">
        <f>_xll.BDP("303891B3 Muni","CPN")</f>
        <v>5</v>
      </c>
      <c r="K81" t="str">
        <f>_xll.BDP("303891B3 Muni","MATURITY")</f>
        <v>4/1/2023</v>
      </c>
      <c r="L81">
        <v>5260000</v>
      </c>
      <c r="M81">
        <f>_xll.BDP("303891B3 Muni","YIELD_ON_ISSUE_DATE")</f>
        <v>1.7000000000000002</v>
      </c>
      <c r="N81">
        <f>_xll.BDP("303891B3 Muni","YTW_SPREAD_TO_MATURITY_AT_ISSU")</f>
        <v>-5.2284138704383309</v>
      </c>
      <c r="O81" t="str">
        <f>_xll.BDP("303891B3 Muni","BVAL_MID_YTM")</f>
        <v>#N/A Authorization</v>
      </c>
      <c r="P81" t="str">
        <f>_xll.BDP("303891B3 Muni","MUNI_TAX_PROV")</f>
        <v>FED &amp; ST TAX-EXEMPT</v>
      </c>
      <c r="Q81" t="str">
        <f>_xll.BDP("303891B3 Muni","MUNI_FED_TAX")</f>
        <v>N</v>
      </c>
      <c r="R81">
        <f>_xll.BDP("303891B3 Muni","MUNI_MSRB_VOLUME")</f>
        <v>30000</v>
      </c>
      <c r="S81" t="str">
        <f>_xll.BDP("303891B3 Muni","BB_COMPOSITE")</f>
        <v>AAA</v>
      </c>
      <c r="T81">
        <f>_xll.BDP("303891B3 Muni","LQA_LIQUIDITY_SCORE")</f>
        <v>96</v>
      </c>
    </row>
    <row r="82" spans="1:20" x14ac:dyDescent="0.25">
      <c r="A82" t="str">
        <f>_xll.BDP("880162EU Muni","ID_CUSIP")</f>
        <v>880162EU2</v>
      </c>
      <c r="B82" t="s">
        <v>72</v>
      </c>
      <c r="C82" t="str">
        <f>_xll.BDP("880162EU Muni","INSURANCE_STATUS")</f>
        <v>N</v>
      </c>
      <c r="D82" t="str">
        <f>_xll.BDP("880162EU Muni","STATE_CODE")</f>
        <v>TX</v>
      </c>
      <c r="E82" t="str">
        <f>_xll.BDP("880162EU Muni","COUNTY_LOCATION_ISSUER")</f>
        <v>Bell, TX</v>
      </c>
      <c r="F82">
        <f>_xll.BDP("880162EU Muni","DUR_ADJ_MID")</f>
        <v>3.6501848497435248</v>
      </c>
      <c r="G82">
        <f>_xll.BDP("880162EU Muni","SPREAD_AT_ISSUANCE_TO_WORST")</f>
        <v>29.391518783506186</v>
      </c>
      <c r="H82" t="str">
        <f>_xll.BDP("880162EU Muni","ISSUE_DT")</f>
        <v>9/12/2017</v>
      </c>
      <c r="I82" t="str">
        <f>_xll.BDS("880162EU Muni","MUNI_PURPOSE_SCHED", "aggregate=y")</f>
        <v>WATER UTILITY IMPS. SEWER IMPS.</v>
      </c>
      <c r="J82">
        <f>_xll.BDP("880162EU Muni","CPN")</f>
        <v>5</v>
      </c>
      <c r="K82" t="str">
        <f>_xll.BDP("880162EU Muni","MATURITY")</f>
        <v>8/1/2026</v>
      </c>
      <c r="L82">
        <v>1525000</v>
      </c>
      <c r="M82">
        <f>_xll.BDP("880162EU Muni","YIELD_ON_ISSUE_DATE")</f>
        <v>2.02</v>
      </c>
      <c r="N82">
        <f>_xll.BDP("880162EU Muni","YTW_SPREAD_TO_MATURITY_AT_ISSU")</f>
        <v>29.391518783506186</v>
      </c>
      <c r="O82" t="str">
        <f>_xll.BDP("880162EU Muni","BVAL_MID_YTM")</f>
        <v>#N/A Authorization</v>
      </c>
      <c r="P82" t="str">
        <f>_xll.BDP("880162EU Muni","MUNI_TAX_PROV")</f>
        <v>FED TAX-EXEMPT</v>
      </c>
      <c r="Q82" t="str">
        <f>_xll.BDP("880162EU Muni","MUNI_FED_TAX")</f>
        <v>N</v>
      </c>
      <c r="R82">
        <f>_xll.BDP("880162EU Muni","MUNI_MSRB_VOLUME")</f>
        <v>25000</v>
      </c>
      <c r="S82" t="str">
        <f>_xll.BDP("880162EU Muni","BB_COMPOSITE")</f>
        <v>#N/A N/A</v>
      </c>
      <c r="T82">
        <f>_xll.BDP("880162EU Muni","LQA_LIQUIDITY_SCORE")</f>
        <v>70</v>
      </c>
    </row>
    <row r="83" spans="1:20" x14ac:dyDescent="0.25">
      <c r="A83" t="str">
        <f>_xll.BDP("683548DJ Muni","ID_CUSIP")</f>
        <v>683548DJ7</v>
      </c>
      <c r="B83" t="s">
        <v>73</v>
      </c>
      <c r="C83" t="str">
        <f>_xll.BDP("683548DJ Muni","INSURANCE_STATUS")</f>
        <v>N</v>
      </c>
      <c r="D83" t="str">
        <f>_xll.BDP("683548DJ Muni","STATE_CODE")</f>
        <v>AL</v>
      </c>
      <c r="E83" t="str">
        <f>_xll.BDP("683548DJ Muni","COUNTY_LOCATION_ISSUER")</f>
        <v>Lee, AL</v>
      </c>
      <c r="F83">
        <f>_xll.BDP("683548DJ Muni","DUR_ADJ_MID")</f>
        <v>4.3806654979594484</v>
      </c>
      <c r="G83">
        <f>_xll.BDP("683548DJ Muni","SPREAD_AT_ISSUANCE_TO_WORST")</f>
        <v>53.52423648174809</v>
      </c>
      <c r="H83" t="str">
        <f>_xll.BDP("683548DJ Muni","ISSUE_DT")</f>
        <v>8/30/2017</v>
      </c>
      <c r="I83" t="str">
        <f>_xll.BDS("683548DJ Muni","MUNI_PURPOSE_SCHED", "aggregate=y")</f>
        <v>WATER UTILITY IMPS. ADVANCE REFUNDING</v>
      </c>
      <c r="J83">
        <f>_xll.BDP("683548DJ Muni","CPN")</f>
        <v>4</v>
      </c>
      <c r="K83" t="str">
        <f>_xll.BDP("683548DJ Muni","MATURITY")</f>
        <v>6/1/2027</v>
      </c>
      <c r="L83">
        <v>215000</v>
      </c>
      <c r="M83">
        <f>_xll.BDP("683548DJ Muni","YIELD_ON_ISSUE_DATE")</f>
        <v>2.37</v>
      </c>
      <c r="N83">
        <f>_xll.BDP("683548DJ Muni","YTW_SPREAD_TO_MATURITY_AT_ISSU")</f>
        <v>53.52423648174809</v>
      </c>
      <c r="O83" t="str">
        <f>_xll.BDP("683548DJ Muni","BVAL_MID_YTM")</f>
        <v>#N/A Authorization</v>
      </c>
      <c r="P83" t="str">
        <f>_xll.BDP("683548DJ Muni","MUNI_TAX_PROV")</f>
        <v>FED &amp; ST TAX-EXEMPT</v>
      </c>
      <c r="Q83" t="str">
        <f>_xll.BDP("683548DJ Muni","MUNI_FED_TAX")</f>
        <v>N</v>
      </c>
      <c r="R83">
        <f>_xll.BDP("683548DJ Muni","MUNI_MSRB_VOLUME")</f>
        <v>100000</v>
      </c>
      <c r="S83" t="str">
        <f>_xll.BDP("683548DJ Muni","BB_COMPOSITE")</f>
        <v>A+</v>
      </c>
      <c r="T83">
        <f>_xll.BDP("683548DJ Muni","LQA_LIQUIDITY_SCORE")</f>
        <v>25</v>
      </c>
    </row>
    <row r="84" spans="1:20" x14ac:dyDescent="0.25">
      <c r="A84" t="str">
        <f>_xll.BDP("882854ZQ Muni","ID_CUSIP")</f>
        <v>882854ZQ8</v>
      </c>
      <c r="B84" t="s">
        <v>31</v>
      </c>
      <c r="C84" t="str">
        <f>_xll.BDP("882854ZQ Muni","INSURANCE_STATUS")</f>
        <v>N</v>
      </c>
      <c r="D84" t="str">
        <f>_xll.BDP("882854ZQ Muni","STATE_CODE")</f>
        <v>TX</v>
      </c>
      <c r="E84" t="str">
        <f>_xll.BDP("882854ZQ Muni","COUNTY_LOCATION_ISSUER")</f>
        <v>Travis, TX</v>
      </c>
      <c r="F84">
        <f>_xll.BDP("882854ZQ Muni","DUR_ADJ_MID")</f>
        <v>0.68430038551029349</v>
      </c>
      <c r="G84">
        <f>_xll.BDP("882854ZQ Muni","SPREAD_AT_ISSUANCE_TO_WORST")</f>
        <v>15.670232876712342</v>
      </c>
      <c r="H84" t="str">
        <f>_xll.BDP("882854ZQ Muni","ISSUE_DT")</f>
        <v>10/12/2017</v>
      </c>
      <c r="I84" t="str">
        <f>_xll.BDS("882854ZQ Muni","MUNI_PURPOSE_SCHED", "aggregate=y")</f>
        <v>WATER UTILITY IMPS.</v>
      </c>
      <c r="J84">
        <f>_xll.BDP("882854ZQ Muni","CPN")</f>
        <v>5</v>
      </c>
      <c r="K84" t="str">
        <f>_xll.BDP("882854ZQ Muni","MATURITY")</f>
        <v>4/15/2023</v>
      </c>
      <c r="L84">
        <v>24560000</v>
      </c>
      <c r="M84">
        <f>_xll.BDP("882854ZQ Muni","YIELD_ON_ISSUE_DATE")</f>
        <v>1.5</v>
      </c>
      <c r="N84">
        <f>_xll.BDP("882854ZQ Muni","YTW_SPREAD_TO_MATURITY_AT_ISSU")</f>
        <v>15.670232876712342</v>
      </c>
      <c r="O84" t="str">
        <f>_xll.BDP("882854ZQ Muni","BVAL_MID_YTM")</f>
        <v>#N/A Authorization</v>
      </c>
      <c r="P84" t="str">
        <f>_xll.BDP("882854ZQ Muni","MUNI_TAX_PROV")</f>
        <v>FED TAX-EXEMPT</v>
      </c>
      <c r="Q84" t="str">
        <f>_xll.BDP("882854ZQ Muni","MUNI_FED_TAX")</f>
        <v>N</v>
      </c>
      <c r="R84">
        <f>_xll.BDP("882854ZQ Muni","MUNI_MSRB_VOLUME")</f>
        <v>60000</v>
      </c>
      <c r="S84" t="str">
        <f>_xll.BDP("882854ZQ Muni","BB_COMPOSITE")</f>
        <v>AAA</v>
      </c>
      <c r="T84">
        <f>_xll.BDP("882854ZQ Muni","LQA_LIQUIDITY_SCORE")</f>
        <v>98</v>
      </c>
    </row>
    <row r="85" spans="1:20" x14ac:dyDescent="0.25">
      <c r="A85" t="str">
        <f>_xll.BDP("837545LK Muni","ID_CUSIP")</f>
        <v>837545LK6</v>
      </c>
      <c r="B85" t="s">
        <v>24</v>
      </c>
      <c r="C85" t="str">
        <f>_xll.BDP("837545LK Muni","INSURANCE_STATUS")</f>
        <v>N</v>
      </c>
      <c r="D85" t="str">
        <f>_xll.BDP("837545LK Muni","STATE_CODE")</f>
        <v>SD</v>
      </c>
      <c r="E85" t="str">
        <f>_xll.BDP("837545LK Muni","COUNTY_LOCATION_ISSUER")</f>
        <v>Hughes, SD</v>
      </c>
      <c r="F85">
        <f>_xll.BDP("837545LK Muni","DUR_ADJ_MID")</f>
        <v>2.8028371332265509</v>
      </c>
      <c r="G85">
        <f>_xll.BDP("837545LK Muni","SPREAD_AT_ISSUANCE_TO_WORST")</f>
        <v>5.9248324566453237</v>
      </c>
      <c r="H85" t="str">
        <f>_xll.BDP("837545LK Muni","ISSUE_DT")</f>
        <v>8/23/2017</v>
      </c>
      <c r="I85" t="str">
        <f>_xll.BDS("837545LK Muni","MUNI_PURPOSE_SCHED", "aggregate=y")</f>
        <v>WATER UTILITY IMPS. SEWER IMPS. ADVANCE REFUNDING</v>
      </c>
      <c r="J85">
        <f>_xll.BDP("837545LK Muni","CPN")</f>
        <v>5</v>
      </c>
      <c r="K85" t="str">
        <f>_xll.BDP("837545LK Muni","MATURITY")</f>
        <v>8/1/2025</v>
      </c>
      <c r="L85">
        <v>4395000</v>
      </c>
      <c r="M85">
        <f>_xll.BDP("837545LK Muni","YIELD_ON_ISSUE_DATE")</f>
        <v>1.72</v>
      </c>
      <c r="N85">
        <f>_xll.BDP("837545LK Muni","YTW_SPREAD_TO_MATURITY_AT_ISSU")</f>
        <v>5.9248324566453237</v>
      </c>
      <c r="O85" t="str">
        <f>_xll.BDP("837545LK Muni","BVAL_MID_YTM")</f>
        <v>#N/A Authorization</v>
      </c>
      <c r="P85" t="str">
        <f>_xll.BDP("837545LK Muni","MUNI_TAX_PROV")</f>
        <v>FED TAX-EXEMPT</v>
      </c>
      <c r="Q85" t="str">
        <f>_xll.BDP("837545LK Muni","MUNI_FED_TAX")</f>
        <v>N</v>
      </c>
      <c r="R85">
        <f>_xll.BDP("837545LK Muni","MUNI_MSRB_VOLUME")</f>
        <v>50000</v>
      </c>
      <c r="S85" t="str">
        <f>_xll.BDP("837545LK Muni","BB_COMPOSITE")</f>
        <v>AAA</v>
      </c>
      <c r="T85">
        <f>_xll.BDP("837545LK Muni","LQA_LIQUIDITY_SCORE")</f>
        <v>67</v>
      </c>
    </row>
    <row r="86" spans="1:20" x14ac:dyDescent="0.25">
      <c r="A86" t="str">
        <f>_xll.BDP("755417ZZ Muni","ID_CUSIP")</f>
        <v>755417ZZ8</v>
      </c>
      <c r="B86" t="s">
        <v>74</v>
      </c>
      <c r="C86" t="str">
        <f>_xll.BDP("755417ZZ Muni","INSURANCE_STATUS")</f>
        <v>N</v>
      </c>
      <c r="D86" t="str">
        <f>_xll.BDP("755417ZZ Muni","STATE_CODE")</f>
        <v>MA</v>
      </c>
      <c r="E86" t="str">
        <f>_xll.BDP("755417ZZ Muni","COUNTY_LOCATION_ISSUER")</f>
        <v>Middlesex, MA</v>
      </c>
      <c r="F86">
        <f>_xll.BDP("755417ZZ Muni","DUR_ADJ_MID")</f>
        <v>1.7988433341612107</v>
      </c>
      <c r="G86">
        <f>_xll.BDP("755417ZZ Muni","SPREAD_AT_ISSUANCE_TO_WORST")</f>
        <v>1.2159967389044235</v>
      </c>
      <c r="H86" t="str">
        <f>_xll.BDP("755417ZZ Muni","ISSUE_DT")</f>
        <v>6/30/2017</v>
      </c>
      <c r="I86" t="str">
        <f>_xll.BDS("755417ZZ Muni","MUNI_PURPOSE_SCHED", "aggregate=y")</f>
        <v>WATER UTILITY IMPS. SEWER IMPS. PUBLIC IMPS.</v>
      </c>
      <c r="J86">
        <f>_xll.BDP("755417ZZ Muni","CPN")</f>
        <v>4</v>
      </c>
      <c r="K86" t="str">
        <f>_xll.BDP("755417ZZ Muni","MATURITY")</f>
        <v>6/15/2024</v>
      </c>
      <c r="L86">
        <v>715000</v>
      </c>
      <c r="M86">
        <f>_xll.BDP("755417ZZ Muni","YIELD_ON_ISSUE_DATE")</f>
        <v>1.51</v>
      </c>
      <c r="N86">
        <f>_xll.BDP("755417ZZ Muni","YTW_SPREAD_TO_MATURITY_AT_ISSU")</f>
        <v>1.2159967389044235</v>
      </c>
      <c r="O86" t="str">
        <f>_xll.BDP("755417ZZ Muni","BVAL_MID_YTM")</f>
        <v>#N/A Authorization</v>
      </c>
      <c r="P86" t="str">
        <f>_xll.BDP("755417ZZ Muni","MUNI_TAX_PROV")</f>
        <v>FED BQ/ST TAX-EXEMPT</v>
      </c>
      <c r="Q86" t="str">
        <f>_xll.BDP("755417ZZ Muni","MUNI_FED_TAX")</f>
        <v>N</v>
      </c>
      <c r="R86">
        <f>_xll.BDP("755417ZZ Muni","MUNI_MSRB_VOLUME")</f>
        <v>90000</v>
      </c>
      <c r="S86" t="str">
        <f>_xll.BDP("755417ZZ Muni","BB_COMPOSITE")</f>
        <v>#N/A N/A</v>
      </c>
      <c r="T86">
        <f>_xll.BDP("755417ZZ Muni","LQA_LIQUIDITY_SCORE")</f>
        <v>89</v>
      </c>
    </row>
    <row r="87" spans="1:20" x14ac:dyDescent="0.25">
      <c r="A87" t="str">
        <f>_xll.BDP("686628VK Muni","ID_CUSIP")</f>
        <v>686628VK1</v>
      </c>
      <c r="B87" t="s">
        <v>75</v>
      </c>
      <c r="C87" t="str">
        <f>_xll.BDP("686628VK Muni","INSURANCE_STATUS")</f>
        <v>N</v>
      </c>
      <c r="D87" t="str">
        <f>_xll.BDP("686628VK Muni","STATE_CODE")</f>
        <v>MA</v>
      </c>
      <c r="E87" t="str">
        <f>_xll.BDP("686628VK Muni","COUNTY_LOCATION_ISSUER")</f>
        <v>Barnstable, MA</v>
      </c>
      <c r="F87">
        <f>_xll.BDP("686628VK Muni","DUR_ADJ_MID")</f>
        <v>1.9871020165990942</v>
      </c>
      <c r="G87">
        <f>_xll.BDP("686628VK Muni","SPREAD_AT_ISSUANCE_TO_WORST")</f>
        <v>1.1098164383561482</v>
      </c>
      <c r="H87" t="str">
        <f>_xll.BDP("686628VK Muni","ISSUE_DT")</f>
        <v>11/16/2017</v>
      </c>
      <c r="I87" t="str">
        <f>_xll.BDS("686628VK Muni","MUNI_PURPOSE_SCHED", "aggregate=y")</f>
        <v>PUBLIC IMPS. REFUNDING NOTES WATER UTILITY IMPS.</v>
      </c>
      <c r="J87">
        <f>_xll.BDP("686628VK Muni","CPN")</f>
        <v>5</v>
      </c>
      <c r="K87" t="str">
        <f>_xll.BDP("686628VK Muni","MATURITY")</f>
        <v>9/15/2024</v>
      </c>
      <c r="L87">
        <v>1535000</v>
      </c>
      <c r="M87">
        <f>_xll.BDP("686628VK Muni","YIELD_ON_ISSUE_DATE")</f>
        <v>1.68</v>
      </c>
      <c r="N87">
        <f>_xll.BDP("686628VK Muni","YTW_SPREAD_TO_MATURITY_AT_ISSU")</f>
        <v>1.1098164383561482</v>
      </c>
      <c r="O87" t="str">
        <f>_xll.BDP("686628VK Muni","BVAL_MID_YTM")</f>
        <v>#N/A Authorization</v>
      </c>
      <c r="P87" t="str">
        <f>_xll.BDP("686628VK Muni","MUNI_TAX_PROV")</f>
        <v>FED &amp; ST TAX-EXEMPT</v>
      </c>
      <c r="Q87" t="str">
        <f>_xll.BDP("686628VK Muni","MUNI_FED_TAX")</f>
        <v>N</v>
      </c>
      <c r="R87">
        <f>_xll.BDP("686628VK Muni","MUNI_MSRB_VOLUME")</f>
        <v>170000</v>
      </c>
      <c r="S87" t="str">
        <f>_xll.BDP("686628VK Muni","BB_COMPOSITE")</f>
        <v>#N/A N/A</v>
      </c>
      <c r="T87">
        <f>_xll.BDP("686628VK Muni","LQA_LIQUIDITY_SCORE")</f>
        <v>86</v>
      </c>
    </row>
    <row r="88" spans="1:20" x14ac:dyDescent="0.25">
      <c r="A88" t="str">
        <f>_xll.BDP("929831LX Muni","ID_CUSIP")</f>
        <v>929831LX1</v>
      </c>
      <c r="B88" t="s">
        <v>76</v>
      </c>
      <c r="C88" t="str">
        <f>_xll.BDP("929831LX Muni","INSURANCE_STATUS")</f>
        <v>N</v>
      </c>
      <c r="D88" t="str">
        <f>_xll.BDP("929831LX Muni","STATE_CODE")</f>
        <v>TX</v>
      </c>
      <c r="E88" t="str">
        <f>_xll.BDP("929831LX Muni","COUNTY_LOCATION_ISSUER")</f>
        <v>McLennan, TX</v>
      </c>
      <c r="F88">
        <f>_xll.BDP("929831LX Muni","DUR_ADJ_MID")</f>
        <v>1.4481218306575414</v>
      </c>
      <c r="G88">
        <f>_xll.BDP("929831LX Muni","SPREAD_AT_ISSUANCE_TO_WORST")</f>
        <v>27.445980986509699</v>
      </c>
      <c r="H88" t="str">
        <f>_xll.BDP("929831LX Muni","ISSUE_DT")</f>
        <v>4/1/2017</v>
      </c>
      <c r="I88" t="str">
        <f>_xll.BDS("929831LX Muni","MUNI_PURPOSE_SCHED", "aggregate=y")</f>
        <v>PUBLIC IMPS. WATER UTILITY IMPS. SEWER IMPS.</v>
      </c>
      <c r="J88">
        <f>_xll.BDP("929831LX Muni","CPN")</f>
        <v>5</v>
      </c>
      <c r="K88" t="str">
        <f>_xll.BDP("929831LX Muni","MATURITY")</f>
        <v>2/1/2024</v>
      </c>
      <c r="L88">
        <v>1480000</v>
      </c>
      <c r="M88">
        <f>_xll.BDP("929831LX Muni","YIELD_ON_ISSUE_DATE")</f>
        <v>2.3199999999999998</v>
      </c>
      <c r="N88">
        <f>_xll.BDP("929831LX Muni","YTW_SPREAD_TO_MATURITY_AT_ISSU")</f>
        <v>27.445980986509699</v>
      </c>
      <c r="O88" t="str">
        <f>_xll.BDP("929831LX Muni","BVAL_MID_YTM")</f>
        <v>#N/A Authorization</v>
      </c>
      <c r="P88" t="str">
        <f>_xll.BDP("929831LX Muni","MUNI_TAX_PROV")</f>
        <v>FED TAX-EXEMPT</v>
      </c>
      <c r="Q88" t="str">
        <f>_xll.BDP("929831LX Muni","MUNI_FED_TAX")</f>
        <v>N</v>
      </c>
      <c r="R88">
        <f>_xll.BDP("929831LX Muni","MUNI_MSRB_VOLUME")</f>
        <v>110000</v>
      </c>
      <c r="S88" t="str">
        <f>_xll.BDP("929831LX Muni","BB_COMPOSITE")</f>
        <v>AA+</v>
      </c>
      <c r="T88">
        <f>_xll.BDP("929831LX Muni","LQA_LIQUIDITY_SCORE")</f>
        <v>73</v>
      </c>
    </row>
    <row r="89" spans="1:20" x14ac:dyDescent="0.25">
      <c r="A89" t="str">
        <f>_xll.BDP("924258X8 Muni","ID_CUSIP")</f>
        <v>924258X84</v>
      </c>
      <c r="B89" t="s">
        <v>77</v>
      </c>
      <c r="C89" t="str">
        <f>_xll.BDP("924258X8 Muni","INSURANCE_STATUS")</f>
        <v>N</v>
      </c>
      <c r="D89" t="str">
        <f>_xll.BDP("924258X8 Muni","STATE_CODE")</f>
        <v>VT</v>
      </c>
      <c r="E89" t="str">
        <f>_xll.BDP("924258X8 Muni","COUNTY_LOCATION_ISSUER")</f>
        <v>Washington, VT</v>
      </c>
      <c r="F89">
        <f>_xll.BDP("924258X8 Muni","DUR_ADJ_MID")</f>
        <v>1.9052558670996893</v>
      </c>
      <c r="G89">
        <f>_xll.BDP("924258X8 Muni","SPREAD_AT_ISSUANCE_TO_WORST")</f>
        <v>4.72141693095669</v>
      </c>
      <c r="H89" t="str">
        <f>_xll.BDP("924258X8 Muni","ISSUE_DT")</f>
        <v>9/13/2017</v>
      </c>
      <c r="I89" t="str">
        <f>_xll.BDS("924258X8 Muni","MUNI_PURPOSE_SCHED", "aggregate=y")</f>
        <v>PUBLIC IMPS. WATER UTILITY IMPS. UNIV. &amp; COLLEGE IMPS.</v>
      </c>
      <c r="J89">
        <f>_xll.BDP("924258X8 Muni","CPN")</f>
        <v>5</v>
      </c>
      <c r="K89" t="str">
        <f>_xll.BDP("924258X8 Muni","MATURITY")</f>
        <v>8/15/2024</v>
      </c>
      <c r="L89">
        <v>3065000</v>
      </c>
      <c r="M89">
        <f>_xll.BDP("924258X8 Muni","YIELD_ON_ISSUE_DATE")</f>
        <v>1.5</v>
      </c>
      <c r="N89">
        <f>_xll.BDP("924258X8 Muni","YTW_SPREAD_TO_MATURITY_AT_ISSU")</f>
        <v>4.72141693095669</v>
      </c>
      <c r="O89" t="str">
        <f>_xll.BDP("924258X8 Muni","BVAL_MID_YTM")</f>
        <v>#N/A Authorization</v>
      </c>
      <c r="P89" t="str">
        <f>_xll.BDP("924258X8 Muni","MUNI_TAX_PROV")</f>
        <v>FED &amp; ST TAX-EXEMPT</v>
      </c>
      <c r="Q89" t="str">
        <f>_xll.BDP("924258X8 Muni","MUNI_FED_TAX")</f>
        <v>N</v>
      </c>
      <c r="R89">
        <f>_xll.BDP("924258X8 Muni","MUNI_MSRB_VOLUME")</f>
        <v>50000</v>
      </c>
      <c r="S89" t="str">
        <f>_xll.BDP("924258X8 Muni","BB_COMPOSITE")</f>
        <v>AA+</v>
      </c>
      <c r="T89">
        <f>_xll.BDP("924258X8 Muni","LQA_LIQUIDITY_SCORE")</f>
        <v>88</v>
      </c>
    </row>
    <row r="90" spans="1:20" x14ac:dyDescent="0.25">
      <c r="A90" t="str">
        <f>_xll.BDP("552048PX Muni","ID_CUSIP")</f>
        <v>552048PX2</v>
      </c>
      <c r="B90" t="s">
        <v>78</v>
      </c>
      <c r="C90" t="str">
        <f>_xll.BDP("552048PX Muni","INSURANCE_STATUS")</f>
        <v>N</v>
      </c>
      <c r="D90" t="str">
        <f>_xll.BDP("552048PX Muni","STATE_CODE")</f>
        <v>MI</v>
      </c>
      <c r="E90" t="str">
        <f>_xll.BDP("552048PX Muni","COUNTY_LOCATION_ISSUER")</f>
        <v>Oakland, MI</v>
      </c>
      <c r="F90">
        <f>_xll.BDP("552048PX Muni","DUR_ADJ_MID")</f>
        <v>0.73609834286795284</v>
      </c>
      <c r="G90">
        <f>_xll.BDP("552048PX Muni","SPREAD_AT_ISSUANCE_TO_WORST")</f>
        <v>19.476498032801448</v>
      </c>
      <c r="H90" t="str">
        <f>_xll.BDP("552048PX Muni","ISSUE_DT")</f>
        <v>8/31/2017</v>
      </c>
      <c r="I90" t="str">
        <f>_xll.BDS("552048PX Muni","MUNI_PURPOSE_SCHED", "aggregate=y")</f>
        <v>WATER UTILITY IMPS.</v>
      </c>
      <c r="J90">
        <f>_xll.BDP("552048PX Muni","CPN")</f>
        <v>2</v>
      </c>
      <c r="K90" t="str">
        <f>_xll.BDP("552048PX Muni","MATURITY")</f>
        <v>5/1/2023</v>
      </c>
      <c r="L90">
        <v>725000</v>
      </c>
      <c r="M90">
        <f>_xll.BDP("552048PX Muni","YIELD_ON_ISSUE_DATE")</f>
        <v>1.45</v>
      </c>
      <c r="N90">
        <f>_xll.BDP("552048PX Muni","YTW_SPREAD_TO_MATURITY_AT_ISSU")</f>
        <v>19.476498032801448</v>
      </c>
      <c r="O90" t="str">
        <f>_xll.BDP("552048PX Muni","BVAL_MID_YTM")</f>
        <v>#N/A Authorization</v>
      </c>
      <c r="P90" t="str">
        <f>_xll.BDP("552048PX Muni","MUNI_TAX_PROV")</f>
        <v>FED &amp; ST TAX-EXEMPT</v>
      </c>
      <c r="Q90" t="str">
        <f>_xll.BDP("552048PX Muni","MUNI_FED_TAX")</f>
        <v>N</v>
      </c>
      <c r="R90">
        <f>_xll.BDP("552048PX Muni","MUNI_MSRB_VOLUME")</f>
        <v>20000</v>
      </c>
      <c r="S90" t="str">
        <f>_xll.BDP("552048PX Muni","BB_COMPOSITE")</f>
        <v>#N/A N/A</v>
      </c>
      <c r="T90">
        <f>_xll.BDP("552048PX Muni","LQA_LIQUIDITY_SCORE")</f>
        <v>82</v>
      </c>
    </row>
    <row r="91" spans="1:20" x14ac:dyDescent="0.25">
      <c r="A91" t="str">
        <f>_xll.BDP("298163DL Muni","ID_CUSIP")</f>
        <v>298163DL7</v>
      </c>
      <c r="B91" t="s">
        <v>79</v>
      </c>
      <c r="C91" t="str">
        <f>_xll.BDP("298163DL Muni","INSURANCE_STATUS")</f>
        <v>Y</v>
      </c>
      <c r="D91" t="str">
        <f>_xll.BDP("298163DL Muni","STATE_CODE")</f>
        <v>AL</v>
      </c>
      <c r="E91" t="str">
        <f>_xll.BDP("298163DL Muni","COUNTY_LOCATION_ISSUER")</f>
        <v>Barbour, AL</v>
      </c>
      <c r="F91">
        <f>_xll.BDP("298163DL Muni","DUR_ADJ_MID")</f>
        <v>1.6040372619134591</v>
      </c>
      <c r="G91">
        <f>_xll.BDP("298163DL Muni","SPREAD_AT_ISSUANCE_TO_WORST")</f>
        <v>42.095236618132034</v>
      </c>
      <c r="H91" t="str">
        <f>_xll.BDP("298163DL Muni","ISSUE_DT")</f>
        <v>3/30/2017</v>
      </c>
      <c r="I91" t="str">
        <f>_xll.BDS("298163DL Muni","MUNI_PURPOSE_SCHED", "aggregate=y")</f>
        <v>WATER UTILITY IMPS. SEWER IMPS.</v>
      </c>
      <c r="J91">
        <f>_xll.BDP("298163DL Muni","CPN")</f>
        <v>3</v>
      </c>
      <c r="K91" t="str">
        <f>_xll.BDP("298163DL Muni","MATURITY")</f>
        <v>4/1/2024</v>
      </c>
      <c r="L91">
        <v>320000</v>
      </c>
      <c r="M91">
        <f>_xll.BDP("298163DL Muni","YIELD_ON_ISSUE_DATE")</f>
        <v>2.3000000000000003</v>
      </c>
      <c r="N91">
        <f>_xll.BDP("298163DL Muni","YTW_SPREAD_TO_MATURITY_AT_ISSU")</f>
        <v>42.095236618132034</v>
      </c>
      <c r="O91" t="str">
        <f>_xll.BDP("298163DL Muni","BVAL_MID_YTM")</f>
        <v>#N/A Authorization</v>
      </c>
      <c r="P91" t="str">
        <f>_xll.BDP("298163DL Muni","MUNI_TAX_PROV")</f>
        <v>FED BQ/ST TAX-EXEMPT</v>
      </c>
      <c r="Q91" t="str">
        <f>_xll.BDP("298163DL Muni","MUNI_FED_TAX")</f>
        <v>N</v>
      </c>
      <c r="R91">
        <f>_xll.BDP("298163DL Muni","MUNI_MSRB_VOLUME")</f>
        <v>260000</v>
      </c>
      <c r="S91" t="str">
        <f>_xll.BDP("298163DL Muni","BB_COMPOSITE")</f>
        <v>#N/A N/A</v>
      </c>
      <c r="T91">
        <f>_xll.BDP("298163DL Muni","LQA_LIQUIDITY_SCORE")</f>
        <v>87</v>
      </c>
    </row>
    <row r="92" spans="1:20" x14ac:dyDescent="0.25">
      <c r="A92" t="str">
        <f>_xll.BDP("64986DFE Muni","ID_CUSIP")</f>
        <v>64986DFE0</v>
      </c>
      <c r="B92" t="s">
        <v>22</v>
      </c>
      <c r="C92" t="str">
        <f>_xll.BDP("64986DFE Muni","INSURANCE_STATUS")</f>
        <v>N</v>
      </c>
      <c r="D92" t="str">
        <f>_xll.BDP("64986DFE Muni","STATE_CODE")</f>
        <v>NY</v>
      </c>
      <c r="E92" t="str">
        <f>_xll.BDP("64986DFE Muni","COUNTY_LOCATION_ISSUER")</f>
        <v>Albany, NY</v>
      </c>
      <c r="F92">
        <f>_xll.BDP("64986DFE Muni","DUR_ADJ_MID")</f>
        <v>4.3542234825122508</v>
      </c>
      <c r="G92">
        <f>_xll.BDP("64986DFE Muni","SPREAD_AT_ISSUANCE_TO_WORST")</f>
        <v>6.0191616438356466</v>
      </c>
      <c r="H92" t="str">
        <f>_xll.BDP("64986DFE Muni","ISSUE_DT")</f>
        <v>12/14/2017</v>
      </c>
      <c r="I92" t="str">
        <f>_xll.BDS("64986DFE Muni","MUNI_PURPOSE_SCHED", "aggregate=y")</f>
        <v>WATER UTILITY IMPS. GREEN PURPOSE</v>
      </c>
      <c r="J92">
        <f>_xll.BDP("64986DFE Muni","CPN")</f>
        <v>5</v>
      </c>
      <c r="K92" t="str">
        <f>_xll.BDP("64986DFE Muni","MATURITY")</f>
        <v>6/15/2027</v>
      </c>
      <c r="L92">
        <v>8015000</v>
      </c>
      <c r="M92">
        <f>_xll.BDP("64986DFE Muni","YIELD_ON_ISSUE_DATE")</f>
        <v>2.2200000000000002</v>
      </c>
      <c r="N92">
        <f>_xll.BDP("64986DFE Muni","YTW_SPREAD_TO_MATURITY_AT_ISSU")</f>
        <v>6.0191616438356466</v>
      </c>
      <c r="O92" t="str">
        <f>_xll.BDP("64986DFE Muni","BVAL_MID_YTM")</f>
        <v>#N/A Authorization</v>
      </c>
      <c r="P92" t="str">
        <f>_xll.BDP("64986DFE Muni","MUNI_TAX_PROV")</f>
        <v>FED &amp; ST TAX-EXEMPT</v>
      </c>
      <c r="Q92" t="str">
        <f>_xll.BDP("64986DFE Muni","MUNI_FED_TAX")</f>
        <v>N</v>
      </c>
      <c r="R92">
        <f>_xll.BDP("64986DFE Muni","MUNI_MSRB_VOLUME")</f>
        <v>80000</v>
      </c>
      <c r="S92" t="str">
        <f>_xll.BDP("64986DFE Muni","BB_COMPOSITE")</f>
        <v>AAA</v>
      </c>
      <c r="T92">
        <f>_xll.BDP("64986DFE Muni","LQA_LIQUIDITY_SCORE")</f>
        <v>70</v>
      </c>
    </row>
    <row r="93" spans="1:20" x14ac:dyDescent="0.25">
      <c r="A93" t="str">
        <f>_xll.BDP("800086GR Muni","ID_CUSIP")</f>
        <v>800086GR5</v>
      </c>
      <c r="B93" t="s">
        <v>80</v>
      </c>
      <c r="C93" t="str">
        <f>_xll.BDP("800086GR Muni","INSURANCE_STATUS")</f>
        <v>N</v>
      </c>
      <c r="D93" t="str">
        <f>_xll.BDP("800086GR Muni","STATE_CODE")</f>
        <v>NY</v>
      </c>
      <c r="E93" t="str">
        <f>_xll.BDP("800086GR Muni","COUNTY_LOCATION_ISSUER")</f>
        <v>Nassau, NY</v>
      </c>
      <c r="F93">
        <f>_xll.BDP("800086GR Muni","DUR_ADJ_MID")</f>
        <v>0.32968052917597074</v>
      </c>
      <c r="G93">
        <f>_xll.BDP("800086GR Muni","SPREAD_AT_ISSUANCE_TO_WORST")</f>
        <v>0.21302739726025699</v>
      </c>
      <c r="H93" t="str">
        <f>_xll.BDP("800086GR Muni","ISSUE_DT")</f>
        <v>12/14/2017</v>
      </c>
      <c r="I93" t="str">
        <f>_xll.BDS("800086GR Muni","MUNI_PURPOSE_SCHED", "aggregate=y")</f>
        <v>RECREATIONAL FAC. IMPS. WATER UTILITY IMPS.</v>
      </c>
      <c r="J93">
        <f>_xll.BDP("800086GR Muni","CPN")</f>
        <v>2</v>
      </c>
      <c r="K93" t="str">
        <f>_xll.BDP("800086GR Muni","MATURITY")</f>
        <v>12/1/2022</v>
      </c>
      <c r="L93">
        <v>240000</v>
      </c>
      <c r="M93">
        <f>_xll.BDP("800086GR Muni","YIELD_ON_ISSUE_DATE")</f>
        <v>1.72</v>
      </c>
      <c r="N93">
        <f>_xll.BDP("800086GR Muni","YTW_SPREAD_TO_MATURITY_AT_ISSU")</f>
        <v>0.21302739726025699</v>
      </c>
      <c r="O93" t="str">
        <f>_xll.BDP("800086GR Muni","BVAL_MID_YTM")</f>
        <v>#N/A Authorization</v>
      </c>
      <c r="P93" t="str">
        <f>_xll.BDP("800086GR Muni","MUNI_TAX_PROV")</f>
        <v>FED &amp; ST TAX-EXEMPT</v>
      </c>
      <c r="Q93" t="str">
        <f>_xll.BDP("800086GR Muni","MUNI_FED_TAX")</f>
        <v>N</v>
      </c>
      <c r="R93">
        <f>_xll.BDP("800086GR Muni","MUNI_MSRB_VOLUME")</f>
        <v>100000</v>
      </c>
      <c r="S93" t="str">
        <f>_xll.BDP("800086GR Muni","BB_COMPOSITE")</f>
        <v>#N/A N/A</v>
      </c>
      <c r="T93">
        <f>_xll.BDP("800086GR Muni","LQA_LIQUIDITY_SCORE")</f>
        <v>94</v>
      </c>
    </row>
    <row r="94" spans="1:20" x14ac:dyDescent="0.25">
      <c r="A94" t="str">
        <f>_xll.BDP("729654TK Muni","ID_CUSIP")</f>
        <v>729654TK9</v>
      </c>
      <c r="B94" t="s">
        <v>69</v>
      </c>
      <c r="C94" t="str">
        <f>_xll.BDP("729654TK Muni","INSURANCE_STATUS")</f>
        <v>N</v>
      </c>
      <c r="D94" t="str">
        <f>_xll.BDP("729654TK Muni","STATE_CODE")</f>
        <v>MA</v>
      </c>
      <c r="E94" t="str">
        <f>_xll.BDP("729654TK Muni","COUNTY_LOCATION_ISSUER")</f>
        <v>Plymouth, MA</v>
      </c>
      <c r="F94">
        <f>_xll.BDP("729654TK Muni","DUR_ADJ_MID")</f>
        <v>3.4075332307337263</v>
      </c>
      <c r="G94">
        <f>_xll.BDP("729654TK Muni","SPREAD_AT_ISSUANCE_TO_WORST")</f>
        <v>21.46225655181069</v>
      </c>
      <c r="H94" t="str">
        <f>_xll.BDP("729654TK Muni","ISSUE_DT")</f>
        <v>5/4/2017</v>
      </c>
      <c r="I94" t="str">
        <f>_xll.BDS("729654TK Muni","MUNI_PURPOSE_SCHED", "aggregate=y")</f>
        <v>REFUNDING NOTES WATER UTILITY IMPS. PUBLIC IMPS.</v>
      </c>
      <c r="J94">
        <f>_xll.BDP("729654TK Muni","CPN")</f>
        <v>5</v>
      </c>
      <c r="K94" t="str">
        <f>_xll.BDP("729654TK Muni","MATURITY")</f>
        <v>5/1/2026</v>
      </c>
      <c r="L94">
        <v>2930000</v>
      </c>
      <c r="M94">
        <f>_xll.BDP("729654TK Muni","YIELD_ON_ISSUE_DATE")</f>
        <v>2.21</v>
      </c>
      <c r="N94">
        <f>_xll.BDP("729654TK Muni","YTW_SPREAD_TO_MATURITY_AT_ISSU")</f>
        <v>21.46225655181069</v>
      </c>
      <c r="O94" t="str">
        <f>_xll.BDP("729654TK Muni","BVAL_MID_YTM")</f>
        <v>#N/A Authorization</v>
      </c>
      <c r="P94" t="str">
        <f>_xll.BDP("729654TK Muni","MUNI_TAX_PROV")</f>
        <v>FED &amp; ST TAX-EXEMPT</v>
      </c>
      <c r="Q94" t="str">
        <f>_xll.BDP("729654TK Muni","MUNI_FED_TAX")</f>
        <v>N</v>
      </c>
      <c r="R94">
        <f>_xll.BDP("729654TK Muni","MUNI_MSRB_VOLUME")</f>
        <v>50000</v>
      </c>
      <c r="S94" t="str">
        <f>_xll.BDP("729654TK Muni","BB_COMPOSITE")</f>
        <v>AA</v>
      </c>
      <c r="T94">
        <f>_xll.BDP("729654TK Muni","LQA_LIQUIDITY_SCORE")</f>
        <v>78</v>
      </c>
    </row>
    <row r="95" spans="1:20" x14ac:dyDescent="0.25">
      <c r="A95" t="str">
        <f>_xll.BDP("434830SC Muni","ID_CUSIP")</f>
        <v>434830SC0</v>
      </c>
      <c r="B95" t="s">
        <v>59</v>
      </c>
      <c r="C95" t="str">
        <f>_xll.BDP("434830SC Muni","INSURANCE_STATUS")</f>
        <v>N</v>
      </c>
      <c r="D95" t="str">
        <f>_xll.BDP("434830SC Muni","STATE_CODE")</f>
        <v>MA</v>
      </c>
      <c r="E95" t="str">
        <f>_xll.BDP("434830SC Muni","COUNTY_LOCATION_ISSUER")</f>
        <v>Worcester, MA</v>
      </c>
      <c r="F95">
        <f>_xll.BDP("434830SC Muni","DUR_ADJ_MID")</f>
        <v>2.6740122716985613</v>
      </c>
      <c r="G95">
        <f>_xll.BDP("434830SC Muni","SPREAD_AT_ISSUANCE_TO_WORST")</f>
        <v>-2.2768391736424753</v>
      </c>
      <c r="H95" t="str">
        <f>_xll.BDP("434830SC Muni","ISSUE_DT")</f>
        <v>6/15/2017</v>
      </c>
      <c r="I95" t="str">
        <f>_xll.BDS("434830SC Muni","MUNI_PURPOSE_SCHED", "aggregate=y")</f>
        <v>REFUNDING NOTES WATER UTILITY IMPS. SEWER IMPS.</v>
      </c>
      <c r="J95">
        <f>_xll.BDP("434830SC Muni","CPN")</f>
        <v>5</v>
      </c>
      <c r="K95" t="str">
        <f>_xll.BDP("434830SC Muni","MATURITY")</f>
        <v>6/15/2025</v>
      </c>
      <c r="L95">
        <v>315000</v>
      </c>
      <c r="M95">
        <f>_xll.BDP("434830SC Muni","YIELD_ON_ISSUE_DATE")</f>
        <v>1.6300000000000001</v>
      </c>
      <c r="N95">
        <f>_xll.BDP("434830SC Muni","YTW_SPREAD_TO_MATURITY_AT_ISSU")</f>
        <v>-2.2768391736424753</v>
      </c>
      <c r="O95" t="str">
        <f>_xll.BDP("434830SC Muni","BVAL_MID_YTM")</f>
        <v>#N/A Authorization</v>
      </c>
      <c r="P95" t="str">
        <f>_xll.BDP("434830SC Muni","MUNI_TAX_PROV")</f>
        <v>FED BQ/ST TAX-EXEMPT</v>
      </c>
      <c r="Q95" t="str">
        <f>_xll.BDP("434830SC Muni","MUNI_FED_TAX")</f>
        <v>N</v>
      </c>
      <c r="R95">
        <f>_xll.BDP("434830SC Muni","MUNI_MSRB_VOLUME")</f>
        <v>15000</v>
      </c>
      <c r="S95" t="str">
        <f>_xll.BDP("434830SC Muni","BB_COMPOSITE")</f>
        <v>#N/A N/A</v>
      </c>
      <c r="T95">
        <f>_xll.BDP("434830SC Muni","LQA_LIQUIDITY_SCORE")</f>
        <v>79</v>
      </c>
    </row>
    <row r="96" spans="1:20" x14ac:dyDescent="0.25">
      <c r="A96" t="str">
        <f>_xll.BDP("774221ED Muni","ID_CUSIP")</f>
        <v>774221ED3</v>
      </c>
      <c r="B96" t="s">
        <v>81</v>
      </c>
      <c r="C96" t="str">
        <f>_xll.BDP("774221ED Muni","INSURANCE_STATUS")</f>
        <v>N</v>
      </c>
      <c r="D96" t="str">
        <f>_xll.BDP("774221ED Muni","STATE_CODE")</f>
        <v>MD</v>
      </c>
      <c r="E96" t="str">
        <f>_xll.BDP("774221ED Muni","COUNTY_LOCATION_ISSUER")</f>
        <v>Montgomery, MD</v>
      </c>
      <c r="F96">
        <f>_xll.BDP("774221ED Muni","DUR_ADJ_MID")</f>
        <v>2.6659372135890216</v>
      </c>
      <c r="G96">
        <f>_xll.BDP("774221ED Muni","SPREAD_AT_ISSUANCE_TO_WORST")</f>
        <v>3.427230681643656</v>
      </c>
      <c r="H96" t="str">
        <f>_xll.BDP("774221ED Muni","ISSUE_DT")</f>
        <v>7/11/2017</v>
      </c>
      <c r="I96" t="str">
        <f>_xll.BDS("774221ED Muni","MUNI_PURPOSE_SCHED", "aggregate=y")</f>
        <v>WATER UTILITY IMPS. SEWER IMPS. PUBLIC IMPS.</v>
      </c>
      <c r="J96">
        <f>_xll.BDP("774221ED Muni","CPN")</f>
        <v>4</v>
      </c>
      <c r="K96" t="str">
        <f>_xll.BDP("774221ED Muni","MATURITY")</f>
        <v>6/1/2025</v>
      </c>
      <c r="L96">
        <v>510000</v>
      </c>
      <c r="M96">
        <f>_xll.BDP("774221ED Muni","YIELD_ON_ISSUE_DATE")</f>
        <v>1.6400000000000001</v>
      </c>
      <c r="N96">
        <f>_xll.BDP("774221ED Muni","YTW_SPREAD_TO_MATURITY_AT_ISSU")</f>
        <v>3.427230681643656</v>
      </c>
      <c r="O96" t="str">
        <f>_xll.BDP("774221ED Muni","BVAL_MID_YTM")</f>
        <v>#N/A Authorization</v>
      </c>
      <c r="P96" t="str">
        <f>_xll.BDP("774221ED Muni","MUNI_TAX_PROV")</f>
        <v>FED &amp; ST TAX-EXEMPT</v>
      </c>
      <c r="Q96" t="str">
        <f>_xll.BDP("774221ED Muni","MUNI_FED_TAX")</f>
        <v>N</v>
      </c>
      <c r="R96">
        <f>_xll.BDP("774221ED Muni","MUNI_MSRB_VOLUME")</f>
        <v>420000</v>
      </c>
      <c r="S96" t="str">
        <f>_xll.BDP("774221ED Muni","BB_COMPOSITE")</f>
        <v>AAA</v>
      </c>
      <c r="T96">
        <f>_xll.BDP("774221ED Muni","LQA_LIQUIDITY_SCORE")</f>
        <v>76</v>
      </c>
    </row>
    <row r="97" spans="1:20" x14ac:dyDescent="0.25">
      <c r="A97" t="str">
        <f>_xll.BDP("764279AV Muni","ID_CUSIP")</f>
        <v>764279AV7</v>
      </c>
      <c r="B97" t="s">
        <v>82</v>
      </c>
      <c r="C97" t="str">
        <f>_xll.BDP("764279AV Muni","INSURANCE_STATUS")</f>
        <v>N</v>
      </c>
      <c r="D97" t="str">
        <f>_xll.BDP("764279AV Muni","STATE_CODE")</f>
        <v>WA</v>
      </c>
      <c r="E97" t="str">
        <f>_xll.BDP("764279AV Muni","COUNTY_LOCATION_ISSUER")</f>
        <v>Benton, WA</v>
      </c>
      <c r="F97">
        <f>_xll.BDP("764279AV Muni","DUR_ADJ_MID")</f>
        <v>3.8767693016823692</v>
      </c>
      <c r="G97">
        <f>_xll.BDP("764279AV Muni","SPREAD_AT_ISSUANCE_TO_WORST")</f>
        <v>28.784836215314826</v>
      </c>
      <c r="H97" t="str">
        <f>_xll.BDP("764279AV Muni","ISSUE_DT")</f>
        <v>6/22/2017</v>
      </c>
      <c r="I97" t="str">
        <f>_xll.BDS("764279AV Muni","MUNI_PURPOSE_SCHED", "aggregate=y")</f>
        <v>WATER UTILITY IMPS. ADVANCE REFUNDING REFUNDING NOTES</v>
      </c>
      <c r="J97">
        <f>_xll.BDP("764279AV Muni","CPN")</f>
        <v>4</v>
      </c>
      <c r="K97" t="str">
        <f>_xll.BDP("764279AV Muni","MATURITY")</f>
        <v>11/1/2026</v>
      </c>
      <c r="L97">
        <v>555000</v>
      </c>
      <c r="M97">
        <f>_xll.BDP("764279AV Muni","YIELD_ON_ISSUE_DATE")</f>
        <v>2.06</v>
      </c>
      <c r="N97">
        <f>_xll.BDP("764279AV Muni","YTW_SPREAD_TO_MATURITY_AT_ISSU")</f>
        <v>28.784836215314826</v>
      </c>
      <c r="O97" t="str">
        <f>_xll.BDP("764279AV Muni","BVAL_MID_YTM")</f>
        <v>#N/A Authorization</v>
      </c>
      <c r="P97" t="str">
        <f>_xll.BDP("764279AV Muni","MUNI_TAX_PROV")</f>
        <v>FED TAX-EXEMPT</v>
      </c>
      <c r="Q97" t="str">
        <f>_xll.BDP("764279AV Muni","MUNI_FED_TAX")</f>
        <v>N</v>
      </c>
      <c r="R97">
        <f>_xll.BDP("764279AV Muni","MUNI_MSRB_VOLUME")</f>
        <v>20000</v>
      </c>
      <c r="S97" t="str">
        <f>_xll.BDP("764279AV Muni","BB_COMPOSITE")</f>
        <v>#N/A N/A</v>
      </c>
      <c r="T97">
        <f>_xll.BDP("764279AV Muni","LQA_LIQUIDITY_SCORE")</f>
        <v>57</v>
      </c>
    </row>
    <row r="98" spans="1:20" x14ac:dyDescent="0.25">
      <c r="A98" t="str">
        <f>_xll.BDP("577030KX Muni","ID_CUSIP")</f>
        <v>577030KX6</v>
      </c>
      <c r="B98" t="s">
        <v>83</v>
      </c>
      <c r="C98" t="str">
        <f>_xll.BDP("577030KX Muni","INSURANCE_STATUS")</f>
        <v>N</v>
      </c>
      <c r="D98" t="str">
        <f>_xll.BDP("577030KX Muni","STATE_CODE")</f>
        <v>MA</v>
      </c>
      <c r="E98" t="str">
        <f>_xll.BDP("577030KX Muni","COUNTY_LOCATION_ISSUER")</f>
        <v>Plymouth, MA</v>
      </c>
      <c r="F98">
        <f>_xll.BDP("577030KX Muni","DUR_ADJ_MID")</f>
        <v>0.99182552637517296</v>
      </c>
      <c r="G98">
        <f>_xll.BDP("577030KX Muni","SPREAD_AT_ISSUANCE_TO_WORST")</f>
        <v>-8.5207910687816515</v>
      </c>
      <c r="H98" t="str">
        <f>_xll.BDP("577030KX Muni","ISSUE_DT")</f>
        <v>8/18/2017</v>
      </c>
      <c r="I98" t="str">
        <f>_xll.BDS("577030KX Muni","MUNI_PURPOSE_SCHED", "aggregate=y")</f>
        <v>WATER UTILITY IMPS. PUBLIC IMPS. CURRENT REFUNDING</v>
      </c>
      <c r="J98">
        <f>_xll.BDP("577030KX Muni","CPN")</f>
        <v>5</v>
      </c>
      <c r="K98" t="str">
        <f>_xll.BDP("577030KX Muni","MATURITY")</f>
        <v>8/15/2023</v>
      </c>
      <c r="L98">
        <v>490000</v>
      </c>
      <c r="M98">
        <f>_xll.BDP("577030KX Muni","YIELD_ON_ISSUE_DATE")</f>
        <v>1.28</v>
      </c>
      <c r="N98">
        <f>_xll.BDP("577030KX Muni","YTW_SPREAD_TO_MATURITY_AT_ISSU")</f>
        <v>-8.5207910687816515</v>
      </c>
      <c r="O98" t="str">
        <f>_xll.BDP("577030KX Muni","BVAL_MID_YTM")</f>
        <v>#N/A Authorization</v>
      </c>
      <c r="P98" t="str">
        <f>_xll.BDP("577030KX Muni","MUNI_TAX_PROV")</f>
        <v>FED BQ/ST TAX-EXEMPT</v>
      </c>
      <c r="Q98" t="str">
        <f>_xll.BDP("577030KX Muni","MUNI_FED_TAX")</f>
        <v>N</v>
      </c>
      <c r="R98">
        <f>_xll.BDP("577030KX Muni","MUNI_MSRB_VOLUME")</f>
        <v>15000</v>
      </c>
      <c r="S98" t="str">
        <f>_xll.BDP("577030KX Muni","BB_COMPOSITE")</f>
        <v>#N/A N/A</v>
      </c>
      <c r="T98">
        <f>_xll.BDP("577030KX Muni","LQA_LIQUIDITY_SCORE")</f>
        <v>95</v>
      </c>
    </row>
    <row r="99" spans="1:20" x14ac:dyDescent="0.25">
      <c r="A99" t="str">
        <f>_xll.BDP("20775YCX Muni","ID_CUSIP")</f>
        <v>20775YCX2</v>
      </c>
      <c r="B99" t="s">
        <v>35</v>
      </c>
      <c r="C99" t="str">
        <f>_xll.BDP("20775YCX Muni","INSURANCE_STATUS")</f>
        <v>N</v>
      </c>
      <c r="D99" t="str">
        <f>_xll.BDP("20775YCX Muni","STATE_CODE")</f>
        <v>CT</v>
      </c>
      <c r="E99" t="str">
        <f>_xll.BDP("20775YCX Muni","COUNTY_LOCATION_ISSUER")</f>
        <v>Hartford, CT</v>
      </c>
      <c r="F99">
        <f>_xll.BDP("20775YCX Muni","DUR_ADJ_MID")</f>
        <v>0.73097582445866149</v>
      </c>
      <c r="G99">
        <f>_xll.BDP("20775YCX Muni","SPREAD_AT_ISSUANCE_TO_WORST")</f>
        <v>12.132010607890354</v>
      </c>
      <c r="H99" t="str">
        <f>_xll.BDP("20775YCX Muni","ISSUE_DT")</f>
        <v>6/15/2017</v>
      </c>
      <c r="I99" t="str">
        <f>_xll.BDS("20775YCX Muni","MUNI_PURPOSE_SCHED", "aggregate=y")</f>
        <v>GREEN PURPOSE WATER UTILITY IMPS. SEWER IMPS.</v>
      </c>
      <c r="J99">
        <f>_xll.BDP("20775YCX Muni","CPN")</f>
        <v>4</v>
      </c>
      <c r="K99" t="str">
        <f>_xll.BDP("20775YCX Muni","MATURITY")</f>
        <v>5/1/2023</v>
      </c>
      <c r="L99">
        <v>2200000</v>
      </c>
      <c r="M99">
        <f>_xll.BDP("20775YCX Muni","YIELD_ON_ISSUE_DATE")</f>
        <v>1.42</v>
      </c>
      <c r="N99">
        <f>_xll.BDP("20775YCX Muni","YTW_SPREAD_TO_MATURITY_AT_ISSU")</f>
        <v>12.132010607890354</v>
      </c>
      <c r="O99" t="str">
        <f>_xll.BDP("20775YCX Muni","BVAL_MID_YTM")</f>
        <v>#N/A Authorization</v>
      </c>
      <c r="P99" t="str">
        <f>_xll.BDP("20775YCX Muni","MUNI_TAX_PROV")</f>
        <v>FED &amp; ST TAX-EXEMPT</v>
      </c>
      <c r="Q99" t="str">
        <f>_xll.BDP("20775YCX Muni","MUNI_FED_TAX")</f>
        <v>N</v>
      </c>
      <c r="R99">
        <f>_xll.BDP("20775YCX Muni","MUNI_MSRB_VOLUME")</f>
        <v>50000</v>
      </c>
      <c r="S99" t="str">
        <f>_xll.BDP("20775YCX Muni","BB_COMPOSITE")</f>
        <v>AAA</v>
      </c>
      <c r="T99">
        <f>_xll.BDP("20775YCX Muni","LQA_LIQUIDITY_SCORE")</f>
        <v>86</v>
      </c>
    </row>
    <row r="100" spans="1:20" x14ac:dyDescent="0.25">
      <c r="A100" t="str">
        <f>_xll.BDP("64986DDH Muni","ID_CUSIP")</f>
        <v>64986DDH5</v>
      </c>
      <c r="B100" t="s">
        <v>22</v>
      </c>
      <c r="C100" t="str">
        <f>_xll.BDP("64986DDH Muni","INSURANCE_STATUS")</f>
        <v>N</v>
      </c>
      <c r="D100" t="str">
        <f>_xll.BDP("64986DDH Muni","STATE_CODE")</f>
        <v>NY</v>
      </c>
      <c r="E100" t="str">
        <f>_xll.BDP("64986DDH Muni","COUNTY_LOCATION_ISSUER")</f>
        <v>Albany, NY</v>
      </c>
      <c r="F100">
        <f>_xll.BDP("64986DDH Muni","DUR_ADJ_MID")</f>
        <v>3.5287045383275921</v>
      </c>
      <c r="G100">
        <f>_xll.BDP("64986DDH Muni","SPREAD_AT_ISSUANCE_TO_WORST")</f>
        <v>8.5473818023780179</v>
      </c>
      <c r="H100" t="str">
        <f>_xll.BDP("64986DDH Muni","ISSUE_DT")</f>
        <v>4/13/2017</v>
      </c>
      <c r="I100" t="str">
        <f>_xll.BDS("64986DDH Muni","MUNI_PURPOSE_SCHED", "aggregate=y")</f>
        <v>WATER UTILITY IMPS. CURRENT REFUNDING GREEN PURPOSE</v>
      </c>
      <c r="J100">
        <f>_xll.BDP("64986DDH Muni","CPN")</f>
        <v>5</v>
      </c>
      <c r="K100" t="str">
        <f>_xll.BDP("64986DDH Muni","MATURITY")</f>
        <v>6/15/2026</v>
      </c>
      <c r="L100">
        <v>20455000</v>
      </c>
      <c r="M100">
        <f>_xll.BDP("64986DDH Muni","YIELD_ON_ISSUE_DATE")</f>
        <v>2.39</v>
      </c>
      <c r="N100">
        <f>_xll.BDP("64986DDH Muni","YTW_SPREAD_TO_MATURITY_AT_ISSU")</f>
        <v>8.5473818023780179</v>
      </c>
      <c r="O100" t="str">
        <f>_xll.BDP("64986DDH Muni","BVAL_MID_YTM")</f>
        <v>#N/A Authorization</v>
      </c>
      <c r="P100" t="str">
        <f>_xll.BDP("64986DDH Muni","MUNI_TAX_PROV")</f>
        <v>FED &amp; ST TAX-EXEMPT</v>
      </c>
      <c r="Q100" t="str">
        <f>_xll.BDP("64986DDH Muni","MUNI_FED_TAX")</f>
        <v>N</v>
      </c>
      <c r="R100">
        <f>_xll.BDP("64986DDH Muni","MUNI_MSRB_VOLUME")</f>
        <v>100000</v>
      </c>
      <c r="S100" t="str">
        <f>_xll.BDP("64986DDH Muni","BB_COMPOSITE")</f>
        <v>AAA</v>
      </c>
      <c r="T100">
        <f>_xll.BDP("64986DDH Muni","LQA_LIQUIDITY_SCORE")</f>
        <v>75</v>
      </c>
    </row>
    <row r="101" spans="1:20" x14ac:dyDescent="0.25">
      <c r="A101" t="str">
        <f>_xll.BDP("622503UY Muni","ID_CUSIP")</f>
        <v>622503UY4</v>
      </c>
      <c r="B101" t="s">
        <v>84</v>
      </c>
      <c r="C101" t="str">
        <f>_xll.BDP("622503UY Muni","INSURANCE_STATUS")</f>
        <v>N</v>
      </c>
      <c r="D101" t="str">
        <f>_xll.BDP("622503UY Muni","STATE_CODE")</f>
        <v>NY</v>
      </c>
      <c r="E101" t="str">
        <f>_xll.BDP("622503UY Muni","COUNTY_LOCATION_ISSUER")</f>
        <v>Westchester, NY</v>
      </c>
      <c r="F101">
        <f>_xll.BDP("622503UY Muni","DUR_ADJ_MID")</f>
        <v>1.606861495505771</v>
      </c>
      <c r="G101">
        <f>_xll.BDP("622503UY Muni","SPREAD_AT_ISSUANCE_TO_WORST")</f>
        <v>11.41831217308955</v>
      </c>
      <c r="H101" t="str">
        <f>_xll.BDP("622503UY Muni","ISSUE_DT")</f>
        <v>4/12/2017</v>
      </c>
      <c r="I101" t="str">
        <f>_xll.BDS("622503UY Muni","MUNI_PURPOSE_SCHED", "aggregate=y")</f>
        <v>WATER UTILITY IMPS. PUBLIC IMPS. RECREATIONAL FAC. IMPS.</v>
      </c>
      <c r="J101">
        <f>_xll.BDP("622503UY Muni","CPN")</f>
        <v>3</v>
      </c>
      <c r="K101" t="str">
        <f>_xll.BDP("622503UY Muni","MATURITY")</f>
        <v>4/1/2024</v>
      </c>
      <c r="L101">
        <v>595000</v>
      </c>
      <c r="M101">
        <f>_xll.BDP("622503UY Muni","YIELD_ON_ISSUE_DATE")</f>
        <v>2</v>
      </c>
      <c r="N101">
        <f>_xll.BDP("622503UY Muni","YTW_SPREAD_TO_MATURITY_AT_ISSU")</f>
        <v>11.41831217308955</v>
      </c>
      <c r="O101" t="str">
        <f>_xll.BDP("622503UY Muni","BVAL_MID_YTM")</f>
        <v>#N/A Authorization</v>
      </c>
      <c r="P101" t="str">
        <f>_xll.BDP("622503UY Muni","MUNI_TAX_PROV")</f>
        <v>FED &amp; ST TAX-EXEMPT</v>
      </c>
      <c r="Q101" t="str">
        <f>_xll.BDP("622503UY Muni","MUNI_FED_TAX")</f>
        <v>N</v>
      </c>
      <c r="R101">
        <f>_xll.BDP("622503UY Muni","MUNI_MSRB_VOLUME")</f>
        <v>80000</v>
      </c>
      <c r="S101" t="str">
        <f>_xll.BDP("622503UY Muni","BB_COMPOSITE")</f>
        <v>#N/A N/A</v>
      </c>
      <c r="T101">
        <f>_xll.BDP("622503UY Muni","LQA_LIQUIDITY_SCORE")</f>
        <v>77</v>
      </c>
    </row>
    <row r="102" spans="1:20" x14ac:dyDescent="0.25">
      <c r="A102" t="str">
        <f>_xll.BDP("895139GP Muni","ID_CUSIP")</f>
        <v>895139GP2</v>
      </c>
      <c r="B102" t="s">
        <v>85</v>
      </c>
      <c r="C102" t="str">
        <f>_xll.BDP("895139GP Muni","INSURANCE_STATUS")</f>
        <v>Y</v>
      </c>
      <c r="D102" t="str">
        <f>_xll.BDP("895139GP Muni","STATE_CODE")</f>
        <v>NJ</v>
      </c>
      <c r="E102" t="str">
        <f>_xll.BDP("895139GP Muni","COUNTY_LOCATION_ISSUER")</f>
        <v>Mercer, NJ</v>
      </c>
      <c r="F102">
        <f>_xll.BDP("895139GP Muni","DUR_ADJ_MID")</f>
        <v>3.3820188073031385</v>
      </c>
      <c r="G102">
        <f>_xll.BDP("895139GP Muni","SPREAD_AT_ISSUANCE_TO_WORST")</f>
        <v>74.034792743466156</v>
      </c>
      <c r="H102" t="str">
        <f>_xll.BDP("895139GP Muni","ISSUE_DT")</f>
        <v>6/13/2017</v>
      </c>
      <c r="I102" t="str">
        <f>_xll.BDS("895139GP Muni","MUNI_PURPOSE_SCHED", "aggregate=y")</f>
        <v>PUBLIC IMPS. WATER UTILITY IMPS. SEWER IMPS.</v>
      </c>
      <c r="J102">
        <f>_xll.BDP("895139GP Muni","CPN")</f>
        <v>3</v>
      </c>
      <c r="K102" t="str">
        <f>_xll.BDP("895139GP Muni","MATURITY")</f>
        <v>3/15/2026</v>
      </c>
      <c r="L102">
        <v>1120000</v>
      </c>
      <c r="M102">
        <f>_xll.BDP("895139GP Muni","YIELD_ON_ISSUE_DATE")</f>
        <v>2.5</v>
      </c>
      <c r="N102">
        <f>_xll.BDP("895139GP Muni","YTW_SPREAD_TO_MATURITY_AT_ISSU")</f>
        <v>74.034792743466156</v>
      </c>
      <c r="O102" t="str">
        <f>_xll.BDP("895139GP Muni","BVAL_MID_YTM")</f>
        <v>#N/A Authorization</v>
      </c>
      <c r="P102" t="str">
        <f>_xll.BDP("895139GP Muni","MUNI_TAX_PROV")</f>
        <v>FED &amp; ST TAX-EXEMPT</v>
      </c>
      <c r="Q102" t="str">
        <f>_xll.BDP("895139GP Muni","MUNI_FED_TAX")</f>
        <v>N</v>
      </c>
      <c r="R102">
        <f>_xll.BDP("895139GP Muni","MUNI_MSRB_VOLUME")</f>
        <v>50000</v>
      </c>
      <c r="S102" t="str">
        <f>_xll.BDP("895139GP Muni","BB_COMPOSITE")</f>
        <v>AA-</v>
      </c>
      <c r="T102">
        <f>_xll.BDP("895139GP Muni","LQA_LIQUIDITY_SCORE")</f>
        <v>48</v>
      </c>
    </row>
    <row r="103" spans="1:20" x14ac:dyDescent="0.25">
      <c r="A103" t="str">
        <f>_xll.BDP("76222RVA Muni","ID_CUSIP")</f>
        <v>76222RVA7</v>
      </c>
      <c r="B103" t="s">
        <v>42</v>
      </c>
      <c r="C103" t="str">
        <f>_xll.BDP("76222RVA Muni","INSURANCE_STATUS")</f>
        <v>N</v>
      </c>
      <c r="D103" t="str">
        <f>_xll.BDP("76222RVA Muni","STATE_CODE")</f>
        <v>RI</v>
      </c>
      <c r="E103" t="str">
        <f>_xll.BDP("76222RVA Muni","COUNTY_LOCATION_ISSUER")</f>
        <v>Providence, RI</v>
      </c>
      <c r="F103">
        <f>_xll.BDP("76222RVA Muni","DUR_ADJ_MID")</f>
        <v>2.5575109735024206</v>
      </c>
      <c r="G103">
        <f>_xll.BDP("76222RVA Muni","SPREAD_AT_ISSUANCE_TO_WORST")</f>
        <v>25.02285080891815</v>
      </c>
      <c r="H103" t="str">
        <f>_xll.BDP("76222RVA Muni","ISSUE_DT")</f>
        <v>5/9/2017</v>
      </c>
      <c r="I103" t="str">
        <f>_xll.BDS("76222RVA Muni","MUNI_PURPOSE_SCHED", "aggregate=y")</f>
        <v>HOUSING UNIV. &amp; COLLEGE IMPS. WATER UTILITY IMPS.</v>
      </c>
      <c r="J103">
        <f>_xll.BDP("76222RVA Muni","CPN")</f>
        <v>5</v>
      </c>
      <c r="K103" t="str">
        <f>_xll.BDP("76222RVA Muni","MATURITY")</f>
        <v>5/1/2025</v>
      </c>
      <c r="L103">
        <v>3980000</v>
      </c>
      <c r="M103">
        <f>_xll.BDP("76222RVA Muni","YIELD_ON_ISSUE_DATE")</f>
        <v>2.1</v>
      </c>
      <c r="N103">
        <f>_xll.BDP("76222RVA Muni","YTW_SPREAD_TO_MATURITY_AT_ISSU")</f>
        <v>25.02285080891815</v>
      </c>
      <c r="O103" t="str">
        <f>_xll.BDP("76222RVA Muni","BVAL_MID_YTM")</f>
        <v>#N/A Authorization</v>
      </c>
      <c r="P103" t="str">
        <f>_xll.BDP("76222RVA Muni","MUNI_TAX_PROV")</f>
        <v>FED &amp; ST TAX-EXEMPT</v>
      </c>
      <c r="Q103" t="str">
        <f>_xll.BDP("76222RVA Muni","MUNI_FED_TAX")</f>
        <v>N</v>
      </c>
      <c r="R103">
        <f>_xll.BDP("76222RVA Muni","MUNI_MSRB_VOLUME")</f>
        <v>25000</v>
      </c>
      <c r="S103" t="str">
        <f>_xll.BDP("76222RVA Muni","BB_COMPOSITE")</f>
        <v>AA</v>
      </c>
      <c r="T103">
        <f>_xll.BDP("76222RVA Muni","LQA_LIQUIDITY_SCORE")</f>
        <v>74</v>
      </c>
    </row>
    <row r="104" spans="1:20" x14ac:dyDescent="0.25">
      <c r="A104" t="str">
        <f>_xll.BDP("25471TBB Muni","ID_CUSIP")</f>
        <v>25471TBB8</v>
      </c>
      <c r="B104" t="s">
        <v>86</v>
      </c>
      <c r="C104" t="str">
        <f>_xll.BDP("25471TBB Muni","INSURANCE_STATUS")</f>
        <v>N</v>
      </c>
      <c r="D104" t="str">
        <f>_xll.BDP("25471TBB Muni","STATE_CODE")</f>
        <v>CA</v>
      </c>
      <c r="E104" t="str">
        <f>_xll.BDP("25471TBB Muni","COUNTY_LOCATION_ISSUER")</f>
        <v>#N/A Field Not Applicable</v>
      </c>
      <c r="F104">
        <f>_xll.BDP("25471TBB Muni","DUR_ADJ_MID")</f>
        <v>4.7076290617875562</v>
      </c>
      <c r="G104">
        <f>_xll.BDP("25471TBB Muni","SPREAD_AT_ISSUANCE_TO_WORST")</f>
        <v>25.122113376084965</v>
      </c>
      <c r="H104" t="str">
        <f>_xll.BDP("25471TBB Muni","ISSUE_DT")</f>
        <v>4/19/2017</v>
      </c>
      <c r="I104" t="str">
        <f>_xll.BDS("25471TBB Muni","MUNI_PURPOSE_SCHED", "aggregate=y")</f>
        <v>WATER UTILITY IMPS. SEWER IMPS.</v>
      </c>
      <c r="J104">
        <f>_xll.BDP("25471TBB Muni","CPN")</f>
        <v>5</v>
      </c>
      <c r="K104" t="str">
        <f>_xll.BDP("25471TBB Muni","MATURITY")</f>
        <v>12/1/2027</v>
      </c>
      <c r="L104">
        <v>250000</v>
      </c>
      <c r="M104">
        <f>_xll.BDP("25471TBB Muni","YIELD_ON_ISSUE_DATE")</f>
        <v>2.54</v>
      </c>
      <c r="N104">
        <f>_xll.BDP("25471TBB Muni","YTW_SPREAD_TO_MATURITY_AT_ISSU")</f>
        <v>25.122113376084965</v>
      </c>
      <c r="O104" t="str">
        <f>_xll.BDP("25471TBB Muni","BVAL_MID_YTM")</f>
        <v>#N/A Authorization</v>
      </c>
      <c r="P104" t="str">
        <f>_xll.BDP("25471TBB Muni","MUNI_TAX_PROV")</f>
        <v>FED BQ/ST TAX-EXEMPT</v>
      </c>
      <c r="Q104" t="str">
        <f>_xll.BDP("25471TBB Muni","MUNI_FED_TAX")</f>
        <v>N</v>
      </c>
      <c r="R104" t="str">
        <f>_xll.BDP("25471TBB Muni","MUNI_MSRB_VOLUME")</f>
        <v>#N/A N/A</v>
      </c>
      <c r="S104" t="str">
        <f>_xll.BDP("25471TBB Muni","BB_COMPOSITE")</f>
        <v>#N/A N/A</v>
      </c>
      <c r="T104">
        <f>_xll.BDP("25471TBB Muni","LQA_LIQUIDITY_SCORE")</f>
        <v>54</v>
      </c>
    </row>
    <row r="105" spans="1:20" x14ac:dyDescent="0.25">
      <c r="A105" t="str">
        <f>_xll.BDP("112857EB Muni","ID_CUSIP")</f>
        <v>112857EB9</v>
      </c>
      <c r="B105" t="s">
        <v>87</v>
      </c>
      <c r="C105" t="str">
        <f>_xll.BDP("112857EB Muni","INSURANCE_STATUS")</f>
        <v>N</v>
      </c>
      <c r="D105" t="str">
        <f>_xll.BDP("112857EB Muni","STATE_CODE")</f>
        <v>WI</v>
      </c>
      <c r="E105" t="str">
        <f>_xll.BDP("112857EB Muni","COUNTY_LOCATION_ISSUER")</f>
        <v>Waukesha, WI</v>
      </c>
      <c r="F105">
        <f>_xll.BDP("112857EB Muni","DUR_ADJ_MID")</f>
        <v>3.1971699629458077</v>
      </c>
      <c r="G105">
        <f>_xll.BDP("112857EB Muni","SPREAD_AT_ISSUANCE_TO_WORST")</f>
        <v>5.5314793620443226</v>
      </c>
      <c r="H105" t="str">
        <f>_xll.BDP("112857EB Muni","ISSUE_DT")</f>
        <v>6/5/2017</v>
      </c>
      <c r="I105" t="str">
        <f>_xll.BDS("112857EB Muni","MUNI_PURPOSE_SCHED", "aggregate=y")</f>
        <v>PUBLIC IMPS. RECREATIONAL FAC. IMPS. WATER UTILITY IMPS.</v>
      </c>
      <c r="J105">
        <f>_xll.BDP("112857EB Muni","CPN")</f>
        <v>2</v>
      </c>
      <c r="K105" t="str">
        <f>_xll.BDP("112857EB Muni","MATURITY")</f>
        <v>12/1/2025</v>
      </c>
      <c r="L105">
        <v>340000</v>
      </c>
      <c r="M105">
        <f>_xll.BDP("112857EB Muni","YIELD_ON_ISSUE_DATE")</f>
        <v>1.85</v>
      </c>
      <c r="N105">
        <f>_xll.BDP("112857EB Muni","YTW_SPREAD_TO_MATURITY_AT_ISSU")</f>
        <v>5.5314793620443226</v>
      </c>
      <c r="O105" t="str">
        <f>_xll.BDP("112857EB Muni","BVAL_MID_YTM")</f>
        <v>#N/A Authorization</v>
      </c>
      <c r="P105" t="str">
        <f>_xll.BDP("112857EB Muni","MUNI_TAX_PROV")</f>
        <v>FED BQ/ST TAXABLE</v>
      </c>
      <c r="Q105" t="str">
        <f>_xll.BDP("112857EB Muni","MUNI_FED_TAX")</f>
        <v>N</v>
      </c>
      <c r="R105">
        <f>_xll.BDP("112857EB Muni","MUNI_MSRB_VOLUME")</f>
        <v>150000</v>
      </c>
      <c r="S105" t="str">
        <f>_xll.BDP("112857EB Muni","BB_COMPOSITE")</f>
        <v>#N/A N/A</v>
      </c>
      <c r="T105">
        <f>_xll.BDP("112857EB Muni","LQA_LIQUIDITY_SCORE")</f>
        <v>59</v>
      </c>
    </row>
    <row r="106" spans="1:20" x14ac:dyDescent="0.25">
      <c r="A106" t="str">
        <f>_xll.BDP("05922KYG Muni","ID_CUSIP")</f>
        <v>05922KYG8</v>
      </c>
      <c r="B106" t="s">
        <v>88</v>
      </c>
      <c r="C106" t="str">
        <f>_xll.BDP("05922KYG Muni","INSURANCE_STATUS")</f>
        <v>N</v>
      </c>
      <c r="D106" t="str">
        <f>_xll.BDP("05922KYG Muni","STATE_CODE")</f>
        <v>MD</v>
      </c>
      <c r="E106" t="str">
        <f>_xll.BDP("05922KYG Muni","COUNTY_LOCATION_ISSUER")</f>
        <v>Baltimore City, MD</v>
      </c>
      <c r="F106">
        <f>_xll.BDP("05922KYG Muni","DUR_ADJ_MID")</f>
        <v>3.5692863645521999</v>
      </c>
      <c r="G106">
        <f>_xll.BDP("05922KYG Muni","SPREAD_AT_ISSUANCE_TO_WORST")</f>
        <v>36.567345006232358</v>
      </c>
      <c r="H106" t="str">
        <f>_xll.BDP("05922KYG Muni","ISSUE_DT")</f>
        <v>2/9/2017</v>
      </c>
      <c r="I106" t="str">
        <f>_xll.BDS("05922KYG Muni","MUNI_PURPOSE_SCHED", "aggregate=y")</f>
        <v>WATER UTILITY IMPS.</v>
      </c>
      <c r="J106">
        <f>_xll.BDP("05922KYG Muni","CPN")</f>
        <v>5</v>
      </c>
      <c r="K106" t="str">
        <f>_xll.BDP("05922KYG Muni","MATURITY")</f>
        <v>7/1/2026</v>
      </c>
      <c r="L106">
        <v>3730000</v>
      </c>
      <c r="M106">
        <f>_xll.BDP("05922KYG Muni","YIELD_ON_ISSUE_DATE")</f>
        <v>2.69</v>
      </c>
      <c r="N106">
        <f>_xll.BDP("05922KYG Muni","YTW_SPREAD_TO_MATURITY_AT_ISSU")</f>
        <v>36.567345006232358</v>
      </c>
      <c r="O106" t="str">
        <f>_xll.BDP("05922KYG Muni","BVAL_MID_YTM")</f>
        <v>#N/A Authorization</v>
      </c>
      <c r="P106" t="str">
        <f>_xll.BDP("05922KYG Muni","MUNI_TAX_PROV")</f>
        <v>FED &amp; ST TAX-EXEMPT</v>
      </c>
      <c r="Q106" t="str">
        <f>_xll.BDP("05922KYG Muni","MUNI_FED_TAX")</f>
        <v>N</v>
      </c>
      <c r="R106">
        <f>_xll.BDP("05922KYG Muni","MUNI_MSRB_VOLUME")</f>
        <v>30000</v>
      </c>
      <c r="S106" t="str">
        <f>_xll.BDP("05922KYG Muni","BB_COMPOSITE")</f>
        <v>A+</v>
      </c>
      <c r="T106">
        <f>_xll.BDP("05922KYG Muni","LQA_LIQUIDITY_SCORE")</f>
        <v>77</v>
      </c>
    </row>
    <row r="107" spans="1:20" x14ac:dyDescent="0.25">
      <c r="A107" t="str">
        <f>_xll.BDP("448474NR Muni","ID_CUSIP")</f>
        <v>448474NR3</v>
      </c>
      <c r="B107" t="s">
        <v>89</v>
      </c>
      <c r="C107" t="str">
        <f>_xll.BDP("448474NR Muni","INSURANCE_STATUS")</f>
        <v>N</v>
      </c>
      <c r="D107" t="str">
        <f>_xll.BDP("448474NR Muni","STATE_CODE")</f>
        <v>TX</v>
      </c>
      <c r="E107" t="str">
        <f>_xll.BDP("448474NR Muni","COUNTY_LOCATION_ISSUER")</f>
        <v>Williamson, TX</v>
      </c>
      <c r="F107">
        <f>_xll.BDP("448474NR Muni","DUR_ADJ_MID")</f>
        <v>0.4930498687088537</v>
      </c>
      <c r="G107">
        <f>_xll.BDP("448474NR Muni","SPREAD_AT_ISSUANCE_TO_WORST")</f>
        <v>25.226135113145155</v>
      </c>
      <c r="H107" t="str">
        <f>_xll.BDP("448474NR Muni","ISSUE_DT")</f>
        <v>6/29/2017</v>
      </c>
      <c r="I107" t="str">
        <f>_xll.BDS("448474NR Muni","MUNI_PURPOSE_SCHED", "aggregate=y")</f>
        <v>WATER UTILITY IMPS. SEWER IMPS. PUBLIC IMPS.</v>
      </c>
      <c r="J107">
        <f>_xll.BDP("448474NR Muni","CPN")</f>
        <v>5</v>
      </c>
      <c r="K107" t="str">
        <f>_xll.BDP("448474NR Muni","MATURITY")</f>
        <v>2/1/2023</v>
      </c>
      <c r="L107">
        <v>1065000</v>
      </c>
      <c r="M107">
        <f>_xll.BDP("448474NR Muni","YIELD_ON_ISSUE_DATE")</f>
        <v>1.55</v>
      </c>
      <c r="N107">
        <f>_xll.BDP("448474NR Muni","YTW_SPREAD_TO_MATURITY_AT_ISSU")</f>
        <v>25.226135113145155</v>
      </c>
      <c r="O107" t="str">
        <f>_xll.BDP("448474NR Muni","BVAL_MID_YTM")</f>
        <v>#N/A Authorization</v>
      </c>
      <c r="P107" t="str">
        <f>_xll.BDP("448474NR Muni","MUNI_TAX_PROV")</f>
        <v>FED TAX-EXEMPT</v>
      </c>
      <c r="Q107" t="str">
        <f>_xll.BDP("448474NR Muni","MUNI_FED_TAX")</f>
        <v>N</v>
      </c>
      <c r="R107">
        <f>_xll.BDP("448474NR Muni","MUNI_MSRB_VOLUME")</f>
        <v>20000</v>
      </c>
      <c r="S107" t="str">
        <f>_xll.BDP("448474NR Muni","BB_COMPOSITE")</f>
        <v>#N/A N/A</v>
      </c>
      <c r="T107">
        <f>_xll.BDP("448474NR Muni","LQA_LIQUIDITY_SCORE")</f>
        <v>94</v>
      </c>
    </row>
    <row r="108" spans="1:20" x14ac:dyDescent="0.25">
      <c r="A108" t="str">
        <f>_xll.BDP("79765RT5 Muni","ID_CUSIP")</f>
        <v>79765RT58</v>
      </c>
      <c r="B108" t="s">
        <v>37</v>
      </c>
      <c r="C108" t="str">
        <f>_xll.BDP("79765RT5 Muni","INSURANCE_STATUS")</f>
        <v>N</v>
      </c>
      <c r="D108" t="str">
        <f>_xll.BDP("79765RT5 Muni","STATE_CODE")</f>
        <v>CA</v>
      </c>
      <c r="E108" t="str">
        <f>_xll.BDP("79765RT5 Muni","COUNTY_LOCATION_ISSUER")</f>
        <v>San Francisco, CA</v>
      </c>
      <c r="F108">
        <f>_xll.BDP("79765RT5 Muni","DUR_ADJ_MID")</f>
        <v>0.24673932836467258</v>
      </c>
      <c r="G108">
        <f>_xll.BDP("79765RT5 Muni","SPREAD_AT_ISSUANCE_TO_WORST")</f>
        <v>-6.7639863013698509</v>
      </c>
      <c r="H108" t="str">
        <f>_xll.BDP("79765RT5 Muni","ISSUE_DT")</f>
        <v>12/13/2017</v>
      </c>
      <c r="I108" t="str">
        <f>_xll.BDS("79765RT5 Muni","MUNI_PURPOSE_SCHED", "aggregate=y")</f>
        <v>WATER UTILITY IMPS.</v>
      </c>
      <c r="J108">
        <f>_xll.BDP("79765RT5 Muni","CPN")</f>
        <v>5</v>
      </c>
      <c r="K108" t="str">
        <f>_xll.BDP("79765RT5 Muni","MATURITY")</f>
        <v>11/1/2022</v>
      </c>
      <c r="L108">
        <v>2835000</v>
      </c>
      <c r="M108">
        <f>_xll.BDP("79765RT5 Muni","YIELD_ON_ISSUE_DATE")</f>
        <v>1.71</v>
      </c>
      <c r="N108">
        <f>_xll.BDP("79765RT5 Muni","YTW_SPREAD_TO_MATURITY_AT_ISSU")</f>
        <v>-6.7639863013698509</v>
      </c>
      <c r="O108" t="str">
        <f>_xll.BDP("79765RT5 Muni","BVAL_MID_YTM")</f>
        <v>#N/A Authorization</v>
      </c>
      <c r="P108" t="str">
        <f>_xll.BDP("79765RT5 Muni","MUNI_TAX_PROV")</f>
        <v>FED &amp; ST TAX-EXEMPT</v>
      </c>
      <c r="Q108" t="str">
        <f>_xll.BDP("79765RT5 Muni","MUNI_FED_TAX")</f>
        <v>N</v>
      </c>
      <c r="R108">
        <f>_xll.BDP("79765RT5 Muni","MUNI_MSRB_VOLUME")</f>
        <v>175000</v>
      </c>
      <c r="S108" t="str">
        <f>_xll.BDP("79765RT5 Muni","BB_COMPOSITE")</f>
        <v>AA-</v>
      </c>
      <c r="T108">
        <f>_xll.BDP("79765RT5 Muni","LQA_LIQUIDITY_SCORE")</f>
        <v>97</v>
      </c>
    </row>
    <row r="109" spans="1:20" x14ac:dyDescent="0.25">
      <c r="A109" t="str">
        <f>_xll.BDP("181126LN Muni","ID_CUSIP")</f>
        <v>181126LN1</v>
      </c>
      <c r="B109" t="s">
        <v>48</v>
      </c>
      <c r="C109" t="str">
        <f>_xll.BDP("181126LN Muni","INSURANCE_STATUS")</f>
        <v>N</v>
      </c>
      <c r="D109" t="str">
        <f>_xll.BDP("181126LN Muni","STATE_CODE")</f>
        <v>WA</v>
      </c>
      <c r="E109" t="str">
        <f>_xll.BDP("181126LN Muni","COUNTY_LOCATION_ISSUER")</f>
        <v>Clark, WA</v>
      </c>
      <c r="F109">
        <f>_xll.BDP("181126LN Muni","DUR_ADJ_MID")</f>
        <v>1.3683374245295674</v>
      </c>
      <c r="G109">
        <f>_xll.BDP("181126LN Muni","SPREAD_AT_ISSUANCE_TO_WORST")</f>
        <v>31.724873777648767</v>
      </c>
      <c r="H109" t="str">
        <f>_xll.BDP("181126LN Muni","ISSUE_DT")</f>
        <v>3/30/2017</v>
      </c>
      <c r="I109" t="str">
        <f>_xll.BDS("181126LN Muni","MUNI_PURPOSE_SCHED", "aggregate=y")</f>
        <v>ADVANCE REFUNDING CURRENT REFUNDING WATER UTILITY IMPS.</v>
      </c>
      <c r="J109">
        <f>_xll.BDP("181126LN Muni","CPN")</f>
        <v>5</v>
      </c>
      <c r="K109" t="str">
        <f>_xll.BDP("181126LN Muni","MATURITY")</f>
        <v>1/1/2024</v>
      </c>
      <c r="L109">
        <v>2405000</v>
      </c>
      <c r="M109">
        <f>_xll.BDP("181126LN Muni","YIELD_ON_ISSUE_DATE")</f>
        <v>2.2800000000000002</v>
      </c>
      <c r="N109">
        <f>_xll.BDP("181126LN Muni","YTW_SPREAD_TO_MATURITY_AT_ISSU")</f>
        <v>31.724873777648767</v>
      </c>
      <c r="O109" t="str">
        <f>_xll.BDP("181126LN Muni","BVAL_MID_YTM")</f>
        <v>#N/A Authorization</v>
      </c>
      <c r="P109" t="str">
        <f>_xll.BDP("181126LN Muni","MUNI_TAX_PROV")</f>
        <v>FED TAX-EXEMPT</v>
      </c>
      <c r="Q109" t="str">
        <f>_xll.BDP("181126LN Muni","MUNI_FED_TAX")</f>
        <v>N</v>
      </c>
      <c r="R109">
        <f>_xll.BDP("181126LN Muni","MUNI_MSRB_VOLUME")</f>
        <v>50000</v>
      </c>
      <c r="S109" t="str">
        <f>_xll.BDP("181126LN Muni","BB_COMPOSITE")</f>
        <v>AA-</v>
      </c>
      <c r="T109">
        <f>_xll.BDP("181126LN Muni","LQA_LIQUIDITY_SCORE")</f>
        <v>87</v>
      </c>
    </row>
    <row r="110" spans="1:20" x14ac:dyDescent="0.25">
      <c r="A110" t="str">
        <f>_xll.BDP("59059CAF Muni","ID_CUSIP")</f>
        <v>59059CAF6</v>
      </c>
      <c r="B110" t="s">
        <v>56</v>
      </c>
      <c r="C110" t="str">
        <f>_xll.BDP("59059CAF Muni","INSURANCE_STATUS")</f>
        <v>N</v>
      </c>
      <c r="D110" t="str">
        <f>_xll.BDP("59059CAF Muni","STATE_CODE")</f>
        <v>CA</v>
      </c>
      <c r="E110" t="str">
        <f>_xll.BDP("59059CAF Muni","COUNTY_LOCATION_ISSUER")</f>
        <v>Orange, CA</v>
      </c>
      <c r="F110">
        <f>_xll.BDP("59059CAF Muni","DUR_ADJ_MID")</f>
        <v>0.60316244305034128</v>
      </c>
      <c r="G110">
        <f>_xll.BDP("59059CAF Muni","SPREAD_AT_ISSUANCE_TO_WORST")</f>
        <v>-0.38859651380949156</v>
      </c>
      <c r="H110" t="str">
        <f>_xll.BDP("59059CAF Muni","ISSUE_DT")</f>
        <v>6/21/2017</v>
      </c>
      <c r="I110" t="str">
        <f>_xll.BDS("59059CAF Muni","MUNI_PURPOSE_SCHED", "aggregate=y")</f>
        <v>ADVANCE REFUNDING WATER UTILITY IMPS.</v>
      </c>
      <c r="J110">
        <f>_xll.BDP("59059CAF Muni","CPN")</f>
        <v>5</v>
      </c>
      <c r="K110" t="str">
        <f>_xll.BDP("59059CAF Muni","MATURITY")</f>
        <v>3/15/2023</v>
      </c>
      <c r="L110">
        <v>3385000</v>
      </c>
      <c r="M110">
        <f>_xll.BDP("59059CAF Muni","YIELD_ON_ISSUE_DATE")</f>
        <v>1.31</v>
      </c>
      <c r="N110">
        <f>_xll.BDP("59059CAF Muni","YTW_SPREAD_TO_MATURITY_AT_ISSU")</f>
        <v>-0.38859651380949156</v>
      </c>
      <c r="O110" t="str">
        <f>_xll.BDP("59059CAF Muni","BVAL_MID_YTM")</f>
        <v>#N/A Authorization</v>
      </c>
      <c r="P110" t="str">
        <f>_xll.BDP("59059CAF Muni","MUNI_TAX_PROV")</f>
        <v>FED &amp; ST TAX-EXEMPT</v>
      </c>
      <c r="Q110" t="str">
        <f>_xll.BDP("59059CAF Muni","MUNI_FED_TAX")</f>
        <v>N</v>
      </c>
      <c r="R110">
        <f>_xll.BDP("59059CAF Muni","MUNI_MSRB_VOLUME")</f>
        <v>200000</v>
      </c>
      <c r="S110" t="str">
        <f>_xll.BDP("59059CAF Muni","BB_COMPOSITE")</f>
        <v>AAA</v>
      </c>
      <c r="T110">
        <f>_xll.BDP("59059CAF Muni","LQA_LIQUIDITY_SCORE")</f>
        <v>86</v>
      </c>
    </row>
    <row r="111" spans="1:20" x14ac:dyDescent="0.25">
      <c r="A111" t="str">
        <f>_xll.BDP("593241BF Muni","ID_CUSIP")</f>
        <v>593241BF8</v>
      </c>
      <c r="B111" t="s">
        <v>39</v>
      </c>
      <c r="C111" t="str">
        <f>_xll.BDP("593241BF Muni","INSURANCE_STATUS")</f>
        <v>N</v>
      </c>
      <c r="D111" t="str">
        <f>_xll.BDP("593241BF Muni","STATE_CODE")</f>
        <v>FL</v>
      </c>
      <c r="E111" t="str">
        <f>_xll.BDP("593241BF Muni","COUNTY_LOCATION_ISSUER")</f>
        <v>Dade, FL</v>
      </c>
      <c r="F111">
        <f>_xll.BDP("593241BF Muni","DUR_ADJ_MID")</f>
        <v>8.0501188201119012E-2</v>
      </c>
      <c r="G111">
        <f>_xll.BDP("593241BF Muni","SPREAD_AT_ISSUANCE_TO_WORST")</f>
        <v>20.043452054794521</v>
      </c>
      <c r="H111" t="str">
        <f>_xll.BDP("593241BF Muni","ISSUE_DT")</f>
        <v>12/14/2017</v>
      </c>
      <c r="I111" t="str">
        <f>_xll.BDS("593241BF Muni","MUNI_PURPOSE_SCHED", "aggregate=y")</f>
        <v>WATER UTILITY IMPS. SEWER IMPS. CURRENT REFUNDING</v>
      </c>
      <c r="J111">
        <f>_xll.BDP("593241BF Muni","CPN")</f>
        <v>5</v>
      </c>
      <c r="K111" t="str">
        <f>_xll.BDP("593241BF Muni","MATURITY")</f>
        <v>9/1/2022</v>
      </c>
      <c r="L111">
        <v>1405000</v>
      </c>
      <c r="M111">
        <f>_xll.BDP("593241BF Muni","YIELD_ON_ISSUE_DATE")</f>
        <v>1.96</v>
      </c>
      <c r="N111">
        <f>_xll.BDP("593241BF Muni","YTW_SPREAD_TO_MATURITY_AT_ISSU")</f>
        <v>20.043452054794521</v>
      </c>
      <c r="O111" t="str">
        <f>_xll.BDP("593241BF Muni","BVAL_MID_YTM")</f>
        <v>#N/A Authorization</v>
      </c>
      <c r="P111" t="str">
        <f>_xll.BDP("593241BF Muni","MUNI_TAX_PROV")</f>
        <v>FED &amp; ST TAX-EXEMPT</v>
      </c>
      <c r="Q111" t="str">
        <f>_xll.BDP("593241BF Muni","MUNI_FED_TAX")</f>
        <v>N</v>
      </c>
      <c r="R111">
        <f>_xll.BDP("593241BF Muni","MUNI_MSRB_VOLUME")</f>
        <v>50000</v>
      </c>
      <c r="S111" t="str">
        <f>_xll.BDP("593241BF Muni","BB_COMPOSITE")</f>
        <v>AA-</v>
      </c>
      <c r="T111">
        <f>_xll.BDP("593241BF Muni","LQA_LIQUIDITY_SCORE")</f>
        <v>98</v>
      </c>
    </row>
    <row r="112" spans="1:20" x14ac:dyDescent="0.25">
      <c r="A112" t="str">
        <f>_xll.BDP("64985HXN Muni","ID_CUSIP")</f>
        <v>64985HXN2</v>
      </c>
      <c r="B112" t="s">
        <v>22</v>
      </c>
      <c r="C112" t="str">
        <f>_xll.BDP("64985HXN Muni","INSURANCE_STATUS")</f>
        <v>N</v>
      </c>
      <c r="D112" t="str">
        <f>_xll.BDP("64985HXN Muni","STATE_CODE")</f>
        <v>NY</v>
      </c>
      <c r="E112" t="str">
        <f>_xll.BDP("64985HXN Muni","COUNTY_LOCATION_ISSUER")</f>
        <v>Albany, NY</v>
      </c>
      <c r="F112">
        <f>_xll.BDP("64985HXN Muni","DUR_ADJ_MID")</f>
        <v>0.99998057595686685</v>
      </c>
      <c r="G112">
        <f>_xll.BDP("64985HXN Muni","SPREAD_AT_ISSUANCE_TO_WORST")</f>
        <v>0.81594520547945137</v>
      </c>
      <c r="H112" t="str">
        <f>_xll.BDP("64985HXN Muni","ISSUE_DT")</f>
        <v>11/9/2017</v>
      </c>
      <c r="I112" t="str">
        <f>_xll.BDS("64985HXN Muni","MUNI_PURPOSE_SCHED", "aggregate=y")</f>
        <v>GREEN PURPOSE WATER UTILITY IMPS.</v>
      </c>
      <c r="J112">
        <f>_xll.BDP("64985HXN Muni","CPN")</f>
        <v>4</v>
      </c>
      <c r="K112" t="str">
        <f>_xll.BDP("64985HXN Muni","MATURITY")</f>
        <v>8/15/2023</v>
      </c>
      <c r="L112">
        <v>1015000</v>
      </c>
      <c r="M112">
        <f>_xll.BDP("64985HXN Muni","YIELD_ON_ISSUE_DATE")</f>
        <v>1.46</v>
      </c>
      <c r="N112">
        <f>_xll.BDP("64985HXN Muni","YTW_SPREAD_TO_MATURITY_AT_ISSU")</f>
        <v>0.81594520547945137</v>
      </c>
      <c r="O112" t="str">
        <f>_xll.BDP("64985HXN Muni","BVAL_MID_YTM")</f>
        <v>#N/A Authorization</v>
      </c>
      <c r="P112" t="str">
        <f>_xll.BDP("64985HXN Muni","MUNI_TAX_PROV")</f>
        <v>FED &amp; ST TAX-EXEMPT</v>
      </c>
      <c r="Q112" t="str">
        <f>_xll.BDP("64985HXN Muni","MUNI_FED_TAX")</f>
        <v>N</v>
      </c>
      <c r="R112">
        <f>_xll.BDP("64985HXN Muni","MUNI_MSRB_VOLUME")</f>
        <v>60000</v>
      </c>
      <c r="S112" t="str">
        <f>_xll.BDP("64985HXN Muni","BB_COMPOSITE")</f>
        <v>AAA</v>
      </c>
      <c r="T112">
        <f>_xll.BDP("64985HXN Muni","LQA_LIQUIDITY_SCORE")</f>
        <v>92</v>
      </c>
    </row>
    <row r="113" spans="1:20" x14ac:dyDescent="0.25">
      <c r="A113" t="str">
        <f>_xll.BDP("850777GR Muni","ID_CUSIP")</f>
        <v>850777GR8</v>
      </c>
      <c r="B113" t="s">
        <v>90</v>
      </c>
      <c r="C113" t="str">
        <f>_xll.BDP("850777GR Muni","INSURANCE_STATUS")</f>
        <v>N</v>
      </c>
      <c r="D113" t="str">
        <f>_xll.BDP("850777GR Muni","STATE_CODE")</f>
        <v>MA</v>
      </c>
      <c r="E113" t="str">
        <f>_xll.BDP("850777GR Muni","COUNTY_LOCATION_ISSUER")</f>
        <v>Hampden, MA</v>
      </c>
      <c r="F113">
        <f>_xll.BDP("850777GR Muni","DUR_ADJ_MID")</f>
        <v>2.5063945841239135</v>
      </c>
      <c r="G113">
        <f>_xll.BDP("850777GR Muni","SPREAD_AT_ISSUANCE_TO_WORST")</f>
        <v>10.147652036761624</v>
      </c>
      <c r="H113" t="str">
        <f>_xll.BDP("850777GR Muni","ISSUE_DT")</f>
        <v>7/14/2017</v>
      </c>
      <c r="I113" t="str">
        <f>_xll.BDS("850777GR Muni","MUNI_PURPOSE_SCHED", "aggregate=y")</f>
        <v>WATER UTILITY IMPS. SEWER IMPS.</v>
      </c>
      <c r="J113">
        <f>_xll.BDP("850777GR Muni","CPN")</f>
        <v>5</v>
      </c>
      <c r="K113" t="str">
        <f>_xll.BDP("850777GR Muni","MATURITY")</f>
        <v>4/15/2025</v>
      </c>
      <c r="L113">
        <v>1055000</v>
      </c>
      <c r="M113">
        <f>_xll.BDP("850777GR Muni","YIELD_ON_ISSUE_DATE")</f>
        <v>1.73</v>
      </c>
      <c r="N113">
        <f>_xll.BDP("850777GR Muni","YTW_SPREAD_TO_MATURITY_AT_ISSU")</f>
        <v>10.147652036761624</v>
      </c>
      <c r="O113" t="str">
        <f>_xll.BDP("850777GR Muni","BVAL_MID_YTM")</f>
        <v>#N/A Authorization</v>
      </c>
      <c r="P113" t="str">
        <f>_xll.BDP("850777GR Muni","MUNI_TAX_PROV")</f>
        <v>FED &amp; ST TAX-EXEMPT</v>
      </c>
      <c r="Q113" t="str">
        <f>_xll.BDP("850777GR Muni","MUNI_FED_TAX")</f>
        <v>N</v>
      </c>
      <c r="R113">
        <f>_xll.BDP("850777GR Muni","MUNI_MSRB_VOLUME")</f>
        <v>40000</v>
      </c>
      <c r="S113" t="str">
        <f>_xll.BDP("850777GR Muni","BB_COMPOSITE")</f>
        <v>#N/A N/A</v>
      </c>
      <c r="T113">
        <f>_xll.BDP("850777GR Muni","LQA_LIQUIDITY_SCORE")</f>
        <v>83</v>
      </c>
    </row>
    <row r="114" spans="1:20" x14ac:dyDescent="0.25">
      <c r="A114" t="str">
        <f>_xll.BDP("655867VW Muni","ID_CUSIP")</f>
        <v>655867VW6</v>
      </c>
      <c r="B114" t="s">
        <v>65</v>
      </c>
      <c r="C114" t="str">
        <f>_xll.BDP("655867VW Muni","INSURANCE_STATUS")</f>
        <v>N</v>
      </c>
      <c r="D114" t="str">
        <f>_xll.BDP("655867VW Muni","STATE_CODE")</f>
        <v>VA</v>
      </c>
      <c r="E114" t="str">
        <f>_xll.BDP("655867VW Muni","COUNTY_LOCATION_ISSUER")</f>
        <v>Norfolk, VA</v>
      </c>
      <c r="F114">
        <f>_xll.BDP("655867VW Muni","DUR_ADJ_MID")</f>
        <v>1.9509514813711213</v>
      </c>
      <c r="G114">
        <f>_xll.BDP("655867VW Muni","SPREAD_AT_ISSUANCE_TO_WORST")</f>
        <v>8.3469479452054962</v>
      </c>
      <c r="H114" t="str">
        <f>_xll.BDP("655867VW Muni","ISSUE_DT")</f>
        <v>12/5/2017</v>
      </c>
      <c r="I114" t="str">
        <f>_xll.BDS("655867VW Muni","MUNI_PURPOSE_SCHED", "aggregate=y")</f>
        <v>PUBLIC IMPS. WATER UTILITY IMPS. SEWER IMPS.</v>
      </c>
      <c r="J114">
        <f>_xll.BDP("655867VW Muni","CPN")</f>
        <v>5</v>
      </c>
      <c r="K114" t="str">
        <f>_xll.BDP("655867VW Muni","MATURITY")</f>
        <v>9/1/2024</v>
      </c>
      <c r="L114">
        <v>5510000</v>
      </c>
      <c r="M114">
        <f>_xll.BDP("655867VW Muni","YIELD_ON_ISSUE_DATE")</f>
        <v>1.79</v>
      </c>
      <c r="N114">
        <f>_xll.BDP("655867VW Muni","YTW_SPREAD_TO_MATURITY_AT_ISSU")</f>
        <v>8.3469479452054962</v>
      </c>
      <c r="O114" t="str">
        <f>_xll.BDP("655867VW Muni","BVAL_MID_YTM")</f>
        <v>#N/A Authorization</v>
      </c>
      <c r="P114" t="str">
        <f>_xll.BDP("655867VW Muni","MUNI_TAX_PROV")</f>
        <v>FED &amp; ST TAX-EXEMPT</v>
      </c>
      <c r="Q114" t="str">
        <f>_xll.BDP("655867VW Muni","MUNI_FED_TAX")</f>
        <v>N</v>
      </c>
      <c r="R114">
        <f>_xll.BDP("655867VW Muni","MUNI_MSRB_VOLUME")</f>
        <v>15000</v>
      </c>
      <c r="S114" t="str">
        <f>_xll.BDP("655867VW Muni","BB_COMPOSITE")</f>
        <v>AA+</v>
      </c>
      <c r="T114">
        <f>_xll.BDP("655867VW Muni","LQA_LIQUIDITY_SCORE")</f>
        <v>85</v>
      </c>
    </row>
    <row r="115" spans="1:20" x14ac:dyDescent="0.25">
      <c r="A115" t="str">
        <f>_xll.BDP("695283CW Muni","ID_CUSIP")</f>
        <v>695283CW9</v>
      </c>
      <c r="B115" t="s">
        <v>34</v>
      </c>
      <c r="C115" t="str">
        <f>_xll.BDP("695283CW Muni","INSURANCE_STATUS")</f>
        <v>N</v>
      </c>
      <c r="D115" t="str">
        <f>_xll.BDP("695283CW Muni","STATE_CODE")</f>
        <v>CA</v>
      </c>
      <c r="E115" t="str">
        <f>_xll.BDP("695283CW Muni","COUNTY_LOCATION_ISSUER")</f>
        <v>San Diego, CA</v>
      </c>
      <c r="F115">
        <f>_xll.BDP("695283CW Muni","DUR_ADJ_MID")</f>
        <v>0.16363443033687727</v>
      </c>
      <c r="G115">
        <f>_xll.BDP("695283CW Muni","SPREAD_AT_ISSUANCE_TO_WORST")</f>
        <v>6.5639868132928436</v>
      </c>
      <c r="H115" t="str">
        <f>_xll.BDP("695283CW Muni","ISSUE_DT")</f>
        <v>6/15/2017</v>
      </c>
      <c r="I115" t="str">
        <f>_xll.BDS("695283CW Muni","MUNI_PURPOSE_SCHED", "aggregate=y")</f>
        <v>ADVANCE REFUNDING WATER UTILITY IMPS.</v>
      </c>
      <c r="J115">
        <f>_xll.BDP("695283CW Muni","CPN")</f>
        <v>5</v>
      </c>
      <c r="K115" t="str">
        <f>_xll.BDP("695283CW Muni","MATURITY")</f>
        <v>10/1/2022</v>
      </c>
      <c r="L115">
        <v>1610000</v>
      </c>
      <c r="M115">
        <f>_xll.BDP("695283CW Muni","YIELD_ON_ISSUE_DATE")</f>
        <v>1.29</v>
      </c>
      <c r="N115">
        <f>_xll.BDP("695283CW Muni","YTW_SPREAD_TO_MATURITY_AT_ISSU")</f>
        <v>6.5639868132928436</v>
      </c>
      <c r="O115" t="str">
        <f>_xll.BDP("695283CW Muni","BVAL_MID_YTM")</f>
        <v>#N/A Authorization</v>
      </c>
      <c r="P115" t="str">
        <f>_xll.BDP("695283CW Muni","MUNI_TAX_PROV")</f>
        <v>FED &amp; ST TAX-EXEMPT</v>
      </c>
      <c r="Q115" t="str">
        <f>_xll.BDP("695283CW Muni","MUNI_FED_TAX")</f>
        <v>N</v>
      </c>
      <c r="R115">
        <f>_xll.BDP("695283CW Muni","MUNI_MSRB_VOLUME")</f>
        <v>30000</v>
      </c>
      <c r="S115" t="str">
        <f>_xll.BDP("695283CW Muni","BB_COMPOSITE")</f>
        <v>AA+</v>
      </c>
      <c r="T115">
        <f>_xll.BDP("695283CW Muni","LQA_LIQUIDITY_SCORE")</f>
        <v>95</v>
      </c>
    </row>
    <row r="116" spans="1:20" x14ac:dyDescent="0.25">
      <c r="A116" t="str">
        <f>_xll.BDP("917572WJ Muni","ID_CUSIP")</f>
        <v>917572WJ4</v>
      </c>
      <c r="B116" t="s">
        <v>26</v>
      </c>
      <c r="C116" t="str">
        <f>_xll.BDP("917572WJ Muni","INSURANCE_STATUS")</f>
        <v>N</v>
      </c>
      <c r="D116" t="str">
        <f>_xll.BDP("917572WJ Muni","STATE_CODE")</f>
        <v>UT</v>
      </c>
      <c r="E116" t="str">
        <f>_xll.BDP("917572WJ Muni","COUNTY_LOCATION_ISSUER")</f>
        <v>Salt Lake, UT</v>
      </c>
      <c r="F116">
        <f>_xll.BDP("917572WJ Muni","DUR_ADJ_MID")</f>
        <v>2.3860119190640283</v>
      </c>
      <c r="G116">
        <f>_xll.BDP("917572WJ Muni","SPREAD_AT_ISSUANCE_TO_WORST")</f>
        <v>18.30081017979812</v>
      </c>
      <c r="H116" t="str">
        <f>_xll.BDP("917572WJ Muni","ISSUE_DT")</f>
        <v>7/20/2017</v>
      </c>
      <c r="I116" t="str">
        <f>_xll.BDS("917572WJ Muni","MUNI_PURPOSE_SCHED", "aggregate=y")</f>
        <v>WATER UTILITY IMPS. SEWER IMPS.</v>
      </c>
      <c r="J116">
        <f>_xll.BDP("917572WJ Muni","CPN")</f>
        <v>5</v>
      </c>
      <c r="K116" t="str">
        <f>_xll.BDP("917572WJ Muni","MATURITY")</f>
        <v>3/1/2025</v>
      </c>
      <c r="L116">
        <v>3475000</v>
      </c>
      <c r="M116">
        <f>_xll.BDP("917572WJ Muni","YIELD_ON_ISSUE_DATE")</f>
        <v>1.78</v>
      </c>
      <c r="N116">
        <f>_xll.BDP("917572WJ Muni","YTW_SPREAD_TO_MATURITY_AT_ISSU")</f>
        <v>18.30081017979812</v>
      </c>
      <c r="O116" t="str">
        <f>_xll.BDP("917572WJ Muni","BVAL_MID_YTM")</f>
        <v>#N/A Authorization</v>
      </c>
      <c r="P116" t="str">
        <f>_xll.BDP("917572WJ Muni","MUNI_TAX_PROV")</f>
        <v>FED &amp; ST TAX-EXEMPT</v>
      </c>
      <c r="Q116" t="str">
        <f>_xll.BDP("917572WJ Muni","MUNI_FED_TAX")</f>
        <v>N</v>
      </c>
      <c r="R116">
        <f>_xll.BDP("917572WJ Muni","MUNI_MSRB_VOLUME")</f>
        <v>20000</v>
      </c>
      <c r="S116" t="str">
        <f>_xll.BDP("917572WJ Muni","BB_COMPOSITE")</f>
        <v>AA</v>
      </c>
      <c r="T116">
        <f>_xll.BDP("917572WJ Muni","LQA_LIQUIDITY_SCORE")</f>
        <v>74</v>
      </c>
    </row>
    <row r="117" spans="1:20" x14ac:dyDescent="0.25">
      <c r="A117" t="str">
        <f>_xll.BDP("19679ERS Muni","ID_CUSIP")</f>
        <v>19679ERS0</v>
      </c>
      <c r="B117" t="s">
        <v>91</v>
      </c>
      <c r="C117" t="str">
        <f>_xll.BDP("19679ERS Muni","INSURANCE_STATUS")</f>
        <v>N</v>
      </c>
      <c r="D117" t="str">
        <f>_xll.BDP("19679ERS Muni","STATE_CODE")</f>
        <v>CO</v>
      </c>
      <c r="E117" t="str">
        <f>_xll.BDP("19679ERS Muni","COUNTY_LOCATION_ISSUER")</f>
        <v>Denver, CO</v>
      </c>
      <c r="F117">
        <f>_xll.BDP("19679ERS Muni","DUR_ADJ_MID")</f>
        <v>4.4619578676181053</v>
      </c>
      <c r="G117">
        <f>_xll.BDP("19679ERS Muni","SPREAD_AT_ISSUANCE_TO_WORST")</f>
        <v>-0.15169589041099663</v>
      </c>
      <c r="H117" t="str">
        <f>_xll.BDP("19679ERS Muni","ISSUE_DT")</f>
        <v>11/15/2017</v>
      </c>
      <c r="I117" t="str">
        <f>_xll.BDS("19679ERS Muni","MUNI_PURPOSE_SCHED", "aggregate=y")</f>
        <v>WATER UTILITY IMPS.</v>
      </c>
      <c r="J117">
        <f>_xll.BDP("19679ERS Muni","CPN")</f>
        <v>5</v>
      </c>
      <c r="K117" t="str">
        <f>_xll.BDP("19679ERS Muni","MATURITY")</f>
        <v>9/1/2027</v>
      </c>
      <c r="L117">
        <v>735000</v>
      </c>
      <c r="M117">
        <f>_xll.BDP("19679ERS Muni","YIELD_ON_ISSUE_DATE")</f>
        <v>2</v>
      </c>
      <c r="N117">
        <f>_xll.BDP("19679ERS Muni","YTW_SPREAD_TO_MATURITY_AT_ISSU")</f>
        <v>-0.15169589041099663</v>
      </c>
      <c r="O117" t="str">
        <f>_xll.BDP("19679ERS Muni","BVAL_MID_YTM")</f>
        <v>#N/A Authorization</v>
      </c>
      <c r="P117" t="str">
        <f>_xll.BDP("19679ERS Muni","MUNI_TAX_PROV")</f>
        <v>FED &amp; ST TAX-EXEMPT</v>
      </c>
      <c r="Q117" t="str">
        <f>_xll.BDP("19679ERS Muni","MUNI_FED_TAX")</f>
        <v>N</v>
      </c>
      <c r="R117">
        <f>_xll.BDP("19679ERS Muni","MUNI_MSRB_VOLUME")</f>
        <v>30000</v>
      </c>
      <c r="S117" t="str">
        <f>_xll.BDP("19679ERS Muni","BB_COMPOSITE")</f>
        <v>AAA</v>
      </c>
      <c r="T117">
        <f>_xll.BDP("19679ERS Muni","LQA_LIQUIDITY_SCORE")</f>
        <v>68</v>
      </c>
    </row>
    <row r="118" spans="1:20" x14ac:dyDescent="0.25">
      <c r="A118" t="str">
        <f>_xll.BDP("544525VR Muni","ID_CUSIP")</f>
        <v>544525VR6</v>
      </c>
      <c r="B118" t="s">
        <v>44</v>
      </c>
      <c r="C118" t="str">
        <f>_xll.BDP("544525VR Muni","INSURANCE_STATUS")</f>
        <v>N</v>
      </c>
      <c r="D118" t="str">
        <f>_xll.BDP("544525VR Muni","STATE_CODE")</f>
        <v>CA</v>
      </c>
      <c r="E118" t="str">
        <f>_xll.BDP("544525VR Muni","COUNTY_LOCATION_ISSUER")</f>
        <v>Los Angeles, CA</v>
      </c>
      <c r="F118">
        <f>_xll.BDP("544525VR Muni","DUR_ADJ_MID")</f>
        <v>0.89382504427300447</v>
      </c>
      <c r="G118">
        <f>_xll.BDP("544525VR Muni","SPREAD_AT_ISSUANCE_TO_WORST")</f>
        <v>1.743587820882686</v>
      </c>
      <c r="H118" t="str">
        <f>_xll.BDP("544525VR Muni","ISSUE_DT")</f>
        <v>5/11/2017</v>
      </c>
      <c r="I118" t="str">
        <f>_xll.BDS("544525VR Muni","MUNI_PURPOSE_SCHED", "aggregate=y")</f>
        <v>CURRENT REFUNDING WATER UTILITY IMPS. REPAYMENT OF BANK LOAN</v>
      </c>
      <c r="J118">
        <f>_xll.BDP("544525VR Muni","CPN")</f>
        <v>5</v>
      </c>
      <c r="K118" t="str">
        <f>_xll.BDP("544525VR Muni","MATURITY")</f>
        <v>7/1/2023</v>
      </c>
      <c r="L118">
        <v>5245000</v>
      </c>
      <c r="M118">
        <f>_xll.BDP("544525VR Muni","YIELD_ON_ISSUE_DATE")</f>
        <v>1.6</v>
      </c>
      <c r="N118">
        <f>_xll.BDP("544525VR Muni","YTW_SPREAD_TO_MATURITY_AT_ISSU")</f>
        <v>1.743587820882686</v>
      </c>
      <c r="O118" t="str">
        <f>_xll.BDP("544525VR Muni","BVAL_MID_YTM")</f>
        <v>#N/A Authorization</v>
      </c>
      <c r="P118" t="str">
        <f>_xll.BDP("544525VR Muni","MUNI_TAX_PROV")</f>
        <v>FED &amp; ST TAX-EXEMPT</v>
      </c>
      <c r="Q118" t="str">
        <f>_xll.BDP("544525VR Muni","MUNI_FED_TAX")</f>
        <v>N</v>
      </c>
      <c r="R118">
        <f>_xll.BDP("544525VR Muni","MUNI_MSRB_VOLUME")</f>
        <v>25000</v>
      </c>
      <c r="S118" t="str">
        <f>_xll.BDP("544525VR Muni","BB_COMPOSITE")</f>
        <v>AA</v>
      </c>
      <c r="T118">
        <f>_xll.BDP("544525VR Muni","LQA_LIQUIDITY_SCORE")</f>
        <v>90</v>
      </c>
    </row>
    <row r="119" spans="1:20" x14ac:dyDescent="0.25">
      <c r="A119" t="str">
        <f>_xll.BDP("80168FMQ Muni","ID_CUSIP")</f>
        <v>80168FMQ6</v>
      </c>
      <c r="B119" t="s">
        <v>50</v>
      </c>
      <c r="C119" t="str">
        <f>_xll.BDP("80168FMQ Muni","INSURANCE_STATUS")</f>
        <v>N</v>
      </c>
      <c r="D119" t="str">
        <f>_xll.BDP("80168FMQ Muni","STATE_CODE")</f>
        <v>CA</v>
      </c>
      <c r="E119" t="str">
        <f>_xll.BDP("80168FMQ Muni","COUNTY_LOCATION_ISSUER")</f>
        <v>Santa Clara, CA</v>
      </c>
      <c r="F119">
        <f>_xll.BDP("80168FMQ Muni","DUR_ADJ_MID")</f>
        <v>0.49388908280646371</v>
      </c>
      <c r="G119">
        <f>_xll.BDP("80168FMQ Muni","SPREAD_AT_ISSUANCE_TO_WORST")</f>
        <v>-2.8607153628451343</v>
      </c>
      <c r="H119" t="str">
        <f>_xll.BDP("80168FMQ Muni","ISSUE_DT")</f>
        <v>3/7/2017</v>
      </c>
      <c r="I119" t="str">
        <f>_xll.BDS("80168FMQ Muni","MUNI_PURPOSE_SCHED", "aggregate=y")</f>
        <v>CURRENT REFUNDING WATER UTILITY IMPS.</v>
      </c>
      <c r="J119">
        <f>_xll.BDP("80168FMQ Muni","CPN")</f>
        <v>5</v>
      </c>
      <c r="K119" t="str">
        <f>_xll.BDP("80168FMQ Muni","MATURITY")</f>
        <v>2/1/2023</v>
      </c>
      <c r="L119">
        <v>4350000</v>
      </c>
      <c r="M119">
        <f>_xll.BDP("80168FMQ Muni","YIELD_ON_ISSUE_DATE")</f>
        <v>1.71</v>
      </c>
      <c r="N119">
        <f>_xll.BDP("80168FMQ Muni","YTW_SPREAD_TO_MATURITY_AT_ISSU")</f>
        <v>-2.8607153628451343</v>
      </c>
      <c r="O119" t="str">
        <f>_xll.BDP("80168FMQ Muni","BVAL_MID_YTM")</f>
        <v>#N/A Authorization</v>
      </c>
      <c r="P119" t="str">
        <f>_xll.BDP("80168FMQ Muni","MUNI_TAX_PROV")</f>
        <v>FED &amp; ST TAX-EXEMPT</v>
      </c>
      <c r="Q119" t="str">
        <f>_xll.BDP("80168FMQ Muni","MUNI_FED_TAX")</f>
        <v>N</v>
      </c>
      <c r="R119">
        <f>_xll.BDP("80168FMQ Muni","MUNI_MSRB_VOLUME")</f>
        <v>100000</v>
      </c>
      <c r="S119" t="str">
        <f>_xll.BDP("80168FMQ Muni","BB_COMPOSITE")</f>
        <v>AA+</v>
      </c>
      <c r="T119">
        <f>_xll.BDP("80168FMQ Muni","LQA_LIQUIDITY_SCORE")</f>
        <v>93</v>
      </c>
    </row>
    <row r="120" spans="1:20" x14ac:dyDescent="0.25">
      <c r="A120" t="str">
        <f>_xll.BDP("122106CQ Muni","ID_CUSIP")</f>
        <v>122106CQ8</v>
      </c>
      <c r="B120" t="s">
        <v>92</v>
      </c>
      <c r="C120" t="str">
        <f>_xll.BDP("122106CQ Muni","INSURANCE_STATUS")</f>
        <v>N</v>
      </c>
      <c r="D120" t="str">
        <f>_xll.BDP("122106CQ Muni","STATE_CODE")</f>
        <v>VT</v>
      </c>
      <c r="E120" t="str">
        <f>_xll.BDP("122106CQ Muni","COUNTY_LOCATION_ISSUER")</f>
        <v>Chittenden, VT</v>
      </c>
      <c r="F120">
        <f>_xll.BDP("122106CQ Muni","DUR_ADJ_MID")</f>
        <v>2.1364437483297931</v>
      </c>
      <c r="G120">
        <f>_xll.BDP("122106CQ Muni","SPREAD_AT_ISSUANCE_TO_WORST")</f>
        <v>44.936645814676666</v>
      </c>
      <c r="H120" t="str">
        <f>_xll.BDP("122106CQ Muni","ISSUE_DT")</f>
        <v>6/6/2017</v>
      </c>
      <c r="I120" t="str">
        <f>_xll.BDS("122106CQ Muni","MUNI_PURPOSE_SCHED", "aggregate=y")</f>
        <v>WATER UTILITY IMPS.</v>
      </c>
      <c r="J120">
        <f>_xll.BDP("122106CQ Muni","CPN")</f>
        <v>4</v>
      </c>
      <c r="K120" t="str">
        <f>_xll.BDP("122106CQ Muni","MATURITY")</f>
        <v>11/1/2024</v>
      </c>
      <c r="L120">
        <v>140000</v>
      </c>
      <c r="M120">
        <f>_xll.BDP("122106CQ Muni","YIELD_ON_ISSUE_DATE")</f>
        <v>2.08</v>
      </c>
      <c r="N120">
        <f>_xll.BDP("122106CQ Muni","YTW_SPREAD_TO_MATURITY_AT_ISSU")</f>
        <v>44.936645814676666</v>
      </c>
      <c r="O120" t="str">
        <f>_xll.BDP("122106CQ Muni","BVAL_MID_YTM")</f>
        <v>#N/A Authorization</v>
      </c>
      <c r="P120" t="str">
        <f>_xll.BDP("122106CQ Muni","MUNI_TAX_PROV")</f>
        <v>FED &amp; ST TAX-EXEMPT</v>
      </c>
      <c r="Q120" t="str">
        <f>_xll.BDP("122106CQ Muni","MUNI_FED_TAX")</f>
        <v>N</v>
      </c>
      <c r="R120">
        <f>_xll.BDP("122106CQ Muni","MUNI_MSRB_VOLUME")</f>
        <v>10000</v>
      </c>
      <c r="S120" t="str">
        <f>_xll.BDP("122106CQ Muni","BB_COMPOSITE")</f>
        <v>#N/A N/A</v>
      </c>
      <c r="T120">
        <f>_xll.BDP("122106CQ Muni","LQA_LIQUIDITY_SCORE")</f>
        <v>70</v>
      </c>
    </row>
    <row r="121" spans="1:20" x14ac:dyDescent="0.25">
      <c r="A121" t="str">
        <f>_xll.BDP("147056FQ Muni","ID_CUSIP")</f>
        <v>147056FQ3</v>
      </c>
      <c r="B121" t="s">
        <v>93</v>
      </c>
      <c r="C121" t="str">
        <f>_xll.BDP("147056FQ Muni","INSURANCE_STATUS")</f>
        <v>N</v>
      </c>
      <c r="D121" t="str">
        <f>_xll.BDP("147056FQ Muni","STATE_CODE")</f>
        <v>NC</v>
      </c>
      <c r="E121" t="str">
        <f>_xll.BDP("147056FQ Muni","COUNTY_LOCATION_ISSUER")</f>
        <v>Wake, NC</v>
      </c>
      <c r="F121">
        <f>_xll.BDP("147056FQ Muni","DUR_ADJ_MID")</f>
        <v>2.19967263945157</v>
      </c>
      <c r="G121">
        <f>_xll.BDP("147056FQ Muni","SPREAD_AT_ISSUANCE_TO_WORST")</f>
        <v>12.910814472545805</v>
      </c>
      <c r="H121" t="str">
        <f>_xll.BDP("147056FQ Muni","ISSUE_DT")</f>
        <v>3/16/2017</v>
      </c>
      <c r="I121" t="str">
        <f>_xll.BDS("147056FQ Muni","MUNI_PURPOSE_SCHED", "aggregate=y")</f>
        <v>WATER UTILITY IMPS. SEWER IMPS.</v>
      </c>
      <c r="J121">
        <f>_xll.BDP("147056FQ Muni","CPN")</f>
        <v>5</v>
      </c>
      <c r="K121" t="str">
        <f>_xll.BDP("147056FQ Muni","MATURITY")</f>
        <v>12/1/2024</v>
      </c>
      <c r="L121">
        <v>995000</v>
      </c>
      <c r="M121">
        <f>_xll.BDP("147056FQ Muni","YIELD_ON_ISSUE_DATE")</f>
        <v>2.12</v>
      </c>
      <c r="N121">
        <f>_xll.BDP("147056FQ Muni","YTW_SPREAD_TO_MATURITY_AT_ISSU")</f>
        <v>12.910814472545805</v>
      </c>
      <c r="O121" t="str">
        <f>_xll.BDP("147056FQ Muni","BVAL_MID_YTM")</f>
        <v>#N/A Authorization</v>
      </c>
      <c r="P121" t="str">
        <f>_xll.BDP("147056FQ Muni","MUNI_TAX_PROV")</f>
        <v>FED &amp; ST TAX-EXEMPT</v>
      </c>
      <c r="Q121" t="str">
        <f>_xll.BDP("147056FQ Muni","MUNI_FED_TAX")</f>
        <v>N</v>
      </c>
      <c r="R121">
        <f>_xll.BDP("147056FQ Muni","MUNI_MSRB_VOLUME")</f>
        <v>40000</v>
      </c>
      <c r="S121" t="str">
        <f>_xll.BDP("147056FQ Muni","BB_COMPOSITE")</f>
        <v>AAA</v>
      </c>
      <c r="T121">
        <f>_xll.BDP("147056FQ Muni","LQA_LIQUIDITY_SCORE")</f>
        <v>82</v>
      </c>
    </row>
    <row r="122" spans="1:20" x14ac:dyDescent="0.25">
      <c r="A122" t="str">
        <f>_xll.BDP("303891B4 Muni","ID_CUSIP")</f>
        <v>303891B46</v>
      </c>
      <c r="B122" t="s">
        <v>41</v>
      </c>
      <c r="C122" t="str">
        <f>_xll.BDP("303891B4 Muni","INSURANCE_STATUS")</f>
        <v>N</v>
      </c>
      <c r="D122" t="str">
        <f>_xll.BDP("303891B4 Muni","STATE_CODE")</f>
        <v>VA</v>
      </c>
      <c r="E122" t="str">
        <f>_xll.BDP("303891B4 Muni","COUNTY_LOCATION_ISSUER")</f>
        <v>Fairfax, VA</v>
      </c>
      <c r="F122">
        <f>_xll.BDP("303891B4 Muni","DUR_ADJ_MID")</f>
        <v>1.5819061025335241</v>
      </c>
      <c r="G122">
        <f>_xll.BDP("303891B4 Muni","SPREAD_AT_ISSUANCE_TO_WORST")</f>
        <v>-4.624718959628038</v>
      </c>
      <c r="H122" t="str">
        <f>_xll.BDP("303891B4 Muni","ISSUE_DT")</f>
        <v>3/1/2017</v>
      </c>
      <c r="I122" t="str">
        <f>_xll.BDS("303891B4 Muni","MUNI_PURPOSE_SCHED", "aggregate=y")</f>
        <v>CURRENT REFUNDING WATER UTILITY IMPS.</v>
      </c>
      <c r="J122">
        <f>_xll.BDP("303891B4 Muni","CPN")</f>
        <v>5</v>
      </c>
      <c r="K122" t="str">
        <f>_xll.BDP("303891B4 Muni","MATURITY")</f>
        <v>4/1/2024</v>
      </c>
      <c r="L122">
        <v>5530000</v>
      </c>
      <c r="M122">
        <f>_xll.BDP("303891B4 Muni","YIELD_ON_ISSUE_DATE")</f>
        <v>1.86</v>
      </c>
      <c r="N122">
        <f>_xll.BDP("303891B4 Muni","YTW_SPREAD_TO_MATURITY_AT_ISSU")</f>
        <v>-4.624718959628038</v>
      </c>
      <c r="O122" t="str">
        <f>_xll.BDP("303891B4 Muni","BVAL_MID_YTM")</f>
        <v>#N/A Authorization</v>
      </c>
      <c r="P122" t="str">
        <f>_xll.BDP("303891B4 Muni","MUNI_TAX_PROV")</f>
        <v>FED &amp; ST TAX-EXEMPT</v>
      </c>
      <c r="Q122" t="str">
        <f>_xll.BDP("303891B4 Muni","MUNI_FED_TAX")</f>
        <v>N</v>
      </c>
      <c r="R122">
        <f>_xll.BDP("303891B4 Muni","MUNI_MSRB_VOLUME")</f>
        <v>40000</v>
      </c>
      <c r="S122" t="str">
        <f>_xll.BDP("303891B4 Muni","BB_COMPOSITE")</f>
        <v>AAA</v>
      </c>
      <c r="T122">
        <f>_xll.BDP("303891B4 Muni","LQA_LIQUIDITY_SCORE")</f>
        <v>89</v>
      </c>
    </row>
    <row r="123" spans="1:20" x14ac:dyDescent="0.25">
      <c r="A123" t="str">
        <f>_xll.BDP("882854YV Muni","ID_CUSIP")</f>
        <v>882854YV8</v>
      </c>
      <c r="B123" t="s">
        <v>31</v>
      </c>
      <c r="C123" t="str">
        <f>_xll.BDP("882854YV Muni","INSURANCE_STATUS")</f>
        <v>N</v>
      </c>
      <c r="D123" t="str">
        <f>_xll.BDP("882854YV Muni","STATE_CODE")</f>
        <v>TX</v>
      </c>
      <c r="E123" t="str">
        <f>_xll.BDP("882854YV Muni","COUNTY_LOCATION_ISSUER")</f>
        <v>Travis, TX</v>
      </c>
      <c r="F123">
        <f>_xll.BDP("882854YV Muni","DUR_ADJ_MID")</f>
        <v>0.2017358869628664</v>
      </c>
      <c r="G123">
        <f>_xll.BDP("882854YV Muni","SPREAD_AT_ISSUANCE_TO_WORST")</f>
        <v>32.386231367989062</v>
      </c>
      <c r="H123" t="str">
        <f>_xll.BDP("882854YV Muni","ISSUE_DT")</f>
        <v>10/12/2017</v>
      </c>
      <c r="I123" t="str">
        <f>_xll.BDS("882854YV Muni","MUNI_PURPOSE_SCHED", "aggregate=y")</f>
        <v>WATER UTILITY IMPS.</v>
      </c>
      <c r="J123">
        <f>_xll.BDP("882854YV Muni","CPN")</f>
        <v>2.2000000000000002</v>
      </c>
      <c r="K123" t="str">
        <f>_xll.BDP("882854YV Muni","MATURITY")</f>
        <v>10/15/2022</v>
      </c>
      <c r="L123">
        <v>530000</v>
      </c>
      <c r="M123">
        <f>_xll.BDP("882854YV Muni","YIELD_ON_ISSUE_DATE")</f>
        <v>2.2000000000000002</v>
      </c>
      <c r="N123">
        <f>_xll.BDP("882854YV Muni","YTW_SPREAD_TO_MATURITY_AT_ISSU")</f>
        <v>32.386231367989062</v>
      </c>
      <c r="O123" t="str">
        <f>_xll.BDP("882854YV Muni","BVAL_MID_YTM")</f>
        <v>#N/A Authorization</v>
      </c>
      <c r="P123" t="str">
        <f>_xll.BDP("882854YV Muni","MUNI_TAX_PROV")</f>
        <v>FED TAXABLE</v>
      </c>
      <c r="Q123" t="str">
        <f>_xll.BDP("882854YV Muni","MUNI_FED_TAX")</f>
        <v>Y</v>
      </c>
      <c r="R123">
        <f>_xll.BDP("882854YV Muni","MUNI_MSRB_VOLUME")</f>
        <v>50000</v>
      </c>
      <c r="S123" t="str">
        <f>_xll.BDP("882854YV Muni","BB_COMPOSITE")</f>
        <v>AAA</v>
      </c>
      <c r="T123">
        <f>_xll.BDP("882854YV Muni","LQA_LIQUIDITY_SCORE")</f>
        <v>97</v>
      </c>
    </row>
    <row r="124" spans="1:20" x14ac:dyDescent="0.25">
      <c r="A124" t="str">
        <f>_xll.BDP("118828HQ Muni","ID_CUSIP")</f>
        <v>118828HQ8</v>
      </c>
      <c r="B124" t="s">
        <v>94</v>
      </c>
      <c r="C124" t="str">
        <f>_xll.BDP("118828HQ Muni","INSURANCE_STATUS")</f>
        <v>N</v>
      </c>
      <c r="D124" t="str">
        <f>_xll.BDP("118828HQ Muni","STATE_CODE")</f>
        <v>TX</v>
      </c>
      <c r="E124" t="str">
        <f>_xll.BDP("118828HQ Muni","COUNTY_LOCATION_ISSUER")</f>
        <v>Hays, TX</v>
      </c>
      <c r="F124">
        <f>_xll.BDP("118828HQ Muni","DUR_ADJ_MID")</f>
        <v>2.7787414363043368</v>
      </c>
      <c r="G124">
        <f>_xll.BDP("118828HQ Muni","SPREAD_AT_ISSUANCE_TO_WORST")</f>
        <v>12.331389041095896</v>
      </c>
      <c r="H124" t="str">
        <f>_xll.BDP("118828HQ Muni","ISSUE_DT")</f>
        <v>12/6/2017</v>
      </c>
      <c r="I124" t="str">
        <f>_xll.BDS("118828HQ Muni","MUNI_PURPOSE_SCHED", "aggregate=y")</f>
        <v>WATER UTILITY IMPS. SEWER IMPS.</v>
      </c>
      <c r="J124">
        <f>_xll.BDP("118828HQ Muni","CPN")</f>
        <v>5</v>
      </c>
      <c r="K124" t="str">
        <f>_xll.BDP("118828HQ Muni","MATURITY")</f>
        <v>8/15/2025</v>
      </c>
      <c r="L124">
        <v>915000</v>
      </c>
      <c r="M124">
        <f>_xll.BDP("118828HQ Muni","YIELD_ON_ISSUE_DATE")</f>
        <v>1.87</v>
      </c>
      <c r="N124">
        <f>_xll.BDP("118828HQ Muni","YTW_SPREAD_TO_MATURITY_AT_ISSU")</f>
        <v>12.331389041095896</v>
      </c>
      <c r="O124" t="str">
        <f>_xll.BDP("118828HQ Muni","BVAL_MID_YTM")</f>
        <v>#N/A Authorization</v>
      </c>
      <c r="P124" t="str">
        <f>_xll.BDP("118828HQ Muni","MUNI_TAX_PROV")</f>
        <v>FED TAX-EXEMPT</v>
      </c>
      <c r="Q124" t="str">
        <f>_xll.BDP("118828HQ Muni","MUNI_FED_TAX")</f>
        <v>N</v>
      </c>
      <c r="R124">
        <f>_xll.BDP("118828HQ Muni","MUNI_MSRB_VOLUME")</f>
        <v>25000</v>
      </c>
      <c r="S124" t="str">
        <f>_xll.BDP("118828HQ Muni","BB_COMPOSITE")</f>
        <v>#N/A N/A</v>
      </c>
      <c r="T124">
        <f>_xll.BDP("118828HQ Muni","LQA_LIQUIDITY_SCORE")</f>
        <v>74</v>
      </c>
    </row>
    <row r="125" spans="1:20" x14ac:dyDescent="0.25">
      <c r="A125" t="str">
        <f>_xll.BDP("56501MDB Muni","ID_CUSIP")</f>
        <v>56501MDB0</v>
      </c>
      <c r="B125" t="s">
        <v>95</v>
      </c>
      <c r="C125" t="str">
        <f>_xll.BDP("56501MDB Muni","INSURANCE_STATUS")</f>
        <v>N</v>
      </c>
      <c r="D125" t="str">
        <f>_xll.BDP("56501MDB Muni","STATE_CODE")</f>
        <v>TX</v>
      </c>
      <c r="E125" t="str">
        <f>_xll.BDP("56501MDB Muni","COUNTY_LOCATION_ISSUER")</f>
        <v>Brazoria, TX</v>
      </c>
      <c r="F125">
        <f>_xll.BDP("56501MDB Muni","DUR_ADJ_MID")</f>
        <v>2.3722714346300298</v>
      </c>
      <c r="G125">
        <f>_xll.BDP("56501MDB Muni","SPREAD_AT_ISSUANCE_TO_WORST")</f>
        <v>18.764898630136994</v>
      </c>
      <c r="H125" t="str">
        <f>_xll.BDP("56501MDB Muni","ISSUE_DT")</f>
        <v>12/15/2017</v>
      </c>
      <c r="I125" t="str">
        <f>_xll.BDS("56501MDB Muni","MUNI_PURPOSE_SCHED", "aggregate=y")</f>
        <v>WATER UTILITY IMPS. SEWER IMPS.</v>
      </c>
      <c r="J125">
        <f>_xll.BDP("56501MDB Muni","CPN")</f>
        <v>4</v>
      </c>
      <c r="K125" t="str">
        <f>_xll.BDP("56501MDB Muni","MATURITY")</f>
        <v>2/15/2025</v>
      </c>
      <c r="L125">
        <v>155000</v>
      </c>
      <c r="M125">
        <f>_xll.BDP("56501MDB Muni","YIELD_ON_ISSUE_DATE")</f>
        <v>2.1</v>
      </c>
      <c r="N125">
        <f>_xll.BDP("56501MDB Muni","YTW_SPREAD_TO_MATURITY_AT_ISSU")</f>
        <v>18.764898630136994</v>
      </c>
      <c r="O125" t="str">
        <f>_xll.BDP("56501MDB Muni","BVAL_MID_YTM")</f>
        <v>#N/A Authorization</v>
      </c>
      <c r="P125" t="str">
        <f>_xll.BDP("56501MDB Muni","MUNI_TAX_PROV")</f>
        <v>FED BQ</v>
      </c>
      <c r="Q125" t="str">
        <f>_xll.BDP("56501MDB Muni","MUNI_FED_TAX")</f>
        <v>N</v>
      </c>
      <c r="R125">
        <f>_xll.BDP("56501MDB Muni","MUNI_MSRB_VOLUME")</f>
        <v>20000</v>
      </c>
      <c r="S125" t="str">
        <f>_xll.BDP("56501MDB Muni","BB_COMPOSITE")</f>
        <v>#N/A N/A</v>
      </c>
      <c r="T125">
        <f>_xll.BDP("56501MDB Muni","LQA_LIQUIDITY_SCORE")</f>
        <v>72</v>
      </c>
    </row>
    <row r="126" spans="1:20" x14ac:dyDescent="0.25">
      <c r="A126" t="str">
        <f>_xll.BDP("45204EXL Muni","ID_CUSIP")</f>
        <v>45204EXL7</v>
      </c>
      <c r="B126" t="s">
        <v>25</v>
      </c>
      <c r="C126" t="str">
        <f>_xll.BDP("45204EXL Muni","INSURANCE_STATUS")</f>
        <v>N</v>
      </c>
      <c r="D126" t="str">
        <f>_xll.BDP("45204EXL Muni","STATE_CODE")</f>
        <v>IL</v>
      </c>
      <c r="E126" t="str">
        <f>_xll.BDP("45204EXL Muni","COUNTY_LOCATION_ISSUER")</f>
        <v>Cook, IL</v>
      </c>
      <c r="F126">
        <f>_xll.BDP("45204EXL Muni","DUR_ADJ_MID")</f>
        <v>1.3652022389584668</v>
      </c>
      <c r="G126">
        <f>_xll.BDP("45204EXL Muni","SPREAD_AT_ISSUANCE_TO_WORST")</f>
        <v>24.920874899348931</v>
      </c>
      <c r="H126" t="str">
        <f>_xll.BDP("45204EXL Muni","ISSUE_DT")</f>
        <v>9/12/2017</v>
      </c>
      <c r="I126" t="str">
        <f>_xll.BDS("45204EXL Muni","MUNI_PURPOSE_SCHED", "aggregate=y")</f>
        <v>GREEN PURPOSE WATER UTILITY IMPS. SEWER IMPS.</v>
      </c>
      <c r="J126">
        <f>_xll.BDP("45204EXL Muni","CPN")</f>
        <v>5</v>
      </c>
      <c r="K126" t="str">
        <f>_xll.BDP("45204EXL Muni","MATURITY")</f>
        <v>1/1/2024</v>
      </c>
      <c r="L126">
        <v>16585000</v>
      </c>
      <c r="M126">
        <f>_xll.BDP("45204EXL Muni","YIELD_ON_ISSUE_DATE")</f>
        <v>1.59</v>
      </c>
      <c r="N126">
        <f>_xll.BDP("45204EXL Muni","YTW_SPREAD_TO_MATURITY_AT_ISSU")</f>
        <v>24.920874899348931</v>
      </c>
      <c r="O126" t="str">
        <f>_xll.BDP("45204EXL Muni","BVAL_MID_YTM")</f>
        <v>#N/A Authorization</v>
      </c>
      <c r="P126" t="str">
        <f>_xll.BDP("45204EXL Muni","MUNI_TAX_PROV")</f>
        <v>FED TAX-EXEMPT/ST TAXABLE</v>
      </c>
      <c r="Q126" t="str">
        <f>_xll.BDP("45204EXL Muni","MUNI_FED_TAX")</f>
        <v>N</v>
      </c>
      <c r="R126">
        <f>_xll.BDP("45204EXL Muni","MUNI_MSRB_VOLUME")</f>
        <v>5000</v>
      </c>
      <c r="S126" t="str">
        <f>_xll.BDP("45204EXL Muni","BB_COMPOSITE")</f>
        <v>AAA</v>
      </c>
      <c r="T126">
        <f>_xll.BDP("45204EXL Muni","LQA_LIQUIDITY_SCORE")</f>
        <v>89</v>
      </c>
    </row>
    <row r="127" spans="1:20" x14ac:dyDescent="0.25">
      <c r="A127" t="str">
        <f>_xll.BDP("906400DT Muni","ID_CUSIP")</f>
        <v>906400DT0</v>
      </c>
      <c r="B127" t="s">
        <v>32</v>
      </c>
      <c r="C127" t="str">
        <f>_xll.BDP("906400DT Muni","INSURANCE_STATUS")</f>
        <v>N</v>
      </c>
      <c r="D127" t="str">
        <f>_xll.BDP("906400DT Muni","STATE_CODE")</f>
        <v>NC</v>
      </c>
      <c r="E127" t="str">
        <f>_xll.BDP("906400DT Muni","COUNTY_LOCATION_ISSUER")</f>
        <v>Union, NC</v>
      </c>
      <c r="F127">
        <f>_xll.BDP("906400DT Muni","DUR_ADJ_MID")</f>
        <v>0.81338722858282408</v>
      </c>
      <c r="G127">
        <f>_xll.BDP("906400DT Muni","SPREAD_AT_ISSUANCE_TO_WORST")</f>
        <v>7.2411983404107927</v>
      </c>
      <c r="H127" t="str">
        <f>_xll.BDP("906400DT Muni","ISSUE_DT")</f>
        <v>8/30/2017</v>
      </c>
      <c r="I127" t="str">
        <f>_xll.BDS("906400DT Muni","MUNI_PURPOSE_SCHED", "aggregate=y")</f>
        <v>WATER UTILITY IMPS. SEWER IMPS.</v>
      </c>
      <c r="J127">
        <f>_xll.BDP("906400DT Muni","CPN")</f>
        <v>5</v>
      </c>
      <c r="K127" t="str">
        <f>_xll.BDP("906400DT Muni","MATURITY")</f>
        <v>6/1/2023</v>
      </c>
      <c r="L127">
        <v>1985000</v>
      </c>
      <c r="M127">
        <f>_xll.BDP("906400DT Muni","YIELD_ON_ISSUE_DATE")</f>
        <v>1.33</v>
      </c>
      <c r="N127">
        <f>_xll.BDP("906400DT Muni","YTW_SPREAD_TO_MATURITY_AT_ISSU")</f>
        <v>7.2411983404107927</v>
      </c>
      <c r="O127" t="str">
        <f>_xll.BDP("906400DT Muni","BVAL_MID_YTM")</f>
        <v>#N/A Authorization</v>
      </c>
      <c r="P127" t="str">
        <f>_xll.BDP("906400DT Muni","MUNI_TAX_PROV")</f>
        <v>FED &amp; ST TAX-EXEMPT</v>
      </c>
      <c r="Q127" t="str">
        <f>_xll.BDP("906400DT Muni","MUNI_FED_TAX")</f>
        <v>N</v>
      </c>
      <c r="R127">
        <f>_xll.BDP("906400DT Muni","MUNI_MSRB_VOLUME")</f>
        <v>20000</v>
      </c>
      <c r="S127" t="str">
        <f>_xll.BDP("906400DT Muni","BB_COMPOSITE")</f>
        <v>AA</v>
      </c>
      <c r="T127">
        <f>_xll.BDP("906400DT Muni","LQA_LIQUIDITY_SCORE")</f>
        <v>85</v>
      </c>
    </row>
    <row r="128" spans="1:20" x14ac:dyDescent="0.25">
      <c r="A128" t="str">
        <f>_xll.BDP("24916PFT Muni","ID_CUSIP")</f>
        <v>24916PFT9</v>
      </c>
      <c r="B128" t="s">
        <v>96</v>
      </c>
      <c r="C128" t="str">
        <f>_xll.BDP("24916PFT Muni","INSURANCE_STATUS")</f>
        <v>N</v>
      </c>
      <c r="D128" t="str">
        <f>_xll.BDP("24916PFT Muni","STATE_CODE")</f>
        <v>CO</v>
      </c>
      <c r="E128" t="str">
        <f>_xll.BDP("24916PFT Muni","COUNTY_LOCATION_ISSUER")</f>
        <v>Denver, CO</v>
      </c>
      <c r="F128">
        <f>_xll.BDP("24916PFT Muni","DUR_ADJ_MID")</f>
        <v>1.0748549473557598</v>
      </c>
      <c r="G128">
        <f>_xll.BDP("24916PFT Muni","SPREAD_AT_ISSUANCE_TO_WORST")</f>
        <v>2.7021339585123538</v>
      </c>
      <c r="H128" t="str">
        <f>_xll.BDP("24916PFT Muni","ISSUE_DT")</f>
        <v>5/23/2017</v>
      </c>
      <c r="I128" t="str">
        <f>_xll.BDS("24916PFT Muni","MUNI_PURPOSE_SCHED", "aggregate=y")</f>
        <v>WATER UTILITY IMPS. GREEN PURPOSE</v>
      </c>
      <c r="J128">
        <f>_xll.BDP("24916PFT Muni","CPN")</f>
        <v>5</v>
      </c>
      <c r="K128" t="str">
        <f>_xll.BDP("24916PFT Muni","MATURITY")</f>
        <v>9/15/2023</v>
      </c>
      <c r="L128">
        <v>2615000</v>
      </c>
      <c r="M128">
        <f>_xll.BDP("24916PFT Muni","YIELD_ON_ISSUE_DATE")</f>
        <v>1.62</v>
      </c>
      <c r="N128">
        <f>_xll.BDP("24916PFT Muni","YTW_SPREAD_TO_MATURITY_AT_ISSU")</f>
        <v>2.7021339585123538</v>
      </c>
      <c r="O128" t="str">
        <f>_xll.BDP("24916PFT Muni","BVAL_MID_YTM")</f>
        <v>#N/A Authorization</v>
      </c>
      <c r="P128" t="str">
        <f>_xll.BDP("24916PFT Muni","MUNI_TAX_PROV")</f>
        <v>FED &amp; ST TAX-EXEMPT</v>
      </c>
      <c r="Q128" t="str">
        <f>_xll.BDP("24916PFT Muni","MUNI_FED_TAX")</f>
        <v>N</v>
      </c>
      <c r="R128">
        <f>_xll.BDP("24916PFT Muni","MUNI_MSRB_VOLUME")</f>
        <v>40000</v>
      </c>
      <c r="S128" t="str">
        <f>_xll.BDP("24916PFT Muni","BB_COMPOSITE")</f>
        <v>AAA</v>
      </c>
      <c r="T128">
        <f>_xll.BDP("24916PFT Muni","LQA_LIQUIDITY_SCORE")</f>
        <v>97</v>
      </c>
    </row>
    <row r="129" spans="1:20" x14ac:dyDescent="0.25">
      <c r="A129" t="str">
        <f>_xll.BDP("89658HUR Muni","ID_CUSIP")</f>
        <v>89658HUR9</v>
      </c>
      <c r="B129" t="s">
        <v>33</v>
      </c>
      <c r="C129" t="str">
        <f>_xll.BDP("89658HUR Muni","INSURANCE_STATUS")</f>
        <v>N</v>
      </c>
      <c r="D129" t="str">
        <f>_xll.BDP("89658HUR Muni","STATE_CODE")</f>
        <v>TX</v>
      </c>
      <c r="E129" t="str">
        <f>_xll.BDP("89658HUR Muni","COUNTY_LOCATION_ISSUER")</f>
        <v>Tarrant, TX</v>
      </c>
      <c r="F129">
        <f>_xll.BDP("89658HUR Muni","DUR_ADJ_MID")</f>
        <v>0.98046098785968883</v>
      </c>
      <c r="G129">
        <f>_xll.BDP("89658HUR Muni","SPREAD_AT_ISSUANCE_TO_WORST")</f>
        <v>26.632274598331172</v>
      </c>
      <c r="H129" t="str">
        <f>_xll.BDP("89658HUR Muni","ISSUE_DT")</f>
        <v>5/1/2017</v>
      </c>
      <c r="I129" t="str">
        <f>_xll.BDS("89658HUR Muni","MUNI_PURPOSE_SCHED", "aggregate=y")</f>
        <v>ADVANCE REFUNDING WATER UTILITY IMPS. SEWER IMPS.</v>
      </c>
      <c r="J129">
        <f>_xll.BDP("89658HUR Muni","CPN")</f>
        <v>3</v>
      </c>
      <c r="K129" t="str">
        <f>_xll.BDP("89658HUR Muni","MATURITY")</f>
        <v>8/1/2023</v>
      </c>
      <c r="L129">
        <v>13995000</v>
      </c>
      <c r="M129">
        <f>_xll.BDP("89658HUR Muni","YIELD_ON_ISSUE_DATE")</f>
        <v>1.8800000000000001</v>
      </c>
      <c r="N129">
        <f>_xll.BDP("89658HUR Muni","YTW_SPREAD_TO_MATURITY_AT_ISSU")</f>
        <v>26.632274598331172</v>
      </c>
      <c r="O129" t="str">
        <f>_xll.BDP("89658HUR Muni","BVAL_MID_YTM")</f>
        <v>#N/A Authorization</v>
      </c>
      <c r="P129" t="str">
        <f>_xll.BDP("89658HUR Muni","MUNI_TAX_PROV")</f>
        <v>FED TAX-EXEMPT</v>
      </c>
      <c r="Q129" t="str">
        <f>_xll.BDP("89658HUR Muni","MUNI_FED_TAX")</f>
        <v>N</v>
      </c>
      <c r="R129">
        <f>_xll.BDP("89658HUR Muni","MUNI_MSRB_VOLUME")</f>
        <v>20000</v>
      </c>
      <c r="S129" t="str">
        <f>_xll.BDP("89658HUR Muni","BB_COMPOSITE")</f>
        <v>AAA</v>
      </c>
      <c r="T129">
        <f>_xll.BDP("89658HUR Muni","LQA_LIQUIDITY_SCORE")</f>
        <v>94</v>
      </c>
    </row>
    <row r="130" spans="1:20" x14ac:dyDescent="0.25">
      <c r="A130" t="str">
        <f>_xll.BDP("166231BN Muni","ID_CUSIP")</f>
        <v>166231BN9</v>
      </c>
      <c r="B130" t="s">
        <v>97</v>
      </c>
      <c r="C130" t="str">
        <f>_xll.BDP("166231BN Muni","INSURANCE_STATUS")</f>
        <v>Y</v>
      </c>
      <c r="D130" t="str">
        <f>_xll.BDP("166231BN Muni","STATE_CODE")</f>
        <v>SC</v>
      </c>
      <c r="E130" t="str">
        <f>_xll.BDP("166231BN Muni","COUNTY_LOCATION_ISSUER")</f>
        <v>Chester, SC</v>
      </c>
      <c r="F130">
        <f>_xll.BDP("166231BN Muni","DUR_ADJ_MID")</f>
        <v>0.81555453337139205</v>
      </c>
      <c r="G130">
        <f>_xll.BDP("166231BN Muni","SPREAD_AT_ISSUANCE_TO_WORST")</f>
        <v>21.735214831228355</v>
      </c>
      <c r="H130" t="str">
        <f>_xll.BDP("166231BN Muni","ISSUE_DT")</f>
        <v>3/8/2017</v>
      </c>
      <c r="I130" t="str">
        <f>_xll.BDS("166231BN Muni","MUNI_PURPOSE_SCHED", "aggregate=y")</f>
        <v>CURRENT REFUNDING WATER UTILITY IMPS. REFUNDING NOTES</v>
      </c>
      <c r="J130">
        <f>_xll.BDP("166231BN Muni","CPN")</f>
        <v>3</v>
      </c>
      <c r="K130" t="str">
        <f>_xll.BDP("166231BN Muni","MATURITY")</f>
        <v>6/1/2023</v>
      </c>
      <c r="L130">
        <v>430000</v>
      </c>
      <c r="M130">
        <f>_xll.BDP("166231BN Muni","YIELD_ON_ISSUE_DATE")</f>
        <v>2</v>
      </c>
      <c r="N130">
        <f>_xll.BDP("166231BN Muni","YTW_SPREAD_TO_MATURITY_AT_ISSU")</f>
        <v>21.735214831228355</v>
      </c>
      <c r="O130" t="str">
        <f>_xll.BDP("166231BN Muni","BVAL_MID_YTM")</f>
        <v>#N/A Authorization</v>
      </c>
      <c r="P130" t="str">
        <f>_xll.BDP("166231BN Muni","MUNI_TAX_PROV")</f>
        <v>FED BQ/ST TAX-EXEMPT</v>
      </c>
      <c r="Q130" t="str">
        <f>_xll.BDP("166231BN Muni","MUNI_FED_TAX")</f>
        <v>N</v>
      </c>
      <c r="R130">
        <f>_xll.BDP("166231BN Muni","MUNI_MSRB_VOLUME")</f>
        <v>20000</v>
      </c>
      <c r="S130" t="str">
        <f>_xll.BDP("166231BN Muni","BB_COMPOSITE")</f>
        <v>#N/A N/A</v>
      </c>
      <c r="T130">
        <f>_xll.BDP("166231BN Muni","LQA_LIQUIDITY_SCORE")</f>
        <v>91</v>
      </c>
    </row>
    <row r="131" spans="1:20" x14ac:dyDescent="0.25">
      <c r="A131" t="str">
        <f>_xll.BDP("89658HUP Muni","ID_CUSIP")</f>
        <v>89658HUP3</v>
      </c>
      <c r="B131" t="s">
        <v>33</v>
      </c>
      <c r="C131" t="str">
        <f>_xll.BDP("89658HUP Muni","INSURANCE_STATUS")</f>
        <v>N</v>
      </c>
      <c r="D131" t="str">
        <f>_xll.BDP("89658HUP Muni","STATE_CODE")</f>
        <v>TX</v>
      </c>
      <c r="E131" t="str">
        <f>_xll.BDP("89658HUP Muni","COUNTY_LOCATION_ISSUER")</f>
        <v>Tarrant, TX</v>
      </c>
      <c r="F131">
        <f>_xll.BDP("89658HUP Muni","DUR_ADJ_MID")</f>
        <v>5.5571394159004512E-3</v>
      </c>
      <c r="G131">
        <f>_xll.BDP("89658HUP Muni","SPREAD_AT_ISSUANCE_TO_WORST")</f>
        <v>10.0269752491857</v>
      </c>
      <c r="H131" t="str">
        <f>_xll.BDP("89658HUP Muni","ISSUE_DT")</f>
        <v>5/1/2017</v>
      </c>
      <c r="I131" t="str">
        <f>_xll.BDS("89658HUP Muni","MUNI_PURPOSE_SCHED", "aggregate=y")</f>
        <v>ADVANCE REFUNDING WATER UTILITY IMPS. SEWER IMPS.</v>
      </c>
      <c r="J131">
        <f>_xll.BDP("89658HUP Muni","CPN")</f>
        <v>5</v>
      </c>
      <c r="K131" t="str">
        <f>_xll.BDP("89658HUP Muni","MATURITY")</f>
        <v>8/1/2022</v>
      </c>
      <c r="L131">
        <v>10785000</v>
      </c>
      <c r="M131">
        <f>_xll.BDP("89658HUP Muni","YIELD_ON_ISSUE_DATE")</f>
        <v>1.55</v>
      </c>
      <c r="N131">
        <f>_xll.BDP("89658HUP Muni","YTW_SPREAD_TO_MATURITY_AT_ISSU")</f>
        <v>10.0269752491857</v>
      </c>
      <c r="O131" t="str">
        <f>_xll.BDP("89658HUP Muni","BVAL_MID_YTM")</f>
        <v>#N/A Authorization</v>
      </c>
      <c r="P131" t="str">
        <f>_xll.BDP("89658HUP Muni","MUNI_TAX_PROV")</f>
        <v>FED TAX-EXEMPT</v>
      </c>
      <c r="Q131" t="str">
        <f>_xll.BDP("89658HUP Muni","MUNI_FED_TAX")</f>
        <v>N</v>
      </c>
      <c r="R131">
        <f>_xll.BDP("89658HUP Muni","MUNI_MSRB_VOLUME")</f>
        <v>25000</v>
      </c>
      <c r="S131" t="str">
        <f>_xll.BDP("89658HUP Muni","BB_COMPOSITE")</f>
        <v>AAA</v>
      </c>
      <c r="T131">
        <f>_xll.BDP("89658HUP Muni","LQA_LIQUIDITY_SCORE")</f>
        <v>99</v>
      </c>
    </row>
    <row r="132" spans="1:20" x14ac:dyDescent="0.25">
      <c r="A132" t="str">
        <f>_xll.BDP("793456BP Muni","ID_CUSIP")</f>
        <v>793456BP8</v>
      </c>
      <c r="B132" t="s">
        <v>98</v>
      </c>
      <c r="C132" t="str">
        <f>_xll.BDP("793456BP Muni","INSURANCE_STATUS")</f>
        <v>Y</v>
      </c>
      <c r="D132" t="str">
        <f>_xll.BDP("793456BP Muni","STATE_CODE")</f>
        <v>MO</v>
      </c>
      <c r="E132" t="str">
        <f>_xll.BDP("793456BP Muni","COUNTY_LOCATION_ISSUER")</f>
        <v>Pulaski, MO</v>
      </c>
      <c r="F132">
        <f>_xll.BDP("793456BP Muni","DUR_ADJ_MID")</f>
        <v>0.24657634708346271</v>
      </c>
      <c r="G132">
        <f>_xll.BDP("793456BP Muni","SPREAD_AT_ISSUANCE_TO_WORST")</f>
        <v>49.224936866328271</v>
      </c>
      <c r="H132" t="str">
        <f>_xll.BDP("793456BP Muni","ISSUE_DT")</f>
        <v>6/28/2017</v>
      </c>
      <c r="I132" t="str">
        <f>_xll.BDS("793456BP Muni","MUNI_PURPOSE_SCHED", "aggregate=y")</f>
        <v>WATER UTILITY IMPS. SEWER IMPS.</v>
      </c>
      <c r="J132">
        <f>_xll.BDP("793456BP Muni","CPN")</f>
        <v>1.75</v>
      </c>
      <c r="K132" t="str">
        <f>_xll.BDP("793456BP Muni","MATURITY")</f>
        <v>11/1/2022</v>
      </c>
      <c r="L132">
        <v>55000</v>
      </c>
      <c r="M132">
        <f>_xll.BDP("793456BP Muni","YIELD_ON_ISSUE_DATE")</f>
        <v>1.75</v>
      </c>
      <c r="N132">
        <f>_xll.BDP("793456BP Muni","YTW_SPREAD_TO_MATURITY_AT_ISSU")</f>
        <v>49.224936866328271</v>
      </c>
      <c r="O132" t="str">
        <f>_xll.BDP("793456BP Muni","BVAL_MID_YTM")</f>
        <v>#N/A Authorization</v>
      </c>
      <c r="P132" t="str">
        <f>_xll.BDP("793456BP Muni","MUNI_TAX_PROV")</f>
        <v>FED BQ/ST TAX-EXEMPT</v>
      </c>
      <c r="Q132" t="str">
        <f>_xll.BDP("793456BP Muni","MUNI_FED_TAX")</f>
        <v>N</v>
      </c>
      <c r="R132" t="str">
        <f>_xll.BDP("793456BP Muni","MUNI_MSRB_VOLUME")</f>
        <v>#N/A N/A</v>
      </c>
      <c r="S132" t="str">
        <f>_xll.BDP("793456BP Muni","BB_COMPOSITE")</f>
        <v>#N/A N/A</v>
      </c>
      <c r="T132">
        <f>_xll.BDP("793456BP Muni","LQA_LIQUIDITY_SCORE")</f>
        <v>93</v>
      </c>
    </row>
    <row r="133" spans="1:20" x14ac:dyDescent="0.25">
      <c r="A133" t="str">
        <f>_xll.BDP("00344NQS Muni","ID_CUSIP")</f>
        <v>00344NQS6</v>
      </c>
      <c r="B133" t="s">
        <v>99</v>
      </c>
      <c r="C133" t="str">
        <f>_xll.BDP("00344NQS Muni","INSURANCE_STATUS")</f>
        <v>N</v>
      </c>
      <c r="D133" t="str">
        <f>_xll.BDP("00344NQS Muni","STATE_CODE")</f>
        <v>TX</v>
      </c>
      <c r="E133" t="str">
        <f>_xll.BDP("00344NQS Muni","COUNTY_LOCATION_ISSUER")</f>
        <v>Taylor, TX</v>
      </c>
      <c r="F133">
        <f>_xll.BDP("00344NQS Muni","DUR_ADJ_MID")</f>
        <v>1.4548810098047629</v>
      </c>
      <c r="G133">
        <f>_xll.BDP("00344NQS Muni","SPREAD_AT_ISSUANCE_TO_WORST")</f>
        <v>22.01646020488084</v>
      </c>
      <c r="H133" t="str">
        <f>_xll.BDP("00344NQS Muni","ISSUE_DT")</f>
        <v>7/1/2017</v>
      </c>
      <c r="I133" t="str">
        <f>_xll.BDS("00344NQS Muni","MUNI_PURPOSE_SCHED", "aggregate=y")</f>
        <v>PUBLIC IMPS. WATER UTILITY IMPS. SEWER IMPS.</v>
      </c>
      <c r="J133">
        <f>_xll.BDP("00344NQS Muni","CPN")</f>
        <v>5</v>
      </c>
      <c r="K133" t="str">
        <f>_xll.BDP("00344NQS Muni","MATURITY")</f>
        <v>2/15/2024</v>
      </c>
      <c r="L133">
        <v>745000</v>
      </c>
      <c r="M133">
        <f>_xll.BDP("00344NQS Muni","YIELD_ON_ISSUE_DATE")</f>
        <v>1.67</v>
      </c>
      <c r="N133">
        <f>_xll.BDP("00344NQS Muni","YTW_SPREAD_TO_MATURITY_AT_ISSU")</f>
        <v>22.01646020488084</v>
      </c>
      <c r="O133" t="str">
        <f>_xll.BDP("00344NQS Muni","BVAL_MID_YTM")</f>
        <v>#N/A Authorization</v>
      </c>
      <c r="P133" t="str">
        <f>_xll.BDP("00344NQS Muni","MUNI_TAX_PROV")</f>
        <v>FED TAX-EXEMPT</v>
      </c>
      <c r="Q133" t="str">
        <f>_xll.BDP("00344NQS Muni","MUNI_FED_TAX")</f>
        <v>N</v>
      </c>
      <c r="R133">
        <f>_xll.BDP("00344NQS Muni","MUNI_MSRB_VOLUME")</f>
        <v>40000</v>
      </c>
      <c r="S133" t="str">
        <f>_xll.BDP("00344NQS Muni","BB_COMPOSITE")</f>
        <v>AA+</v>
      </c>
      <c r="T133">
        <f>_xll.BDP("00344NQS Muni","LQA_LIQUIDITY_SCORE")</f>
        <v>83</v>
      </c>
    </row>
    <row r="134" spans="1:20" x14ac:dyDescent="0.25">
      <c r="A134" t="str">
        <f>_xll.BDP("05922KYF Muni","ID_CUSIP")</f>
        <v>05922KYF0</v>
      </c>
      <c r="B134" t="s">
        <v>88</v>
      </c>
      <c r="C134" t="str">
        <f>_xll.BDP("05922KYF Muni","INSURANCE_STATUS")</f>
        <v>N</v>
      </c>
      <c r="D134" t="str">
        <f>_xll.BDP("05922KYF Muni","STATE_CODE")</f>
        <v>MD</v>
      </c>
      <c r="E134" t="str">
        <f>_xll.BDP("05922KYF Muni","COUNTY_LOCATION_ISSUER")</f>
        <v>Baltimore City, MD</v>
      </c>
      <c r="F134">
        <f>_xll.BDP("05922KYF Muni","DUR_ADJ_MID")</f>
        <v>2.7170649933835467</v>
      </c>
      <c r="G134">
        <f>_xll.BDP("05922KYF Muni","SPREAD_AT_ISSUANCE_TO_WORST")</f>
        <v>34.75416473875508</v>
      </c>
      <c r="H134" t="str">
        <f>_xll.BDP("05922KYF Muni","ISSUE_DT")</f>
        <v>2/9/2017</v>
      </c>
      <c r="I134" t="str">
        <f>_xll.BDS("05922KYF Muni","MUNI_PURPOSE_SCHED", "aggregate=y")</f>
        <v>WATER UTILITY IMPS.</v>
      </c>
      <c r="J134">
        <f>_xll.BDP("05922KYF Muni","CPN")</f>
        <v>5</v>
      </c>
      <c r="K134" t="str">
        <f>_xll.BDP("05922KYF Muni","MATURITY")</f>
        <v>7/1/2025</v>
      </c>
      <c r="L134">
        <v>3555000</v>
      </c>
      <c r="M134">
        <f>_xll.BDP("05922KYF Muni","YIELD_ON_ISSUE_DATE")</f>
        <v>2.56</v>
      </c>
      <c r="N134">
        <f>_xll.BDP("05922KYF Muni","YTW_SPREAD_TO_MATURITY_AT_ISSU")</f>
        <v>34.75416473875508</v>
      </c>
      <c r="O134" t="str">
        <f>_xll.BDP("05922KYF Muni","BVAL_MID_YTM")</f>
        <v>#N/A Authorization</v>
      </c>
      <c r="P134" t="str">
        <f>_xll.BDP("05922KYF Muni","MUNI_TAX_PROV")</f>
        <v>FED &amp; ST TAX-EXEMPT</v>
      </c>
      <c r="Q134" t="str">
        <f>_xll.BDP("05922KYF Muni","MUNI_FED_TAX")</f>
        <v>N</v>
      </c>
      <c r="R134">
        <f>_xll.BDP("05922KYF Muni","MUNI_MSRB_VOLUME")</f>
        <v>35000</v>
      </c>
      <c r="S134" t="str">
        <f>_xll.BDP("05922KYF Muni","BB_COMPOSITE")</f>
        <v>A+</v>
      </c>
      <c r="T134">
        <f>_xll.BDP("05922KYF Muni","LQA_LIQUIDITY_SCORE")</f>
        <v>80</v>
      </c>
    </row>
    <row r="135" spans="1:20" x14ac:dyDescent="0.25">
      <c r="A135" t="str">
        <f>_xll.BDP("349515XB Muni","ID_CUSIP")</f>
        <v>349515XB7</v>
      </c>
      <c r="B135" t="s">
        <v>100</v>
      </c>
      <c r="C135" t="str">
        <f>_xll.BDP("349515XB Muni","INSURANCE_STATUS")</f>
        <v>N</v>
      </c>
      <c r="D135" t="str">
        <f>_xll.BDP("349515XB Muni","STATE_CODE")</f>
        <v>TX</v>
      </c>
      <c r="E135" t="str">
        <f>_xll.BDP("349515XB Muni","COUNTY_LOCATION_ISSUER")</f>
        <v>Tarrant, TX</v>
      </c>
      <c r="F135">
        <f>_xll.BDP("349515XB Muni","DUR_ADJ_MID")</f>
        <v>0.52012848980630255</v>
      </c>
      <c r="G135">
        <f>_xll.BDP("349515XB Muni","SPREAD_AT_ISSUANCE_TO_WORST")</f>
        <v>10.29881551676266</v>
      </c>
      <c r="H135" t="str">
        <f>_xll.BDP("349515XB Muni","ISSUE_DT")</f>
        <v>5/15/2017</v>
      </c>
      <c r="I135" t="str">
        <f>_xll.BDS("349515XB Muni","MUNI_PURPOSE_SCHED", "aggregate=y")</f>
        <v>WATER UTILITY IMPS. SEWER IMPS. ADVANCE REFUNDING</v>
      </c>
      <c r="J135">
        <f>_xll.BDP("349515XB Muni","CPN")</f>
        <v>5</v>
      </c>
      <c r="K135" t="str">
        <f>_xll.BDP("349515XB Muni","MATURITY")</f>
        <v>2/15/2023</v>
      </c>
      <c r="L135">
        <v>1855000</v>
      </c>
      <c r="M135">
        <f>_xll.BDP("349515XB Muni","YIELD_ON_ISSUE_DATE")</f>
        <v>1.46</v>
      </c>
      <c r="N135">
        <f>_xll.BDP("349515XB Muni","YTW_SPREAD_TO_MATURITY_AT_ISSU")</f>
        <v>10.29881551676266</v>
      </c>
      <c r="O135" t="str">
        <f>_xll.BDP("349515XB Muni","BVAL_MID_YTM")</f>
        <v>#N/A Authorization</v>
      </c>
      <c r="P135" t="str">
        <f>_xll.BDP("349515XB Muni","MUNI_TAX_PROV")</f>
        <v>FED TAX-EXEMPT</v>
      </c>
      <c r="Q135" t="str">
        <f>_xll.BDP("349515XB Muni","MUNI_FED_TAX")</f>
        <v>N</v>
      </c>
      <c r="R135">
        <f>_xll.BDP("349515XB Muni","MUNI_MSRB_VOLUME")</f>
        <v>60000</v>
      </c>
      <c r="S135" t="str">
        <f>_xll.BDP("349515XB Muni","BB_COMPOSITE")</f>
        <v>AA</v>
      </c>
      <c r="T135">
        <f>_xll.BDP("349515XB Muni","LQA_LIQUIDITY_SCORE")</f>
        <v>99</v>
      </c>
    </row>
    <row r="136" spans="1:20" x14ac:dyDescent="0.25">
      <c r="A136" t="str">
        <f>_xll.BDP("463831PN Muni","ID_CUSIP")</f>
        <v>463831PN1</v>
      </c>
      <c r="B136" t="s">
        <v>101</v>
      </c>
      <c r="C136" t="str">
        <f>_xll.BDP("463831PN Muni","INSURANCE_STATUS")</f>
        <v>N</v>
      </c>
      <c r="D136" t="str">
        <f>_xll.BDP("463831PN Muni","STATE_CODE")</f>
        <v>TX</v>
      </c>
      <c r="E136" t="str">
        <f>_xll.BDP("463831PN Muni","COUNTY_LOCATION_ISSUER")</f>
        <v>Dallas, TX</v>
      </c>
      <c r="F136">
        <f>_xll.BDP("463831PN Muni","DUR_ADJ_MID")</f>
        <v>3.6103869317796265E-2</v>
      </c>
      <c r="G136">
        <f>_xll.BDP("463831PN Muni","SPREAD_AT_ISSUANCE_TO_WORST")</f>
        <v>22.065616459417271</v>
      </c>
      <c r="H136" t="str">
        <f>_xll.BDP("463831PN Muni","ISSUE_DT")</f>
        <v>4/4/2017</v>
      </c>
      <c r="I136" t="str">
        <f>_xll.BDS("463831PN Muni","MUNI_PURPOSE_SCHED", "aggregate=y")</f>
        <v>WATER UTILITY IMPS. SEWER IMPS.</v>
      </c>
      <c r="J136">
        <f>_xll.BDP("463831PN Muni","CPN")</f>
        <v>5</v>
      </c>
      <c r="K136" t="str">
        <f>_xll.BDP("463831PN Muni","MATURITY")</f>
        <v>8/15/2022</v>
      </c>
      <c r="L136">
        <v>780000</v>
      </c>
      <c r="M136">
        <f>_xll.BDP("463831PN Muni","YIELD_ON_ISSUE_DATE")</f>
        <v>1.8800000000000001</v>
      </c>
      <c r="N136">
        <f>_xll.BDP("463831PN Muni","YTW_SPREAD_TO_MATURITY_AT_ISSU")</f>
        <v>22.065616459417271</v>
      </c>
      <c r="O136" t="str">
        <f>_xll.BDP("463831PN Muni","BVAL_MID_YTM")</f>
        <v>#N/A Authorization</v>
      </c>
      <c r="P136" t="str">
        <f>_xll.BDP("463831PN Muni","MUNI_TAX_PROV")</f>
        <v>FED TAX-EXEMPT</v>
      </c>
      <c r="Q136" t="str">
        <f>_xll.BDP("463831PN Muni","MUNI_FED_TAX")</f>
        <v>N</v>
      </c>
      <c r="R136">
        <f>_xll.BDP("463831PN Muni","MUNI_MSRB_VOLUME")</f>
        <v>10000</v>
      </c>
      <c r="S136" t="str">
        <f>_xll.BDP("463831PN Muni","BB_COMPOSITE")</f>
        <v>AA</v>
      </c>
      <c r="T136">
        <f>_xll.BDP("463831PN Muni","LQA_LIQUIDITY_SCORE")</f>
        <v>95</v>
      </c>
    </row>
    <row r="137" spans="1:20" x14ac:dyDescent="0.25">
      <c r="A137" t="str">
        <f>_xll.BDP("576051QZ Muni","ID_CUSIP")</f>
        <v>576051QZ2</v>
      </c>
      <c r="B137" t="s">
        <v>102</v>
      </c>
      <c r="C137" t="str">
        <f>_xll.BDP("576051QZ Muni","INSURANCE_STATUS")</f>
        <v>N</v>
      </c>
      <c r="D137" t="str">
        <f>_xll.BDP("576051QZ Muni","STATE_CODE")</f>
        <v>MA</v>
      </c>
      <c r="E137" t="str">
        <f>_xll.BDP("576051QZ Muni","COUNTY_LOCATION_ISSUER")</f>
        <v>Suffolk, MA</v>
      </c>
      <c r="F137">
        <f>_xll.BDP("576051QZ Muni","DUR_ADJ_MID")</f>
        <v>3.6612444143315881</v>
      </c>
      <c r="G137">
        <f>_xll.BDP("576051QZ Muni","SPREAD_AT_ISSUANCE_TO_WORST")</f>
        <v>15.034328202584879</v>
      </c>
      <c r="H137" t="str">
        <f>_xll.BDP("576051QZ Muni","ISSUE_DT")</f>
        <v>5/18/2017</v>
      </c>
      <c r="I137" t="str">
        <f>_xll.BDS("576051QZ Muni","MUNI_PURPOSE_SCHED", "aggregate=y")</f>
        <v>WATER UTILITY IMPS. REFUNDING NOTES</v>
      </c>
      <c r="J137">
        <f>_xll.BDP("576051QZ Muni","CPN")</f>
        <v>5</v>
      </c>
      <c r="K137" t="str">
        <f>_xll.BDP("576051QZ Muni","MATURITY")</f>
        <v>8/1/2026</v>
      </c>
      <c r="L137">
        <v>2345000</v>
      </c>
      <c r="M137">
        <f>_xll.BDP("576051QZ Muni","YIELD_ON_ISSUE_DATE")</f>
        <v>2.2000000000000002</v>
      </c>
      <c r="N137">
        <f>_xll.BDP("576051QZ Muni","YTW_SPREAD_TO_MATURITY_AT_ISSU")</f>
        <v>15.034328202584879</v>
      </c>
      <c r="O137" t="str">
        <f>_xll.BDP("576051QZ Muni","BVAL_MID_YTM")</f>
        <v>#N/A Authorization</v>
      </c>
      <c r="P137" t="str">
        <f>_xll.BDP("576051QZ Muni","MUNI_TAX_PROV")</f>
        <v>FED &amp; ST TAX-EXEMPT</v>
      </c>
      <c r="Q137" t="str">
        <f>_xll.BDP("576051QZ Muni","MUNI_FED_TAX")</f>
        <v>N</v>
      </c>
      <c r="R137">
        <f>_xll.BDP("576051QZ Muni","MUNI_MSRB_VOLUME")</f>
        <v>1945000</v>
      </c>
      <c r="S137" t="str">
        <f>_xll.BDP("576051QZ Muni","BB_COMPOSITE")</f>
        <v>AA+</v>
      </c>
      <c r="T137">
        <f>_xll.BDP("576051QZ Muni","LQA_LIQUIDITY_SCORE")</f>
        <v>77</v>
      </c>
    </row>
    <row r="138" spans="1:20" x14ac:dyDescent="0.25">
      <c r="A138" t="str">
        <f>_xll.BDP("899656QR Muni","ID_CUSIP")</f>
        <v>899656QR6</v>
      </c>
      <c r="B138" t="s">
        <v>58</v>
      </c>
      <c r="C138" t="str">
        <f>_xll.BDP("899656QR Muni","INSURANCE_STATUS")</f>
        <v>N</v>
      </c>
      <c r="D138" t="str">
        <f>_xll.BDP("899656QR Muni","STATE_CODE")</f>
        <v>OK</v>
      </c>
      <c r="E138" t="str">
        <f>_xll.BDP("899656QR Muni","COUNTY_LOCATION_ISSUER")</f>
        <v>Tulsa, OK</v>
      </c>
      <c r="F138">
        <f>_xll.BDP("899656QR Muni","DUR_ADJ_MID")</f>
        <v>2.3998806463499225</v>
      </c>
      <c r="G138">
        <f>_xll.BDP("899656QR Muni","SPREAD_AT_ISSUANCE_TO_WORST")</f>
        <v>27.055715649431722</v>
      </c>
      <c r="H138" t="str">
        <f>_xll.BDP("899656QR Muni","ISSUE_DT")</f>
        <v>2/3/2017</v>
      </c>
      <c r="I138" t="str">
        <f>_xll.BDS("899656QR Muni","MUNI_PURPOSE_SCHED", "aggregate=y")</f>
        <v>CURRENT REFUNDING WATER UTILITY IMPS. SEWER IMPS.</v>
      </c>
      <c r="J138">
        <f>_xll.BDP("899656QR Muni","CPN")</f>
        <v>3</v>
      </c>
      <c r="K138" t="str">
        <f>_xll.BDP("899656QR Muni","MATURITY")</f>
        <v>2/1/2025</v>
      </c>
      <c r="L138">
        <v>1990000</v>
      </c>
      <c r="M138">
        <f>_xll.BDP("899656QR Muni","YIELD_ON_ISSUE_DATE")</f>
        <v>2.38</v>
      </c>
      <c r="N138">
        <f>_xll.BDP("899656QR Muni","YTW_SPREAD_TO_MATURITY_AT_ISSU")</f>
        <v>27.055715649431722</v>
      </c>
      <c r="O138" t="str">
        <f>_xll.BDP("899656QR Muni","BVAL_MID_YTM")</f>
        <v>#N/A Authorization</v>
      </c>
      <c r="P138" t="str">
        <f>_xll.BDP("899656QR Muni","MUNI_TAX_PROV")</f>
        <v>FED &amp; ST TAX-EXEMPT</v>
      </c>
      <c r="Q138" t="str">
        <f>_xll.BDP("899656QR Muni","MUNI_FED_TAX")</f>
        <v>N</v>
      </c>
      <c r="R138">
        <f>_xll.BDP("899656QR Muni","MUNI_MSRB_VOLUME")</f>
        <v>50000</v>
      </c>
      <c r="S138" t="str">
        <f>_xll.BDP("899656QR Muni","BB_COMPOSITE")</f>
        <v>AA+</v>
      </c>
      <c r="T138">
        <f>_xll.BDP("899656QR Muni","LQA_LIQUIDITY_SCORE")</f>
        <v>55</v>
      </c>
    </row>
    <row r="139" spans="1:20" x14ac:dyDescent="0.25">
      <c r="A139" t="str">
        <f>_xll.BDP("76222RVC Muni","ID_CUSIP")</f>
        <v>76222RVC3</v>
      </c>
      <c r="B139" t="s">
        <v>42</v>
      </c>
      <c r="C139" t="str">
        <f>_xll.BDP("76222RVC Muni","INSURANCE_STATUS")</f>
        <v>N</v>
      </c>
      <c r="D139" t="str">
        <f>_xll.BDP("76222RVC Muni","STATE_CODE")</f>
        <v>RI</v>
      </c>
      <c r="E139" t="str">
        <f>_xll.BDP("76222RVC Muni","COUNTY_LOCATION_ISSUER")</f>
        <v>Providence, RI</v>
      </c>
      <c r="F139">
        <f>_xll.BDP("76222RVC Muni","DUR_ADJ_MID")</f>
        <v>4.2335433676592444</v>
      </c>
      <c r="G139">
        <f>_xll.BDP("76222RVC Muni","SPREAD_AT_ISSUANCE_TO_WORST")</f>
        <v>23.675019820474262</v>
      </c>
      <c r="H139" t="str">
        <f>_xll.BDP("76222RVC Muni","ISSUE_DT")</f>
        <v>5/9/2017</v>
      </c>
      <c r="I139" t="str">
        <f>_xll.BDS("76222RVC Muni","MUNI_PURPOSE_SCHED", "aggregate=y")</f>
        <v>HOUSING UNIV. &amp; COLLEGE IMPS. WATER UTILITY IMPS.</v>
      </c>
      <c r="J139">
        <f>_xll.BDP("76222RVC Muni","CPN")</f>
        <v>5</v>
      </c>
      <c r="K139" t="str">
        <f>_xll.BDP("76222RVC Muni","MATURITY")</f>
        <v>5/1/2027</v>
      </c>
      <c r="L139">
        <v>4385000</v>
      </c>
      <c r="M139">
        <f>_xll.BDP("76222RVC Muni","YIELD_ON_ISSUE_DATE")</f>
        <v>2.35</v>
      </c>
      <c r="N139">
        <f>_xll.BDP("76222RVC Muni","YTW_SPREAD_TO_MATURITY_AT_ISSU")</f>
        <v>23.675019820474262</v>
      </c>
      <c r="O139" t="str">
        <f>_xll.BDP("76222RVC Muni","BVAL_MID_YTM")</f>
        <v>#N/A Authorization</v>
      </c>
      <c r="P139" t="str">
        <f>_xll.BDP("76222RVC Muni","MUNI_TAX_PROV")</f>
        <v>FED &amp; ST TAX-EXEMPT</v>
      </c>
      <c r="Q139" t="str">
        <f>_xll.BDP("76222RVC Muni","MUNI_FED_TAX")</f>
        <v>N</v>
      </c>
      <c r="R139">
        <f>_xll.BDP("76222RVC Muni","MUNI_MSRB_VOLUME")</f>
        <v>60000</v>
      </c>
      <c r="S139" t="str">
        <f>_xll.BDP("76222RVC Muni","BB_COMPOSITE")</f>
        <v>AA</v>
      </c>
      <c r="T139">
        <f>_xll.BDP("76222RVC Muni","LQA_LIQUIDITY_SCORE")</f>
        <v>60</v>
      </c>
    </row>
    <row r="140" spans="1:20" x14ac:dyDescent="0.25">
      <c r="A140" t="str">
        <f>_xll.BDP("00344NQT Muni","ID_CUSIP")</f>
        <v>00344NQT4</v>
      </c>
      <c r="B140" t="s">
        <v>99</v>
      </c>
      <c r="C140" t="str">
        <f>_xll.BDP("00344NQT Muni","INSURANCE_STATUS")</f>
        <v>N</v>
      </c>
      <c r="D140" t="str">
        <f>_xll.BDP("00344NQT Muni","STATE_CODE")</f>
        <v>TX</v>
      </c>
      <c r="E140" t="str">
        <f>_xll.BDP("00344NQT Muni","COUNTY_LOCATION_ISSUER")</f>
        <v>Taylor, TX</v>
      </c>
      <c r="F140">
        <f>_xll.BDP("00344NQT Muni","DUR_ADJ_MID")</f>
        <v>2.3468565692300891</v>
      </c>
      <c r="G140">
        <f>_xll.BDP("00344NQT Muni","SPREAD_AT_ISSUANCE_TO_WORST")</f>
        <v>21.346950236867592</v>
      </c>
      <c r="H140" t="str">
        <f>_xll.BDP("00344NQT Muni","ISSUE_DT")</f>
        <v>7/1/2017</v>
      </c>
      <c r="I140" t="str">
        <f>_xll.BDS("00344NQT Muni","MUNI_PURPOSE_SCHED", "aggregate=y")</f>
        <v>PUBLIC IMPS. WATER UTILITY IMPS. SEWER IMPS.</v>
      </c>
      <c r="J140">
        <f>_xll.BDP("00344NQT Muni","CPN")</f>
        <v>5</v>
      </c>
      <c r="K140" t="str">
        <f>_xll.BDP("00344NQT Muni","MATURITY")</f>
        <v>2/15/2025</v>
      </c>
      <c r="L140">
        <v>785000</v>
      </c>
      <c r="M140">
        <f>_xll.BDP("00344NQT Muni","YIELD_ON_ISSUE_DATE")</f>
        <v>1.81</v>
      </c>
      <c r="N140">
        <f>_xll.BDP("00344NQT Muni","YTW_SPREAD_TO_MATURITY_AT_ISSU")</f>
        <v>21.346950236867592</v>
      </c>
      <c r="O140" t="str">
        <f>_xll.BDP("00344NQT Muni","BVAL_MID_YTM")</f>
        <v>#N/A Authorization</v>
      </c>
      <c r="P140" t="str">
        <f>_xll.BDP("00344NQT Muni","MUNI_TAX_PROV")</f>
        <v>FED TAX-EXEMPT</v>
      </c>
      <c r="Q140" t="str">
        <f>_xll.BDP("00344NQT Muni","MUNI_FED_TAX")</f>
        <v>N</v>
      </c>
      <c r="R140">
        <f>_xll.BDP("00344NQT Muni","MUNI_MSRB_VOLUME")</f>
        <v>10000</v>
      </c>
      <c r="S140" t="str">
        <f>_xll.BDP("00344NQT Muni","BB_COMPOSITE")</f>
        <v>AA+</v>
      </c>
      <c r="T140">
        <f>_xll.BDP("00344NQT Muni","LQA_LIQUIDITY_SCORE")</f>
        <v>77</v>
      </c>
    </row>
    <row r="141" spans="1:20" x14ac:dyDescent="0.25">
      <c r="A141" t="str">
        <f>_xll.BDP("602409KE Muni","ID_CUSIP")</f>
        <v>602409KE3</v>
      </c>
      <c r="B141" t="s">
        <v>103</v>
      </c>
      <c r="C141" t="str">
        <f>_xll.BDP("602409KE Muni","INSURANCE_STATUS")</f>
        <v>N</v>
      </c>
      <c r="D141" t="str">
        <f>_xll.BDP("602409KE Muni","STATE_CODE")</f>
        <v>WI</v>
      </c>
      <c r="E141" t="str">
        <f>_xll.BDP("602409KE Muni","COUNTY_LOCATION_ISSUER")</f>
        <v>Milwaukee, WI</v>
      </c>
      <c r="F141">
        <f>_xll.BDP("602409KE Muni","DUR_ADJ_MID")</f>
        <v>1.1205355740026908</v>
      </c>
      <c r="G141">
        <f>_xll.BDP("602409KE Muni","SPREAD_AT_ISSUANCE_TO_WORST")</f>
        <v>7.6976597426466453</v>
      </c>
      <c r="H141" t="str">
        <f>_xll.BDP("602409KE Muni","ISSUE_DT")</f>
        <v>6/12/2017</v>
      </c>
      <c r="I141" t="str">
        <f>_xll.BDS("602409KE Muni","MUNI_PURPOSE_SCHED", "aggregate=y")</f>
        <v>WATER UTILITY IMPS. PUBLIC IMPS. SEWER IMPS.</v>
      </c>
      <c r="J141">
        <f>_xll.BDP("602409KE Muni","CPN")</f>
        <v>5</v>
      </c>
      <c r="K141" t="str">
        <f>_xll.BDP("602409KE Muni","MATURITY")</f>
        <v>10/1/2023</v>
      </c>
      <c r="L141">
        <v>3010000</v>
      </c>
      <c r="M141">
        <f>_xll.BDP("602409KE Muni","YIELD_ON_ISSUE_DATE")</f>
        <v>1.54</v>
      </c>
      <c r="N141">
        <f>_xll.BDP("602409KE Muni","YTW_SPREAD_TO_MATURITY_AT_ISSU")</f>
        <v>7.6976597426466453</v>
      </c>
      <c r="O141" t="str">
        <f>_xll.BDP("602409KE Muni","BVAL_MID_YTM")</f>
        <v>#N/A Authorization</v>
      </c>
      <c r="P141" t="str">
        <f>_xll.BDP("602409KE Muni","MUNI_TAX_PROV")</f>
        <v>FED TAX-EXEMPT/ST TAXABLE</v>
      </c>
      <c r="Q141" t="str">
        <f>_xll.BDP("602409KE Muni","MUNI_FED_TAX")</f>
        <v>N</v>
      </c>
      <c r="R141">
        <f>_xll.BDP("602409KE Muni","MUNI_MSRB_VOLUME")</f>
        <v>50000</v>
      </c>
      <c r="S141" t="str">
        <f>_xll.BDP("602409KE Muni","BB_COMPOSITE")</f>
        <v>AA+</v>
      </c>
      <c r="T141">
        <f>_xll.BDP("602409KE Muni","LQA_LIQUIDITY_SCORE")</f>
        <v>76</v>
      </c>
    </row>
    <row r="142" spans="1:20" x14ac:dyDescent="0.25">
      <c r="A142" t="str">
        <f>_xll.BDP("46246K4A Muni","ID_CUSIP")</f>
        <v>46246K4A7</v>
      </c>
      <c r="B142" t="s">
        <v>28</v>
      </c>
      <c r="C142" t="str">
        <f>_xll.BDP("46246K4A Muni","INSURANCE_STATUS")</f>
        <v>N</v>
      </c>
      <c r="D142" t="str">
        <f>_xll.BDP("46246K4A Muni","STATE_CODE")</f>
        <v>IA</v>
      </c>
      <c r="E142" t="str">
        <f>_xll.BDP("46246K4A Muni","COUNTY_LOCATION_ISSUER")</f>
        <v>Polk, IA</v>
      </c>
      <c r="F142">
        <f>_xll.BDP("46246K4A Muni","DUR_ADJ_MID")</f>
        <v>3.6571341188767614</v>
      </c>
      <c r="G142">
        <f>_xll.BDP("46246K4A Muni","SPREAD_AT_ISSUANCE_TO_WORST")</f>
        <v>14.214306849315061</v>
      </c>
      <c r="H142" t="str">
        <f>_xll.BDP("46246K4A Muni","ISSUE_DT")</f>
        <v>12/14/2017</v>
      </c>
      <c r="I142" t="str">
        <f>_xll.BDS("46246K4A Muni","MUNI_PURPOSE_SCHED", "aggregate=y")</f>
        <v>WATER UTILITY IMPS. GREEN PURPOSE ADVANCE REFUNDING</v>
      </c>
      <c r="J142">
        <f>_xll.BDP("46246K4A Muni","CPN")</f>
        <v>5</v>
      </c>
      <c r="K142" t="str">
        <f>_xll.BDP("46246K4A Muni","MATURITY")</f>
        <v>8/1/2026</v>
      </c>
      <c r="L142">
        <v>17620000</v>
      </c>
      <c r="M142">
        <f>_xll.BDP("46246K4A Muni","YIELD_ON_ISSUE_DATE")</f>
        <v>2.19</v>
      </c>
      <c r="N142">
        <f>_xll.BDP("46246K4A Muni","YTW_SPREAD_TO_MATURITY_AT_ISSU")</f>
        <v>14.214306849315061</v>
      </c>
      <c r="O142" t="str">
        <f>_xll.BDP("46246K4A Muni","BVAL_MID_YTM")</f>
        <v>#N/A Authorization</v>
      </c>
      <c r="P142" t="str">
        <f>_xll.BDP("46246K4A Muni","MUNI_TAX_PROV")</f>
        <v>FED &amp; ST TAX-EXEMPT</v>
      </c>
      <c r="Q142" t="str">
        <f>_xll.BDP("46246K4A Muni","MUNI_FED_TAX")</f>
        <v>N</v>
      </c>
      <c r="R142">
        <f>_xll.BDP("46246K4A Muni","MUNI_MSRB_VOLUME")</f>
        <v>75000</v>
      </c>
      <c r="S142" t="str">
        <f>_xll.BDP("46246K4A Muni","BB_COMPOSITE")</f>
        <v>AAA</v>
      </c>
      <c r="T142">
        <f>_xll.BDP("46246K4A Muni","LQA_LIQUIDITY_SCORE")</f>
        <v>76</v>
      </c>
    </row>
    <row r="143" spans="1:20" x14ac:dyDescent="0.25">
      <c r="A143" t="str">
        <f>_xll.BDP("9242582D Muni","ID_CUSIP")</f>
        <v>9242582D7</v>
      </c>
      <c r="B143" t="s">
        <v>77</v>
      </c>
      <c r="C143" t="str">
        <f>_xll.BDP("9242582D Muni","INSURANCE_STATUS")</f>
        <v>N</v>
      </c>
      <c r="D143" t="str">
        <f>_xll.BDP("9242582D Muni","STATE_CODE")</f>
        <v>VT</v>
      </c>
      <c r="E143" t="str">
        <f>_xll.BDP("9242582D Muni","COUNTY_LOCATION_ISSUER")</f>
        <v>Washington, VT</v>
      </c>
      <c r="F143">
        <f>_xll.BDP("9242582D Muni","DUR_ADJ_MID")</f>
        <v>2.782823445453972</v>
      </c>
      <c r="G143">
        <f>_xll.BDP("9242582D Muni","SPREAD_AT_ISSUANCE_TO_WORST")</f>
        <v>-0.60804765347912682</v>
      </c>
      <c r="H143" t="str">
        <f>_xll.BDP("9242582D Muni","ISSUE_DT")</f>
        <v>9/13/2017</v>
      </c>
      <c r="I143" t="str">
        <f>_xll.BDS("9242582D Muni","MUNI_PURPOSE_SCHED", "aggregate=y")</f>
        <v>PUBLIC IMPS. WATER UTILITY IMPS. UNIV. &amp; COLLEGE IMPS.</v>
      </c>
      <c r="J143">
        <f>_xll.BDP("9242582D Muni","CPN")</f>
        <v>5</v>
      </c>
      <c r="K143" t="str">
        <f>_xll.BDP("9242582D Muni","MATURITY")</f>
        <v>8/15/2025</v>
      </c>
      <c r="L143">
        <v>4315000</v>
      </c>
      <c r="M143">
        <f>_xll.BDP("9242582D Muni","YIELD_ON_ISSUE_DATE")</f>
        <v>1.58</v>
      </c>
      <c r="N143">
        <f>_xll.BDP("9242582D Muni","YTW_SPREAD_TO_MATURITY_AT_ISSU")</f>
        <v>-0.60804765347912682</v>
      </c>
      <c r="O143" t="str">
        <f>_xll.BDP("9242582D Muni","BVAL_MID_YTM")</f>
        <v>#N/A Authorization</v>
      </c>
      <c r="P143" t="str">
        <f>_xll.BDP("9242582D Muni","MUNI_TAX_PROV")</f>
        <v>FED &amp; ST TAX-EXEMPT</v>
      </c>
      <c r="Q143" t="str">
        <f>_xll.BDP("9242582D Muni","MUNI_FED_TAX")</f>
        <v>N</v>
      </c>
      <c r="R143">
        <f>_xll.BDP("9242582D Muni","MUNI_MSRB_VOLUME")</f>
        <v>300000</v>
      </c>
      <c r="S143" t="str">
        <f>_xll.BDP("9242582D Muni","BB_COMPOSITE")</f>
        <v>AA+</v>
      </c>
      <c r="T143">
        <f>_xll.BDP("9242582D Muni","LQA_LIQUIDITY_SCORE")</f>
        <v>80</v>
      </c>
    </row>
    <row r="144" spans="1:20" x14ac:dyDescent="0.25">
      <c r="A144" t="str">
        <f>_xll.BDP("89658HVA Muni","ID_CUSIP")</f>
        <v>89658HVA5</v>
      </c>
      <c r="B144" t="s">
        <v>33</v>
      </c>
      <c r="C144" t="str">
        <f>_xll.BDP("89658HVA Muni","INSURANCE_STATUS")</f>
        <v>N</v>
      </c>
      <c r="D144" t="str">
        <f>_xll.BDP("89658HVA Muni","STATE_CODE")</f>
        <v>TX</v>
      </c>
      <c r="E144" t="str">
        <f>_xll.BDP("89658HVA Muni","COUNTY_LOCATION_ISSUER")</f>
        <v>Tarrant, TX</v>
      </c>
      <c r="F144">
        <f>_xll.BDP("89658HVA Muni","DUR_ADJ_MID")</f>
        <v>4.5587465560443823</v>
      </c>
      <c r="G144">
        <f>_xll.BDP("89658HVA Muni","SPREAD_AT_ISSUANCE_TO_WORST")</f>
        <v>31.263435475077863</v>
      </c>
      <c r="H144" t="str">
        <f>_xll.BDP("89658HVA Muni","ISSUE_DT")</f>
        <v>5/1/2017</v>
      </c>
      <c r="I144" t="str">
        <f>_xll.BDS("89658HVA Muni","MUNI_PURPOSE_SCHED", "aggregate=y")</f>
        <v>ADVANCE REFUNDING WATER UTILITY IMPS. SEWER IMPS.</v>
      </c>
      <c r="J144">
        <f>_xll.BDP("89658HVA Muni","CPN")</f>
        <v>4</v>
      </c>
      <c r="K144" t="str">
        <f>_xll.BDP("89658HVA Muni","MATURITY")</f>
        <v>8/1/2027</v>
      </c>
      <c r="L144">
        <v>8770000</v>
      </c>
      <c r="M144">
        <f>_xll.BDP("89658HVA Muni","YIELD_ON_ISSUE_DATE")</f>
        <v>2.5100000000000002</v>
      </c>
      <c r="N144">
        <f>_xll.BDP("89658HVA Muni","YTW_SPREAD_TO_MATURITY_AT_ISSU")</f>
        <v>31.263435475077863</v>
      </c>
      <c r="O144" t="str">
        <f>_xll.BDP("89658HVA Muni","BVAL_MID_YTM")</f>
        <v>#N/A Authorization</v>
      </c>
      <c r="P144" t="str">
        <f>_xll.BDP("89658HVA Muni","MUNI_TAX_PROV")</f>
        <v>FED TAX-EXEMPT</v>
      </c>
      <c r="Q144" t="str">
        <f>_xll.BDP("89658HVA Muni","MUNI_FED_TAX")</f>
        <v>N</v>
      </c>
      <c r="R144">
        <f>_xll.BDP("89658HVA Muni","MUNI_MSRB_VOLUME")</f>
        <v>10000</v>
      </c>
      <c r="S144" t="str">
        <f>_xll.BDP("89658HVA Muni","BB_COMPOSITE")</f>
        <v>AAA</v>
      </c>
      <c r="T144">
        <f>_xll.BDP("89658HVA Muni","LQA_LIQUIDITY_SCORE")</f>
        <v>67</v>
      </c>
    </row>
    <row r="145" spans="1:20" x14ac:dyDescent="0.25">
      <c r="A145" t="str">
        <f>_xll.BDP("98618FAJ Muni","ID_CUSIP")</f>
        <v>98618FAJ3</v>
      </c>
      <c r="B145" t="s">
        <v>29</v>
      </c>
      <c r="C145" t="str">
        <f>_xll.BDP("98618FAJ Muni","INSURANCE_STATUS")</f>
        <v>N</v>
      </c>
      <c r="D145" t="str">
        <f>_xll.BDP("98618FAJ Muni","STATE_CODE")</f>
        <v>CA</v>
      </c>
      <c r="E145" t="str">
        <f>_xll.BDP("98618FAJ Muni","COUNTY_LOCATION_ISSUER")</f>
        <v>Orange, CA</v>
      </c>
      <c r="F145">
        <f>_xll.BDP("98618FAJ Muni","DUR_ADJ_MID")</f>
        <v>2.902716745989919</v>
      </c>
      <c r="G145">
        <f>_xll.BDP("98618FAJ Muni","SPREAD_AT_ISSUANCE_TO_WORST")</f>
        <v>5.2027769103836441</v>
      </c>
      <c r="H145" t="str">
        <f>_xll.BDP("98618FAJ Muni","ISSUE_DT")</f>
        <v>5/11/2017</v>
      </c>
      <c r="I145" t="str">
        <f>_xll.BDS("98618FAJ Muni","MUNI_PURPOSE_SCHED", "aggregate=y")</f>
        <v>ADVANCE REFUNDING WATER UTILITY IMPS.</v>
      </c>
      <c r="J145">
        <f>_xll.BDP("98618FAJ Muni","CPN")</f>
        <v>5</v>
      </c>
      <c r="K145" t="str">
        <f>_xll.BDP("98618FAJ Muni","MATURITY")</f>
        <v>10/1/2025</v>
      </c>
      <c r="L145">
        <v>1145000</v>
      </c>
      <c r="M145">
        <f>_xll.BDP("98618FAJ Muni","YIELD_ON_ISSUE_DATE")</f>
        <v>1.99</v>
      </c>
      <c r="N145">
        <f>_xll.BDP("98618FAJ Muni","YTW_SPREAD_TO_MATURITY_AT_ISSU")</f>
        <v>5.2027769103836441</v>
      </c>
      <c r="O145" t="str">
        <f>_xll.BDP("98618FAJ Muni","BVAL_MID_YTM")</f>
        <v>#N/A Authorization</v>
      </c>
      <c r="P145" t="str">
        <f>_xll.BDP("98618FAJ Muni","MUNI_TAX_PROV")</f>
        <v>FED &amp; ST TAX-EXEMPT</v>
      </c>
      <c r="Q145" t="str">
        <f>_xll.BDP("98618FAJ Muni","MUNI_FED_TAX")</f>
        <v>N</v>
      </c>
      <c r="R145">
        <f>_xll.BDP("98618FAJ Muni","MUNI_MSRB_VOLUME")</f>
        <v>25000</v>
      </c>
      <c r="S145" t="str">
        <f>_xll.BDP("98618FAJ Muni","BB_COMPOSITE")</f>
        <v>AA+</v>
      </c>
      <c r="T145">
        <f>_xll.BDP("98618FAJ Muni","LQA_LIQUIDITY_SCORE")</f>
        <v>60</v>
      </c>
    </row>
    <row r="146" spans="1:20" x14ac:dyDescent="0.25">
      <c r="A146" t="str">
        <f>_xll.BDP("906400DX Muni","ID_CUSIP")</f>
        <v>906400DX1</v>
      </c>
      <c r="B146" t="s">
        <v>32</v>
      </c>
      <c r="C146" t="str">
        <f>_xll.BDP("906400DX Muni","INSURANCE_STATUS")</f>
        <v>N</v>
      </c>
      <c r="D146" t="str">
        <f>_xll.BDP("906400DX Muni","STATE_CODE")</f>
        <v>NC</v>
      </c>
      <c r="E146" t="str">
        <f>_xll.BDP("906400DX Muni","COUNTY_LOCATION_ISSUER")</f>
        <v>Union, NC</v>
      </c>
      <c r="F146">
        <f>_xll.BDP("906400DX Muni","DUR_ADJ_MID")</f>
        <v>4.4014956870319129</v>
      </c>
      <c r="G146">
        <f>_xll.BDP("906400DX Muni","SPREAD_AT_ISSUANCE_TO_WORST")</f>
        <v>14.095616795823073</v>
      </c>
      <c r="H146" t="str">
        <f>_xll.BDP("906400DX Muni","ISSUE_DT")</f>
        <v>8/30/2017</v>
      </c>
      <c r="I146" t="str">
        <f>_xll.BDS("906400DX Muni","MUNI_PURPOSE_SCHED", "aggregate=y")</f>
        <v>WATER UTILITY IMPS. SEWER IMPS.</v>
      </c>
      <c r="J146">
        <f>_xll.BDP("906400DX Muni","CPN")</f>
        <v>4</v>
      </c>
      <c r="K146" t="str">
        <f>_xll.BDP("906400DX Muni","MATURITY")</f>
        <v>6/1/2027</v>
      </c>
      <c r="L146">
        <v>2415000</v>
      </c>
      <c r="M146">
        <f>_xll.BDP("906400DX Muni","YIELD_ON_ISSUE_DATE")</f>
        <v>1.96</v>
      </c>
      <c r="N146">
        <f>_xll.BDP("906400DX Muni","YTW_SPREAD_TO_MATURITY_AT_ISSU")</f>
        <v>14.095616795823073</v>
      </c>
      <c r="O146" t="str">
        <f>_xll.BDP("906400DX Muni","BVAL_MID_YTM")</f>
        <v>#N/A Authorization</v>
      </c>
      <c r="P146" t="str">
        <f>_xll.BDP("906400DX Muni","MUNI_TAX_PROV")</f>
        <v>FED &amp; ST TAX-EXEMPT</v>
      </c>
      <c r="Q146" t="str">
        <f>_xll.BDP("906400DX Muni","MUNI_FED_TAX")</f>
        <v>N</v>
      </c>
      <c r="R146">
        <f>_xll.BDP("906400DX Muni","MUNI_MSRB_VOLUME")</f>
        <v>120000</v>
      </c>
      <c r="S146" t="str">
        <f>_xll.BDP("906400DX Muni","BB_COMPOSITE")</f>
        <v>AA</v>
      </c>
      <c r="T146">
        <f>_xll.BDP("906400DX Muni","LQA_LIQUIDITY_SCORE")</f>
        <v>51</v>
      </c>
    </row>
    <row r="147" spans="1:20" x14ac:dyDescent="0.25">
      <c r="A147" t="str">
        <f>_xll.BDP("795604AH Muni","ID_CUSIP")</f>
        <v>795604AH0</v>
      </c>
      <c r="B147" t="s">
        <v>60</v>
      </c>
      <c r="C147" t="str">
        <f>_xll.BDP("795604AH Muni","INSURANCE_STATUS")</f>
        <v>N</v>
      </c>
      <c r="D147" t="str">
        <f>_xll.BDP("795604AH Muni","STATE_CODE")</f>
        <v>UT</v>
      </c>
      <c r="E147" t="str">
        <f>_xll.BDP("795604AH Muni","COUNTY_LOCATION_ISSUER")</f>
        <v>#N/A Field Not Applicable</v>
      </c>
      <c r="F147">
        <f>_xll.BDP("795604AH Muni","DUR_ADJ_MID")</f>
        <v>2.3632753473863537</v>
      </c>
      <c r="G147">
        <f>_xll.BDP("795604AH Muni","SPREAD_AT_ISSUANCE_TO_WORST")</f>
        <v>16.23886927605076</v>
      </c>
      <c r="H147" t="str">
        <f>_xll.BDP("795604AH Muni","ISSUE_DT")</f>
        <v>4/5/2017</v>
      </c>
      <c r="I147" t="str">
        <f>_xll.BDS("795604AH Muni","MUNI_PURPOSE_SCHED", "aggregate=y")</f>
        <v>WATER UTILITY IMPS. SEWER IMPS. ADVANCE REFUNDING</v>
      </c>
      <c r="J147">
        <f>_xll.BDP("795604AH Muni","CPN")</f>
        <v>5</v>
      </c>
      <c r="K147" t="str">
        <f>_xll.BDP("795604AH Muni","MATURITY")</f>
        <v>2/1/2025</v>
      </c>
      <c r="L147">
        <v>3190000</v>
      </c>
      <c r="M147">
        <f>_xll.BDP("795604AH Muni","YIELD_ON_ISSUE_DATE")</f>
        <v>2.1800000000000002</v>
      </c>
      <c r="N147">
        <f>_xll.BDP("795604AH Muni","YTW_SPREAD_TO_MATURITY_AT_ISSU")</f>
        <v>16.23886927605076</v>
      </c>
      <c r="O147" t="str">
        <f>_xll.BDP("795604AH Muni","BVAL_MID_YTM")</f>
        <v>#N/A Authorization</v>
      </c>
      <c r="P147" t="str">
        <f>_xll.BDP("795604AH Muni","MUNI_TAX_PROV")</f>
        <v>FED &amp; ST TAX-EXEMPT</v>
      </c>
      <c r="Q147" t="str">
        <f>_xll.BDP("795604AH Muni","MUNI_FED_TAX")</f>
        <v>N</v>
      </c>
      <c r="R147">
        <f>_xll.BDP("795604AH Muni","MUNI_MSRB_VOLUME")</f>
        <v>10000</v>
      </c>
      <c r="S147" t="str">
        <f>_xll.BDP("795604AH Muni","BB_COMPOSITE")</f>
        <v>AA+</v>
      </c>
      <c r="T147">
        <f>_xll.BDP("795604AH Muni","LQA_LIQUIDITY_SCORE")</f>
        <v>83</v>
      </c>
    </row>
    <row r="148" spans="1:20" x14ac:dyDescent="0.25">
      <c r="A148" t="str">
        <f>_xll.BDP("254845NH Muni","ID_CUSIP")</f>
        <v>254845NH9</v>
      </c>
      <c r="B148" t="s">
        <v>104</v>
      </c>
      <c r="C148" t="str">
        <f>_xll.BDP("254845NH Muni","INSURANCE_STATUS")</f>
        <v>N</v>
      </c>
      <c r="D148" t="str">
        <f>_xll.BDP("254845NH Muni","STATE_CODE")</f>
        <v>DC</v>
      </c>
      <c r="E148" t="str">
        <f>_xll.BDP("254845NH Muni","COUNTY_LOCATION_ISSUER")</f>
        <v>District of Columbia, 11</v>
      </c>
      <c r="F148">
        <f>_xll.BDP("254845NH Muni","DUR_ADJ_MID")</f>
        <v>3.7382531921836453</v>
      </c>
      <c r="G148">
        <f>_xll.BDP("254845NH Muni","SPREAD_AT_ISSUANCE_TO_WORST")</f>
        <v>16.723665879091953</v>
      </c>
      <c r="H148" t="str">
        <f>_xll.BDP("254845NH Muni","ISSUE_DT")</f>
        <v>2/23/2017</v>
      </c>
      <c r="I148" t="str">
        <f>_xll.BDS("254845NH Muni","MUNI_PURPOSE_SCHED", "aggregate=y")</f>
        <v>WATER UTILITY IMPS. SEWER IMPS.</v>
      </c>
      <c r="J148">
        <f>_xll.BDP("254845NH Muni","CPN")</f>
        <v>5</v>
      </c>
      <c r="K148" t="str">
        <f>_xll.BDP("254845NH Muni","MATURITY")</f>
        <v>10/1/2026</v>
      </c>
      <c r="L148">
        <v>5535000</v>
      </c>
      <c r="M148">
        <f>_xll.BDP("254845NH Muni","YIELD_ON_ISSUE_DATE")</f>
        <v>2.46</v>
      </c>
      <c r="N148">
        <f>_xll.BDP("254845NH Muni","YTW_SPREAD_TO_MATURITY_AT_ISSU")</f>
        <v>16.723665879091953</v>
      </c>
      <c r="O148" t="str">
        <f>_xll.BDP("254845NH Muni","BVAL_MID_YTM")</f>
        <v>#N/A Authorization</v>
      </c>
      <c r="P148" t="str">
        <f>_xll.BDP("254845NH Muni","MUNI_TAX_PROV")</f>
        <v>FED &amp; ST TAX-EXEMPT</v>
      </c>
      <c r="Q148" t="str">
        <f>_xll.BDP("254845NH Muni","MUNI_FED_TAX")</f>
        <v>N</v>
      </c>
      <c r="R148">
        <f>_xll.BDP("254845NH Muni","MUNI_MSRB_VOLUME")</f>
        <v>20000</v>
      </c>
      <c r="S148" t="str">
        <f>_xll.BDP("254845NH Muni","BB_COMPOSITE")</f>
        <v>AA+</v>
      </c>
      <c r="T148">
        <f>_xll.BDP("254845NH Muni","LQA_LIQUIDITY_SCORE")</f>
        <v>77</v>
      </c>
    </row>
    <row r="149" spans="1:20" x14ac:dyDescent="0.25">
      <c r="A149" t="str">
        <f>_xll.BDP("34680CFC Muni","ID_CUSIP")</f>
        <v>34680CFC8</v>
      </c>
      <c r="B149" t="s">
        <v>105</v>
      </c>
      <c r="C149" t="str">
        <f>_xll.BDP("34680CFC Muni","INSURANCE_STATUS")</f>
        <v>Y</v>
      </c>
      <c r="D149" t="str">
        <f>_xll.BDP("34680CFC Muni","STATE_CODE")</f>
        <v>TX</v>
      </c>
      <c r="E149" t="str">
        <f>_xll.BDP("34680CFC Muni","COUNTY_LOCATION_ISSUER")</f>
        <v>Fort Bend, TX</v>
      </c>
      <c r="F149">
        <f>_xll.BDP("34680CFC Muni","DUR_ADJ_MID")</f>
        <v>8.0450186412629951E-2</v>
      </c>
      <c r="G149">
        <f>_xll.BDP("34680CFC Muni","SPREAD_AT_ISSUANCE_TO_WORST")</f>
        <v>37.871197260273973</v>
      </c>
      <c r="H149" t="str">
        <f>_xll.BDP("34680CFC Muni","ISSUE_DT")</f>
        <v>11/1/2017</v>
      </c>
      <c r="I149" t="str">
        <f>_xll.BDS("34680CFC Muni","MUNI_PURPOSE_SCHED", "aggregate=y")</f>
        <v>WATER UTILITY IMPS. SEWER IMPS. REFUNDING NOTES</v>
      </c>
      <c r="J149">
        <f>_xll.BDP("34680CFC Muni","CPN")</f>
        <v>2</v>
      </c>
      <c r="K149" t="str">
        <f>_xll.BDP("34680CFC Muni","MATURITY")</f>
        <v>9/1/2022</v>
      </c>
      <c r="L149">
        <v>750000</v>
      </c>
      <c r="M149">
        <f>_xll.BDP("34680CFC Muni","YIELD_ON_ISSUE_DATE")</f>
        <v>1.75</v>
      </c>
      <c r="N149">
        <f>_xll.BDP("34680CFC Muni","YTW_SPREAD_TO_MATURITY_AT_ISSU")</f>
        <v>37.871197260273973</v>
      </c>
      <c r="O149" t="str">
        <f>_xll.BDP("34680CFC Muni","BVAL_MID_YTM")</f>
        <v>#N/A Authorization</v>
      </c>
      <c r="P149" t="str">
        <f>_xll.BDP("34680CFC Muni","MUNI_TAX_PROV")</f>
        <v>FED TAX-EXEMPT</v>
      </c>
      <c r="Q149" t="str">
        <f>_xll.BDP("34680CFC Muni","MUNI_FED_TAX")</f>
        <v>N</v>
      </c>
      <c r="R149">
        <f>_xll.BDP("34680CFC Muni","MUNI_MSRB_VOLUME")</f>
        <v>20000</v>
      </c>
      <c r="S149" t="str">
        <f>_xll.BDP("34680CFC Muni","BB_COMPOSITE")</f>
        <v>AA-</v>
      </c>
      <c r="T149">
        <f>_xll.BDP("34680CFC Muni","LQA_LIQUIDITY_SCORE")</f>
        <v>92</v>
      </c>
    </row>
    <row r="150" spans="1:20" x14ac:dyDescent="0.25">
      <c r="A150" t="str">
        <f>_xll.BDP("197053AJ Muni","ID_CUSIP")</f>
        <v>197053AJ0</v>
      </c>
      <c r="B150" t="s">
        <v>106</v>
      </c>
      <c r="C150" t="str">
        <f>_xll.BDP("197053AJ Muni","INSURANCE_STATUS")</f>
        <v>Y</v>
      </c>
      <c r="D150" t="str">
        <f>_xll.BDP("197053AJ Muni","STATE_CODE")</f>
        <v>CA</v>
      </c>
      <c r="E150" t="str">
        <f>_xll.BDP("197053AJ Muni","COUNTY_LOCATION_ISSUER")</f>
        <v>San Bernardino, CA</v>
      </c>
      <c r="F150">
        <f>_xll.BDP("197053AJ Muni","DUR_ADJ_MID")</f>
        <v>3.2432344107415054</v>
      </c>
      <c r="G150">
        <f>_xll.BDP("197053AJ Muni","SPREAD_AT_ISSUANCE_TO_WORST")</f>
        <v>6.8311241358926633</v>
      </c>
      <c r="H150" t="str">
        <f>_xll.BDP("197053AJ Muni","ISSUE_DT")</f>
        <v>12/13/2017</v>
      </c>
      <c r="I150" t="str">
        <f>_xll.BDS("197053AJ Muni","MUNI_PURPOSE_SCHED", "aggregate=y")</f>
        <v>WATER UTILITY IMPS. CURRENT REFUNDING</v>
      </c>
      <c r="J150">
        <f>_xll.BDP("197053AJ Muni","CPN")</f>
        <v>5</v>
      </c>
      <c r="K150" t="str">
        <f>_xll.BDP("197053AJ Muni","MATURITY")</f>
        <v>3/1/2026</v>
      </c>
      <c r="L150">
        <v>435000</v>
      </c>
      <c r="M150">
        <f>_xll.BDP("197053AJ Muni","YIELD_ON_ISSUE_DATE")</f>
        <v>2.17</v>
      </c>
      <c r="N150" t="str">
        <f>_xll.BDP("197053AJ Muni","YTW_SPREAD_TO_MATURITY_AT_ISSU")</f>
        <v>#N/A N/A</v>
      </c>
      <c r="O150" t="str">
        <f>_xll.BDP("197053AJ Muni","BVAL_MID_YTM")</f>
        <v>#N/A Authorization</v>
      </c>
      <c r="P150" t="str">
        <f>_xll.BDP("197053AJ Muni","MUNI_TAX_PROV")</f>
        <v>FED &amp; ST TAX-EXEMPT</v>
      </c>
      <c r="Q150" t="str">
        <f>_xll.BDP("197053AJ Muni","MUNI_FED_TAX")</f>
        <v>N</v>
      </c>
      <c r="R150">
        <f>_xll.BDP("197053AJ Muni","MUNI_MSRB_VOLUME")</f>
        <v>30000</v>
      </c>
      <c r="S150" t="str">
        <f>_xll.BDP("197053AJ Muni","BB_COMPOSITE")</f>
        <v>#N/A N/A</v>
      </c>
      <c r="T150">
        <f>_xll.BDP("197053AJ Muni","LQA_LIQUIDITY_SCORE")</f>
        <v>77</v>
      </c>
    </row>
    <row r="151" spans="1:20" x14ac:dyDescent="0.25">
      <c r="A151" t="str">
        <f>_xll.BDP("20775YDB Muni","ID_CUSIP")</f>
        <v>20775YDB9</v>
      </c>
      <c r="B151" t="s">
        <v>35</v>
      </c>
      <c r="C151" t="str">
        <f>_xll.BDP("20775YDB Muni","INSURANCE_STATUS")</f>
        <v>N</v>
      </c>
      <c r="D151" t="str">
        <f>_xll.BDP("20775YDB Muni","STATE_CODE")</f>
        <v>CT</v>
      </c>
      <c r="E151" t="str">
        <f>_xll.BDP("20775YDB Muni","COUNTY_LOCATION_ISSUER")</f>
        <v>Hartford, CT</v>
      </c>
      <c r="F151">
        <f>_xll.BDP("20775YDB Muni","DUR_ADJ_MID")</f>
        <v>2.5548016197904686</v>
      </c>
      <c r="G151">
        <f>_xll.BDP("20775YDB Muni","SPREAD_AT_ISSUANCE_TO_WORST")</f>
        <v>12.439987666267104</v>
      </c>
      <c r="H151" t="str">
        <f>_xll.BDP("20775YDB Muni","ISSUE_DT")</f>
        <v>6/15/2017</v>
      </c>
      <c r="I151" t="str">
        <f>_xll.BDS("20775YDB Muni","MUNI_PURPOSE_SCHED", "aggregate=y")</f>
        <v>GREEN PURPOSE WATER UTILITY IMPS. SEWER IMPS.</v>
      </c>
      <c r="J151">
        <f>_xll.BDP("20775YDB Muni","CPN")</f>
        <v>5</v>
      </c>
      <c r="K151" t="str">
        <f>_xll.BDP("20775YDB Muni","MATURITY")</f>
        <v>5/1/2025</v>
      </c>
      <c r="L151">
        <v>9750000</v>
      </c>
      <c r="M151">
        <f>_xll.BDP("20775YDB Muni","YIELD_ON_ISSUE_DATE")</f>
        <v>1.74</v>
      </c>
      <c r="N151">
        <f>_xll.BDP("20775YDB Muni","YTW_SPREAD_TO_MATURITY_AT_ISSU")</f>
        <v>12.439987666267104</v>
      </c>
      <c r="O151" t="str">
        <f>_xll.BDP("20775YDB Muni","BVAL_MID_YTM")</f>
        <v>#N/A Authorization</v>
      </c>
      <c r="P151" t="str">
        <f>_xll.BDP("20775YDB Muni","MUNI_TAX_PROV")</f>
        <v>FED &amp; ST TAX-EXEMPT</v>
      </c>
      <c r="Q151" t="str">
        <f>_xll.BDP("20775YDB Muni","MUNI_FED_TAX")</f>
        <v>N</v>
      </c>
      <c r="R151">
        <f>_xll.BDP("20775YDB Muni","MUNI_MSRB_VOLUME")</f>
        <v>15000</v>
      </c>
      <c r="S151" t="str">
        <f>_xll.BDP("20775YDB Muni","BB_COMPOSITE")</f>
        <v>AAA</v>
      </c>
      <c r="T151">
        <f>_xll.BDP("20775YDB Muni","LQA_LIQUIDITY_SCORE")</f>
        <v>68</v>
      </c>
    </row>
    <row r="152" spans="1:20" x14ac:dyDescent="0.25">
      <c r="A152" t="str">
        <f>_xll.BDP("346901WV Muni","ID_CUSIP")</f>
        <v>346901WV9</v>
      </c>
      <c r="B152" t="s">
        <v>107</v>
      </c>
      <c r="C152" t="str">
        <f>_xll.BDP("346901WV Muni","INSURANCE_STATUS")</f>
        <v>Y</v>
      </c>
      <c r="D152" t="str">
        <f>_xll.BDP("346901WV Muni","STATE_CODE")</f>
        <v>TX</v>
      </c>
      <c r="E152" t="str">
        <f>_xll.BDP("346901WV Muni","COUNTY_LOCATION_ISSUER")</f>
        <v>Fort Bend, TX</v>
      </c>
      <c r="F152">
        <f>_xll.BDP("346901WV Muni","DUR_ADJ_MID")</f>
        <v>2.0706728570728252</v>
      </c>
      <c r="G152">
        <f>_xll.BDP("346901WV Muni","SPREAD_AT_ISSUANCE_TO_WORST")</f>
        <v>37.170256135366152</v>
      </c>
      <c r="H152" t="str">
        <f>_xll.BDP("346901WV Muni","ISSUE_DT")</f>
        <v>2/1/2017</v>
      </c>
      <c r="I152" t="str">
        <f>_xll.BDS("346901WV Muni","MUNI_PURPOSE_SCHED", "aggregate=y")</f>
        <v>WATER UTILITY IMPS. SEWER IMPS. PUBLIC IMPS.</v>
      </c>
      <c r="J152">
        <f>_xll.BDP("346901WV Muni","CPN")</f>
        <v>3</v>
      </c>
      <c r="K152" t="str">
        <f>_xll.BDP("346901WV Muni","MATURITY")</f>
        <v>10/1/2024</v>
      </c>
      <c r="L152">
        <v>245000</v>
      </c>
      <c r="M152">
        <f>_xll.BDP("346901WV Muni","YIELD_ON_ISSUE_DATE")</f>
        <v>2.3000000000000003</v>
      </c>
      <c r="N152">
        <f>_xll.BDP("346901WV Muni","YTW_SPREAD_TO_MATURITY_AT_ISSU")</f>
        <v>37.170256135366152</v>
      </c>
      <c r="O152" t="str">
        <f>_xll.BDP("346901WV Muni","BVAL_MID_YTM")</f>
        <v>#N/A Authorization</v>
      </c>
      <c r="P152" t="str">
        <f>_xll.BDP("346901WV Muni","MUNI_TAX_PROV")</f>
        <v>FED BQ</v>
      </c>
      <c r="Q152" t="str">
        <f>_xll.BDP("346901WV Muni","MUNI_FED_TAX")</f>
        <v>N</v>
      </c>
      <c r="R152" t="str">
        <f>_xll.BDP("346901WV Muni","MUNI_MSRB_VOLUME")</f>
        <v>#N/A N/A</v>
      </c>
      <c r="S152" t="str">
        <f>_xll.BDP("346901WV Muni","BB_COMPOSITE")</f>
        <v>A+</v>
      </c>
      <c r="T152">
        <f>_xll.BDP("346901WV Muni","LQA_LIQUIDITY_SCORE")</f>
        <v>76</v>
      </c>
    </row>
    <row r="153" spans="1:20" x14ac:dyDescent="0.25">
      <c r="A153" t="str">
        <f>_xll.BDP("45204EXS Muni","ID_CUSIP")</f>
        <v>45204EXS2</v>
      </c>
      <c r="B153" t="s">
        <v>25</v>
      </c>
      <c r="C153" t="str">
        <f>_xll.BDP("45204EXS Muni","INSURANCE_STATUS")</f>
        <v>N</v>
      </c>
      <c r="D153" t="str">
        <f>_xll.BDP("45204EXS Muni","STATE_CODE")</f>
        <v>IL</v>
      </c>
      <c r="E153" t="str">
        <f>_xll.BDP("45204EXS Muni","COUNTY_LOCATION_ISSUER")</f>
        <v>Cook, IL</v>
      </c>
      <c r="F153">
        <f>_xll.BDP("45204EXS Muni","DUR_ADJ_MID")</f>
        <v>3.9909058647105997</v>
      </c>
      <c r="G153">
        <f>_xll.BDP("45204EXS Muni","SPREAD_AT_ISSUANCE_TO_WORST")</f>
        <v>34.938107474621646</v>
      </c>
      <c r="H153" t="str">
        <f>_xll.BDP("45204EXS Muni","ISSUE_DT")</f>
        <v>9/12/2017</v>
      </c>
      <c r="I153" t="str">
        <f>_xll.BDS("45204EXS Muni","MUNI_PURPOSE_SCHED", "aggregate=y")</f>
        <v>GREEN PURPOSE WATER UTILITY IMPS. SEWER IMPS.</v>
      </c>
      <c r="J153">
        <f>_xll.BDP("45204EXS Muni","CPN")</f>
        <v>5</v>
      </c>
      <c r="K153" t="str">
        <f>_xll.BDP("45204EXS Muni","MATURITY")</f>
        <v>1/1/2027</v>
      </c>
      <c r="L153">
        <v>17205000</v>
      </c>
      <c r="M153">
        <f>_xll.BDP("45204EXS Muni","YIELD_ON_ISSUE_DATE")</f>
        <v>2.11</v>
      </c>
      <c r="N153">
        <f>_xll.BDP("45204EXS Muni","YTW_SPREAD_TO_MATURITY_AT_ISSU")</f>
        <v>34.938107474621646</v>
      </c>
      <c r="O153" t="str">
        <f>_xll.BDP("45204EXS Muni","BVAL_MID_YTM")</f>
        <v>#N/A Authorization</v>
      </c>
      <c r="P153" t="str">
        <f>_xll.BDP("45204EXS Muni","MUNI_TAX_PROV")</f>
        <v>FED TAX-EXEMPT/ST TAXABLE</v>
      </c>
      <c r="Q153" t="str">
        <f>_xll.BDP("45204EXS Muni","MUNI_FED_TAX")</f>
        <v>N</v>
      </c>
      <c r="R153">
        <f>_xll.BDP("45204EXS Muni","MUNI_MSRB_VOLUME")</f>
        <v>25000</v>
      </c>
      <c r="S153" t="str">
        <f>_xll.BDP("45204EXS Muni","BB_COMPOSITE")</f>
        <v>AAA</v>
      </c>
      <c r="T153">
        <f>_xll.BDP("45204EXS Muni","LQA_LIQUIDITY_SCORE")</f>
        <v>70</v>
      </c>
    </row>
    <row r="154" spans="1:20" x14ac:dyDescent="0.25">
      <c r="A154" t="str">
        <f>_xll.BDP("702597CB Muni","ID_CUSIP")</f>
        <v>702597CB9</v>
      </c>
      <c r="B154" t="s">
        <v>108</v>
      </c>
      <c r="C154" t="str">
        <f>_xll.BDP("702597CB Muni","INSURANCE_STATUS")</f>
        <v>N</v>
      </c>
      <c r="D154" t="str">
        <f>_xll.BDP("702597CB Muni","STATE_CODE")</f>
        <v>TX</v>
      </c>
      <c r="E154" t="str">
        <f>_xll.BDP("702597CB Muni","COUNTY_LOCATION_ISSUER")</f>
        <v>#N/A Field Not Applicable</v>
      </c>
      <c r="F154">
        <f>_xll.BDP("702597CB Muni","DUR_ADJ_MID")</f>
        <v>3.732792139542549</v>
      </c>
      <c r="G154">
        <f>_xll.BDP("702597CB Muni","SPREAD_AT_ISSUANCE_TO_WORST")</f>
        <v>101.99569863013697</v>
      </c>
      <c r="H154" t="str">
        <f>_xll.BDP("702597CB Muni","ISSUE_DT")</f>
        <v>10/1/2017</v>
      </c>
      <c r="I154" t="str">
        <f>_xll.BDS("702597CB Muni","MUNI_PURPOSE_SCHED", "aggregate=y")</f>
        <v>WATER UTILITY IMPS. SEWER IMPS.</v>
      </c>
      <c r="J154">
        <f>_xll.BDP("702597CB Muni","CPN")</f>
        <v>3</v>
      </c>
      <c r="K154" t="str">
        <f>_xll.BDP("702597CB Muni","MATURITY")</f>
        <v>8/15/2026</v>
      </c>
      <c r="L154">
        <v>200000</v>
      </c>
      <c r="M154">
        <f>_xll.BDP("702597CB Muni","YIELD_ON_ISSUE_DATE")</f>
        <v>2.9000000000000004</v>
      </c>
      <c r="N154">
        <f>_xll.BDP("702597CB Muni","YTW_SPREAD_TO_MATURITY_AT_ISSU")</f>
        <v>101.99569863013697</v>
      </c>
      <c r="O154" t="str">
        <f>_xll.BDP("702597CB Muni","BVAL_MID_YTM")</f>
        <v>#N/A Authorization</v>
      </c>
      <c r="P154" t="str">
        <f>_xll.BDP("702597CB Muni","MUNI_TAX_PROV")</f>
        <v>FED BQ</v>
      </c>
      <c r="Q154" t="str">
        <f>_xll.BDP("702597CB Muni","MUNI_FED_TAX")</f>
        <v>N</v>
      </c>
      <c r="R154" t="str">
        <f>_xll.BDP("702597CB Muni","MUNI_MSRB_VOLUME")</f>
        <v>#N/A N/A</v>
      </c>
      <c r="S154" t="str">
        <f>_xll.BDP("702597CB Muni","BB_COMPOSITE")</f>
        <v>#N/A N/A</v>
      </c>
      <c r="T154">
        <f>_xll.BDP("702597CB Muni","LQA_LIQUIDITY_SCORE")</f>
        <v>36</v>
      </c>
    </row>
    <row r="155" spans="1:20" x14ac:dyDescent="0.25">
      <c r="A155" t="str">
        <f>_xll.BDP("940157P5 Muni","ID_CUSIP")</f>
        <v>940157P53</v>
      </c>
      <c r="B155" t="s">
        <v>109</v>
      </c>
      <c r="C155" t="str">
        <f>_xll.BDP("940157P5 Muni","INSURANCE_STATUS")</f>
        <v>N</v>
      </c>
      <c r="D155" t="str">
        <f>_xll.BDP("940157P5 Muni","STATE_CODE")</f>
        <v>MD</v>
      </c>
      <c r="E155" t="str">
        <f>_xll.BDP("940157P5 Muni","COUNTY_LOCATION_ISSUER")</f>
        <v>Prince George's, MD</v>
      </c>
      <c r="F155">
        <f>_xll.BDP("940157P5 Muni","DUR_ADJ_MID")</f>
        <v>4.359327177774559</v>
      </c>
      <c r="G155">
        <f>_xll.BDP("940157P5 Muni","SPREAD_AT_ISSUANCE_TO_WORST")</f>
        <v>6.3189726027397031</v>
      </c>
      <c r="H155" t="str">
        <f>_xll.BDP("940157P5 Muni","ISSUE_DT")</f>
        <v>11/9/2017</v>
      </c>
      <c r="I155" t="str">
        <f>_xll.BDS("940157P5 Muni","MUNI_PURPOSE_SCHED", "aggregate=y")</f>
        <v>WATER UTILITY IMPS. SEWER IMPS.</v>
      </c>
      <c r="J155">
        <f>_xll.BDP("940157P5 Muni","CPN")</f>
        <v>5</v>
      </c>
      <c r="K155" t="str">
        <f>_xll.BDP("940157P5 Muni","MATURITY")</f>
        <v>6/15/2027</v>
      </c>
      <c r="L155">
        <v>11650000</v>
      </c>
      <c r="M155">
        <f>_xll.BDP("940157P5 Muni","YIELD_ON_ISSUE_DATE")</f>
        <v>2.0300000000000002</v>
      </c>
      <c r="N155">
        <f>_xll.BDP("940157P5 Muni","YTW_SPREAD_TO_MATURITY_AT_ISSU")</f>
        <v>6.3189726027397031</v>
      </c>
      <c r="O155" t="str">
        <f>_xll.BDP("940157P5 Muni","BVAL_MID_YTM")</f>
        <v>#N/A Authorization</v>
      </c>
      <c r="P155" t="str">
        <f>_xll.BDP("940157P5 Muni","MUNI_TAX_PROV")</f>
        <v>FED &amp; ST TAX-EXEMPT</v>
      </c>
      <c r="Q155" t="str">
        <f>_xll.BDP("940157P5 Muni","MUNI_FED_TAX")</f>
        <v>N</v>
      </c>
      <c r="R155">
        <f>_xll.BDP("940157P5 Muni","MUNI_MSRB_VOLUME")</f>
        <v>45000</v>
      </c>
      <c r="S155" t="str">
        <f>_xll.BDP("940157P5 Muni","BB_COMPOSITE")</f>
        <v>AAA</v>
      </c>
      <c r="T155">
        <f>_xll.BDP("940157P5 Muni","LQA_LIQUIDITY_SCORE")</f>
        <v>73</v>
      </c>
    </row>
    <row r="156" spans="1:20" x14ac:dyDescent="0.25">
      <c r="A156" t="str">
        <f>_xll.BDP("837545LJ Muni","ID_CUSIP")</f>
        <v>837545LJ9</v>
      </c>
      <c r="B156" t="s">
        <v>24</v>
      </c>
      <c r="C156" t="str">
        <f>_xll.BDP("837545LJ Muni","INSURANCE_STATUS")</f>
        <v>N</v>
      </c>
      <c r="D156" t="str">
        <f>_xll.BDP("837545LJ Muni","STATE_CODE")</f>
        <v>SD</v>
      </c>
      <c r="E156" t="str">
        <f>_xll.BDP("837545LJ Muni","COUNTY_LOCATION_ISSUER")</f>
        <v>Hughes, SD</v>
      </c>
      <c r="F156">
        <f>_xll.BDP("837545LJ Muni","DUR_ADJ_MID")</f>
        <v>1.9092962178384811</v>
      </c>
      <c r="G156">
        <f>_xll.BDP("837545LJ Muni","SPREAD_AT_ISSUANCE_TO_WORST")</f>
        <v>2.0264935637209769</v>
      </c>
      <c r="H156" t="str">
        <f>_xll.BDP("837545LJ Muni","ISSUE_DT")</f>
        <v>8/23/2017</v>
      </c>
      <c r="I156" t="str">
        <f>_xll.BDS("837545LJ Muni","MUNI_PURPOSE_SCHED", "aggregate=y")</f>
        <v>WATER UTILITY IMPS. SEWER IMPS. ADVANCE REFUNDING</v>
      </c>
      <c r="J156">
        <f>_xll.BDP("837545LJ Muni","CPN")</f>
        <v>5</v>
      </c>
      <c r="K156" t="str">
        <f>_xll.BDP("837545LJ Muni","MATURITY")</f>
        <v>8/1/2024</v>
      </c>
      <c r="L156">
        <v>4190000</v>
      </c>
      <c r="M156">
        <f>_xll.BDP("837545LJ Muni","YIELD_ON_ISSUE_DATE")</f>
        <v>1.53</v>
      </c>
      <c r="N156">
        <f>_xll.BDP("837545LJ Muni","YTW_SPREAD_TO_MATURITY_AT_ISSU")</f>
        <v>2.0264935637209769</v>
      </c>
      <c r="O156" t="str">
        <f>_xll.BDP("837545LJ Muni","BVAL_MID_YTM")</f>
        <v>#N/A Authorization</v>
      </c>
      <c r="P156" t="str">
        <f>_xll.BDP("837545LJ Muni","MUNI_TAX_PROV")</f>
        <v>FED TAX-EXEMPT</v>
      </c>
      <c r="Q156" t="str">
        <f>_xll.BDP("837545LJ Muni","MUNI_FED_TAX")</f>
        <v>N</v>
      </c>
      <c r="R156">
        <f>_xll.BDP("837545LJ Muni","MUNI_MSRB_VOLUME")</f>
        <v>50000</v>
      </c>
      <c r="S156" t="str">
        <f>_xll.BDP("837545LJ Muni","BB_COMPOSITE")</f>
        <v>AAA</v>
      </c>
      <c r="T156">
        <f>_xll.BDP("837545LJ Muni","LQA_LIQUIDITY_SCORE")</f>
        <v>76</v>
      </c>
    </row>
    <row r="157" spans="1:20" x14ac:dyDescent="0.25">
      <c r="A157" t="str">
        <f>_xll.BDP("271014E3 Muni","ID_CUSIP")</f>
        <v>271014E32</v>
      </c>
      <c r="B157" t="s">
        <v>54</v>
      </c>
      <c r="C157" t="str">
        <f>_xll.BDP("271014E3 Muni","INSURANCE_STATUS")</f>
        <v>N</v>
      </c>
      <c r="D157" t="str">
        <f>_xll.BDP("271014E3 Muni","STATE_CODE")</f>
        <v>CA</v>
      </c>
      <c r="E157" t="str">
        <f>_xll.BDP("271014E3 Muni","COUNTY_LOCATION_ISSUER")</f>
        <v>San Mateo, CA</v>
      </c>
      <c r="F157">
        <f>_xll.BDP("271014E3 Muni","DUR_ADJ_MID")</f>
        <v>4.3178592916861618</v>
      </c>
      <c r="G157">
        <f>_xll.BDP("271014E3 Muni","SPREAD_AT_ISSUANCE_TO_WORST")</f>
        <v>-1.1400050915203241</v>
      </c>
      <c r="H157" t="str">
        <f>_xll.BDP("271014E3 Muni","ISSUE_DT")</f>
        <v>6/22/2017</v>
      </c>
      <c r="I157" t="str">
        <f>_xll.BDS("271014E3 Muni","MUNI_PURPOSE_SCHED", "aggregate=y")</f>
        <v>ADVANCE REFUNDING WATER UTILITY IMPS. CURRENT REFUNDING</v>
      </c>
      <c r="J157">
        <f>_xll.BDP("271014E3 Muni","CPN")</f>
        <v>5</v>
      </c>
      <c r="K157" t="str">
        <f>_xll.BDP("271014E3 Muni","MATURITY")</f>
        <v>6/1/2027</v>
      </c>
      <c r="L157">
        <v>12745000</v>
      </c>
      <c r="M157">
        <f>_xll.BDP("271014E3 Muni","YIELD_ON_ISSUE_DATE")</f>
        <v>1.82</v>
      </c>
      <c r="N157">
        <f>_xll.BDP("271014E3 Muni","YTW_SPREAD_TO_MATURITY_AT_ISSU")</f>
        <v>-1.1400050915203241</v>
      </c>
      <c r="O157" t="str">
        <f>_xll.BDP("271014E3 Muni","BVAL_MID_YTM")</f>
        <v>#N/A Authorization</v>
      </c>
      <c r="P157" t="str">
        <f>_xll.BDP("271014E3 Muni","MUNI_TAX_PROV")</f>
        <v>FED &amp; ST TAX-EXEMPT</v>
      </c>
      <c r="Q157" t="str">
        <f>_xll.BDP("271014E3 Muni","MUNI_FED_TAX")</f>
        <v>N</v>
      </c>
      <c r="R157">
        <f>_xll.BDP("271014E3 Muni","MUNI_MSRB_VOLUME")</f>
        <v>15000</v>
      </c>
      <c r="S157" t="str">
        <f>_xll.BDP("271014E3 Muni","BB_COMPOSITE")</f>
        <v>AA+</v>
      </c>
      <c r="T157">
        <f>_xll.BDP("271014E3 Muni","LQA_LIQUIDITY_SCORE")</f>
        <v>55</v>
      </c>
    </row>
    <row r="158" spans="1:20" x14ac:dyDescent="0.25">
      <c r="A158" t="str">
        <f>_xll.BDP("580441FU Muni","ID_CUSIP")</f>
        <v>580441FU2</v>
      </c>
      <c r="B158" t="s">
        <v>110</v>
      </c>
      <c r="C158" t="str">
        <f>_xll.BDP("580441FU Muni","INSURANCE_STATUS")</f>
        <v>N</v>
      </c>
      <c r="D158" t="str">
        <f>_xll.BDP("580441FU Muni","STATE_CODE")</f>
        <v>WI</v>
      </c>
      <c r="E158" t="str">
        <f>_xll.BDP("580441FU Muni","COUNTY_LOCATION_ISSUER")</f>
        <v>Dane, WI</v>
      </c>
      <c r="F158">
        <f>_xll.BDP("580441FU Muni","DUR_ADJ_MID")</f>
        <v>2.2608643079613269</v>
      </c>
      <c r="G158">
        <f>_xll.BDP("580441FU Muni","SPREAD_AT_ISSUANCE_TO_WORST")</f>
        <v>19.280087841755034</v>
      </c>
      <c r="H158" t="str">
        <f>_xll.BDP("580441FU Muni","ISSUE_DT")</f>
        <v>7/20/2017</v>
      </c>
      <c r="I158" t="str">
        <f>_xll.BDS("580441FU Muni","MUNI_PURPOSE_SCHED", "aggregate=y")</f>
        <v>PUBLIC IMPS. SEWER IMPS. WATER UTILITY IMPS.</v>
      </c>
      <c r="J158">
        <f>_xll.BDP("580441FU Muni","CPN")</f>
        <v>2</v>
      </c>
      <c r="K158" t="str">
        <f>_xll.BDP("580441FU Muni","MATURITY")</f>
        <v>12/1/2024</v>
      </c>
      <c r="L158">
        <v>550000</v>
      </c>
      <c r="M158">
        <f>_xll.BDP("580441FU Muni","YIELD_ON_ISSUE_DATE")</f>
        <v>1.9000000000000001</v>
      </c>
      <c r="N158">
        <f>_xll.BDP("580441FU Muni","YTW_SPREAD_TO_MATURITY_AT_ISSU")</f>
        <v>19.280087841755034</v>
      </c>
      <c r="O158" t="str">
        <f>_xll.BDP("580441FU Muni","BVAL_MID_YTM")</f>
        <v>#N/A Authorization</v>
      </c>
      <c r="P158" t="str">
        <f>_xll.BDP("580441FU Muni","MUNI_TAX_PROV")</f>
        <v>FED BQ/ST TAXABLE</v>
      </c>
      <c r="Q158" t="str">
        <f>_xll.BDP("580441FU Muni","MUNI_FED_TAX")</f>
        <v>N</v>
      </c>
      <c r="R158" t="str">
        <f>_xll.BDP("580441FU Muni","MUNI_MSRB_VOLUME")</f>
        <v>#N/A N/A</v>
      </c>
      <c r="S158" t="str">
        <f>_xll.BDP("580441FU Muni","BB_COMPOSITE")</f>
        <v>#N/A N/A</v>
      </c>
      <c r="T158">
        <f>_xll.BDP("580441FU Muni","LQA_LIQUIDITY_SCORE")</f>
        <v>64</v>
      </c>
    </row>
    <row r="159" spans="1:20" x14ac:dyDescent="0.25">
      <c r="A159" t="str">
        <f>_xll.BDP("581714VP Muni","ID_CUSIP")</f>
        <v>581714VP4</v>
      </c>
      <c r="B159" t="s">
        <v>46</v>
      </c>
      <c r="C159" t="str">
        <f>_xll.BDP("581714VP Muni","INSURANCE_STATUS")</f>
        <v>N</v>
      </c>
      <c r="D159" t="str">
        <f>_xll.BDP("581714VP Muni","STATE_CODE")</f>
        <v>TX</v>
      </c>
      <c r="E159" t="str">
        <f>_xll.BDP("581714VP Muni","COUNTY_LOCATION_ISSUER")</f>
        <v>Collin, TX</v>
      </c>
      <c r="F159">
        <f>_xll.BDP("581714VP Muni","DUR_ADJ_MID")</f>
        <v>2.4258096625060261</v>
      </c>
      <c r="G159">
        <f>_xll.BDP("581714VP Muni","SPREAD_AT_ISSUANCE_TO_WORST")</f>
        <v>21.54286692994598</v>
      </c>
      <c r="H159" t="str">
        <f>_xll.BDP("581714VP Muni","ISSUE_DT")</f>
        <v>8/1/2017</v>
      </c>
      <c r="I159" t="str">
        <f>_xll.BDS("581714VP Muni","MUNI_PURPOSE_SCHED", "aggregate=y")</f>
        <v>WATER UTILITY IMPS. SEWER IMPS. ADVANCE REFUNDING</v>
      </c>
      <c r="J159">
        <f>_xll.BDP("581714VP Muni","CPN")</f>
        <v>5</v>
      </c>
      <c r="K159" t="str">
        <f>_xll.BDP("581714VP Muni","MATURITY")</f>
        <v>3/15/2025</v>
      </c>
      <c r="L159">
        <v>2760000</v>
      </c>
      <c r="M159">
        <f>_xll.BDP("581714VP Muni","YIELD_ON_ISSUE_DATE")</f>
        <v>1.81</v>
      </c>
      <c r="N159">
        <f>_xll.BDP("581714VP Muni","YTW_SPREAD_TO_MATURITY_AT_ISSU")</f>
        <v>21.54286692994598</v>
      </c>
      <c r="O159" t="str">
        <f>_xll.BDP("581714VP Muni","BVAL_MID_YTM")</f>
        <v>#N/A Authorization</v>
      </c>
      <c r="P159" t="str">
        <f>_xll.BDP("581714VP Muni","MUNI_TAX_PROV")</f>
        <v>FED TAX-EXEMPT</v>
      </c>
      <c r="Q159" t="str">
        <f>_xll.BDP("581714VP Muni","MUNI_FED_TAX")</f>
        <v>N</v>
      </c>
      <c r="R159">
        <f>_xll.BDP("581714VP Muni","MUNI_MSRB_VOLUME")</f>
        <v>90000</v>
      </c>
      <c r="S159" t="str">
        <f>_xll.BDP("581714VP Muni","BB_COMPOSITE")</f>
        <v>AA+</v>
      </c>
      <c r="T159">
        <f>_xll.BDP("581714VP Muni","LQA_LIQUIDITY_SCORE")</f>
        <v>82</v>
      </c>
    </row>
    <row r="160" spans="1:20" x14ac:dyDescent="0.25">
      <c r="A160" t="str">
        <f>_xll.BDP("63045RAG Muni","ID_CUSIP")</f>
        <v>63045RAG0</v>
      </c>
      <c r="B160" t="s">
        <v>61</v>
      </c>
      <c r="C160" t="str">
        <f>_xll.BDP("63045RAG Muni","INSURANCE_STATUS")</f>
        <v>N</v>
      </c>
      <c r="D160" t="str">
        <f>_xll.BDP("63045RAG Muni","STATE_CODE")</f>
        <v>IL</v>
      </c>
      <c r="E160" t="str">
        <f>_xll.BDP("63045RAG Muni","COUNTY_LOCATION_ISSUER")</f>
        <v>La Salle, IL</v>
      </c>
      <c r="F160">
        <f>_xll.BDP("63045RAG Muni","DUR_ADJ_MID")</f>
        <v>1.2859132995262328</v>
      </c>
      <c r="G160">
        <f>_xll.BDP("63045RAG Muni","SPREAD_AT_ISSUANCE_TO_WORST")</f>
        <v>140.21330325997303</v>
      </c>
      <c r="H160" t="str">
        <f>_xll.BDP("63045RAG Muni","ISSUE_DT")</f>
        <v>4/11/2017</v>
      </c>
      <c r="I160" t="str">
        <f>_xll.BDS("63045RAG Muni","MUNI_PURPOSE_SCHED", "aggregate=y")</f>
        <v>WATER UTILITY IMPS. PROPERTY ACQUISITION</v>
      </c>
      <c r="J160">
        <f>_xll.BDP("63045RAG Muni","CPN")</f>
        <v>4.75</v>
      </c>
      <c r="K160" t="str">
        <f>_xll.BDP("63045RAG Muni","MATURITY")</f>
        <v>12/1/2023</v>
      </c>
      <c r="L160">
        <v>11000</v>
      </c>
      <c r="M160">
        <f>_xll.BDP("63045RAG Muni","YIELD_ON_ISSUE_DATE")</f>
        <v>3.2</v>
      </c>
      <c r="N160">
        <f>_xll.BDP("63045RAG Muni","YTW_SPREAD_TO_MATURITY_AT_ISSU")</f>
        <v>140.21330325997303</v>
      </c>
      <c r="O160" t="str">
        <f>_xll.BDP("63045RAG Muni","BVAL_MID_YTM")</f>
        <v>#N/A Authorization</v>
      </c>
      <c r="P160" t="str">
        <f>_xll.BDP("63045RAG Muni","MUNI_TAX_PROV")</f>
        <v>FED BQ/ST TAXABLE</v>
      </c>
      <c r="Q160" t="str">
        <f>_xll.BDP("63045RAG Muni","MUNI_FED_TAX")</f>
        <v>N</v>
      </c>
      <c r="R160" t="str">
        <f>_xll.BDP("63045RAG Muni","MUNI_MSRB_VOLUME")</f>
        <v>#N/A N/A</v>
      </c>
      <c r="S160" t="str">
        <f>_xll.BDP("63045RAG Muni","BB_COMPOSITE")</f>
        <v>#N/A N/A</v>
      </c>
      <c r="T160">
        <f>_xll.BDP("63045RAG Muni","LQA_LIQUIDITY_SCORE")</f>
        <v>84</v>
      </c>
    </row>
    <row r="161" spans="1:20" x14ac:dyDescent="0.25">
      <c r="A161" t="str">
        <f>_xll.BDP("785751PL Muni","ID_CUSIP")</f>
        <v>785751PL6</v>
      </c>
      <c r="B161" t="s">
        <v>111</v>
      </c>
      <c r="C161" t="str">
        <f>_xll.BDP("785751PL Muni","INSURANCE_STATUS")</f>
        <v>N</v>
      </c>
      <c r="D161" t="str">
        <f>_xll.BDP("785751PL Muni","STATE_CODE")</f>
        <v>TX</v>
      </c>
      <c r="E161" t="str">
        <f>_xll.BDP("785751PL Muni","COUNTY_LOCATION_ISSUER")</f>
        <v>Dallas, TX</v>
      </c>
      <c r="F161">
        <f>_xll.BDP("785751PL Muni","DUR_ADJ_MID")</f>
        <v>0.52177445896885954</v>
      </c>
      <c r="G161">
        <f>_xll.BDP("785751PL Muni","SPREAD_AT_ISSUANCE_TO_WORST")</f>
        <v>11.05590656049953</v>
      </c>
      <c r="H161" t="str">
        <f>_xll.BDP("785751PL Muni","ISSUE_DT")</f>
        <v>6/15/2017</v>
      </c>
      <c r="I161" t="str">
        <f>_xll.BDS("785751PL Muni","MUNI_PURPOSE_SCHED", "aggregate=y")</f>
        <v>WATER UTILITY IMPS. SEWER IMPS.</v>
      </c>
      <c r="J161">
        <f>_xll.BDP("785751PL Muni","CPN")</f>
        <v>4</v>
      </c>
      <c r="K161" t="str">
        <f>_xll.BDP("785751PL Muni","MATURITY")</f>
        <v>2/15/2023</v>
      </c>
      <c r="L161">
        <v>405000</v>
      </c>
      <c r="M161">
        <f>_xll.BDP("785751PL Muni","YIELD_ON_ISSUE_DATE")</f>
        <v>1.4000000000000001</v>
      </c>
      <c r="N161">
        <f>_xll.BDP("785751PL Muni","YTW_SPREAD_TO_MATURITY_AT_ISSU")</f>
        <v>11.05590656049953</v>
      </c>
      <c r="O161" t="str">
        <f>_xll.BDP("785751PL Muni","BVAL_MID_YTM")</f>
        <v>#N/A Authorization</v>
      </c>
      <c r="P161" t="str">
        <f>_xll.BDP("785751PL Muni","MUNI_TAX_PROV")</f>
        <v>FED TAX-EXEMPT</v>
      </c>
      <c r="Q161" t="str">
        <f>_xll.BDP("785751PL Muni","MUNI_FED_TAX")</f>
        <v>N</v>
      </c>
      <c r="R161">
        <f>_xll.BDP("785751PL Muni","MUNI_MSRB_VOLUME")</f>
        <v>100000</v>
      </c>
      <c r="S161" t="str">
        <f>_xll.BDP("785751PL Muni","BB_COMPOSITE")</f>
        <v>AA</v>
      </c>
      <c r="T161">
        <f>_xll.BDP("785751PL Muni","LQA_LIQUIDITY_SCORE")</f>
        <v>90</v>
      </c>
    </row>
    <row r="162" spans="1:20" x14ac:dyDescent="0.25">
      <c r="A162" t="str">
        <f>_xll.BDP("765531FB Muni","ID_CUSIP")</f>
        <v>765531FB9</v>
      </c>
      <c r="B162" t="s">
        <v>112</v>
      </c>
      <c r="C162" t="str">
        <f>_xll.BDP("765531FB Muni","INSURANCE_STATUS")</f>
        <v>Y</v>
      </c>
      <c r="D162" t="str">
        <f>_xll.BDP("765531FB Muni","STATE_CODE")</f>
        <v>IL</v>
      </c>
      <c r="E162" t="str">
        <f>_xll.BDP("765531FB Muni","COUNTY_LOCATION_ISSUER")</f>
        <v>Cook, IL</v>
      </c>
      <c r="F162">
        <f>_xll.BDP("765531FB Muni","DUR_ADJ_MID")</f>
        <v>3.0938070766075221</v>
      </c>
      <c r="G162">
        <f>_xll.BDP("765531FB Muni","SPREAD_AT_ISSUANCE_TO_WORST")</f>
        <v>132.3211464274541</v>
      </c>
      <c r="H162" t="str">
        <f>_xll.BDP("765531FB Muni","ISSUE_DT")</f>
        <v>9/28/2017</v>
      </c>
      <c r="I162" t="str">
        <f>_xll.BDS("765531FB Muni","MUNI_PURPOSE_SCHED", "aggregate=y")</f>
        <v>WATER UTILITY IMPS. SEWER IMPS. CURRENT REFUNDING</v>
      </c>
      <c r="J162">
        <f>_xll.BDP("765531FB Muni","CPN")</f>
        <v>4</v>
      </c>
      <c r="K162" t="str">
        <f>_xll.BDP("765531FB Muni","MATURITY")</f>
        <v>12/1/2025</v>
      </c>
      <c r="L162">
        <v>260000</v>
      </c>
      <c r="M162">
        <f>_xll.BDP("765531FB Muni","YIELD_ON_ISSUE_DATE")</f>
        <v>3</v>
      </c>
      <c r="N162">
        <f>_xll.BDP("765531FB Muni","YTW_SPREAD_TO_MATURITY_AT_ISSU")</f>
        <v>132.3211464274541</v>
      </c>
      <c r="O162" t="str">
        <f>_xll.BDP("765531FB Muni","BVAL_MID_YTM")</f>
        <v>#N/A Authorization</v>
      </c>
      <c r="P162" t="str">
        <f>_xll.BDP("765531FB Muni","MUNI_TAX_PROV")</f>
        <v>FED BQ/ST TAXABLE</v>
      </c>
      <c r="Q162" t="str">
        <f>_xll.BDP("765531FB Muni","MUNI_FED_TAX")</f>
        <v>N</v>
      </c>
      <c r="R162">
        <f>_xll.BDP("765531FB Muni","MUNI_MSRB_VOLUME")</f>
        <v>225000</v>
      </c>
      <c r="S162" t="str">
        <f>_xll.BDP("765531FB Muni","BB_COMPOSITE")</f>
        <v>#N/A N/A</v>
      </c>
      <c r="T162">
        <f>_xll.BDP("765531FB Muni","LQA_LIQUIDITY_SCORE")</f>
        <v>69</v>
      </c>
    </row>
    <row r="163" spans="1:20" x14ac:dyDescent="0.25">
      <c r="A163" t="str">
        <f>_xll.BDP("882854ZV Muni","ID_CUSIP")</f>
        <v>882854ZV7</v>
      </c>
      <c r="B163" t="s">
        <v>31</v>
      </c>
      <c r="C163" t="str">
        <f>_xll.BDP("882854ZV Muni","INSURANCE_STATUS")</f>
        <v>N</v>
      </c>
      <c r="D163" t="str">
        <f>_xll.BDP("882854ZV Muni","STATE_CODE")</f>
        <v>TX</v>
      </c>
      <c r="E163" t="str">
        <f>_xll.BDP("882854ZV Muni","COUNTY_LOCATION_ISSUER")</f>
        <v>Travis, TX</v>
      </c>
      <c r="F163">
        <f>_xll.BDP("882854ZV Muni","DUR_ADJ_MID")</f>
        <v>4.1884817747702661</v>
      </c>
      <c r="G163">
        <f>_xll.BDP("882854ZV Muni","SPREAD_AT_ISSUANCE_TO_WORST")</f>
        <v>19.338027397260294</v>
      </c>
      <c r="H163" t="str">
        <f>_xll.BDP("882854ZV Muni","ISSUE_DT")</f>
        <v>10/12/2017</v>
      </c>
      <c r="I163" t="str">
        <f>_xll.BDS("882854ZV Muni","MUNI_PURPOSE_SCHED", "aggregate=y")</f>
        <v>WATER UTILITY IMPS.</v>
      </c>
      <c r="J163">
        <f>_xll.BDP("882854ZV Muni","CPN")</f>
        <v>5</v>
      </c>
      <c r="K163" t="str">
        <f>_xll.BDP("882854ZV Muni","MATURITY")</f>
        <v>4/15/2027</v>
      </c>
      <c r="L163">
        <v>22305000</v>
      </c>
      <c r="M163">
        <f>_xll.BDP("882854ZV Muni","YIELD_ON_ISSUE_DATE")</f>
        <v>2.06</v>
      </c>
      <c r="N163">
        <f>_xll.BDP("882854ZV Muni","YTW_SPREAD_TO_MATURITY_AT_ISSU")</f>
        <v>19.338027397260294</v>
      </c>
      <c r="O163" t="str">
        <f>_xll.BDP("882854ZV Muni","BVAL_MID_YTM")</f>
        <v>#N/A Authorization</v>
      </c>
      <c r="P163" t="str">
        <f>_xll.BDP("882854ZV Muni","MUNI_TAX_PROV")</f>
        <v>FED TAX-EXEMPT</v>
      </c>
      <c r="Q163" t="str">
        <f>_xll.BDP("882854ZV Muni","MUNI_FED_TAX")</f>
        <v>N</v>
      </c>
      <c r="R163">
        <f>_xll.BDP("882854ZV Muni","MUNI_MSRB_VOLUME")</f>
        <v>35000</v>
      </c>
      <c r="S163" t="str">
        <f>_xll.BDP("882854ZV Muni","BB_COMPOSITE")</f>
        <v>AAA</v>
      </c>
      <c r="T163">
        <f>_xll.BDP("882854ZV Muni","LQA_LIQUIDITY_SCORE")</f>
        <v>74</v>
      </c>
    </row>
    <row r="164" spans="1:20" x14ac:dyDescent="0.25">
      <c r="A164" t="str">
        <f>_xll.BDP("89658HUZ Muni","ID_CUSIP")</f>
        <v>89658HUZ1</v>
      </c>
      <c r="B164" t="s">
        <v>33</v>
      </c>
      <c r="C164" t="str">
        <f>_xll.BDP("89658HUZ Muni","INSURANCE_STATUS")</f>
        <v>N</v>
      </c>
      <c r="D164" t="str">
        <f>_xll.BDP("89658HUZ Muni","STATE_CODE")</f>
        <v>TX</v>
      </c>
      <c r="E164" t="str">
        <f>_xll.BDP("89658HUZ Muni","COUNTY_LOCATION_ISSUER")</f>
        <v>Tarrant, TX</v>
      </c>
      <c r="F164">
        <f>_xll.BDP("89658HUZ Muni","DUR_ADJ_MID")</f>
        <v>4.47196164156043</v>
      </c>
      <c r="G164">
        <f>_xll.BDP("89658HUZ Muni","SPREAD_AT_ISSUANCE_TO_WORST")</f>
        <v>20.263435475077873</v>
      </c>
      <c r="H164" t="str">
        <f>_xll.BDP("89658HUZ Muni","ISSUE_DT")</f>
        <v>5/1/2017</v>
      </c>
      <c r="I164" t="str">
        <f>_xll.BDS("89658HUZ Muni","MUNI_PURPOSE_SCHED", "aggregate=y")</f>
        <v>ADVANCE REFUNDING WATER UTILITY IMPS. SEWER IMPS.</v>
      </c>
      <c r="J164">
        <f>_xll.BDP("89658HUZ Muni","CPN")</f>
        <v>5</v>
      </c>
      <c r="K164" t="str">
        <f>_xll.BDP("89658HUZ Muni","MATURITY")</f>
        <v>8/1/2027</v>
      </c>
      <c r="L164">
        <v>13250000</v>
      </c>
      <c r="M164">
        <f>_xll.BDP("89658HUZ Muni","YIELD_ON_ISSUE_DATE")</f>
        <v>2.4000000000000004</v>
      </c>
      <c r="N164">
        <f>_xll.BDP("89658HUZ Muni","YTW_SPREAD_TO_MATURITY_AT_ISSU")</f>
        <v>20.263435475077873</v>
      </c>
      <c r="O164" t="str">
        <f>_xll.BDP("89658HUZ Muni","BVAL_MID_YTM")</f>
        <v>#N/A Authorization</v>
      </c>
      <c r="P164" t="str">
        <f>_xll.BDP("89658HUZ Muni","MUNI_TAX_PROV")</f>
        <v>FED TAX-EXEMPT</v>
      </c>
      <c r="Q164" t="str">
        <f>_xll.BDP("89658HUZ Muni","MUNI_FED_TAX")</f>
        <v>N</v>
      </c>
      <c r="R164">
        <f>_xll.BDP("89658HUZ Muni","MUNI_MSRB_VOLUME")</f>
        <v>15000</v>
      </c>
      <c r="S164" t="str">
        <f>_xll.BDP("89658HUZ Muni","BB_COMPOSITE")</f>
        <v>AAA</v>
      </c>
      <c r="T164">
        <f>_xll.BDP("89658HUZ Muni","LQA_LIQUIDITY_SCORE")</f>
        <v>70</v>
      </c>
    </row>
    <row r="165" spans="1:20" x14ac:dyDescent="0.25">
      <c r="A165" t="str">
        <f>_xll.BDP("890680NF Muni","ID_CUSIP")</f>
        <v>890680NF4</v>
      </c>
      <c r="B165" t="s">
        <v>113</v>
      </c>
      <c r="C165" t="str">
        <f>_xll.BDP("890680NF Muni","INSURANCE_STATUS")</f>
        <v>N</v>
      </c>
      <c r="D165" t="str">
        <f>_xll.BDP("890680NF Muni","STATE_CODE")</f>
        <v>KS</v>
      </c>
      <c r="E165" t="str">
        <f>_xll.BDP("890680NF Muni","COUNTY_LOCATION_ISSUER")</f>
        <v>Shawnee, KS</v>
      </c>
      <c r="F165">
        <f>_xll.BDP("890680NF Muni","DUR_ADJ_MID")</f>
        <v>5.5571394159004512E-3</v>
      </c>
      <c r="G165">
        <f>_xll.BDP("890680NF Muni","SPREAD_AT_ISSUANCE_TO_WORST")</f>
        <v>12.070059551269075</v>
      </c>
      <c r="H165" t="str">
        <f>_xll.BDP("890680NF Muni","ISSUE_DT")</f>
        <v>9/5/2017</v>
      </c>
      <c r="I165" t="str">
        <f>_xll.BDS("890680NF Muni","MUNI_PURPOSE_SCHED", "aggregate=y")</f>
        <v>WATER UTILITY IMPS. SEWER IMPS. REFUNDING NOTES</v>
      </c>
      <c r="J165">
        <f>_xll.BDP("890680NF Muni","CPN")</f>
        <v>5</v>
      </c>
      <c r="K165" t="str">
        <f>_xll.BDP("890680NF Muni","MATURITY")</f>
        <v>8/1/2022</v>
      </c>
      <c r="L165">
        <v>400000</v>
      </c>
      <c r="M165">
        <f>_xll.BDP("890680NF Muni","YIELD_ON_ISSUE_DATE")</f>
        <v>1.25</v>
      </c>
      <c r="N165">
        <f>_xll.BDP("890680NF Muni","YTW_SPREAD_TO_MATURITY_AT_ISSU")</f>
        <v>12.070059551269075</v>
      </c>
      <c r="O165" t="str">
        <f>_xll.BDP("890680NF Muni","BVAL_MID_YTM")</f>
        <v>#N/A Authorization</v>
      </c>
      <c r="P165" t="str">
        <f>_xll.BDP("890680NF Muni","MUNI_TAX_PROV")</f>
        <v>FED &amp; ST TAX-EXEMPT</v>
      </c>
      <c r="Q165" t="str">
        <f>_xll.BDP("890680NF Muni","MUNI_FED_TAX")</f>
        <v>N</v>
      </c>
      <c r="R165">
        <f>_xll.BDP("890680NF Muni","MUNI_MSRB_VOLUME")</f>
        <v>25000</v>
      </c>
      <c r="S165" t="str">
        <f>_xll.BDP("890680NF Muni","BB_COMPOSITE")</f>
        <v>#N/A N/A</v>
      </c>
      <c r="T165">
        <f>_xll.BDP("890680NF Muni","LQA_LIQUIDITY_SCORE")</f>
        <v>96</v>
      </c>
    </row>
    <row r="166" spans="1:20" x14ac:dyDescent="0.25">
      <c r="A166" t="str">
        <f>_xll.BDP("24916PFV Muni","ID_CUSIP")</f>
        <v>24916PFV4</v>
      </c>
      <c r="B166" t="s">
        <v>96</v>
      </c>
      <c r="C166" t="str">
        <f>_xll.BDP("24916PFV Muni","INSURANCE_STATUS")</f>
        <v>N</v>
      </c>
      <c r="D166" t="str">
        <f>_xll.BDP("24916PFV Muni","STATE_CODE")</f>
        <v>CO</v>
      </c>
      <c r="E166" t="str">
        <f>_xll.BDP("24916PFV Muni","COUNTY_LOCATION_ISSUER")</f>
        <v>Denver, CO</v>
      </c>
      <c r="F166">
        <f>_xll.BDP("24916PFV Muni","DUR_ADJ_MID")</f>
        <v>2.8645347180519534</v>
      </c>
      <c r="G166">
        <f>_xll.BDP("24916PFV Muni","SPREAD_AT_ISSUANCE_TO_WORST")</f>
        <v>2.5790966691080497</v>
      </c>
      <c r="H166" t="str">
        <f>_xll.BDP("24916PFV Muni","ISSUE_DT")</f>
        <v>5/23/2017</v>
      </c>
      <c r="I166" t="str">
        <f>_xll.BDS("24916PFV Muni","MUNI_PURPOSE_SCHED", "aggregate=y")</f>
        <v>WATER UTILITY IMPS. GREEN PURPOSE</v>
      </c>
      <c r="J166">
        <f>_xll.BDP("24916PFV Muni","CPN")</f>
        <v>5</v>
      </c>
      <c r="K166" t="str">
        <f>_xll.BDP("24916PFV Muni","MATURITY")</f>
        <v>9/15/2025</v>
      </c>
      <c r="L166">
        <v>2885000</v>
      </c>
      <c r="M166">
        <f>_xll.BDP("24916PFV Muni","YIELD_ON_ISSUE_DATE")</f>
        <v>1.94</v>
      </c>
      <c r="N166">
        <f>_xll.BDP("24916PFV Muni","YTW_SPREAD_TO_MATURITY_AT_ISSU")</f>
        <v>2.5790966691080497</v>
      </c>
      <c r="O166" t="str">
        <f>_xll.BDP("24916PFV Muni","BVAL_MID_YTM")</f>
        <v>#N/A Authorization</v>
      </c>
      <c r="P166" t="str">
        <f>_xll.BDP("24916PFV Muni","MUNI_TAX_PROV")</f>
        <v>FED &amp; ST TAX-EXEMPT</v>
      </c>
      <c r="Q166" t="str">
        <f>_xll.BDP("24916PFV Muni","MUNI_FED_TAX")</f>
        <v>N</v>
      </c>
      <c r="R166" t="str">
        <f>_xll.BDP("24916PFV Muni","MUNI_MSRB_VOLUME")</f>
        <v>#N/A N/A</v>
      </c>
      <c r="S166" t="str">
        <f>_xll.BDP("24916PFV Muni","BB_COMPOSITE")</f>
        <v>AAA</v>
      </c>
      <c r="T166">
        <f>_xll.BDP("24916PFV Muni","LQA_LIQUIDITY_SCORE")</f>
        <v>83</v>
      </c>
    </row>
    <row r="167" spans="1:20" x14ac:dyDescent="0.25">
      <c r="A167" t="str">
        <f>_xll.BDP("815883MA Muni","ID_CUSIP")</f>
        <v>815883MA8</v>
      </c>
      <c r="B167" t="s">
        <v>114</v>
      </c>
      <c r="C167" t="str">
        <f>_xll.BDP("815883MA Muni","INSURANCE_STATUS")</f>
        <v>Y</v>
      </c>
      <c r="D167" t="str">
        <f>_xll.BDP("815883MA Muni","STATE_CODE")</f>
        <v>TX</v>
      </c>
      <c r="E167" t="str">
        <f>_xll.BDP("815883MA Muni","COUNTY_LOCATION_ISSUER")</f>
        <v>Henderson, TX</v>
      </c>
      <c r="F167">
        <f>_xll.BDP("815883MA Muni","DUR_ADJ_MID")</f>
        <v>3.3118167698351599</v>
      </c>
      <c r="G167">
        <f>_xll.BDP("815883MA Muni","SPREAD_AT_ISSUANCE_TO_WORST")</f>
        <v>15.426635243888143</v>
      </c>
      <c r="H167" t="str">
        <f>_xll.BDP("815883MA Muni","ISSUE_DT")</f>
        <v>2/1/2017</v>
      </c>
      <c r="I167" t="str">
        <f>_xll.BDS("815883MA Muni","MUNI_PURPOSE_SCHED", "aggregate=y")</f>
        <v>ELEC. LT. &amp; PWR. IMPTS. WATER UTILITY IMPS. SEWER IMPS.</v>
      </c>
      <c r="J167">
        <f>_xll.BDP("815883MA Muni","CPN")</f>
        <v>3</v>
      </c>
      <c r="K167" t="str">
        <f>_xll.BDP("815883MA Muni","MATURITY")</f>
        <v>2/1/2026</v>
      </c>
      <c r="L167">
        <v>435000</v>
      </c>
      <c r="M167">
        <f>_xll.BDP("815883MA Muni","YIELD_ON_ISSUE_DATE")</f>
        <v>2.4000000000000004</v>
      </c>
      <c r="N167">
        <f>_xll.BDP("815883MA Muni","YTW_SPREAD_TO_MATURITY_AT_ISSU")</f>
        <v>15.426635243888143</v>
      </c>
      <c r="O167" t="str">
        <f>_xll.BDP("815883MA Muni","BVAL_MID_YTM")</f>
        <v>#N/A Authorization</v>
      </c>
      <c r="P167" t="str">
        <f>_xll.BDP("815883MA Muni","MUNI_TAX_PROV")</f>
        <v>FED BQ</v>
      </c>
      <c r="Q167" t="str">
        <f>_xll.BDP("815883MA Muni","MUNI_FED_TAX")</f>
        <v>N</v>
      </c>
      <c r="R167">
        <f>_xll.BDP("815883MA Muni","MUNI_MSRB_VOLUME")</f>
        <v>20000</v>
      </c>
      <c r="S167" t="str">
        <f>_xll.BDP("815883MA Muni","BB_COMPOSITE")</f>
        <v>A+</v>
      </c>
      <c r="T167">
        <f>_xll.BDP("815883MA Muni","LQA_LIQUIDITY_SCORE")</f>
        <v>59</v>
      </c>
    </row>
    <row r="168" spans="1:20" x14ac:dyDescent="0.25">
      <c r="A168" t="str">
        <f>_xll.BDP("094743MR Muni","ID_CUSIP")</f>
        <v>094743MR9</v>
      </c>
      <c r="B168" t="s">
        <v>115</v>
      </c>
      <c r="C168" t="str">
        <f>_xll.BDP("094743MR Muni","INSURANCE_STATUS")</f>
        <v>Y</v>
      </c>
      <c r="D168" t="str">
        <f>_xll.BDP("094743MR Muni","STATE_CODE")</f>
        <v>IN</v>
      </c>
      <c r="E168" t="str">
        <f>_xll.BDP("094743MR Muni","COUNTY_LOCATION_ISSUER")</f>
        <v>Monroe, IN</v>
      </c>
      <c r="F168">
        <f>_xll.BDP("094743MR Muni","DUR_ADJ_MID")</f>
        <v>4.1179077156986645</v>
      </c>
      <c r="G168">
        <f>_xll.BDP("094743MR Muni","SPREAD_AT_ISSUANCE_TO_WORST")</f>
        <v>46.603053168631604</v>
      </c>
      <c r="H168" t="str">
        <f>_xll.BDP("094743MR Muni","ISSUE_DT")</f>
        <v>7/25/2017</v>
      </c>
      <c r="I168" t="str">
        <f>_xll.BDS("094743MR Muni","MUNI_PURPOSE_SCHED", "aggregate=y")</f>
        <v>WATER UTILITY IMPS.</v>
      </c>
      <c r="J168">
        <f>_xll.BDP("094743MR Muni","CPN")</f>
        <v>3</v>
      </c>
      <c r="K168" t="str">
        <f>_xll.BDP("094743MR Muni","MATURITY")</f>
        <v>1/1/2027</v>
      </c>
      <c r="L168">
        <v>105000</v>
      </c>
      <c r="M168">
        <f>_xll.BDP("094743MR Muni","YIELD_ON_ISSUE_DATE")</f>
        <v>2.4500000000000002</v>
      </c>
      <c r="N168">
        <f>_xll.BDP("094743MR Muni","YTW_SPREAD_TO_MATURITY_AT_ISSU")</f>
        <v>46.603053168631604</v>
      </c>
      <c r="O168" t="str">
        <f>_xll.BDP("094743MR Muni","BVAL_MID_YTM")</f>
        <v>#N/A Authorization</v>
      </c>
      <c r="P168" t="str">
        <f>_xll.BDP("094743MR Muni","MUNI_TAX_PROV")</f>
        <v>FED &amp; ST TAX-EXEMPT</v>
      </c>
      <c r="Q168" t="str">
        <f>_xll.BDP("094743MR Muni","MUNI_FED_TAX")</f>
        <v>N</v>
      </c>
      <c r="R168" t="str">
        <f>_xll.BDP("094743MR Muni","MUNI_MSRB_VOLUME")</f>
        <v>#N/A N/A</v>
      </c>
      <c r="S168" t="str">
        <f>_xll.BDP("094743MR Muni","BB_COMPOSITE")</f>
        <v>#N/A N/A</v>
      </c>
      <c r="T168">
        <f>_xll.BDP("094743MR Muni","LQA_LIQUIDITY_SCORE")</f>
        <v>47</v>
      </c>
    </row>
    <row r="169" spans="1:20" x14ac:dyDescent="0.25">
      <c r="A169" t="str">
        <f>_xll.BDP("181003NV Muni","ID_CUSIP")</f>
        <v>181003NV2</v>
      </c>
      <c r="B169" t="s">
        <v>116</v>
      </c>
      <c r="C169" t="str">
        <f>_xll.BDP("181003NV Muni","INSURANCE_STATUS")</f>
        <v>N</v>
      </c>
      <c r="D169" t="str">
        <f>_xll.BDP("181003NV Muni","STATE_CODE")</f>
        <v>NV</v>
      </c>
      <c r="E169" t="str">
        <f>_xll.BDP("181003NV Muni","COUNTY_LOCATION_ISSUER")</f>
        <v>Clark, NV</v>
      </c>
      <c r="F169">
        <f>_xll.BDP("181003NV Muni","DUR_ADJ_MID")</f>
        <v>2.8051567253456819</v>
      </c>
      <c r="G169">
        <f>_xll.BDP("181003NV Muni","SPREAD_AT_ISSUANCE_TO_WORST")</f>
        <v>9.6800406147496521</v>
      </c>
      <c r="H169" t="str">
        <f>_xll.BDP("181003NV Muni","ISSUE_DT")</f>
        <v>7/11/2017</v>
      </c>
      <c r="I169" t="str">
        <f>_xll.BDS("181003NV Muni","MUNI_PURPOSE_SCHED", "aggregate=y")</f>
        <v>PUBLIC IMPS. WATER UTILITY IMPS. SEWER IMPS.</v>
      </c>
      <c r="J169">
        <f>_xll.BDP("181003NV Muni","CPN")</f>
        <v>5</v>
      </c>
      <c r="K169" t="str">
        <f>_xll.BDP("181003NV Muni","MATURITY")</f>
        <v>8/1/2025</v>
      </c>
      <c r="L169">
        <v>605000</v>
      </c>
      <c r="M169">
        <f>_xll.BDP("181003NV Muni","YIELD_ON_ISSUE_DATE")</f>
        <v>1.75</v>
      </c>
      <c r="N169">
        <f>_xll.BDP("181003NV Muni","YTW_SPREAD_TO_MATURITY_AT_ISSU")</f>
        <v>9.6800406147496521</v>
      </c>
      <c r="O169" t="str">
        <f>_xll.BDP("181003NV Muni","BVAL_MID_YTM")</f>
        <v>#N/A Authorization</v>
      </c>
      <c r="P169" t="str">
        <f>_xll.BDP("181003NV Muni","MUNI_TAX_PROV")</f>
        <v>FED &amp; ST TAX-EXEMPT</v>
      </c>
      <c r="Q169" t="str">
        <f>_xll.BDP("181003NV Muni","MUNI_FED_TAX")</f>
        <v>N</v>
      </c>
      <c r="R169">
        <f>_xll.BDP("181003NV Muni","MUNI_MSRB_VOLUME")</f>
        <v>70000</v>
      </c>
      <c r="S169" t="str">
        <f>_xll.BDP("181003NV Muni","BB_COMPOSITE")</f>
        <v>AA+</v>
      </c>
      <c r="T169">
        <f>_xll.BDP("181003NV Muni","LQA_LIQUIDITY_SCORE")</f>
        <v>64</v>
      </c>
    </row>
    <row r="170" spans="1:20" x14ac:dyDescent="0.25">
      <c r="A170" t="str">
        <f>_xll.BDP("602409KF Muni","ID_CUSIP")</f>
        <v>602409KF0</v>
      </c>
      <c r="B170" t="s">
        <v>103</v>
      </c>
      <c r="C170" t="str">
        <f>_xll.BDP("602409KF Muni","INSURANCE_STATUS")</f>
        <v>N</v>
      </c>
      <c r="D170" t="str">
        <f>_xll.BDP("602409KF Muni","STATE_CODE")</f>
        <v>WI</v>
      </c>
      <c r="E170" t="str">
        <f>_xll.BDP("602409KF Muni","COUNTY_LOCATION_ISSUER")</f>
        <v>Milwaukee, WI</v>
      </c>
      <c r="F170">
        <f>_xll.BDP("602409KF Muni","DUR_ADJ_MID")</f>
        <v>2.0305869078638259</v>
      </c>
      <c r="G170">
        <f>_xll.BDP("602409KF Muni","SPREAD_AT_ISSUANCE_TO_WORST")</f>
        <v>5.5581765441729436</v>
      </c>
      <c r="H170" t="str">
        <f>_xll.BDP("602409KF Muni","ISSUE_DT")</f>
        <v>6/12/2017</v>
      </c>
      <c r="I170" t="str">
        <f>_xll.BDS("602409KF Muni","MUNI_PURPOSE_SCHED", "aggregate=y")</f>
        <v>WATER UTILITY IMPS. PUBLIC IMPS. SEWER IMPS.</v>
      </c>
      <c r="J170">
        <f>_xll.BDP("602409KF Muni","CPN")</f>
        <v>5</v>
      </c>
      <c r="K170" t="str">
        <f>_xll.BDP("602409KF Muni","MATURITY")</f>
        <v>10/1/2024</v>
      </c>
      <c r="L170">
        <v>3165000</v>
      </c>
      <c r="M170">
        <f>_xll.BDP("602409KF Muni","YIELD_ON_ISSUE_DATE")</f>
        <v>1.68</v>
      </c>
      <c r="N170">
        <f>_xll.BDP("602409KF Muni","YTW_SPREAD_TO_MATURITY_AT_ISSU")</f>
        <v>5.5581765441729436</v>
      </c>
      <c r="O170" t="str">
        <f>_xll.BDP("602409KF Muni","BVAL_MID_YTM")</f>
        <v>#N/A Authorization</v>
      </c>
      <c r="P170" t="str">
        <f>_xll.BDP("602409KF Muni","MUNI_TAX_PROV")</f>
        <v>FED TAX-EXEMPT/ST TAXABLE</v>
      </c>
      <c r="Q170" t="str">
        <f>_xll.BDP("602409KF Muni","MUNI_FED_TAX")</f>
        <v>N</v>
      </c>
      <c r="R170">
        <f>_xll.BDP("602409KF Muni","MUNI_MSRB_VOLUME")</f>
        <v>20000</v>
      </c>
      <c r="S170" t="str">
        <f>_xll.BDP("602409KF Muni","BB_COMPOSITE")</f>
        <v>AA+</v>
      </c>
      <c r="T170">
        <f>_xll.BDP("602409KF Muni","LQA_LIQUIDITY_SCORE")</f>
        <v>85</v>
      </c>
    </row>
    <row r="171" spans="1:20" x14ac:dyDescent="0.25">
      <c r="A171" t="str">
        <f>_xll.BDP("587091UQ Muni","ID_CUSIP")</f>
        <v>587091UQ0</v>
      </c>
      <c r="B171" t="s">
        <v>117</v>
      </c>
      <c r="C171" t="str">
        <f>_xll.BDP("587091UQ Muni","INSURANCE_STATUS")</f>
        <v>Y</v>
      </c>
      <c r="D171" t="str">
        <f>_xll.BDP("587091UQ Muni","STATE_CODE")</f>
        <v>WI</v>
      </c>
      <c r="E171" t="str">
        <f>_xll.BDP("587091UQ Muni","COUNTY_LOCATION_ISSUER")</f>
        <v>Dunn, WI</v>
      </c>
      <c r="F171">
        <f>_xll.BDP("587091UQ Muni","DUR_ADJ_MID")</f>
        <v>2.0707003069799716</v>
      </c>
      <c r="G171">
        <f>_xll.BDP("587091UQ Muni","SPREAD_AT_ISSUANCE_TO_WORST")</f>
        <v>22.564180193839878</v>
      </c>
      <c r="H171" t="str">
        <f>_xll.BDP("587091UQ Muni","ISSUE_DT")</f>
        <v>5/24/2017</v>
      </c>
      <c r="I171" t="str">
        <f>_xll.BDS("587091UQ Muni","MUNI_PURPOSE_SCHED", "aggregate=y")</f>
        <v>PUBLIC IMPS. RECREATIONAL FAC. IMPS. WATER UTILITY IMPS.</v>
      </c>
      <c r="J171">
        <f>_xll.BDP("587091UQ Muni","CPN")</f>
        <v>3</v>
      </c>
      <c r="K171" t="str">
        <f>_xll.BDP("587091UQ Muni","MATURITY")</f>
        <v>10/1/2024</v>
      </c>
      <c r="L171">
        <v>180000</v>
      </c>
      <c r="M171">
        <f>_xll.BDP("587091UQ Muni","YIELD_ON_ISSUE_DATE")</f>
        <v>2</v>
      </c>
      <c r="N171">
        <f>_xll.BDP("587091UQ Muni","YTW_SPREAD_TO_MATURITY_AT_ISSU")</f>
        <v>22.564180193839878</v>
      </c>
      <c r="O171" t="str">
        <f>_xll.BDP("587091UQ Muni","BVAL_MID_YTM")</f>
        <v>#N/A Authorization</v>
      </c>
      <c r="P171" t="str">
        <f>_xll.BDP("587091UQ Muni","MUNI_TAX_PROV")</f>
        <v>FED BQ/ST TAXABLE</v>
      </c>
      <c r="Q171" t="str">
        <f>_xll.BDP("587091UQ Muni","MUNI_FED_TAX")</f>
        <v>N</v>
      </c>
      <c r="R171">
        <f>_xll.BDP("587091UQ Muni","MUNI_MSRB_VOLUME")</f>
        <v>20000</v>
      </c>
      <c r="S171" t="str">
        <f>_xll.BDP("587091UQ Muni","BB_COMPOSITE")</f>
        <v>#N/A N/A</v>
      </c>
      <c r="T171">
        <f>_xll.BDP("587091UQ Muni","LQA_LIQUIDITY_SCORE")</f>
        <v>72</v>
      </c>
    </row>
    <row r="172" spans="1:20" x14ac:dyDescent="0.25">
      <c r="A172" t="str">
        <f>_xll.BDP("46246K3Z Muni","ID_CUSIP")</f>
        <v>46246K3Z3</v>
      </c>
      <c r="B172" t="s">
        <v>28</v>
      </c>
      <c r="C172" t="str">
        <f>_xll.BDP("46246K3Z Muni","INSURANCE_STATUS")</f>
        <v>N</v>
      </c>
      <c r="D172" t="str">
        <f>_xll.BDP("46246K3Z Muni","STATE_CODE")</f>
        <v>IA</v>
      </c>
      <c r="E172" t="str">
        <f>_xll.BDP("46246K3Z Muni","COUNTY_LOCATION_ISSUER")</f>
        <v>Polk, IA</v>
      </c>
      <c r="F172">
        <f>_xll.BDP("46246K3Z Muni","DUR_ADJ_MID")</f>
        <v>2.8041150657886083</v>
      </c>
      <c r="G172">
        <f>_xll.BDP("46246K3Z Muni","SPREAD_AT_ISSUANCE_TO_WORST")</f>
        <v>13.019504109589054</v>
      </c>
      <c r="H172" t="str">
        <f>_xll.BDP("46246K3Z Muni","ISSUE_DT")</f>
        <v>12/14/2017</v>
      </c>
      <c r="I172" t="str">
        <f>_xll.BDS("46246K3Z Muni","MUNI_PURPOSE_SCHED", "aggregate=y")</f>
        <v>WATER UTILITY IMPS. GREEN PURPOSE ADVANCE REFUNDING</v>
      </c>
      <c r="J172">
        <f>_xll.BDP("46246K3Z Muni","CPN")</f>
        <v>5</v>
      </c>
      <c r="K172" t="str">
        <f>_xll.BDP("46246K3Z Muni","MATURITY")</f>
        <v>8/1/2025</v>
      </c>
      <c r="L172">
        <v>19240000</v>
      </c>
      <c r="M172">
        <f>_xll.BDP("46246K3Z Muni","YIELD_ON_ISSUE_DATE")</f>
        <v>2.08</v>
      </c>
      <c r="N172">
        <f>_xll.BDP("46246K3Z Muni","YTW_SPREAD_TO_MATURITY_AT_ISSU")</f>
        <v>13.019504109589054</v>
      </c>
      <c r="O172" t="str">
        <f>_xll.BDP("46246K3Z Muni","BVAL_MID_YTM")</f>
        <v>#N/A Authorization</v>
      </c>
      <c r="P172" t="str">
        <f>_xll.BDP("46246K3Z Muni","MUNI_TAX_PROV")</f>
        <v>FED &amp; ST TAX-EXEMPT</v>
      </c>
      <c r="Q172" t="str">
        <f>_xll.BDP("46246K3Z Muni","MUNI_FED_TAX")</f>
        <v>N</v>
      </c>
      <c r="R172">
        <f>_xll.BDP("46246K3Z Muni","MUNI_MSRB_VOLUME")</f>
        <v>150000</v>
      </c>
      <c r="S172" t="str">
        <f>_xll.BDP("46246K3Z Muni","BB_COMPOSITE")</f>
        <v>AAA</v>
      </c>
      <c r="T172">
        <f>_xll.BDP("46246K3Z Muni","LQA_LIQUIDITY_SCORE")</f>
        <v>81</v>
      </c>
    </row>
    <row r="173" spans="1:20" x14ac:dyDescent="0.25">
      <c r="A173" t="str">
        <f>_xll.BDP("590545XZ Muni","ID_CUSIP")</f>
        <v>590545XZ7</v>
      </c>
      <c r="B173" t="s">
        <v>47</v>
      </c>
      <c r="C173" t="str">
        <f>_xll.BDP("590545XZ Muni","INSURANCE_STATUS")</f>
        <v>N</v>
      </c>
      <c r="D173" t="str">
        <f>_xll.BDP("590545XZ Muni","STATE_CODE")</f>
        <v>AZ</v>
      </c>
      <c r="E173" t="str">
        <f>_xll.BDP("590545XZ Muni","COUNTY_LOCATION_ISSUER")</f>
        <v>Maricopa, AZ</v>
      </c>
      <c r="F173">
        <f>_xll.BDP("590545XZ Muni","DUR_ADJ_MID")</f>
        <v>0.89536418556818642</v>
      </c>
      <c r="G173">
        <f>_xll.BDP("590545XZ Muni","SPREAD_AT_ISSUANCE_TO_WORST")</f>
        <v>11.029148234876862</v>
      </c>
      <c r="H173" t="str">
        <f>_xll.BDP("590545XZ Muni","ISSUE_DT")</f>
        <v>5/24/2017</v>
      </c>
      <c r="I173" t="str">
        <f>_xll.BDS("590545XZ Muni","MUNI_PURPOSE_SCHED", "aggregate=y")</f>
        <v>WATER UTILITY IMPS. SEWER IMPS. MULT. UTILITY IMPS.</v>
      </c>
      <c r="J173">
        <f>_xll.BDP("590545XZ Muni","CPN")</f>
        <v>5</v>
      </c>
      <c r="K173" t="str">
        <f>_xll.BDP("590545XZ Muni","MATURITY")</f>
        <v>7/1/2023</v>
      </c>
      <c r="L173">
        <v>2400000</v>
      </c>
      <c r="M173">
        <f>_xll.BDP("590545XZ Muni","YIELD_ON_ISSUE_DATE")</f>
        <v>1.71</v>
      </c>
      <c r="N173">
        <f>_xll.BDP("590545XZ Muni","YTW_SPREAD_TO_MATURITY_AT_ISSU")</f>
        <v>11.029148234876862</v>
      </c>
      <c r="O173" t="str">
        <f>_xll.BDP("590545XZ Muni","BVAL_MID_YTM")</f>
        <v>#N/A Authorization</v>
      </c>
      <c r="P173" t="str">
        <f>_xll.BDP("590545XZ Muni","MUNI_TAX_PROV")</f>
        <v>FED &amp; ST TAX-EXEMPT</v>
      </c>
      <c r="Q173" t="str">
        <f>_xll.BDP("590545XZ Muni","MUNI_FED_TAX")</f>
        <v>N</v>
      </c>
      <c r="R173">
        <f>_xll.BDP("590545XZ Muni","MUNI_MSRB_VOLUME")</f>
        <v>160000</v>
      </c>
      <c r="S173" t="str">
        <f>_xll.BDP("590545XZ Muni","BB_COMPOSITE")</f>
        <v>AA-</v>
      </c>
      <c r="T173">
        <f>_xll.BDP("590545XZ Muni","LQA_LIQUIDITY_SCORE")</f>
        <v>95</v>
      </c>
    </row>
    <row r="174" spans="1:20" x14ac:dyDescent="0.25">
      <c r="A174" t="str">
        <f>_xll.BDP("485116WV Muni","ID_CUSIP")</f>
        <v>485116WV5</v>
      </c>
      <c r="B174" t="s">
        <v>118</v>
      </c>
      <c r="C174" t="str">
        <f>_xll.BDP("485116WV Muni","INSURANCE_STATUS")</f>
        <v>N</v>
      </c>
      <c r="D174" t="str">
        <f>_xll.BDP("485116WV Muni","STATE_CODE")</f>
        <v>MO</v>
      </c>
      <c r="E174" t="str">
        <f>_xll.BDP("485116WV Muni","COUNTY_LOCATION_ISSUER")</f>
        <v>Jackson, MO</v>
      </c>
      <c r="F174">
        <f>_xll.BDP("485116WV Muni","DUR_ADJ_MID")</f>
        <v>3.9071541006971851</v>
      </c>
      <c r="G174">
        <f>_xll.BDP("485116WV Muni","SPREAD_AT_ISSUANCE_TO_WORST")</f>
        <v>7.6685351319749628</v>
      </c>
      <c r="H174" t="str">
        <f>_xll.BDP("485116WV Muni","ISSUE_DT")</f>
        <v>2/24/2017</v>
      </c>
      <c r="I174" t="str">
        <f>_xll.BDS("485116WV Muni","MUNI_PURPOSE_SCHED", "aggregate=y")</f>
        <v>WATER UTILITY IMPS.</v>
      </c>
      <c r="J174">
        <f>_xll.BDP("485116WV Muni","CPN")</f>
        <v>5</v>
      </c>
      <c r="K174" t="str">
        <f>_xll.BDP("485116WV Muni","MATURITY")</f>
        <v>12/1/2026</v>
      </c>
      <c r="L174">
        <v>2555000</v>
      </c>
      <c r="M174">
        <f>_xll.BDP("485116WV Muni","YIELD_ON_ISSUE_DATE")</f>
        <v>2.33</v>
      </c>
      <c r="N174">
        <f>_xll.BDP("485116WV Muni","YTW_SPREAD_TO_MATURITY_AT_ISSU")</f>
        <v>7.6685351319749628</v>
      </c>
      <c r="O174" t="str">
        <f>_xll.BDP("485116WV Muni","BVAL_MID_YTM")</f>
        <v>#N/A Authorization</v>
      </c>
      <c r="P174" t="str">
        <f>_xll.BDP("485116WV Muni","MUNI_TAX_PROV")</f>
        <v>FED &amp; ST TAX-EXEMPT</v>
      </c>
      <c r="Q174" t="str">
        <f>_xll.BDP("485116WV Muni","MUNI_FED_TAX")</f>
        <v>N</v>
      </c>
      <c r="R174">
        <f>_xll.BDP("485116WV Muni","MUNI_MSRB_VOLUME")</f>
        <v>35000</v>
      </c>
      <c r="S174" t="str">
        <f>_xll.BDP("485116WV Muni","BB_COMPOSITE")</f>
        <v>AA</v>
      </c>
      <c r="T174">
        <f>_xll.BDP("485116WV Muni","LQA_LIQUIDITY_SCORE")</f>
        <v>73</v>
      </c>
    </row>
    <row r="175" spans="1:20" x14ac:dyDescent="0.25">
      <c r="A175" t="str">
        <f>_xll.BDP("64985HXM Muni","ID_CUSIP")</f>
        <v>64985HXM4</v>
      </c>
      <c r="B175" t="s">
        <v>22</v>
      </c>
      <c r="C175" t="str">
        <f>_xll.BDP("64985HXM Muni","INSURANCE_STATUS")</f>
        <v>N</v>
      </c>
      <c r="D175" t="str">
        <f>_xll.BDP("64985HXM Muni","STATE_CODE")</f>
        <v>NY</v>
      </c>
      <c r="E175" t="str">
        <f>_xll.BDP("64985HXM Muni","COUNTY_LOCATION_ISSUER")</f>
        <v>Albany, NY</v>
      </c>
      <c r="F175">
        <f>_xll.BDP("64985HXM Muni","DUR_ADJ_MID")</f>
        <v>0.52186106093895446</v>
      </c>
      <c r="G175">
        <f>_xll.BDP("64985HXM Muni","SPREAD_AT_ISSUANCE_TO_WORST")</f>
        <v>-1.2698630136998013E-2</v>
      </c>
      <c r="H175" t="str">
        <f>_xll.BDP("64985HXM Muni","ISSUE_DT")</f>
        <v>11/9/2017</v>
      </c>
      <c r="I175" t="str">
        <f>_xll.BDS("64985HXM Muni","MUNI_PURPOSE_SCHED", "aggregate=y")</f>
        <v>GREEN PURPOSE WATER UTILITY IMPS.</v>
      </c>
      <c r="J175">
        <f>_xll.BDP("64985HXM Muni","CPN")</f>
        <v>5</v>
      </c>
      <c r="K175" t="str">
        <f>_xll.BDP("64985HXM Muni","MATURITY")</f>
        <v>2/15/2023</v>
      </c>
      <c r="L175">
        <v>1730000</v>
      </c>
      <c r="M175">
        <f>_xll.BDP("64985HXM Muni","YIELD_ON_ISSUE_DATE")</f>
        <v>1.3900000000000001</v>
      </c>
      <c r="N175">
        <f>_xll.BDP("64985HXM Muni","YTW_SPREAD_TO_MATURITY_AT_ISSU")</f>
        <v>-1.2698630136998013E-2</v>
      </c>
      <c r="O175" t="str">
        <f>_xll.BDP("64985HXM Muni","BVAL_MID_YTM")</f>
        <v>#N/A Authorization</v>
      </c>
      <c r="P175" t="str">
        <f>_xll.BDP("64985HXM Muni","MUNI_TAX_PROV")</f>
        <v>FED &amp; ST TAX-EXEMPT</v>
      </c>
      <c r="Q175" t="str">
        <f>_xll.BDP("64985HXM Muni","MUNI_FED_TAX")</f>
        <v>N</v>
      </c>
      <c r="R175">
        <f>_xll.BDP("64985HXM Muni","MUNI_MSRB_VOLUME")</f>
        <v>210000</v>
      </c>
      <c r="S175" t="str">
        <f>_xll.BDP("64985HXM Muni","BB_COMPOSITE")</f>
        <v>AAA</v>
      </c>
      <c r="T175">
        <f>_xll.BDP("64985HXM Muni","LQA_LIQUIDITY_SCORE")</f>
        <v>98</v>
      </c>
    </row>
    <row r="176" spans="1:20" x14ac:dyDescent="0.25">
      <c r="A176" t="str">
        <f>_xll.BDP("89658HUW Muni","ID_CUSIP")</f>
        <v>89658HUW8</v>
      </c>
      <c r="B176" t="s">
        <v>33</v>
      </c>
      <c r="C176" t="str">
        <f>_xll.BDP("89658HUW Muni","INSURANCE_STATUS")</f>
        <v>N</v>
      </c>
      <c r="D176" t="str">
        <f>_xll.BDP("89658HUW Muni","STATE_CODE")</f>
        <v>TX</v>
      </c>
      <c r="E176" t="str">
        <f>_xll.BDP("89658HUW Muni","COUNTY_LOCATION_ISSUER")</f>
        <v>Tarrant, TX</v>
      </c>
      <c r="F176">
        <f>_xll.BDP("89658HUW Muni","DUR_ADJ_MID")</f>
        <v>2.805464988843291</v>
      </c>
      <c r="G176">
        <f>_xll.BDP("89658HUW Muni","SPREAD_AT_ISSUANCE_TO_WORST")</f>
        <v>14.19395476666352</v>
      </c>
      <c r="H176" t="str">
        <f>_xll.BDP("89658HUW Muni","ISSUE_DT")</f>
        <v>5/1/2017</v>
      </c>
      <c r="I176" t="str">
        <f>_xll.BDS("89658HUW Muni","MUNI_PURPOSE_SCHED", "aggregate=y")</f>
        <v>ADVANCE REFUNDING WATER UTILITY IMPS. SEWER IMPS.</v>
      </c>
      <c r="J176">
        <f>_xll.BDP("89658HUW Muni","CPN")</f>
        <v>5</v>
      </c>
      <c r="K176" t="str">
        <f>_xll.BDP("89658HUW Muni","MATURITY")</f>
        <v>8/1/2025</v>
      </c>
      <c r="L176">
        <v>6035000</v>
      </c>
      <c r="M176">
        <f>_xll.BDP("89658HUW Muni","YIELD_ON_ISSUE_DATE")</f>
        <v>2.08</v>
      </c>
      <c r="N176">
        <f>_xll.BDP("89658HUW Muni","YTW_SPREAD_TO_MATURITY_AT_ISSU")</f>
        <v>14.19395476666352</v>
      </c>
      <c r="O176" t="str">
        <f>_xll.BDP("89658HUW Muni","BVAL_MID_YTM")</f>
        <v>#N/A Authorization</v>
      </c>
      <c r="P176" t="str">
        <f>_xll.BDP("89658HUW Muni","MUNI_TAX_PROV")</f>
        <v>FED TAX-EXEMPT</v>
      </c>
      <c r="Q176" t="str">
        <f>_xll.BDP("89658HUW Muni","MUNI_FED_TAX")</f>
        <v>N</v>
      </c>
      <c r="R176">
        <f>_xll.BDP("89658HUW Muni","MUNI_MSRB_VOLUME")</f>
        <v>10000</v>
      </c>
      <c r="S176" t="str">
        <f>_xll.BDP("89658HUW Muni","BB_COMPOSITE")</f>
        <v>AAA</v>
      </c>
      <c r="T176">
        <f>_xll.BDP("89658HUW Muni","LQA_LIQUIDITY_SCORE")</f>
        <v>79</v>
      </c>
    </row>
    <row r="177" spans="1:20" x14ac:dyDescent="0.25">
      <c r="A177" t="str">
        <f>_xll.BDP("013493HG Muni","ID_CUSIP")</f>
        <v>013493HG9</v>
      </c>
      <c r="B177" t="s">
        <v>27</v>
      </c>
      <c r="C177" t="str">
        <f>_xll.BDP("013493HG Muni","INSURANCE_STATUS")</f>
        <v>N</v>
      </c>
      <c r="D177" t="str">
        <f>_xll.BDP("013493HG Muni","STATE_CODE")</f>
        <v>NM</v>
      </c>
      <c r="E177" t="str">
        <f>_xll.BDP("013493HG Muni","COUNTY_LOCATION_ISSUER")</f>
        <v>Bernalillo, NM</v>
      </c>
      <c r="F177">
        <f>_xll.BDP("013493HG Muni","DUR_ADJ_MID")</f>
        <v>3.5688880295405476</v>
      </c>
      <c r="G177">
        <f>_xll.BDP("013493HG Muni","SPREAD_AT_ISSUANCE_TO_WORST")</f>
        <v>26.216157374570457</v>
      </c>
      <c r="H177" t="str">
        <f>_xll.BDP("013493HG Muni","ISSUE_DT")</f>
        <v>3/1/2017</v>
      </c>
      <c r="I177" t="str">
        <f>_xll.BDS("013493HG Muni","MUNI_PURPOSE_SCHED", "aggregate=y")</f>
        <v>WATER UTILITY IMPS. SEWER IMPS. ADVANCE REFUNDING</v>
      </c>
      <c r="J177">
        <f>_xll.BDP("013493HG Muni","CPN")</f>
        <v>5</v>
      </c>
      <c r="K177" t="str">
        <f>_xll.BDP("013493HG Muni","MATURITY")</f>
        <v>7/1/2026</v>
      </c>
      <c r="L177">
        <v>5685000</v>
      </c>
      <c r="M177">
        <f>_xll.BDP("013493HG Muni","YIELD_ON_ISSUE_DATE")</f>
        <v>2.5300000000000002</v>
      </c>
      <c r="N177">
        <f>_xll.BDP("013493HG Muni","YTW_SPREAD_TO_MATURITY_AT_ISSU")</f>
        <v>26.216157374570457</v>
      </c>
      <c r="O177" t="str">
        <f>_xll.BDP("013493HG Muni","BVAL_MID_YTM")</f>
        <v>#N/A Authorization</v>
      </c>
      <c r="P177" t="str">
        <f>_xll.BDP("013493HG Muni","MUNI_TAX_PROV")</f>
        <v>FED &amp; ST TAX-EXEMPT</v>
      </c>
      <c r="Q177" t="str">
        <f>_xll.BDP("013493HG Muni","MUNI_FED_TAX")</f>
        <v>N</v>
      </c>
      <c r="R177">
        <f>_xll.BDP("013493HG Muni","MUNI_MSRB_VOLUME")</f>
        <v>5000</v>
      </c>
      <c r="S177" t="str">
        <f>_xll.BDP("013493HG Muni","BB_COMPOSITE")</f>
        <v>AA</v>
      </c>
      <c r="T177">
        <f>_xll.BDP("013493HG Muni","LQA_LIQUIDITY_SCORE")</f>
        <v>75</v>
      </c>
    </row>
    <row r="178" spans="1:20" x14ac:dyDescent="0.25">
      <c r="A178" t="str">
        <f>_xll.BDP("041042C6 Muni","ID_CUSIP")</f>
        <v>041042C67</v>
      </c>
      <c r="B178" t="s">
        <v>119</v>
      </c>
      <c r="C178" t="str">
        <f>_xll.BDP("041042C6 Muni","INSURANCE_STATUS")</f>
        <v>N</v>
      </c>
      <c r="D178" t="str">
        <f>_xll.BDP("041042C6 Muni","STATE_CODE")</f>
        <v>AR</v>
      </c>
      <c r="E178" t="str">
        <f>_xll.BDP("041042C6 Muni","COUNTY_LOCATION_ISSUER")</f>
        <v>Pulaski, AR</v>
      </c>
      <c r="F178">
        <f>_xll.BDP("041042C6 Muni","DUR_ADJ_MID")</f>
        <v>1.8504545731331283</v>
      </c>
      <c r="G178">
        <f>_xll.BDP("041042C6 Muni","SPREAD_AT_ISSUANCE_TO_WORST")</f>
        <v>27.5090356126126</v>
      </c>
      <c r="H178" t="str">
        <f>_xll.BDP("041042C6 Muni","ISSUE_DT")</f>
        <v>6/8/2017</v>
      </c>
      <c r="I178" t="str">
        <f>_xll.BDS("041042C6 Muni","MUNI_PURPOSE_SCHED", "aggregate=y")</f>
        <v>GREEN PURPOSE WATER UTILITY IMPS. SEWER IMPS.</v>
      </c>
      <c r="J178">
        <f>_xll.BDP("041042C6 Muni","CPN")</f>
        <v>2.35</v>
      </c>
      <c r="K178" t="str">
        <f>_xll.BDP("041042C6 Muni","MATURITY")</f>
        <v>7/1/2024</v>
      </c>
      <c r="L178">
        <v>2055000</v>
      </c>
      <c r="M178">
        <f>_xll.BDP("041042C6 Muni","YIELD_ON_ISSUE_DATE")</f>
        <v>2.35</v>
      </c>
      <c r="N178">
        <f>_xll.BDP("041042C6 Muni","YTW_SPREAD_TO_MATURITY_AT_ISSU")</f>
        <v>27.5090356126126</v>
      </c>
      <c r="O178" t="str">
        <f>_xll.BDP("041042C6 Muni","BVAL_MID_YTM")</f>
        <v>#N/A Authorization</v>
      </c>
      <c r="P178" t="str">
        <f>_xll.BDP("041042C6 Muni","MUNI_TAX_PROV")</f>
        <v>FED TAXABLE/ST TAX-EXEMPT</v>
      </c>
      <c r="Q178" t="str">
        <f>_xll.BDP("041042C6 Muni","MUNI_FED_TAX")</f>
        <v>Y</v>
      </c>
      <c r="R178" t="str">
        <f>_xll.BDP("041042C6 Muni","MUNI_MSRB_VOLUME")</f>
        <v>#N/A N/A</v>
      </c>
      <c r="S178" t="str">
        <f>_xll.BDP("041042C6 Muni","BB_COMPOSITE")</f>
        <v>AA</v>
      </c>
      <c r="T178">
        <f>_xll.BDP("041042C6 Muni","LQA_LIQUIDITY_SCORE")</f>
        <v>74</v>
      </c>
    </row>
    <row r="179" spans="1:20" x14ac:dyDescent="0.25">
      <c r="A179" t="str">
        <f>_xll.BDP("41424LAF Muni","ID_CUSIP")</f>
        <v>41424LAF2</v>
      </c>
      <c r="B179" t="s">
        <v>120</v>
      </c>
      <c r="C179" t="str">
        <f>_xll.BDP("41424LAF Muni","INSURANCE_STATUS")</f>
        <v>Y</v>
      </c>
      <c r="D179" t="str">
        <f>_xll.BDP("41424LAF Muni","STATE_CODE")</f>
        <v>TX</v>
      </c>
      <c r="E179" t="str">
        <f>_xll.BDP("41424LAF Muni","COUNTY_LOCATION_ISSUER")</f>
        <v>#N/A Field Not Applicable</v>
      </c>
      <c r="F179">
        <f>_xll.BDP("41424LAF Muni","DUR_ADJ_MID")</f>
        <v>1.9452828920711649</v>
      </c>
      <c r="G179">
        <f>_xll.BDP("41424LAF Muni","SPREAD_AT_ISSUANCE_TO_WORST")</f>
        <v>70.251779005382772</v>
      </c>
      <c r="H179" t="str">
        <f>_xll.BDP("41424LAF Muni","ISSUE_DT")</f>
        <v>5/1/2017</v>
      </c>
      <c r="I179" t="str">
        <f>_xll.BDS("41424LAF Muni","MUNI_PURPOSE_SCHED", "aggregate=y")</f>
        <v>REFUNDING NOTES WATER UTILITY IMPS. SEWER IMPS.</v>
      </c>
      <c r="J179">
        <f>_xll.BDP("41424LAF Muni","CPN")</f>
        <v>5</v>
      </c>
      <c r="K179" t="str">
        <f>_xll.BDP("41424LAF Muni","MATURITY")</f>
        <v>9/1/2024</v>
      </c>
      <c r="L179">
        <v>145000</v>
      </c>
      <c r="M179">
        <f>_xll.BDP("41424LAF Muni","YIELD_ON_ISSUE_DATE")</f>
        <v>2.6</v>
      </c>
      <c r="N179">
        <f>_xll.BDP("41424LAF Muni","YTW_SPREAD_TO_MATURITY_AT_ISSU")</f>
        <v>70.251779005382772</v>
      </c>
      <c r="O179" t="str">
        <f>_xll.BDP("41424LAF Muni","BVAL_MID_YTM")</f>
        <v>#N/A Authorization</v>
      </c>
      <c r="P179" t="str">
        <f>_xll.BDP("41424LAF Muni","MUNI_TAX_PROV")</f>
        <v>FED TAX-EXEMPT</v>
      </c>
      <c r="Q179" t="str">
        <f>_xll.BDP("41424LAF Muni","MUNI_FED_TAX")</f>
        <v>N</v>
      </c>
      <c r="R179" t="str">
        <f>_xll.BDP("41424LAF Muni","MUNI_MSRB_VOLUME")</f>
        <v>#N/A N/A</v>
      </c>
      <c r="S179" t="str">
        <f>_xll.BDP("41424LAF Muni","BB_COMPOSITE")</f>
        <v>#N/A N/A</v>
      </c>
      <c r="T179">
        <f>_xll.BDP("41424LAF Muni","LQA_LIQUIDITY_SCORE")</f>
        <v>82</v>
      </c>
    </row>
    <row r="180" spans="1:20" x14ac:dyDescent="0.25">
      <c r="A180" t="str">
        <f>_xll.BDP("235586BU Muni","ID_CUSIP")</f>
        <v>235586BU7</v>
      </c>
      <c r="B180" t="s">
        <v>121</v>
      </c>
      <c r="C180" t="str">
        <f>_xll.BDP("235586BU Muni","INSURANCE_STATUS")</f>
        <v>N</v>
      </c>
      <c r="D180" t="str">
        <f>_xll.BDP("235586BU Muni","STATE_CODE")</f>
        <v>GA</v>
      </c>
      <c r="E180" t="str">
        <f>_xll.BDP("235586BU Muni","COUNTY_LOCATION_ISSUER")</f>
        <v>Whitfield, GA</v>
      </c>
      <c r="F180">
        <f>_xll.BDP("235586BU Muni","DUR_ADJ_MID")</f>
        <v>1.4974791118756396</v>
      </c>
      <c r="G180">
        <f>_xll.BDP("235586BU Muni","SPREAD_AT_ISSUANCE_TO_WORST")</f>
        <v>32.147191780821906</v>
      </c>
      <c r="H180" t="str">
        <f>_xll.BDP("235586BU Muni","ISSUE_DT")</f>
        <v>11/21/2017</v>
      </c>
      <c r="I180" t="str">
        <f>_xll.BDS("235586BU Muni","MUNI_PURPOSE_SCHED", "aggregate=y")</f>
        <v>WATER UTILITY IMPS. SEWER IMPS. MULT. UTILITY IMPS.</v>
      </c>
      <c r="J180">
        <f>_xll.BDP("235586BU Muni","CPN")</f>
        <v>5</v>
      </c>
      <c r="K180" t="str">
        <f>_xll.BDP("235586BU Muni","MATURITY")</f>
        <v>3/1/2024</v>
      </c>
      <c r="L180">
        <v>2575000</v>
      </c>
      <c r="M180">
        <f>_xll.BDP("235586BU Muni","YIELD_ON_ISSUE_DATE")</f>
        <v>1.92</v>
      </c>
      <c r="N180">
        <f>_xll.BDP("235586BU Muni","YTW_SPREAD_TO_MATURITY_AT_ISSU")</f>
        <v>32.147191780821906</v>
      </c>
      <c r="O180" t="str">
        <f>_xll.BDP("235586BU Muni","BVAL_MID_YTM")</f>
        <v>#N/A Authorization</v>
      </c>
      <c r="P180" t="str">
        <f>_xll.BDP("235586BU Muni","MUNI_TAX_PROV")</f>
        <v>FED &amp; ST TAX-EXEMPT</v>
      </c>
      <c r="Q180" t="str">
        <f>_xll.BDP("235586BU Muni","MUNI_FED_TAX")</f>
        <v>N</v>
      </c>
      <c r="R180" t="str">
        <f>_xll.BDP("235586BU Muni","MUNI_MSRB_VOLUME")</f>
        <v>#N/A N/A</v>
      </c>
      <c r="S180" t="str">
        <f>_xll.BDP("235586BU Muni","BB_COMPOSITE")</f>
        <v>A-</v>
      </c>
      <c r="T180">
        <f>_xll.BDP("235586BU Muni","LQA_LIQUIDITY_SCORE")</f>
        <v>76</v>
      </c>
    </row>
    <row r="181" spans="1:20" x14ac:dyDescent="0.25">
      <c r="A181" t="str">
        <f>_xll.BDP("64986DDE Muni","ID_CUSIP")</f>
        <v>64986DDE2</v>
      </c>
      <c r="B181" t="s">
        <v>22</v>
      </c>
      <c r="C181" t="str">
        <f>_xll.BDP("64986DDE Muni","INSURANCE_STATUS")</f>
        <v>N</v>
      </c>
      <c r="D181" t="str">
        <f>_xll.BDP("64986DDE Muni","STATE_CODE")</f>
        <v>NY</v>
      </c>
      <c r="E181" t="str">
        <f>_xll.BDP("64986DDE Muni","COUNTY_LOCATION_ISSUER")</f>
        <v>Albany, NY</v>
      </c>
      <c r="F181">
        <f>_xll.BDP("64986DDE Muni","DUR_ADJ_MID")</f>
        <v>0.85246004253208152</v>
      </c>
      <c r="G181">
        <f>_xll.BDP("64986DDE Muni","SPREAD_AT_ISSUANCE_TO_WORST")</f>
        <v>6.3188705040316373</v>
      </c>
      <c r="H181" t="str">
        <f>_xll.BDP("64986DDE Muni","ISSUE_DT")</f>
        <v>4/13/2017</v>
      </c>
      <c r="I181" t="str">
        <f>_xll.BDS("64986DDE Muni","MUNI_PURPOSE_SCHED", "aggregate=y")</f>
        <v>WATER UTILITY IMPS. CURRENT REFUNDING GREEN PURPOSE</v>
      </c>
      <c r="J181">
        <f>_xll.BDP("64986DDE Muni","CPN")</f>
        <v>5</v>
      </c>
      <c r="K181" t="str">
        <f>_xll.BDP("64986DDE Muni","MATURITY")</f>
        <v>6/15/2023</v>
      </c>
      <c r="L181">
        <v>20865000</v>
      </c>
      <c r="M181">
        <f>_xll.BDP("64986DDE Muni","YIELD_ON_ISSUE_DATE")</f>
        <v>1.92</v>
      </c>
      <c r="N181">
        <f>_xll.BDP("64986DDE Muni","YTW_SPREAD_TO_MATURITY_AT_ISSU")</f>
        <v>6.3188705040316373</v>
      </c>
      <c r="O181" t="str">
        <f>_xll.BDP("64986DDE Muni","BVAL_MID_YTM")</f>
        <v>#N/A Authorization</v>
      </c>
      <c r="P181" t="str">
        <f>_xll.BDP("64986DDE Muni","MUNI_TAX_PROV")</f>
        <v>FED &amp; ST TAX-EXEMPT</v>
      </c>
      <c r="Q181" t="str">
        <f>_xll.BDP("64986DDE Muni","MUNI_FED_TAX")</f>
        <v>N</v>
      </c>
      <c r="R181">
        <f>_xll.BDP("64986DDE Muni","MUNI_MSRB_VOLUME")</f>
        <v>65000</v>
      </c>
      <c r="S181" t="str">
        <f>_xll.BDP("64986DDE Muni","BB_COMPOSITE")</f>
        <v>AAA</v>
      </c>
      <c r="T181">
        <f>_xll.BDP("64986DDE Muni","LQA_LIQUIDITY_SCORE")</f>
        <v>95</v>
      </c>
    </row>
    <row r="182" spans="1:20" x14ac:dyDescent="0.25">
      <c r="A182" t="str">
        <f>_xll.BDP("64986DFB Muni","ID_CUSIP")</f>
        <v>64986DFB6</v>
      </c>
      <c r="B182" t="s">
        <v>22</v>
      </c>
      <c r="C182" t="str">
        <f>_xll.BDP("64986DFB Muni","INSURANCE_STATUS")</f>
        <v>N</v>
      </c>
      <c r="D182" t="str">
        <f>_xll.BDP("64986DFB Muni","STATE_CODE")</f>
        <v>NY</v>
      </c>
      <c r="E182" t="str">
        <f>_xll.BDP("64986DFB Muni","COUNTY_LOCATION_ISSUER")</f>
        <v>Albany, NY</v>
      </c>
      <c r="F182">
        <f>_xll.BDP("64986DFB Muni","DUR_ADJ_MID")</f>
        <v>1.7867870666276986</v>
      </c>
      <c r="G182">
        <f>_xll.BDP("64986DFB Muni","SPREAD_AT_ISSUANCE_TO_WORST")</f>
        <v>-3.8778082191792684E-2</v>
      </c>
      <c r="H182" t="str">
        <f>_xll.BDP("64986DFB Muni","ISSUE_DT")</f>
        <v>12/14/2017</v>
      </c>
      <c r="I182" t="str">
        <f>_xll.BDS("64986DFB Muni","MUNI_PURPOSE_SCHED", "aggregate=y")</f>
        <v>WATER UTILITY IMPS. GREEN PURPOSE</v>
      </c>
      <c r="J182">
        <f>_xll.BDP("64986DFB Muni","CPN")</f>
        <v>5</v>
      </c>
      <c r="K182" t="str">
        <f>_xll.BDP("64986DFB Muni","MATURITY")</f>
        <v>6/15/2024</v>
      </c>
      <c r="L182">
        <v>6880000</v>
      </c>
      <c r="M182">
        <f>_xll.BDP("64986DFB Muni","YIELD_ON_ISSUE_DATE")</f>
        <v>1.8800000000000001</v>
      </c>
      <c r="N182">
        <f>_xll.BDP("64986DFB Muni","YTW_SPREAD_TO_MATURITY_AT_ISSU")</f>
        <v>-3.8778082191792684E-2</v>
      </c>
      <c r="O182" t="str">
        <f>_xll.BDP("64986DFB Muni","BVAL_MID_YTM")</f>
        <v>#N/A Authorization</v>
      </c>
      <c r="P182" t="str">
        <f>_xll.BDP("64986DFB Muni","MUNI_TAX_PROV")</f>
        <v>FED &amp; ST TAX-EXEMPT</v>
      </c>
      <c r="Q182" t="str">
        <f>_xll.BDP("64986DFB Muni","MUNI_FED_TAX")</f>
        <v>N</v>
      </c>
      <c r="R182">
        <f>_xll.BDP("64986DFB Muni","MUNI_MSRB_VOLUME")</f>
        <v>50000</v>
      </c>
      <c r="S182" t="str">
        <f>_xll.BDP("64986DFB Muni","BB_COMPOSITE")</f>
        <v>AAA</v>
      </c>
      <c r="T182">
        <f>_xll.BDP("64986DFB Muni","LQA_LIQUIDITY_SCORE")</f>
        <v>87</v>
      </c>
    </row>
    <row r="183" spans="1:20" x14ac:dyDescent="0.25">
      <c r="A183" t="str">
        <f>_xll.BDP("66041HGH Muni","ID_CUSIP")</f>
        <v>66041HGH1</v>
      </c>
      <c r="B183" t="s">
        <v>122</v>
      </c>
      <c r="C183" t="str">
        <f>_xll.BDP("66041HGH Muni","INSURANCE_STATUS")</f>
        <v>N</v>
      </c>
      <c r="D183" t="str">
        <f>_xll.BDP("66041HGH Muni","STATE_CODE")</f>
        <v>NV</v>
      </c>
      <c r="E183" t="str">
        <f>_xll.BDP("66041HGH Muni","COUNTY_LOCATION_ISSUER")</f>
        <v>Clark, NV</v>
      </c>
      <c r="F183">
        <f>_xll.BDP("66041HGH Muni","DUR_ADJ_MID")</f>
        <v>0.32829100866158434</v>
      </c>
      <c r="G183">
        <f>_xll.BDP("66041HGH Muni","SPREAD_AT_ISSUANCE_TO_WORST")</f>
        <v>204.72986849315066</v>
      </c>
      <c r="H183" t="str">
        <f>_xll.BDP("66041HGH Muni","ISSUE_DT")</f>
        <v>12/6/2017</v>
      </c>
      <c r="I183" t="str">
        <f>_xll.BDS("66041HGH Muni","MUNI_PURPOSE_SCHED", "aggregate=y")</f>
        <v>SEWER IMPS. PUBLIC IMPS. WATER UTILITY IMPS.</v>
      </c>
      <c r="J183">
        <f>_xll.BDP("66041HGH Muni","CPN")</f>
        <v>3.25</v>
      </c>
      <c r="K183" t="str">
        <f>_xll.BDP("66041HGH Muni","MATURITY")</f>
        <v>12/1/2022</v>
      </c>
      <c r="L183">
        <v>615000</v>
      </c>
      <c r="M183">
        <f>_xll.BDP("66041HGH Muni","YIELD_ON_ISSUE_DATE")</f>
        <v>3.58</v>
      </c>
      <c r="N183">
        <f>_xll.BDP("66041HGH Muni","YTW_SPREAD_TO_MATURITY_AT_ISSU")</f>
        <v>204.72986849315066</v>
      </c>
      <c r="O183" t="str">
        <f>_xll.BDP("66041HGH Muni","BVAL_MID_YTM")</f>
        <v>#N/A Authorization</v>
      </c>
      <c r="P183" t="str">
        <f>_xll.BDP("66041HGH Muni","MUNI_TAX_PROV")</f>
        <v>FED &amp; ST TAX-EXEMPT</v>
      </c>
      <c r="Q183" t="str">
        <f>_xll.BDP("66041HGH Muni","MUNI_FED_TAX")</f>
        <v>N</v>
      </c>
      <c r="R183" t="str">
        <f>_xll.BDP("66041HGH Muni","MUNI_MSRB_VOLUME")</f>
        <v>#N/A N/A</v>
      </c>
      <c r="S183" t="str">
        <f>_xll.BDP("66041HGH Muni","BB_COMPOSITE")</f>
        <v>#N/A N/A</v>
      </c>
      <c r="T183">
        <f>_xll.BDP("66041HGH Muni","LQA_LIQUIDITY_SCORE")</f>
        <v>96</v>
      </c>
    </row>
    <row r="184" spans="1:20" x14ac:dyDescent="0.25">
      <c r="A184" t="str">
        <f>_xll.BDP("954736HT Muni","ID_CUSIP")</f>
        <v>954736HT4</v>
      </c>
      <c r="B184" t="s">
        <v>123</v>
      </c>
      <c r="C184" t="str">
        <f>_xll.BDP("954736HT Muni","INSURANCE_STATUS")</f>
        <v>N</v>
      </c>
      <c r="D184" t="str">
        <f>_xll.BDP("954736HT Muni","STATE_CODE")</f>
        <v>MA</v>
      </c>
      <c r="E184" t="str">
        <f>_xll.BDP("954736HT Muni","COUNTY_LOCATION_ISSUER")</f>
        <v>Essex, MA</v>
      </c>
      <c r="F184">
        <f>_xll.BDP("954736HT Muni","DUR_ADJ_MID")</f>
        <v>0.1193325486467537</v>
      </c>
      <c r="G184">
        <f>_xll.BDP("954736HT Muni","SPREAD_AT_ISSUANCE_TO_WORST")</f>
        <v>8.7416556332707618</v>
      </c>
      <c r="H184" t="str">
        <f>_xll.BDP("954736HT Muni","ISSUE_DT")</f>
        <v>9/28/2017</v>
      </c>
      <c r="I184" t="str">
        <f>_xll.BDS("954736HT Muni","MUNI_PURPOSE_SCHED", "aggregate=y")</f>
        <v>WATER UTILITY IMPS.</v>
      </c>
      <c r="J184">
        <f>_xll.BDP("954736HT Muni","CPN")</f>
        <v>5</v>
      </c>
      <c r="K184" t="str">
        <f>_xll.BDP("954736HT Muni","MATURITY")</f>
        <v>9/15/2022</v>
      </c>
      <c r="L184">
        <v>35000</v>
      </c>
      <c r="M184">
        <f>_xll.BDP("954736HT Muni","YIELD_ON_ISSUE_DATE")</f>
        <v>1.25</v>
      </c>
      <c r="N184">
        <f>_xll.BDP("954736HT Muni","YTW_SPREAD_TO_MATURITY_AT_ISSU")</f>
        <v>8.7416556332707618</v>
      </c>
      <c r="O184" t="str">
        <f>_xll.BDP("954736HT Muni","BVAL_MID_YTM")</f>
        <v>#N/A Authorization</v>
      </c>
      <c r="P184" t="str">
        <f>_xll.BDP("954736HT Muni","MUNI_TAX_PROV")</f>
        <v>FED BQ/ST TAX-EXEMPT</v>
      </c>
      <c r="Q184" t="str">
        <f>_xll.BDP("954736HT Muni","MUNI_FED_TAX")</f>
        <v>N</v>
      </c>
      <c r="R184" t="str">
        <f>_xll.BDP("954736HT Muni","MUNI_MSRB_VOLUME")</f>
        <v>#N/A N/A</v>
      </c>
      <c r="S184" t="str">
        <f>_xll.BDP("954736HT Muni","BB_COMPOSITE")</f>
        <v>#N/A N/A</v>
      </c>
      <c r="T184">
        <f>_xll.BDP("954736HT Muni","LQA_LIQUIDITY_SCORE")</f>
        <v>96</v>
      </c>
    </row>
    <row r="185" spans="1:20" x14ac:dyDescent="0.25">
      <c r="A185" t="str">
        <f>_xll.BDP("943521PH Muni","ID_CUSIP")</f>
        <v>943521PH1</v>
      </c>
      <c r="B185" t="s">
        <v>124</v>
      </c>
      <c r="C185" t="str">
        <f>_xll.BDP("943521PH Muni","INSURANCE_STATUS")</f>
        <v>N</v>
      </c>
      <c r="D185" t="str">
        <f>_xll.BDP("943521PH Muni","STATE_CODE")</f>
        <v>WI</v>
      </c>
      <c r="E185" t="str">
        <f>_xll.BDP("943521PH Muni","COUNTY_LOCATION_ISSUER")</f>
        <v>Milwaukee, WI</v>
      </c>
      <c r="F185">
        <f>_xll.BDP("943521PH Muni","DUR_ADJ_MID")</f>
        <v>0.41208320586235925</v>
      </c>
      <c r="G185">
        <f>_xll.BDP("943521PH Muni","SPREAD_AT_ISSUANCE_TO_WORST")</f>
        <v>26.979468493150669</v>
      </c>
      <c r="H185" t="str">
        <f>_xll.BDP("943521PH Muni","ISSUE_DT")</f>
        <v>11/3/2017</v>
      </c>
      <c r="I185" t="str">
        <f>_xll.BDS("943521PH Muni","MUNI_PURPOSE_SCHED", "aggregate=y")</f>
        <v>WATER UTILITY IMPS.</v>
      </c>
      <c r="J185">
        <f>_xll.BDP("943521PH Muni","CPN")</f>
        <v>3</v>
      </c>
      <c r="K185" t="str">
        <f>_xll.BDP("943521PH Muni","MATURITY")</f>
        <v>1/1/2023</v>
      </c>
      <c r="L185">
        <v>125000</v>
      </c>
      <c r="M185">
        <f>_xll.BDP("943521PH Muni","YIELD_ON_ISSUE_DATE")</f>
        <v>1.6500000000000001</v>
      </c>
      <c r="N185">
        <f>_xll.BDP("943521PH Muni","YTW_SPREAD_TO_MATURITY_AT_ISSU")</f>
        <v>26.979468493150669</v>
      </c>
      <c r="O185" t="str">
        <f>_xll.BDP("943521PH Muni","BVAL_MID_YTM")</f>
        <v>#N/A Authorization</v>
      </c>
      <c r="P185" t="str">
        <f>_xll.BDP("943521PH Muni","MUNI_TAX_PROV")</f>
        <v>FED TAX-EXEMPT/ST TAXABLE</v>
      </c>
      <c r="Q185" t="str">
        <f>_xll.BDP("943521PH Muni","MUNI_FED_TAX")</f>
        <v>N</v>
      </c>
      <c r="R185">
        <f>_xll.BDP("943521PH Muni","MUNI_MSRB_VOLUME")</f>
        <v>100000</v>
      </c>
      <c r="S185" t="str">
        <f>_xll.BDP("943521PH Muni","BB_COMPOSITE")</f>
        <v>#N/A N/A</v>
      </c>
      <c r="T185">
        <f>_xll.BDP("943521PH Muni","LQA_LIQUIDITY_SCORE")</f>
        <v>92</v>
      </c>
    </row>
    <row r="186" spans="1:20" x14ac:dyDescent="0.25">
      <c r="A186" t="str">
        <f>_xll.BDP("89657PHC Muni","ID_CUSIP")</f>
        <v>89657PHC0</v>
      </c>
      <c r="B186" t="s">
        <v>125</v>
      </c>
      <c r="C186" t="str">
        <f>_xll.BDP("89657PHC Muni","INSURANCE_STATUS")</f>
        <v>N</v>
      </c>
      <c r="D186" t="str">
        <f>_xll.BDP("89657PHC Muni","STATE_CODE")</f>
        <v>TX</v>
      </c>
      <c r="E186" t="str">
        <f>_xll.BDP("89657PHC Muni","COUNTY_LOCATION_ISSUER")</f>
        <v>Tarrant, TX</v>
      </c>
      <c r="F186">
        <f>_xll.BDP("89657PHC Muni","DUR_ADJ_MID")</f>
        <v>2.3623691588027471</v>
      </c>
      <c r="G186">
        <f>_xll.BDP("89657PHC Muni","SPREAD_AT_ISSUANCE_TO_WORST")</f>
        <v>17.73116092417839</v>
      </c>
      <c r="H186" t="str">
        <f>_xll.BDP("89657PHC Muni","ISSUE_DT")</f>
        <v>7/1/2017</v>
      </c>
      <c r="I186" t="str">
        <f>_xll.BDS("89657PHC Muni","MUNI_PURPOSE_SCHED", "aggregate=y")</f>
        <v>WATER UTILITY IMPS. SEWER IMPS.</v>
      </c>
      <c r="J186">
        <f>_xll.BDP("89657PHC Muni","CPN")</f>
        <v>5</v>
      </c>
      <c r="K186" t="str">
        <f>_xll.BDP("89657PHC Muni","MATURITY")</f>
        <v>2/1/2025</v>
      </c>
      <c r="L186">
        <v>840000</v>
      </c>
      <c r="M186">
        <f>_xll.BDP("89657PHC Muni","YIELD_ON_ISSUE_DATE")</f>
        <v>1.78</v>
      </c>
      <c r="N186">
        <f>_xll.BDP("89657PHC Muni","YTW_SPREAD_TO_MATURITY_AT_ISSU")</f>
        <v>17.73116092417839</v>
      </c>
      <c r="O186" t="str">
        <f>_xll.BDP("89657PHC Muni","BVAL_MID_YTM")</f>
        <v>#N/A Authorization</v>
      </c>
      <c r="P186" t="str">
        <f>_xll.BDP("89657PHC Muni","MUNI_TAX_PROV")</f>
        <v>FED TAX-EXEMPT</v>
      </c>
      <c r="Q186" t="str">
        <f>_xll.BDP("89657PHC Muni","MUNI_FED_TAX")</f>
        <v>N</v>
      </c>
      <c r="R186">
        <f>_xll.BDP("89657PHC Muni","MUNI_MSRB_VOLUME")</f>
        <v>20000</v>
      </c>
      <c r="S186" t="str">
        <f>_xll.BDP("89657PHC Muni","BB_COMPOSITE")</f>
        <v>#N/A N/A</v>
      </c>
      <c r="T186">
        <f>_xll.BDP("89657PHC Muni","LQA_LIQUIDITY_SCORE")</f>
        <v>79</v>
      </c>
    </row>
    <row r="187" spans="1:20" x14ac:dyDescent="0.25">
      <c r="A187" t="str">
        <f>_xll.BDP("89658HUS Muni","ID_CUSIP")</f>
        <v>89658HUS7</v>
      </c>
      <c r="B187" t="s">
        <v>33</v>
      </c>
      <c r="C187" t="str">
        <f>_xll.BDP("89658HUS Muni","INSURANCE_STATUS")</f>
        <v>N</v>
      </c>
      <c r="D187" t="str">
        <f>_xll.BDP("89658HUS Muni","STATE_CODE")</f>
        <v>TX</v>
      </c>
      <c r="E187" t="str">
        <f>_xll.BDP("89658HUS Muni","COUNTY_LOCATION_ISSUER")</f>
        <v>Tarrant, TX</v>
      </c>
      <c r="F187">
        <f>_xll.BDP("89658HUS Muni","DUR_ADJ_MID")</f>
        <v>0.97865068427168622</v>
      </c>
      <c r="G187">
        <f>_xll.BDP("89658HUS Muni","SPREAD_AT_ISSUANCE_TO_WORST")</f>
        <v>7.632274598331179</v>
      </c>
      <c r="H187" t="str">
        <f>_xll.BDP("89658HUS Muni","ISSUE_DT")</f>
        <v>5/1/2017</v>
      </c>
      <c r="I187" t="str">
        <f>_xll.BDS("89658HUS Muni","MUNI_PURPOSE_SCHED", "aggregate=y")</f>
        <v>ADVANCE REFUNDING WATER UTILITY IMPS. SEWER IMPS.</v>
      </c>
      <c r="J187">
        <f>_xll.BDP("89658HUS Muni","CPN")</f>
        <v>5</v>
      </c>
      <c r="K187" t="str">
        <f>_xll.BDP("89658HUS Muni","MATURITY")</f>
        <v>8/1/2023</v>
      </c>
      <c r="L187">
        <v>5475000</v>
      </c>
      <c r="M187">
        <f>_xll.BDP("89658HUS Muni","YIELD_ON_ISSUE_DATE")</f>
        <v>1.69</v>
      </c>
      <c r="N187">
        <f>_xll.BDP("89658HUS Muni","YTW_SPREAD_TO_MATURITY_AT_ISSU")</f>
        <v>7.632274598331179</v>
      </c>
      <c r="O187" t="str">
        <f>_xll.BDP("89658HUS Muni","BVAL_MID_YTM")</f>
        <v>#N/A Authorization</v>
      </c>
      <c r="P187" t="str">
        <f>_xll.BDP("89658HUS Muni","MUNI_TAX_PROV")</f>
        <v>FED TAX-EXEMPT</v>
      </c>
      <c r="Q187" t="str">
        <f>_xll.BDP("89658HUS Muni","MUNI_FED_TAX")</f>
        <v>N</v>
      </c>
      <c r="R187">
        <f>_xll.BDP("89658HUS Muni","MUNI_MSRB_VOLUME")</f>
        <v>40000</v>
      </c>
      <c r="S187" t="str">
        <f>_xll.BDP("89658HUS Muni","BB_COMPOSITE")</f>
        <v>AAA</v>
      </c>
      <c r="T187">
        <f>_xll.BDP("89658HUS Muni","LQA_LIQUIDITY_SCORE")</f>
        <v>97</v>
      </c>
    </row>
    <row r="188" spans="1:20" x14ac:dyDescent="0.25">
      <c r="A188" t="str">
        <f>_xll.BDP("76222RUZ Muni","ID_CUSIP")</f>
        <v>76222RUZ3</v>
      </c>
      <c r="B188" t="s">
        <v>42</v>
      </c>
      <c r="C188" t="str">
        <f>_xll.BDP("76222RUZ Muni","INSURANCE_STATUS")</f>
        <v>N</v>
      </c>
      <c r="D188" t="str">
        <f>_xll.BDP("76222RUZ Muni","STATE_CODE")</f>
        <v>RI</v>
      </c>
      <c r="E188" t="str">
        <f>_xll.BDP("76222RUZ Muni","COUNTY_LOCATION_ISSUER")</f>
        <v>Providence, RI</v>
      </c>
      <c r="F188">
        <f>_xll.BDP("76222RUZ Muni","DUR_ADJ_MID")</f>
        <v>1.6646405594674549</v>
      </c>
      <c r="G188">
        <f>_xll.BDP("76222RUZ Muni","SPREAD_AT_ISSUANCE_TO_WORST")</f>
        <v>20.228518856148114</v>
      </c>
      <c r="H188" t="str">
        <f>_xll.BDP("76222RUZ Muni","ISSUE_DT")</f>
        <v>5/9/2017</v>
      </c>
      <c r="I188" t="str">
        <f>_xll.BDS("76222RUZ Muni","MUNI_PURPOSE_SCHED", "aggregate=y")</f>
        <v>HOUSING UNIV. &amp; COLLEGE IMPS. WATER UTILITY IMPS.</v>
      </c>
      <c r="J188">
        <f>_xll.BDP("76222RUZ Muni","CPN")</f>
        <v>5</v>
      </c>
      <c r="K188" t="str">
        <f>_xll.BDP("76222RUZ Muni","MATURITY")</f>
        <v>5/1/2024</v>
      </c>
      <c r="L188">
        <v>3790000</v>
      </c>
      <c r="M188">
        <f>_xll.BDP("76222RUZ Muni","YIELD_ON_ISSUE_DATE")</f>
        <v>1.8900000000000001</v>
      </c>
      <c r="N188">
        <f>_xll.BDP("76222RUZ Muni","YTW_SPREAD_TO_MATURITY_AT_ISSU")</f>
        <v>20.228518856148114</v>
      </c>
      <c r="O188" t="str">
        <f>_xll.BDP("76222RUZ Muni","BVAL_MID_YTM")</f>
        <v>#N/A Authorization</v>
      </c>
      <c r="P188" t="str">
        <f>_xll.BDP("76222RUZ Muni","MUNI_TAX_PROV")</f>
        <v>FED &amp; ST TAX-EXEMPT</v>
      </c>
      <c r="Q188" t="str">
        <f>_xll.BDP("76222RUZ Muni","MUNI_FED_TAX")</f>
        <v>N</v>
      </c>
      <c r="R188">
        <f>_xll.BDP("76222RUZ Muni","MUNI_MSRB_VOLUME")</f>
        <v>10000</v>
      </c>
      <c r="S188" t="str">
        <f>_xll.BDP("76222RUZ Muni","BB_COMPOSITE")</f>
        <v>AA</v>
      </c>
      <c r="T188">
        <f>_xll.BDP("76222RUZ Muni","LQA_LIQUIDITY_SCORE")</f>
        <v>81</v>
      </c>
    </row>
    <row r="189" spans="1:20" x14ac:dyDescent="0.25">
      <c r="A189" t="str">
        <f>_xll.BDP("940197AG Muni","ID_CUSIP")</f>
        <v>940197AG1</v>
      </c>
      <c r="B189" t="s">
        <v>126</v>
      </c>
      <c r="C189" t="str">
        <f>_xll.BDP("940197AG Muni","INSURANCE_STATUS")</f>
        <v>N</v>
      </c>
      <c r="D189" t="str">
        <f>_xll.BDP("940197AG Muni","STATE_CODE")</f>
        <v>UT</v>
      </c>
      <c r="E189" t="str">
        <f>_xll.BDP("940197AG Muni","COUNTY_LOCATION_ISSUER")</f>
        <v>Weber, UT</v>
      </c>
      <c r="F189">
        <f>_xll.BDP("940197AG Muni","DUR_ADJ_MID")</f>
        <v>1.7595471850289623</v>
      </c>
      <c r="G189">
        <f>_xll.BDP("940197AG Muni","SPREAD_AT_ISSUANCE_TO_WORST")</f>
        <v>7.7504475822137264</v>
      </c>
      <c r="H189" t="str">
        <f>_xll.BDP("940197AG Muni","ISSUE_DT")</f>
        <v>1/26/2017</v>
      </c>
      <c r="I189" t="str">
        <f>_xll.BDS("940197AG Muni","MUNI_PURPOSE_SCHED", "aggregate=y")</f>
        <v>WATER UTILITY IMPS. SEWER IMPS.</v>
      </c>
      <c r="J189">
        <f>_xll.BDP("940197AG Muni","CPN")</f>
        <v>4</v>
      </c>
      <c r="K189" t="str">
        <f>_xll.BDP("940197AG Muni","MATURITY")</f>
        <v>6/1/2024</v>
      </c>
      <c r="L189">
        <v>205000</v>
      </c>
      <c r="M189">
        <f>_xll.BDP("940197AG Muni","YIELD_ON_ISSUE_DATE")</f>
        <v>2</v>
      </c>
      <c r="N189">
        <f>_xll.BDP("940197AG Muni","YTW_SPREAD_TO_MATURITY_AT_ISSU")</f>
        <v>7.7504475822137264</v>
      </c>
      <c r="O189" t="str">
        <f>_xll.BDP("940197AG Muni","BVAL_MID_YTM")</f>
        <v>#N/A Authorization</v>
      </c>
      <c r="P189" t="str">
        <f>_xll.BDP("940197AG Muni","MUNI_TAX_PROV")</f>
        <v>FED BQ/ST TAX-EXEMPT</v>
      </c>
      <c r="Q189" t="str">
        <f>_xll.BDP("940197AG Muni","MUNI_FED_TAX")</f>
        <v>N</v>
      </c>
      <c r="R189" t="str">
        <f>_xll.BDP("940197AG Muni","MUNI_MSRB_VOLUME")</f>
        <v>#N/A N/A</v>
      </c>
      <c r="S189" t="str">
        <f>_xll.BDP("940197AG Muni","BB_COMPOSITE")</f>
        <v>#N/A N/A</v>
      </c>
      <c r="T189">
        <f>_xll.BDP("940197AG Muni","LQA_LIQUIDITY_SCORE")</f>
        <v>86</v>
      </c>
    </row>
    <row r="190" spans="1:20" x14ac:dyDescent="0.25">
      <c r="A190" t="str">
        <f>_xll.BDP("801889PW Muni","ID_CUSIP")</f>
        <v>801889PW0</v>
      </c>
      <c r="B190" t="s">
        <v>127</v>
      </c>
      <c r="C190" t="str">
        <f>_xll.BDP("801889PW Muni","INSURANCE_STATUS")</f>
        <v>N</v>
      </c>
      <c r="D190" t="str">
        <f>_xll.BDP("801889PW Muni","STATE_CODE")</f>
        <v>NM</v>
      </c>
      <c r="E190" t="str">
        <f>_xll.BDP("801889PW Muni","COUNTY_LOCATION_ISSUER")</f>
        <v>Santa Fe, NM</v>
      </c>
      <c r="F190">
        <f>_xll.BDP("801889PW Muni","DUR_ADJ_MID")</f>
        <v>0.89668386640233255</v>
      </c>
      <c r="G190">
        <f>_xll.BDP("801889PW Muni","SPREAD_AT_ISSUANCE_TO_WORST")</f>
        <v>7.3099027728364518</v>
      </c>
      <c r="H190" t="str">
        <f>_xll.BDP("801889PW Muni","ISSUE_DT")</f>
        <v>9/12/2017</v>
      </c>
      <c r="I190" t="str">
        <f>_xll.BDS("801889PW Muni","MUNI_PURPOSE_SCHED", "aggregate=y")</f>
        <v>PUBLIC IMPS. WATER UTILITY IMPS. ADVANCE REFUNDING</v>
      </c>
      <c r="J190">
        <f>_xll.BDP("801889PW Muni","CPN")</f>
        <v>5</v>
      </c>
      <c r="K190" t="str">
        <f>_xll.BDP("801889PW Muni","MATURITY")</f>
        <v>7/1/2023</v>
      </c>
      <c r="L190">
        <v>1910000</v>
      </c>
      <c r="M190">
        <f>_xll.BDP("801889PW Muni","YIELD_ON_ISSUE_DATE")</f>
        <v>1.37</v>
      </c>
      <c r="N190">
        <f>_xll.BDP("801889PW Muni","YTW_SPREAD_TO_MATURITY_AT_ISSU")</f>
        <v>7.3099027728364518</v>
      </c>
      <c r="O190" t="str">
        <f>_xll.BDP("801889PW Muni","BVAL_MID_YTM")</f>
        <v>#N/A Authorization</v>
      </c>
      <c r="P190" t="str">
        <f>_xll.BDP("801889PW Muni","MUNI_TAX_PROV")</f>
        <v>FED &amp; ST TAX-EXEMPT</v>
      </c>
      <c r="Q190" t="str">
        <f>_xll.BDP("801889PW Muni","MUNI_FED_TAX")</f>
        <v>N</v>
      </c>
      <c r="R190" t="str">
        <f>_xll.BDP("801889PW Muni","MUNI_MSRB_VOLUME")</f>
        <v>#N/A N/A</v>
      </c>
      <c r="S190" t="str">
        <f>_xll.BDP("801889PW Muni","BB_COMPOSITE")</f>
        <v>#N/A N/A</v>
      </c>
      <c r="T190">
        <f>_xll.BDP("801889PW Muni","LQA_LIQUIDITY_SCORE")</f>
        <v>96</v>
      </c>
    </row>
    <row r="191" spans="1:20" x14ac:dyDescent="0.25">
      <c r="A191" t="str">
        <f>_xll.BDP("086419DU Muni","ID_CUSIP")</f>
        <v>086419DU9</v>
      </c>
      <c r="B191" t="s">
        <v>128</v>
      </c>
      <c r="C191" t="str">
        <f>_xll.BDP("086419DU Muni","INSURANCE_STATUS")</f>
        <v>Y</v>
      </c>
      <c r="D191" t="str">
        <f>_xll.BDP("086419DU Muni","STATE_CODE")</f>
        <v>AL</v>
      </c>
      <c r="E191" t="str">
        <f>_xll.BDP("086419DU Muni","COUNTY_LOCATION_ISSUER")</f>
        <v>Jefferson, AL</v>
      </c>
      <c r="F191">
        <f>_xll.BDP("086419DU Muni","DUR_ADJ_MID")</f>
        <v>3.9846101596562353</v>
      </c>
      <c r="G191">
        <f>_xll.BDP("086419DU Muni","SPREAD_AT_ISSUANCE_TO_WORST")</f>
        <v>71.885123287671249</v>
      </c>
      <c r="H191" t="str">
        <f>_xll.BDP("086419DU Muni","ISSUE_DT")</f>
        <v>12/28/2017</v>
      </c>
      <c r="I191" t="str">
        <f>_xll.BDS("086419DU Muni","MUNI_PURPOSE_SCHED", "aggregate=y")</f>
        <v>WATER UTILITY IMPS. CURRENT REFUNDING</v>
      </c>
      <c r="J191">
        <f>_xll.BDP("086419DU Muni","CPN")</f>
        <v>5</v>
      </c>
      <c r="K191" t="str">
        <f>_xll.BDP("086419DU Muni","MATURITY")</f>
        <v>1/1/2027</v>
      </c>
      <c r="L191">
        <v>690000</v>
      </c>
      <c r="M191">
        <f>_xll.BDP("086419DU Muni","YIELD_ON_ISSUE_DATE")</f>
        <v>2.72</v>
      </c>
      <c r="N191">
        <f>_xll.BDP("086419DU Muni","YTW_SPREAD_TO_MATURITY_AT_ISSU")</f>
        <v>71.885123287671249</v>
      </c>
      <c r="O191" t="str">
        <f>_xll.BDP("086419DU Muni","BVAL_MID_YTM")</f>
        <v>#N/A Authorization</v>
      </c>
      <c r="P191" t="str">
        <f>_xll.BDP("086419DU Muni","MUNI_TAX_PROV")</f>
        <v>FED &amp; ST TAX-EXEMPT</v>
      </c>
      <c r="Q191" t="str">
        <f>_xll.BDP("086419DU Muni","MUNI_FED_TAX")</f>
        <v>N</v>
      </c>
      <c r="R191">
        <f>_xll.BDP("086419DU Muni","MUNI_MSRB_VOLUME")</f>
        <v>100000</v>
      </c>
      <c r="S191" t="str">
        <f>_xll.BDP("086419DU Muni","BB_COMPOSITE")</f>
        <v>#N/A N/A</v>
      </c>
      <c r="T191">
        <f>_xll.BDP("086419DU Muni","LQA_LIQUIDITY_SCORE")</f>
        <v>68</v>
      </c>
    </row>
    <row r="192" spans="1:20" x14ac:dyDescent="0.25">
      <c r="A192" t="str">
        <f>_xll.BDP("074561NY Muni","ID_CUSIP")</f>
        <v>074561NY3</v>
      </c>
      <c r="B192" t="s">
        <v>129</v>
      </c>
      <c r="C192" t="str">
        <f>_xll.BDP("074561NY Muni","INSURANCE_STATUS")</f>
        <v>Y</v>
      </c>
      <c r="D192" t="str">
        <f>_xll.BDP("074561NY Muni","STATE_CODE")</f>
        <v>TX</v>
      </c>
      <c r="E192" t="str">
        <f>_xll.BDP("074561NY Muni","COUNTY_LOCATION_ISSUER")</f>
        <v>Jefferson, TX</v>
      </c>
      <c r="F192">
        <f>_xll.BDP("074561NY Muni","DUR_ADJ_MID")</f>
        <v>8.0459849447292398E-2</v>
      </c>
      <c r="G192">
        <f>_xll.BDP("074561NY Muni","SPREAD_AT_ISSUANCE_TO_WORST")</f>
        <v>38.636047243272564</v>
      </c>
      <c r="H192" t="str">
        <f>_xll.BDP("074561NY Muni","ISSUE_DT")</f>
        <v>5/1/2017</v>
      </c>
      <c r="I192" t="str">
        <f>_xll.BDS("074561NY Muni","MUNI_PURPOSE_SCHED", "aggregate=y")</f>
        <v>WATER UTILITY IMPS. SEWER IMPS.</v>
      </c>
      <c r="J192">
        <f>_xll.BDP("074561NY Muni","CPN")</f>
        <v>5</v>
      </c>
      <c r="K192" t="str">
        <f>_xll.BDP("074561NY Muni","MATURITY")</f>
        <v>9/1/2022</v>
      </c>
      <c r="L192">
        <v>680000</v>
      </c>
      <c r="M192">
        <f>_xll.BDP("074561NY Muni","YIELD_ON_ISSUE_DATE")</f>
        <v>1.85</v>
      </c>
      <c r="N192">
        <f>_xll.BDP("074561NY Muni","YTW_SPREAD_TO_MATURITY_AT_ISSU")</f>
        <v>38.636047243272564</v>
      </c>
      <c r="O192" t="str">
        <f>_xll.BDP("074561NY Muni","BVAL_MID_YTM")</f>
        <v>#N/A Authorization</v>
      </c>
      <c r="P192" t="str">
        <f>_xll.BDP("074561NY Muni","MUNI_TAX_PROV")</f>
        <v>FED TAX-EXEMPT</v>
      </c>
      <c r="Q192" t="str">
        <f>_xll.BDP("074561NY Muni","MUNI_FED_TAX")</f>
        <v>N</v>
      </c>
      <c r="R192">
        <f>_xll.BDP("074561NY Muni","MUNI_MSRB_VOLUME")</f>
        <v>40000</v>
      </c>
      <c r="S192" t="str">
        <f>_xll.BDP("074561NY Muni","BB_COMPOSITE")</f>
        <v>AA-</v>
      </c>
      <c r="T192">
        <f>_xll.BDP("074561NY Muni","LQA_LIQUIDITY_SCORE")</f>
        <v>95</v>
      </c>
    </row>
    <row r="193" spans="1:20" x14ac:dyDescent="0.25">
      <c r="A193" t="str">
        <f>_xll.BDP("122458V5 Muni","ID_CUSIP")</f>
        <v>122458V58</v>
      </c>
      <c r="B193" t="s">
        <v>130</v>
      </c>
      <c r="C193" t="str">
        <f>_xll.BDP("122458V5 Muni","INSURANCE_STATUS")</f>
        <v>N</v>
      </c>
      <c r="D193" t="str">
        <f>_xll.BDP("122458V5 Muni","STATE_CODE")</f>
        <v>MN</v>
      </c>
      <c r="E193" t="str">
        <f>_xll.BDP("122458V5 Muni","COUNTY_LOCATION_ISSUER")</f>
        <v>Dakota, MN</v>
      </c>
      <c r="F193">
        <f>_xll.BDP("122458V5 Muni","DUR_ADJ_MID")</f>
        <v>1.3448795371495561</v>
      </c>
      <c r="G193">
        <f>_xll.BDP("122458V5 Muni","SPREAD_AT_ISSUANCE_TO_WORST")</f>
        <v>0.48800273972602337</v>
      </c>
      <c r="H193" t="str">
        <f>_xll.BDP("122458V5 Muni","ISSUE_DT")</f>
        <v>11/15/2017</v>
      </c>
      <c r="I193" t="str">
        <f>_xll.BDS("122458V5 Muni","MUNI_PURPOSE_SCHED", "aggregate=y")</f>
        <v>PUBLIC FACILITIES WATER UTILITY IMPS.</v>
      </c>
      <c r="J193">
        <f>_xll.BDP("122458V5 Muni","CPN")</f>
        <v>4</v>
      </c>
      <c r="K193" t="str">
        <f>_xll.BDP("122458V5 Muni","MATURITY")</f>
        <v>12/20/2023</v>
      </c>
      <c r="L193">
        <v>890000</v>
      </c>
      <c r="M193">
        <f>_xll.BDP("122458V5 Muni","YIELD_ON_ISSUE_DATE")</f>
        <v>1.51</v>
      </c>
      <c r="N193">
        <f>_xll.BDP("122458V5 Muni","YTW_SPREAD_TO_MATURITY_AT_ISSU")</f>
        <v>0.48800273972602337</v>
      </c>
      <c r="O193" t="str">
        <f>_xll.BDP("122458V5 Muni","BVAL_MID_YTM")</f>
        <v>#N/A Authorization</v>
      </c>
      <c r="P193" t="str">
        <f>_xll.BDP("122458V5 Muni","MUNI_TAX_PROV")</f>
        <v>FED &amp; ST TAX-EXEMPT</v>
      </c>
      <c r="Q193" t="str">
        <f>_xll.BDP("122458V5 Muni","MUNI_FED_TAX")</f>
        <v>N</v>
      </c>
      <c r="R193">
        <f>_xll.BDP("122458V5 Muni","MUNI_MSRB_VOLUME")</f>
        <v>75000</v>
      </c>
      <c r="S193" t="str">
        <f>_xll.BDP("122458V5 Muni","BB_COMPOSITE")</f>
        <v>#N/A N/A</v>
      </c>
      <c r="T193">
        <f>_xll.BDP("122458V5 Muni","LQA_LIQUIDITY_SCORE")</f>
        <v>88</v>
      </c>
    </row>
    <row r="194" spans="1:20" x14ac:dyDescent="0.25">
      <c r="A194" t="str">
        <f>_xll.BDP("24916PFU Muni","ID_CUSIP")</f>
        <v>24916PFU6</v>
      </c>
      <c r="B194" t="s">
        <v>96</v>
      </c>
      <c r="C194" t="str">
        <f>_xll.BDP("24916PFU Muni","INSURANCE_STATUS")</f>
        <v>N</v>
      </c>
      <c r="D194" t="str">
        <f>_xll.BDP("24916PFU Muni","STATE_CODE")</f>
        <v>CO</v>
      </c>
      <c r="E194" t="str">
        <f>_xll.BDP("24916PFU Muni","COUNTY_LOCATION_ISSUER")</f>
        <v>Denver, CO</v>
      </c>
      <c r="F194">
        <f>_xll.BDP("24916PFU Muni","DUR_ADJ_MID")</f>
        <v>2.0318479925375823</v>
      </c>
      <c r="G194">
        <f>_xll.BDP("24916PFU Muni","SPREAD_AT_ISSUANCE_TO_WORST")</f>
        <v>6.3243730636530993</v>
      </c>
      <c r="H194" t="str">
        <f>_xll.BDP("24916PFU Muni","ISSUE_DT")</f>
        <v>5/23/2017</v>
      </c>
      <c r="I194" t="str">
        <f>_xll.BDS("24916PFU Muni","MUNI_PURPOSE_SCHED", "aggregate=y")</f>
        <v>WATER UTILITY IMPS. GREEN PURPOSE</v>
      </c>
      <c r="J194">
        <f>_xll.BDP("24916PFU Muni","CPN")</f>
        <v>3</v>
      </c>
      <c r="K194" t="str">
        <f>_xll.BDP("24916PFU Muni","MATURITY")</f>
        <v>9/15/2024</v>
      </c>
      <c r="L194">
        <v>2750000</v>
      </c>
      <c r="M194">
        <f>_xll.BDP("24916PFU Muni","YIELD_ON_ISSUE_DATE")</f>
        <v>1.82</v>
      </c>
      <c r="N194">
        <f>_xll.BDP("24916PFU Muni","YTW_SPREAD_TO_MATURITY_AT_ISSU")</f>
        <v>6.3243730636530993</v>
      </c>
      <c r="O194" t="str">
        <f>_xll.BDP("24916PFU Muni","BVAL_MID_YTM")</f>
        <v>#N/A Authorization</v>
      </c>
      <c r="P194" t="str">
        <f>_xll.BDP("24916PFU Muni","MUNI_TAX_PROV")</f>
        <v>FED &amp; ST TAX-EXEMPT</v>
      </c>
      <c r="Q194" t="str">
        <f>_xll.BDP("24916PFU Muni","MUNI_FED_TAX")</f>
        <v>N</v>
      </c>
      <c r="R194" t="str">
        <f>_xll.BDP("24916PFU Muni","MUNI_MSRB_VOLUME")</f>
        <v>#N/A N/A</v>
      </c>
      <c r="S194" t="str">
        <f>_xll.BDP("24916PFU Muni","BB_COMPOSITE")</f>
        <v>AAA</v>
      </c>
      <c r="T194">
        <f>_xll.BDP("24916PFU Muni","LQA_LIQUIDITY_SCORE")</f>
        <v>83</v>
      </c>
    </row>
    <row r="195" spans="1:20" x14ac:dyDescent="0.25">
      <c r="A195" t="str">
        <f>_xll.BDP("679468WX Muni","ID_CUSIP")</f>
        <v>679468WX2</v>
      </c>
      <c r="B195" t="s">
        <v>131</v>
      </c>
      <c r="C195" t="str">
        <f>_xll.BDP("679468WX Muni","INSURANCE_STATUS")</f>
        <v>N</v>
      </c>
      <c r="D195" t="str">
        <f>_xll.BDP("679468WX Muni","STATE_CODE")</f>
        <v>KS</v>
      </c>
      <c r="E195" t="str">
        <f>_xll.BDP("679468WX Muni","COUNTY_LOCATION_ISSUER")</f>
        <v>Johnson, KS</v>
      </c>
      <c r="F195">
        <f>_xll.BDP("679468WX Muni","DUR_ADJ_MID")</f>
        <v>2.7509479584502681</v>
      </c>
      <c r="G195">
        <f>_xll.BDP("679468WX Muni","SPREAD_AT_ISSUANCE_TO_WORST")</f>
        <v>22.12301244457646</v>
      </c>
      <c r="H195" t="str">
        <f>_xll.BDP("679468WX Muni","ISSUE_DT")</f>
        <v>4/4/2017</v>
      </c>
      <c r="I195" t="str">
        <f>_xll.BDS("679468WX Muni","MUNI_PURPOSE_SCHED", "aggregate=y")</f>
        <v>WATER UTILITY IMPS. SEWER IMPS. CURRENT REFUNDING</v>
      </c>
      <c r="J195">
        <f>_xll.BDP("679468WX Muni","CPN")</f>
        <v>4</v>
      </c>
      <c r="K195" t="str">
        <f>_xll.BDP("679468WX Muni","MATURITY")</f>
        <v>7/1/2025</v>
      </c>
      <c r="L195">
        <v>575000</v>
      </c>
      <c r="M195">
        <f>_xll.BDP("679468WX Muni","YIELD_ON_ISSUE_DATE")</f>
        <v>2.4000000000000004</v>
      </c>
      <c r="N195">
        <f>_xll.BDP("679468WX Muni","YTW_SPREAD_TO_MATURITY_AT_ISSU")</f>
        <v>22.12301244457646</v>
      </c>
      <c r="O195" t="str">
        <f>_xll.BDP("679468WX Muni","BVAL_MID_YTM")</f>
        <v>#N/A Authorization</v>
      </c>
      <c r="P195" t="str">
        <f>_xll.BDP("679468WX Muni","MUNI_TAX_PROV")</f>
        <v>FED &amp; ST TAX-EXEMPT</v>
      </c>
      <c r="Q195" t="str">
        <f>_xll.BDP("679468WX Muni","MUNI_FED_TAX")</f>
        <v>N</v>
      </c>
      <c r="R195" t="str">
        <f>_xll.BDP("679468WX Muni","MUNI_MSRB_VOLUME")</f>
        <v>#N/A N/A</v>
      </c>
      <c r="S195" t="str">
        <f>_xll.BDP("679468WX Muni","BB_COMPOSITE")</f>
        <v>#N/A N/A</v>
      </c>
      <c r="T195">
        <f>_xll.BDP("679468WX Muni","LQA_LIQUIDITY_SCORE")</f>
        <v>66</v>
      </c>
    </row>
    <row r="196" spans="1:20" x14ac:dyDescent="0.25">
      <c r="A196" t="str">
        <f>_xll.BDP("729654TJ Muni","ID_CUSIP")</f>
        <v>729654TJ2</v>
      </c>
      <c r="B196" t="s">
        <v>69</v>
      </c>
      <c r="C196" t="str">
        <f>_xll.BDP("729654TJ Muni","INSURANCE_STATUS")</f>
        <v>N</v>
      </c>
      <c r="D196" t="str">
        <f>_xll.BDP("729654TJ Muni","STATE_CODE")</f>
        <v>MA</v>
      </c>
      <c r="E196" t="str">
        <f>_xll.BDP("729654TJ Muni","COUNTY_LOCATION_ISSUER")</f>
        <v>Plymouth, MA</v>
      </c>
      <c r="F196">
        <f>_xll.BDP("729654TJ Muni","DUR_ADJ_MID")</f>
        <v>2.5583107769520694</v>
      </c>
      <c r="G196">
        <f>_xll.BDP("729654TJ Muni","SPREAD_AT_ISSUANCE_TO_WORST")</f>
        <v>21.022850808918147</v>
      </c>
      <c r="H196" t="str">
        <f>_xll.BDP("729654TJ Muni","ISSUE_DT")</f>
        <v>5/4/2017</v>
      </c>
      <c r="I196" t="str">
        <f>_xll.BDS("729654TJ Muni","MUNI_PURPOSE_SCHED", "aggregate=y")</f>
        <v>REFUNDING NOTES WATER UTILITY IMPS. PUBLIC IMPS.</v>
      </c>
      <c r="J196">
        <f>_xll.BDP("729654TJ Muni","CPN")</f>
        <v>5</v>
      </c>
      <c r="K196" t="str">
        <f>_xll.BDP("729654TJ Muni","MATURITY")</f>
        <v>5/1/2025</v>
      </c>
      <c r="L196">
        <v>2900000</v>
      </c>
      <c r="M196">
        <f>_xll.BDP("729654TJ Muni","YIELD_ON_ISSUE_DATE")</f>
        <v>2.06</v>
      </c>
      <c r="N196">
        <f>_xll.BDP("729654TJ Muni","YTW_SPREAD_TO_MATURITY_AT_ISSU")</f>
        <v>21.022850808918147</v>
      </c>
      <c r="O196" t="str">
        <f>_xll.BDP("729654TJ Muni","BVAL_MID_YTM")</f>
        <v>#N/A Authorization</v>
      </c>
      <c r="P196" t="str">
        <f>_xll.BDP("729654TJ Muni","MUNI_TAX_PROV")</f>
        <v>FED &amp; ST TAX-EXEMPT</v>
      </c>
      <c r="Q196" t="str">
        <f>_xll.BDP("729654TJ Muni","MUNI_FED_TAX")</f>
        <v>N</v>
      </c>
      <c r="R196">
        <f>_xll.BDP("729654TJ Muni","MUNI_MSRB_VOLUME")</f>
        <v>400000</v>
      </c>
      <c r="S196" t="str">
        <f>_xll.BDP("729654TJ Muni","BB_COMPOSITE")</f>
        <v>AA</v>
      </c>
      <c r="T196">
        <f>_xll.BDP("729654TJ Muni","LQA_LIQUIDITY_SCORE")</f>
        <v>80</v>
      </c>
    </row>
    <row r="197" spans="1:20" x14ac:dyDescent="0.25">
      <c r="A197" t="str">
        <f>_xll.BDP("917572WL Muni","ID_CUSIP")</f>
        <v>917572WL9</v>
      </c>
      <c r="B197" t="s">
        <v>26</v>
      </c>
      <c r="C197" t="str">
        <f>_xll.BDP("917572WL Muni","INSURANCE_STATUS")</f>
        <v>N</v>
      </c>
      <c r="D197" t="str">
        <f>_xll.BDP("917572WL Muni","STATE_CODE")</f>
        <v>UT</v>
      </c>
      <c r="E197" t="str">
        <f>_xll.BDP("917572WL Muni","COUNTY_LOCATION_ISSUER")</f>
        <v>Salt Lake, UT</v>
      </c>
      <c r="F197">
        <f>_xll.BDP("917572WL Muni","DUR_ADJ_MID")</f>
        <v>4.0635588065221784</v>
      </c>
      <c r="G197">
        <f>_xll.BDP("917572WL Muni","SPREAD_AT_ISSUANCE_TO_WORST")</f>
        <v>22.906290941183414</v>
      </c>
      <c r="H197" t="str">
        <f>_xll.BDP("917572WL Muni","ISSUE_DT")</f>
        <v>7/20/2017</v>
      </c>
      <c r="I197" t="str">
        <f>_xll.BDS("917572WL Muni","MUNI_PURPOSE_SCHED", "aggregate=y")</f>
        <v>WATER UTILITY IMPS. SEWER IMPS.</v>
      </c>
      <c r="J197">
        <f>_xll.BDP("917572WL Muni","CPN")</f>
        <v>5</v>
      </c>
      <c r="K197" t="str">
        <f>_xll.BDP("917572WL Muni","MATURITY")</f>
        <v>3/1/2027</v>
      </c>
      <c r="L197">
        <v>3840000</v>
      </c>
      <c r="M197">
        <f>_xll.BDP("917572WL Muni","YIELD_ON_ISSUE_DATE")</f>
        <v>2.08</v>
      </c>
      <c r="N197">
        <f>_xll.BDP("917572WL Muni","YTW_SPREAD_TO_MATURITY_AT_ISSU")</f>
        <v>22.906290941183414</v>
      </c>
      <c r="O197" t="str">
        <f>_xll.BDP("917572WL Muni","BVAL_MID_YTM")</f>
        <v>#N/A Authorization</v>
      </c>
      <c r="P197" t="str">
        <f>_xll.BDP("917572WL Muni","MUNI_TAX_PROV")</f>
        <v>FED &amp; ST TAX-EXEMPT</v>
      </c>
      <c r="Q197" t="str">
        <f>_xll.BDP("917572WL Muni","MUNI_FED_TAX")</f>
        <v>N</v>
      </c>
      <c r="R197">
        <f>_xll.BDP("917572WL Muni","MUNI_MSRB_VOLUME")</f>
        <v>200000</v>
      </c>
      <c r="S197" t="str">
        <f>_xll.BDP("917572WL Muni","BB_COMPOSITE")</f>
        <v>AA</v>
      </c>
      <c r="T197">
        <f>_xll.BDP("917572WL Muni","LQA_LIQUIDITY_SCORE")</f>
        <v>68</v>
      </c>
    </row>
    <row r="198" spans="1:20" x14ac:dyDescent="0.25">
      <c r="A198" t="str">
        <f>_xll.BDP("80465PJC Muni","ID_CUSIP")</f>
        <v>80465PJC9</v>
      </c>
      <c r="B198" t="s">
        <v>132</v>
      </c>
      <c r="C198" t="str">
        <f>_xll.BDP("80465PJC Muni","INSURANCE_STATUS")</f>
        <v>N</v>
      </c>
      <c r="D198" t="str">
        <f>_xll.BDP("80465PJC Muni","STATE_CODE")</f>
        <v>MN</v>
      </c>
      <c r="E198" t="str">
        <f>_xll.BDP("80465PJC Muni","COUNTY_LOCATION_ISSUER")</f>
        <v>Scott, MN</v>
      </c>
      <c r="F198">
        <f>_xll.BDP("80465PJC Muni","DUR_ADJ_MID")</f>
        <v>0.49450725946598545</v>
      </c>
      <c r="G198">
        <f>_xll.BDP("80465PJC Muni","SPREAD_AT_ISSUANCE_TO_WORST")</f>
        <v>26.600275087785661</v>
      </c>
      <c r="H198" t="str">
        <f>_xll.BDP("80465PJC Muni","ISSUE_DT")</f>
        <v>7/12/2017</v>
      </c>
      <c r="I198" t="str">
        <f>_xll.BDS("80465PJC Muni","MUNI_PURPOSE_SCHED", "aggregate=y")</f>
        <v>PUBLIC IMPS. WATER UTILITY IMPS.</v>
      </c>
      <c r="J198">
        <f>_xll.BDP("80465PJC Muni","CPN")</f>
        <v>3</v>
      </c>
      <c r="K198" t="str">
        <f>_xll.BDP("80465PJC Muni","MATURITY")</f>
        <v>2/1/2023</v>
      </c>
      <c r="L198">
        <v>720000</v>
      </c>
      <c r="M198">
        <f>_xll.BDP("80465PJC Muni","YIELD_ON_ISSUE_DATE")</f>
        <v>1.55</v>
      </c>
      <c r="N198">
        <f>_xll.BDP("80465PJC Muni","YTW_SPREAD_TO_MATURITY_AT_ISSU")</f>
        <v>26.600275087785661</v>
      </c>
      <c r="O198" t="str">
        <f>_xll.BDP("80465PJC Muni","BVAL_MID_YTM")</f>
        <v>#N/A Authorization</v>
      </c>
      <c r="P198" t="str">
        <f>_xll.BDP("80465PJC Muni","MUNI_TAX_PROV")</f>
        <v>FED BQ/ST TAX-EXEMPT</v>
      </c>
      <c r="Q198" t="str">
        <f>_xll.BDP("80465PJC Muni","MUNI_FED_TAX")</f>
        <v>N</v>
      </c>
      <c r="R198">
        <f>_xll.BDP("80465PJC Muni","MUNI_MSRB_VOLUME")</f>
        <v>30000</v>
      </c>
      <c r="S198" t="str">
        <f>_xll.BDP("80465PJC Muni","BB_COMPOSITE")</f>
        <v>#N/A N/A</v>
      </c>
      <c r="T198">
        <f>_xll.BDP("80465PJC Muni","LQA_LIQUIDITY_SCORE")</f>
        <v>89</v>
      </c>
    </row>
    <row r="199" spans="1:20" x14ac:dyDescent="0.25">
      <c r="A199" t="str">
        <f>_xll.BDP("236649HK Muni","ID_CUSIP")</f>
        <v>236649HK8</v>
      </c>
      <c r="B199" t="s">
        <v>133</v>
      </c>
      <c r="C199" t="str">
        <f>_xll.BDP("236649HK Muni","INSURANCE_STATUS")</f>
        <v>N</v>
      </c>
      <c r="D199" t="str">
        <f>_xll.BDP("236649HK Muni","STATE_CODE")</f>
        <v>KY</v>
      </c>
      <c r="E199" t="str">
        <f>_xll.BDP("236649HK Muni","COUNTY_LOCATION_ISSUER")</f>
        <v>Boyle, KY</v>
      </c>
      <c r="F199">
        <f>_xll.BDP("236649HK Muni","DUR_ADJ_MID")</f>
        <v>5.5552207179736801E-3</v>
      </c>
      <c r="G199">
        <f>_xll.BDP("236649HK Muni","SPREAD_AT_ISSUANCE_TO_WORST")</f>
        <v>18.642572526909397</v>
      </c>
      <c r="H199" t="str">
        <f>_xll.BDP("236649HK Muni","ISSUE_DT")</f>
        <v>9/28/2017</v>
      </c>
      <c r="I199" t="str">
        <f>_xll.BDS("236649HK Muni","MUNI_PURPOSE_SCHED", "aggregate=y")</f>
        <v>PUBLIC IMPS. WATER UTILITY IMPS.</v>
      </c>
      <c r="J199">
        <f>_xll.BDP("236649HK Muni","CPN")</f>
        <v>5</v>
      </c>
      <c r="K199" t="str">
        <f>_xll.BDP("236649HK Muni","MATURITY")</f>
        <v>8/1/2022</v>
      </c>
      <c r="L199">
        <v>355000</v>
      </c>
      <c r="M199">
        <f>_xll.BDP("236649HK Muni","YIELD_ON_ISSUE_DATE")</f>
        <v>1.3</v>
      </c>
      <c r="N199">
        <f>_xll.BDP("236649HK Muni","YTW_SPREAD_TO_MATURITY_AT_ISSU")</f>
        <v>18.642572526909397</v>
      </c>
      <c r="O199" t="str">
        <f>_xll.BDP("236649HK Muni","BVAL_MID_YTM")</f>
        <v>#N/A Authorization</v>
      </c>
      <c r="P199" t="str">
        <f>_xll.BDP("236649HK Muni","MUNI_TAX_PROV")</f>
        <v>FED BQ/ST TAX-EXEMPT</v>
      </c>
      <c r="Q199" t="str">
        <f>_xll.BDP("236649HK Muni","MUNI_FED_TAX")</f>
        <v>N</v>
      </c>
      <c r="R199" t="str">
        <f>_xll.BDP("236649HK Muni","MUNI_MSRB_VOLUME")</f>
        <v>#N/A N/A</v>
      </c>
      <c r="S199" t="str">
        <f>_xll.BDP("236649HK Muni","BB_COMPOSITE")</f>
        <v>#N/A N/A</v>
      </c>
      <c r="T199">
        <f>_xll.BDP("236649HK Muni","LQA_LIQUIDITY_SCORE")</f>
        <v>97</v>
      </c>
    </row>
    <row r="200" spans="1:20" x14ac:dyDescent="0.25">
      <c r="A200" t="str">
        <f>_xll.BDP("208399H6 Muni","ID_CUSIP")</f>
        <v>208399H65</v>
      </c>
      <c r="B200" t="s">
        <v>134</v>
      </c>
      <c r="C200" t="str">
        <f>_xll.BDP("208399H6 Muni","INSURANCE_STATUS")</f>
        <v>N</v>
      </c>
      <c r="D200" t="str">
        <f>_xll.BDP("208399H6 Muni","STATE_CODE")</f>
        <v>TX</v>
      </c>
      <c r="E200" t="str">
        <f>_xll.BDP("208399H6 Muni","COUNTY_LOCATION_ISSUER")</f>
        <v>Montgomery, TX</v>
      </c>
      <c r="F200">
        <f>_xll.BDP("208399H6 Muni","DUR_ADJ_MID")</f>
        <v>1.2416387206541166</v>
      </c>
      <c r="G200">
        <f>_xll.BDP("208399H6 Muni","SPREAD_AT_ISSUANCE_TO_WORST")</f>
        <v>23.927179015089738</v>
      </c>
      <c r="H200" t="str">
        <f>_xll.BDP("208399H6 Muni","ISSUE_DT")</f>
        <v>9/1/2017</v>
      </c>
      <c r="I200" t="str">
        <f>_xll.BDS("208399H6 Muni","MUNI_PURPOSE_SCHED", "aggregate=y")</f>
        <v>PUBLIC IMPS. WATER UTILITY IMPS. SEWER IMPS.</v>
      </c>
      <c r="J200">
        <f>_xll.BDP("208399H6 Muni","CPN")</f>
        <v>5</v>
      </c>
      <c r="K200" t="str">
        <f>_xll.BDP("208399H6 Muni","MATURITY")</f>
        <v>11/15/2023</v>
      </c>
      <c r="L200">
        <v>860000</v>
      </c>
      <c r="M200">
        <f>_xll.BDP("208399H6 Muni","YIELD_ON_ISSUE_DATE")</f>
        <v>1.56</v>
      </c>
      <c r="N200">
        <f>_xll.BDP("208399H6 Muni","YTW_SPREAD_TO_MATURITY_AT_ISSU")</f>
        <v>23.927179015089738</v>
      </c>
      <c r="O200" t="str">
        <f>_xll.BDP("208399H6 Muni","BVAL_MID_YTM")</f>
        <v>#N/A Authorization</v>
      </c>
      <c r="P200" t="str">
        <f>_xll.BDP("208399H6 Muni","MUNI_TAX_PROV")</f>
        <v>FED TAX-EXEMPT</v>
      </c>
      <c r="Q200" t="str">
        <f>_xll.BDP("208399H6 Muni","MUNI_FED_TAX")</f>
        <v>N</v>
      </c>
      <c r="R200">
        <f>_xll.BDP("208399H6 Muni","MUNI_MSRB_VOLUME")</f>
        <v>50000</v>
      </c>
      <c r="S200" t="str">
        <f>_xll.BDP("208399H6 Muni","BB_COMPOSITE")</f>
        <v>AA+</v>
      </c>
      <c r="T200">
        <f>_xll.BDP("208399H6 Muni","LQA_LIQUIDITY_SCORE")</f>
        <v>83</v>
      </c>
    </row>
    <row r="201" spans="1:20" x14ac:dyDescent="0.25">
      <c r="A201" t="str">
        <f>_xll.BDP("49140M4Q Muni","ID_CUSIP")</f>
        <v>49140M4Q9</v>
      </c>
      <c r="B201" t="s">
        <v>135</v>
      </c>
      <c r="C201" t="str">
        <f>_xll.BDP("49140M4Q Muni","INSURANCE_STATUS")</f>
        <v>N</v>
      </c>
      <c r="D201" t="str">
        <f>_xll.BDP("49140M4Q Muni","STATE_CODE")</f>
        <v>KY</v>
      </c>
      <c r="E201" t="str">
        <f>_xll.BDP("49140M4Q Muni","COUNTY_LOCATION_ISSUER")</f>
        <v>Warren, KY</v>
      </c>
      <c r="F201">
        <f>_xll.BDP("49140M4Q Muni","DUR_ADJ_MID")</f>
        <v>2.3815570691042192</v>
      </c>
      <c r="G201">
        <f>_xll.BDP("49140M4Q Muni","SPREAD_AT_ISSUANCE_TO_WORST")</f>
        <v>81.802919443810225</v>
      </c>
      <c r="H201" t="str">
        <f>_xll.BDP("49140M4Q Muni","ISSUE_DT")</f>
        <v>7/11/2017</v>
      </c>
      <c r="I201" t="str">
        <f>_xll.BDS("49140M4Q Muni","MUNI_PURPOSE_SCHED", "aggregate=y")</f>
        <v>WATER UTILITY IMPS. SEWER IMPS. CURRENT REFUNDING</v>
      </c>
      <c r="J201">
        <f>_xll.BDP("49140M4Q Muni","CPN")</f>
        <v>4</v>
      </c>
      <c r="K201" t="str">
        <f>_xll.BDP("49140M4Q Muni","MATURITY")</f>
        <v>2/1/2025</v>
      </c>
      <c r="L201">
        <v>215000</v>
      </c>
      <c r="M201">
        <f>_xll.BDP("49140M4Q Muni","YIELD_ON_ISSUE_DATE")</f>
        <v>2.4000000000000004</v>
      </c>
      <c r="N201">
        <f>_xll.BDP("49140M4Q Muni","YTW_SPREAD_TO_MATURITY_AT_ISSU")</f>
        <v>81.802919443810225</v>
      </c>
      <c r="O201" t="str">
        <f>_xll.BDP("49140M4Q Muni","BVAL_MID_YTM")</f>
        <v>#N/A Authorization</v>
      </c>
      <c r="P201" t="str">
        <f>_xll.BDP("49140M4Q Muni","MUNI_TAX_PROV")</f>
        <v>FED &amp; ST TAX-EXEMPT</v>
      </c>
      <c r="Q201" t="str">
        <f>_xll.BDP("49140M4Q Muni","MUNI_FED_TAX")</f>
        <v>N</v>
      </c>
      <c r="R201" t="str">
        <f>_xll.BDP("49140M4Q Muni","MUNI_MSRB_VOLUME")</f>
        <v>#N/A N/A</v>
      </c>
      <c r="S201" t="str">
        <f>_xll.BDP("49140M4Q Muni","BB_COMPOSITE")</f>
        <v>#N/A N/A</v>
      </c>
      <c r="T201">
        <f>_xll.BDP("49140M4Q Muni","LQA_LIQUIDITY_SCORE")</f>
        <v>69</v>
      </c>
    </row>
    <row r="202" spans="1:20" x14ac:dyDescent="0.25">
      <c r="A202" t="str">
        <f>_xll.BDP("47928TAH Muni","ID_CUSIP")</f>
        <v>47928TAH9</v>
      </c>
      <c r="B202" t="s">
        <v>136</v>
      </c>
      <c r="C202" t="str">
        <f>_xll.BDP("47928TAH Muni","INSURANCE_STATUS")</f>
        <v>Y</v>
      </c>
      <c r="D202" t="str">
        <f>_xll.BDP("47928TAH Muni","STATE_CODE")</f>
        <v>SC</v>
      </c>
      <c r="E202" t="str">
        <f>_xll.BDP("47928TAH Muni","COUNTY_LOCATION_ISSUER")</f>
        <v>#N/A Field Not Applicable</v>
      </c>
      <c r="F202">
        <f>_xll.BDP("47928TAH Muni","DUR_ADJ_MID")</f>
        <v>1.7700767608295098</v>
      </c>
      <c r="G202">
        <f>_xll.BDP("47928TAH Muni","SPREAD_AT_ISSUANCE_TO_WORST")</f>
        <v>40.374886422339706</v>
      </c>
      <c r="H202" t="str">
        <f>_xll.BDP("47928TAH Muni","ISSUE_DT")</f>
        <v>1/19/2017</v>
      </c>
      <c r="I202" t="str">
        <f>_xll.BDS("47928TAH Muni","MUNI_PURPOSE_SCHED", "aggregate=y")</f>
        <v>REFUNDING BONDS WATER UTILITY IMPS. SEWER IMPS.</v>
      </c>
      <c r="J202">
        <f>_xll.BDP("47928TAH Muni","CPN")</f>
        <v>3</v>
      </c>
      <c r="K202" t="str">
        <f>_xll.BDP("47928TAH Muni","MATURITY")</f>
        <v>6/1/2024</v>
      </c>
      <c r="L202">
        <v>190000</v>
      </c>
      <c r="M202">
        <f>_xll.BDP("47928TAH Muni","YIELD_ON_ISSUE_DATE")</f>
        <v>2.4000000000000004</v>
      </c>
      <c r="N202">
        <f>_xll.BDP("47928TAH Muni","YTW_SPREAD_TO_MATURITY_AT_ISSU")</f>
        <v>40.374886422339706</v>
      </c>
      <c r="O202" t="str">
        <f>_xll.BDP("47928TAH Muni","BVAL_MID_YTM")</f>
        <v>#N/A Authorization</v>
      </c>
      <c r="P202" t="str">
        <f>_xll.BDP("47928TAH Muni","MUNI_TAX_PROV")</f>
        <v>FED BQ/ST TAX-EXEMPT</v>
      </c>
      <c r="Q202" t="str">
        <f>_xll.BDP("47928TAH Muni","MUNI_FED_TAX")</f>
        <v>N</v>
      </c>
      <c r="R202" t="str">
        <f>_xll.BDP("47928TAH Muni","MUNI_MSRB_VOLUME")</f>
        <v>#N/A N/A</v>
      </c>
      <c r="S202" t="str">
        <f>_xll.BDP("47928TAH Muni","BB_COMPOSITE")</f>
        <v>#N/A N/A</v>
      </c>
      <c r="T202">
        <f>_xll.BDP("47928TAH Muni","LQA_LIQUIDITY_SCORE")</f>
        <v>84</v>
      </c>
    </row>
    <row r="203" spans="1:20" x14ac:dyDescent="0.25">
      <c r="A203" t="str">
        <f>_xll.BDP("45506DG7 Muni","ID_CUSIP")</f>
        <v>45506DG74</v>
      </c>
      <c r="B203" t="s">
        <v>137</v>
      </c>
      <c r="C203" t="str">
        <f>_xll.BDP("45506DG7 Muni","INSURANCE_STATUS")</f>
        <v>N</v>
      </c>
      <c r="D203" t="str">
        <f>_xll.BDP("45506DG7 Muni","STATE_CODE")</f>
        <v>IN</v>
      </c>
      <c r="E203" t="str">
        <f>_xll.BDP("45506DG7 Muni","COUNTY_LOCATION_ISSUER")</f>
        <v>Marion, IN</v>
      </c>
      <c r="F203">
        <f>_xll.BDP("45506DG7 Muni","DUR_ADJ_MID")</f>
        <v>2.3644410747706623</v>
      </c>
      <c r="G203">
        <f>_xll.BDP("45506DG7 Muni","SPREAD_AT_ISSUANCE_TO_WORST")</f>
        <v>6.7764246575342524</v>
      </c>
      <c r="H203" t="str">
        <f>_xll.BDP("45506DG7 Muni","ISSUE_DT")</f>
        <v>11/1/2017</v>
      </c>
      <c r="I203" t="str">
        <f>_xll.BDS("45506DG7 Muni","MUNI_PURPOSE_SCHED", "aggregate=y")</f>
        <v>GREEN PURPOSE SEWER IMPS. WATER UTILITY IMPS.</v>
      </c>
      <c r="J203">
        <f>_xll.BDP("45506DG7 Muni","CPN")</f>
        <v>5</v>
      </c>
      <c r="K203" t="str">
        <f>_xll.BDP("45506DG7 Muni","MATURITY")</f>
        <v>2/1/2025</v>
      </c>
      <c r="L203">
        <v>2440000</v>
      </c>
      <c r="M203">
        <f>_xll.BDP("45506DG7 Muni","YIELD_ON_ISSUE_DATE")</f>
        <v>1.76</v>
      </c>
      <c r="N203">
        <f>_xll.BDP("45506DG7 Muni","YTW_SPREAD_TO_MATURITY_AT_ISSU")</f>
        <v>6.7764246575342524</v>
      </c>
      <c r="O203" t="str">
        <f>_xll.BDP("45506DG7 Muni","BVAL_MID_YTM")</f>
        <v>#N/A Authorization</v>
      </c>
      <c r="P203" t="str">
        <f>_xll.BDP("45506DG7 Muni","MUNI_TAX_PROV")</f>
        <v>FED &amp; ST TAX-EXEMPT</v>
      </c>
      <c r="Q203" t="str">
        <f>_xll.BDP("45506DG7 Muni","MUNI_FED_TAX")</f>
        <v>N</v>
      </c>
      <c r="R203">
        <f>_xll.BDP("45506DG7 Muni","MUNI_MSRB_VOLUME")</f>
        <v>300000</v>
      </c>
      <c r="S203" t="str">
        <f>_xll.BDP("45506DG7 Muni","BB_COMPOSITE")</f>
        <v>AAA</v>
      </c>
      <c r="T203">
        <f>_xll.BDP("45506DG7 Muni","LQA_LIQUIDITY_SCORE")</f>
        <v>80</v>
      </c>
    </row>
    <row r="204" spans="1:20" x14ac:dyDescent="0.25">
      <c r="A204" t="str">
        <f>_xll.BDP("6490245U Muni","ID_CUSIP")</f>
        <v>6490245U6</v>
      </c>
      <c r="B204" t="s">
        <v>138</v>
      </c>
      <c r="C204" t="str">
        <f>_xll.BDP("6490245U Muni","INSURANCE_STATUS")</f>
        <v>N</v>
      </c>
      <c r="D204" t="str">
        <f>_xll.BDP("6490245U Muni","STATE_CODE")</f>
        <v>MN</v>
      </c>
      <c r="E204" t="str">
        <f>_xll.BDP("6490245U Muni","COUNTY_LOCATION_ISSUER")</f>
        <v>Brown, MN</v>
      </c>
      <c r="F204">
        <f>_xll.BDP("6490245U Muni","DUR_ADJ_MID")</f>
        <v>3.1979811079218479</v>
      </c>
      <c r="G204">
        <f>_xll.BDP("6490245U Muni","SPREAD_AT_ISSUANCE_TO_WORST")</f>
        <v>9.3014446959923234</v>
      </c>
      <c r="H204" t="str">
        <f>_xll.BDP("6490245U Muni","ISSUE_DT")</f>
        <v>9/5/2017</v>
      </c>
      <c r="I204" t="str">
        <f>_xll.BDS("6490245U Muni","MUNI_PURPOSE_SCHED", "aggregate=y")</f>
        <v>PUBLIC IMPS. WATER UTILITY IMPS. SEWER IMPS.</v>
      </c>
      <c r="J204">
        <f>_xll.BDP("6490245U Muni","CPN")</f>
        <v>2</v>
      </c>
      <c r="K204" t="str">
        <f>_xll.BDP("6490245U Muni","MATURITY")</f>
        <v>12/1/2025</v>
      </c>
      <c r="L204">
        <v>270000</v>
      </c>
      <c r="M204">
        <f>_xll.BDP("6490245U Muni","YIELD_ON_ISSUE_DATE")</f>
        <v>1.8</v>
      </c>
      <c r="N204">
        <f>_xll.BDP("6490245U Muni","YTW_SPREAD_TO_MATURITY_AT_ISSU")</f>
        <v>9.3014446959923234</v>
      </c>
      <c r="O204" t="str">
        <f>_xll.BDP("6490245U Muni","BVAL_MID_YTM")</f>
        <v>#N/A Authorization</v>
      </c>
      <c r="P204" t="str">
        <f>_xll.BDP("6490245U Muni","MUNI_TAX_PROV")</f>
        <v>FED BQ/ST TAX-EXEMPT</v>
      </c>
      <c r="Q204" t="str">
        <f>_xll.BDP("6490245U Muni","MUNI_FED_TAX")</f>
        <v>N</v>
      </c>
      <c r="R204" t="str">
        <f>_xll.BDP("6490245U Muni","MUNI_MSRB_VOLUME")</f>
        <v>#N/A N/A</v>
      </c>
      <c r="S204" t="str">
        <f>_xll.BDP("6490245U Muni","BB_COMPOSITE")</f>
        <v>#N/A N/A</v>
      </c>
      <c r="T204">
        <f>_xll.BDP("6490245U Muni","LQA_LIQUIDITY_SCORE")</f>
        <v>59</v>
      </c>
    </row>
    <row r="205" spans="1:20" x14ac:dyDescent="0.25">
      <c r="A205" t="str">
        <f>_xll.BDP("45204EXK Muni","ID_CUSIP")</f>
        <v>45204EXK9</v>
      </c>
      <c r="B205" t="s">
        <v>25</v>
      </c>
      <c r="C205" t="str">
        <f>_xll.BDP("45204EXK Muni","INSURANCE_STATUS")</f>
        <v>N</v>
      </c>
      <c r="D205" t="str">
        <f>_xll.BDP("45204EXK Muni","STATE_CODE")</f>
        <v>IL</v>
      </c>
      <c r="E205" t="str">
        <f>_xll.BDP("45204EXK Muni","COUNTY_LOCATION_ISSUER")</f>
        <v>Cook, IL</v>
      </c>
      <c r="F205">
        <f>_xll.BDP("45204EXK Muni","DUR_ADJ_MID")</f>
        <v>0.89400965962710044</v>
      </c>
      <c r="G205">
        <f>_xll.BDP("45204EXK Muni","SPREAD_AT_ISSUANCE_TO_WORST")</f>
        <v>20.3577041509281</v>
      </c>
      <c r="H205" t="str">
        <f>_xll.BDP("45204EXK Muni","ISSUE_DT")</f>
        <v>9/12/2017</v>
      </c>
      <c r="I205" t="str">
        <f>_xll.BDS("45204EXK Muni","MUNI_PURPOSE_SCHED", "aggregate=y")</f>
        <v>GREEN PURPOSE WATER UTILITY IMPS. SEWER IMPS.</v>
      </c>
      <c r="J205">
        <f>_xll.BDP("45204EXK Muni","CPN")</f>
        <v>5</v>
      </c>
      <c r="K205" t="str">
        <f>_xll.BDP("45204EXK Muni","MATURITY")</f>
        <v>7/1/2023</v>
      </c>
      <c r="L205">
        <v>16170000</v>
      </c>
      <c r="M205">
        <f>_xll.BDP("45204EXK Muni","YIELD_ON_ISSUE_DATE")</f>
        <v>1.47</v>
      </c>
      <c r="N205">
        <f>_xll.BDP("45204EXK Muni","YTW_SPREAD_TO_MATURITY_AT_ISSU")</f>
        <v>20.3577041509281</v>
      </c>
      <c r="O205" t="str">
        <f>_xll.BDP("45204EXK Muni","BVAL_MID_YTM")</f>
        <v>#N/A Authorization</v>
      </c>
      <c r="P205" t="str">
        <f>_xll.BDP("45204EXK Muni","MUNI_TAX_PROV")</f>
        <v>FED TAX-EXEMPT/ST TAXABLE</v>
      </c>
      <c r="Q205" t="str">
        <f>_xll.BDP("45204EXK Muni","MUNI_FED_TAX")</f>
        <v>N</v>
      </c>
      <c r="R205">
        <f>_xll.BDP("45204EXK Muni","MUNI_MSRB_VOLUME")</f>
        <v>20000</v>
      </c>
      <c r="S205" t="str">
        <f>_xll.BDP("45204EXK Muni","BB_COMPOSITE")</f>
        <v>AAA</v>
      </c>
      <c r="T205">
        <f>_xll.BDP("45204EXK Muni","LQA_LIQUIDITY_SCORE")</f>
        <v>93</v>
      </c>
    </row>
    <row r="206" spans="1:20" x14ac:dyDescent="0.25">
      <c r="A206" t="str">
        <f>_xll.BDP("967338C6 Muni","ID_CUSIP")</f>
        <v>967338C69</v>
      </c>
      <c r="B206" t="s">
        <v>55</v>
      </c>
      <c r="C206" t="str">
        <f>_xll.BDP("967338C6 Muni","INSURANCE_STATUS")</f>
        <v>N</v>
      </c>
      <c r="D206" t="str">
        <f>_xll.BDP("967338C6 Muni","STATE_CODE")</f>
        <v>KS</v>
      </c>
      <c r="E206" t="str">
        <f>_xll.BDP("967338C6 Muni","COUNTY_LOCATION_ISSUER")</f>
        <v>Sedgwick, KS</v>
      </c>
      <c r="F206">
        <f>_xll.BDP("967338C6 Muni","DUR_ADJ_MID")</f>
        <v>1.1190441555955106</v>
      </c>
      <c r="G206">
        <f>_xll.BDP("967338C6 Muni","SPREAD_AT_ISSUANCE_TO_WORST")</f>
        <v>17.985597634883234</v>
      </c>
      <c r="H206" t="str">
        <f>_xll.BDP("967338C6 Muni","ISSUE_DT")</f>
        <v>6/1/2017</v>
      </c>
      <c r="I206" t="str">
        <f>_xll.BDS("967338C6 Muni","MUNI_PURPOSE_SCHED", "aggregate=y")</f>
        <v>WATER UTILITY IMPS. SEWER IMPS.</v>
      </c>
      <c r="J206">
        <f>_xll.BDP("967338C6 Muni","CPN")</f>
        <v>5</v>
      </c>
      <c r="K206" t="str">
        <f>_xll.BDP("967338C6 Muni","MATURITY")</f>
        <v>10/1/2023</v>
      </c>
      <c r="L206">
        <v>2720000</v>
      </c>
      <c r="M206">
        <f>_xll.BDP("967338C6 Muni","YIELD_ON_ISSUE_DATE")</f>
        <v>1.78</v>
      </c>
      <c r="N206">
        <f>_xll.BDP("967338C6 Muni","YTW_SPREAD_TO_MATURITY_AT_ISSU")</f>
        <v>17.985597634883234</v>
      </c>
      <c r="O206" t="str">
        <f>_xll.BDP("967338C6 Muni","BVAL_MID_YTM")</f>
        <v>#N/A Authorization</v>
      </c>
      <c r="P206" t="str">
        <f>_xll.BDP("967338C6 Muni","MUNI_TAX_PROV")</f>
        <v>FED &amp; ST TAX-EXEMPT</v>
      </c>
      <c r="Q206" t="str">
        <f>_xll.BDP("967338C6 Muni","MUNI_FED_TAX")</f>
        <v>N</v>
      </c>
      <c r="R206">
        <f>_xll.BDP("967338C6 Muni","MUNI_MSRB_VOLUME")</f>
        <v>45000</v>
      </c>
      <c r="S206" t="str">
        <f>_xll.BDP("967338C6 Muni","BB_COMPOSITE")</f>
        <v>#N/A N/A</v>
      </c>
      <c r="T206">
        <f>_xll.BDP("967338C6 Muni","LQA_LIQUIDITY_SCORE")</f>
        <v>80</v>
      </c>
    </row>
    <row r="207" spans="1:20" x14ac:dyDescent="0.25">
      <c r="A207" t="str">
        <f>_xll.BDP("98618FAL Muni","ID_CUSIP")</f>
        <v>98618FAL8</v>
      </c>
      <c r="B207" t="s">
        <v>29</v>
      </c>
      <c r="C207" t="str">
        <f>_xll.BDP("98618FAL Muni","INSURANCE_STATUS")</f>
        <v>N</v>
      </c>
      <c r="D207" t="str">
        <f>_xll.BDP("98618FAL Muni","STATE_CODE")</f>
        <v>CA</v>
      </c>
      <c r="E207" t="str">
        <f>_xll.BDP("98618FAL Muni","COUNTY_LOCATION_ISSUER")</f>
        <v>Orange, CA</v>
      </c>
      <c r="F207">
        <f>_xll.BDP("98618FAL Muni","DUR_ADJ_MID")</f>
        <v>4.5423107932330025</v>
      </c>
      <c r="G207">
        <f>_xll.BDP("98618FAL Muni","SPREAD_AT_ISSUANCE_TO_WORST")</f>
        <v>6.1698556049669673</v>
      </c>
      <c r="H207" t="str">
        <f>_xll.BDP("98618FAL Muni","ISSUE_DT")</f>
        <v>5/11/2017</v>
      </c>
      <c r="I207" t="str">
        <f>_xll.BDS("98618FAL Muni","MUNI_PURPOSE_SCHED", "aggregate=y")</f>
        <v>ADVANCE REFUNDING WATER UTILITY IMPS.</v>
      </c>
      <c r="J207">
        <f>_xll.BDP("98618FAL Muni","CPN")</f>
        <v>5</v>
      </c>
      <c r="K207" t="str">
        <f>_xll.BDP("98618FAL Muni","MATURITY")</f>
        <v>10/1/2027</v>
      </c>
      <c r="L207">
        <v>1265000</v>
      </c>
      <c r="M207">
        <f>_xll.BDP("98618FAL Muni","YIELD_ON_ISSUE_DATE")</f>
        <v>2.25</v>
      </c>
      <c r="N207">
        <f>_xll.BDP("98618FAL Muni","YTW_SPREAD_TO_MATURITY_AT_ISSU")</f>
        <v>6.1698556049669673</v>
      </c>
      <c r="O207" t="str">
        <f>_xll.BDP("98618FAL Muni","BVAL_MID_YTM")</f>
        <v>#N/A Authorization</v>
      </c>
      <c r="P207" t="str">
        <f>_xll.BDP("98618FAL Muni","MUNI_TAX_PROV")</f>
        <v>FED &amp; ST TAX-EXEMPT</v>
      </c>
      <c r="Q207" t="str">
        <f>_xll.BDP("98618FAL Muni","MUNI_FED_TAX")</f>
        <v>N</v>
      </c>
      <c r="R207">
        <f>_xll.BDP("98618FAL Muni","MUNI_MSRB_VOLUME")</f>
        <v>240000</v>
      </c>
      <c r="S207" t="str">
        <f>_xll.BDP("98618FAL Muni","BB_COMPOSITE")</f>
        <v>AA+</v>
      </c>
      <c r="T207">
        <f>_xll.BDP("98618FAL Muni","LQA_LIQUIDITY_SCORE")</f>
        <v>59</v>
      </c>
    </row>
    <row r="208" spans="1:20" x14ac:dyDescent="0.25">
      <c r="A208" t="str">
        <f>_xll.BDP("940157P4 Muni","ID_CUSIP")</f>
        <v>940157P46</v>
      </c>
      <c r="B208" t="s">
        <v>109</v>
      </c>
      <c r="C208" t="str">
        <f>_xll.BDP("940157P4 Muni","INSURANCE_STATUS")</f>
        <v>N</v>
      </c>
      <c r="D208" t="str">
        <f>_xll.BDP("940157P4 Muni","STATE_CODE")</f>
        <v>MD</v>
      </c>
      <c r="E208" t="str">
        <f>_xll.BDP("940157P4 Muni","COUNTY_LOCATION_ISSUER")</f>
        <v>Prince George's, MD</v>
      </c>
      <c r="F208">
        <f>_xll.BDP("940157P4 Muni","DUR_ADJ_MID")</f>
        <v>3.5372639638834227</v>
      </c>
      <c r="G208">
        <f>_xll.BDP("940157P4 Muni","SPREAD_AT_ISSUANCE_TO_WORST")</f>
        <v>3.9895479452054738</v>
      </c>
      <c r="H208" t="str">
        <f>_xll.BDP("940157P4 Muni","ISSUE_DT")</f>
        <v>11/9/2017</v>
      </c>
      <c r="I208" t="str">
        <f>_xll.BDS("940157P4 Muni","MUNI_PURPOSE_SCHED", "aggregate=y")</f>
        <v>WATER UTILITY IMPS. SEWER IMPS.</v>
      </c>
      <c r="J208">
        <f>_xll.BDP("940157P4 Muni","CPN")</f>
        <v>5</v>
      </c>
      <c r="K208" t="str">
        <f>_xll.BDP("940157P4 Muni","MATURITY")</f>
        <v>6/15/2026</v>
      </c>
      <c r="L208">
        <v>11095000</v>
      </c>
      <c r="M208">
        <f>_xll.BDP("940157P4 Muni","YIELD_ON_ISSUE_DATE")</f>
        <v>1.9100000000000001</v>
      </c>
      <c r="N208">
        <f>_xll.BDP("940157P4 Muni","YTW_SPREAD_TO_MATURITY_AT_ISSU")</f>
        <v>3.9895479452054738</v>
      </c>
      <c r="O208" t="str">
        <f>_xll.BDP("940157P4 Muni","BVAL_MID_YTM")</f>
        <v>#N/A Authorization</v>
      </c>
      <c r="P208" t="str">
        <f>_xll.BDP("940157P4 Muni","MUNI_TAX_PROV")</f>
        <v>FED &amp; ST TAX-EXEMPT</v>
      </c>
      <c r="Q208" t="str">
        <f>_xll.BDP("940157P4 Muni","MUNI_FED_TAX")</f>
        <v>N</v>
      </c>
      <c r="R208">
        <f>_xll.BDP("940157P4 Muni","MUNI_MSRB_VOLUME")</f>
        <v>10000</v>
      </c>
      <c r="S208" t="str">
        <f>_xll.BDP("940157P4 Muni","BB_COMPOSITE")</f>
        <v>AAA</v>
      </c>
      <c r="T208">
        <f>_xll.BDP("940157P4 Muni","LQA_LIQUIDITY_SCORE")</f>
        <v>78</v>
      </c>
    </row>
    <row r="209" spans="1:20" x14ac:dyDescent="0.25">
      <c r="A209" t="str">
        <f>_xll.BDP("951428DC Muni","ID_CUSIP")</f>
        <v>951428DC2</v>
      </c>
      <c r="B209" t="s">
        <v>139</v>
      </c>
      <c r="C209" t="str">
        <f>_xll.BDP("951428DC Muni","INSURANCE_STATUS")</f>
        <v>N</v>
      </c>
      <c r="D209" t="str">
        <f>_xll.BDP("951428DC Muni","STATE_CODE")</f>
        <v>WI</v>
      </c>
      <c r="E209" t="str">
        <f>_xll.BDP("951428DC Muni","COUNTY_LOCATION_ISSUER")</f>
        <v>Washington, WI</v>
      </c>
      <c r="F209">
        <f>_xll.BDP("951428DC Muni","DUR_ADJ_MID")</f>
        <v>1.5235475014045186</v>
      </c>
      <c r="G209">
        <f>_xll.BDP("951428DC Muni","SPREAD_AT_ISSUANCE_TO_WORST")</f>
        <v>28.237032185021715</v>
      </c>
      <c r="H209" t="str">
        <f>_xll.BDP("951428DC Muni","ISSUE_DT")</f>
        <v>5/11/2017</v>
      </c>
      <c r="I209" t="str">
        <f>_xll.BDS("951428DC Muni","MUNI_PURPOSE_SCHED", "aggregate=y")</f>
        <v>PUBLIC IMPS. WATER UTILITY IMPS.</v>
      </c>
      <c r="J209">
        <f>_xll.BDP("951428DC Muni","CPN")</f>
        <v>3</v>
      </c>
      <c r="K209" t="str">
        <f>_xll.BDP("951428DC Muni","MATURITY")</f>
        <v>3/1/2024</v>
      </c>
      <c r="L209">
        <v>285000</v>
      </c>
      <c r="M209">
        <f>_xll.BDP("951428DC Muni","YIELD_ON_ISSUE_DATE")</f>
        <v>1.95</v>
      </c>
      <c r="N209">
        <f>_xll.BDP("951428DC Muni","YTW_SPREAD_TO_MATURITY_AT_ISSU")</f>
        <v>28.237032185021715</v>
      </c>
      <c r="O209" t="str">
        <f>_xll.BDP("951428DC Muni","BVAL_MID_YTM")</f>
        <v>#N/A Authorization</v>
      </c>
      <c r="P209" t="str">
        <f>_xll.BDP("951428DC Muni","MUNI_TAX_PROV")</f>
        <v>FED BQ/ST TAXABLE</v>
      </c>
      <c r="Q209" t="str">
        <f>_xll.BDP("951428DC Muni","MUNI_FED_TAX")</f>
        <v>N</v>
      </c>
      <c r="R209" t="str">
        <f>_xll.BDP("951428DC Muni","MUNI_MSRB_VOLUME")</f>
        <v>#N/A N/A</v>
      </c>
      <c r="S209" t="str">
        <f>_xll.BDP("951428DC Muni","BB_COMPOSITE")</f>
        <v>#N/A N/A</v>
      </c>
      <c r="T209">
        <f>_xll.BDP("951428DC Muni","LQA_LIQUIDITY_SCORE")</f>
        <v>82</v>
      </c>
    </row>
    <row r="210" spans="1:20" x14ac:dyDescent="0.25">
      <c r="A210" t="str">
        <f>_xll.BDP("086377DE Muni","ID_CUSIP")</f>
        <v>086377DE5</v>
      </c>
      <c r="B210" t="s">
        <v>140</v>
      </c>
      <c r="C210" t="str">
        <f>_xll.BDP("086377DE Muni","INSURANCE_STATUS")</f>
        <v>Y</v>
      </c>
      <c r="D210" t="str">
        <f>_xll.BDP("086377DE Muni","STATE_CODE")</f>
        <v>AL</v>
      </c>
      <c r="E210" t="str">
        <f>_xll.BDP("086377DE Muni","COUNTY_LOCATION_ISSUER")</f>
        <v>Jefferson, AL</v>
      </c>
      <c r="F210">
        <f>_xll.BDP("086377DE Muni","DUR_ADJ_MID")</f>
        <v>3.4890139468440675</v>
      </c>
      <c r="G210">
        <f>_xll.BDP("086377DE Muni","SPREAD_AT_ISSUANCE_TO_WORST")</f>
        <v>44.864821917808229</v>
      </c>
      <c r="H210" t="str">
        <f>_xll.BDP("086377DE Muni","ISSUE_DT")</f>
        <v>11/9/2017</v>
      </c>
      <c r="I210" t="str">
        <f>_xll.BDS("086377DE Muni","MUNI_PURPOSE_SCHED", "aggregate=y")</f>
        <v>REFUNDING BONDS WATER UTILITY IMPS.</v>
      </c>
      <c r="J210">
        <f>_xll.BDP("086377DE Muni","CPN")</f>
        <v>5</v>
      </c>
      <c r="K210" t="str">
        <f>_xll.BDP("086377DE Muni","MATURITY")</f>
        <v>6/1/2026</v>
      </c>
      <c r="L210">
        <v>1905000</v>
      </c>
      <c r="M210">
        <f>_xll.BDP("086377DE Muni","YIELD_ON_ISSUE_DATE")</f>
        <v>2.33</v>
      </c>
      <c r="N210">
        <f>_xll.BDP("086377DE Muni","YTW_SPREAD_TO_MATURITY_AT_ISSU")</f>
        <v>44.864821917808229</v>
      </c>
      <c r="O210" t="str">
        <f>_xll.BDP("086377DE Muni","BVAL_MID_YTM")</f>
        <v>#N/A Authorization</v>
      </c>
      <c r="P210" t="str">
        <f>_xll.BDP("086377DE Muni","MUNI_TAX_PROV")</f>
        <v>FED &amp; ST TAX-EXEMPT</v>
      </c>
      <c r="Q210" t="str">
        <f>_xll.BDP("086377DE Muni","MUNI_FED_TAX")</f>
        <v>N</v>
      </c>
      <c r="R210" t="str">
        <f>_xll.BDP("086377DE Muni","MUNI_MSRB_VOLUME")</f>
        <v>#N/A N/A</v>
      </c>
      <c r="S210" t="str">
        <f>_xll.BDP("086377DE Muni","BB_COMPOSITE")</f>
        <v>A+</v>
      </c>
      <c r="T210">
        <f>_xll.BDP("086377DE Muni","LQA_LIQUIDITY_SCORE")</f>
        <v>72</v>
      </c>
    </row>
    <row r="211" spans="1:20" x14ac:dyDescent="0.25">
      <c r="A211" t="str">
        <f>_xll.BDP("187882PG Muni","ID_CUSIP")</f>
        <v>187882PG4</v>
      </c>
      <c r="B211" t="s">
        <v>141</v>
      </c>
      <c r="C211" t="str">
        <f>_xll.BDP("187882PG Muni","INSURANCE_STATUS")</f>
        <v>N</v>
      </c>
      <c r="D211" t="str">
        <f>_xll.BDP("187882PG Muni","STATE_CODE")</f>
        <v>MA</v>
      </c>
      <c r="E211" t="str">
        <f>_xll.BDP("187882PG Muni","COUNTY_LOCATION_ISSUER")</f>
        <v>Worcester, MA</v>
      </c>
      <c r="F211">
        <f>_xll.BDP("187882PG Muni","DUR_ADJ_MID")</f>
        <v>2.7083662307717078</v>
      </c>
      <c r="G211">
        <f>_xll.BDP("187882PG Muni","SPREAD_AT_ISSUANCE_TO_WORST")</f>
        <v>18.961258708679573</v>
      </c>
      <c r="H211" t="str">
        <f>_xll.BDP("187882PG Muni","ISSUE_DT")</f>
        <v>6/29/2017</v>
      </c>
      <c r="I211" t="str">
        <f>_xll.BDS("187882PG Muni","MUNI_PURPOSE_SCHED", "aggregate=y")</f>
        <v>REFUNDING NOTES PUBLIC IMPS. WATER UTILITY IMPS.</v>
      </c>
      <c r="J211">
        <f>_xll.BDP("187882PG Muni","CPN")</f>
        <v>4</v>
      </c>
      <c r="K211" t="str">
        <f>_xll.BDP("187882PG Muni","MATURITY")</f>
        <v>6/15/2025</v>
      </c>
      <c r="L211">
        <v>240000</v>
      </c>
      <c r="M211">
        <f>_xll.BDP("187882PG Muni","YIELD_ON_ISSUE_DATE")</f>
        <v>1.83</v>
      </c>
      <c r="N211">
        <f>_xll.BDP("187882PG Muni","YTW_SPREAD_TO_MATURITY_AT_ISSU")</f>
        <v>18.961258708679573</v>
      </c>
      <c r="O211" t="str">
        <f>_xll.BDP("187882PG Muni","BVAL_MID_YTM")</f>
        <v>#N/A Authorization</v>
      </c>
      <c r="P211" t="str">
        <f>_xll.BDP("187882PG Muni","MUNI_TAX_PROV")</f>
        <v>FED BQ/ST TAX-EXEMPT</v>
      </c>
      <c r="Q211" t="str">
        <f>_xll.BDP("187882PG Muni","MUNI_FED_TAX")</f>
        <v>N</v>
      </c>
      <c r="R211" t="str">
        <f>_xll.BDP("187882PG Muni","MUNI_MSRB_VOLUME")</f>
        <v>#N/A N/A</v>
      </c>
      <c r="S211" t="str">
        <f>_xll.BDP("187882PG Muni","BB_COMPOSITE")</f>
        <v>#N/A N/A</v>
      </c>
      <c r="T211">
        <f>_xll.BDP("187882PG Muni","LQA_LIQUIDITY_SCORE")</f>
        <v>74</v>
      </c>
    </row>
    <row r="212" spans="1:20" x14ac:dyDescent="0.25">
      <c r="A212" t="str">
        <f>_xll.BDP("682709QU Muni","ID_CUSIP")</f>
        <v>682709QU7</v>
      </c>
      <c r="B212" t="s">
        <v>142</v>
      </c>
      <c r="C212" t="str">
        <f>_xll.BDP("682709QU Muni","INSURANCE_STATUS")</f>
        <v>Y</v>
      </c>
      <c r="D212" t="str">
        <f>_xll.BDP("682709QU Muni","STATE_CODE")</f>
        <v>NY</v>
      </c>
      <c r="E212" t="str">
        <f>_xll.BDP("682709QU Muni","COUNTY_LOCATION_ISSUER")</f>
        <v>Otsego, NY</v>
      </c>
      <c r="F212">
        <f>_xll.BDP("682709QU Muni","DUR_ADJ_MID")</f>
        <v>0.7764145514471974</v>
      </c>
      <c r="G212">
        <f>_xll.BDP("682709QU Muni","SPREAD_AT_ISSUANCE_TO_WORST")</f>
        <v>23.820173937998668</v>
      </c>
      <c r="H212" t="str">
        <f>_xll.BDP("682709QU Muni","ISSUE_DT")</f>
        <v>5/18/2017</v>
      </c>
      <c r="I212" t="str">
        <f>_xll.BDS("682709QU Muni","MUNI_PURPOSE_SCHED", "aggregate=y")</f>
        <v>PUBLIC IMPS. WATER UTILITY IMPS.</v>
      </c>
      <c r="J212">
        <f>_xll.BDP("682709QU Muni","CPN")</f>
        <v>2</v>
      </c>
      <c r="K212" t="str">
        <f>_xll.BDP("682709QU Muni","MATURITY")</f>
        <v>5/15/2023</v>
      </c>
      <c r="L212">
        <v>245000</v>
      </c>
      <c r="M212">
        <f>_xll.BDP("682709QU Muni","YIELD_ON_ISSUE_DATE")</f>
        <v>1.8</v>
      </c>
      <c r="N212">
        <f>_xll.BDP("682709QU Muni","YTW_SPREAD_TO_MATURITY_AT_ISSU")</f>
        <v>23.820173937998668</v>
      </c>
      <c r="O212" t="str">
        <f>_xll.BDP("682709QU Muni","BVAL_MID_YTM")</f>
        <v>#N/A Authorization</v>
      </c>
      <c r="P212" t="str">
        <f>_xll.BDP("682709QU Muni","MUNI_TAX_PROV")</f>
        <v>FED BQ/ST TAX-EXEMPT</v>
      </c>
      <c r="Q212" t="str">
        <f>_xll.BDP("682709QU Muni","MUNI_FED_TAX")</f>
        <v>N</v>
      </c>
      <c r="R212" t="str">
        <f>_xll.BDP("682709QU Muni","MUNI_MSRB_VOLUME")</f>
        <v>#N/A N/A</v>
      </c>
      <c r="S212" t="str">
        <f>_xll.BDP("682709QU Muni","BB_COMPOSITE")</f>
        <v>#N/A N/A</v>
      </c>
      <c r="T212">
        <f>_xll.BDP("682709QU Muni","LQA_LIQUIDITY_SCORE")</f>
        <v>86</v>
      </c>
    </row>
    <row r="213" spans="1:20" x14ac:dyDescent="0.25">
      <c r="A213" t="str">
        <f>_xll.BDP("686084KC Muni","ID_CUSIP")</f>
        <v>686084KC7</v>
      </c>
      <c r="B213" t="s">
        <v>143</v>
      </c>
      <c r="C213" t="str">
        <f>_xll.BDP("686084KC Muni","INSURANCE_STATUS")</f>
        <v>N</v>
      </c>
      <c r="D213" t="str">
        <f>_xll.BDP("686084KC Muni","STATE_CODE")</f>
        <v>WI</v>
      </c>
      <c r="E213" t="str">
        <f>_xll.BDP("686084KC Muni","COUNTY_LOCATION_ISSUER")</f>
        <v>Dane, WI</v>
      </c>
      <c r="F213">
        <f>_xll.BDP("686084KC Muni","DUR_ADJ_MID")</f>
        <v>0.56813571336938129</v>
      </c>
      <c r="G213">
        <f>_xll.BDP("686084KC Muni","SPREAD_AT_ISSUANCE_TO_WORST")</f>
        <v>16.000038502383607</v>
      </c>
      <c r="H213" t="str">
        <f>_xll.BDP("686084KC Muni","ISSUE_DT")</f>
        <v>6/8/2017</v>
      </c>
      <c r="I213" t="str">
        <f>_xll.BDS("686084KC Muni","MUNI_PURPOSE_SCHED", "aggregate=y")</f>
        <v>PUBLIC IMPS. WATER UTILITY IMPS. SEWER IMPS.</v>
      </c>
      <c r="J213">
        <f>_xll.BDP("686084KC Muni","CPN")</f>
        <v>3</v>
      </c>
      <c r="K213" t="str">
        <f>_xll.BDP("686084KC Muni","MATURITY")</f>
        <v>3/1/2023</v>
      </c>
      <c r="L213">
        <v>120000</v>
      </c>
      <c r="M213">
        <f>_xll.BDP("686084KC Muni","YIELD_ON_ISSUE_DATE")</f>
        <v>1.6500000000000001</v>
      </c>
      <c r="N213">
        <f>_xll.BDP("686084KC Muni","YTW_SPREAD_TO_MATURITY_AT_ISSU")</f>
        <v>16.000038502383607</v>
      </c>
      <c r="O213" t="str">
        <f>_xll.BDP("686084KC Muni","BVAL_MID_YTM")</f>
        <v>#N/A Authorization</v>
      </c>
      <c r="P213" t="str">
        <f>_xll.BDP("686084KC Muni","MUNI_TAX_PROV")</f>
        <v>FED BQ/ST TAXABLE</v>
      </c>
      <c r="Q213" t="str">
        <f>_xll.BDP("686084KC Muni","MUNI_FED_TAX")</f>
        <v>N</v>
      </c>
      <c r="R213">
        <f>_xll.BDP("686084KC Muni","MUNI_MSRB_VOLUME")</f>
        <v>50000</v>
      </c>
      <c r="S213" t="str">
        <f>_xll.BDP("686084KC Muni","BB_COMPOSITE")</f>
        <v>#N/A N/A</v>
      </c>
      <c r="T213">
        <f>_xll.BDP("686084KC Muni","LQA_LIQUIDITY_SCORE")</f>
        <v>87</v>
      </c>
    </row>
    <row r="214" spans="1:20" x14ac:dyDescent="0.25">
      <c r="A214" t="str">
        <f>_xll.BDP("686084KD Muni","ID_CUSIP")</f>
        <v>686084KD5</v>
      </c>
      <c r="B214" t="s">
        <v>143</v>
      </c>
      <c r="C214" t="str">
        <f>_xll.BDP("686084KD Muni","INSURANCE_STATUS")</f>
        <v>N</v>
      </c>
      <c r="D214" t="str">
        <f>_xll.BDP("686084KD Muni","STATE_CODE")</f>
        <v>WI</v>
      </c>
      <c r="E214" t="str">
        <f>_xll.BDP("686084KD Muni","COUNTY_LOCATION_ISSUER")</f>
        <v>Dane, WI</v>
      </c>
      <c r="F214">
        <f>_xll.BDP("686084KD Muni","DUR_ADJ_MID")</f>
        <v>1.5243039398470859</v>
      </c>
      <c r="G214">
        <f>_xll.BDP("686084KD Muni","SPREAD_AT_ISSUANCE_TO_WORST")</f>
        <v>14.585989157542233</v>
      </c>
      <c r="H214" t="str">
        <f>_xll.BDP("686084KD Muni","ISSUE_DT")</f>
        <v>6/8/2017</v>
      </c>
      <c r="I214" t="str">
        <f>_xll.BDS("686084KD Muni","MUNI_PURPOSE_SCHED", "aggregate=y")</f>
        <v>PUBLIC IMPS. WATER UTILITY IMPS. SEWER IMPS.</v>
      </c>
      <c r="J214">
        <f>_xll.BDP("686084KD Muni","CPN")</f>
        <v>3</v>
      </c>
      <c r="K214" t="str">
        <f>_xll.BDP("686084KD Muni","MATURITY")</f>
        <v>3/1/2024</v>
      </c>
      <c r="L214">
        <v>120000</v>
      </c>
      <c r="M214">
        <f>_xll.BDP("686084KD Muni","YIELD_ON_ISSUE_DATE")</f>
        <v>1.8</v>
      </c>
      <c r="N214">
        <f>_xll.BDP("686084KD Muni","YTW_SPREAD_TO_MATURITY_AT_ISSU")</f>
        <v>14.585989157542233</v>
      </c>
      <c r="O214" t="str">
        <f>_xll.BDP("686084KD Muni","BVAL_MID_YTM")</f>
        <v>#N/A Authorization</v>
      </c>
      <c r="P214" t="str">
        <f>_xll.BDP("686084KD Muni","MUNI_TAX_PROV")</f>
        <v>FED BQ/ST TAXABLE</v>
      </c>
      <c r="Q214" t="str">
        <f>_xll.BDP("686084KD Muni","MUNI_FED_TAX")</f>
        <v>N</v>
      </c>
      <c r="R214" t="str">
        <f>_xll.BDP("686084KD Muni","MUNI_MSRB_VOLUME")</f>
        <v>#N/A N/A</v>
      </c>
      <c r="S214" t="str">
        <f>_xll.BDP("686084KD Muni","BB_COMPOSITE")</f>
        <v>#N/A N/A</v>
      </c>
      <c r="T214">
        <f>_xll.BDP("686084KD Muni","LQA_LIQUIDITY_SCORE")</f>
        <v>85</v>
      </c>
    </row>
    <row r="215" spans="1:20" x14ac:dyDescent="0.25">
      <c r="A215" t="str">
        <f>_xll.BDP("755417A2 Muni","ID_CUSIP")</f>
        <v>755417A28</v>
      </c>
      <c r="B215" t="s">
        <v>74</v>
      </c>
      <c r="C215" t="str">
        <f>_xll.BDP("755417A2 Muni","INSURANCE_STATUS")</f>
        <v>N</v>
      </c>
      <c r="D215" t="str">
        <f>_xll.BDP("755417A2 Muni","STATE_CODE")</f>
        <v>MA</v>
      </c>
      <c r="E215" t="str">
        <f>_xll.BDP("755417A2 Muni","COUNTY_LOCATION_ISSUER")</f>
        <v>Middlesex, MA</v>
      </c>
      <c r="F215">
        <f>_xll.BDP("755417A2 Muni","DUR_ADJ_MID")</f>
        <v>2.7090989294610841</v>
      </c>
      <c r="G215">
        <f>_xll.BDP("755417A2 Muni","SPREAD_AT_ISSUANCE_TO_WORST")</f>
        <v>-4.487773769751624</v>
      </c>
      <c r="H215" t="str">
        <f>_xll.BDP("755417A2 Muni","ISSUE_DT")</f>
        <v>6/30/2017</v>
      </c>
      <c r="I215" t="str">
        <f>_xll.BDS("755417A2 Muni","MUNI_PURPOSE_SCHED", "aggregate=y")</f>
        <v>WATER UTILITY IMPS. SEWER IMPS. PUBLIC IMPS.</v>
      </c>
      <c r="J215">
        <f>_xll.BDP("755417A2 Muni","CPN")</f>
        <v>4</v>
      </c>
      <c r="K215" t="str">
        <f>_xll.BDP("755417A2 Muni","MATURITY")</f>
        <v>6/15/2025</v>
      </c>
      <c r="L215">
        <v>715000</v>
      </c>
      <c r="M215">
        <f>_xll.BDP("755417A2 Muni","YIELD_ON_ISSUE_DATE")</f>
        <v>1.6</v>
      </c>
      <c r="N215">
        <f>_xll.BDP("755417A2 Muni","YTW_SPREAD_TO_MATURITY_AT_ISSU")</f>
        <v>-4.487773769751624</v>
      </c>
      <c r="O215" t="str">
        <f>_xll.BDP("755417A2 Muni","BVAL_MID_YTM")</f>
        <v>#N/A Authorization</v>
      </c>
      <c r="P215" t="str">
        <f>_xll.BDP("755417A2 Muni","MUNI_TAX_PROV")</f>
        <v>FED BQ/ST TAX-EXEMPT</v>
      </c>
      <c r="Q215" t="str">
        <f>_xll.BDP("755417A2 Muni","MUNI_FED_TAX")</f>
        <v>N</v>
      </c>
      <c r="R215" t="str">
        <f>_xll.BDP("755417A2 Muni","MUNI_MSRB_VOLUME")</f>
        <v>#N/A N/A</v>
      </c>
      <c r="S215" t="str">
        <f>_xll.BDP("755417A2 Muni","BB_COMPOSITE")</f>
        <v>#N/A N/A</v>
      </c>
      <c r="T215">
        <f>_xll.BDP("755417A2 Muni","LQA_LIQUIDITY_SCORE")</f>
        <v>80</v>
      </c>
    </row>
    <row r="216" spans="1:20" x14ac:dyDescent="0.25">
      <c r="A216" t="str">
        <f>_xll.BDP("695283DA Muni","ID_CUSIP")</f>
        <v>695283DA6</v>
      </c>
      <c r="B216" t="s">
        <v>34</v>
      </c>
      <c r="C216" t="str">
        <f>_xll.BDP("695283DA Muni","INSURANCE_STATUS")</f>
        <v>N</v>
      </c>
      <c r="D216" t="str">
        <f>_xll.BDP("695283DA Muni","STATE_CODE")</f>
        <v>CA</v>
      </c>
      <c r="E216" t="str">
        <f>_xll.BDP("695283DA Muni","COUNTY_LOCATION_ISSUER")</f>
        <v>San Diego, CA</v>
      </c>
      <c r="F216">
        <f>_xll.BDP("695283DA Muni","DUR_ADJ_MID")</f>
        <v>3.7462884440530764</v>
      </c>
      <c r="G216">
        <f>_xll.BDP("695283DA Muni","SPREAD_AT_ISSUANCE_TO_WORST")</f>
        <v>8.1322886941561201</v>
      </c>
      <c r="H216" t="str">
        <f>_xll.BDP("695283DA Muni","ISSUE_DT")</f>
        <v>6/15/2017</v>
      </c>
      <c r="I216" t="str">
        <f>_xll.BDS("695283DA Muni","MUNI_PURPOSE_SCHED", "aggregate=y")</f>
        <v>ADVANCE REFUNDING WATER UTILITY IMPS.</v>
      </c>
      <c r="J216">
        <f>_xll.BDP("695283DA Muni","CPN")</f>
        <v>5</v>
      </c>
      <c r="K216" t="str">
        <f>_xll.BDP("695283DA Muni","MATURITY")</f>
        <v>10/1/2026</v>
      </c>
      <c r="L216">
        <v>1965000</v>
      </c>
      <c r="M216">
        <f>_xll.BDP("695283DA Muni","YIELD_ON_ISSUE_DATE")</f>
        <v>1.9100000000000001</v>
      </c>
      <c r="N216">
        <f>_xll.BDP("695283DA Muni","YTW_SPREAD_TO_MATURITY_AT_ISSU")</f>
        <v>8.1322886941561201</v>
      </c>
      <c r="O216" t="str">
        <f>_xll.BDP("695283DA Muni","BVAL_MID_YTM")</f>
        <v>#N/A Authorization</v>
      </c>
      <c r="P216" t="str">
        <f>_xll.BDP("695283DA Muni","MUNI_TAX_PROV")</f>
        <v>FED &amp; ST TAX-EXEMPT</v>
      </c>
      <c r="Q216" t="str">
        <f>_xll.BDP("695283DA Muni","MUNI_FED_TAX")</f>
        <v>N</v>
      </c>
      <c r="R216">
        <f>_xll.BDP("695283DA Muni","MUNI_MSRB_VOLUME")</f>
        <v>25000</v>
      </c>
      <c r="S216" t="str">
        <f>_xll.BDP("695283DA Muni","BB_COMPOSITE")</f>
        <v>AA+</v>
      </c>
      <c r="T216">
        <f>_xll.BDP("695283DA Muni","LQA_LIQUIDITY_SCORE")</f>
        <v>61</v>
      </c>
    </row>
    <row r="217" spans="1:20" x14ac:dyDescent="0.25">
      <c r="A217" t="str">
        <f>_xll.BDP("810489SY Muni","ID_CUSIP")</f>
        <v>810489SY1</v>
      </c>
      <c r="B217" t="s">
        <v>144</v>
      </c>
      <c r="C217" t="str">
        <f>_xll.BDP("810489SY Muni","INSURANCE_STATUS")</f>
        <v>N</v>
      </c>
      <c r="D217" t="str">
        <f>_xll.BDP("810489SY Muni","STATE_CODE")</f>
        <v>AZ</v>
      </c>
      <c r="E217" t="str">
        <f>_xll.BDP("810489SY Muni","COUNTY_LOCATION_ISSUER")</f>
        <v>Maricopa, AZ</v>
      </c>
      <c r="F217">
        <f>_xll.BDP("810489SY Muni","DUR_ADJ_MID")</f>
        <v>4.393488644873611</v>
      </c>
      <c r="G217">
        <f>_xll.BDP("810489SY Muni","SPREAD_AT_ISSUANCE_TO_WORST")</f>
        <v>13.330360811245834</v>
      </c>
      <c r="H217" t="str">
        <f>_xll.BDP("810489SY Muni","ISSUE_DT")</f>
        <v>5/24/2017</v>
      </c>
      <c r="I217" t="str">
        <f>_xll.BDS("810489SY Muni","MUNI_PURPOSE_SCHED", "aggregate=y")</f>
        <v>WATER UTILITY IMPS. SEWER IMPS.</v>
      </c>
      <c r="J217">
        <f>_xll.BDP("810489SY Muni","CPN")</f>
        <v>5</v>
      </c>
      <c r="K217" t="str">
        <f>_xll.BDP("810489SY Muni","MATURITY")</f>
        <v>7/1/2027</v>
      </c>
      <c r="L217">
        <v>1915000</v>
      </c>
      <c r="M217">
        <f>_xll.BDP("810489SY Muni","YIELD_ON_ISSUE_DATE")</f>
        <v>2.2800000000000002</v>
      </c>
      <c r="N217">
        <f>_xll.BDP("810489SY Muni","YTW_SPREAD_TO_MATURITY_AT_ISSU")</f>
        <v>13.330360811245834</v>
      </c>
      <c r="O217" t="str">
        <f>_xll.BDP("810489SY Muni","BVAL_MID_YTM")</f>
        <v>#N/A Authorization</v>
      </c>
      <c r="P217" t="str">
        <f>_xll.BDP("810489SY Muni","MUNI_TAX_PROV")</f>
        <v>FED &amp; ST TAX-EXEMPT</v>
      </c>
      <c r="Q217" t="str">
        <f>_xll.BDP("810489SY Muni","MUNI_FED_TAX")</f>
        <v>N</v>
      </c>
      <c r="R217">
        <f>_xll.BDP("810489SY Muni","MUNI_MSRB_VOLUME")</f>
        <v>50000</v>
      </c>
      <c r="S217" t="str">
        <f>_xll.BDP("810489SY Muni","BB_COMPOSITE")</f>
        <v>AA+</v>
      </c>
      <c r="T217">
        <f>_xll.BDP("810489SY Muni","LQA_LIQUIDITY_SCORE")</f>
        <v>66</v>
      </c>
    </row>
    <row r="218" spans="1:20" x14ac:dyDescent="0.25">
      <c r="A218" t="str">
        <f>_xll.BDP("118828HS Muni","ID_CUSIP")</f>
        <v>118828HS4</v>
      </c>
      <c r="B218" t="s">
        <v>94</v>
      </c>
      <c r="C218" t="str">
        <f>_xll.BDP("118828HS Muni","INSURANCE_STATUS")</f>
        <v>N</v>
      </c>
      <c r="D218" t="str">
        <f>_xll.BDP("118828HS Muni","STATE_CODE")</f>
        <v>TX</v>
      </c>
      <c r="E218" t="str">
        <f>_xll.BDP("118828HS Muni","COUNTY_LOCATION_ISSUER")</f>
        <v>Hays, TX</v>
      </c>
      <c r="F218">
        <f>_xll.BDP("118828HS Muni","DUR_ADJ_MID")</f>
        <v>4.4170661947986511</v>
      </c>
      <c r="G218">
        <f>_xll.BDP("118828HS Muni","SPREAD_AT_ISSUANCE_TO_WORST")</f>
        <v>20.808408219178066</v>
      </c>
      <c r="H218" t="str">
        <f>_xll.BDP("118828HS Muni","ISSUE_DT")</f>
        <v>12/6/2017</v>
      </c>
      <c r="I218" t="str">
        <f>_xll.BDS("118828HS Muni","MUNI_PURPOSE_SCHED", "aggregate=y")</f>
        <v>WATER UTILITY IMPS. SEWER IMPS.</v>
      </c>
      <c r="J218">
        <f>_xll.BDP("118828HS Muni","CPN")</f>
        <v>5</v>
      </c>
      <c r="K218" t="str">
        <f>_xll.BDP("118828HS Muni","MATURITY")</f>
        <v>8/15/2027</v>
      </c>
      <c r="L218">
        <v>1005000</v>
      </c>
      <c r="M218">
        <f>_xll.BDP("118828HS Muni","YIELD_ON_ISSUE_DATE")</f>
        <v>2.13</v>
      </c>
      <c r="N218">
        <f>_xll.BDP("118828HS Muni","YTW_SPREAD_TO_MATURITY_AT_ISSU")</f>
        <v>20.808408219178066</v>
      </c>
      <c r="O218" t="str">
        <f>_xll.BDP("118828HS Muni","BVAL_MID_YTM")</f>
        <v>#N/A Authorization</v>
      </c>
      <c r="P218" t="str">
        <f>_xll.BDP("118828HS Muni","MUNI_TAX_PROV")</f>
        <v>FED TAX-EXEMPT</v>
      </c>
      <c r="Q218" t="str">
        <f>_xll.BDP("118828HS Muni","MUNI_FED_TAX")</f>
        <v>N</v>
      </c>
      <c r="R218">
        <f>_xll.BDP("118828HS Muni","MUNI_MSRB_VOLUME")</f>
        <v>30000</v>
      </c>
      <c r="S218" t="str">
        <f>_xll.BDP("118828HS Muni","BB_COMPOSITE")</f>
        <v>#N/A N/A</v>
      </c>
      <c r="T218">
        <f>_xll.BDP("118828HS Muni","LQA_LIQUIDITY_SCORE")</f>
        <v>62</v>
      </c>
    </row>
    <row r="219" spans="1:20" x14ac:dyDescent="0.25">
      <c r="A219" t="str">
        <f>_xll.BDP("298163DK Muni","ID_CUSIP")</f>
        <v>298163DK9</v>
      </c>
      <c r="B219" t="s">
        <v>79</v>
      </c>
      <c r="C219" t="str">
        <f>_xll.BDP("298163DK Muni","INSURANCE_STATUS")</f>
        <v>Y</v>
      </c>
      <c r="D219" t="str">
        <f>_xll.BDP("298163DK Muni","STATE_CODE")</f>
        <v>AL</v>
      </c>
      <c r="E219" t="str">
        <f>_xll.BDP("298163DK Muni","COUNTY_LOCATION_ISSUER")</f>
        <v>Barbour, AL</v>
      </c>
      <c r="F219">
        <f>_xll.BDP("298163DK Muni","DUR_ADJ_MID")</f>
        <v>0.65190102851709875</v>
      </c>
      <c r="G219">
        <f>_xll.BDP("298163DK Muni","SPREAD_AT_ISSUANCE_TO_WORST")</f>
        <v>42.347262489633209</v>
      </c>
      <c r="H219" t="str">
        <f>_xll.BDP("298163DK Muni","ISSUE_DT")</f>
        <v>3/30/2017</v>
      </c>
      <c r="I219" t="str">
        <f>_xll.BDS("298163DK Muni","MUNI_PURPOSE_SCHED", "aggregate=y")</f>
        <v>WATER UTILITY IMPS. SEWER IMPS.</v>
      </c>
      <c r="J219">
        <f>_xll.BDP("298163DK Muni","CPN")</f>
        <v>3</v>
      </c>
      <c r="K219" t="str">
        <f>_xll.BDP("298163DK Muni","MATURITY")</f>
        <v>4/1/2023</v>
      </c>
      <c r="L219">
        <v>315000</v>
      </c>
      <c r="M219">
        <f>_xll.BDP("298163DK Muni","YIELD_ON_ISSUE_DATE")</f>
        <v>2.14</v>
      </c>
      <c r="N219">
        <f>_xll.BDP("298163DK Muni","YTW_SPREAD_TO_MATURITY_AT_ISSU")</f>
        <v>42.347262489633209</v>
      </c>
      <c r="O219" t="str">
        <f>_xll.BDP("298163DK Muni","BVAL_MID_YTM")</f>
        <v>#N/A Authorization</v>
      </c>
      <c r="P219" t="str">
        <f>_xll.BDP("298163DK Muni","MUNI_TAX_PROV")</f>
        <v>FED BQ/ST TAX-EXEMPT</v>
      </c>
      <c r="Q219" t="str">
        <f>_xll.BDP("298163DK Muni","MUNI_FED_TAX")</f>
        <v>N</v>
      </c>
      <c r="R219" t="str">
        <f>_xll.BDP("298163DK Muni","MUNI_MSRB_VOLUME")</f>
        <v>#N/A N/A</v>
      </c>
      <c r="S219" t="str">
        <f>_xll.BDP("298163DK Muni","BB_COMPOSITE")</f>
        <v>#N/A N/A</v>
      </c>
      <c r="T219">
        <f>_xll.BDP("298163DK Muni","LQA_LIQUIDITY_SCORE")</f>
        <v>97</v>
      </c>
    </row>
    <row r="220" spans="1:20" x14ac:dyDescent="0.25">
      <c r="A220" t="str">
        <f>_xll.BDP("427542LW Muni","ID_CUSIP")</f>
        <v>427542LW3</v>
      </c>
      <c r="B220" t="s">
        <v>145</v>
      </c>
      <c r="C220" t="str">
        <f>_xll.BDP("427542LW Muni","INSURANCE_STATUS")</f>
        <v>N</v>
      </c>
      <c r="D220" t="str">
        <f>_xll.BDP("427542LW Muni","STATE_CODE")</f>
        <v>OR</v>
      </c>
      <c r="E220" t="str">
        <f>_xll.BDP("427542LW Muni","COUNTY_LOCATION_ISSUER")</f>
        <v>Umatilla, OR</v>
      </c>
      <c r="F220">
        <f>_xll.BDP("427542LW Muni","DUR_ADJ_MID")</f>
        <v>1.5242117892879097</v>
      </c>
      <c r="G220">
        <f>_xll.BDP("427542LW Muni","SPREAD_AT_ISSUANCE_TO_WORST")</f>
        <v>4.1214952864925269</v>
      </c>
      <c r="H220" t="str">
        <f>_xll.BDP("427542LW Muni","ISSUE_DT")</f>
        <v>3/30/2017</v>
      </c>
      <c r="I220" t="str">
        <f>_xll.BDS("427542LW Muni","MUNI_PURPOSE_SCHED", "aggregate=y")</f>
        <v>PUBLIC IMPS. WATER UTILITY IMPS. SEWER IMPS.</v>
      </c>
      <c r="J220">
        <f>_xll.BDP("427542LW Muni","CPN")</f>
        <v>3</v>
      </c>
      <c r="K220" t="str">
        <f>_xll.BDP("427542LW Muni","MATURITY")</f>
        <v>3/1/2024</v>
      </c>
      <c r="L220">
        <v>300000</v>
      </c>
      <c r="M220">
        <f>_xll.BDP("427542LW Muni","YIELD_ON_ISSUE_DATE")</f>
        <v>2.1</v>
      </c>
      <c r="N220">
        <f>_xll.BDP("427542LW Muni","YTW_SPREAD_TO_MATURITY_AT_ISSU")</f>
        <v>4.1214952864925269</v>
      </c>
      <c r="O220" t="str">
        <f>_xll.BDP("427542LW Muni","BVAL_MID_YTM")</f>
        <v>#N/A Authorization</v>
      </c>
      <c r="P220" t="str">
        <f>_xll.BDP("427542LW Muni","MUNI_TAX_PROV")</f>
        <v>FED BQ/ST TAX-EXEMPT</v>
      </c>
      <c r="Q220" t="str">
        <f>_xll.BDP("427542LW Muni","MUNI_FED_TAX")</f>
        <v>N</v>
      </c>
      <c r="R220" t="str">
        <f>_xll.BDP("427542LW Muni","MUNI_MSRB_VOLUME")</f>
        <v>#N/A N/A</v>
      </c>
      <c r="S220" t="str">
        <f>_xll.BDP("427542LW Muni","BB_COMPOSITE")</f>
        <v>#N/A N/A</v>
      </c>
      <c r="T220">
        <f>_xll.BDP("427542LW Muni","LQA_LIQUIDITY_SCORE")</f>
        <v>82</v>
      </c>
    </row>
    <row r="221" spans="1:20" x14ac:dyDescent="0.25">
      <c r="A221" t="str">
        <f>_xll.BDP("349515XC Muni","ID_CUSIP")</f>
        <v>349515XC5</v>
      </c>
      <c r="B221" t="s">
        <v>100</v>
      </c>
      <c r="C221" t="str">
        <f>_xll.BDP("349515XC Muni","INSURANCE_STATUS")</f>
        <v>N</v>
      </c>
      <c r="D221" t="str">
        <f>_xll.BDP("349515XC Muni","STATE_CODE")</f>
        <v>TX</v>
      </c>
      <c r="E221" t="str">
        <f>_xll.BDP("349515XC Muni","COUNTY_LOCATION_ISSUER")</f>
        <v>Tarrant, TX</v>
      </c>
      <c r="F221">
        <f>_xll.BDP("349515XC Muni","DUR_ADJ_MID")</f>
        <v>1.4551157198823086</v>
      </c>
      <c r="G221">
        <f>_xll.BDP("349515XC Muni","SPREAD_AT_ISSUANCE_TO_WORST")</f>
        <v>10.30984215643076</v>
      </c>
      <c r="H221" t="str">
        <f>_xll.BDP("349515XC Muni","ISSUE_DT")</f>
        <v>5/15/2017</v>
      </c>
      <c r="I221" t="str">
        <f>_xll.BDS("349515XC Muni","MUNI_PURPOSE_SCHED", "aggregate=y")</f>
        <v>WATER UTILITY IMPS. SEWER IMPS. ADVANCE REFUNDING</v>
      </c>
      <c r="J221">
        <f>_xll.BDP("349515XC Muni","CPN")</f>
        <v>5</v>
      </c>
      <c r="K221" t="str">
        <f>_xll.BDP("349515XC Muni","MATURITY")</f>
        <v>2/15/2024</v>
      </c>
      <c r="L221">
        <v>3610000</v>
      </c>
      <c r="M221">
        <f>_xll.BDP("349515XC Muni","YIELD_ON_ISSUE_DATE")</f>
        <v>1.62</v>
      </c>
      <c r="N221">
        <f>_xll.BDP("349515XC Muni","YTW_SPREAD_TO_MATURITY_AT_ISSU")</f>
        <v>10.30984215643076</v>
      </c>
      <c r="O221" t="str">
        <f>_xll.BDP("349515XC Muni","BVAL_MID_YTM")</f>
        <v>#N/A Authorization</v>
      </c>
      <c r="P221" t="str">
        <f>_xll.BDP("349515XC Muni","MUNI_TAX_PROV")</f>
        <v>FED TAX-EXEMPT</v>
      </c>
      <c r="Q221" t="str">
        <f>_xll.BDP("349515XC Muni","MUNI_FED_TAX")</f>
        <v>N</v>
      </c>
      <c r="R221">
        <f>_xll.BDP("349515XC Muni","MUNI_MSRB_VOLUME")</f>
        <v>75000</v>
      </c>
      <c r="S221" t="str">
        <f>_xll.BDP("349515XC Muni","BB_COMPOSITE")</f>
        <v>AA</v>
      </c>
      <c r="T221">
        <f>_xll.BDP("349515XC Muni","LQA_LIQUIDITY_SCORE")</f>
        <v>92</v>
      </c>
    </row>
    <row r="222" spans="1:20" x14ac:dyDescent="0.25">
      <c r="A222" t="str">
        <f>_xll.BDP("197053AY Muni","ID_CUSIP")</f>
        <v>197053AY7</v>
      </c>
      <c r="B222" t="s">
        <v>106</v>
      </c>
      <c r="C222" t="str">
        <f>_xll.BDP("197053AY Muni","INSURANCE_STATUS")</f>
        <v>Y</v>
      </c>
      <c r="D222" t="str">
        <f>_xll.BDP("197053AY Muni","STATE_CODE")</f>
        <v>CA</v>
      </c>
      <c r="E222" t="str">
        <f>_xll.BDP("197053AY Muni","COUNTY_LOCATION_ISSUER")</f>
        <v>San Bernardino, CA</v>
      </c>
      <c r="F222">
        <f>_xll.BDP("197053AY Muni","DUR_ADJ_MID")</f>
        <v>0.56531889026263893</v>
      </c>
      <c r="G222">
        <f>_xll.BDP("197053AY Muni","SPREAD_AT_ISSUANCE_TO_WORST")</f>
        <v>6.0409163514228759</v>
      </c>
      <c r="H222" t="str">
        <f>_xll.BDP("197053AY Muni","ISSUE_DT")</f>
        <v>12/13/2017</v>
      </c>
      <c r="I222" t="str">
        <f>_xll.BDS("197053AY Muni","MUNI_PURPOSE_SCHED", "aggregate=y")</f>
        <v>WATER UTILITY IMPS. CURRENT REFUNDING</v>
      </c>
      <c r="J222">
        <f>_xll.BDP("197053AY Muni","CPN")</f>
        <v>5</v>
      </c>
      <c r="K222" t="str">
        <f>_xll.BDP("197053AY Muni","MATURITY")</f>
        <v>3/1/2023</v>
      </c>
      <c r="L222">
        <v>125000</v>
      </c>
      <c r="M222">
        <f>_xll.BDP("197053AY Muni","YIELD_ON_ISSUE_DATE")</f>
        <v>1.86</v>
      </c>
      <c r="N222" t="str">
        <f>_xll.BDP("197053AY Muni","YTW_SPREAD_TO_MATURITY_AT_ISSU")</f>
        <v>#N/A N/A</v>
      </c>
      <c r="O222" t="str">
        <f>_xll.BDP("197053AY Muni","BVAL_MID_YTM")</f>
        <v>#N/A Authorization</v>
      </c>
      <c r="P222" t="str">
        <f>_xll.BDP("197053AY Muni","MUNI_TAX_PROV")</f>
        <v>FED &amp; ST TAX-EXEMPT</v>
      </c>
      <c r="Q222" t="str">
        <f>_xll.BDP("197053AY Muni","MUNI_FED_TAX")</f>
        <v>N</v>
      </c>
      <c r="R222">
        <f>_xll.BDP("197053AY Muni","MUNI_MSRB_VOLUME")</f>
        <v>45000</v>
      </c>
      <c r="S222" t="str">
        <f>_xll.BDP("197053AY Muni","BB_COMPOSITE")</f>
        <v>#N/A N/A</v>
      </c>
      <c r="T222">
        <f>_xll.BDP("197053AY Muni","LQA_LIQUIDITY_SCORE")</f>
        <v>99</v>
      </c>
    </row>
    <row r="223" spans="1:20" x14ac:dyDescent="0.25">
      <c r="A223" t="str">
        <f>_xll.BDP("254845NG Muni","ID_CUSIP")</f>
        <v>254845NG1</v>
      </c>
      <c r="B223" t="s">
        <v>104</v>
      </c>
      <c r="C223" t="str">
        <f>_xll.BDP("254845NG Muni","INSURANCE_STATUS")</f>
        <v>N</v>
      </c>
      <c r="D223" t="str">
        <f>_xll.BDP("254845NG Muni","STATE_CODE")</f>
        <v>DC</v>
      </c>
      <c r="E223" t="str">
        <f>_xll.BDP("254845NG Muni","COUNTY_LOCATION_ISSUER")</f>
        <v>District of Columbia, 11</v>
      </c>
      <c r="F223">
        <f>_xll.BDP("254845NG Muni","DUR_ADJ_MID")</f>
        <v>2.9039075552717479</v>
      </c>
      <c r="G223">
        <f>_xll.BDP("254845NG Muni","SPREAD_AT_ISSUANCE_TO_WORST")</f>
        <v>13.535091837803037</v>
      </c>
      <c r="H223" t="str">
        <f>_xll.BDP("254845NG Muni","ISSUE_DT")</f>
        <v>2/23/2017</v>
      </c>
      <c r="I223" t="str">
        <f>_xll.BDS("254845NG Muni","MUNI_PURPOSE_SCHED", "aggregate=y")</f>
        <v>WATER UTILITY IMPS. SEWER IMPS.</v>
      </c>
      <c r="J223">
        <f>_xll.BDP("254845NG Muni","CPN")</f>
        <v>5</v>
      </c>
      <c r="K223" t="str">
        <f>_xll.BDP("254845NG Muni","MATURITY")</f>
        <v>10/1/2025</v>
      </c>
      <c r="L223">
        <v>5275000</v>
      </c>
      <c r="M223">
        <f>_xll.BDP("254845NG Muni","YIELD_ON_ISSUE_DATE")</f>
        <v>2.3199999999999998</v>
      </c>
      <c r="N223">
        <f>_xll.BDP("254845NG Muni","YTW_SPREAD_TO_MATURITY_AT_ISSU")</f>
        <v>13.535091837803037</v>
      </c>
      <c r="O223" t="str">
        <f>_xll.BDP("254845NG Muni","BVAL_MID_YTM")</f>
        <v>#N/A Authorization</v>
      </c>
      <c r="P223" t="str">
        <f>_xll.BDP("254845NG Muni","MUNI_TAX_PROV")</f>
        <v>FED &amp; ST TAX-EXEMPT</v>
      </c>
      <c r="Q223" t="str">
        <f>_xll.BDP("254845NG Muni","MUNI_FED_TAX")</f>
        <v>N</v>
      </c>
      <c r="R223">
        <f>_xll.BDP("254845NG Muni","MUNI_MSRB_VOLUME")</f>
        <v>50000</v>
      </c>
      <c r="S223" t="str">
        <f>_xll.BDP("254845NG Muni","BB_COMPOSITE")</f>
        <v>AA+</v>
      </c>
      <c r="T223">
        <f>_xll.BDP("254845NG Muni","LQA_LIQUIDITY_SCORE")</f>
        <v>82</v>
      </c>
    </row>
    <row r="224" spans="1:20" x14ac:dyDescent="0.25">
      <c r="A224" t="str">
        <f>_xll.BDP("34683CKV Muni","ID_CUSIP")</f>
        <v>34683CKV7</v>
      </c>
      <c r="B224" t="s">
        <v>146</v>
      </c>
      <c r="C224" t="str">
        <f>_xll.BDP("34683CKV Muni","INSURANCE_STATUS")</f>
        <v>Y</v>
      </c>
      <c r="D224" t="str">
        <f>_xll.BDP("34683CKV Muni","STATE_CODE")</f>
        <v>TX</v>
      </c>
      <c r="E224" t="str">
        <f>_xll.BDP("34683CKV Muni","COUNTY_LOCATION_ISSUER")</f>
        <v>Fort Bend, TX</v>
      </c>
      <c r="F224">
        <f>_xll.BDP("34683CKV Muni","DUR_ADJ_MID")</f>
        <v>8.0490304674271373E-2</v>
      </c>
      <c r="G224">
        <f>_xll.BDP("34683CKV Muni","SPREAD_AT_ISSUANCE_TO_WORST")</f>
        <v>75.755756968035655</v>
      </c>
      <c r="H224" t="str">
        <f>_xll.BDP("34683CKV Muni","ISSUE_DT")</f>
        <v>7/1/2017</v>
      </c>
      <c r="I224" t="str">
        <f>_xll.BDS("34683CKV Muni","MUNI_PURPOSE_SCHED", "aggregate=y")</f>
        <v>WATER UTILITY IMPS. SEWER IMPS. REFUNDING NOTES</v>
      </c>
      <c r="J224">
        <f>_xll.BDP("34683CKV Muni","CPN")</f>
        <v>2</v>
      </c>
      <c r="K224" t="str">
        <f>_xll.BDP("34683CKV Muni","MATURITY")</f>
        <v>9/1/2022</v>
      </c>
      <c r="L224">
        <v>500000</v>
      </c>
      <c r="M224">
        <f>_xll.BDP("34683CKV Muni","YIELD_ON_ISSUE_DATE")</f>
        <v>2.0499999999999998</v>
      </c>
      <c r="N224">
        <f>_xll.BDP("34683CKV Muni","YTW_SPREAD_TO_MATURITY_AT_ISSU")</f>
        <v>75.755756968035655</v>
      </c>
      <c r="O224" t="str">
        <f>_xll.BDP("34683CKV Muni","BVAL_MID_YTM")</f>
        <v>#N/A Authorization</v>
      </c>
      <c r="P224" t="str">
        <f>_xll.BDP("34683CKV Muni","MUNI_TAX_PROV")</f>
        <v>FED TAX-EXEMPT</v>
      </c>
      <c r="Q224" t="str">
        <f>_xll.BDP("34683CKV Muni","MUNI_FED_TAX")</f>
        <v>N</v>
      </c>
      <c r="R224" t="str">
        <f>_xll.BDP("34683CKV Muni","MUNI_MSRB_VOLUME")</f>
        <v>#N/A N/A</v>
      </c>
      <c r="S224" t="str">
        <f>_xll.BDP("34683CKV Muni","BB_COMPOSITE")</f>
        <v>A+</v>
      </c>
      <c r="T224">
        <f>_xll.BDP("34683CKV Muni","LQA_LIQUIDITY_SCORE")</f>
        <v>99</v>
      </c>
    </row>
    <row r="225" spans="1:20" x14ac:dyDescent="0.25">
      <c r="A225" t="str">
        <f>_xll.BDP("46246K4B Muni","ID_CUSIP")</f>
        <v>46246K4B5</v>
      </c>
      <c r="B225" t="s">
        <v>28</v>
      </c>
      <c r="C225" t="str">
        <f>_xll.BDP("46246K4B Muni","INSURANCE_STATUS")</f>
        <v>N</v>
      </c>
      <c r="D225" t="str">
        <f>_xll.BDP("46246K4B Muni","STATE_CODE")</f>
        <v>IA</v>
      </c>
      <c r="E225" t="str">
        <f>_xll.BDP("46246K4B Muni","COUNTY_LOCATION_ISSUER")</f>
        <v>Polk, IA</v>
      </c>
      <c r="F225">
        <f>_xll.BDP("46246K4B Muni","DUR_ADJ_MID")</f>
        <v>4.480411352166052</v>
      </c>
      <c r="G225">
        <f>_xll.BDP("46246K4B Muni","SPREAD_AT_ISSUANCE_TO_WORST")</f>
        <v>16.243797260273986</v>
      </c>
      <c r="H225" t="str">
        <f>_xll.BDP("46246K4B Muni","ISSUE_DT")</f>
        <v>12/14/2017</v>
      </c>
      <c r="I225" t="str">
        <f>_xll.BDS("46246K4B Muni","MUNI_PURPOSE_SCHED", "aggregate=y")</f>
        <v>WATER UTILITY IMPS. GREEN PURPOSE ADVANCE REFUNDING</v>
      </c>
      <c r="J225">
        <f>_xll.BDP("46246K4B Muni","CPN")</f>
        <v>5</v>
      </c>
      <c r="K225" t="str">
        <f>_xll.BDP("46246K4B Muni","MATURITY")</f>
        <v>8/1/2027</v>
      </c>
      <c r="L225">
        <v>28100000</v>
      </c>
      <c r="M225">
        <f>_xll.BDP("46246K4B Muni","YIELD_ON_ISSUE_DATE")</f>
        <v>2.2800000000000002</v>
      </c>
      <c r="N225">
        <f>_xll.BDP("46246K4B Muni","YTW_SPREAD_TO_MATURITY_AT_ISSU")</f>
        <v>16.243797260273986</v>
      </c>
      <c r="O225" t="str">
        <f>_xll.BDP("46246K4B Muni","BVAL_MID_YTM")</f>
        <v>#N/A Authorization</v>
      </c>
      <c r="P225" t="str">
        <f>_xll.BDP("46246K4B Muni","MUNI_TAX_PROV")</f>
        <v>FED &amp; ST TAX-EXEMPT</v>
      </c>
      <c r="Q225" t="str">
        <f>_xll.BDP("46246K4B Muni","MUNI_FED_TAX")</f>
        <v>N</v>
      </c>
      <c r="R225">
        <f>_xll.BDP("46246K4B Muni","MUNI_MSRB_VOLUME")</f>
        <v>50000</v>
      </c>
      <c r="S225" t="str">
        <f>_xll.BDP("46246K4B Muni","BB_COMPOSITE")</f>
        <v>AAA</v>
      </c>
      <c r="T225">
        <f>_xll.BDP("46246K4B Muni","LQA_LIQUIDITY_SCORE")</f>
        <v>71</v>
      </c>
    </row>
    <row r="226" spans="1:20" x14ac:dyDescent="0.25">
      <c r="A226" t="str">
        <f>_xll.BDP("49140M4N Muni","ID_CUSIP")</f>
        <v>49140M4N6</v>
      </c>
      <c r="B226" t="s">
        <v>135</v>
      </c>
      <c r="C226" t="str">
        <f>_xll.BDP("49140M4N Muni","INSURANCE_STATUS")</f>
        <v>N</v>
      </c>
      <c r="D226" t="str">
        <f>_xll.BDP("49140M4N Muni","STATE_CODE")</f>
        <v>KY</v>
      </c>
      <c r="E226" t="str">
        <f>_xll.BDP("49140M4N Muni","COUNTY_LOCATION_ISSUER")</f>
        <v>Warren, KY</v>
      </c>
      <c r="F226">
        <f>_xll.BDP("49140M4N Muni","DUR_ADJ_MID")</f>
        <v>0.49449559867379683</v>
      </c>
      <c r="G226">
        <f>_xll.BDP("49140M4N Muni","SPREAD_AT_ISSUANCE_TO_WORST")</f>
        <v>70.671697046741457</v>
      </c>
      <c r="H226" t="str">
        <f>_xll.BDP("49140M4N Muni","ISSUE_DT")</f>
        <v>7/11/2017</v>
      </c>
      <c r="I226" t="str">
        <f>_xll.BDS("49140M4N Muni","MUNI_PURPOSE_SCHED", "aggregate=y")</f>
        <v>WATER UTILITY IMPS. SEWER IMPS. CURRENT REFUNDING</v>
      </c>
      <c r="J226">
        <f>_xll.BDP("49140M4N Muni","CPN")</f>
        <v>4</v>
      </c>
      <c r="K226" t="str">
        <f>_xll.BDP("49140M4N Muni","MATURITY")</f>
        <v>2/1/2023</v>
      </c>
      <c r="L226">
        <v>205000</v>
      </c>
      <c r="M226">
        <f>_xll.BDP("49140M4N Muni","YIELD_ON_ISSUE_DATE")</f>
        <v>2</v>
      </c>
      <c r="N226">
        <f>_xll.BDP("49140M4N Muni","YTW_SPREAD_TO_MATURITY_AT_ISSU")</f>
        <v>70.671697046741457</v>
      </c>
      <c r="O226" t="str">
        <f>_xll.BDP("49140M4N Muni","BVAL_MID_YTM")</f>
        <v>#N/A Authorization</v>
      </c>
      <c r="P226" t="str">
        <f>_xll.BDP("49140M4N Muni","MUNI_TAX_PROV")</f>
        <v>FED &amp; ST TAX-EXEMPT</v>
      </c>
      <c r="Q226" t="str">
        <f>_xll.BDP("49140M4N Muni","MUNI_FED_TAX")</f>
        <v>N</v>
      </c>
      <c r="R226">
        <f>_xll.BDP("49140M4N Muni","MUNI_MSRB_VOLUME")</f>
        <v>45000</v>
      </c>
      <c r="S226" t="str">
        <f>_xll.BDP("49140M4N Muni","BB_COMPOSITE")</f>
        <v>#N/A N/A</v>
      </c>
      <c r="T226">
        <f>_xll.BDP("49140M4N Muni","LQA_LIQUIDITY_SCORE")</f>
        <v>90</v>
      </c>
    </row>
    <row r="227" spans="1:20" x14ac:dyDescent="0.25">
      <c r="A227" t="str">
        <f>_xll.BDP("47875PBV Muni","ID_CUSIP")</f>
        <v>47875PBV8</v>
      </c>
      <c r="B227" t="s">
        <v>147</v>
      </c>
      <c r="C227" t="str">
        <f>_xll.BDP("47875PBV Muni","INSURANCE_STATUS")</f>
        <v>N</v>
      </c>
      <c r="D227" t="str">
        <f>_xll.BDP("47875PBV Muni","STATE_CODE")</f>
        <v>KS</v>
      </c>
      <c r="E227" t="str">
        <f>_xll.BDP("47875PBV Muni","COUNTY_LOCATION_ISSUER")</f>
        <v>Johnson, KS</v>
      </c>
      <c r="F227">
        <f>_xll.BDP("47875PBV Muni","DUR_ADJ_MID")</f>
        <v>2.2809819968414242</v>
      </c>
      <c r="G227">
        <f>_xll.BDP("47875PBV Muni","SPREAD_AT_ISSUANCE_TO_WORST")</f>
        <v>6.1720958904109668</v>
      </c>
      <c r="H227" t="str">
        <f>_xll.BDP("47875PBV Muni","ISSUE_DT")</f>
        <v>11/8/2017</v>
      </c>
      <c r="I227" t="str">
        <f>_xll.BDS("47875PBV Muni","MUNI_PURPOSE_SCHED", "aggregate=y")</f>
        <v>WATER UTILITY IMPS.</v>
      </c>
      <c r="J227">
        <f>_xll.BDP("47875PBV Muni","CPN")</f>
        <v>5</v>
      </c>
      <c r="K227" t="str">
        <f>_xll.BDP("47875PBV Muni","MATURITY")</f>
        <v>1/1/2025</v>
      </c>
      <c r="L227">
        <v>685000</v>
      </c>
      <c r="M227">
        <f>_xll.BDP("47875PBV Muni","YIELD_ON_ISSUE_DATE")</f>
        <v>1.75</v>
      </c>
      <c r="N227">
        <f>_xll.BDP("47875PBV Muni","YTW_SPREAD_TO_MATURITY_AT_ISSU")</f>
        <v>6.1720958904109668</v>
      </c>
      <c r="O227" t="str">
        <f>_xll.BDP("47875PBV Muni","BVAL_MID_YTM")</f>
        <v>#N/A Authorization</v>
      </c>
      <c r="P227" t="str">
        <f>_xll.BDP("47875PBV Muni","MUNI_TAX_PROV")</f>
        <v>FED &amp; ST TAX-EXEMPT</v>
      </c>
      <c r="Q227" t="str">
        <f>_xll.BDP("47875PBV Muni","MUNI_FED_TAX")</f>
        <v>N</v>
      </c>
      <c r="R227">
        <f>_xll.BDP("47875PBV Muni","MUNI_MSRB_VOLUME")</f>
        <v>25000</v>
      </c>
      <c r="S227" t="str">
        <f>_xll.BDP("47875PBV Muni","BB_COMPOSITE")</f>
        <v>AAA</v>
      </c>
      <c r="T227">
        <f>_xll.BDP("47875PBV Muni","LQA_LIQUIDITY_SCORE")</f>
        <v>83</v>
      </c>
    </row>
    <row r="228" spans="1:20" x14ac:dyDescent="0.25">
      <c r="A228" t="str">
        <f>_xll.BDP("479610DB Muni","ID_CUSIP")</f>
        <v>479610DB0</v>
      </c>
      <c r="B228" t="s">
        <v>148</v>
      </c>
      <c r="C228" t="str">
        <f>_xll.BDP("479610DB Muni","INSURANCE_STATUS")</f>
        <v>Y</v>
      </c>
      <c r="D228" t="str">
        <f>_xll.BDP("479610DB Muni","STATE_CODE")</f>
        <v>OH</v>
      </c>
      <c r="E228" t="str">
        <f>_xll.BDP("479610DB Muni","COUNTY_LOCATION_ISSUER")</f>
        <v>Licking, OH</v>
      </c>
      <c r="F228">
        <f>_xll.BDP("479610DB Muni","DUR_ADJ_MID")</f>
        <v>0.32946288616152014</v>
      </c>
      <c r="G228">
        <f>_xll.BDP("479610DB Muni","SPREAD_AT_ISSUANCE_TO_WORST")</f>
        <v>27.578589041095892</v>
      </c>
      <c r="H228" t="str">
        <f>_xll.BDP("479610DB Muni","ISSUE_DT")</f>
        <v>11/7/2017</v>
      </c>
      <c r="I228" t="str">
        <f>_xll.BDS("479610DB Muni","MUNI_PURPOSE_SCHED", "aggregate=y")</f>
        <v>REFUNDING NOTES WATER UTILITY IMPS. SEWER IMPS.</v>
      </c>
      <c r="J228">
        <f>_xll.BDP("479610DB Muni","CPN")</f>
        <v>2</v>
      </c>
      <c r="K228" t="str">
        <f>_xll.BDP("479610DB Muni","MATURITY")</f>
        <v>12/1/2022</v>
      </c>
      <c r="L228">
        <v>135000</v>
      </c>
      <c r="M228">
        <f>_xll.BDP("479610DB Muni","YIELD_ON_ISSUE_DATE")</f>
        <v>1.6400000000000001</v>
      </c>
      <c r="N228">
        <f>_xll.BDP("479610DB Muni","YTW_SPREAD_TO_MATURITY_AT_ISSU")</f>
        <v>27.578589041095892</v>
      </c>
      <c r="O228" t="str">
        <f>_xll.BDP("479610DB Muni","BVAL_MID_YTM")</f>
        <v>#N/A Authorization</v>
      </c>
      <c r="P228" t="str">
        <f>_xll.BDP("479610DB Muni","MUNI_TAX_PROV")</f>
        <v>FED BQ/ST TAX-EXEMPT</v>
      </c>
      <c r="Q228" t="str">
        <f>_xll.BDP("479610DB Muni","MUNI_FED_TAX")</f>
        <v>N</v>
      </c>
      <c r="R228" t="str">
        <f>_xll.BDP("479610DB Muni","MUNI_MSRB_VOLUME")</f>
        <v>#N/A N/A</v>
      </c>
      <c r="S228" t="str">
        <f>_xll.BDP("479610DB Muni","BB_COMPOSITE")</f>
        <v>A+</v>
      </c>
      <c r="T228">
        <f>_xll.BDP("479610DB Muni","LQA_LIQUIDITY_SCORE")</f>
        <v>91</v>
      </c>
    </row>
    <row r="229" spans="1:20" x14ac:dyDescent="0.25">
      <c r="A229" t="str">
        <f>_xll.BDP("590545YC Muni","ID_CUSIP")</f>
        <v>590545YC7</v>
      </c>
      <c r="B229" t="s">
        <v>47</v>
      </c>
      <c r="C229" t="str">
        <f>_xll.BDP("590545YC Muni","INSURANCE_STATUS")</f>
        <v>N</v>
      </c>
      <c r="D229" t="str">
        <f>_xll.BDP("590545YC Muni","STATE_CODE")</f>
        <v>AZ</v>
      </c>
      <c r="E229" t="str">
        <f>_xll.BDP("590545YC Muni","COUNTY_LOCATION_ISSUER")</f>
        <v>Maricopa, AZ</v>
      </c>
      <c r="F229">
        <f>_xll.BDP("590545YC Muni","DUR_ADJ_MID")</f>
        <v>3.6867851476728362</v>
      </c>
      <c r="G229">
        <f>_xll.BDP("590545YC Muni","SPREAD_AT_ISSUANCE_TO_WORST")</f>
        <v>18.211385058916505</v>
      </c>
      <c r="H229" t="str">
        <f>_xll.BDP("590545YC Muni","ISSUE_DT")</f>
        <v>5/24/2017</v>
      </c>
      <c r="I229" t="str">
        <f>_xll.BDS("590545YC Muni","MUNI_PURPOSE_SCHED", "aggregate=y")</f>
        <v>WATER UTILITY IMPS. SEWER IMPS. MULT. UTILITY IMPS.</v>
      </c>
      <c r="J229">
        <f>_xll.BDP("590545YC Muni","CPN")</f>
        <v>3</v>
      </c>
      <c r="K229" t="str">
        <f>_xll.BDP("590545YC Muni","MATURITY")</f>
        <v>7/1/2026</v>
      </c>
      <c r="L229">
        <v>2700000</v>
      </c>
      <c r="M229">
        <f>_xll.BDP("590545YC Muni","YIELD_ON_ISSUE_DATE")</f>
        <v>2.25</v>
      </c>
      <c r="N229">
        <f>_xll.BDP("590545YC Muni","YTW_SPREAD_TO_MATURITY_AT_ISSU")</f>
        <v>18.211385058916505</v>
      </c>
      <c r="O229" t="str">
        <f>_xll.BDP("590545YC Muni","BVAL_MID_YTM")</f>
        <v>#N/A Authorization</v>
      </c>
      <c r="P229" t="str">
        <f>_xll.BDP("590545YC Muni","MUNI_TAX_PROV")</f>
        <v>FED &amp; ST TAX-EXEMPT</v>
      </c>
      <c r="Q229" t="str">
        <f>_xll.BDP("590545YC Muni","MUNI_FED_TAX")</f>
        <v>N</v>
      </c>
      <c r="R229">
        <f>_xll.BDP("590545YC Muni","MUNI_MSRB_VOLUME")</f>
        <v>200000</v>
      </c>
      <c r="S229" t="str">
        <f>_xll.BDP("590545YC Muni","BB_COMPOSITE")</f>
        <v>AA-</v>
      </c>
      <c r="T229">
        <f>_xll.BDP("590545YC Muni","LQA_LIQUIDITY_SCORE")</f>
        <v>62</v>
      </c>
    </row>
    <row r="230" spans="1:20" x14ac:dyDescent="0.25">
      <c r="A230" t="str">
        <f>_xll.BDP("61370LDD Muni","ID_CUSIP")</f>
        <v>61370LDD6</v>
      </c>
      <c r="B230" t="s">
        <v>149</v>
      </c>
      <c r="C230" t="str">
        <f>_xll.BDP("61370LDD Muni","INSURANCE_STATUS")</f>
        <v>Y</v>
      </c>
      <c r="D230" t="str">
        <f>_xll.BDP("61370LDD Muni","STATE_CODE")</f>
        <v>TX</v>
      </c>
      <c r="E230" t="str">
        <f>_xll.BDP("61370LDD Muni","COUNTY_LOCATION_ISSUER")</f>
        <v>Montgomery, TX</v>
      </c>
      <c r="F230">
        <f>_xll.BDP("61370LDD Muni","DUR_ADJ_MID")</f>
        <v>2.0076600907749658</v>
      </c>
      <c r="G230">
        <f>_xll.BDP("61370LDD Muni","SPREAD_AT_ISSUANCE_TO_WORST")</f>
        <v>52.21476712328765</v>
      </c>
      <c r="H230" t="str">
        <f>_xll.BDP("61370LDD Muni","ISSUE_DT")</f>
        <v>11/1/2017</v>
      </c>
      <c r="I230" t="str">
        <f>_xll.BDS("61370LDD Muni","MUNI_PURPOSE_SCHED", "aggregate=y")</f>
        <v>WATER UTILITY IMPS. SEWER IMPS. PUBLIC IMPS.</v>
      </c>
      <c r="J230">
        <f>_xll.BDP("61370LDD Muni","CPN")</f>
        <v>2</v>
      </c>
      <c r="K230" t="str">
        <f>_xll.BDP("61370LDD Muni","MATURITY")</f>
        <v>9/1/2024</v>
      </c>
      <c r="L230">
        <v>300000</v>
      </c>
      <c r="M230">
        <f>_xll.BDP("61370LDD Muni","YIELD_ON_ISSUE_DATE")</f>
        <v>2.15</v>
      </c>
      <c r="N230">
        <f>_xll.BDP("61370LDD Muni","YTW_SPREAD_TO_MATURITY_AT_ISSU")</f>
        <v>52.21476712328765</v>
      </c>
      <c r="O230" t="str">
        <f>_xll.BDP("61370LDD Muni","BVAL_MID_YTM")</f>
        <v>#N/A Authorization</v>
      </c>
      <c r="P230" t="str">
        <f>_xll.BDP("61370LDD Muni","MUNI_TAX_PROV")</f>
        <v>FED BQ</v>
      </c>
      <c r="Q230" t="str">
        <f>_xll.BDP("61370LDD Muni","MUNI_FED_TAX")</f>
        <v>N</v>
      </c>
      <c r="R230" t="str">
        <f>_xll.BDP("61370LDD Muni","MUNI_MSRB_VOLUME")</f>
        <v>#N/A N/A</v>
      </c>
      <c r="S230" t="str">
        <f>_xll.BDP("61370LDD Muni","BB_COMPOSITE")</f>
        <v>A</v>
      </c>
      <c r="T230">
        <f>_xll.BDP("61370LDD Muni","LQA_LIQUIDITY_SCORE")</f>
        <v>69</v>
      </c>
    </row>
    <row r="231" spans="1:20" x14ac:dyDescent="0.25">
      <c r="A231" t="str">
        <f>_xll.BDP("486323EL Muni","ID_CUSIP")</f>
        <v>486323EL8</v>
      </c>
      <c r="B231" t="s">
        <v>150</v>
      </c>
      <c r="C231" t="str">
        <f>_xll.BDP("486323EL Muni","INSURANCE_STATUS")</f>
        <v>Y</v>
      </c>
      <c r="D231" t="str">
        <f>_xll.BDP("486323EL Muni","STATE_CODE")</f>
        <v>WI</v>
      </c>
      <c r="E231" t="str">
        <f>_xll.BDP("486323EL Muni","COUNTY_LOCATION_ISSUER")</f>
        <v>Outagamie, WI</v>
      </c>
      <c r="F231">
        <f>_xll.BDP("486323EL Muni","DUR_ADJ_MID")</f>
        <v>0.32928582620410685</v>
      </c>
      <c r="G231">
        <f>_xll.BDP("486323EL Muni","SPREAD_AT_ISSUANCE_TO_WORST")</f>
        <v>36.34418020051131</v>
      </c>
      <c r="H231" t="str">
        <f>_xll.BDP("486323EL Muni","ISSUE_DT")</f>
        <v>10/3/2017</v>
      </c>
      <c r="I231" t="str">
        <f>_xll.BDS("486323EL Muni","MUNI_PURPOSE_SCHED", "aggregate=y")</f>
        <v>WATER UTILITY IMPS.</v>
      </c>
      <c r="J231">
        <f>_xll.BDP("486323EL Muni","CPN")</f>
        <v>2</v>
      </c>
      <c r="K231" t="str">
        <f>_xll.BDP("486323EL Muni","MATURITY")</f>
        <v>12/1/2022</v>
      </c>
      <c r="L231">
        <v>50000</v>
      </c>
      <c r="M231">
        <f>_xll.BDP("486323EL Muni","YIELD_ON_ISSUE_DATE")</f>
        <v>1.6</v>
      </c>
      <c r="N231">
        <f>_xll.BDP("486323EL Muni","YTW_SPREAD_TO_MATURITY_AT_ISSU")</f>
        <v>36.34418020051131</v>
      </c>
      <c r="O231" t="str">
        <f>_xll.BDP("486323EL Muni","BVAL_MID_YTM")</f>
        <v>#N/A Authorization</v>
      </c>
      <c r="P231" t="str">
        <f>_xll.BDP("486323EL Muni","MUNI_TAX_PROV")</f>
        <v>FED TAX-EXEMPT/ST TAXABLE</v>
      </c>
      <c r="Q231" t="str">
        <f>_xll.BDP("486323EL Muni","MUNI_FED_TAX")</f>
        <v>N</v>
      </c>
      <c r="R231" t="str">
        <f>_xll.BDP("486323EL Muni","MUNI_MSRB_VOLUME")</f>
        <v>#N/A N/A</v>
      </c>
      <c r="S231" t="str">
        <f>_xll.BDP("486323EL Muni","BB_COMPOSITE")</f>
        <v>#N/A N/A</v>
      </c>
      <c r="T231">
        <f>_xll.BDP("486323EL Muni","LQA_LIQUIDITY_SCORE")</f>
        <v>96</v>
      </c>
    </row>
    <row r="232" spans="1:20" x14ac:dyDescent="0.25">
      <c r="A232" t="str">
        <f>_xll.BDP("64986DFA Muni","ID_CUSIP")</f>
        <v>64986DFA8</v>
      </c>
      <c r="B232" t="s">
        <v>22</v>
      </c>
      <c r="C232" t="str">
        <f>_xll.BDP("64986DFA Muni","INSURANCE_STATUS")</f>
        <v>N</v>
      </c>
      <c r="D232" t="str">
        <f>_xll.BDP("64986DFA Muni","STATE_CODE")</f>
        <v>NY</v>
      </c>
      <c r="E232" t="str">
        <f>_xll.BDP("64986DFA Muni","COUNTY_LOCATION_ISSUER")</f>
        <v>Albany, NY</v>
      </c>
      <c r="F232">
        <f>_xll.BDP("64986DFA Muni","DUR_ADJ_MID")</f>
        <v>0.85245325660630777</v>
      </c>
      <c r="G232">
        <f>_xll.BDP("64986DFA Muni","SPREAD_AT_ISSUANCE_TO_WORST")</f>
        <v>2.1455890410958967</v>
      </c>
      <c r="H232" t="str">
        <f>_xll.BDP("64986DFA Muni","ISSUE_DT")</f>
        <v>12/14/2017</v>
      </c>
      <c r="I232" t="str">
        <f>_xll.BDS("64986DFA Muni","MUNI_PURPOSE_SCHED", "aggregate=y")</f>
        <v>WATER UTILITY IMPS. GREEN PURPOSE</v>
      </c>
      <c r="J232">
        <f>_xll.BDP("64986DFA Muni","CPN")</f>
        <v>5</v>
      </c>
      <c r="K232" t="str">
        <f>_xll.BDP("64986DFA Muni","MATURITY")</f>
        <v>6/15/2023</v>
      </c>
      <c r="L232">
        <v>6540000</v>
      </c>
      <c r="M232">
        <f>_xll.BDP("64986DFA Muni","YIELD_ON_ISSUE_DATE")</f>
        <v>1.8</v>
      </c>
      <c r="N232">
        <f>_xll.BDP("64986DFA Muni","YTW_SPREAD_TO_MATURITY_AT_ISSU")</f>
        <v>2.1455890410958967</v>
      </c>
      <c r="O232" t="str">
        <f>_xll.BDP("64986DFA Muni","BVAL_MID_YTM")</f>
        <v>#N/A Authorization</v>
      </c>
      <c r="P232" t="str">
        <f>_xll.BDP("64986DFA Muni","MUNI_TAX_PROV")</f>
        <v>FED &amp; ST TAX-EXEMPT</v>
      </c>
      <c r="Q232" t="str">
        <f>_xll.BDP("64986DFA Muni","MUNI_FED_TAX")</f>
        <v>N</v>
      </c>
      <c r="R232">
        <f>_xll.BDP("64986DFA Muni","MUNI_MSRB_VOLUME")</f>
        <v>30000</v>
      </c>
      <c r="S232" t="str">
        <f>_xll.BDP("64986DFA Muni","BB_COMPOSITE")</f>
        <v>AAA</v>
      </c>
      <c r="T232">
        <f>_xll.BDP("64986DFA Muni","LQA_LIQUIDITY_SCORE")</f>
        <v>95</v>
      </c>
    </row>
    <row r="233" spans="1:20" x14ac:dyDescent="0.25">
      <c r="A233" t="str">
        <f>_xll.BDP("80168FMS Muni","ID_CUSIP")</f>
        <v>80168FMS2</v>
      </c>
      <c r="B233" t="s">
        <v>50</v>
      </c>
      <c r="C233" t="str">
        <f>_xll.BDP("80168FMS Muni","INSURANCE_STATUS")</f>
        <v>N</v>
      </c>
      <c r="D233" t="str">
        <f>_xll.BDP("80168FMS Muni","STATE_CODE")</f>
        <v>CA</v>
      </c>
      <c r="E233" t="str">
        <f>_xll.BDP("80168FMS Muni","COUNTY_LOCATION_ISSUER")</f>
        <v>Santa Clara, CA</v>
      </c>
      <c r="F233">
        <f>_xll.BDP("80168FMS Muni","DUR_ADJ_MID")</f>
        <v>2.3618069671627158</v>
      </c>
      <c r="G233">
        <f>_xll.BDP("80168FMS Muni","SPREAD_AT_ISSUANCE_TO_WORST")</f>
        <v>7.2795564824961634</v>
      </c>
      <c r="H233" t="str">
        <f>_xll.BDP("80168FMS Muni","ISSUE_DT")</f>
        <v>3/7/2017</v>
      </c>
      <c r="I233" t="str">
        <f>_xll.BDS("80168FMS Muni","MUNI_PURPOSE_SCHED", "aggregate=y")</f>
        <v>CURRENT REFUNDING WATER UTILITY IMPS.</v>
      </c>
      <c r="J233">
        <f>_xll.BDP("80168FMS Muni","CPN")</f>
        <v>5</v>
      </c>
      <c r="K233" t="str">
        <f>_xll.BDP("80168FMS Muni","MATURITY")</f>
        <v>2/1/2025</v>
      </c>
      <c r="L233">
        <v>4295000</v>
      </c>
      <c r="M233">
        <f>_xll.BDP("80168FMS Muni","YIELD_ON_ISSUE_DATE")</f>
        <v>2.12</v>
      </c>
      <c r="N233">
        <f>_xll.BDP("80168FMS Muni","YTW_SPREAD_TO_MATURITY_AT_ISSU")</f>
        <v>7.2795564824961634</v>
      </c>
      <c r="O233" t="str">
        <f>_xll.BDP("80168FMS Muni","BVAL_MID_YTM")</f>
        <v>#N/A Authorization</v>
      </c>
      <c r="P233" t="str">
        <f>_xll.BDP("80168FMS Muni","MUNI_TAX_PROV")</f>
        <v>FED &amp; ST TAX-EXEMPT</v>
      </c>
      <c r="Q233" t="str">
        <f>_xll.BDP("80168FMS Muni","MUNI_FED_TAX")</f>
        <v>N</v>
      </c>
      <c r="R233">
        <f>_xll.BDP("80168FMS Muni","MUNI_MSRB_VOLUME")</f>
        <v>30000</v>
      </c>
      <c r="S233" t="str">
        <f>_xll.BDP("80168FMS Muni","BB_COMPOSITE")</f>
        <v>AA+</v>
      </c>
      <c r="T233">
        <f>_xll.BDP("80168FMS Muni","LQA_LIQUIDITY_SCORE")</f>
        <v>76</v>
      </c>
    </row>
    <row r="234" spans="1:20" x14ac:dyDescent="0.25">
      <c r="A234" t="str">
        <f>_xll.BDP("702592BE Muni","ID_CUSIP")</f>
        <v>702592BE5</v>
      </c>
      <c r="B234" t="s">
        <v>151</v>
      </c>
      <c r="C234" t="str">
        <f>_xll.BDP("702592BE Muni","INSURANCE_STATUS")</f>
        <v>N</v>
      </c>
      <c r="D234" t="str">
        <f>_xll.BDP("702592BE Muni","STATE_CODE")</f>
        <v>TX</v>
      </c>
      <c r="E234" t="str">
        <f>_xll.BDP("702592BE Muni","COUNTY_LOCATION_ISSUER")</f>
        <v>El Paso, TX</v>
      </c>
      <c r="F234">
        <f>_xll.BDP("702592BE Muni","DUR_ADJ_MID")</f>
        <v>2.8482332942572519</v>
      </c>
      <c r="G234">
        <f>_xll.BDP("702592BE Muni","SPREAD_AT_ISSUANCE_TO_WORST")</f>
        <v>104.2173424657534</v>
      </c>
      <c r="H234" t="str">
        <f>_xll.BDP("702592BE Muni","ISSUE_DT")</f>
        <v>10/1/2017</v>
      </c>
      <c r="I234" t="str">
        <f>_xll.BDS("702592BE Muni","MUNI_PURPOSE_SCHED", "aggregate=y")</f>
        <v>WATER UTILITY IMPS. SEWER IMPS. PUBLIC IMPS.</v>
      </c>
      <c r="J234">
        <f>_xll.BDP("702592BE Muni","CPN")</f>
        <v>3</v>
      </c>
      <c r="K234" t="str">
        <f>_xll.BDP("702592BE Muni","MATURITY")</f>
        <v>8/15/2025</v>
      </c>
      <c r="L234">
        <v>330000</v>
      </c>
      <c r="M234">
        <f>_xll.BDP("702592BE Muni","YIELD_ON_ISSUE_DATE")</f>
        <v>2.8000000000000003</v>
      </c>
      <c r="N234">
        <f>_xll.BDP("702592BE Muni","YTW_SPREAD_TO_MATURITY_AT_ISSU")</f>
        <v>104.2173424657534</v>
      </c>
      <c r="O234" t="str">
        <f>_xll.BDP("702592BE Muni","BVAL_MID_YTM")</f>
        <v>#N/A Authorization</v>
      </c>
      <c r="P234" t="str">
        <f>_xll.BDP("702592BE Muni","MUNI_TAX_PROV")</f>
        <v>FED BQ</v>
      </c>
      <c r="Q234" t="str">
        <f>_xll.BDP("702592BE Muni","MUNI_FED_TAX")</f>
        <v>N</v>
      </c>
      <c r="R234" t="str">
        <f>_xll.BDP("702592BE Muni","MUNI_MSRB_VOLUME")</f>
        <v>#N/A N/A</v>
      </c>
      <c r="S234" t="str">
        <f>_xll.BDP("702592BE Muni","BB_COMPOSITE")</f>
        <v>#N/A N/A</v>
      </c>
      <c r="T234">
        <f>_xll.BDP("702592BE Muni","LQA_LIQUIDITY_SCORE")</f>
        <v>59</v>
      </c>
    </row>
    <row r="235" spans="1:20" x14ac:dyDescent="0.25">
      <c r="A235" t="str">
        <f>_xll.BDP("659666WB Muni","ID_CUSIP")</f>
        <v>659666WB3</v>
      </c>
      <c r="B235" t="s">
        <v>49</v>
      </c>
      <c r="C235" t="str">
        <f>_xll.BDP("659666WB Muni","INSURANCE_STATUS")</f>
        <v>N</v>
      </c>
      <c r="D235" t="str">
        <f>_xll.BDP("659666WB Muni","STATE_CODE")</f>
        <v>NY</v>
      </c>
      <c r="E235" t="str">
        <f>_xll.BDP("659666WB Muni","COUNTY_LOCATION_ISSUER")</f>
        <v>Nassau, NY</v>
      </c>
      <c r="F235">
        <f>_xll.BDP("659666WB Muni","DUR_ADJ_MID")</f>
        <v>2.0332867223799416</v>
      </c>
      <c r="G235">
        <f>_xll.BDP("659666WB Muni","SPREAD_AT_ISSUANCE_TO_WORST")</f>
        <v>0.12113591130900048</v>
      </c>
      <c r="H235" t="str">
        <f>_xll.BDP("659666WB Muni","ISSUE_DT")</f>
        <v>9/27/2017</v>
      </c>
      <c r="I235" t="str">
        <f>_xll.BDS("659666WB Muni","MUNI_PURPOSE_SCHED", "aggregate=y")</f>
        <v>WATER UTILITY IMPS. REFUNDING NOTES</v>
      </c>
      <c r="J235">
        <f>_xll.BDP("659666WB Muni","CPN")</f>
        <v>3</v>
      </c>
      <c r="K235" t="str">
        <f>_xll.BDP("659666WB Muni","MATURITY")</f>
        <v>9/15/2024</v>
      </c>
      <c r="L235">
        <v>125000</v>
      </c>
      <c r="M235">
        <f>_xll.BDP("659666WB Muni","YIELD_ON_ISSUE_DATE")</f>
        <v>1.5</v>
      </c>
      <c r="N235">
        <f>_xll.BDP("659666WB Muni","YTW_SPREAD_TO_MATURITY_AT_ISSU")</f>
        <v>0.12113591130900048</v>
      </c>
      <c r="O235" t="str">
        <f>_xll.BDP("659666WB Muni","BVAL_MID_YTM")</f>
        <v>#N/A Authorization</v>
      </c>
      <c r="P235" t="str">
        <f>_xll.BDP("659666WB Muni","MUNI_TAX_PROV")</f>
        <v>FED &amp; ST TAX-EXEMPT</v>
      </c>
      <c r="Q235" t="str">
        <f>_xll.BDP("659666WB Muni","MUNI_FED_TAX")</f>
        <v>N</v>
      </c>
      <c r="R235" t="str">
        <f>_xll.BDP("659666WB Muni","MUNI_MSRB_VOLUME")</f>
        <v>#N/A N/A</v>
      </c>
      <c r="S235" t="str">
        <f>_xll.BDP("659666WB Muni","BB_COMPOSITE")</f>
        <v>#N/A N/A</v>
      </c>
      <c r="T235">
        <f>_xll.BDP("659666WB Muni","LQA_LIQUIDITY_SCORE")</f>
        <v>76</v>
      </c>
    </row>
    <row r="236" spans="1:20" x14ac:dyDescent="0.25">
      <c r="A236" t="str">
        <f>_xll.BDP("516768JJ Muni","ID_CUSIP")</f>
        <v>516768JJ8</v>
      </c>
      <c r="B236" t="s">
        <v>152</v>
      </c>
      <c r="C236" t="str">
        <f>_xll.BDP("516768JJ Muni","INSURANCE_STATUS")</f>
        <v>N</v>
      </c>
      <c r="D236" t="str">
        <f>_xll.BDP("516768JJ Muni","STATE_CODE")</f>
        <v>NY</v>
      </c>
      <c r="E236" t="str">
        <f>_xll.BDP("516768JJ Muni","COUNTY_LOCATION_ISSUER")</f>
        <v>Westchester, NY</v>
      </c>
      <c r="F236">
        <f>_xll.BDP("516768JJ Muni","DUR_ADJ_MID")</f>
        <v>1.0563074385580682</v>
      </c>
      <c r="G236">
        <f>_xll.BDP("516768JJ Muni","SPREAD_AT_ISSUANCE_TO_WORST")</f>
        <v>-1.6977816154248204</v>
      </c>
      <c r="H236" t="str">
        <f>_xll.BDP("516768JJ Muni","ISSUE_DT")</f>
        <v>2/1/2017</v>
      </c>
      <c r="I236" t="str">
        <f>_xll.BDS("516768JJ Muni","MUNI_PURPOSE_SCHED", "aggregate=y")</f>
        <v>WATER UTILITY IMPS. PUBLIC IMPS.</v>
      </c>
      <c r="J236">
        <f>_xll.BDP("516768JJ Muni","CPN")</f>
        <v>2</v>
      </c>
      <c r="K236" t="str">
        <f>_xll.BDP("516768JJ Muni","MATURITY")</f>
        <v>9/1/2023</v>
      </c>
      <c r="L236">
        <v>380000</v>
      </c>
      <c r="M236">
        <f>_xll.BDP("516768JJ Muni","YIELD_ON_ISSUE_DATE")</f>
        <v>1.75</v>
      </c>
      <c r="N236">
        <f>_xll.BDP("516768JJ Muni","YTW_SPREAD_TO_MATURITY_AT_ISSU")</f>
        <v>-1.6977816154248204</v>
      </c>
      <c r="O236" t="str">
        <f>_xll.BDP("516768JJ Muni","BVAL_MID_YTM")</f>
        <v>#N/A Authorization</v>
      </c>
      <c r="P236" t="str">
        <f>_xll.BDP("516768JJ Muni","MUNI_TAX_PROV")</f>
        <v>FED BQ/ST TAX-EXEMPT</v>
      </c>
      <c r="Q236" t="str">
        <f>_xll.BDP("516768JJ Muni","MUNI_FED_TAX")</f>
        <v>N</v>
      </c>
      <c r="R236" t="str">
        <f>_xll.BDP("516768JJ Muni","MUNI_MSRB_VOLUME")</f>
        <v>#N/A N/A</v>
      </c>
      <c r="S236" t="str">
        <f>_xll.BDP("516768JJ Muni","BB_COMPOSITE")</f>
        <v>#N/A N/A</v>
      </c>
      <c r="T236">
        <f>_xll.BDP("516768JJ Muni","LQA_LIQUIDITY_SCORE")</f>
        <v>72</v>
      </c>
    </row>
    <row r="237" spans="1:20" x14ac:dyDescent="0.25">
      <c r="A237" t="str">
        <f>_xll.BDP("517039UB Muni","ID_CUSIP")</f>
        <v>517039UB7</v>
      </c>
      <c r="B237" t="s">
        <v>153</v>
      </c>
      <c r="C237" t="str">
        <f>_xll.BDP("517039UB Muni","INSURANCE_STATUS")</f>
        <v>N</v>
      </c>
      <c r="D237" t="str">
        <f>_xll.BDP("517039UB Muni","STATE_CODE")</f>
        <v>TX</v>
      </c>
      <c r="E237" t="str">
        <f>_xll.BDP("517039UB Muni","COUNTY_LOCATION_ISSUER")</f>
        <v>Webb, TX</v>
      </c>
      <c r="F237">
        <f>_xll.BDP("517039UB Muni","DUR_ADJ_MID")</f>
        <v>0.56522696686830409</v>
      </c>
      <c r="G237">
        <f>_xll.BDP("517039UB Muni","SPREAD_AT_ISSUANCE_TO_WORST")</f>
        <v>34.610906849315072</v>
      </c>
      <c r="H237" t="str">
        <f>_xll.BDP("517039UB Muni","ISSUE_DT")</f>
        <v>11/15/2017</v>
      </c>
      <c r="I237" t="str">
        <f>_xll.BDS("517039UB Muni","MUNI_PURPOSE_SCHED", "aggregate=y")</f>
        <v>WATER UTILITY IMPS. SEWER IMPS.</v>
      </c>
      <c r="J237">
        <f>_xll.BDP("517039UB Muni","CPN")</f>
        <v>5</v>
      </c>
      <c r="K237" t="str">
        <f>_xll.BDP("517039UB Muni","MATURITY")</f>
        <v>3/1/2023</v>
      </c>
      <c r="L237">
        <v>340000</v>
      </c>
      <c r="M237">
        <f>_xll.BDP("517039UB Muni","YIELD_ON_ISSUE_DATE")</f>
        <v>1.83</v>
      </c>
      <c r="N237">
        <f>_xll.BDP("517039UB Muni","YTW_SPREAD_TO_MATURITY_AT_ISSU")</f>
        <v>34.610906849315072</v>
      </c>
      <c r="O237" t="str">
        <f>_xll.BDP("517039UB Muni","BVAL_MID_YTM")</f>
        <v>#N/A Authorization</v>
      </c>
      <c r="P237" t="str">
        <f>_xll.BDP("517039UB Muni","MUNI_TAX_PROV")</f>
        <v>FED TAX-EXEMPT</v>
      </c>
      <c r="Q237" t="str">
        <f>_xll.BDP("517039UB Muni","MUNI_FED_TAX")</f>
        <v>N</v>
      </c>
      <c r="R237" t="str">
        <f>_xll.BDP("517039UB Muni","MUNI_MSRB_VOLUME")</f>
        <v>#N/A N/A</v>
      </c>
      <c r="S237" t="str">
        <f>_xll.BDP("517039UB Muni","BB_COMPOSITE")</f>
        <v>AA-</v>
      </c>
      <c r="T237">
        <f>_xll.BDP("517039UB Muni","LQA_LIQUIDITY_SCORE")</f>
        <v>93</v>
      </c>
    </row>
    <row r="238" spans="1:20" x14ac:dyDescent="0.25">
      <c r="A238" t="str">
        <f>_xll.BDP("575829DC Muni","ID_CUSIP")</f>
        <v>575829DC7</v>
      </c>
      <c r="B238" t="s">
        <v>57</v>
      </c>
      <c r="C238" t="str">
        <f>_xll.BDP("575829DC Muni","INSURANCE_STATUS")</f>
        <v>N</v>
      </c>
      <c r="D238" t="str">
        <f>_xll.BDP("575829DC Muni","STATE_CODE")</f>
        <v>MA</v>
      </c>
      <c r="E238" t="str">
        <f>_xll.BDP("575829DC Muni","COUNTY_LOCATION_ISSUER")</f>
        <v>Suffolk, MA</v>
      </c>
      <c r="F238">
        <f>_xll.BDP("575829DC Muni","DUR_ADJ_MID")</f>
        <v>1.449085431567531</v>
      </c>
      <c r="G238">
        <f>_xll.BDP("575829DC Muni","SPREAD_AT_ISSUANCE_TO_WORST")</f>
        <v>5.1937975455824237</v>
      </c>
      <c r="H238" t="str">
        <f>_xll.BDP("575829DC Muni","ISSUE_DT")</f>
        <v>4/13/2017</v>
      </c>
      <c r="I238" t="str">
        <f>_xll.BDS("575829DC Muni","MUNI_PURPOSE_SCHED", "aggregate=y")</f>
        <v>GREEN PURPOSE WATER UTILITY IMPS. SEWER IMPS.</v>
      </c>
      <c r="J238">
        <f>_xll.BDP("575829DC Muni","CPN")</f>
        <v>5</v>
      </c>
      <c r="K238" t="str">
        <f>_xll.BDP("575829DC Muni","MATURITY")</f>
        <v>2/1/2024</v>
      </c>
      <c r="L238">
        <v>7950000</v>
      </c>
      <c r="M238">
        <f>_xll.BDP("575829DC Muni","YIELD_ON_ISSUE_DATE")</f>
        <v>1.8800000000000001</v>
      </c>
      <c r="N238">
        <f>_xll.BDP("575829DC Muni","YTW_SPREAD_TO_MATURITY_AT_ISSU")</f>
        <v>5.1937975455824237</v>
      </c>
      <c r="O238" t="str">
        <f>_xll.BDP("575829DC Muni","BVAL_MID_YTM")</f>
        <v>#N/A Authorization</v>
      </c>
      <c r="P238" t="str">
        <f>_xll.BDP("575829DC Muni","MUNI_TAX_PROV")</f>
        <v>FED &amp; ST TAX-EXEMPT</v>
      </c>
      <c r="Q238" t="str">
        <f>_xll.BDP("575829DC Muni","MUNI_FED_TAX")</f>
        <v>N</v>
      </c>
      <c r="R238">
        <f>_xll.BDP("575829DC Muni","MUNI_MSRB_VOLUME")</f>
        <v>10000</v>
      </c>
      <c r="S238" t="str">
        <f>_xll.BDP("575829DC Muni","BB_COMPOSITE")</f>
        <v>AAA</v>
      </c>
      <c r="T238">
        <f>_xll.BDP("575829DC Muni","LQA_LIQUIDITY_SCORE")</f>
        <v>91</v>
      </c>
    </row>
    <row r="239" spans="1:20" x14ac:dyDescent="0.25">
      <c r="A239" t="str">
        <f>_xll.BDP("882854ZT Muni","ID_CUSIP")</f>
        <v>882854ZT2</v>
      </c>
      <c r="B239" t="s">
        <v>31</v>
      </c>
      <c r="C239" t="str">
        <f>_xll.BDP("882854ZT Muni","INSURANCE_STATUS")</f>
        <v>N</v>
      </c>
      <c r="D239" t="str">
        <f>_xll.BDP("882854ZT Muni","STATE_CODE")</f>
        <v>TX</v>
      </c>
      <c r="E239" t="str">
        <f>_xll.BDP("882854ZT Muni","COUNTY_LOCATION_ISSUER")</f>
        <v>Travis, TX</v>
      </c>
      <c r="F239">
        <f>_xll.BDP("882854ZT Muni","DUR_ADJ_MID")</f>
        <v>2.9400435926511488</v>
      </c>
      <c r="G239">
        <f>_xll.BDP("882854ZT Muni","SPREAD_AT_ISSUANCE_TO_WORST")</f>
        <v>16.661079452054793</v>
      </c>
      <c r="H239" t="str">
        <f>_xll.BDP("882854ZT Muni","ISSUE_DT")</f>
        <v>10/12/2017</v>
      </c>
      <c r="I239" t="str">
        <f>_xll.BDS("882854ZT Muni","MUNI_PURPOSE_SCHED", "aggregate=y")</f>
        <v>WATER UTILITY IMPS.</v>
      </c>
      <c r="J239">
        <f>_xll.BDP("882854ZT Muni","CPN")</f>
        <v>5</v>
      </c>
      <c r="K239" t="str">
        <f>_xll.BDP("882854ZT Muni","MATURITY")</f>
        <v>10/15/2025</v>
      </c>
      <c r="L239">
        <v>11325000</v>
      </c>
      <c r="M239">
        <f>_xll.BDP("882854ZT Muni","YIELD_ON_ISSUE_DATE")</f>
        <v>1.86</v>
      </c>
      <c r="N239">
        <f>_xll.BDP("882854ZT Muni","YTW_SPREAD_TO_MATURITY_AT_ISSU")</f>
        <v>16.661079452054793</v>
      </c>
      <c r="O239" t="str">
        <f>_xll.BDP("882854ZT Muni","BVAL_MID_YTM")</f>
        <v>#N/A Authorization</v>
      </c>
      <c r="P239" t="str">
        <f>_xll.BDP("882854ZT Muni","MUNI_TAX_PROV")</f>
        <v>FED TAX-EXEMPT</v>
      </c>
      <c r="Q239" t="str">
        <f>_xll.BDP("882854ZT Muni","MUNI_FED_TAX")</f>
        <v>N</v>
      </c>
      <c r="R239">
        <f>_xll.BDP("882854ZT Muni","MUNI_MSRB_VOLUME")</f>
        <v>20000</v>
      </c>
      <c r="S239" t="str">
        <f>_xll.BDP("882854ZT Muni","BB_COMPOSITE")</f>
        <v>AAA</v>
      </c>
      <c r="T239">
        <f>_xll.BDP("882854ZT Muni","LQA_LIQUIDITY_SCORE")</f>
        <v>81</v>
      </c>
    </row>
    <row r="240" spans="1:20" x14ac:dyDescent="0.25">
      <c r="A240" t="str">
        <f>_xll.BDP("967338C9 Muni","ID_CUSIP")</f>
        <v>967338C93</v>
      </c>
      <c r="B240" t="s">
        <v>55</v>
      </c>
      <c r="C240" t="str">
        <f>_xll.BDP("967338C9 Muni","INSURANCE_STATUS")</f>
        <v>N</v>
      </c>
      <c r="D240" t="str">
        <f>_xll.BDP("967338C9 Muni","STATE_CODE")</f>
        <v>KS</v>
      </c>
      <c r="E240" t="str">
        <f>_xll.BDP("967338C9 Muni","COUNTY_LOCATION_ISSUER")</f>
        <v>Sedgwick, KS</v>
      </c>
      <c r="F240">
        <f>_xll.BDP("967338C9 Muni","DUR_ADJ_MID")</f>
        <v>3.7314183864544037</v>
      </c>
      <c r="G240">
        <f>_xll.BDP("967338C9 Muni","SPREAD_AT_ISSUANCE_TO_WORST")</f>
        <v>21.362465012243259</v>
      </c>
      <c r="H240" t="str">
        <f>_xll.BDP("967338C9 Muni","ISSUE_DT")</f>
        <v>6/1/2017</v>
      </c>
      <c r="I240" t="str">
        <f>_xll.BDS("967338C9 Muni","MUNI_PURPOSE_SCHED", "aggregate=y")</f>
        <v>WATER UTILITY IMPS. SEWER IMPS.</v>
      </c>
      <c r="J240">
        <f>_xll.BDP("967338C9 Muni","CPN")</f>
        <v>5</v>
      </c>
      <c r="K240" t="str">
        <f>_xll.BDP("967338C9 Muni","MATURITY")</f>
        <v>10/1/2026</v>
      </c>
      <c r="L240">
        <v>3150000</v>
      </c>
      <c r="M240">
        <f>_xll.BDP("967338C9 Muni","YIELD_ON_ISSUE_DATE")</f>
        <v>2.27</v>
      </c>
      <c r="N240">
        <f>_xll.BDP("967338C9 Muni","YTW_SPREAD_TO_MATURITY_AT_ISSU")</f>
        <v>21.362465012243259</v>
      </c>
      <c r="O240" t="str">
        <f>_xll.BDP("967338C9 Muni","BVAL_MID_YTM")</f>
        <v>#N/A Authorization</v>
      </c>
      <c r="P240" t="str">
        <f>_xll.BDP("967338C9 Muni","MUNI_TAX_PROV")</f>
        <v>FED &amp; ST TAX-EXEMPT</v>
      </c>
      <c r="Q240" t="str">
        <f>_xll.BDP("967338C9 Muni","MUNI_FED_TAX")</f>
        <v>N</v>
      </c>
      <c r="R240">
        <f>_xll.BDP("967338C9 Muni","MUNI_MSRB_VOLUME")</f>
        <v>30000</v>
      </c>
      <c r="S240" t="str">
        <f>_xll.BDP("967338C9 Muni","BB_COMPOSITE")</f>
        <v>#N/A N/A</v>
      </c>
      <c r="T240">
        <f>_xll.BDP("967338C9 Muni","LQA_LIQUIDITY_SCORE")</f>
        <v>63</v>
      </c>
    </row>
    <row r="241" spans="1:20" x14ac:dyDescent="0.25">
      <c r="A241" t="str">
        <f>_xll.BDP("899138AK Muni","ID_CUSIP")</f>
        <v>899138AK7</v>
      </c>
      <c r="B241" t="s">
        <v>45</v>
      </c>
      <c r="C241" t="str">
        <f>_xll.BDP("899138AK Muni","INSURANCE_STATUS")</f>
        <v>Y</v>
      </c>
      <c r="D241" t="str">
        <f>_xll.BDP("899138AK Muni","STATE_CODE")</f>
        <v>CA</v>
      </c>
      <c r="E241" t="str">
        <f>_xll.BDP("899138AK Muni","COUNTY_LOCATION_ISSUER")</f>
        <v>#N/A Field Not Applicable</v>
      </c>
      <c r="F241">
        <f>_xll.BDP("899138AK Muni","DUR_ADJ_MID")</f>
        <v>4.7958573781702478</v>
      </c>
      <c r="G241">
        <f>_xll.BDP("899138AK Muni","SPREAD_AT_ISSUANCE_TO_WORST")</f>
        <v>22.620506849315049</v>
      </c>
      <c r="H241" t="str">
        <f>_xll.BDP("899138AK Muni","ISSUE_DT")</f>
        <v>12/6/2017</v>
      </c>
      <c r="I241" t="str">
        <f>_xll.BDS("899138AK Muni","MUNI_PURPOSE_SCHED", "aggregate=y")</f>
        <v>WATER UTILITY IMPS.</v>
      </c>
      <c r="J241">
        <f>_xll.BDP("899138AK Muni","CPN")</f>
        <v>4</v>
      </c>
      <c r="K241" t="str">
        <f>_xll.BDP("899138AK Muni","MATURITY")</f>
        <v>12/1/2027</v>
      </c>
      <c r="L241">
        <v>450000</v>
      </c>
      <c r="M241">
        <f>_xll.BDP("899138AK Muni","YIELD_ON_ISSUE_DATE")</f>
        <v>2.23</v>
      </c>
      <c r="N241">
        <f>_xll.BDP("899138AK Muni","YTW_SPREAD_TO_MATURITY_AT_ISSU")</f>
        <v>22.620506849315049</v>
      </c>
      <c r="O241" t="str">
        <f>_xll.BDP("899138AK Muni","BVAL_MID_YTM")</f>
        <v>#N/A Authorization</v>
      </c>
      <c r="P241" t="str">
        <f>_xll.BDP("899138AK Muni","MUNI_TAX_PROV")</f>
        <v>FED &amp; ST TAX-EXEMPT</v>
      </c>
      <c r="Q241" t="str">
        <f>_xll.BDP("899138AK Muni","MUNI_FED_TAX")</f>
        <v>N</v>
      </c>
      <c r="R241">
        <f>_xll.BDP("899138AK Muni","MUNI_MSRB_VOLUME")</f>
        <v>300000</v>
      </c>
      <c r="S241" t="str">
        <f>_xll.BDP("899138AK Muni","BB_COMPOSITE")</f>
        <v>#N/A N/A</v>
      </c>
      <c r="T241">
        <f>_xll.BDP("899138AK Muni","LQA_LIQUIDITY_SCORE")</f>
        <v>33</v>
      </c>
    </row>
    <row r="242" spans="1:20" x14ac:dyDescent="0.25">
      <c r="A242" t="str">
        <f>_xll.BDP("932457EG Muni","ID_CUSIP")</f>
        <v>932457EG5</v>
      </c>
      <c r="B242" t="s">
        <v>154</v>
      </c>
      <c r="C242" t="str">
        <f>_xll.BDP("932457EG Muni","INSURANCE_STATUS")</f>
        <v>Y</v>
      </c>
      <c r="D242" t="str">
        <f>_xll.BDP("932457EG Muni","STATE_CODE")</f>
        <v>TX</v>
      </c>
      <c r="E242" t="str">
        <f>_xll.BDP("932457EG Muni","COUNTY_LOCATION_ISSUER")</f>
        <v>Waller, TX</v>
      </c>
      <c r="F242">
        <f>_xll.BDP("932457EG Muni","DUR_ADJ_MID")</f>
        <v>1.9341354257548093</v>
      </c>
      <c r="G242">
        <f>_xll.BDP("932457EG Muni","SPREAD_AT_ISSUANCE_TO_WORST")</f>
        <v>27.58715342465754</v>
      </c>
      <c r="H242" t="str">
        <f>_xll.BDP("932457EG Muni","ISSUE_DT")</f>
        <v>10/1/2017</v>
      </c>
      <c r="I242" t="str">
        <f>_xll.BDS("932457EG Muni","MUNI_PURPOSE_SCHED", "aggregate=y")</f>
        <v>WATER UTILITY IMPS. SEWER IMPS.</v>
      </c>
      <c r="J242">
        <f>_xll.BDP("932457EG Muni","CPN")</f>
        <v>3</v>
      </c>
      <c r="K242" t="str">
        <f>_xll.BDP("932457EG Muni","MATURITY")</f>
        <v>8/1/2024</v>
      </c>
      <c r="L242">
        <v>85000</v>
      </c>
      <c r="M242">
        <f>_xll.BDP("932457EG Muni","YIELD_ON_ISSUE_DATE")</f>
        <v>1.8</v>
      </c>
      <c r="N242">
        <f>_xll.BDP("932457EG Muni","YTW_SPREAD_TO_MATURITY_AT_ISSU")</f>
        <v>27.58715342465754</v>
      </c>
      <c r="O242" t="str">
        <f>_xll.BDP("932457EG Muni","BVAL_MID_YTM")</f>
        <v>#N/A Authorization</v>
      </c>
      <c r="P242" t="str">
        <f>_xll.BDP("932457EG Muni","MUNI_TAX_PROV")</f>
        <v>FED BQ</v>
      </c>
      <c r="Q242" t="str">
        <f>_xll.BDP("932457EG Muni","MUNI_FED_TAX")</f>
        <v>N</v>
      </c>
      <c r="R242" t="str">
        <f>_xll.BDP("932457EG Muni","MUNI_MSRB_VOLUME")</f>
        <v>#N/A N/A</v>
      </c>
      <c r="S242" t="str">
        <f>_xll.BDP("932457EG Muni","BB_COMPOSITE")</f>
        <v>AA-</v>
      </c>
      <c r="T242">
        <f>_xll.BDP("932457EG Muni","LQA_LIQUIDITY_SCORE")</f>
        <v>73</v>
      </c>
    </row>
    <row r="243" spans="1:20" x14ac:dyDescent="0.25">
      <c r="A243" t="str">
        <f>_xll.BDP("929831LW Muni","ID_CUSIP")</f>
        <v>929831LW3</v>
      </c>
      <c r="B243" t="s">
        <v>76</v>
      </c>
      <c r="C243" t="str">
        <f>_xll.BDP("929831LW Muni","INSURANCE_STATUS")</f>
        <v>N</v>
      </c>
      <c r="D243" t="str">
        <f>_xll.BDP("929831LW Muni","STATE_CODE")</f>
        <v>TX</v>
      </c>
      <c r="E243" t="str">
        <f>_xll.BDP("929831LW Muni","COUNTY_LOCATION_ISSUER")</f>
        <v>McLennan, TX</v>
      </c>
      <c r="F243">
        <f>_xll.BDP("929831LW Muni","DUR_ADJ_MID")</f>
        <v>0.49299650827480396</v>
      </c>
      <c r="G243">
        <f>_xll.BDP("929831LW Muni","SPREAD_AT_ISSUANCE_TO_WORST")</f>
        <v>21.173782514544893</v>
      </c>
      <c r="H243" t="str">
        <f>_xll.BDP("929831LW Muni","ISSUE_DT")</f>
        <v>4/1/2017</v>
      </c>
      <c r="I243" t="str">
        <f>_xll.BDS("929831LW Muni","MUNI_PURPOSE_SCHED", "aggregate=y")</f>
        <v>PUBLIC IMPS. WATER UTILITY IMPS. SEWER IMPS.</v>
      </c>
      <c r="J243">
        <f>_xll.BDP("929831LW Muni","CPN")</f>
        <v>5</v>
      </c>
      <c r="K243" t="str">
        <f>_xll.BDP("929831LW Muni","MATURITY")</f>
        <v>2/1/2023</v>
      </c>
      <c r="L243">
        <v>1410000</v>
      </c>
      <c r="M243">
        <f>_xll.BDP("929831LW Muni","YIELD_ON_ISSUE_DATE")</f>
        <v>2.09</v>
      </c>
      <c r="N243">
        <f>_xll.BDP("929831LW Muni","YTW_SPREAD_TO_MATURITY_AT_ISSU")</f>
        <v>21.173782514544893</v>
      </c>
      <c r="O243" t="str">
        <f>_xll.BDP("929831LW Muni","BVAL_MID_YTM")</f>
        <v>#N/A Authorization</v>
      </c>
      <c r="P243" t="str">
        <f>_xll.BDP("929831LW Muni","MUNI_TAX_PROV")</f>
        <v>FED TAX-EXEMPT</v>
      </c>
      <c r="Q243" t="str">
        <f>_xll.BDP("929831LW Muni","MUNI_FED_TAX")</f>
        <v>N</v>
      </c>
      <c r="R243">
        <f>_xll.BDP("929831LW Muni","MUNI_MSRB_VOLUME")</f>
        <v>45000</v>
      </c>
      <c r="S243" t="str">
        <f>_xll.BDP("929831LW Muni","BB_COMPOSITE")</f>
        <v>AA+</v>
      </c>
      <c r="T243">
        <f>_xll.BDP("929831LW Muni","LQA_LIQUIDITY_SCORE")</f>
        <v>88</v>
      </c>
    </row>
    <row r="244" spans="1:20" x14ac:dyDescent="0.25">
      <c r="A244" t="str">
        <f>_xll.BDP("940157N9 Muni","ID_CUSIP")</f>
        <v>940157N97</v>
      </c>
      <c r="B244" t="s">
        <v>109</v>
      </c>
      <c r="C244" t="str">
        <f>_xll.BDP("940157N9 Muni","INSURANCE_STATUS")</f>
        <v>N</v>
      </c>
      <c r="D244" t="str">
        <f>_xll.BDP("940157N9 Muni","STATE_CODE")</f>
        <v>MD</v>
      </c>
      <c r="E244" t="str">
        <f>_xll.BDP("940157N9 Muni","COUNTY_LOCATION_ISSUER")</f>
        <v>Prince George's, MD</v>
      </c>
      <c r="F244">
        <f>_xll.BDP("940157N9 Muni","DUR_ADJ_MID")</f>
        <v>0.85231122797558923</v>
      </c>
      <c r="G244">
        <f>_xll.BDP("940157N9 Muni","SPREAD_AT_ISSUANCE_TO_WORST")</f>
        <v>4.5163287671232899</v>
      </c>
      <c r="H244" t="str">
        <f>_xll.BDP("940157N9 Muni","ISSUE_DT")</f>
        <v>11/9/2017</v>
      </c>
      <c r="I244" t="str">
        <f>_xll.BDS("940157N9 Muni","MUNI_PURPOSE_SCHED", "aggregate=y")</f>
        <v>WATER UTILITY IMPS. SEWER IMPS.</v>
      </c>
      <c r="J244">
        <f>_xll.BDP("940157N9 Muni","CPN")</f>
        <v>5</v>
      </c>
      <c r="K244" t="str">
        <f>_xll.BDP("940157N9 Muni","MATURITY")</f>
        <v>6/15/2023</v>
      </c>
      <c r="L244">
        <v>9585000</v>
      </c>
      <c r="M244">
        <f>_xll.BDP("940157N9 Muni","YIELD_ON_ISSUE_DATE")</f>
        <v>1.54</v>
      </c>
      <c r="N244">
        <f>_xll.BDP("940157N9 Muni","YTW_SPREAD_TO_MATURITY_AT_ISSU")</f>
        <v>4.5163287671232899</v>
      </c>
      <c r="O244" t="str">
        <f>_xll.BDP("940157N9 Muni","BVAL_MID_YTM")</f>
        <v>#N/A Authorization</v>
      </c>
      <c r="P244" t="str">
        <f>_xll.BDP("940157N9 Muni","MUNI_TAX_PROV")</f>
        <v>FED &amp; ST TAX-EXEMPT</v>
      </c>
      <c r="Q244" t="str">
        <f>_xll.BDP("940157N9 Muni","MUNI_FED_TAX")</f>
        <v>N</v>
      </c>
      <c r="R244">
        <f>_xll.BDP("940157N9 Muni","MUNI_MSRB_VOLUME")</f>
        <v>10000</v>
      </c>
      <c r="S244" t="str">
        <f>_xll.BDP("940157N9 Muni","BB_COMPOSITE")</f>
        <v>AAA</v>
      </c>
      <c r="T244">
        <f>_xll.BDP("940157N9 Muni","LQA_LIQUIDITY_SCORE")</f>
        <v>95</v>
      </c>
    </row>
    <row r="245" spans="1:20" x14ac:dyDescent="0.25">
      <c r="A245" t="str">
        <f>_xll.BDP("913407HV Muni","ID_CUSIP")</f>
        <v>913407HV7</v>
      </c>
      <c r="B245" t="s">
        <v>155</v>
      </c>
      <c r="C245" t="str">
        <f>_xll.BDP("913407HV Muni","INSURANCE_STATUS")</f>
        <v>N</v>
      </c>
      <c r="D245" t="str">
        <f>_xll.BDP("913407HV Muni","STATE_CODE")</f>
        <v>TX</v>
      </c>
      <c r="E245" t="str">
        <f>_xll.BDP("913407HV Muni","COUNTY_LOCATION_ISSUER")</f>
        <v>Bexar, TX</v>
      </c>
      <c r="F245">
        <f>_xll.BDP("913407HV Muni","DUR_ADJ_MID")</f>
        <v>8.0488320111819486E-2</v>
      </c>
      <c r="G245">
        <f>_xll.BDP("913407HV Muni","SPREAD_AT_ISSUANCE_TO_WORST")</f>
        <v>17.425898549790887</v>
      </c>
      <c r="H245" t="str">
        <f>_xll.BDP("913407HV Muni","ISSUE_DT")</f>
        <v>6/15/2017</v>
      </c>
      <c r="I245" t="str">
        <f>_xll.BDS("913407HV Muni","MUNI_PURPOSE_SCHED", "aggregate=y")</f>
        <v>WATER UTILITY IMPS. SEWER IMPS.</v>
      </c>
      <c r="J245">
        <f>_xll.BDP("913407HV Muni","CPN")</f>
        <v>3</v>
      </c>
      <c r="K245" t="str">
        <f>_xll.BDP("913407HV Muni","MATURITY")</f>
        <v>9/1/2022</v>
      </c>
      <c r="L245">
        <v>125000</v>
      </c>
      <c r="M245">
        <f>_xll.BDP("913407HV Muni","YIELD_ON_ISSUE_DATE")</f>
        <v>1.35</v>
      </c>
      <c r="N245">
        <f>_xll.BDP("913407HV Muni","YTW_SPREAD_TO_MATURITY_AT_ISSU")</f>
        <v>17.425898549790887</v>
      </c>
      <c r="O245" t="str">
        <f>_xll.BDP("913407HV Muni","BVAL_MID_YTM")</f>
        <v>#N/A Authorization</v>
      </c>
      <c r="P245" t="str">
        <f>_xll.BDP("913407HV Muni","MUNI_TAX_PROV")</f>
        <v>FED BQ</v>
      </c>
      <c r="Q245" t="str">
        <f>_xll.BDP("913407HV Muni","MUNI_FED_TAX")</f>
        <v>N</v>
      </c>
      <c r="R245" t="str">
        <f>_xll.BDP("913407HV Muni","MUNI_MSRB_VOLUME")</f>
        <v>#N/A N/A</v>
      </c>
      <c r="S245" t="str">
        <f>_xll.BDP("913407HV Muni","BB_COMPOSITE")</f>
        <v>#N/A N/A</v>
      </c>
      <c r="T245">
        <f>_xll.BDP("913407HV Muni","LQA_LIQUIDITY_SCORE")</f>
        <v>99</v>
      </c>
    </row>
    <row r="246" spans="1:20" x14ac:dyDescent="0.25">
      <c r="A246" t="str">
        <f>_xll.BDP("13063DAP Muni","ID_CUSIP")</f>
        <v>13063DAP3</v>
      </c>
      <c r="B246" t="s">
        <v>20</v>
      </c>
      <c r="C246" t="str">
        <f>_xll.BDP("13063DAP Muni","INSURANCE_STATUS")</f>
        <v>N</v>
      </c>
      <c r="D246" t="str">
        <f>_xll.BDP("13063DAP Muni","STATE_CODE")</f>
        <v>CA</v>
      </c>
      <c r="E246" t="str">
        <f>_xll.BDP("13063DAP Muni","COUNTY_LOCATION_ISSUER")</f>
        <v>Sacramento, CA</v>
      </c>
      <c r="F246">
        <f>_xll.BDP("13063DAP Muni","DUR_ADJ_MID")</f>
        <v>2.1363635562550209</v>
      </c>
      <c r="G246">
        <f>_xll.BDP("13063DAP Muni","SPREAD_AT_ISSUANCE_TO_WORST")</f>
        <v>20.482899155597913</v>
      </c>
      <c r="H246" t="str">
        <f>_xll.BDP("13063DAP Muni","ISSUE_DT")</f>
        <v>9/12/2017</v>
      </c>
      <c r="I246" t="str">
        <f>_xll.BDS("13063DAP Muni","MUNI_PURPOSE_SCHED", "aggregate=y")</f>
        <v>SCHOOL IMPS. WATER UTILITY IMPS. REFUNDING NOTES</v>
      </c>
      <c r="J246">
        <f>_xll.BDP("13063DAP Muni","CPN")</f>
        <v>4</v>
      </c>
      <c r="K246" t="str">
        <f>_xll.BDP("13063DAP Muni","MATURITY")</f>
        <v>11/1/2024</v>
      </c>
      <c r="L246">
        <v>24000000</v>
      </c>
      <c r="M246">
        <f>_xll.BDP("13063DAP Muni","YIELD_ON_ISSUE_DATE")</f>
        <v>1.67</v>
      </c>
      <c r="N246">
        <f>_xll.BDP("13063DAP Muni","YTW_SPREAD_TO_MATURITY_AT_ISSU")</f>
        <v>20.482899155597913</v>
      </c>
      <c r="O246" t="str">
        <f>_xll.BDP("13063DAP Muni","BVAL_MID_YTM")</f>
        <v>#N/A Authorization</v>
      </c>
      <c r="P246" t="str">
        <f>_xll.BDP("13063DAP Muni","MUNI_TAX_PROV")</f>
        <v>FED &amp; ST TAX-EXEMPT</v>
      </c>
      <c r="Q246" t="str">
        <f>_xll.BDP("13063DAP Muni","MUNI_FED_TAX")</f>
        <v>N</v>
      </c>
      <c r="R246">
        <f>_xll.BDP("13063DAP Muni","MUNI_MSRB_VOLUME")</f>
        <v>2000000</v>
      </c>
      <c r="S246" t="str">
        <f>_xll.BDP("13063DAP Muni","BB_COMPOSITE")</f>
        <v>AA-</v>
      </c>
      <c r="T246">
        <f>_xll.BDP("13063DAP Muni","LQA_LIQUIDITY_SCORE")</f>
        <v>83</v>
      </c>
    </row>
    <row r="247" spans="1:20" x14ac:dyDescent="0.25">
      <c r="A247" t="str">
        <f>_xll.BDP("023108LK Muni","ID_CUSIP")</f>
        <v>023108LK7</v>
      </c>
      <c r="B247" t="s">
        <v>156</v>
      </c>
      <c r="C247" t="str">
        <f>_xll.BDP("023108LK Muni","INSURANCE_STATUS")</f>
        <v>N</v>
      </c>
      <c r="D247" t="str">
        <f>_xll.BDP("023108LK Muni","STATE_CODE")</f>
        <v>TX</v>
      </c>
      <c r="E247" t="str">
        <f>_xll.BDP("023108LK Muni","COUNTY_LOCATION_ISSUER")</f>
        <v>Potter, TX</v>
      </c>
      <c r="F247">
        <f>_xll.BDP("023108LK Muni","DUR_ADJ_MID")</f>
        <v>3.3280864647615789</v>
      </c>
      <c r="G247">
        <f>_xll.BDP("023108LK Muni","SPREAD_AT_ISSUANCE_TO_WORST")</f>
        <v>22.305309601290357</v>
      </c>
      <c r="H247" t="str">
        <f>_xll.BDP("023108LK Muni","ISSUE_DT")</f>
        <v>4/1/2017</v>
      </c>
      <c r="I247" t="str">
        <f>_xll.BDS("023108LK Muni","MUNI_PURPOSE_SCHED", "aggregate=y")</f>
        <v>WATER UTILITY IMPS. SEWER IMPS.</v>
      </c>
      <c r="J247">
        <f>_xll.BDP("023108LK Muni","CPN")</f>
        <v>5</v>
      </c>
      <c r="K247" t="str">
        <f>_xll.BDP("023108LK Muni","MATURITY")</f>
        <v>4/1/2026</v>
      </c>
      <c r="L247">
        <v>1475000</v>
      </c>
      <c r="M247">
        <f>_xll.BDP("023108LK Muni","YIELD_ON_ISSUE_DATE")</f>
        <v>2.3000000000000003</v>
      </c>
      <c r="N247">
        <f>_xll.BDP("023108LK Muni","YTW_SPREAD_TO_MATURITY_AT_ISSU")</f>
        <v>22.305309601290357</v>
      </c>
      <c r="O247" t="str">
        <f>_xll.BDP("023108LK Muni","BVAL_MID_YTM")</f>
        <v>#N/A Authorization</v>
      </c>
      <c r="P247" t="str">
        <f>_xll.BDP("023108LK Muni","MUNI_TAX_PROV")</f>
        <v>FED TAX-EXEMPT</v>
      </c>
      <c r="Q247" t="str">
        <f>_xll.BDP("023108LK Muni","MUNI_FED_TAX")</f>
        <v>N</v>
      </c>
      <c r="R247">
        <f>_xll.BDP("023108LK Muni","MUNI_MSRB_VOLUME")</f>
        <v>75000</v>
      </c>
      <c r="S247" t="str">
        <f>_xll.BDP("023108LK Muni","BB_COMPOSITE")</f>
        <v>#N/A N/A</v>
      </c>
      <c r="T247">
        <f>_xll.BDP("023108LK Muni","LQA_LIQUIDITY_SCORE")</f>
        <v>67</v>
      </c>
    </row>
    <row r="248" spans="1:20" x14ac:dyDescent="0.25">
      <c r="A248" t="str">
        <f>_xll.BDP("14762PAK Muni","ID_CUSIP")</f>
        <v>14762PAK9</v>
      </c>
      <c r="B248" t="s">
        <v>68</v>
      </c>
      <c r="C248" t="str">
        <f>_xll.BDP("14762PAK Muni","INSURANCE_STATUS")</f>
        <v>Y</v>
      </c>
      <c r="D248" t="str">
        <f>_xll.BDP("14762PAK Muni","STATE_CODE")</f>
        <v>CA</v>
      </c>
      <c r="E248" t="str">
        <f>_xll.BDP("14762PAK Muni","COUNTY_LOCATION_ISSUER")</f>
        <v>Ventura, CA</v>
      </c>
      <c r="F248">
        <f>_xll.BDP("14762PAK Muni","DUR_ADJ_MID")</f>
        <v>3.7201599871405335</v>
      </c>
      <c r="G248">
        <f>_xll.BDP("14762PAK Muni","SPREAD_AT_ISSUANCE_TO_WORST")</f>
        <v>49.335594165580112</v>
      </c>
      <c r="H248" t="str">
        <f>_xll.BDP("14762PAK Muni","ISSUE_DT")</f>
        <v>5/31/2017</v>
      </c>
      <c r="I248" t="str">
        <f>_xll.BDS("14762PAK Muni","MUNI_PURPOSE_SCHED", "aggregate=y")</f>
        <v>WATER UTILITY IMPS.</v>
      </c>
      <c r="J248">
        <f>_xll.BDP("14762PAK Muni","CPN")</f>
        <v>4</v>
      </c>
      <c r="K248" t="str">
        <f>_xll.BDP("14762PAK Muni","MATURITY")</f>
        <v>9/1/2026</v>
      </c>
      <c r="L248">
        <v>585000</v>
      </c>
      <c r="M248">
        <f>_xll.BDP("14762PAK Muni","YIELD_ON_ISSUE_DATE")</f>
        <v>2.54</v>
      </c>
      <c r="N248">
        <f>_xll.BDP("14762PAK Muni","YTW_SPREAD_TO_MATURITY_AT_ISSU")</f>
        <v>49.335594165580112</v>
      </c>
      <c r="O248" t="str">
        <f>_xll.BDP("14762PAK Muni","BVAL_MID_YTM")</f>
        <v>#N/A Authorization</v>
      </c>
      <c r="P248" t="str">
        <f>_xll.BDP("14762PAK Muni","MUNI_TAX_PROV")</f>
        <v>FED &amp; ST TAX-EXEMPT</v>
      </c>
      <c r="Q248" t="str">
        <f>_xll.BDP("14762PAK Muni","MUNI_FED_TAX")</f>
        <v>N</v>
      </c>
      <c r="R248">
        <f>_xll.BDP("14762PAK Muni","MUNI_MSRB_VOLUME")</f>
        <v>70000</v>
      </c>
      <c r="S248" t="str">
        <f>_xll.BDP("14762PAK Muni","BB_COMPOSITE")</f>
        <v>#N/A N/A</v>
      </c>
      <c r="T248">
        <f>_xll.BDP("14762PAK Muni","LQA_LIQUIDITY_SCORE")</f>
        <v>65</v>
      </c>
    </row>
    <row r="249" spans="1:20" x14ac:dyDescent="0.25">
      <c r="A249" t="str">
        <f>_xll.BDP("837545LN Muni","ID_CUSIP")</f>
        <v>837545LN0</v>
      </c>
      <c r="B249" t="s">
        <v>24</v>
      </c>
      <c r="C249" t="str">
        <f>_xll.BDP("837545LN Muni","INSURANCE_STATUS")</f>
        <v>N</v>
      </c>
      <c r="D249" t="str">
        <f>_xll.BDP("837545LN Muni","STATE_CODE")</f>
        <v>SD</v>
      </c>
      <c r="E249" t="str">
        <f>_xll.BDP("837545LN Muni","COUNTY_LOCATION_ISSUER")</f>
        <v>Hughes, SD</v>
      </c>
      <c r="F249">
        <f>_xll.BDP("837545LN Muni","DUR_ADJ_MID")</f>
        <v>4.4764967193377609</v>
      </c>
      <c r="G249">
        <f>_xll.BDP("837545LN Muni","SPREAD_AT_ISSUANCE_TO_WORST")</f>
        <v>12.639394273938276</v>
      </c>
      <c r="H249" t="str">
        <f>_xll.BDP("837545LN Muni","ISSUE_DT")</f>
        <v>8/23/2017</v>
      </c>
      <c r="I249" t="str">
        <f>_xll.BDS("837545LN Muni","MUNI_PURPOSE_SCHED", "aggregate=y")</f>
        <v>WATER UTILITY IMPS. SEWER IMPS. ADVANCE REFUNDING</v>
      </c>
      <c r="J249">
        <f>_xll.BDP("837545LN Muni","CPN")</f>
        <v>5</v>
      </c>
      <c r="K249" t="str">
        <f>_xll.BDP("837545LN Muni","MATURITY")</f>
        <v>8/1/2027</v>
      </c>
      <c r="L249">
        <v>6840000</v>
      </c>
      <c r="M249">
        <f>_xll.BDP("837545LN Muni","YIELD_ON_ISSUE_DATE")</f>
        <v>2.0300000000000002</v>
      </c>
      <c r="N249">
        <f>_xll.BDP("837545LN Muni","YTW_SPREAD_TO_MATURITY_AT_ISSU")</f>
        <v>12.639394273938276</v>
      </c>
      <c r="O249" t="str">
        <f>_xll.BDP("837545LN Muni","BVAL_MID_YTM")</f>
        <v>#N/A Authorization</v>
      </c>
      <c r="P249" t="str">
        <f>_xll.BDP("837545LN Muni","MUNI_TAX_PROV")</f>
        <v>FED TAX-EXEMPT</v>
      </c>
      <c r="Q249" t="str">
        <f>_xll.BDP("837545LN Muni","MUNI_FED_TAX")</f>
        <v>N</v>
      </c>
      <c r="R249">
        <f>_xll.BDP("837545LN Muni","MUNI_MSRB_VOLUME")</f>
        <v>20000</v>
      </c>
      <c r="S249" t="str">
        <f>_xll.BDP("837545LN Muni","BB_COMPOSITE")</f>
        <v>AAA</v>
      </c>
      <c r="T249">
        <f>_xll.BDP("837545LN Muni","LQA_LIQUIDITY_SCORE")</f>
        <v>52</v>
      </c>
    </row>
    <row r="250" spans="1:20" x14ac:dyDescent="0.25">
      <c r="A250" t="str">
        <f>_xll.BDP("75686JAF Muni","ID_CUSIP")</f>
        <v>75686JAF8</v>
      </c>
      <c r="B250" t="s">
        <v>157</v>
      </c>
      <c r="C250" t="str">
        <f>_xll.BDP("75686JAF Muni","INSURANCE_STATUS")</f>
        <v>Y</v>
      </c>
      <c r="D250" t="str">
        <f>_xll.BDP("75686JAF Muni","STATE_CODE")</f>
        <v>TX</v>
      </c>
      <c r="E250" t="str">
        <f>_xll.BDP("75686JAF Muni","COUNTY_LOCATION_ISSUER")</f>
        <v>Wichita, TX</v>
      </c>
      <c r="F250">
        <f>_xll.BDP("75686JAF Muni","DUR_ADJ_MID")</f>
        <v>0.64823885270261916</v>
      </c>
      <c r="G250">
        <f>_xll.BDP("75686JAF Muni","SPREAD_AT_ISSUANCE_TO_WORST")</f>
        <v>60.870709324727756</v>
      </c>
      <c r="H250" t="str">
        <f>_xll.BDP("75686JAF Muni","ISSUE_DT")</f>
        <v>6/1/2017</v>
      </c>
      <c r="I250" t="str">
        <f>_xll.BDS("75686JAF Muni","MUNI_PURPOSE_SCHED", "aggregate=y")</f>
        <v>WATER UTILITY IMPS. SEWER IMPS.</v>
      </c>
      <c r="J250">
        <f>_xll.BDP("75686JAF Muni","CPN")</f>
        <v>4</v>
      </c>
      <c r="K250" t="str">
        <f>_xll.BDP("75686JAF Muni","MATURITY")</f>
        <v>4/1/2023</v>
      </c>
      <c r="L250">
        <v>335000</v>
      </c>
      <c r="M250">
        <f>_xll.BDP("75686JAF Muni","YIELD_ON_ISSUE_DATE")</f>
        <v>1.93</v>
      </c>
      <c r="N250">
        <f>_xll.BDP("75686JAF Muni","YTW_SPREAD_TO_MATURITY_AT_ISSU")</f>
        <v>60.870709324727756</v>
      </c>
      <c r="O250" t="str">
        <f>_xll.BDP("75686JAF Muni","BVAL_MID_YTM")</f>
        <v>#N/A Authorization</v>
      </c>
      <c r="P250" t="str">
        <f>_xll.BDP("75686JAF Muni","MUNI_TAX_PROV")</f>
        <v>FED TAX-EXEMPT</v>
      </c>
      <c r="Q250" t="str">
        <f>_xll.BDP("75686JAF Muni","MUNI_FED_TAX")</f>
        <v>N</v>
      </c>
      <c r="R250">
        <f>_xll.BDP("75686JAF Muni","MUNI_MSRB_VOLUME")</f>
        <v>15000</v>
      </c>
      <c r="S250" t="str">
        <f>_xll.BDP("75686JAF Muni","BB_COMPOSITE")</f>
        <v>#N/A N/A</v>
      </c>
      <c r="T250">
        <f>_xll.BDP("75686JAF Muni","LQA_LIQUIDITY_SCORE")</f>
        <v>92</v>
      </c>
    </row>
    <row r="251" spans="1:20" x14ac:dyDescent="0.25">
      <c r="A251" t="str">
        <f>_xll.BDP("850777GQ Muni","ID_CUSIP")</f>
        <v>850777GQ0</v>
      </c>
      <c r="B251" t="s">
        <v>90</v>
      </c>
      <c r="C251" t="str">
        <f>_xll.BDP("850777GQ Muni","INSURANCE_STATUS")</f>
        <v>N</v>
      </c>
      <c r="D251" t="str">
        <f>_xll.BDP("850777GQ Muni","STATE_CODE")</f>
        <v>MA</v>
      </c>
      <c r="E251" t="str">
        <f>_xll.BDP("850777GQ Muni","COUNTY_LOCATION_ISSUER")</f>
        <v>Hampden, MA</v>
      </c>
      <c r="F251">
        <f>_xll.BDP("850777GQ Muni","DUR_ADJ_MID")</f>
        <v>1.6138723608367165</v>
      </c>
      <c r="G251">
        <f>_xll.BDP("850777GQ Muni","SPREAD_AT_ISSUANCE_TO_WORST")</f>
        <v>8.7620963751714243</v>
      </c>
      <c r="H251" t="str">
        <f>_xll.BDP("850777GQ Muni","ISSUE_DT")</f>
        <v>7/14/2017</v>
      </c>
      <c r="I251" t="str">
        <f>_xll.BDS("850777GQ Muni","MUNI_PURPOSE_SCHED", "aggregate=y")</f>
        <v>WATER UTILITY IMPS. SEWER IMPS.</v>
      </c>
      <c r="J251">
        <f>_xll.BDP("850777GQ Muni","CPN")</f>
        <v>5</v>
      </c>
      <c r="K251" t="str">
        <f>_xll.BDP("850777GQ Muni","MATURITY")</f>
        <v>4/15/2024</v>
      </c>
      <c r="L251">
        <v>1055000</v>
      </c>
      <c r="M251">
        <f>_xll.BDP("850777GQ Muni","YIELD_ON_ISSUE_DATE")</f>
        <v>1.57</v>
      </c>
      <c r="N251">
        <f>_xll.BDP("850777GQ Muni","YTW_SPREAD_TO_MATURITY_AT_ISSU")</f>
        <v>8.7620963751714243</v>
      </c>
      <c r="O251" t="str">
        <f>_xll.BDP("850777GQ Muni","BVAL_MID_YTM")</f>
        <v>#N/A Authorization</v>
      </c>
      <c r="P251" t="str">
        <f>_xll.BDP("850777GQ Muni","MUNI_TAX_PROV")</f>
        <v>FED &amp; ST TAX-EXEMPT</v>
      </c>
      <c r="Q251" t="str">
        <f>_xll.BDP("850777GQ Muni","MUNI_FED_TAX")</f>
        <v>N</v>
      </c>
      <c r="R251">
        <f>_xll.BDP("850777GQ Muni","MUNI_MSRB_VOLUME")</f>
        <v>10000</v>
      </c>
      <c r="S251" t="str">
        <f>_xll.BDP("850777GQ Muni","BB_COMPOSITE")</f>
        <v>#N/A N/A</v>
      </c>
      <c r="T251">
        <f>_xll.BDP("850777GQ Muni","LQA_LIQUIDITY_SCORE")</f>
        <v>86</v>
      </c>
    </row>
    <row r="252" spans="1:20" x14ac:dyDescent="0.25">
      <c r="A252" t="str">
        <f>_xll.BDP("080375DE Muni","ID_CUSIP")</f>
        <v>080375DE5</v>
      </c>
      <c r="B252" t="s">
        <v>158</v>
      </c>
      <c r="C252" t="str">
        <f>_xll.BDP("080375DE Muni","INSURANCE_STATUS")</f>
        <v>Y</v>
      </c>
      <c r="D252" t="str">
        <f>_xll.BDP("080375DE Muni","STATE_CODE")</f>
        <v>TX</v>
      </c>
      <c r="E252" t="str">
        <f>_xll.BDP("080375DE Muni","COUNTY_LOCATION_ISSUER")</f>
        <v>Dallas, TX</v>
      </c>
      <c r="F252">
        <f>_xll.BDP("080375DE Muni","DUR_ADJ_MID")</f>
        <v>0.56673792684907975</v>
      </c>
      <c r="G252">
        <f>_xll.BDP("080375DE Muni","SPREAD_AT_ISSUANCE_TO_WORST")</f>
        <v>53.912911263959963</v>
      </c>
      <c r="H252" t="str">
        <f>_xll.BDP("080375DE Muni","ISSUE_DT")</f>
        <v>9/1/2017</v>
      </c>
      <c r="I252" t="str">
        <f>_xll.BDS("080375DE Muni","MUNI_PURPOSE_SCHED", "aggregate=y")</f>
        <v>REFUNDING NOTES WATER UTILITY IMPS. SEWER IMPS.</v>
      </c>
      <c r="J252">
        <f>_xll.BDP("080375DE Muni","CPN")</f>
        <v>4</v>
      </c>
      <c r="K252" t="str">
        <f>_xll.BDP("080375DE Muni","MATURITY")</f>
        <v>3/1/2023</v>
      </c>
      <c r="L252">
        <v>170000</v>
      </c>
      <c r="M252">
        <f>_xll.BDP("080375DE Muni","YIELD_ON_ISSUE_DATE")</f>
        <v>1.75</v>
      </c>
      <c r="N252">
        <f>_xll.BDP("080375DE Muni","YTW_SPREAD_TO_MATURITY_AT_ISSU")</f>
        <v>53.912911263959963</v>
      </c>
      <c r="O252" t="str">
        <f>_xll.BDP("080375DE Muni","BVAL_MID_YTM")</f>
        <v>#N/A Authorization</v>
      </c>
      <c r="P252" t="str">
        <f>_xll.BDP("080375DE Muni","MUNI_TAX_PROV")</f>
        <v>FED TAX-EXEMPT</v>
      </c>
      <c r="Q252" t="str">
        <f>_xll.BDP("080375DE Muni","MUNI_FED_TAX")</f>
        <v>N</v>
      </c>
      <c r="R252" t="str">
        <f>_xll.BDP("080375DE Muni","MUNI_MSRB_VOLUME")</f>
        <v>#N/A N/A</v>
      </c>
      <c r="S252" t="str">
        <f>_xll.BDP("080375DE Muni","BB_COMPOSITE")</f>
        <v>A+</v>
      </c>
      <c r="T252">
        <f>_xll.BDP("080375DE Muni","LQA_LIQUIDITY_SCORE")</f>
        <v>86</v>
      </c>
    </row>
    <row r="253" spans="1:20" x14ac:dyDescent="0.25">
      <c r="A253" t="str">
        <f>_xll.BDP("10606PHF Muni","ID_CUSIP")</f>
        <v>10606PHF1</v>
      </c>
      <c r="B253" t="s">
        <v>159</v>
      </c>
      <c r="C253" t="str">
        <f>_xll.BDP("10606PHF Muni","INSURANCE_STATUS")</f>
        <v>Y</v>
      </c>
      <c r="D253" t="str">
        <f>_xll.BDP("10606PHF Muni","STATE_CODE")</f>
        <v>TX</v>
      </c>
      <c r="E253" t="str">
        <f>_xll.BDP("10606PHF Muni","COUNTY_LOCATION_ISSUER")</f>
        <v>Brazoria, TX</v>
      </c>
      <c r="F253">
        <f>_xll.BDP("10606PHF Muni","DUR_ADJ_MID")</f>
        <v>1.0476029346178026</v>
      </c>
      <c r="G253">
        <f>_xll.BDP("10606PHF Muni","SPREAD_AT_ISSUANCE_TO_WORST")</f>
        <v>56.806379805849595</v>
      </c>
      <c r="H253" t="str">
        <f>_xll.BDP("10606PHF Muni","ISSUE_DT")</f>
        <v>7/1/2017</v>
      </c>
      <c r="I253" t="str">
        <f>_xll.BDS("10606PHF Muni","MUNI_PURPOSE_SCHED", "aggregate=y")</f>
        <v>PROPERTY ACQUISITION SEWER IMPS. WATER UTILITY IMPS.</v>
      </c>
      <c r="J253">
        <f>_xll.BDP("10606PHF Muni","CPN")</f>
        <v>3</v>
      </c>
      <c r="K253" t="str">
        <f>_xll.BDP("10606PHF Muni","MATURITY")</f>
        <v>9/1/2023</v>
      </c>
      <c r="L253">
        <v>900000</v>
      </c>
      <c r="M253">
        <f>_xll.BDP("10606PHF Muni","YIELD_ON_ISSUE_DATE")</f>
        <v>2</v>
      </c>
      <c r="N253">
        <f>_xll.BDP("10606PHF Muni","YTW_SPREAD_TO_MATURITY_AT_ISSU")</f>
        <v>56.806379805849595</v>
      </c>
      <c r="O253" t="str">
        <f>_xll.BDP("10606PHF Muni","BVAL_MID_YTM")</f>
        <v>#N/A Authorization</v>
      </c>
      <c r="P253" t="str">
        <f>_xll.BDP("10606PHF Muni","MUNI_TAX_PROV")</f>
        <v>FED TAX-EXEMPT</v>
      </c>
      <c r="Q253" t="str">
        <f>_xll.BDP("10606PHF Muni","MUNI_FED_TAX")</f>
        <v>N</v>
      </c>
      <c r="R253">
        <f>_xll.BDP("10606PHF Muni","MUNI_MSRB_VOLUME")</f>
        <v>50000</v>
      </c>
      <c r="S253" t="str">
        <f>_xll.BDP("10606PHF Muni","BB_COMPOSITE")</f>
        <v>AA-</v>
      </c>
      <c r="T253">
        <f>_xll.BDP("10606PHF Muni","LQA_LIQUIDITY_SCORE")</f>
        <v>90</v>
      </c>
    </row>
    <row r="254" spans="1:20" x14ac:dyDescent="0.25">
      <c r="A254" t="str">
        <f>_xll.BDP("19679ERN Muni","ID_CUSIP")</f>
        <v>19679ERN1</v>
      </c>
      <c r="B254" t="s">
        <v>91</v>
      </c>
      <c r="C254" t="str">
        <f>_xll.BDP("19679ERN Muni","INSURANCE_STATUS")</f>
        <v>N</v>
      </c>
      <c r="D254" t="str">
        <f>_xll.BDP("19679ERN Muni","STATE_CODE")</f>
        <v>CO</v>
      </c>
      <c r="E254" t="str">
        <f>_xll.BDP("19679ERN Muni","COUNTY_LOCATION_ISSUER")</f>
        <v>Denver, CO</v>
      </c>
      <c r="F254">
        <f>_xll.BDP("19679ERN Muni","DUR_ADJ_MID")</f>
        <v>1.0361795940137963</v>
      </c>
      <c r="G254">
        <f>_xll.BDP("19679ERN Muni","SPREAD_AT_ISSUANCE_TO_WORST")</f>
        <v>-5.0873424657534194</v>
      </c>
      <c r="H254" t="str">
        <f>_xll.BDP("19679ERN Muni","ISSUE_DT")</f>
        <v>11/15/2017</v>
      </c>
      <c r="I254" t="str">
        <f>_xll.BDS("19679ERN Muni","MUNI_PURPOSE_SCHED", "aggregate=y")</f>
        <v>WATER UTILITY IMPS.</v>
      </c>
      <c r="J254">
        <f>_xll.BDP("19679ERN Muni","CPN")</f>
        <v>5</v>
      </c>
      <c r="K254" t="str">
        <f>_xll.BDP("19679ERN Muni","MATURITY")</f>
        <v>9/1/2023</v>
      </c>
      <c r="L254">
        <v>885000</v>
      </c>
      <c r="M254">
        <f>_xll.BDP("19679ERN Muni","YIELD_ON_ISSUE_DATE")</f>
        <v>1.5</v>
      </c>
      <c r="N254">
        <f>_xll.BDP("19679ERN Muni","YTW_SPREAD_TO_MATURITY_AT_ISSU")</f>
        <v>-5.0873424657534194</v>
      </c>
      <c r="O254" t="str">
        <f>_xll.BDP("19679ERN Muni","BVAL_MID_YTM")</f>
        <v>#N/A Authorization</v>
      </c>
      <c r="P254" t="str">
        <f>_xll.BDP("19679ERN Muni","MUNI_TAX_PROV")</f>
        <v>FED &amp; ST TAX-EXEMPT</v>
      </c>
      <c r="Q254" t="str">
        <f>_xll.BDP("19679ERN Muni","MUNI_FED_TAX")</f>
        <v>N</v>
      </c>
      <c r="R254">
        <f>_xll.BDP("19679ERN Muni","MUNI_MSRB_VOLUME")</f>
        <v>25000</v>
      </c>
      <c r="S254" t="str">
        <f>_xll.BDP("19679ERN Muni","BB_COMPOSITE")</f>
        <v>AAA</v>
      </c>
      <c r="T254">
        <f>_xll.BDP("19679ERN Muni","LQA_LIQUIDITY_SCORE")</f>
        <v>95</v>
      </c>
    </row>
    <row r="255" spans="1:20" x14ac:dyDescent="0.25">
      <c r="A255" t="str">
        <f>_xll.BDP("271014E2 Muni","ID_CUSIP")</f>
        <v>271014E24</v>
      </c>
      <c r="B255" t="s">
        <v>54</v>
      </c>
      <c r="C255" t="str">
        <f>_xll.BDP("271014E2 Muni","INSURANCE_STATUS")</f>
        <v>N</v>
      </c>
      <c r="D255" t="str">
        <f>_xll.BDP("271014E2 Muni","STATE_CODE")</f>
        <v>CA</v>
      </c>
      <c r="E255" t="str">
        <f>_xll.BDP("271014E2 Muni","COUNTY_LOCATION_ISSUER")</f>
        <v>San Mateo, CA</v>
      </c>
      <c r="F255">
        <f>_xll.BDP("271014E2 Muni","DUR_ADJ_MID")</f>
        <v>3.5003071266266796</v>
      </c>
      <c r="G255">
        <f>_xll.BDP("271014E2 Muni","SPREAD_AT_ISSUANCE_TO_WORST")</f>
        <v>-1.9809725690934421</v>
      </c>
      <c r="H255" t="str">
        <f>_xll.BDP("271014E2 Muni","ISSUE_DT")</f>
        <v>6/22/2017</v>
      </c>
      <c r="I255" t="str">
        <f>_xll.BDS("271014E2 Muni","MUNI_PURPOSE_SCHED", "aggregate=y")</f>
        <v>ADVANCE REFUNDING WATER UTILITY IMPS. CURRENT REFUNDING</v>
      </c>
      <c r="J255">
        <f>_xll.BDP("271014E2 Muni","CPN")</f>
        <v>5</v>
      </c>
      <c r="K255" t="str">
        <f>_xll.BDP("271014E2 Muni","MATURITY")</f>
        <v>6/1/2026</v>
      </c>
      <c r="L255">
        <v>3890000</v>
      </c>
      <c r="M255">
        <f>_xll.BDP("271014E2 Muni","YIELD_ON_ISSUE_DATE")</f>
        <v>1.7000000000000002</v>
      </c>
      <c r="N255">
        <f>_xll.BDP("271014E2 Muni","YTW_SPREAD_TO_MATURITY_AT_ISSU")</f>
        <v>-1.9809725690934421</v>
      </c>
      <c r="O255" t="str">
        <f>_xll.BDP("271014E2 Muni","BVAL_MID_YTM")</f>
        <v>#N/A Authorization</v>
      </c>
      <c r="P255" t="str">
        <f>_xll.BDP("271014E2 Muni","MUNI_TAX_PROV")</f>
        <v>FED &amp; ST TAX-EXEMPT</v>
      </c>
      <c r="Q255" t="str">
        <f>_xll.BDP("271014E2 Muni","MUNI_FED_TAX")</f>
        <v>N</v>
      </c>
      <c r="R255">
        <f>_xll.BDP("271014E2 Muni","MUNI_MSRB_VOLUME")</f>
        <v>75000</v>
      </c>
      <c r="S255" t="str">
        <f>_xll.BDP("271014E2 Muni","BB_COMPOSITE")</f>
        <v>AA+</v>
      </c>
      <c r="T255">
        <f>_xll.BDP("271014E2 Muni","LQA_LIQUIDITY_SCORE")</f>
        <v>59</v>
      </c>
    </row>
    <row r="256" spans="1:20" x14ac:dyDescent="0.25">
      <c r="A256" t="str">
        <f>_xll.BDP("20775YDA Muni","ID_CUSIP")</f>
        <v>20775YDA1</v>
      </c>
      <c r="B256" t="s">
        <v>35</v>
      </c>
      <c r="C256" t="str">
        <f>_xll.BDP("20775YDA Muni","INSURANCE_STATUS")</f>
        <v>N</v>
      </c>
      <c r="D256" t="str">
        <f>_xll.BDP("20775YDA Muni","STATE_CODE")</f>
        <v>CT</v>
      </c>
      <c r="E256" t="str">
        <f>_xll.BDP("20775YDA Muni","COUNTY_LOCATION_ISSUER")</f>
        <v>Hartford, CT</v>
      </c>
      <c r="F256">
        <f>_xll.BDP("20775YDA Muni","DUR_ADJ_MID")</f>
        <v>2.587747086862354</v>
      </c>
      <c r="G256">
        <f>_xll.BDP("20775YDA Muni","SPREAD_AT_ISSUANCE_TO_WORST")</f>
        <v>12.439987666267104</v>
      </c>
      <c r="H256" t="str">
        <f>_xll.BDP("20775YDA Muni","ISSUE_DT")</f>
        <v>6/15/2017</v>
      </c>
      <c r="I256" t="str">
        <f>_xll.BDS("20775YDA Muni","MUNI_PURPOSE_SCHED", "aggregate=y")</f>
        <v>GREEN PURPOSE WATER UTILITY IMPS. SEWER IMPS.</v>
      </c>
      <c r="J256">
        <f>_xll.BDP("20775YDA Muni","CPN")</f>
        <v>4</v>
      </c>
      <c r="K256" t="str">
        <f>_xll.BDP("20775YDA Muni","MATURITY")</f>
        <v>5/1/2025</v>
      </c>
      <c r="L256">
        <v>330000</v>
      </c>
      <c r="M256">
        <f>_xll.BDP("20775YDA Muni","YIELD_ON_ISSUE_DATE")</f>
        <v>1.74</v>
      </c>
      <c r="N256">
        <f>_xll.BDP("20775YDA Muni","YTW_SPREAD_TO_MATURITY_AT_ISSU")</f>
        <v>12.439987666267104</v>
      </c>
      <c r="O256" t="str">
        <f>_xll.BDP("20775YDA Muni","BVAL_MID_YTM")</f>
        <v>#N/A Authorization</v>
      </c>
      <c r="P256" t="str">
        <f>_xll.BDP("20775YDA Muni","MUNI_TAX_PROV")</f>
        <v>FED &amp; ST TAX-EXEMPT</v>
      </c>
      <c r="Q256" t="str">
        <f>_xll.BDP("20775YDA Muni","MUNI_FED_TAX")</f>
        <v>N</v>
      </c>
      <c r="R256" t="str">
        <f>_xll.BDP("20775YDA Muni","MUNI_MSRB_VOLUME")</f>
        <v>#N/A N/A</v>
      </c>
      <c r="S256" t="str">
        <f>_xll.BDP("20775YDA Muni","BB_COMPOSITE")</f>
        <v>AAA</v>
      </c>
      <c r="T256">
        <f>_xll.BDP("20775YDA Muni","LQA_LIQUIDITY_SCORE")</f>
        <v>65</v>
      </c>
    </row>
    <row r="257" spans="1:20" x14ac:dyDescent="0.25">
      <c r="A257" t="str">
        <f>_xll.BDP("270371GU Muni","ID_CUSIP")</f>
        <v>270371GU5</v>
      </c>
      <c r="B257" t="s">
        <v>160</v>
      </c>
      <c r="C257" t="str">
        <f>_xll.BDP("270371GU Muni","INSURANCE_STATUS")</f>
        <v>Y</v>
      </c>
      <c r="D257" t="str">
        <f>_xll.BDP("270371GU Muni","STATE_CODE")</f>
        <v>SC</v>
      </c>
      <c r="E257" t="str">
        <f>_xll.BDP("270371GU Muni","COUNTY_LOCATION_ISSUER")</f>
        <v>Pickens, SC</v>
      </c>
      <c r="F257">
        <f>_xll.BDP("270371GU Muni","DUR_ADJ_MID")</f>
        <v>3.1471377439525261</v>
      </c>
      <c r="G257">
        <f>_xll.BDP("270371GU Muni","SPREAD_AT_ISSUANCE_TO_WORST")</f>
        <v>52.32114642745411</v>
      </c>
      <c r="H257" t="str">
        <f>_xll.BDP("270371GU Muni","ISSUE_DT")</f>
        <v>10/12/2017</v>
      </c>
      <c r="I257" t="str">
        <f>_xll.BDS("270371GU Muni","MUNI_PURPOSE_SCHED", "aggregate=y")</f>
        <v>WATER UTILITY IMPS. SEWER IMPS. ELEC. LT. &amp; PWR. IMPTS.</v>
      </c>
      <c r="J257">
        <f>_xll.BDP("270371GU Muni","CPN")</f>
        <v>3</v>
      </c>
      <c r="K257" t="str">
        <f>_xll.BDP("270371GU Muni","MATURITY")</f>
        <v>12/1/2025</v>
      </c>
      <c r="L257">
        <v>280000</v>
      </c>
      <c r="M257">
        <f>_xll.BDP("270371GU Muni","YIELD_ON_ISSUE_DATE")</f>
        <v>2.2000000000000002</v>
      </c>
      <c r="N257">
        <f>_xll.BDP("270371GU Muni","YTW_SPREAD_TO_MATURITY_AT_ISSU")</f>
        <v>52.32114642745411</v>
      </c>
      <c r="O257" t="str">
        <f>_xll.BDP("270371GU Muni","BVAL_MID_YTM")</f>
        <v>#N/A Authorization</v>
      </c>
      <c r="P257" t="str">
        <f>_xll.BDP("270371GU Muni","MUNI_TAX_PROV")</f>
        <v>FED BQ/ST TAX-EXEMPT</v>
      </c>
      <c r="Q257" t="str">
        <f>_xll.BDP("270371GU Muni","MUNI_FED_TAX")</f>
        <v>N</v>
      </c>
      <c r="R257" t="str">
        <f>_xll.BDP("270371GU Muni","MUNI_MSRB_VOLUME")</f>
        <v>#N/A N/A</v>
      </c>
      <c r="S257" t="str">
        <f>_xll.BDP("270371GU Muni","BB_COMPOSITE")</f>
        <v>A+</v>
      </c>
      <c r="T257">
        <f>_xll.BDP("270371GU Muni","LQA_LIQUIDITY_SCORE")</f>
        <v>53</v>
      </c>
    </row>
    <row r="258" spans="1:20" x14ac:dyDescent="0.25">
      <c r="A258" t="str">
        <f>_xll.BDP("270371GV Muni","ID_CUSIP")</f>
        <v>270371GV3</v>
      </c>
      <c r="B258" t="s">
        <v>160</v>
      </c>
      <c r="C258" t="str">
        <f>_xll.BDP("270371GV Muni","INSURANCE_STATUS")</f>
        <v>Y</v>
      </c>
      <c r="D258" t="str">
        <f>_xll.BDP("270371GV Muni","STATE_CODE")</f>
        <v>SC</v>
      </c>
      <c r="E258" t="str">
        <f>_xll.BDP("270371GV Muni","COUNTY_LOCATION_ISSUER")</f>
        <v>Pickens, SC</v>
      </c>
      <c r="F258">
        <f>_xll.BDP("270371GV Muni","DUR_ADJ_MID")</f>
        <v>4.0325445604907735</v>
      </c>
      <c r="G258">
        <f>_xll.BDP("270371GV Muni","SPREAD_AT_ISSUANCE_TO_WORST")</f>
        <v>51.779861761731681</v>
      </c>
      <c r="H258" t="str">
        <f>_xll.BDP("270371GV Muni","ISSUE_DT")</f>
        <v>10/12/2017</v>
      </c>
      <c r="I258" t="str">
        <f>_xll.BDS("270371GV Muni","MUNI_PURPOSE_SCHED", "aggregate=y")</f>
        <v>WATER UTILITY IMPS. SEWER IMPS. ELEC. LT. &amp; PWR. IMPTS.</v>
      </c>
      <c r="J258">
        <f>_xll.BDP("270371GV Muni","CPN")</f>
        <v>3</v>
      </c>
      <c r="K258" t="str">
        <f>_xll.BDP("270371GV Muni","MATURITY")</f>
        <v>12/1/2026</v>
      </c>
      <c r="L258">
        <v>290000</v>
      </c>
      <c r="M258">
        <f>_xll.BDP("270371GV Muni","YIELD_ON_ISSUE_DATE")</f>
        <v>2.3199999999999998</v>
      </c>
      <c r="N258">
        <f>_xll.BDP("270371GV Muni","YTW_SPREAD_TO_MATURITY_AT_ISSU")</f>
        <v>51.779861761731681</v>
      </c>
      <c r="O258" t="str">
        <f>_xll.BDP("270371GV Muni","BVAL_MID_YTM")</f>
        <v>#N/A Authorization</v>
      </c>
      <c r="P258" t="str">
        <f>_xll.BDP("270371GV Muni","MUNI_TAX_PROV")</f>
        <v>FED BQ/ST TAX-EXEMPT</v>
      </c>
      <c r="Q258" t="str">
        <f>_xll.BDP("270371GV Muni","MUNI_FED_TAX")</f>
        <v>N</v>
      </c>
      <c r="R258" t="str">
        <f>_xll.BDP("270371GV Muni","MUNI_MSRB_VOLUME")</f>
        <v>#N/A N/A</v>
      </c>
      <c r="S258" t="str">
        <f>_xll.BDP("270371GV Muni","BB_COMPOSITE")</f>
        <v>A+</v>
      </c>
      <c r="T258">
        <f>_xll.BDP("270371GV Muni","LQA_LIQUIDITY_SCORE")</f>
        <v>44</v>
      </c>
    </row>
    <row r="259" spans="1:20" x14ac:dyDescent="0.25">
      <c r="A259" t="str">
        <f>_xll.BDP("46246K3W Muni","ID_CUSIP")</f>
        <v>46246K3W0</v>
      </c>
      <c r="B259" t="s">
        <v>28</v>
      </c>
      <c r="C259" t="str">
        <f>_xll.BDP("46246K3W Muni","INSURANCE_STATUS")</f>
        <v>N</v>
      </c>
      <c r="D259" t="str">
        <f>_xll.BDP("46246K3W Muni","STATE_CODE")</f>
        <v>IA</v>
      </c>
      <c r="E259" t="str">
        <f>_xll.BDP("46246K3W Muni","COUNTY_LOCATION_ISSUER")</f>
        <v>Polk, IA</v>
      </c>
      <c r="F259">
        <f>_xll.BDP("46246K3W Muni","DUR_ADJ_MID")</f>
        <v>5.554049985052472E-3</v>
      </c>
      <c r="G259">
        <f>_xll.BDP("46246K3W Muni","SPREAD_AT_ISSUANCE_TO_WORST")</f>
        <v>14.366835616438367</v>
      </c>
      <c r="H259" t="str">
        <f>_xll.BDP("46246K3W Muni","ISSUE_DT")</f>
        <v>12/14/2017</v>
      </c>
      <c r="I259" t="str">
        <f>_xll.BDS("46246K3W Muni","MUNI_PURPOSE_SCHED", "aggregate=y")</f>
        <v>WATER UTILITY IMPS. GREEN PURPOSE ADVANCE REFUNDING</v>
      </c>
      <c r="J259">
        <f>_xll.BDP("46246K3W Muni","CPN")</f>
        <v>5</v>
      </c>
      <c r="K259" t="str">
        <f>_xll.BDP("46246K3W Muni","MATURITY")</f>
        <v>8/1/2022</v>
      </c>
      <c r="L259">
        <v>9575000</v>
      </c>
      <c r="M259">
        <f>_xll.BDP("46246K3W Muni","YIELD_ON_ISSUE_DATE")</f>
        <v>1.78</v>
      </c>
      <c r="N259">
        <f>_xll.BDP("46246K3W Muni","YTW_SPREAD_TO_MATURITY_AT_ISSU")</f>
        <v>14.366835616438367</v>
      </c>
      <c r="O259" t="str">
        <f>_xll.BDP("46246K3W Muni","BVAL_MID_YTM")</f>
        <v>#N/A Authorization</v>
      </c>
      <c r="P259" t="str">
        <f>_xll.BDP("46246K3W Muni","MUNI_TAX_PROV")</f>
        <v>FED &amp; ST TAX-EXEMPT</v>
      </c>
      <c r="Q259" t="str">
        <f>_xll.BDP("46246K3W Muni","MUNI_FED_TAX")</f>
        <v>N</v>
      </c>
      <c r="R259">
        <f>_xll.BDP("46246K3W Muni","MUNI_MSRB_VOLUME")</f>
        <v>30000</v>
      </c>
      <c r="S259" t="str">
        <f>_xll.BDP("46246K3W Muni","BB_COMPOSITE")</f>
        <v>AAA</v>
      </c>
      <c r="T259">
        <f>_xll.BDP("46246K3W Muni","LQA_LIQUIDITY_SCORE")</f>
        <v>96</v>
      </c>
    </row>
    <row r="260" spans="1:20" x14ac:dyDescent="0.25">
      <c r="A260" t="str">
        <f>_xll.BDP("46246K3Y Muni","ID_CUSIP")</f>
        <v>46246K3Y6</v>
      </c>
      <c r="B260" t="s">
        <v>28</v>
      </c>
      <c r="C260" t="str">
        <f>_xll.BDP("46246K3Y Muni","INSURANCE_STATUS")</f>
        <v>N</v>
      </c>
      <c r="D260" t="str">
        <f>_xll.BDP("46246K3Y Muni","STATE_CODE")</f>
        <v>IA</v>
      </c>
      <c r="E260" t="str">
        <f>_xll.BDP("46246K3Y Muni","COUNTY_LOCATION_ISSUER")</f>
        <v>Polk, IA</v>
      </c>
      <c r="F260">
        <f>_xll.BDP("46246K3Y Muni","DUR_ADJ_MID")</f>
        <v>1.910751070178343</v>
      </c>
      <c r="G260">
        <f>_xll.BDP("46246K3Y Muni","SPREAD_AT_ISSUANCE_TO_WORST")</f>
        <v>13.650230136986297</v>
      </c>
      <c r="H260" t="str">
        <f>_xll.BDP("46246K3Y Muni","ISSUE_DT")</f>
        <v>12/14/2017</v>
      </c>
      <c r="I260" t="str">
        <f>_xll.BDS("46246K3Y Muni","MUNI_PURPOSE_SCHED", "aggregate=y")</f>
        <v>WATER UTILITY IMPS. GREEN PURPOSE ADVANCE REFUNDING</v>
      </c>
      <c r="J260">
        <f>_xll.BDP("46246K3Y Muni","CPN")</f>
        <v>5</v>
      </c>
      <c r="K260" t="str">
        <f>_xll.BDP("46246K3Y Muni","MATURITY")</f>
        <v>8/1/2024</v>
      </c>
      <c r="L260">
        <v>12030000</v>
      </c>
      <c r="M260">
        <f>_xll.BDP("46246K3Y Muni","YIELD_ON_ISSUE_DATE")</f>
        <v>1.98</v>
      </c>
      <c r="N260">
        <f>_xll.BDP("46246K3Y Muni","YTW_SPREAD_TO_MATURITY_AT_ISSU")</f>
        <v>13.650230136986297</v>
      </c>
      <c r="O260" t="str">
        <f>_xll.BDP("46246K3Y Muni","BVAL_MID_YTM")</f>
        <v>#N/A Authorization</v>
      </c>
      <c r="P260" t="str">
        <f>_xll.BDP("46246K3Y Muni","MUNI_TAX_PROV")</f>
        <v>FED &amp; ST TAX-EXEMPT</v>
      </c>
      <c r="Q260" t="str">
        <f>_xll.BDP("46246K3Y Muni","MUNI_FED_TAX")</f>
        <v>N</v>
      </c>
      <c r="R260">
        <f>_xll.BDP("46246K3Y Muni","MUNI_MSRB_VOLUME")</f>
        <v>30000</v>
      </c>
      <c r="S260" t="str">
        <f>_xll.BDP("46246K3Y Muni","BB_COMPOSITE")</f>
        <v>AAA</v>
      </c>
      <c r="T260">
        <f>_xll.BDP("46246K3Y Muni","LQA_LIQUIDITY_SCORE")</f>
        <v>85</v>
      </c>
    </row>
    <row r="261" spans="1:20" x14ac:dyDescent="0.25">
      <c r="A261" t="str">
        <f>_xll.BDP("463777Q8 Muni","ID_CUSIP")</f>
        <v>463777Q88</v>
      </c>
      <c r="B261" t="s">
        <v>161</v>
      </c>
      <c r="C261" t="str">
        <f>_xll.BDP("463777Q8 Muni","INSURANCE_STATUS")</f>
        <v>N</v>
      </c>
      <c r="D261" t="str">
        <f>_xll.BDP("463777Q8 Muni","STATE_CODE")</f>
        <v>TX</v>
      </c>
      <c r="E261" t="str">
        <f>_xll.BDP("463777Q8 Muni","COUNTY_LOCATION_ISSUER")</f>
        <v>Dallas, TX</v>
      </c>
      <c r="F261">
        <f>_xll.BDP("463777Q8 Muni","DUR_ADJ_MID")</f>
        <v>0.11904683174729395</v>
      </c>
      <c r="G261">
        <f>_xll.BDP("463777Q8 Muni","SPREAD_AT_ISSUANCE_TO_WORST")</f>
        <v>32.999575916552672</v>
      </c>
      <c r="H261" t="str">
        <f>_xll.BDP("463777Q8 Muni","ISSUE_DT")</f>
        <v>3/30/2017</v>
      </c>
      <c r="I261" t="str">
        <f>_xll.BDS("463777Q8 Muni","MUNI_PURPOSE_SCHED", "aggregate=y")</f>
        <v>PUBLIC IMPS. WATER UTILITY IMPS. SEWER IMPS.</v>
      </c>
      <c r="J261">
        <f>_xll.BDP("463777Q8 Muni","CPN")</f>
        <v>3.25</v>
      </c>
      <c r="K261" t="str">
        <f>_xll.BDP("463777Q8 Muni","MATURITY")</f>
        <v>9/15/2022</v>
      </c>
      <c r="L261">
        <v>1120000</v>
      </c>
      <c r="M261">
        <f>_xll.BDP("463777Q8 Muni","YIELD_ON_ISSUE_DATE")</f>
        <v>2.4000000000000004</v>
      </c>
      <c r="N261">
        <f>_xll.BDP("463777Q8 Muni","YTW_SPREAD_TO_MATURITY_AT_ISSU")</f>
        <v>32.999575916552672</v>
      </c>
      <c r="O261" t="str">
        <f>_xll.BDP("463777Q8 Muni","BVAL_MID_YTM")</f>
        <v>#N/A Authorization</v>
      </c>
      <c r="P261" t="str">
        <f>_xll.BDP("463777Q8 Muni","MUNI_TAX_PROV")</f>
        <v>FED TAXABLE</v>
      </c>
      <c r="Q261" t="str">
        <f>_xll.BDP("463777Q8 Muni","MUNI_FED_TAX")</f>
        <v>Y</v>
      </c>
      <c r="R261" t="str">
        <f>_xll.BDP("463777Q8 Muni","MUNI_MSRB_VOLUME")</f>
        <v>#N/A N/A</v>
      </c>
      <c r="S261" t="str">
        <f>_xll.BDP("463777Q8 Muni","BB_COMPOSITE")</f>
        <v>AAA</v>
      </c>
      <c r="T261">
        <f>_xll.BDP("463777Q8 Muni","LQA_LIQUIDITY_SCORE")</f>
        <v>91</v>
      </c>
    </row>
    <row r="262" spans="1:20" x14ac:dyDescent="0.25">
      <c r="A262" t="str">
        <f>_xll.BDP("59059CAJ Muni","ID_CUSIP")</f>
        <v>59059CAJ8</v>
      </c>
      <c r="B262" t="s">
        <v>56</v>
      </c>
      <c r="C262" t="str">
        <f>_xll.BDP("59059CAJ Muni","INSURANCE_STATUS")</f>
        <v>N</v>
      </c>
      <c r="D262" t="str">
        <f>_xll.BDP("59059CAJ Muni","STATE_CODE")</f>
        <v>CA</v>
      </c>
      <c r="E262" t="str">
        <f>_xll.BDP("59059CAJ Muni","COUNTY_LOCATION_ISSUER")</f>
        <v>Orange, CA</v>
      </c>
      <c r="F262">
        <f>_xll.BDP("59059CAJ Muni","DUR_ADJ_MID")</f>
        <v>3.2874388194769457</v>
      </c>
      <c r="G262">
        <f>_xll.BDP("59059CAJ Muni","SPREAD_AT_ISSUANCE_TO_WORST")</f>
        <v>2.1948461944986786</v>
      </c>
      <c r="H262" t="str">
        <f>_xll.BDP("59059CAJ Muni","ISSUE_DT")</f>
        <v>6/21/2017</v>
      </c>
      <c r="I262" t="str">
        <f>_xll.BDS("59059CAJ Muni","MUNI_PURPOSE_SCHED", "aggregate=y")</f>
        <v>ADVANCE REFUNDING WATER UTILITY IMPS.</v>
      </c>
      <c r="J262">
        <f>_xll.BDP("59059CAJ Muni","CPN")</f>
        <v>5</v>
      </c>
      <c r="K262" t="str">
        <f>_xll.BDP("59059CAJ Muni","MATURITY")</f>
        <v>3/15/2026</v>
      </c>
      <c r="L262">
        <v>4050000</v>
      </c>
      <c r="M262">
        <f>_xll.BDP("59059CAJ Muni","YIELD_ON_ISSUE_DATE")</f>
        <v>1.8</v>
      </c>
      <c r="N262">
        <f>_xll.BDP("59059CAJ Muni","YTW_SPREAD_TO_MATURITY_AT_ISSU")</f>
        <v>2.1948461944986786</v>
      </c>
      <c r="O262" t="str">
        <f>_xll.BDP("59059CAJ Muni","BVAL_MID_YTM")</f>
        <v>#N/A Authorization</v>
      </c>
      <c r="P262" t="str">
        <f>_xll.BDP("59059CAJ Muni","MUNI_TAX_PROV")</f>
        <v>FED &amp; ST TAX-EXEMPT</v>
      </c>
      <c r="Q262" t="str">
        <f>_xll.BDP("59059CAJ Muni","MUNI_FED_TAX")</f>
        <v>N</v>
      </c>
      <c r="R262">
        <f>_xll.BDP("59059CAJ Muni","MUNI_MSRB_VOLUME")</f>
        <v>100000</v>
      </c>
      <c r="S262" t="str">
        <f>_xll.BDP("59059CAJ Muni","BB_COMPOSITE")</f>
        <v>AAA</v>
      </c>
      <c r="T262">
        <f>_xll.BDP("59059CAJ Muni","LQA_LIQUIDITY_SCORE")</f>
        <v>64</v>
      </c>
    </row>
    <row r="263" spans="1:20" x14ac:dyDescent="0.25">
      <c r="A263" t="str">
        <f>_xll.BDP("59059CAK Muni","ID_CUSIP")</f>
        <v>59059CAK5</v>
      </c>
      <c r="B263" t="s">
        <v>56</v>
      </c>
      <c r="C263" t="str">
        <f>_xll.BDP("59059CAK Muni","INSURANCE_STATUS")</f>
        <v>N</v>
      </c>
      <c r="D263" t="str">
        <f>_xll.BDP("59059CAK Muni","STATE_CODE")</f>
        <v>CA</v>
      </c>
      <c r="E263" t="str">
        <f>_xll.BDP("59059CAK Muni","COUNTY_LOCATION_ISSUER")</f>
        <v>Orange, CA</v>
      </c>
      <c r="F263">
        <f>_xll.BDP("59059CAK Muni","DUR_ADJ_MID")</f>
        <v>4.1089759748147561</v>
      </c>
      <c r="G263">
        <f>_xll.BDP("59059CAK Muni","SPREAD_AT_ISSUANCE_TO_WORST")</f>
        <v>1.0547882193286728</v>
      </c>
      <c r="H263" t="str">
        <f>_xll.BDP("59059CAK Muni","ISSUE_DT")</f>
        <v>6/21/2017</v>
      </c>
      <c r="I263" t="str">
        <f>_xll.BDS("59059CAK Muni","MUNI_PURPOSE_SCHED", "aggregate=y")</f>
        <v>ADVANCE REFUNDING WATER UTILITY IMPS.</v>
      </c>
      <c r="J263">
        <f>_xll.BDP("59059CAK Muni","CPN")</f>
        <v>5</v>
      </c>
      <c r="K263" t="str">
        <f>_xll.BDP("59059CAK Muni","MATURITY")</f>
        <v>3/15/2027</v>
      </c>
      <c r="L263">
        <v>2055000</v>
      </c>
      <c r="M263">
        <f>_xll.BDP("59059CAK Muni","YIELD_ON_ISSUE_DATE")</f>
        <v>1.9100000000000001</v>
      </c>
      <c r="N263">
        <f>_xll.BDP("59059CAK Muni","YTW_SPREAD_TO_MATURITY_AT_ISSU")</f>
        <v>1.0547882193286728</v>
      </c>
      <c r="O263" t="str">
        <f>_xll.BDP("59059CAK Muni","BVAL_MID_YTM")</f>
        <v>#N/A Authorization</v>
      </c>
      <c r="P263" t="str">
        <f>_xll.BDP("59059CAK Muni","MUNI_TAX_PROV")</f>
        <v>FED &amp; ST TAX-EXEMPT</v>
      </c>
      <c r="Q263" t="str">
        <f>_xll.BDP("59059CAK Muni","MUNI_FED_TAX")</f>
        <v>N</v>
      </c>
      <c r="R263">
        <f>_xll.BDP("59059CAK Muni","MUNI_MSRB_VOLUME")</f>
        <v>80000</v>
      </c>
      <c r="S263" t="str">
        <f>_xll.BDP("59059CAK Muni","BB_COMPOSITE")</f>
        <v>AAA</v>
      </c>
      <c r="T263">
        <f>_xll.BDP("59059CAK Muni","LQA_LIQUIDITY_SCORE")</f>
        <v>59</v>
      </c>
    </row>
    <row r="264" spans="1:20" x14ac:dyDescent="0.25">
      <c r="A264" t="str">
        <f>_xll.BDP("348838DY Muni","ID_CUSIP")</f>
        <v>348838DY6</v>
      </c>
      <c r="B264" t="s">
        <v>162</v>
      </c>
      <c r="C264" t="str">
        <f>_xll.BDP("348838DY Muni","INSURANCE_STATUS")</f>
        <v>Y</v>
      </c>
      <c r="D264" t="str">
        <f>_xll.BDP("348838DY Muni","STATE_CODE")</f>
        <v>TX</v>
      </c>
      <c r="E264" t="str">
        <f>_xll.BDP("348838DY Muni","COUNTY_LOCATION_ISSUER")</f>
        <v>Pecos, TX</v>
      </c>
      <c r="F264">
        <f>_xll.BDP("348838DY Muni","DUR_ADJ_MID")</f>
        <v>1.571646837025614</v>
      </c>
      <c r="G264">
        <f>_xll.BDP("348838DY Muni","SPREAD_AT_ISSUANCE_TO_WORST")</f>
        <v>36.687521691618443</v>
      </c>
      <c r="H264" t="str">
        <f>_xll.BDP("348838DY Muni","ISSUE_DT")</f>
        <v>8/1/2017</v>
      </c>
      <c r="I264" t="str">
        <f>_xll.BDS("348838DY Muni","MUNI_PURPOSE_SCHED", "aggregate=y")</f>
        <v>WATER UTILITY IMPS. SEWER IMPS.</v>
      </c>
      <c r="J264">
        <f>_xll.BDP("348838DY Muni","CPN")</f>
        <v>2.25</v>
      </c>
      <c r="K264" t="str">
        <f>_xll.BDP("348838DY Muni","MATURITY")</f>
        <v>3/15/2024</v>
      </c>
      <c r="L264">
        <v>240000</v>
      </c>
      <c r="M264">
        <f>_xll.BDP("348838DY Muni","YIELD_ON_ISSUE_DATE")</f>
        <v>1.97</v>
      </c>
      <c r="N264">
        <f>_xll.BDP("348838DY Muni","YTW_SPREAD_TO_MATURITY_AT_ISSU")</f>
        <v>36.687521691618443</v>
      </c>
      <c r="O264" t="str">
        <f>_xll.BDP("348838DY Muni","BVAL_MID_YTM")</f>
        <v>#N/A Authorization</v>
      </c>
      <c r="P264" t="str">
        <f>_xll.BDP("348838DY Muni","MUNI_TAX_PROV")</f>
        <v>FED BQ</v>
      </c>
      <c r="Q264" t="str">
        <f>_xll.BDP("348838DY Muni","MUNI_FED_TAX")</f>
        <v>N</v>
      </c>
      <c r="R264">
        <f>_xll.BDP("348838DY Muni","MUNI_MSRB_VOLUME")</f>
        <v>300000</v>
      </c>
      <c r="S264" t="str">
        <f>_xll.BDP("348838DY Muni","BB_COMPOSITE")</f>
        <v>A+</v>
      </c>
      <c r="T264">
        <f>_xll.BDP("348838DY Muni","LQA_LIQUIDITY_SCORE")</f>
        <v>83</v>
      </c>
    </row>
    <row r="265" spans="1:20" x14ac:dyDescent="0.25">
      <c r="A265" t="str">
        <f>_xll.BDP("61370PLM Muni","ID_CUSIP")</f>
        <v>61370PLM8</v>
      </c>
      <c r="B265" t="s">
        <v>163</v>
      </c>
      <c r="C265" t="str">
        <f>_xll.BDP("61370PLM Muni","INSURANCE_STATUS")</f>
        <v>Y</v>
      </c>
      <c r="D265" t="str">
        <f>_xll.BDP("61370PLM Muni","STATE_CODE")</f>
        <v>TX</v>
      </c>
      <c r="E265" t="str">
        <f>_xll.BDP("61370PLM Muni","COUNTY_LOCATION_ISSUER")</f>
        <v>Montgomery, TX</v>
      </c>
      <c r="F265">
        <f>_xll.BDP("61370PLM Muni","DUR_ADJ_MID")</f>
        <v>8.0471362155151188E-2</v>
      </c>
      <c r="G265">
        <f>_xll.BDP("61370PLM Muni","SPREAD_AT_ISSUANCE_TO_WORST")</f>
        <v>23.074442267852223</v>
      </c>
      <c r="H265" t="str">
        <f>_xll.BDP("61370PLM Muni","ISSUE_DT")</f>
        <v>5/1/2017</v>
      </c>
      <c r="I265" t="str">
        <f>_xll.BDS("61370PLM Muni","MUNI_PURPOSE_SCHED", "aggregate=y")</f>
        <v>WATER UTILITY IMPS. SEWER IMPS.</v>
      </c>
      <c r="J265">
        <f>_xll.BDP("61370PLM Muni","CPN")</f>
        <v>2</v>
      </c>
      <c r="K265" t="str">
        <f>_xll.BDP("61370PLM Muni","MATURITY")</f>
        <v>9/1/2022</v>
      </c>
      <c r="L265">
        <v>275000</v>
      </c>
      <c r="M265">
        <f>_xll.BDP("61370PLM Muni","YIELD_ON_ISSUE_DATE")</f>
        <v>1.7000000000000002</v>
      </c>
      <c r="N265">
        <f>_xll.BDP("61370PLM Muni","YTW_SPREAD_TO_MATURITY_AT_ISSU")</f>
        <v>23.074442267852223</v>
      </c>
      <c r="O265" t="str">
        <f>_xll.BDP("61370PLM Muni","BVAL_MID_YTM")</f>
        <v>#N/A Authorization</v>
      </c>
      <c r="P265" t="str">
        <f>_xll.BDP("61370PLM Muni","MUNI_TAX_PROV")</f>
        <v>FED BQ</v>
      </c>
      <c r="Q265" t="str">
        <f>_xll.BDP("61370PLM Muni","MUNI_FED_TAX")</f>
        <v>N</v>
      </c>
      <c r="R265" t="str">
        <f>_xll.BDP("61370PLM Muni","MUNI_MSRB_VOLUME")</f>
        <v>#N/A N/A</v>
      </c>
      <c r="S265" t="str">
        <f>_xll.BDP("61370PLM Muni","BB_COMPOSITE")</f>
        <v>A+</v>
      </c>
      <c r="T265">
        <f>_xll.BDP("61370PLM Muni","LQA_LIQUIDITY_SCORE")</f>
        <v>100</v>
      </c>
    </row>
    <row r="266" spans="1:20" x14ac:dyDescent="0.25">
      <c r="A266" t="str">
        <f>_xll.BDP("586810YE Muni","ID_CUSIP")</f>
        <v>586810YE7</v>
      </c>
      <c r="B266" t="s">
        <v>164</v>
      </c>
      <c r="C266" t="str">
        <f>_xll.BDP("586810YE Muni","INSURANCE_STATUS")</f>
        <v>N</v>
      </c>
      <c r="D266" t="str">
        <f>_xll.BDP("586810YE Muni","STATE_CODE")</f>
        <v>CA</v>
      </c>
      <c r="E266" t="str">
        <f>_xll.BDP("586810YE Muni","COUNTY_LOCATION_ISSUER")</f>
        <v>Riverside, CA</v>
      </c>
      <c r="F266">
        <f>_xll.BDP("586810YE Muni","DUR_ADJ_MID")</f>
        <v>8.0455554350908051E-2</v>
      </c>
      <c r="G266">
        <f>_xll.BDP("586810YE Muni","SPREAD_AT_ISSUANCE_TO_WORST")</f>
        <v>67.280698143407363</v>
      </c>
      <c r="H266" t="str">
        <f>_xll.BDP("586810YE Muni","ISSUE_DT")</f>
        <v>8/24/2017</v>
      </c>
      <c r="I266" t="str">
        <f>_xll.BDS("586810YE Muni","MUNI_PURPOSE_SCHED", "aggregate=y")</f>
        <v>SCHOOL IMPS. WATER UTILITY IMPS. SEWER IMPS.</v>
      </c>
      <c r="J266">
        <f>_xll.BDP("586810YE Muni","CPN")</f>
        <v>4</v>
      </c>
      <c r="K266" t="str">
        <f>_xll.BDP("586810YE Muni","MATURITY")</f>
        <v>9/1/2022</v>
      </c>
      <c r="L266">
        <v>70000</v>
      </c>
      <c r="M266">
        <f>_xll.BDP("586810YE Muni","YIELD_ON_ISSUE_DATE")</f>
        <v>1.83</v>
      </c>
      <c r="N266">
        <f>_xll.BDP("586810YE Muni","YTW_SPREAD_TO_MATURITY_AT_ISSU")</f>
        <v>67.280698143407363</v>
      </c>
      <c r="O266" t="str">
        <f>_xll.BDP("586810YE Muni","BVAL_MID_YTM")</f>
        <v>#N/A Authorization</v>
      </c>
      <c r="P266" t="str">
        <f>_xll.BDP("586810YE Muni","MUNI_TAX_PROV")</f>
        <v>FED &amp; ST TAX-EXEMPT</v>
      </c>
      <c r="Q266" t="str">
        <f>_xll.BDP("586810YE Muni","MUNI_FED_TAX")</f>
        <v>N</v>
      </c>
      <c r="R266" t="str">
        <f>_xll.BDP("586810YE Muni","MUNI_MSRB_VOLUME")</f>
        <v>#N/A N/A</v>
      </c>
      <c r="S266" t="str">
        <f>_xll.BDP("586810YE Muni","BB_COMPOSITE")</f>
        <v>#N/A N/A</v>
      </c>
      <c r="T266">
        <f>_xll.BDP("586810YE Muni","LQA_LIQUIDITY_SCORE")</f>
        <v>91</v>
      </c>
    </row>
    <row r="267" spans="1:20" x14ac:dyDescent="0.25">
      <c r="A267" t="str">
        <f>_xll.BDP("64985HXP Muni","ID_CUSIP")</f>
        <v>64985HXP7</v>
      </c>
      <c r="B267" t="s">
        <v>22</v>
      </c>
      <c r="C267" t="str">
        <f>_xll.BDP("64985HXP Muni","INSURANCE_STATUS")</f>
        <v>N</v>
      </c>
      <c r="D267" t="str">
        <f>_xll.BDP("64985HXP Muni","STATE_CODE")</f>
        <v>NY</v>
      </c>
      <c r="E267" t="str">
        <f>_xll.BDP("64985HXP Muni","COUNTY_LOCATION_ISSUER")</f>
        <v>Albany, NY</v>
      </c>
      <c r="F267">
        <f>_xll.BDP("64985HXP Muni","DUR_ADJ_MID")</f>
        <v>1.4515378449760932</v>
      </c>
      <c r="G267">
        <f>_xll.BDP("64985HXP Muni","SPREAD_AT_ISSUANCE_TO_WORST")</f>
        <v>-0.58838904109588253</v>
      </c>
      <c r="H267" t="str">
        <f>_xll.BDP("64985HXP Muni","ISSUE_DT")</f>
        <v>11/9/2017</v>
      </c>
      <c r="I267" t="str">
        <f>_xll.BDS("64985HXP Muni","MUNI_PURPOSE_SCHED", "aggregate=y")</f>
        <v>GREEN PURPOSE WATER UTILITY IMPS.</v>
      </c>
      <c r="J267">
        <f>_xll.BDP("64985HXP Muni","CPN")</f>
        <v>5</v>
      </c>
      <c r="K267" t="str">
        <f>_xll.BDP("64985HXP Muni","MATURITY")</f>
        <v>2/15/2024</v>
      </c>
      <c r="L267">
        <v>1790000</v>
      </c>
      <c r="M267">
        <f>_xll.BDP("64985HXP Muni","YIELD_ON_ISSUE_DATE")</f>
        <v>1.51</v>
      </c>
      <c r="N267">
        <f>_xll.BDP("64985HXP Muni","YTW_SPREAD_TO_MATURITY_AT_ISSU")</f>
        <v>-0.58838904109588253</v>
      </c>
      <c r="O267" t="str">
        <f>_xll.BDP("64985HXP Muni","BVAL_MID_YTM")</f>
        <v>#N/A Authorization</v>
      </c>
      <c r="P267" t="str">
        <f>_xll.BDP("64985HXP Muni","MUNI_TAX_PROV")</f>
        <v>FED &amp; ST TAX-EXEMPT</v>
      </c>
      <c r="Q267" t="str">
        <f>_xll.BDP("64985HXP Muni","MUNI_FED_TAX")</f>
        <v>N</v>
      </c>
      <c r="R267">
        <f>_xll.BDP("64985HXP Muni","MUNI_MSRB_VOLUME")</f>
        <v>5000</v>
      </c>
      <c r="S267" t="str">
        <f>_xll.BDP("64985HXP Muni","BB_COMPOSITE")</f>
        <v>AAA</v>
      </c>
      <c r="T267">
        <f>_xll.BDP("64985HXP Muni","LQA_LIQUIDITY_SCORE")</f>
        <v>89</v>
      </c>
    </row>
    <row r="268" spans="1:20" x14ac:dyDescent="0.25">
      <c r="A268" t="str">
        <f>_xll.BDP("63045RAH Muni","ID_CUSIP")</f>
        <v>63045RAH8</v>
      </c>
      <c r="B268" t="s">
        <v>61</v>
      </c>
      <c r="C268" t="str">
        <f>_xll.BDP("63045RAH Muni","INSURANCE_STATUS")</f>
        <v>N</v>
      </c>
      <c r="D268" t="str">
        <f>_xll.BDP("63045RAH Muni","STATE_CODE")</f>
        <v>IL</v>
      </c>
      <c r="E268" t="str">
        <f>_xll.BDP("63045RAH Muni","COUNTY_LOCATION_ISSUER")</f>
        <v>La Salle, IL</v>
      </c>
      <c r="F268">
        <f>_xll.BDP("63045RAH Muni","DUR_ADJ_MID")</f>
        <v>2.2005228702987529</v>
      </c>
      <c r="G268">
        <f>_xll.BDP("63045RAH Muni","SPREAD_AT_ISSUANCE_TO_WORST")</f>
        <v>143.80614579132973</v>
      </c>
      <c r="H268" t="str">
        <f>_xll.BDP("63045RAH Muni","ISSUE_DT")</f>
        <v>4/11/2017</v>
      </c>
      <c r="I268" t="str">
        <f>_xll.BDS("63045RAH Muni","MUNI_PURPOSE_SCHED", "aggregate=y")</f>
        <v>WATER UTILITY IMPS. PROPERTY ACQUISITION</v>
      </c>
      <c r="J268">
        <f>_xll.BDP("63045RAH Muni","CPN")</f>
        <v>4.75</v>
      </c>
      <c r="K268" t="str">
        <f>_xll.BDP("63045RAH Muni","MATURITY")</f>
        <v>12/1/2024</v>
      </c>
      <c r="L268">
        <v>11000</v>
      </c>
      <c r="M268">
        <f>_xll.BDP("63045RAH Muni","YIELD_ON_ISSUE_DATE")</f>
        <v>3.4000000000000004</v>
      </c>
      <c r="N268">
        <f>_xll.BDP("63045RAH Muni","YTW_SPREAD_TO_MATURITY_AT_ISSU")</f>
        <v>143.80614579132973</v>
      </c>
      <c r="O268" t="str">
        <f>_xll.BDP("63045RAH Muni","BVAL_MID_YTM")</f>
        <v>#N/A Authorization</v>
      </c>
      <c r="P268" t="str">
        <f>_xll.BDP("63045RAH Muni","MUNI_TAX_PROV")</f>
        <v>FED BQ/ST TAXABLE</v>
      </c>
      <c r="Q268" t="str">
        <f>_xll.BDP("63045RAH Muni","MUNI_FED_TAX")</f>
        <v>N</v>
      </c>
      <c r="R268" t="str">
        <f>_xll.BDP("63045RAH Muni","MUNI_MSRB_VOLUME")</f>
        <v>#N/A N/A</v>
      </c>
      <c r="S268" t="str">
        <f>_xll.BDP("63045RAH Muni","BB_COMPOSITE")</f>
        <v>#N/A N/A</v>
      </c>
      <c r="T268">
        <f>_xll.BDP("63045RAH Muni","LQA_LIQUIDITY_SCORE")</f>
        <v>71</v>
      </c>
    </row>
    <row r="269" spans="1:20" x14ac:dyDescent="0.25">
      <c r="A269" t="str">
        <f>_xll.BDP("717741CL Muni","ID_CUSIP")</f>
        <v>717741CL4</v>
      </c>
      <c r="B269" t="s">
        <v>165</v>
      </c>
      <c r="C269" t="str">
        <f>_xll.BDP("717741CL Muni","INSURANCE_STATUS")</f>
        <v>N</v>
      </c>
      <c r="D269" t="str">
        <f>_xll.BDP("717741CL Muni","STATE_CODE")</f>
        <v>MS</v>
      </c>
      <c r="E269" t="str">
        <f>_xll.BDP("717741CL Muni","COUNTY_LOCATION_ISSUER")</f>
        <v>Neshoba, MS</v>
      </c>
      <c r="F269">
        <f>_xll.BDP("717741CL Muni","DUR_ADJ_MID")</f>
        <v>2.5245732520349082</v>
      </c>
      <c r="G269">
        <f>_xll.BDP("717741CL Muni","SPREAD_AT_ISSUANCE_TO_WORST")</f>
        <v>26.983679799166495</v>
      </c>
      <c r="H269" t="str">
        <f>_xll.BDP("717741CL Muni","ISSUE_DT")</f>
        <v>4/6/2017</v>
      </c>
      <c r="I269" t="str">
        <f>_xll.BDS("717741CL Muni","MUNI_PURPOSE_SCHED", "aggregate=y")</f>
        <v>WATER UTILITY IMPS. SEWER IMPS.</v>
      </c>
      <c r="J269">
        <f>_xll.BDP("717741CL Muni","CPN")</f>
        <v>3.25</v>
      </c>
      <c r="K269" t="str">
        <f>_xll.BDP("717741CL Muni","MATURITY")</f>
        <v>4/1/2025</v>
      </c>
      <c r="L269">
        <v>55000</v>
      </c>
      <c r="M269">
        <f>_xll.BDP("717741CL Muni","YIELD_ON_ISSUE_DATE")</f>
        <v>2.4000000000000004</v>
      </c>
      <c r="N269">
        <f>_xll.BDP("717741CL Muni","YTW_SPREAD_TO_MATURITY_AT_ISSU")</f>
        <v>26.983679799166495</v>
      </c>
      <c r="O269" t="str">
        <f>_xll.BDP("717741CL Muni","BVAL_MID_YTM")</f>
        <v>#N/A Authorization</v>
      </c>
      <c r="P269" t="str">
        <f>_xll.BDP("717741CL Muni","MUNI_TAX_PROV")</f>
        <v>FED BQ/ST TAX-EXEMPT</v>
      </c>
      <c r="Q269" t="str">
        <f>_xll.BDP("717741CL Muni","MUNI_FED_TAX")</f>
        <v>N</v>
      </c>
      <c r="R269" t="str">
        <f>_xll.BDP("717741CL Muni","MUNI_MSRB_VOLUME")</f>
        <v>#N/A N/A</v>
      </c>
      <c r="S269" t="str">
        <f>_xll.BDP("717741CL Muni","BB_COMPOSITE")</f>
        <v>#N/A N/A</v>
      </c>
      <c r="T269">
        <f>_xll.BDP("717741CL Muni","LQA_LIQUIDITY_SCORE")</f>
        <v>57</v>
      </c>
    </row>
    <row r="270" spans="1:20" x14ac:dyDescent="0.25">
      <c r="A270" t="str">
        <f>_xll.BDP("549188D6 Muni","ID_CUSIP")</f>
        <v>549188D64</v>
      </c>
      <c r="B270" t="s">
        <v>166</v>
      </c>
      <c r="C270" t="str">
        <f>_xll.BDP("549188D6 Muni","INSURANCE_STATUS")</f>
        <v>N</v>
      </c>
      <c r="D270" t="str">
        <f>_xll.BDP("549188D6 Muni","STATE_CODE")</f>
        <v>TX</v>
      </c>
      <c r="E270" t="str">
        <f>_xll.BDP("549188D6 Muni","COUNTY_LOCATION_ISSUER")</f>
        <v>Lubbock, TX</v>
      </c>
      <c r="F270">
        <f>_xll.BDP("549188D6 Muni","DUR_ADJ_MID")</f>
        <v>1.457177268999281</v>
      </c>
      <c r="G270">
        <f>_xll.BDP("549188D6 Muni","SPREAD_AT_ISSUANCE_TO_WORST")</f>
        <v>23.55262422366069</v>
      </c>
      <c r="H270" t="str">
        <f>_xll.BDP("549188D6 Muni","ISSUE_DT")</f>
        <v>4/15/2017</v>
      </c>
      <c r="I270" t="str">
        <f>_xll.BDS("549188D6 Muni","MUNI_PURPOSE_SCHED", "aggregate=y")</f>
        <v>PUBLIC IMPS. WATER UTILITY IMPS. SEWER IMPS.</v>
      </c>
      <c r="J270">
        <f>_xll.BDP("549188D6 Muni","CPN")</f>
        <v>5</v>
      </c>
      <c r="K270" t="str">
        <f>_xll.BDP("549188D6 Muni","MATURITY")</f>
        <v>2/15/2024</v>
      </c>
      <c r="L270">
        <v>1455000</v>
      </c>
      <c r="M270">
        <f>_xll.BDP("549188D6 Muni","YIELD_ON_ISSUE_DATE")</f>
        <v>2.0699999999999998</v>
      </c>
      <c r="N270">
        <f>_xll.BDP("549188D6 Muni","YTW_SPREAD_TO_MATURITY_AT_ISSU")</f>
        <v>23.55262422366069</v>
      </c>
      <c r="O270" t="str">
        <f>_xll.BDP("549188D6 Muni","BVAL_MID_YTM")</f>
        <v>#N/A Authorization</v>
      </c>
      <c r="P270" t="str">
        <f>_xll.BDP("549188D6 Muni","MUNI_TAX_PROV")</f>
        <v>FED TAX-EXEMPT</v>
      </c>
      <c r="Q270" t="str">
        <f>_xll.BDP("549188D6 Muni","MUNI_FED_TAX")</f>
        <v>N</v>
      </c>
      <c r="R270">
        <f>_xll.BDP("549188D6 Muni","MUNI_MSRB_VOLUME")</f>
        <v>60000</v>
      </c>
      <c r="S270" t="str">
        <f>_xll.BDP("549188D6 Muni","BB_COMPOSITE")</f>
        <v>AA+</v>
      </c>
      <c r="T270">
        <f>_xll.BDP("549188D6 Muni","LQA_LIQUIDITY_SCORE")</f>
        <v>81</v>
      </c>
    </row>
    <row r="271" spans="1:20" x14ac:dyDescent="0.25">
      <c r="A271" t="str">
        <f>_xll.BDP("6457918B Muni","ID_CUSIP")</f>
        <v>6457918B3</v>
      </c>
      <c r="B271" t="s">
        <v>167</v>
      </c>
      <c r="C271" t="str">
        <f>_xll.BDP("6457918B Muni","INSURANCE_STATUS")</f>
        <v>N</v>
      </c>
      <c r="D271" t="str">
        <f>_xll.BDP("6457918B Muni","STATE_CODE")</f>
        <v>NJ</v>
      </c>
      <c r="E271" t="str">
        <f>_xll.BDP("6457918B Muni","COUNTY_LOCATION_ISSUER")</f>
        <v>Mercer, NJ</v>
      </c>
      <c r="F271">
        <f>_xll.BDP("6457918B Muni","DUR_ADJ_MID")</f>
        <v>1.0339845152386027</v>
      </c>
      <c r="G271">
        <f>_xll.BDP("6457918B Muni","SPREAD_AT_ISSUANCE_TO_WORST")</f>
        <v>-3.8182057354732235</v>
      </c>
      <c r="H271" t="str">
        <f>_xll.BDP("6457918B Muni","ISSUE_DT")</f>
        <v>5/25/2017</v>
      </c>
      <c r="I271" t="str">
        <f>_xll.BDS("6457918B Muni","MUNI_PURPOSE_SCHED", "aggregate=y")</f>
        <v>GREEN PURPOSE SEWER IMPS. WATER UTILITY IMPS.</v>
      </c>
      <c r="J271">
        <f>_xll.BDP("6457918B Muni","CPN")</f>
        <v>5</v>
      </c>
      <c r="K271" t="str">
        <f>_xll.BDP("6457918B Muni","MATURITY")</f>
        <v>9/1/2023</v>
      </c>
      <c r="L271">
        <v>1070000</v>
      </c>
      <c r="M271">
        <f>_xll.BDP("6457918B Muni","YIELD_ON_ISSUE_DATE")</f>
        <v>1.56</v>
      </c>
      <c r="N271">
        <f>_xll.BDP("6457918B Muni","YTW_SPREAD_TO_MATURITY_AT_ISSU")</f>
        <v>-3.8182057354732235</v>
      </c>
      <c r="O271" t="str">
        <f>_xll.BDP("6457918B Muni","BVAL_MID_YTM")</f>
        <v>#N/A Authorization</v>
      </c>
      <c r="P271" t="str">
        <f>_xll.BDP("6457918B Muni","MUNI_TAX_PROV")</f>
        <v>FED &amp; ST TAX-EXEMPT</v>
      </c>
      <c r="Q271" t="str">
        <f>_xll.BDP("6457918B Muni","MUNI_FED_TAX")</f>
        <v>N</v>
      </c>
      <c r="R271">
        <f>_xll.BDP("6457918B Muni","MUNI_MSRB_VOLUME")</f>
        <v>30000</v>
      </c>
      <c r="S271" t="str">
        <f>_xll.BDP("6457918B Muni","BB_COMPOSITE")</f>
        <v>AAA</v>
      </c>
      <c r="T271">
        <f>_xll.BDP("6457918B Muni","LQA_LIQUIDITY_SCORE")</f>
        <v>95</v>
      </c>
    </row>
    <row r="272" spans="1:20" x14ac:dyDescent="0.25">
      <c r="A272" t="str">
        <f>_xll.BDP("64579SCD Muni","ID_CUSIP")</f>
        <v>64579SCD5</v>
      </c>
      <c r="B272" t="s">
        <v>167</v>
      </c>
      <c r="C272" t="str">
        <f>_xll.BDP("64579SCD Muni","INSURANCE_STATUS")</f>
        <v>N</v>
      </c>
      <c r="D272" t="str">
        <f>_xll.BDP("64579SCD Muni","STATE_CODE")</f>
        <v>NJ</v>
      </c>
      <c r="E272" t="str">
        <f>_xll.BDP("64579SCD Muni","COUNTY_LOCATION_ISSUER")</f>
        <v>Mercer, NJ</v>
      </c>
      <c r="F272">
        <f>_xll.BDP("64579SCD Muni","DUR_ADJ_MID")</f>
        <v>1.0371953479887337</v>
      </c>
      <c r="G272">
        <f>_xll.BDP("64579SCD Muni","SPREAD_AT_ISSUANCE_TO_WORST")</f>
        <v>17.088750684931497</v>
      </c>
      <c r="H272" t="str">
        <f>_xll.BDP("64579SCD Muni","ISSUE_DT")</f>
        <v>11/21/2017</v>
      </c>
      <c r="I272" t="str">
        <f>_xll.BDS("64579SCD Muni","MUNI_PURPOSE_SCHED", "aggregate=y")</f>
        <v>WATER UTILITY IMPS. SEWER IMPS. GREEN PURPOSE</v>
      </c>
      <c r="J272">
        <f>_xll.BDP("64579SCD Muni","CPN")</f>
        <v>5</v>
      </c>
      <c r="K272" t="str">
        <f>_xll.BDP("64579SCD Muni","MATURITY")</f>
        <v>9/1/2023</v>
      </c>
      <c r="L272">
        <v>90000</v>
      </c>
      <c r="M272">
        <f>_xll.BDP("64579SCD Muni","YIELD_ON_ISSUE_DATE")</f>
        <v>1.7000000000000002</v>
      </c>
      <c r="N272">
        <f>_xll.BDP("64579SCD Muni","YTW_SPREAD_TO_MATURITY_AT_ISSU")</f>
        <v>17.088750684931497</v>
      </c>
      <c r="O272" t="str">
        <f>_xll.BDP("64579SCD Muni","BVAL_MID_YTM")</f>
        <v>#N/A Authorization</v>
      </c>
      <c r="P272" t="str">
        <f>_xll.BDP("64579SCD Muni","MUNI_TAX_PROV")</f>
        <v>AMT/ST TAX-EXEMPT</v>
      </c>
      <c r="Q272" t="str">
        <f>_xll.BDP("64579SCD Muni","MUNI_FED_TAX")</f>
        <v>N</v>
      </c>
      <c r="R272" t="str">
        <f>_xll.BDP("64579SCD Muni","MUNI_MSRB_VOLUME")</f>
        <v>#N/A N/A</v>
      </c>
      <c r="S272" t="str">
        <f>_xll.BDP("64579SCD Muni","BB_COMPOSITE")</f>
        <v>AAA</v>
      </c>
      <c r="T272">
        <f>_xll.BDP("64579SCD Muni","LQA_LIQUIDITY_SCORE")</f>
        <v>87</v>
      </c>
    </row>
    <row r="273" spans="1:20" x14ac:dyDescent="0.25">
      <c r="A273" t="str">
        <f>_xll.BDP("9242582E Muni","ID_CUSIP")</f>
        <v>9242582E5</v>
      </c>
      <c r="B273" t="s">
        <v>77</v>
      </c>
      <c r="C273" t="str">
        <f>_xll.BDP("9242582E Muni","INSURANCE_STATUS")</f>
        <v>N</v>
      </c>
      <c r="D273" t="str">
        <f>_xll.BDP("9242582E Muni","STATE_CODE")</f>
        <v>VT</v>
      </c>
      <c r="E273" t="str">
        <f>_xll.BDP("9242582E Muni","COUNTY_LOCATION_ISSUER")</f>
        <v>Washington, VT</v>
      </c>
      <c r="F273">
        <f>_xll.BDP("9242582E Muni","DUR_ADJ_MID")</f>
        <v>3.6217512615353562</v>
      </c>
      <c r="G273">
        <f>_xll.BDP("9242582E Muni","SPREAD_AT_ISSUANCE_TO_WORST")</f>
        <v>-0.31183423744762795</v>
      </c>
      <c r="H273" t="str">
        <f>_xll.BDP("9242582E Muni","ISSUE_DT")</f>
        <v>9/13/2017</v>
      </c>
      <c r="I273" t="str">
        <f>_xll.BDS("9242582E Muni","MUNI_PURPOSE_SCHED", "aggregate=y")</f>
        <v>PUBLIC IMPS. WATER UTILITY IMPS. UNIV. &amp; COLLEGE IMPS.</v>
      </c>
      <c r="J273">
        <f>_xll.BDP("9242582E Muni","CPN")</f>
        <v>5</v>
      </c>
      <c r="K273" t="str">
        <f>_xll.BDP("9242582E Muni","MATURITY")</f>
        <v>8/15/2026</v>
      </c>
      <c r="L273">
        <v>4915000</v>
      </c>
      <c r="M273">
        <f>_xll.BDP("9242582E Muni","YIELD_ON_ISSUE_DATE")</f>
        <v>1.72</v>
      </c>
      <c r="N273">
        <f>_xll.BDP("9242582E Muni","YTW_SPREAD_TO_MATURITY_AT_ISSU")</f>
        <v>-0.31183423744762795</v>
      </c>
      <c r="O273" t="str">
        <f>_xll.BDP("9242582E Muni","BVAL_MID_YTM")</f>
        <v>#N/A Authorization</v>
      </c>
      <c r="P273" t="str">
        <f>_xll.BDP("9242582E Muni","MUNI_TAX_PROV")</f>
        <v>FED &amp; ST TAX-EXEMPT</v>
      </c>
      <c r="Q273" t="str">
        <f>_xll.BDP("9242582E Muni","MUNI_FED_TAX")</f>
        <v>N</v>
      </c>
      <c r="R273">
        <f>_xll.BDP("9242582E Muni","MUNI_MSRB_VOLUME")</f>
        <v>50000</v>
      </c>
      <c r="S273" t="str">
        <f>_xll.BDP("9242582E Muni","BB_COMPOSITE")</f>
        <v>AA+</v>
      </c>
      <c r="T273">
        <f>_xll.BDP("9242582E Muni","LQA_LIQUIDITY_SCORE")</f>
        <v>75</v>
      </c>
    </row>
    <row r="274" spans="1:20" x14ac:dyDescent="0.25">
      <c r="A274" t="str">
        <f>_xll.BDP("924258X9 Muni","ID_CUSIP")</f>
        <v>924258X92</v>
      </c>
      <c r="B274" t="s">
        <v>77</v>
      </c>
      <c r="C274" t="str">
        <f>_xll.BDP("924258X9 Muni","INSURANCE_STATUS")</f>
        <v>N</v>
      </c>
      <c r="D274" t="str">
        <f>_xll.BDP("924258X9 Muni","STATE_CODE")</f>
        <v>VT</v>
      </c>
      <c r="E274" t="str">
        <f>_xll.BDP("924258X9 Muni","COUNTY_LOCATION_ISSUER")</f>
        <v>Washington, VT</v>
      </c>
      <c r="F274">
        <f>_xll.BDP("924258X9 Muni","DUR_ADJ_MID")</f>
        <v>2.8228314378824368</v>
      </c>
      <c r="G274">
        <f>_xll.BDP("924258X9 Muni","SPREAD_AT_ISSUANCE_TO_WORST")</f>
        <v>6.5298717992460675</v>
      </c>
      <c r="H274" t="str">
        <f>_xll.BDP("924258X9 Muni","ISSUE_DT")</f>
        <v>9/13/2017</v>
      </c>
      <c r="I274" t="str">
        <f>_xll.BDS("924258X9 Muni","MUNI_PURPOSE_SCHED", "aggregate=y")</f>
        <v>PUBLIC IMPS. WATER UTILITY IMPS. UNIV. &amp; COLLEGE IMPS.</v>
      </c>
      <c r="J274">
        <f>_xll.BDP("924258X9 Muni","CPN")</f>
        <v>4</v>
      </c>
      <c r="K274" t="str">
        <f>_xll.BDP("924258X9 Muni","MATURITY")</f>
        <v>8/15/2025</v>
      </c>
      <c r="L274">
        <v>990000</v>
      </c>
      <c r="M274">
        <f>_xll.BDP("924258X9 Muni","YIELD_ON_ISSUE_DATE")</f>
        <v>1.67</v>
      </c>
      <c r="N274">
        <f>_xll.BDP("924258X9 Muni","YTW_SPREAD_TO_MATURITY_AT_ISSU")</f>
        <v>6.5298717992460675</v>
      </c>
      <c r="O274" t="str">
        <f>_xll.BDP("924258X9 Muni","BVAL_MID_YTM")</f>
        <v>#N/A Authorization</v>
      </c>
      <c r="P274" t="str">
        <f>_xll.BDP("924258X9 Muni","MUNI_TAX_PROV")</f>
        <v>FED &amp; ST TAX-EXEMPT</v>
      </c>
      <c r="Q274" t="str">
        <f>_xll.BDP("924258X9 Muni","MUNI_FED_TAX")</f>
        <v>N</v>
      </c>
      <c r="R274">
        <f>_xll.BDP("924258X9 Muni","MUNI_MSRB_VOLUME")</f>
        <v>5000</v>
      </c>
      <c r="S274" t="str">
        <f>_xll.BDP("924258X9 Muni","BB_COMPOSITE")</f>
        <v>AA+</v>
      </c>
      <c r="T274">
        <f>_xll.BDP("924258X9 Muni","LQA_LIQUIDITY_SCORE")</f>
        <v>76</v>
      </c>
    </row>
    <row r="275" spans="1:20" x14ac:dyDescent="0.25">
      <c r="A275" t="str">
        <f>_xll.BDP("882724BA Muni","ID_CUSIP")</f>
        <v>882724BA4</v>
      </c>
      <c r="B275" t="s">
        <v>168</v>
      </c>
      <c r="C275" t="str">
        <f>_xll.BDP("882724BA Muni","INSURANCE_STATUS")</f>
        <v>N</v>
      </c>
      <c r="D275" t="str">
        <f>_xll.BDP("882724BA Muni","STATE_CODE")</f>
        <v>TX</v>
      </c>
      <c r="E275" t="str">
        <f>_xll.BDP("882724BA Muni","COUNTY_LOCATION_ISSUER")</f>
        <v>Travis, TX</v>
      </c>
      <c r="F275">
        <f>_xll.BDP("882724BA Muni","DUR_ADJ_MID")</f>
        <v>0.9785124522376798</v>
      </c>
      <c r="G275">
        <f>_xll.BDP("882724BA Muni","SPREAD_AT_ISSUANCE_TO_WORST")</f>
        <v>13.992747625623814</v>
      </c>
      <c r="H275" t="str">
        <f>_xll.BDP("882724BA Muni","ISSUE_DT")</f>
        <v>6/20/2017</v>
      </c>
      <c r="I275" t="str">
        <f>_xll.BDS("882724BA Muni","MUNI_PURPOSE_SCHED", "aggregate=y")</f>
        <v>WATER UTILITY IMPS. CURRENT REFUNDING</v>
      </c>
      <c r="J275">
        <f>_xll.BDP("882724BA Muni","CPN")</f>
        <v>5</v>
      </c>
      <c r="K275" t="str">
        <f>_xll.BDP("882724BA Muni","MATURITY")</f>
        <v>8/1/2023</v>
      </c>
      <c r="L275">
        <v>240000</v>
      </c>
      <c r="M275">
        <f>_xll.BDP("882724BA Muni","YIELD_ON_ISSUE_DATE")</f>
        <v>1.57</v>
      </c>
      <c r="N275">
        <f>_xll.BDP("882724BA Muni","YTW_SPREAD_TO_MATURITY_AT_ISSU")</f>
        <v>13.992747625623814</v>
      </c>
      <c r="O275" t="str">
        <f>_xll.BDP("882724BA Muni","BVAL_MID_YTM")</f>
        <v>#N/A Authorization</v>
      </c>
      <c r="P275" t="str">
        <f>_xll.BDP("882724BA Muni","MUNI_TAX_PROV")</f>
        <v>FED TAX-EXEMPT</v>
      </c>
      <c r="Q275" t="str">
        <f>_xll.BDP("882724BA Muni","MUNI_FED_TAX")</f>
        <v>N</v>
      </c>
      <c r="R275" t="str">
        <f>_xll.BDP("882724BA Muni","MUNI_MSRB_VOLUME")</f>
        <v>#N/A N/A</v>
      </c>
      <c r="S275" t="str">
        <f>_xll.BDP("882724BA Muni","BB_COMPOSITE")</f>
        <v>AAA</v>
      </c>
      <c r="T275">
        <f>_xll.BDP("882724BA Muni","LQA_LIQUIDITY_SCORE")</f>
        <v>94</v>
      </c>
    </row>
    <row r="276" spans="1:20" x14ac:dyDescent="0.25">
      <c r="A276" t="str">
        <f>_xll.BDP("882724BB Muni","ID_CUSIP")</f>
        <v>882724BB2</v>
      </c>
      <c r="B276" t="s">
        <v>168</v>
      </c>
      <c r="C276" t="str">
        <f>_xll.BDP("882724BB Muni","INSURANCE_STATUS")</f>
        <v>N</v>
      </c>
      <c r="D276" t="str">
        <f>_xll.BDP("882724BB Muni","STATE_CODE")</f>
        <v>TX</v>
      </c>
      <c r="E276" t="str">
        <f>_xll.BDP("882724BB Muni","COUNTY_LOCATION_ISSUER")</f>
        <v>Travis, TX</v>
      </c>
      <c r="F276">
        <f>_xll.BDP("882724BB Muni","DUR_ADJ_MID")</f>
        <v>1.9125456390573932</v>
      </c>
      <c r="G276">
        <f>_xll.BDP("882724BB Muni","SPREAD_AT_ISSUANCE_TO_WORST")</f>
        <v>13.955181191494702</v>
      </c>
      <c r="H276" t="str">
        <f>_xll.BDP("882724BB Muni","ISSUE_DT")</f>
        <v>6/20/2017</v>
      </c>
      <c r="I276" t="str">
        <f>_xll.BDS("882724BB Muni","MUNI_PURPOSE_SCHED", "aggregate=y")</f>
        <v>WATER UTILITY IMPS. CURRENT REFUNDING</v>
      </c>
      <c r="J276">
        <f>_xll.BDP("882724BB Muni","CPN")</f>
        <v>5</v>
      </c>
      <c r="K276" t="str">
        <f>_xll.BDP("882724BB Muni","MATURITY")</f>
        <v>8/1/2024</v>
      </c>
      <c r="L276">
        <v>450000</v>
      </c>
      <c r="M276">
        <f>_xll.BDP("882724BB Muni","YIELD_ON_ISSUE_DATE")</f>
        <v>1.73</v>
      </c>
      <c r="N276">
        <f>_xll.BDP("882724BB Muni","YTW_SPREAD_TO_MATURITY_AT_ISSU")</f>
        <v>13.955181191494702</v>
      </c>
      <c r="O276" t="str">
        <f>_xll.BDP("882724BB Muni","BVAL_MID_YTM")</f>
        <v>#N/A Authorization</v>
      </c>
      <c r="P276" t="str">
        <f>_xll.BDP("882724BB Muni","MUNI_TAX_PROV")</f>
        <v>FED TAX-EXEMPT</v>
      </c>
      <c r="Q276" t="str">
        <f>_xll.BDP("882724BB Muni","MUNI_FED_TAX")</f>
        <v>N</v>
      </c>
      <c r="R276">
        <f>_xll.BDP("882724BB Muni","MUNI_MSRB_VOLUME")</f>
        <v>600000</v>
      </c>
      <c r="S276" t="str">
        <f>_xll.BDP("882724BB Muni","BB_COMPOSITE")</f>
        <v>AAA</v>
      </c>
      <c r="T276">
        <f>_xll.BDP("882724BB Muni","LQA_LIQUIDITY_SCORE")</f>
        <v>85</v>
      </c>
    </row>
    <row r="277" spans="1:20" x14ac:dyDescent="0.25">
      <c r="A277" t="str">
        <f>_xll.BDP("882724BE Muni","ID_CUSIP")</f>
        <v>882724BE6</v>
      </c>
      <c r="B277" t="s">
        <v>168</v>
      </c>
      <c r="C277" t="str">
        <f>_xll.BDP("882724BE Muni","INSURANCE_STATUS")</f>
        <v>N</v>
      </c>
      <c r="D277" t="str">
        <f>_xll.BDP("882724BE Muni","STATE_CODE")</f>
        <v>TX</v>
      </c>
      <c r="E277" t="str">
        <f>_xll.BDP("882724BE Muni","COUNTY_LOCATION_ISSUER")</f>
        <v>Travis, TX</v>
      </c>
      <c r="F277">
        <f>_xll.BDP("882724BE Muni","DUR_ADJ_MID")</f>
        <v>4.4796860476089755</v>
      </c>
      <c r="G277">
        <f>_xll.BDP("882724BE Muni","SPREAD_AT_ISSUANCE_TO_WORST")</f>
        <v>20.938754152629222</v>
      </c>
      <c r="H277" t="str">
        <f>_xll.BDP("882724BE Muni","ISSUE_DT")</f>
        <v>6/20/2017</v>
      </c>
      <c r="I277" t="str">
        <f>_xll.BDS("882724BE Muni","MUNI_PURPOSE_SCHED", "aggregate=y")</f>
        <v>WATER UTILITY IMPS. CURRENT REFUNDING</v>
      </c>
      <c r="J277">
        <f>_xll.BDP("882724BE Muni","CPN")</f>
        <v>5</v>
      </c>
      <c r="K277" t="str">
        <f>_xll.BDP("882724BE Muni","MATURITY")</f>
        <v>8/1/2027</v>
      </c>
      <c r="L277">
        <v>640000</v>
      </c>
      <c r="M277">
        <f>_xll.BDP("882724BE Muni","YIELD_ON_ISSUE_DATE")</f>
        <v>2.21</v>
      </c>
      <c r="N277">
        <f>_xll.BDP("882724BE Muni","YTW_SPREAD_TO_MATURITY_AT_ISSU")</f>
        <v>20.938754152629222</v>
      </c>
      <c r="O277" t="str">
        <f>_xll.BDP("882724BE Muni","BVAL_MID_YTM")</f>
        <v>#N/A Authorization</v>
      </c>
      <c r="P277" t="str">
        <f>_xll.BDP("882724BE Muni","MUNI_TAX_PROV")</f>
        <v>FED TAX-EXEMPT</v>
      </c>
      <c r="Q277" t="str">
        <f>_xll.BDP("882724BE Muni","MUNI_FED_TAX")</f>
        <v>N</v>
      </c>
      <c r="R277" t="str">
        <f>_xll.BDP("882724BE Muni","MUNI_MSRB_VOLUME")</f>
        <v>#N/A N/A</v>
      </c>
      <c r="S277" t="str">
        <f>_xll.BDP("882724BE Muni","BB_COMPOSITE")</f>
        <v>AAA</v>
      </c>
      <c r="T277">
        <f>_xll.BDP("882724BE Muni","LQA_LIQUIDITY_SCORE")</f>
        <v>60</v>
      </c>
    </row>
    <row r="278" spans="1:20" x14ac:dyDescent="0.25">
      <c r="A278" t="str">
        <f>_xll.BDP("882854YY Muni","ID_CUSIP")</f>
        <v>882854YY2</v>
      </c>
      <c r="B278" t="s">
        <v>31</v>
      </c>
      <c r="C278" t="str">
        <f>_xll.BDP("882854YY Muni","INSURANCE_STATUS")</f>
        <v>N</v>
      </c>
      <c r="D278" t="str">
        <f>_xll.BDP("882854YY Muni","STATE_CODE")</f>
        <v>TX</v>
      </c>
      <c r="E278" t="str">
        <f>_xll.BDP("882854YY Muni","COUNTY_LOCATION_ISSUER")</f>
        <v>Travis, TX</v>
      </c>
      <c r="F278">
        <f>_xll.BDP("882854YY Muni","DUR_ADJ_MID")</f>
        <v>3.0155216109375855</v>
      </c>
      <c r="G278">
        <f>_xll.BDP("882854YY Muni","SPREAD_AT_ISSUANCE_TO_WORST")</f>
        <v>54.027103141797951</v>
      </c>
      <c r="H278" t="str">
        <f>_xll.BDP("882854YY Muni","ISSUE_DT")</f>
        <v>10/12/2017</v>
      </c>
      <c r="I278" t="str">
        <f>_xll.BDS("882854YY Muni","MUNI_PURPOSE_SCHED", "aggregate=y")</f>
        <v>WATER UTILITY IMPS.</v>
      </c>
      <c r="J278">
        <f>_xll.BDP("882854YY Muni","CPN")</f>
        <v>2.69</v>
      </c>
      <c r="K278" t="str">
        <f>_xll.BDP("882854YY Muni","MATURITY")</f>
        <v>10/15/2025</v>
      </c>
      <c r="L278">
        <v>570000</v>
      </c>
      <c r="M278">
        <f>_xll.BDP("882854YY Muni","YIELD_ON_ISSUE_DATE")</f>
        <v>2.69</v>
      </c>
      <c r="N278">
        <f>_xll.BDP("882854YY Muni","YTW_SPREAD_TO_MATURITY_AT_ISSU")</f>
        <v>54.027103141797951</v>
      </c>
      <c r="O278" t="str">
        <f>_xll.BDP("882854YY Muni","BVAL_MID_YTM")</f>
        <v>#N/A Authorization</v>
      </c>
      <c r="P278" t="str">
        <f>_xll.BDP("882854YY Muni","MUNI_TAX_PROV")</f>
        <v>FED TAXABLE</v>
      </c>
      <c r="Q278" t="str">
        <f>_xll.BDP("882854YY Muni","MUNI_FED_TAX")</f>
        <v>Y</v>
      </c>
      <c r="R278" t="str">
        <f>_xll.BDP("882854YY Muni","MUNI_MSRB_VOLUME")</f>
        <v>#N/A N/A</v>
      </c>
      <c r="S278" t="str">
        <f>_xll.BDP("882854YY Muni","BB_COMPOSITE")</f>
        <v>AAA</v>
      </c>
      <c r="T278">
        <f>_xll.BDP("882854YY Muni","LQA_LIQUIDITY_SCORE")</f>
        <v>61</v>
      </c>
    </row>
    <row r="279" spans="1:20" x14ac:dyDescent="0.25">
      <c r="A279" t="str">
        <f>_xll.BDP("979149GA Muni","ID_CUSIP")</f>
        <v>979149GA3</v>
      </c>
      <c r="B279" t="s">
        <v>62</v>
      </c>
      <c r="C279" t="str">
        <f>_xll.BDP("979149GA Muni","INSURANCE_STATUS")</f>
        <v>N</v>
      </c>
      <c r="D279" t="str">
        <f>_xll.BDP("979149GA Muni","STATE_CODE")</f>
        <v>NJ</v>
      </c>
      <c r="E279" t="str">
        <f>_xll.BDP("979149GA Muni","COUNTY_LOCATION_ISSUER")</f>
        <v>Gloucester, NJ</v>
      </c>
      <c r="F279">
        <f>_xll.BDP("979149GA Muni","DUR_ADJ_MID")</f>
        <v>3.5193897307527457</v>
      </c>
      <c r="G279">
        <f>_xll.BDP("979149GA Muni","SPREAD_AT_ISSUANCE_TO_WORST")</f>
        <v>39.592750043200198</v>
      </c>
      <c r="H279" t="str">
        <f>_xll.BDP("979149GA Muni","ISSUE_DT")</f>
        <v>6/7/2017</v>
      </c>
      <c r="I279" t="str">
        <f>_xll.BDS("979149GA Muni","MUNI_PURPOSE_SCHED", "aggregate=y")</f>
        <v>PUBLIC IMPS. WATER UTILITY IMPS. SEWER IMPS.</v>
      </c>
      <c r="J279">
        <f>_xll.BDP("979149GA Muni","CPN")</f>
        <v>3</v>
      </c>
      <c r="K279" t="str">
        <f>_xll.BDP("979149GA Muni","MATURITY")</f>
        <v>5/1/2026</v>
      </c>
      <c r="L279">
        <v>945000</v>
      </c>
      <c r="M279">
        <f>_xll.BDP("979149GA Muni","YIELD_ON_ISSUE_DATE")</f>
        <v>2.25</v>
      </c>
      <c r="N279">
        <f>_xll.BDP("979149GA Muni","YTW_SPREAD_TO_MATURITY_AT_ISSU")</f>
        <v>39.592750043200198</v>
      </c>
      <c r="O279" t="str">
        <f>_xll.BDP("979149GA Muni","BVAL_MID_YTM")</f>
        <v>#N/A Authorization</v>
      </c>
      <c r="P279" t="str">
        <f>_xll.BDP("979149GA Muni","MUNI_TAX_PROV")</f>
        <v>FED &amp; ST TAX-EXEMPT</v>
      </c>
      <c r="Q279" t="str">
        <f>_xll.BDP("979149GA Muni","MUNI_FED_TAX")</f>
        <v>N</v>
      </c>
      <c r="R279">
        <f>_xll.BDP("979149GA Muni","MUNI_MSRB_VOLUME")</f>
        <v>40000</v>
      </c>
      <c r="S279" t="str">
        <f>_xll.BDP("979149GA Muni","BB_COMPOSITE")</f>
        <v>#N/A N/A</v>
      </c>
      <c r="T279">
        <f>_xll.BDP("979149GA Muni","LQA_LIQUIDITY_SCORE")</f>
        <v>45</v>
      </c>
    </row>
    <row r="280" spans="1:20" x14ac:dyDescent="0.25">
      <c r="A280" t="str">
        <f>_xll.BDP("76222FBV Muni","ID_CUSIP")</f>
        <v>76222FBV9</v>
      </c>
      <c r="B280" t="s">
        <v>169</v>
      </c>
      <c r="C280" t="str">
        <f>_xll.BDP("76222FBV Muni","INSURANCE_STATUS")</f>
        <v>N</v>
      </c>
      <c r="D280" t="str">
        <f>_xll.BDP("76222FBV Muni","STATE_CODE")</f>
        <v>RI</v>
      </c>
      <c r="E280" t="str">
        <f>_xll.BDP("76222FBV Muni","COUNTY_LOCATION_ISSUER")</f>
        <v>Providence, RI</v>
      </c>
      <c r="F280">
        <f>_xll.BDP("76222FBV Muni","DUR_ADJ_MID")</f>
        <v>3.745868524502876</v>
      </c>
      <c r="G280">
        <f>_xll.BDP("76222FBV Muni","SPREAD_AT_ISSUANCE_TO_WORST")</f>
        <v>17.527788574512204</v>
      </c>
      <c r="H280" t="str">
        <f>_xll.BDP("76222FBV Muni","ISSUE_DT")</f>
        <v>5/10/2017</v>
      </c>
      <c r="I280" t="str">
        <f>_xll.BDS("76222FBV Muni","MUNI_PURPOSE_SCHED", "aggregate=y")</f>
        <v>GREEN PURPOSE WATER UTILITY IMPS.</v>
      </c>
      <c r="J280">
        <f>_xll.BDP("76222FBV Muni","CPN")</f>
        <v>5</v>
      </c>
      <c r="K280" t="str">
        <f>_xll.BDP("76222FBV Muni","MATURITY")</f>
        <v>10/1/2026</v>
      </c>
      <c r="L280">
        <v>585000</v>
      </c>
      <c r="M280">
        <f>_xll.BDP("76222FBV Muni","YIELD_ON_ISSUE_DATE")</f>
        <v>2.2200000000000002</v>
      </c>
      <c r="N280">
        <f>_xll.BDP("76222FBV Muni","YTW_SPREAD_TO_MATURITY_AT_ISSU")</f>
        <v>17.527788574512204</v>
      </c>
      <c r="O280" t="str">
        <f>_xll.BDP("76222FBV Muni","BVAL_MID_YTM")</f>
        <v>#N/A Authorization</v>
      </c>
      <c r="P280" t="str">
        <f>_xll.BDP("76222FBV Muni","MUNI_TAX_PROV")</f>
        <v>FED &amp; ST TAX-EXEMPT</v>
      </c>
      <c r="Q280" t="str">
        <f>_xll.BDP("76222FBV Muni","MUNI_FED_TAX")</f>
        <v>N</v>
      </c>
      <c r="R280">
        <f>_xll.BDP("76222FBV Muni","MUNI_MSRB_VOLUME")</f>
        <v>50000</v>
      </c>
      <c r="S280" t="str">
        <f>_xll.BDP("76222FBV Muni","BB_COMPOSITE")</f>
        <v>AAA</v>
      </c>
      <c r="T280">
        <f>_xll.BDP("76222FBV Muni","LQA_LIQUIDITY_SCORE")</f>
        <v>66</v>
      </c>
    </row>
    <row r="281" spans="1:20" x14ac:dyDescent="0.25">
      <c r="A281" t="str">
        <f>_xll.BDP("776195FV Muni","ID_CUSIP")</f>
        <v>776195FV6</v>
      </c>
      <c r="B281" t="s">
        <v>170</v>
      </c>
      <c r="C281" t="str">
        <f>_xll.BDP("776195FV Muni","INSURANCE_STATUS")</f>
        <v>N</v>
      </c>
      <c r="D281" t="str">
        <f>_xll.BDP("776195FV Muni","STATE_CODE")</f>
        <v>MI</v>
      </c>
      <c r="E281" t="str">
        <f>_xll.BDP("776195FV Muni","COUNTY_LOCATION_ISSUER")</f>
        <v>Wayne, MI</v>
      </c>
      <c r="F281">
        <f>_xll.BDP("776195FV Muni","DUR_ADJ_MID")</f>
        <v>0.24624814527113265</v>
      </c>
      <c r="G281">
        <f>_xll.BDP("776195FV Muni","SPREAD_AT_ISSUANCE_TO_WORST")</f>
        <v>25.654279452054784</v>
      </c>
      <c r="H281" t="str">
        <f>_xll.BDP("776195FV Muni","ISSUE_DT")</f>
        <v>11/29/2017</v>
      </c>
      <c r="I281" t="str">
        <f>_xll.BDS("776195FV Muni","MUNI_PURPOSE_SCHED", "aggregate=y")</f>
        <v>PUBLIC IMPS. WATER UTILITY IMPS. SEWER IMPS.</v>
      </c>
      <c r="J281">
        <f>_xll.BDP("776195FV Muni","CPN")</f>
        <v>4</v>
      </c>
      <c r="K281" t="str">
        <f>_xll.BDP("776195FV Muni","MATURITY")</f>
        <v>11/1/2022</v>
      </c>
      <c r="L281">
        <v>775000</v>
      </c>
      <c r="M281">
        <f>_xll.BDP("776195FV Muni","YIELD_ON_ISSUE_DATE")</f>
        <v>1.78</v>
      </c>
      <c r="N281">
        <f>_xll.BDP("776195FV Muni","YTW_SPREAD_TO_MATURITY_AT_ISSU")</f>
        <v>25.654279452054784</v>
      </c>
      <c r="O281" t="str">
        <f>_xll.BDP("776195FV Muni","BVAL_MID_YTM")</f>
        <v>#N/A Authorization</v>
      </c>
      <c r="P281" t="str">
        <f>_xll.BDP("776195FV Muni","MUNI_TAX_PROV")</f>
        <v>FED &amp; ST TAX-EXEMPT</v>
      </c>
      <c r="Q281" t="str">
        <f>_xll.BDP("776195FV Muni","MUNI_FED_TAX")</f>
        <v>N</v>
      </c>
      <c r="R281">
        <f>_xll.BDP("776195FV Muni","MUNI_MSRB_VOLUME")</f>
        <v>15000</v>
      </c>
      <c r="S281" t="str">
        <f>_xll.BDP("776195FV Muni","BB_COMPOSITE")</f>
        <v>#N/A N/A</v>
      </c>
      <c r="T281">
        <f>_xll.BDP("776195FV Muni","LQA_LIQUIDITY_SCORE")</f>
        <v>95</v>
      </c>
    </row>
    <row r="282" spans="1:20" x14ac:dyDescent="0.25">
      <c r="A282" t="str">
        <f>_xll.BDP("940157P2 Muni","ID_CUSIP")</f>
        <v>940157P20</v>
      </c>
      <c r="B282" t="s">
        <v>109</v>
      </c>
      <c r="C282" t="str">
        <f>_xll.BDP("940157P2 Muni","INSURANCE_STATUS")</f>
        <v>N</v>
      </c>
      <c r="D282" t="str">
        <f>_xll.BDP("940157P2 Muni","STATE_CODE")</f>
        <v>MD</v>
      </c>
      <c r="E282" t="str">
        <f>_xll.BDP("940157P2 Muni","COUNTY_LOCATION_ISSUER")</f>
        <v>Prince George's, MD</v>
      </c>
      <c r="F282">
        <f>_xll.BDP("940157P2 Muni","DUR_ADJ_MID")</f>
        <v>1.7866171445310304</v>
      </c>
      <c r="G282">
        <f>_xll.BDP("940157P2 Muni","SPREAD_AT_ISSUANCE_TO_WORST")</f>
        <v>1.7560547945205451</v>
      </c>
      <c r="H282" t="str">
        <f>_xll.BDP("940157P2 Muni","ISSUE_DT")</f>
        <v>11/9/2017</v>
      </c>
      <c r="I282" t="str">
        <f>_xll.BDS("940157P2 Muni","MUNI_PURPOSE_SCHED", "aggregate=y")</f>
        <v>WATER UTILITY IMPS. SEWER IMPS.</v>
      </c>
      <c r="J282">
        <f>_xll.BDP("940157P2 Muni","CPN")</f>
        <v>5</v>
      </c>
      <c r="K282" t="str">
        <f>_xll.BDP("940157P2 Muni","MATURITY")</f>
        <v>6/15/2024</v>
      </c>
      <c r="L282">
        <v>10065000</v>
      </c>
      <c r="M282">
        <f>_xll.BDP("940157P2 Muni","YIELD_ON_ISSUE_DATE")</f>
        <v>1.6400000000000001</v>
      </c>
      <c r="N282">
        <f>_xll.BDP("940157P2 Muni","YTW_SPREAD_TO_MATURITY_AT_ISSU")</f>
        <v>1.7560547945205451</v>
      </c>
      <c r="O282" t="str">
        <f>_xll.BDP("940157P2 Muni","BVAL_MID_YTM")</f>
        <v>#N/A Authorization</v>
      </c>
      <c r="P282" t="str">
        <f>_xll.BDP("940157P2 Muni","MUNI_TAX_PROV")</f>
        <v>FED &amp; ST TAX-EXEMPT</v>
      </c>
      <c r="Q282" t="str">
        <f>_xll.BDP("940157P2 Muni","MUNI_FED_TAX")</f>
        <v>N</v>
      </c>
      <c r="R282">
        <f>_xll.BDP("940157P2 Muni","MUNI_MSRB_VOLUME")</f>
        <v>50000</v>
      </c>
      <c r="S282" t="str">
        <f>_xll.BDP("940157P2 Muni","BB_COMPOSITE")</f>
        <v>AAA</v>
      </c>
      <c r="T282">
        <f>_xll.BDP("940157P2 Muni","LQA_LIQUIDITY_SCORE")</f>
        <v>92</v>
      </c>
    </row>
    <row r="283" spans="1:20" x14ac:dyDescent="0.25">
      <c r="A283" t="str">
        <f>_xll.BDP("802629AH Muni","ID_CUSIP")</f>
        <v>802629AH8</v>
      </c>
      <c r="B283" t="s">
        <v>171</v>
      </c>
      <c r="C283" t="str">
        <f>_xll.BDP("802629AH Muni","INSURANCE_STATUS")</f>
        <v>N</v>
      </c>
      <c r="D283" t="str">
        <f>_xll.BDP("802629AH Muni","STATE_CODE")</f>
        <v>CA</v>
      </c>
      <c r="E283" t="str">
        <f>_xll.BDP("802629AH Muni","COUNTY_LOCATION_ISSUER")</f>
        <v>#N/A Field Not Applicable</v>
      </c>
      <c r="F283">
        <f>_xll.BDP("802629AH Muni","DUR_ADJ_MID")</f>
        <v>3.6601465000291631</v>
      </c>
      <c r="G283">
        <f>_xll.BDP("802629AH Muni","SPREAD_AT_ISSUANCE_TO_WORST")</f>
        <v>8.0390580340102815</v>
      </c>
      <c r="H283" t="str">
        <f>_xll.BDP("802629AH Muni","ISSUE_DT")</f>
        <v>8/24/2017</v>
      </c>
      <c r="I283" t="str">
        <f>_xll.BDS("802629AH Muni","MUNI_PURPOSE_SCHED", "aggregate=y")</f>
        <v>WATER UTILITY IMPS. SEWER IMPS.</v>
      </c>
      <c r="J283">
        <f>_xll.BDP("802629AH Muni","CPN")</f>
        <v>5</v>
      </c>
      <c r="K283" t="str">
        <f>_xll.BDP("802629AH Muni","MATURITY")</f>
        <v>8/1/2026</v>
      </c>
      <c r="L283">
        <v>805000</v>
      </c>
      <c r="M283">
        <f>_xll.BDP("802629AH Muni","YIELD_ON_ISSUE_DATE")</f>
        <v>1.8800000000000001</v>
      </c>
      <c r="N283">
        <f>_xll.BDP("802629AH Muni","YTW_SPREAD_TO_MATURITY_AT_ISSU")</f>
        <v>8.0390580340102815</v>
      </c>
      <c r="O283" t="str">
        <f>_xll.BDP("802629AH Muni","BVAL_MID_YTM")</f>
        <v>#N/A Authorization</v>
      </c>
      <c r="P283" t="str">
        <f>_xll.BDP("802629AH Muni","MUNI_TAX_PROV")</f>
        <v>FED &amp; ST TAX-EXEMPT</v>
      </c>
      <c r="Q283" t="str">
        <f>_xll.BDP("802629AH Muni","MUNI_FED_TAX")</f>
        <v>N</v>
      </c>
      <c r="R283">
        <f>_xll.BDP("802629AH Muni","MUNI_MSRB_VOLUME")</f>
        <v>70000</v>
      </c>
      <c r="S283" t="str">
        <f>_xll.BDP("802629AH Muni","BB_COMPOSITE")</f>
        <v>AA</v>
      </c>
      <c r="T283">
        <f>_xll.BDP("802629AH Muni","LQA_LIQUIDITY_SCORE")</f>
        <v>65</v>
      </c>
    </row>
    <row r="284" spans="1:20" x14ac:dyDescent="0.25">
      <c r="A284" t="str">
        <f>_xll.BDP("13279TBL Muni","ID_CUSIP")</f>
        <v>13279TBL6</v>
      </c>
      <c r="B284" t="s">
        <v>172</v>
      </c>
      <c r="C284" t="str">
        <f>_xll.BDP("13279TBL Muni","INSURANCE_STATUS")</f>
        <v>N</v>
      </c>
      <c r="D284" t="str">
        <f>_xll.BDP("13279TBL Muni","STATE_CODE")</f>
        <v>MO</v>
      </c>
      <c r="E284" t="str">
        <f>_xll.BDP("13279TBL Muni","COUNTY_LOCATION_ISSUER")</f>
        <v>Camden, MO</v>
      </c>
      <c r="F284">
        <f>_xll.BDP("13279TBL Muni","DUR_ADJ_MID")</f>
        <v>0.41191015202215769</v>
      </c>
      <c r="G284">
        <f>_xll.BDP("13279TBL Muni","SPREAD_AT_ISSUANCE_TO_WORST")</f>
        <v>107.33688201853211</v>
      </c>
      <c r="H284" t="str">
        <f>_xll.BDP("13279TBL Muni","ISSUE_DT")</f>
        <v>6/27/2017</v>
      </c>
      <c r="I284" t="str">
        <f>_xll.BDS("13279TBL Muni","MUNI_PURPOSE_SCHED", "aggregate=y")</f>
        <v>WATER UTILITY IMPS. SEWER IMPS.</v>
      </c>
      <c r="J284">
        <f>_xll.BDP("13279TBL Muni","CPN")</f>
        <v>2.125</v>
      </c>
      <c r="K284" t="str">
        <f>_xll.BDP("13279TBL Muni","MATURITY")</f>
        <v>1/1/2023</v>
      </c>
      <c r="L284">
        <v>150000</v>
      </c>
      <c r="M284">
        <f>_xll.BDP("13279TBL Muni","YIELD_ON_ISSUE_DATE")</f>
        <v>2.3199999999999998</v>
      </c>
      <c r="N284">
        <f>_xll.BDP("13279TBL Muni","YTW_SPREAD_TO_MATURITY_AT_ISSU")</f>
        <v>107.33688201853211</v>
      </c>
      <c r="O284" t="str">
        <f>_xll.BDP("13279TBL Muni","BVAL_MID_YTM")</f>
        <v>#N/A Authorization</v>
      </c>
      <c r="P284" t="str">
        <f>_xll.BDP("13279TBL Muni","MUNI_TAX_PROV")</f>
        <v>FED BQ/ST TAX-EXEMPT</v>
      </c>
      <c r="Q284" t="str">
        <f>_xll.BDP("13279TBL Muni","MUNI_FED_TAX")</f>
        <v>N</v>
      </c>
      <c r="R284" t="str">
        <f>_xll.BDP("13279TBL Muni","MUNI_MSRB_VOLUME")</f>
        <v>#N/A N/A</v>
      </c>
      <c r="S284" t="str">
        <f>_xll.BDP("13279TBL Muni","BB_COMPOSITE")</f>
        <v>#N/A N/A</v>
      </c>
      <c r="T284">
        <f>_xll.BDP("13279TBL Muni","LQA_LIQUIDITY_SCORE")</f>
        <v>85</v>
      </c>
    </row>
    <row r="285" spans="1:20" x14ac:dyDescent="0.25">
      <c r="A285" t="str">
        <f>_xll.BDP("13279TBM Muni","ID_CUSIP")</f>
        <v>13279TBM4</v>
      </c>
      <c r="B285" t="s">
        <v>172</v>
      </c>
      <c r="C285" t="str">
        <f>_xll.BDP("13279TBM Muni","INSURANCE_STATUS")</f>
        <v>N</v>
      </c>
      <c r="D285" t="str">
        <f>_xll.BDP("13279TBM Muni","STATE_CODE")</f>
        <v>MO</v>
      </c>
      <c r="E285" t="str">
        <f>_xll.BDP("13279TBM Muni","COUNTY_LOCATION_ISSUER")</f>
        <v>Camden, MO</v>
      </c>
      <c r="F285">
        <f>_xll.BDP("13279TBM Muni","DUR_ADJ_MID")</f>
        <v>1.3842887739675531</v>
      </c>
      <c r="G285">
        <f>_xll.BDP("13279TBM Muni","SPREAD_AT_ISSUANCE_TO_WORST")</f>
        <v>115.4770296045029</v>
      </c>
      <c r="H285" t="str">
        <f>_xll.BDP("13279TBM Muni","ISSUE_DT")</f>
        <v>6/27/2017</v>
      </c>
      <c r="I285" t="str">
        <f>_xll.BDS("13279TBM Muni","MUNI_PURPOSE_SCHED", "aggregate=y")</f>
        <v>WATER UTILITY IMPS. SEWER IMPS.</v>
      </c>
      <c r="J285">
        <f>_xll.BDP("13279TBM Muni","CPN")</f>
        <v>2.375</v>
      </c>
      <c r="K285" t="str">
        <f>_xll.BDP("13279TBM Muni","MATURITY")</f>
        <v>1/1/2024</v>
      </c>
      <c r="L285">
        <v>155000</v>
      </c>
      <c r="M285">
        <f>_xll.BDP("13279TBM Muni","YIELD_ON_ISSUE_DATE")</f>
        <v>2.56</v>
      </c>
      <c r="N285">
        <f>_xll.BDP("13279TBM Muni","YTW_SPREAD_TO_MATURITY_AT_ISSU")</f>
        <v>115.4770296045029</v>
      </c>
      <c r="O285" t="str">
        <f>_xll.BDP("13279TBM Muni","BVAL_MID_YTM")</f>
        <v>#N/A Authorization</v>
      </c>
      <c r="P285" t="str">
        <f>_xll.BDP("13279TBM Muni","MUNI_TAX_PROV")</f>
        <v>FED BQ/ST TAX-EXEMPT</v>
      </c>
      <c r="Q285" t="str">
        <f>_xll.BDP("13279TBM Muni","MUNI_FED_TAX")</f>
        <v>N</v>
      </c>
      <c r="R285" t="str">
        <f>_xll.BDP("13279TBM Muni","MUNI_MSRB_VOLUME")</f>
        <v>#N/A N/A</v>
      </c>
      <c r="S285" t="str">
        <f>_xll.BDP("13279TBM Muni","BB_COMPOSITE")</f>
        <v>#N/A N/A</v>
      </c>
      <c r="T285">
        <f>_xll.BDP("13279TBM Muni","LQA_LIQUIDITY_SCORE")</f>
        <v>62</v>
      </c>
    </row>
    <row r="286" spans="1:20" x14ac:dyDescent="0.25">
      <c r="A286" t="str">
        <f>_xll.BDP("13279TBN Muni","ID_CUSIP")</f>
        <v>13279TBN2</v>
      </c>
      <c r="B286" t="s">
        <v>172</v>
      </c>
      <c r="C286" t="str">
        <f>_xll.BDP("13279TBN Muni","INSURANCE_STATUS")</f>
        <v>N</v>
      </c>
      <c r="D286" t="str">
        <f>_xll.BDP("13279TBN Muni","STATE_CODE")</f>
        <v>MO</v>
      </c>
      <c r="E286" t="str">
        <f>_xll.BDP("13279TBN Muni","COUNTY_LOCATION_ISSUER")</f>
        <v>Camden, MO</v>
      </c>
      <c r="F286">
        <f>_xll.BDP("13279TBN Muni","DUR_ADJ_MID")</f>
        <v>2.3307223688905467</v>
      </c>
      <c r="G286">
        <f>_xll.BDP("13279TBN Muni","SPREAD_AT_ISSUANCE_TO_WORST")</f>
        <v>117.62254504851238</v>
      </c>
      <c r="H286" t="str">
        <f>_xll.BDP("13279TBN Muni","ISSUE_DT")</f>
        <v>6/27/2017</v>
      </c>
      <c r="I286" t="str">
        <f>_xll.BDS("13279TBN Muni","MUNI_PURPOSE_SCHED", "aggregate=y")</f>
        <v>WATER UTILITY IMPS. SEWER IMPS.</v>
      </c>
      <c r="J286">
        <f>_xll.BDP("13279TBN Muni","CPN")</f>
        <v>2.5</v>
      </c>
      <c r="K286" t="str">
        <f>_xll.BDP("13279TBN Muni","MATURITY")</f>
        <v>1/1/2025</v>
      </c>
      <c r="L286">
        <v>160000</v>
      </c>
      <c r="M286">
        <f>_xll.BDP("13279TBN Muni","YIELD_ON_ISSUE_DATE")</f>
        <v>2.74</v>
      </c>
      <c r="N286">
        <f>_xll.BDP("13279TBN Muni","YTW_SPREAD_TO_MATURITY_AT_ISSU")</f>
        <v>117.62254504851238</v>
      </c>
      <c r="O286" t="str">
        <f>_xll.BDP("13279TBN Muni","BVAL_MID_YTM")</f>
        <v>#N/A Authorization</v>
      </c>
      <c r="P286" t="str">
        <f>_xll.BDP("13279TBN Muni","MUNI_TAX_PROV")</f>
        <v>FED BQ/ST TAX-EXEMPT</v>
      </c>
      <c r="Q286" t="str">
        <f>_xll.BDP("13279TBN Muni","MUNI_FED_TAX")</f>
        <v>N</v>
      </c>
      <c r="R286" t="str">
        <f>_xll.BDP("13279TBN Muni","MUNI_MSRB_VOLUME")</f>
        <v>#N/A N/A</v>
      </c>
      <c r="S286" t="str">
        <f>_xll.BDP("13279TBN Muni","BB_COMPOSITE")</f>
        <v>#N/A N/A</v>
      </c>
      <c r="T286">
        <f>_xll.BDP("13279TBN Muni","LQA_LIQUIDITY_SCORE")</f>
        <v>45</v>
      </c>
    </row>
    <row r="287" spans="1:20" x14ac:dyDescent="0.25">
      <c r="A287" t="str">
        <f>_xll.BDP("13822PBL Muni","ID_CUSIP")</f>
        <v>13822PBL6</v>
      </c>
      <c r="B287" t="s">
        <v>173</v>
      </c>
      <c r="C287" t="str">
        <f>_xll.BDP("13822PBL Muni","INSURANCE_STATUS")</f>
        <v>N</v>
      </c>
      <c r="D287" t="str">
        <f>_xll.BDP("13822PBL Muni","STATE_CODE")</f>
        <v>KS</v>
      </c>
      <c r="E287" t="str">
        <f>_xll.BDP("13822PBL Muni","COUNTY_LOCATION_ISSUER")</f>
        <v>McPherson, KS</v>
      </c>
      <c r="F287">
        <f>_xll.BDP("13822PBL Muni","DUR_ADJ_MID")</f>
        <v>5.555273843089366E-3</v>
      </c>
      <c r="G287">
        <f>_xll.BDP("13822PBL Muni","SPREAD_AT_ISSUANCE_TO_WORST")</f>
        <v>82.873539082338255</v>
      </c>
      <c r="H287" t="str">
        <f>_xll.BDP("13822PBL Muni","ISSUE_DT")</f>
        <v>9/1/2017</v>
      </c>
      <c r="I287" t="str">
        <f>_xll.BDS("13822PBL Muni","MUNI_PURPOSE_SCHED", "aggregate=y")</f>
        <v>WATER UTILITY IMPS.</v>
      </c>
      <c r="J287">
        <f>_xll.BDP("13822PBL Muni","CPN")</f>
        <v>4</v>
      </c>
      <c r="K287" t="str">
        <f>_xll.BDP("13822PBL Muni","MATURITY")</f>
        <v>8/1/2022</v>
      </c>
      <c r="L287">
        <v>15000</v>
      </c>
      <c r="M287">
        <f>_xll.BDP("13822PBL Muni","YIELD_ON_ISSUE_DATE")</f>
        <v>2</v>
      </c>
      <c r="N287">
        <f>_xll.BDP("13822PBL Muni","YTW_SPREAD_TO_MATURITY_AT_ISSU")</f>
        <v>82.873539082338255</v>
      </c>
      <c r="O287" t="str">
        <f>_xll.BDP("13822PBL Muni","BVAL_MID_YTM")</f>
        <v>#N/A Authorization</v>
      </c>
      <c r="P287" t="str">
        <f>_xll.BDP("13822PBL Muni","MUNI_TAX_PROV")</f>
        <v>FED BQ/ST TAX-EXEMPT</v>
      </c>
      <c r="Q287" t="str">
        <f>_xll.BDP("13822PBL Muni","MUNI_FED_TAX")</f>
        <v>N</v>
      </c>
      <c r="R287" t="str">
        <f>_xll.BDP("13822PBL Muni","MUNI_MSRB_VOLUME")</f>
        <v>#N/A N/A</v>
      </c>
      <c r="S287" t="str">
        <f>_xll.BDP("13822PBL Muni","BB_COMPOSITE")</f>
        <v>#N/A N/A</v>
      </c>
      <c r="T287">
        <f>_xll.BDP("13822PBL Muni","LQA_LIQUIDITY_SCORE")</f>
        <v>94</v>
      </c>
    </row>
    <row r="288" spans="1:20" x14ac:dyDescent="0.25">
      <c r="A288" t="str">
        <f>_xll.BDP("013493HE Muni","ID_CUSIP")</f>
        <v>013493HE4</v>
      </c>
      <c r="B288" t="s">
        <v>27</v>
      </c>
      <c r="C288" t="str">
        <f>_xll.BDP("013493HE Muni","INSURANCE_STATUS")</f>
        <v>N</v>
      </c>
      <c r="D288" t="str">
        <f>_xll.BDP("013493HE Muni","STATE_CODE")</f>
        <v>NM</v>
      </c>
      <c r="E288" t="str">
        <f>_xll.BDP("013493HE Muni","COUNTY_LOCATION_ISSUER")</f>
        <v>Bernalillo, NM</v>
      </c>
      <c r="F288">
        <f>_xll.BDP("013493HE Muni","DUR_ADJ_MID")</f>
        <v>1.8291896025847272</v>
      </c>
      <c r="G288">
        <f>_xll.BDP("013493HE Muni","SPREAD_AT_ISSUANCE_TO_WORST")</f>
        <v>23.999597360801772</v>
      </c>
      <c r="H288" t="str">
        <f>_xll.BDP("013493HE Muni","ISSUE_DT")</f>
        <v>3/1/2017</v>
      </c>
      <c r="I288" t="str">
        <f>_xll.BDS("013493HE Muni","MUNI_PURPOSE_SCHED", "aggregate=y")</f>
        <v>WATER UTILITY IMPS. SEWER IMPS. ADVANCE REFUNDING</v>
      </c>
      <c r="J288">
        <f>_xll.BDP("013493HE Muni","CPN")</f>
        <v>5</v>
      </c>
      <c r="K288" t="str">
        <f>_xll.BDP("013493HE Muni","MATURITY")</f>
        <v>7/1/2024</v>
      </c>
      <c r="L288">
        <v>5160000</v>
      </c>
      <c r="M288">
        <f>_xll.BDP("013493HE Muni","YIELD_ON_ISSUE_DATE")</f>
        <v>2.27</v>
      </c>
      <c r="N288">
        <f>_xll.BDP("013493HE Muni","YTW_SPREAD_TO_MATURITY_AT_ISSU")</f>
        <v>23.999597360801772</v>
      </c>
      <c r="O288" t="str">
        <f>_xll.BDP("013493HE Muni","BVAL_MID_YTM")</f>
        <v>#N/A Authorization</v>
      </c>
      <c r="P288" t="str">
        <f>_xll.BDP("013493HE Muni","MUNI_TAX_PROV")</f>
        <v>FED &amp; ST TAX-EXEMPT</v>
      </c>
      <c r="Q288" t="str">
        <f>_xll.BDP("013493HE Muni","MUNI_FED_TAX")</f>
        <v>N</v>
      </c>
      <c r="R288">
        <f>_xll.BDP("013493HE Muni","MUNI_MSRB_VOLUME")</f>
        <v>1400000</v>
      </c>
      <c r="S288" t="str">
        <f>_xll.BDP("013493HE Muni","BB_COMPOSITE")</f>
        <v>AA</v>
      </c>
      <c r="T288">
        <f>_xll.BDP("013493HE Muni","LQA_LIQUIDITY_SCORE")</f>
        <v>88</v>
      </c>
    </row>
    <row r="289" spans="1:20" x14ac:dyDescent="0.25">
      <c r="A289" t="str">
        <f>_xll.BDP("013493HF Muni","ID_CUSIP")</f>
        <v>013493HF1</v>
      </c>
      <c r="B289" t="s">
        <v>27</v>
      </c>
      <c r="C289" t="str">
        <f>_xll.BDP("013493HF Muni","INSURANCE_STATUS")</f>
        <v>N</v>
      </c>
      <c r="D289" t="str">
        <f>_xll.BDP("013493HF Muni","STATE_CODE")</f>
        <v>NM</v>
      </c>
      <c r="E289" t="str">
        <f>_xll.BDP("013493HF Muni","COUNTY_LOCATION_ISSUER")</f>
        <v>Bernalillo, NM</v>
      </c>
      <c r="F289">
        <f>_xll.BDP("013493HF Muni","DUR_ADJ_MID")</f>
        <v>2.7208180827001169</v>
      </c>
      <c r="G289">
        <f>_xll.BDP("013493HF Muni","SPREAD_AT_ISSUANCE_TO_WORST")</f>
        <v>24.063669677369639</v>
      </c>
      <c r="H289" t="str">
        <f>_xll.BDP("013493HF Muni","ISSUE_DT")</f>
        <v>3/1/2017</v>
      </c>
      <c r="I289" t="str">
        <f>_xll.BDS("013493HF Muni","MUNI_PURPOSE_SCHED", "aggregate=y")</f>
        <v>WATER UTILITY IMPS. SEWER IMPS. ADVANCE REFUNDING</v>
      </c>
      <c r="J289">
        <f>_xll.BDP("013493HF Muni","CPN")</f>
        <v>5</v>
      </c>
      <c r="K289" t="str">
        <f>_xll.BDP("013493HF Muni","MATURITY")</f>
        <v>7/1/2025</v>
      </c>
      <c r="L289">
        <v>5415000</v>
      </c>
      <c r="M289">
        <f>_xll.BDP("013493HF Muni","YIELD_ON_ISSUE_DATE")</f>
        <v>2.4000000000000004</v>
      </c>
      <c r="N289">
        <f>_xll.BDP("013493HF Muni","YTW_SPREAD_TO_MATURITY_AT_ISSU")</f>
        <v>24.063669677369639</v>
      </c>
      <c r="O289" t="str">
        <f>_xll.BDP("013493HF Muni","BVAL_MID_YTM")</f>
        <v>#N/A Authorization</v>
      </c>
      <c r="P289" t="str">
        <f>_xll.BDP("013493HF Muni","MUNI_TAX_PROV")</f>
        <v>FED &amp; ST TAX-EXEMPT</v>
      </c>
      <c r="Q289" t="str">
        <f>_xll.BDP("013493HF Muni","MUNI_FED_TAX")</f>
        <v>N</v>
      </c>
      <c r="R289">
        <f>_xll.BDP("013493HF Muni","MUNI_MSRB_VOLUME")</f>
        <v>75000</v>
      </c>
      <c r="S289" t="str">
        <f>_xll.BDP("013493HF Muni","BB_COMPOSITE")</f>
        <v>AA</v>
      </c>
      <c r="T289">
        <f>_xll.BDP("013493HF Muni","LQA_LIQUIDITY_SCORE")</f>
        <v>80</v>
      </c>
    </row>
    <row r="290" spans="1:20" x14ac:dyDescent="0.25">
      <c r="A290" t="str">
        <f>_xll.BDP("013493HH Muni","ID_CUSIP")</f>
        <v>013493HH7</v>
      </c>
      <c r="B290" t="s">
        <v>27</v>
      </c>
      <c r="C290" t="str">
        <f>_xll.BDP("013493HH Muni","INSURANCE_STATUS")</f>
        <v>N</v>
      </c>
      <c r="D290" t="str">
        <f>_xll.BDP("013493HH Muni","STATE_CODE")</f>
        <v>NM</v>
      </c>
      <c r="E290" t="str">
        <f>_xll.BDP("013493HH Muni","COUNTY_LOCATION_ISSUER")</f>
        <v>Bernalillo, NM</v>
      </c>
      <c r="F290">
        <f>_xll.BDP("013493HH Muni","DUR_ADJ_MID")</f>
        <v>4.3913893270449194</v>
      </c>
      <c r="G290">
        <f>_xll.BDP("013493HH Muni","SPREAD_AT_ISSUANCE_TO_WORST")</f>
        <v>25.527340177486035</v>
      </c>
      <c r="H290" t="str">
        <f>_xll.BDP("013493HH Muni","ISSUE_DT")</f>
        <v>3/1/2017</v>
      </c>
      <c r="I290" t="str">
        <f>_xll.BDS("013493HH Muni","MUNI_PURPOSE_SCHED", "aggregate=y")</f>
        <v>WATER UTILITY IMPS. SEWER IMPS. ADVANCE REFUNDING</v>
      </c>
      <c r="J290">
        <f>_xll.BDP("013493HH Muni","CPN")</f>
        <v>5</v>
      </c>
      <c r="K290" t="str">
        <f>_xll.BDP("013493HH Muni","MATURITY")</f>
        <v>7/1/2027</v>
      </c>
      <c r="L290">
        <v>5970000</v>
      </c>
      <c r="M290">
        <f>_xll.BDP("013493HH Muni","YIELD_ON_ISSUE_DATE")</f>
        <v>2.62</v>
      </c>
      <c r="N290">
        <f>_xll.BDP("013493HH Muni","YTW_SPREAD_TO_MATURITY_AT_ISSU")</f>
        <v>25.527340177486035</v>
      </c>
      <c r="O290" t="str">
        <f>_xll.BDP("013493HH Muni","BVAL_MID_YTM")</f>
        <v>#N/A Authorization</v>
      </c>
      <c r="P290" t="str">
        <f>_xll.BDP("013493HH Muni","MUNI_TAX_PROV")</f>
        <v>FED &amp; ST TAX-EXEMPT</v>
      </c>
      <c r="Q290" t="str">
        <f>_xll.BDP("013493HH Muni","MUNI_FED_TAX")</f>
        <v>N</v>
      </c>
      <c r="R290">
        <f>_xll.BDP("013493HH Muni","MUNI_MSRB_VOLUME")</f>
        <v>420000</v>
      </c>
      <c r="S290" t="str">
        <f>_xll.BDP("013493HH Muni","BB_COMPOSITE")</f>
        <v>AA</v>
      </c>
      <c r="T290">
        <f>_xll.BDP("013493HH Muni","LQA_LIQUIDITY_SCORE")</f>
        <v>70</v>
      </c>
    </row>
    <row r="291" spans="1:20" x14ac:dyDescent="0.25">
      <c r="A291" t="str">
        <f>_xll.BDP("013662BV Muni","ID_CUSIP")</f>
        <v>013662BV2</v>
      </c>
      <c r="B291" t="s">
        <v>174</v>
      </c>
      <c r="C291" t="str">
        <f>_xll.BDP("013662BV Muni","INSURANCE_STATUS")</f>
        <v>N</v>
      </c>
      <c r="D291" t="str">
        <f>_xll.BDP("013662BV Muni","STATE_CODE")</f>
        <v>IA</v>
      </c>
      <c r="E291" t="str">
        <f>_xll.BDP("013662BV Muni","COUNTY_LOCATION_ISSUER")</f>
        <v>Linn, IA</v>
      </c>
      <c r="F291">
        <f>_xll.BDP("013662BV Muni","DUR_ADJ_MID")</f>
        <v>0.81979104669511293</v>
      </c>
      <c r="G291">
        <f>_xll.BDP("013662BV Muni","SPREAD_AT_ISSUANCE_TO_WORST")</f>
        <v>12.786757500007351</v>
      </c>
      <c r="H291" t="str">
        <f>_xll.BDP("013662BV Muni","ISSUE_DT")</f>
        <v>3/23/2017</v>
      </c>
      <c r="I291" t="str">
        <f>_xll.BDS("013662BV Muni","MUNI_PURPOSE_SCHED", "aggregate=y")</f>
        <v>PUBLIC IMPS. WATER UTILITY IMPS. SEWER IMPS.</v>
      </c>
      <c r="J291">
        <f>_xll.BDP("013662BV Muni","CPN")</f>
        <v>2</v>
      </c>
      <c r="K291" t="str">
        <f>_xll.BDP("013662BV Muni","MATURITY")</f>
        <v>6/1/2023</v>
      </c>
      <c r="L291">
        <v>55000</v>
      </c>
      <c r="M291">
        <f>_xll.BDP("013662BV Muni","YIELD_ON_ISSUE_DATE")</f>
        <v>1.95</v>
      </c>
      <c r="N291">
        <f>_xll.BDP("013662BV Muni","YTW_SPREAD_TO_MATURITY_AT_ISSU")</f>
        <v>12.786757500007351</v>
      </c>
      <c r="O291" t="str">
        <f>_xll.BDP("013662BV Muni","BVAL_MID_YTM")</f>
        <v>#N/A Authorization</v>
      </c>
      <c r="P291" t="str">
        <f>_xll.BDP("013662BV Muni","MUNI_TAX_PROV")</f>
        <v>FED BQ</v>
      </c>
      <c r="Q291" t="str">
        <f>_xll.BDP("013662BV Muni","MUNI_FED_TAX")</f>
        <v>N</v>
      </c>
      <c r="R291" t="str">
        <f>_xll.BDP("013662BV Muni","MUNI_MSRB_VOLUME")</f>
        <v>#N/A N/A</v>
      </c>
      <c r="S291" t="str">
        <f>_xll.BDP("013662BV Muni","BB_COMPOSITE")</f>
        <v>#N/A N/A</v>
      </c>
      <c r="T291">
        <f>_xll.BDP("013662BV Muni","LQA_LIQUIDITY_SCORE")</f>
        <v>70</v>
      </c>
    </row>
    <row r="292" spans="1:20" x14ac:dyDescent="0.25">
      <c r="A292" t="str">
        <f>_xll.BDP("013662BW Muni","ID_CUSIP")</f>
        <v>013662BW0</v>
      </c>
      <c r="B292" t="s">
        <v>174</v>
      </c>
      <c r="C292" t="str">
        <f>_xll.BDP("013662BW Muni","INSURANCE_STATUS")</f>
        <v>N</v>
      </c>
      <c r="D292" t="str">
        <f>_xll.BDP("013662BW Muni","STATE_CODE")</f>
        <v>IA</v>
      </c>
      <c r="E292" t="str">
        <f>_xll.BDP("013662BW Muni","COUNTY_LOCATION_ISSUER")</f>
        <v>Linn, IA</v>
      </c>
      <c r="F292">
        <f>_xll.BDP("013662BW Muni","DUR_ADJ_MID")</f>
        <v>1.7852153866024338</v>
      </c>
      <c r="G292">
        <f>_xll.BDP("013662BW Muni","SPREAD_AT_ISSUANCE_TO_WORST")</f>
        <v>2.042368962793506</v>
      </c>
      <c r="H292" t="str">
        <f>_xll.BDP("013662BW Muni","ISSUE_DT")</f>
        <v>3/23/2017</v>
      </c>
      <c r="I292" t="str">
        <f>_xll.BDS("013662BW Muni","MUNI_PURPOSE_SCHED", "aggregate=y")</f>
        <v>PUBLIC IMPS. WATER UTILITY IMPS. SEWER IMPS.</v>
      </c>
      <c r="J292">
        <f>_xll.BDP("013662BW Muni","CPN")</f>
        <v>2</v>
      </c>
      <c r="K292" t="str">
        <f>_xll.BDP("013662BW Muni","MATURITY")</f>
        <v>6/1/2024</v>
      </c>
      <c r="L292">
        <v>60000</v>
      </c>
      <c r="M292">
        <f>_xll.BDP("013662BW Muni","YIELD_ON_ISSUE_DATE")</f>
        <v>2</v>
      </c>
      <c r="N292">
        <f>_xll.BDP("013662BW Muni","YTW_SPREAD_TO_MATURITY_AT_ISSU")</f>
        <v>2.042368962793506</v>
      </c>
      <c r="O292" t="str">
        <f>_xll.BDP("013662BW Muni","BVAL_MID_YTM")</f>
        <v>#N/A Authorization</v>
      </c>
      <c r="P292" t="str">
        <f>_xll.BDP("013662BW Muni","MUNI_TAX_PROV")</f>
        <v>FED BQ</v>
      </c>
      <c r="Q292" t="str">
        <f>_xll.BDP("013662BW Muni","MUNI_FED_TAX")</f>
        <v>N</v>
      </c>
      <c r="R292" t="str">
        <f>_xll.BDP("013662BW Muni","MUNI_MSRB_VOLUME")</f>
        <v>#N/A N/A</v>
      </c>
      <c r="S292" t="str">
        <f>_xll.BDP("013662BW Muni","BB_COMPOSITE")</f>
        <v>#N/A N/A</v>
      </c>
      <c r="T292">
        <f>_xll.BDP("013662BW Muni","LQA_LIQUIDITY_SCORE")</f>
        <v>55</v>
      </c>
    </row>
    <row r="293" spans="1:20" x14ac:dyDescent="0.25">
      <c r="A293" t="str">
        <f>_xll.BDP("016332DN Muni","ID_CUSIP")</f>
        <v>016332DN5</v>
      </c>
      <c r="B293" t="s">
        <v>175</v>
      </c>
      <c r="C293" t="str">
        <f>_xll.BDP("016332DN Muni","INSURANCE_STATUS")</f>
        <v>Y</v>
      </c>
      <c r="D293" t="str">
        <f>_xll.BDP("016332DN Muni","STATE_CODE")</f>
        <v>PA</v>
      </c>
      <c r="E293" t="str">
        <f>_xll.BDP("016332DN Muni","COUNTY_LOCATION_ISSUER")</f>
        <v>Beaver, PA</v>
      </c>
      <c r="F293">
        <f>_xll.BDP("016332DN Muni","DUR_ADJ_MID")</f>
        <v>0.28522481214425877</v>
      </c>
      <c r="G293">
        <f>_xll.BDP("016332DN Muni","SPREAD_AT_ISSUANCE_TO_WORST")</f>
        <v>42.155890410958904</v>
      </c>
      <c r="H293" t="str">
        <f>_xll.BDP("016332DN Muni","ISSUE_DT")</f>
        <v>11/15/2017</v>
      </c>
      <c r="I293" t="str">
        <f>_xll.BDS("016332DN Muni","MUNI_PURPOSE_SCHED", "aggregate=y")</f>
        <v>WATER UTILITY IMPS. ADVANCE REFUNDING CURRENT REFUNDING</v>
      </c>
      <c r="J293">
        <f>_xll.BDP("016332DN Muni","CPN")</f>
        <v>2</v>
      </c>
      <c r="K293" t="str">
        <f>_xll.BDP("016332DN Muni","MATURITY")</f>
        <v>11/15/2022</v>
      </c>
      <c r="L293">
        <v>450000</v>
      </c>
      <c r="M293">
        <f>_xll.BDP("016332DN Muni","YIELD_ON_ISSUE_DATE")</f>
        <v>1.8</v>
      </c>
      <c r="N293">
        <f>_xll.BDP("016332DN Muni","YTW_SPREAD_TO_MATURITY_AT_ISSU")</f>
        <v>42.155890410958904</v>
      </c>
      <c r="O293" t="str">
        <f>_xll.BDP("016332DN Muni","BVAL_MID_YTM")</f>
        <v>#N/A Authorization</v>
      </c>
      <c r="P293" t="str">
        <f>_xll.BDP("016332DN Muni","MUNI_TAX_PROV")</f>
        <v>FED BQ/ST TAX-EXEMPT</v>
      </c>
      <c r="Q293" t="str">
        <f>_xll.BDP("016332DN Muni","MUNI_FED_TAX")</f>
        <v>N</v>
      </c>
      <c r="R293" t="str">
        <f>_xll.BDP("016332DN Muni","MUNI_MSRB_VOLUME")</f>
        <v>#N/A N/A</v>
      </c>
      <c r="S293" t="str">
        <f>_xll.BDP("016332DN Muni","BB_COMPOSITE")</f>
        <v>#N/A N/A</v>
      </c>
      <c r="T293">
        <f>_xll.BDP("016332DN Muni","LQA_LIQUIDITY_SCORE")</f>
        <v>28</v>
      </c>
    </row>
    <row r="294" spans="1:20" x14ac:dyDescent="0.25">
      <c r="A294" t="str">
        <f>_xll.BDP("016332DP Muni","ID_CUSIP")</f>
        <v>016332DP0</v>
      </c>
      <c r="B294" t="s">
        <v>175</v>
      </c>
      <c r="C294" t="str">
        <f>_xll.BDP("016332DP Muni","INSURANCE_STATUS")</f>
        <v>Y</v>
      </c>
      <c r="D294" t="str">
        <f>_xll.BDP("016332DP Muni","STATE_CODE")</f>
        <v>PA</v>
      </c>
      <c r="E294" t="str">
        <f>_xll.BDP("016332DP Muni","COUNTY_LOCATION_ISSUER")</f>
        <v>Beaver, PA</v>
      </c>
      <c r="F294">
        <f>_xll.BDP("016332DP Muni","DUR_ADJ_MID")</f>
        <v>0.28522474348442123</v>
      </c>
      <c r="G294">
        <f>_xll.BDP("016332DP Muni","SPREAD_AT_ISSUANCE_TO_WORST")</f>
        <v>42.155890410958904</v>
      </c>
      <c r="H294" t="str">
        <f>_xll.BDP("016332DP Muni","ISSUE_DT")</f>
        <v>11/15/2017</v>
      </c>
      <c r="I294" t="str">
        <f>_xll.BDS("016332DP Muni","MUNI_PURPOSE_SCHED", "aggregate=y")</f>
        <v>WATER UTILITY IMPS. ADVANCE REFUNDING CURRENT REFUNDING</v>
      </c>
      <c r="J294">
        <f>_xll.BDP("016332DP Muni","CPN")</f>
        <v>4</v>
      </c>
      <c r="K294" t="str">
        <f>_xll.BDP("016332DP Muni","MATURITY")</f>
        <v>11/15/2022</v>
      </c>
      <c r="L294">
        <v>510000</v>
      </c>
      <c r="M294">
        <f>_xll.BDP("016332DP Muni","YIELD_ON_ISSUE_DATE")</f>
        <v>1.8</v>
      </c>
      <c r="N294">
        <f>_xll.BDP("016332DP Muni","YTW_SPREAD_TO_MATURITY_AT_ISSU")</f>
        <v>42.155890410958904</v>
      </c>
      <c r="O294" t="str">
        <f>_xll.BDP("016332DP Muni","BVAL_MID_YTM")</f>
        <v>#N/A Authorization</v>
      </c>
      <c r="P294" t="str">
        <f>_xll.BDP("016332DP Muni","MUNI_TAX_PROV")</f>
        <v>FED BQ/ST TAX-EXEMPT</v>
      </c>
      <c r="Q294" t="str">
        <f>_xll.BDP("016332DP Muni","MUNI_FED_TAX")</f>
        <v>N</v>
      </c>
      <c r="R294" t="str">
        <f>_xll.BDP("016332DP Muni","MUNI_MSRB_VOLUME")</f>
        <v>#N/A N/A</v>
      </c>
      <c r="S294" t="str">
        <f>_xll.BDP("016332DP Muni","BB_COMPOSITE")</f>
        <v>#N/A N/A</v>
      </c>
      <c r="T294">
        <f>_xll.BDP("016332DP Muni","LQA_LIQUIDITY_SCORE")</f>
        <v>82</v>
      </c>
    </row>
    <row r="295" spans="1:20" x14ac:dyDescent="0.25">
      <c r="A295" t="str">
        <f>_xll.BDP("035393FP Muni","ID_CUSIP")</f>
        <v>035393FP7</v>
      </c>
      <c r="B295" t="s">
        <v>176</v>
      </c>
      <c r="C295" t="str">
        <f>_xll.BDP("035393FP Muni","INSURANCE_STATUS")</f>
        <v>N</v>
      </c>
      <c r="D295" t="str">
        <f>_xll.BDP("035393FP Muni","STATE_CODE")</f>
        <v>IA</v>
      </c>
      <c r="E295" t="str">
        <f>_xll.BDP("035393FP Muni","COUNTY_LOCATION_ISSUER")</f>
        <v>Polk, IA</v>
      </c>
      <c r="F295">
        <f>_xll.BDP("035393FP Muni","DUR_ADJ_MID")</f>
        <v>0.81488614091351119</v>
      </c>
      <c r="G295">
        <f>_xll.BDP("035393FP Muni","SPREAD_AT_ISSUANCE_TO_WORST")</f>
        <v>18.008478940407869</v>
      </c>
      <c r="H295" t="str">
        <f>_xll.BDP("035393FP Muni","ISSUE_DT")</f>
        <v>5/31/2017</v>
      </c>
      <c r="I295" t="str">
        <f>_xll.BDS("035393FP Muni","MUNI_PURPOSE_SCHED", "aggregate=y")</f>
        <v>WATER UTILITY IMPS.</v>
      </c>
      <c r="J295">
        <f>_xll.BDP("035393FP Muni","CPN")</f>
        <v>4</v>
      </c>
      <c r="K295" t="str">
        <f>_xll.BDP("035393FP Muni","MATURITY")</f>
        <v>6/1/2023</v>
      </c>
      <c r="L295">
        <v>130000</v>
      </c>
      <c r="M295">
        <f>_xll.BDP("035393FP Muni","YIELD_ON_ISSUE_DATE")</f>
        <v>1.74</v>
      </c>
      <c r="N295">
        <f>_xll.BDP("035393FP Muni","YTW_SPREAD_TO_MATURITY_AT_ISSU")</f>
        <v>18.008478940407869</v>
      </c>
      <c r="O295" t="str">
        <f>_xll.BDP("035393FP Muni","BVAL_MID_YTM")</f>
        <v>#N/A Authorization</v>
      </c>
      <c r="P295" t="str">
        <f>_xll.BDP("035393FP Muni","MUNI_TAX_PROV")</f>
        <v>FED TAX-EXEMPT/ST TAXABLE</v>
      </c>
      <c r="Q295" t="str">
        <f>_xll.BDP("035393FP Muni","MUNI_FED_TAX")</f>
        <v>N</v>
      </c>
      <c r="R295" t="str">
        <f>_xll.BDP("035393FP Muni","MUNI_MSRB_VOLUME")</f>
        <v>#N/A N/A</v>
      </c>
      <c r="S295" t="str">
        <f>_xll.BDP("035393FP Muni","BB_COMPOSITE")</f>
        <v>#N/A N/A</v>
      </c>
      <c r="T295">
        <f>_xll.BDP("035393FP Muni","LQA_LIQUIDITY_SCORE")</f>
        <v>84</v>
      </c>
    </row>
    <row r="296" spans="1:20" x14ac:dyDescent="0.25">
      <c r="A296" t="str">
        <f>_xll.BDP("035393FQ Muni","ID_CUSIP")</f>
        <v>035393FQ5</v>
      </c>
      <c r="B296" t="s">
        <v>176</v>
      </c>
      <c r="C296" t="str">
        <f>_xll.BDP("035393FQ Muni","INSURANCE_STATUS")</f>
        <v>N</v>
      </c>
      <c r="D296" t="str">
        <f>_xll.BDP("035393FQ Muni","STATE_CODE")</f>
        <v>IA</v>
      </c>
      <c r="E296" t="str">
        <f>_xll.BDP("035393FQ Muni","COUNTY_LOCATION_ISSUER")</f>
        <v>Polk, IA</v>
      </c>
      <c r="F296">
        <f>_xll.BDP("035393FQ Muni","DUR_ADJ_MID")</f>
        <v>1.7579570308189976</v>
      </c>
      <c r="G296">
        <f>_xll.BDP("035393FQ Muni","SPREAD_AT_ISSUANCE_TO_WORST")</f>
        <v>19.924034468305528</v>
      </c>
      <c r="H296" t="str">
        <f>_xll.BDP("035393FQ Muni","ISSUE_DT")</f>
        <v>5/31/2017</v>
      </c>
      <c r="I296" t="str">
        <f>_xll.BDS("035393FQ Muni","MUNI_PURPOSE_SCHED", "aggregate=y")</f>
        <v>WATER UTILITY IMPS.</v>
      </c>
      <c r="J296">
        <f>_xll.BDP("035393FQ Muni","CPN")</f>
        <v>4</v>
      </c>
      <c r="K296" t="str">
        <f>_xll.BDP("035393FQ Muni","MATURITY")</f>
        <v>6/1/2024</v>
      </c>
      <c r="L296">
        <v>135000</v>
      </c>
      <c r="M296">
        <f>_xll.BDP("035393FQ Muni","YIELD_ON_ISSUE_DATE")</f>
        <v>1.92</v>
      </c>
      <c r="N296">
        <f>_xll.BDP("035393FQ Muni","YTW_SPREAD_TO_MATURITY_AT_ISSU")</f>
        <v>19.924034468305528</v>
      </c>
      <c r="O296" t="str">
        <f>_xll.BDP("035393FQ Muni","BVAL_MID_YTM")</f>
        <v>#N/A Authorization</v>
      </c>
      <c r="P296" t="str">
        <f>_xll.BDP("035393FQ Muni","MUNI_TAX_PROV")</f>
        <v>FED TAX-EXEMPT/ST TAXABLE</v>
      </c>
      <c r="Q296" t="str">
        <f>_xll.BDP("035393FQ Muni","MUNI_FED_TAX")</f>
        <v>N</v>
      </c>
      <c r="R296" t="str">
        <f>_xll.BDP("035393FQ Muni","MUNI_MSRB_VOLUME")</f>
        <v>#N/A N/A</v>
      </c>
      <c r="S296" t="str">
        <f>_xll.BDP("035393FQ Muni","BB_COMPOSITE")</f>
        <v>#N/A N/A</v>
      </c>
      <c r="T296">
        <f>_xll.BDP("035393FQ Muni","LQA_LIQUIDITY_SCORE")</f>
        <v>76</v>
      </c>
    </row>
    <row r="297" spans="1:20" x14ac:dyDescent="0.25">
      <c r="A297" t="str">
        <f>_xll.BDP("035393FR Muni","ID_CUSIP")</f>
        <v>035393FR3</v>
      </c>
      <c r="B297" t="s">
        <v>176</v>
      </c>
      <c r="C297" t="str">
        <f>_xll.BDP("035393FR Muni","INSURANCE_STATUS")</f>
        <v>N</v>
      </c>
      <c r="D297" t="str">
        <f>_xll.BDP("035393FR Muni","STATE_CODE")</f>
        <v>IA</v>
      </c>
      <c r="E297" t="str">
        <f>_xll.BDP("035393FR Muni","COUNTY_LOCATION_ISSUER")</f>
        <v>Polk, IA</v>
      </c>
      <c r="F297">
        <f>_xll.BDP("035393FR Muni","DUR_ADJ_MID")</f>
        <v>2.6664240980692835</v>
      </c>
      <c r="G297">
        <f>_xll.BDP("035393FR Muni","SPREAD_AT_ISSUANCE_TO_WORST")</f>
        <v>26.040434258766652</v>
      </c>
      <c r="H297" t="str">
        <f>_xll.BDP("035393FR Muni","ISSUE_DT")</f>
        <v>5/31/2017</v>
      </c>
      <c r="I297" t="str">
        <f>_xll.BDS("035393FR Muni","MUNI_PURPOSE_SCHED", "aggregate=y")</f>
        <v>WATER UTILITY IMPS.</v>
      </c>
      <c r="J297">
        <f>_xll.BDP("035393FR Muni","CPN")</f>
        <v>4</v>
      </c>
      <c r="K297" t="str">
        <f>_xll.BDP("035393FR Muni","MATURITY")</f>
        <v>6/1/2025</v>
      </c>
      <c r="L297">
        <v>145000</v>
      </c>
      <c r="M297">
        <f>_xll.BDP("035393FR Muni","YIELD_ON_ISSUE_DATE")</f>
        <v>2.14</v>
      </c>
      <c r="N297">
        <f>_xll.BDP("035393FR Muni","YTW_SPREAD_TO_MATURITY_AT_ISSU")</f>
        <v>26.040434258766652</v>
      </c>
      <c r="O297" t="str">
        <f>_xll.BDP("035393FR Muni","BVAL_MID_YTM")</f>
        <v>#N/A Authorization</v>
      </c>
      <c r="P297" t="str">
        <f>_xll.BDP("035393FR Muni","MUNI_TAX_PROV")</f>
        <v>FED TAX-EXEMPT/ST TAXABLE</v>
      </c>
      <c r="Q297" t="str">
        <f>_xll.BDP("035393FR Muni","MUNI_FED_TAX")</f>
        <v>N</v>
      </c>
      <c r="R297" t="str">
        <f>_xll.BDP("035393FR Muni","MUNI_MSRB_VOLUME")</f>
        <v>#N/A N/A</v>
      </c>
      <c r="S297" t="str">
        <f>_xll.BDP("035393FR Muni","BB_COMPOSITE")</f>
        <v>#N/A N/A</v>
      </c>
      <c r="T297">
        <f>_xll.BDP("035393FR Muni","LQA_LIQUIDITY_SCORE")</f>
        <v>65</v>
      </c>
    </row>
    <row r="298" spans="1:20" x14ac:dyDescent="0.25">
      <c r="A298" t="str">
        <f>_xll.BDP("03588HRP Muni","ID_CUSIP")</f>
        <v>03588HRP3</v>
      </c>
      <c r="B298" t="s">
        <v>36</v>
      </c>
      <c r="C298" t="str">
        <f>_xll.BDP("03588HRP Muni","INSURANCE_STATUS")</f>
        <v>N</v>
      </c>
      <c r="D298" t="str">
        <f>_xll.BDP("03588HRP Muni","STATE_CODE")</f>
        <v>MD</v>
      </c>
      <c r="E298" t="str">
        <f>_xll.BDP("03588HRP Muni","COUNTY_LOCATION_ISSUER")</f>
        <v>Anne Arundel, MD</v>
      </c>
      <c r="F298">
        <f>_xll.BDP("03588HRP Muni","DUR_ADJ_MID")</f>
        <v>0.16365625553853094</v>
      </c>
      <c r="G298">
        <f>_xll.BDP("03588HRP Muni","SPREAD_AT_ISSUANCE_TO_WORST")</f>
        <v>9.9724892842371524</v>
      </c>
      <c r="H298" t="str">
        <f>_xll.BDP("03588HRP Muni","ISSUE_DT")</f>
        <v>4/12/2017</v>
      </c>
      <c r="I298" t="str">
        <f>_xll.BDS("03588HRP Muni","MUNI_PURPOSE_SCHED", "aggregate=y")</f>
        <v>WATER UTILITY IMPS. SEWER IMPS.</v>
      </c>
      <c r="J298">
        <f>_xll.BDP("03588HRP Muni","CPN")</f>
        <v>5</v>
      </c>
      <c r="K298" t="str">
        <f>_xll.BDP("03588HRP Muni","MATURITY")</f>
        <v>10/1/2022</v>
      </c>
      <c r="L298">
        <v>2125000</v>
      </c>
      <c r="M298">
        <f>_xll.BDP("03588HRP Muni","YIELD_ON_ISSUE_DATE")</f>
        <v>1.71</v>
      </c>
      <c r="N298">
        <f>_xll.BDP("03588HRP Muni","YTW_SPREAD_TO_MATURITY_AT_ISSU")</f>
        <v>9.9724892842371524</v>
      </c>
      <c r="O298" t="str">
        <f>_xll.BDP("03588HRP Muni","BVAL_MID_YTM")</f>
        <v>#N/A Authorization</v>
      </c>
      <c r="P298" t="str">
        <f>_xll.BDP("03588HRP Muni","MUNI_TAX_PROV")</f>
        <v>FED &amp; ST TAX-EXEMPT</v>
      </c>
      <c r="Q298" t="str">
        <f>_xll.BDP("03588HRP Muni","MUNI_FED_TAX")</f>
        <v>N</v>
      </c>
      <c r="R298" t="str">
        <f>_xll.BDP("03588HRP Muni","MUNI_MSRB_VOLUME")</f>
        <v>#N/A N/A</v>
      </c>
      <c r="S298" t="str">
        <f>_xll.BDP("03588HRP Muni","BB_COMPOSITE")</f>
        <v>AAA</v>
      </c>
      <c r="T298">
        <f>_xll.BDP("03588HRP Muni","LQA_LIQUIDITY_SCORE")</f>
        <v>95</v>
      </c>
    </row>
    <row r="299" spans="1:20" x14ac:dyDescent="0.25">
      <c r="A299" t="str">
        <f>_xll.BDP("03588HRQ Muni","ID_CUSIP")</f>
        <v>03588HRQ1</v>
      </c>
      <c r="B299" t="s">
        <v>36</v>
      </c>
      <c r="C299" t="str">
        <f>_xll.BDP("03588HRQ Muni","INSURANCE_STATUS")</f>
        <v>N</v>
      </c>
      <c r="D299" t="str">
        <f>_xll.BDP("03588HRQ Muni","STATE_CODE")</f>
        <v>MD</v>
      </c>
      <c r="E299" t="str">
        <f>_xll.BDP("03588HRQ Muni","COUNTY_LOCATION_ISSUER")</f>
        <v>Anne Arundel, MD</v>
      </c>
      <c r="F299">
        <f>_xll.BDP("03588HRQ Muni","DUR_ADJ_MID")</f>
        <v>1.1204379990407936</v>
      </c>
      <c r="G299">
        <f>_xll.BDP("03588HRQ Muni","SPREAD_AT_ISSUANCE_TO_WORST")</f>
        <v>9.1238516423521645</v>
      </c>
      <c r="H299" t="str">
        <f>_xll.BDP("03588HRQ Muni","ISSUE_DT")</f>
        <v>4/12/2017</v>
      </c>
      <c r="I299" t="str">
        <f>_xll.BDS("03588HRQ Muni","MUNI_PURPOSE_SCHED", "aggregate=y")</f>
        <v>WATER UTILITY IMPS. SEWER IMPS.</v>
      </c>
      <c r="J299">
        <f>_xll.BDP("03588HRQ Muni","CPN")</f>
        <v>5</v>
      </c>
      <c r="K299" t="str">
        <f>_xll.BDP("03588HRQ Muni","MATURITY")</f>
        <v>10/1/2023</v>
      </c>
      <c r="L299">
        <v>2125000</v>
      </c>
      <c r="M299">
        <f>_xll.BDP("03588HRQ Muni","YIELD_ON_ISSUE_DATE")</f>
        <v>1.87</v>
      </c>
      <c r="N299">
        <f>_xll.BDP("03588HRQ Muni","YTW_SPREAD_TO_MATURITY_AT_ISSU")</f>
        <v>9.1238516423521645</v>
      </c>
      <c r="O299" t="str">
        <f>_xll.BDP("03588HRQ Muni","BVAL_MID_YTM")</f>
        <v>#N/A Authorization</v>
      </c>
      <c r="P299" t="str">
        <f>_xll.BDP("03588HRQ Muni","MUNI_TAX_PROV")</f>
        <v>FED &amp; ST TAX-EXEMPT</v>
      </c>
      <c r="Q299" t="str">
        <f>_xll.BDP("03588HRQ Muni","MUNI_FED_TAX")</f>
        <v>N</v>
      </c>
      <c r="R299">
        <f>_xll.BDP("03588HRQ Muni","MUNI_MSRB_VOLUME")</f>
        <v>6375000</v>
      </c>
      <c r="S299" t="str">
        <f>_xll.BDP("03588HRQ Muni","BB_COMPOSITE")</f>
        <v>AAA</v>
      </c>
      <c r="T299">
        <f>_xll.BDP("03588HRQ Muni","LQA_LIQUIDITY_SCORE")</f>
        <v>92</v>
      </c>
    </row>
    <row r="300" spans="1:20" x14ac:dyDescent="0.25">
      <c r="A300" t="str">
        <f>_xll.BDP("03588HRS Muni","ID_CUSIP")</f>
        <v>03588HRS7</v>
      </c>
      <c r="B300" t="s">
        <v>36</v>
      </c>
      <c r="C300" t="str">
        <f>_xll.BDP("03588HRS Muni","INSURANCE_STATUS")</f>
        <v>N</v>
      </c>
      <c r="D300" t="str">
        <f>_xll.BDP("03588HRS Muni","STATE_CODE")</f>
        <v>MD</v>
      </c>
      <c r="E300" t="str">
        <f>_xll.BDP("03588HRS Muni","COUNTY_LOCATION_ISSUER")</f>
        <v>Anne Arundel, MD</v>
      </c>
      <c r="F300">
        <f>_xll.BDP("03588HRS Muni","DUR_ADJ_MID")</f>
        <v>2.9081813192549748</v>
      </c>
      <c r="G300">
        <f>_xll.BDP("03588HRS Muni","SPREAD_AT_ISSUANCE_TO_WORST")</f>
        <v>3.4992580369040738</v>
      </c>
      <c r="H300" t="str">
        <f>_xll.BDP("03588HRS Muni","ISSUE_DT")</f>
        <v>4/12/2017</v>
      </c>
      <c r="I300" t="str">
        <f>_xll.BDS("03588HRS Muni","MUNI_PURPOSE_SCHED", "aggregate=y")</f>
        <v>WATER UTILITY IMPS. SEWER IMPS.</v>
      </c>
      <c r="J300">
        <f>_xll.BDP("03588HRS Muni","CPN")</f>
        <v>5</v>
      </c>
      <c r="K300" t="str">
        <f>_xll.BDP("03588HRS Muni","MATURITY")</f>
        <v>10/1/2025</v>
      </c>
      <c r="L300">
        <v>2125000</v>
      </c>
      <c r="M300">
        <f>_xll.BDP("03588HRS Muni","YIELD_ON_ISSUE_DATE")</f>
        <v>2.13</v>
      </c>
      <c r="N300">
        <f>_xll.BDP("03588HRS Muni","YTW_SPREAD_TO_MATURITY_AT_ISSU")</f>
        <v>3.4992580369040738</v>
      </c>
      <c r="O300" t="str">
        <f>_xll.BDP("03588HRS Muni","BVAL_MID_YTM")</f>
        <v>#N/A Authorization</v>
      </c>
      <c r="P300" t="str">
        <f>_xll.BDP("03588HRS Muni","MUNI_TAX_PROV")</f>
        <v>FED &amp; ST TAX-EXEMPT</v>
      </c>
      <c r="Q300" t="str">
        <f>_xll.BDP("03588HRS Muni","MUNI_FED_TAX")</f>
        <v>N</v>
      </c>
      <c r="R300" t="str">
        <f>_xll.BDP("03588HRS Muni","MUNI_MSRB_VOLUME")</f>
        <v>#N/A N/A</v>
      </c>
      <c r="S300" t="str">
        <f>_xll.BDP("03588HRS Muni","BB_COMPOSITE")</f>
        <v>AAA</v>
      </c>
      <c r="T300">
        <f>_xll.BDP("03588HRS Muni","LQA_LIQUIDITY_SCORE")</f>
        <v>84</v>
      </c>
    </row>
    <row r="301" spans="1:20" x14ac:dyDescent="0.25">
      <c r="A301" t="str">
        <f>_xll.BDP("041042C5 Muni","ID_CUSIP")</f>
        <v>041042C59</v>
      </c>
      <c r="B301" t="s">
        <v>119</v>
      </c>
      <c r="C301" t="str">
        <f>_xll.BDP("041042C5 Muni","INSURANCE_STATUS")</f>
        <v>N</v>
      </c>
      <c r="D301" t="str">
        <f>_xll.BDP("041042C5 Muni","STATE_CODE")</f>
        <v>AR</v>
      </c>
      <c r="E301" t="str">
        <f>_xll.BDP("041042C5 Muni","COUNTY_LOCATION_ISSUER")</f>
        <v>Pulaski, AR</v>
      </c>
      <c r="F301">
        <f>_xll.BDP("041042C5 Muni","DUR_ADJ_MID")</f>
        <v>0.89490582271921992</v>
      </c>
      <c r="G301">
        <f>_xll.BDP("041042C5 Muni","SPREAD_AT_ISSUANCE_TO_WORST")</f>
        <v>24.590297462380306</v>
      </c>
      <c r="H301" t="str">
        <f>_xll.BDP("041042C5 Muni","ISSUE_DT")</f>
        <v>6/8/2017</v>
      </c>
      <c r="I301" t="str">
        <f>_xll.BDS("041042C5 Muni","MUNI_PURPOSE_SCHED", "aggregate=y")</f>
        <v>GREEN PURPOSE WATER UTILITY IMPS. SEWER IMPS.</v>
      </c>
      <c r="J301">
        <f>_xll.BDP("041042C5 Muni","CPN")</f>
        <v>2.2000000000000002</v>
      </c>
      <c r="K301" t="str">
        <f>_xll.BDP("041042C5 Muni","MATURITY")</f>
        <v>7/1/2023</v>
      </c>
      <c r="L301">
        <v>2010000</v>
      </c>
      <c r="M301">
        <f>_xll.BDP("041042C5 Muni","YIELD_ON_ISSUE_DATE")</f>
        <v>2.2000000000000002</v>
      </c>
      <c r="N301">
        <f>_xll.BDP("041042C5 Muni","YTW_SPREAD_TO_MATURITY_AT_ISSU")</f>
        <v>24.590297462380306</v>
      </c>
      <c r="O301" t="str">
        <f>_xll.BDP("041042C5 Muni","BVAL_MID_YTM")</f>
        <v>#N/A Authorization</v>
      </c>
      <c r="P301" t="str">
        <f>_xll.BDP("041042C5 Muni","MUNI_TAX_PROV")</f>
        <v>FED TAXABLE/ST TAX-EXEMPT</v>
      </c>
      <c r="Q301" t="str">
        <f>_xll.BDP("041042C5 Muni","MUNI_FED_TAX")</f>
        <v>Y</v>
      </c>
      <c r="R301" t="str">
        <f>_xll.BDP("041042C5 Muni","MUNI_MSRB_VOLUME")</f>
        <v>#N/A N/A</v>
      </c>
      <c r="S301" t="str">
        <f>_xll.BDP("041042C5 Muni","BB_COMPOSITE")</f>
        <v>AA</v>
      </c>
      <c r="T301">
        <f>_xll.BDP("041042C5 Muni","LQA_LIQUIDITY_SCORE")</f>
        <v>87</v>
      </c>
    </row>
    <row r="302" spans="1:20" x14ac:dyDescent="0.25">
      <c r="A302" t="str">
        <f>_xll.BDP("041042C7 Muni","ID_CUSIP")</f>
        <v>041042C75</v>
      </c>
      <c r="B302" t="s">
        <v>119</v>
      </c>
      <c r="C302" t="str">
        <f>_xll.BDP("041042C7 Muni","INSURANCE_STATUS")</f>
        <v>N</v>
      </c>
      <c r="D302" t="str">
        <f>_xll.BDP("041042C7 Muni","STATE_CODE")</f>
        <v>AR</v>
      </c>
      <c r="E302" t="str">
        <f>_xll.BDP("041042C7 Muni","COUNTY_LOCATION_ISSUER")</f>
        <v>Pulaski, AR</v>
      </c>
      <c r="F302">
        <f>_xll.BDP("041042C7 Muni","DUR_ADJ_MID")</f>
        <v>2.7785389220533263</v>
      </c>
      <c r="G302">
        <f>_xll.BDP("041042C7 Muni","SPREAD_AT_ISSUANCE_TO_WORST")</f>
        <v>36.25117309009007</v>
      </c>
      <c r="H302" t="str">
        <f>_xll.BDP("041042C7 Muni","ISSUE_DT")</f>
        <v>6/8/2017</v>
      </c>
      <c r="I302" t="str">
        <f>_xll.BDS("041042C7 Muni","MUNI_PURPOSE_SCHED", "aggregate=y")</f>
        <v>GREEN PURPOSE WATER UTILITY IMPS. SEWER IMPS.</v>
      </c>
      <c r="J302">
        <f>_xll.BDP("041042C7 Muni","CPN")</f>
        <v>2.5</v>
      </c>
      <c r="K302" t="str">
        <f>_xll.BDP("041042C7 Muni","MATURITY")</f>
        <v>7/1/2025</v>
      </c>
      <c r="L302">
        <v>2105000</v>
      </c>
      <c r="M302">
        <f>_xll.BDP("041042C7 Muni","YIELD_ON_ISSUE_DATE")</f>
        <v>2.5</v>
      </c>
      <c r="N302">
        <f>_xll.BDP("041042C7 Muni","YTW_SPREAD_TO_MATURITY_AT_ISSU")</f>
        <v>36.25117309009007</v>
      </c>
      <c r="O302" t="str">
        <f>_xll.BDP("041042C7 Muni","BVAL_MID_YTM")</f>
        <v>#N/A Authorization</v>
      </c>
      <c r="P302" t="str">
        <f>_xll.BDP("041042C7 Muni","MUNI_TAX_PROV")</f>
        <v>FED TAXABLE/ST TAX-EXEMPT</v>
      </c>
      <c r="Q302" t="str">
        <f>_xll.BDP("041042C7 Muni","MUNI_FED_TAX")</f>
        <v>Y</v>
      </c>
      <c r="R302" t="str">
        <f>_xll.BDP("041042C7 Muni","MUNI_MSRB_VOLUME")</f>
        <v>#N/A N/A</v>
      </c>
      <c r="S302" t="str">
        <f>_xll.BDP("041042C7 Muni","BB_COMPOSITE")</f>
        <v>AA</v>
      </c>
      <c r="T302">
        <f>_xll.BDP("041042C7 Muni","LQA_LIQUIDITY_SCORE")</f>
        <v>65</v>
      </c>
    </row>
    <row r="303" spans="1:20" x14ac:dyDescent="0.25">
      <c r="A303" t="str">
        <f>_xll.BDP("041042C9 Muni","ID_CUSIP")</f>
        <v>041042C91</v>
      </c>
      <c r="B303" t="s">
        <v>119</v>
      </c>
      <c r="C303" t="str">
        <f>_xll.BDP("041042C9 Muni","INSURANCE_STATUS")</f>
        <v>N</v>
      </c>
      <c r="D303" t="str">
        <f>_xll.BDP("041042C9 Muni","STATE_CODE")</f>
        <v>AR</v>
      </c>
      <c r="E303" t="str">
        <f>_xll.BDP("041042C9 Muni","COUNTY_LOCATION_ISSUER")</f>
        <v>Pulaski, AR</v>
      </c>
      <c r="F303">
        <f>_xll.BDP("041042C9 Muni","DUR_ADJ_MID")</f>
        <v>4.5352484423515689</v>
      </c>
      <c r="G303">
        <f>_xll.BDP("041042C9 Muni","SPREAD_AT_ISSUANCE_TO_WORST")</f>
        <v>54.116990921971244</v>
      </c>
      <c r="H303" t="str">
        <f>_xll.BDP("041042C9 Muni","ISSUE_DT")</f>
        <v>6/8/2017</v>
      </c>
      <c r="I303" t="str">
        <f>_xll.BDS("041042C9 Muni","MUNI_PURPOSE_SCHED", "aggregate=y")</f>
        <v>GREEN PURPOSE WATER UTILITY IMPS. SEWER IMPS.</v>
      </c>
      <c r="J303">
        <f>_xll.BDP("041042C9 Muni","CPN")</f>
        <v>2.8</v>
      </c>
      <c r="K303" t="str">
        <f>_xll.BDP("041042C9 Muni","MATURITY")</f>
        <v>7/1/2027</v>
      </c>
      <c r="L303">
        <v>2220000</v>
      </c>
      <c r="M303">
        <f>_xll.BDP("041042C9 Muni","YIELD_ON_ISSUE_DATE")</f>
        <v>2.8000000000000003</v>
      </c>
      <c r="N303">
        <f>_xll.BDP("041042C9 Muni","YTW_SPREAD_TO_MATURITY_AT_ISSU")</f>
        <v>54.116990921971244</v>
      </c>
      <c r="O303" t="str">
        <f>_xll.BDP("041042C9 Muni","BVAL_MID_YTM")</f>
        <v>#N/A Authorization</v>
      </c>
      <c r="P303" t="str">
        <f>_xll.BDP("041042C9 Muni","MUNI_TAX_PROV")</f>
        <v>FED TAXABLE/ST TAX-EXEMPT</v>
      </c>
      <c r="Q303" t="str">
        <f>_xll.BDP("041042C9 Muni","MUNI_FED_TAX")</f>
        <v>Y</v>
      </c>
      <c r="R303" t="str">
        <f>_xll.BDP("041042C9 Muni","MUNI_MSRB_VOLUME")</f>
        <v>#N/A N/A</v>
      </c>
      <c r="S303" t="str">
        <f>_xll.BDP("041042C9 Muni","BB_COMPOSITE")</f>
        <v>AA</v>
      </c>
      <c r="T303">
        <f>_xll.BDP("041042C9 Muni","LQA_LIQUIDITY_SCORE")</f>
        <v>53</v>
      </c>
    </row>
    <row r="304" spans="1:20" x14ac:dyDescent="0.25">
      <c r="A304" t="str">
        <f>_xll.BDP("086377DB Muni","ID_CUSIP")</f>
        <v>086377DB1</v>
      </c>
      <c r="B304" t="s">
        <v>140</v>
      </c>
      <c r="C304" t="str">
        <f>_xll.BDP("086377DB Muni","INSURANCE_STATUS")</f>
        <v>Y</v>
      </c>
      <c r="D304" t="str">
        <f>_xll.BDP("086377DB Muni","STATE_CODE")</f>
        <v>AL</v>
      </c>
      <c r="E304" t="str">
        <f>_xll.BDP("086377DB Muni","COUNTY_LOCATION_ISSUER")</f>
        <v>Jefferson, AL</v>
      </c>
      <c r="F304">
        <f>_xll.BDP("086377DB Muni","DUR_ADJ_MID")</f>
        <v>0.8126297475810933</v>
      </c>
      <c r="G304">
        <f>_xll.BDP("086377DB Muni","SPREAD_AT_ISSUANCE_TO_WORST")</f>
        <v>39.343199999999982</v>
      </c>
      <c r="H304" t="str">
        <f>_xll.BDP("086377DB Muni","ISSUE_DT")</f>
        <v>11/9/2017</v>
      </c>
      <c r="I304" t="str">
        <f>_xll.BDS("086377DB Muni","MUNI_PURPOSE_SCHED", "aggregate=y")</f>
        <v>REFUNDING BONDS WATER UTILITY IMPS.</v>
      </c>
      <c r="J304">
        <f>_xll.BDP("086377DB Muni","CPN")</f>
        <v>5</v>
      </c>
      <c r="K304" t="str">
        <f>_xll.BDP("086377DB Muni","MATURITY")</f>
        <v>6/1/2023</v>
      </c>
      <c r="L304">
        <v>1650000</v>
      </c>
      <c r="M304">
        <f>_xll.BDP("086377DB Muni","YIELD_ON_ISSUE_DATE")</f>
        <v>1.9000000000000001</v>
      </c>
      <c r="N304">
        <f>_xll.BDP("086377DB Muni","YTW_SPREAD_TO_MATURITY_AT_ISSU")</f>
        <v>39.343199999999982</v>
      </c>
      <c r="O304" t="str">
        <f>_xll.BDP("086377DB Muni","BVAL_MID_YTM")</f>
        <v>#N/A Authorization</v>
      </c>
      <c r="P304" t="str">
        <f>_xll.BDP("086377DB Muni","MUNI_TAX_PROV")</f>
        <v>FED &amp; ST TAX-EXEMPT</v>
      </c>
      <c r="Q304" t="str">
        <f>_xll.BDP("086377DB Muni","MUNI_FED_TAX")</f>
        <v>N</v>
      </c>
      <c r="R304">
        <f>_xll.BDP("086377DB Muni","MUNI_MSRB_VOLUME")</f>
        <v>120000</v>
      </c>
      <c r="S304" t="str">
        <f>_xll.BDP("086377DB Muni","BB_COMPOSITE")</f>
        <v>A+</v>
      </c>
      <c r="T304">
        <f>_xll.BDP("086377DB Muni","LQA_LIQUIDITY_SCORE")</f>
        <v>93</v>
      </c>
    </row>
    <row r="305" spans="1:20" x14ac:dyDescent="0.25">
      <c r="A305" t="str">
        <f>_xll.BDP("086377DC Muni","ID_CUSIP")</f>
        <v>086377DC9</v>
      </c>
      <c r="B305" t="s">
        <v>140</v>
      </c>
      <c r="C305" t="str">
        <f>_xll.BDP("086377DC Muni","INSURANCE_STATUS")</f>
        <v>Y</v>
      </c>
      <c r="D305" t="str">
        <f>_xll.BDP("086377DC Muni","STATE_CODE")</f>
        <v>AL</v>
      </c>
      <c r="E305" t="str">
        <f>_xll.BDP("086377DC Muni","COUNTY_LOCATION_ISSUER")</f>
        <v>Jefferson, AL</v>
      </c>
      <c r="F305">
        <f>_xll.BDP("086377DC Muni","DUR_ADJ_MID")</f>
        <v>1.7450616565340025</v>
      </c>
      <c r="G305">
        <f>_xll.BDP("086377DC Muni","SPREAD_AT_ISSUANCE_TO_WORST")</f>
        <v>40.631643835616437</v>
      </c>
      <c r="H305" t="str">
        <f>_xll.BDP("086377DC Muni","ISSUE_DT")</f>
        <v>11/9/2017</v>
      </c>
      <c r="I305" t="str">
        <f>_xll.BDS("086377DC Muni","MUNI_PURPOSE_SCHED", "aggregate=y")</f>
        <v>REFUNDING BONDS WATER UTILITY IMPS.</v>
      </c>
      <c r="J305">
        <f>_xll.BDP("086377DC Muni","CPN")</f>
        <v>5</v>
      </c>
      <c r="K305" t="str">
        <f>_xll.BDP("086377DC Muni","MATURITY")</f>
        <v>6/1/2024</v>
      </c>
      <c r="L305">
        <v>1730000</v>
      </c>
      <c r="M305">
        <f>_xll.BDP("086377DC Muni","YIELD_ON_ISSUE_DATE")</f>
        <v>2.04</v>
      </c>
      <c r="N305">
        <f>_xll.BDP("086377DC Muni","YTW_SPREAD_TO_MATURITY_AT_ISSU")</f>
        <v>40.631643835616437</v>
      </c>
      <c r="O305" t="str">
        <f>_xll.BDP("086377DC Muni","BVAL_MID_YTM")</f>
        <v>#N/A Authorization</v>
      </c>
      <c r="P305" t="str">
        <f>_xll.BDP("086377DC Muni","MUNI_TAX_PROV")</f>
        <v>FED &amp; ST TAX-EXEMPT</v>
      </c>
      <c r="Q305" t="str">
        <f>_xll.BDP("086377DC Muni","MUNI_FED_TAX")</f>
        <v>N</v>
      </c>
      <c r="R305" t="str">
        <f>_xll.BDP("086377DC Muni","MUNI_MSRB_VOLUME")</f>
        <v>#N/A N/A</v>
      </c>
      <c r="S305" t="str">
        <f>_xll.BDP("086377DC Muni","BB_COMPOSITE")</f>
        <v>A+</v>
      </c>
      <c r="T305">
        <f>_xll.BDP("086377DC Muni","LQA_LIQUIDITY_SCORE")</f>
        <v>85</v>
      </c>
    </row>
    <row r="306" spans="1:20" x14ac:dyDescent="0.25">
      <c r="A306" t="str">
        <f>_xll.BDP("086377DD Muni","ID_CUSIP")</f>
        <v>086377DD7</v>
      </c>
      <c r="B306" t="s">
        <v>140</v>
      </c>
      <c r="C306" t="str">
        <f>_xll.BDP("086377DD Muni","INSURANCE_STATUS")</f>
        <v>Y</v>
      </c>
      <c r="D306" t="str">
        <f>_xll.BDP("086377DD Muni","STATE_CODE")</f>
        <v>AL</v>
      </c>
      <c r="E306" t="str">
        <f>_xll.BDP("086377DD Muni","COUNTY_LOCATION_ISSUER")</f>
        <v>Jefferson, AL</v>
      </c>
      <c r="F306">
        <f>_xll.BDP("086377DD Muni","DUR_ADJ_MID")</f>
        <v>2.6361418113850448</v>
      </c>
      <c r="G306">
        <f>_xll.BDP("086377DD Muni","SPREAD_AT_ISSUANCE_TO_WORST")</f>
        <v>41.759863013698649</v>
      </c>
      <c r="H306" t="str">
        <f>_xll.BDP("086377DD Muni","ISSUE_DT")</f>
        <v>11/9/2017</v>
      </c>
      <c r="I306" t="str">
        <f>_xll.BDS("086377DD Muni","MUNI_PURPOSE_SCHED", "aggregate=y")</f>
        <v>REFUNDING BONDS WATER UTILITY IMPS.</v>
      </c>
      <c r="J306">
        <f>_xll.BDP("086377DD Muni","CPN")</f>
        <v>5</v>
      </c>
      <c r="K306" t="str">
        <f>_xll.BDP("086377DD Muni","MATURITY")</f>
        <v>6/1/2025</v>
      </c>
      <c r="L306">
        <v>1815000</v>
      </c>
      <c r="M306">
        <f>_xll.BDP("086377DD Muni","YIELD_ON_ISSUE_DATE")</f>
        <v>2.1800000000000002</v>
      </c>
      <c r="N306">
        <f>_xll.BDP("086377DD Muni","YTW_SPREAD_TO_MATURITY_AT_ISSU")</f>
        <v>41.759863013698649</v>
      </c>
      <c r="O306" t="str">
        <f>_xll.BDP("086377DD Muni","BVAL_MID_YTM")</f>
        <v>#N/A Authorization</v>
      </c>
      <c r="P306" t="str">
        <f>_xll.BDP("086377DD Muni","MUNI_TAX_PROV")</f>
        <v>FED &amp; ST TAX-EXEMPT</v>
      </c>
      <c r="Q306" t="str">
        <f>_xll.BDP("086377DD Muni","MUNI_FED_TAX")</f>
        <v>N</v>
      </c>
      <c r="R306" t="str">
        <f>_xll.BDP("086377DD Muni","MUNI_MSRB_VOLUME")</f>
        <v>#N/A N/A</v>
      </c>
      <c r="S306" t="str">
        <f>_xll.BDP("086377DD Muni","BB_COMPOSITE")</f>
        <v>A+</v>
      </c>
      <c r="T306">
        <f>_xll.BDP("086377DD Muni","LQA_LIQUIDITY_SCORE")</f>
        <v>78</v>
      </c>
    </row>
    <row r="307" spans="1:20" x14ac:dyDescent="0.25">
      <c r="A307" t="str">
        <f>_xll.BDP("086377DF Muni","ID_CUSIP")</f>
        <v>086377DF2</v>
      </c>
      <c r="B307" t="s">
        <v>140</v>
      </c>
      <c r="C307" t="str">
        <f>_xll.BDP("086377DF Muni","INSURANCE_STATUS")</f>
        <v>Y</v>
      </c>
      <c r="D307" t="str">
        <f>_xll.BDP("086377DF Muni","STATE_CODE")</f>
        <v>AL</v>
      </c>
      <c r="E307" t="str">
        <f>_xll.BDP("086377DF Muni","COUNTY_LOCATION_ISSUER")</f>
        <v>Jefferson, AL</v>
      </c>
      <c r="F307">
        <f>_xll.BDP("086377DF Muni","DUR_ADJ_MID")</f>
        <v>4.3063663353436752</v>
      </c>
      <c r="G307">
        <f>_xll.BDP("086377DF Muni","SPREAD_AT_ISSUANCE_TO_WORST")</f>
        <v>49.125013698630163</v>
      </c>
      <c r="H307" t="str">
        <f>_xll.BDP("086377DF Muni","ISSUE_DT")</f>
        <v>11/9/2017</v>
      </c>
      <c r="I307" t="str">
        <f>_xll.BDS("086377DF Muni","MUNI_PURPOSE_SCHED", "aggregate=y")</f>
        <v>REFUNDING BONDS WATER UTILITY IMPS.</v>
      </c>
      <c r="J307">
        <f>_xll.BDP("086377DF Muni","CPN")</f>
        <v>5</v>
      </c>
      <c r="K307" t="str">
        <f>_xll.BDP("086377DF Muni","MATURITY")</f>
        <v>6/1/2027</v>
      </c>
      <c r="L307">
        <v>2005000</v>
      </c>
      <c r="M307">
        <f>_xll.BDP("086377DF Muni","YIELD_ON_ISSUE_DATE")</f>
        <v>2.4700000000000002</v>
      </c>
      <c r="N307">
        <f>_xll.BDP("086377DF Muni","YTW_SPREAD_TO_MATURITY_AT_ISSU")</f>
        <v>49.125013698630163</v>
      </c>
      <c r="O307" t="str">
        <f>_xll.BDP("086377DF Muni","BVAL_MID_YTM")</f>
        <v>#N/A Authorization</v>
      </c>
      <c r="P307" t="str">
        <f>_xll.BDP("086377DF Muni","MUNI_TAX_PROV")</f>
        <v>FED &amp; ST TAX-EXEMPT</v>
      </c>
      <c r="Q307" t="str">
        <f>_xll.BDP("086377DF Muni","MUNI_FED_TAX")</f>
        <v>N</v>
      </c>
      <c r="R307">
        <f>_xll.BDP("086377DF Muni","MUNI_MSRB_VOLUME")</f>
        <v>60000</v>
      </c>
      <c r="S307" t="str">
        <f>_xll.BDP("086377DF Muni","BB_COMPOSITE")</f>
        <v>A+</v>
      </c>
      <c r="T307">
        <f>_xll.BDP("086377DF Muni","LQA_LIQUIDITY_SCORE")</f>
        <v>65</v>
      </c>
    </row>
    <row r="308" spans="1:20" x14ac:dyDescent="0.25">
      <c r="A308" t="str">
        <f>_xll.BDP("086419DQ Muni","ID_CUSIP")</f>
        <v>086419DQ8</v>
      </c>
      <c r="B308" t="s">
        <v>128</v>
      </c>
      <c r="C308" t="str">
        <f>_xll.BDP("086419DQ Muni","INSURANCE_STATUS")</f>
        <v>Y</v>
      </c>
      <c r="D308" t="str">
        <f>_xll.BDP("086419DQ Muni","STATE_CODE")</f>
        <v>AL</v>
      </c>
      <c r="E308" t="str">
        <f>_xll.BDP("086419DQ Muni","COUNTY_LOCATION_ISSUER")</f>
        <v>Jefferson, AL</v>
      </c>
      <c r="F308">
        <f>_xll.BDP("086419DQ Muni","DUR_ADJ_MID")</f>
        <v>0.41183804210143404</v>
      </c>
      <c r="G308">
        <f>_xll.BDP("086419DQ Muni","SPREAD_AT_ISSUANCE_TO_WORST")</f>
        <v>52.715443835616462</v>
      </c>
      <c r="H308" t="str">
        <f>_xll.BDP("086419DQ Muni","ISSUE_DT")</f>
        <v>12/28/2017</v>
      </c>
      <c r="I308" t="str">
        <f>_xll.BDS("086419DQ Muni","MUNI_PURPOSE_SCHED", "aggregate=y")</f>
        <v>WATER UTILITY IMPS. CURRENT REFUNDING</v>
      </c>
      <c r="J308">
        <f>_xll.BDP("086419DQ Muni","CPN")</f>
        <v>5</v>
      </c>
      <c r="K308" t="str">
        <f>_xll.BDP("086419DQ Muni","MATURITY")</f>
        <v>1/1/2023</v>
      </c>
      <c r="L308">
        <v>565000</v>
      </c>
      <c r="M308">
        <f>_xll.BDP("086419DQ Muni","YIELD_ON_ISSUE_DATE")</f>
        <v>2.2200000000000002</v>
      </c>
      <c r="N308">
        <f>_xll.BDP("086419DQ Muni","YTW_SPREAD_TO_MATURITY_AT_ISSU")</f>
        <v>52.715443835616462</v>
      </c>
      <c r="O308" t="str">
        <f>_xll.BDP("086419DQ Muni","BVAL_MID_YTM")</f>
        <v>#N/A Authorization</v>
      </c>
      <c r="P308" t="str">
        <f>_xll.BDP("086419DQ Muni","MUNI_TAX_PROV")</f>
        <v>FED &amp; ST TAX-EXEMPT</v>
      </c>
      <c r="Q308" t="str">
        <f>_xll.BDP("086419DQ Muni","MUNI_FED_TAX")</f>
        <v>N</v>
      </c>
      <c r="R308" t="str">
        <f>_xll.BDP("086419DQ Muni","MUNI_MSRB_VOLUME")</f>
        <v>#N/A N/A</v>
      </c>
      <c r="S308" t="str">
        <f>_xll.BDP("086419DQ Muni","BB_COMPOSITE")</f>
        <v>#N/A N/A</v>
      </c>
      <c r="T308">
        <f>_xll.BDP("086419DQ Muni","LQA_LIQUIDITY_SCORE")</f>
        <v>99</v>
      </c>
    </row>
    <row r="309" spans="1:20" x14ac:dyDescent="0.25">
      <c r="A309" t="str">
        <f>_xll.BDP("086419DR Muni","ID_CUSIP")</f>
        <v>086419DR6</v>
      </c>
      <c r="B309" t="s">
        <v>128</v>
      </c>
      <c r="C309" t="str">
        <f>_xll.BDP("086419DR Muni","INSURANCE_STATUS")</f>
        <v>Y</v>
      </c>
      <c r="D309" t="str">
        <f>_xll.BDP("086419DR Muni","STATE_CODE")</f>
        <v>AL</v>
      </c>
      <c r="E309" t="str">
        <f>_xll.BDP("086419DR Muni","COUNTY_LOCATION_ISSUER")</f>
        <v>Jefferson, AL</v>
      </c>
      <c r="F309">
        <f>_xll.BDP("086419DR Muni","DUR_ADJ_MID")</f>
        <v>1.3661608192950243</v>
      </c>
      <c r="G309">
        <f>_xll.BDP("086419DR Muni","SPREAD_AT_ISSUANCE_TO_WORST")</f>
        <v>58.92600547945208</v>
      </c>
      <c r="H309" t="str">
        <f>_xll.BDP("086419DR Muni","ISSUE_DT")</f>
        <v>12/28/2017</v>
      </c>
      <c r="I309" t="str">
        <f>_xll.BDS("086419DR Muni","MUNI_PURPOSE_SCHED", "aggregate=y")</f>
        <v>WATER UTILITY IMPS. CURRENT REFUNDING</v>
      </c>
      <c r="J309">
        <f>_xll.BDP("086419DR Muni","CPN")</f>
        <v>5</v>
      </c>
      <c r="K309" t="str">
        <f>_xll.BDP("086419DR Muni","MATURITY")</f>
        <v>1/1/2024</v>
      </c>
      <c r="L309">
        <v>595000</v>
      </c>
      <c r="M309">
        <f>_xll.BDP("086419DR Muni","YIELD_ON_ISSUE_DATE")</f>
        <v>2.35</v>
      </c>
      <c r="N309">
        <f>_xll.BDP("086419DR Muni","YTW_SPREAD_TO_MATURITY_AT_ISSU")</f>
        <v>58.92600547945208</v>
      </c>
      <c r="O309" t="str">
        <f>_xll.BDP("086419DR Muni","BVAL_MID_YTM")</f>
        <v>#N/A Authorization</v>
      </c>
      <c r="P309" t="str">
        <f>_xll.BDP("086419DR Muni","MUNI_TAX_PROV")</f>
        <v>FED &amp; ST TAX-EXEMPT</v>
      </c>
      <c r="Q309" t="str">
        <f>_xll.BDP("086419DR Muni","MUNI_FED_TAX")</f>
        <v>N</v>
      </c>
      <c r="R309">
        <f>_xll.BDP("086419DR Muni","MUNI_MSRB_VOLUME")</f>
        <v>30000</v>
      </c>
      <c r="S309" t="str">
        <f>_xll.BDP("086419DR Muni","BB_COMPOSITE")</f>
        <v>#N/A N/A</v>
      </c>
      <c r="T309">
        <f>_xll.BDP("086419DR Muni","LQA_LIQUIDITY_SCORE")</f>
        <v>90</v>
      </c>
    </row>
    <row r="310" spans="1:20" x14ac:dyDescent="0.25">
      <c r="A310" t="str">
        <f>_xll.BDP("086419DS Muni","ID_CUSIP")</f>
        <v>086419DS4</v>
      </c>
      <c r="B310" t="s">
        <v>128</v>
      </c>
      <c r="C310" t="str">
        <f>_xll.BDP("086419DS Muni","INSURANCE_STATUS")</f>
        <v>Y</v>
      </c>
      <c r="D310" t="str">
        <f>_xll.BDP("086419DS Muni","STATE_CODE")</f>
        <v>AL</v>
      </c>
      <c r="E310" t="str">
        <f>_xll.BDP("086419DS Muni","COUNTY_LOCATION_ISSUER")</f>
        <v>Jefferson, AL</v>
      </c>
      <c r="F310">
        <f>_xll.BDP("086419DS Muni","DUR_ADJ_MID")</f>
        <v>2.2768171188293613</v>
      </c>
      <c r="G310">
        <f>_xll.BDP("086419DS Muni","SPREAD_AT_ISSUANCE_TO_WORST")</f>
        <v>64.477054794520555</v>
      </c>
      <c r="H310" t="str">
        <f>_xll.BDP("086419DS Muni","ISSUE_DT")</f>
        <v>12/28/2017</v>
      </c>
      <c r="I310" t="str">
        <f>_xll.BDS("086419DS Muni","MUNI_PURPOSE_SCHED", "aggregate=y")</f>
        <v>WATER UTILITY IMPS. CURRENT REFUNDING</v>
      </c>
      <c r="J310">
        <f>_xll.BDP("086419DS Muni","CPN")</f>
        <v>5</v>
      </c>
      <c r="K310" t="str">
        <f>_xll.BDP("086419DS Muni","MATURITY")</f>
        <v>1/1/2025</v>
      </c>
      <c r="L310">
        <v>625000</v>
      </c>
      <c r="M310">
        <f>_xll.BDP("086419DS Muni","YIELD_ON_ISSUE_DATE")</f>
        <v>2.48</v>
      </c>
      <c r="N310">
        <f>_xll.BDP("086419DS Muni","YTW_SPREAD_TO_MATURITY_AT_ISSU")</f>
        <v>64.477054794520555</v>
      </c>
      <c r="O310" t="str">
        <f>_xll.BDP("086419DS Muni","BVAL_MID_YTM")</f>
        <v>#N/A Authorization</v>
      </c>
      <c r="P310" t="str">
        <f>_xll.BDP("086419DS Muni","MUNI_TAX_PROV")</f>
        <v>FED &amp; ST TAX-EXEMPT</v>
      </c>
      <c r="Q310" t="str">
        <f>_xll.BDP("086419DS Muni","MUNI_FED_TAX")</f>
        <v>N</v>
      </c>
      <c r="R310">
        <f>_xll.BDP("086419DS Muni","MUNI_MSRB_VOLUME")</f>
        <v>50000</v>
      </c>
      <c r="S310" t="str">
        <f>_xll.BDP("086419DS Muni","BB_COMPOSITE")</f>
        <v>#N/A N/A</v>
      </c>
      <c r="T310">
        <f>_xll.BDP("086419DS Muni","LQA_LIQUIDITY_SCORE")</f>
        <v>81</v>
      </c>
    </row>
    <row r="311" spans="1:20" x14ac:dyDescent="0.25">
      <c r="A311" t="str">
        <f>_xll.BDP("086419DT Muni","ID_CUSIP")</f>
        <v>086419DT2</v>
      </c>
      <c r="B311" t="s">
        <v>128</v>
      </c>
      <c r="C311" t="str">
        <f>_xll.BDP("086419DT Muni","INSURANCE_STATUS")</f>
        <v>Y</v>
      </c>
      <c r="D311" t="str">
        <f>_xll.BDP("086419DT Muni","STATE_CODE")</f>
        <v>AL</v>
      </c>
      <c r="E311" t="str">
        <f>_xll.BDP("086419DT Muni","COUNTY_LOCATION_ISSUER")</f>
        <v>Jefferson, AL</v>
      </c>
      <c r="F311">
        <f>_xll.BDP("086419DT Muni","DUR_ADJ_MID")</f>
        <v>3.1478740529221336</v>
      </c>
      <c r="G311">
        <f>_xll.BDP("086419DT Muni","SPREAD_AT_ISSUANCE_TO_WORST")</f>
        <v>66.328465753424638</v>
      </c>
      <c r="H311" t="str">
        <f>_xll.BDP("086419DT Muni","ISSUE_DT")</f>
        <v>12/28/2017</v>
      </c>
      <c r="I311" t="str">
        <f>_xll.BDS("086419DT Muni","MUNI_PURPOSE_SCHED", "aggregate=y")</f>
        <v>WATER UTILITY IMPS. CURRENT REFUNDING</v>
      </c>
      <c r="J311">
        <f>_xll.BDP("086419DT Muni","CPN")</f>
        <v>5</v>
      </c>
      <c r="K311" t="str">
        <f>_xll.BDP("086419DT Muni","MATURITY")</f>
        <v>1/1/2026</v>
      </c>
      <c r="L311">
        <v>655000</v>
      </c>
      <c r="M311">
        <f>_xll.BDP("086419DT Muni","YIELD_ON_ISSUE_DATE")</f>
        <v>2.59</v>
      </c>
      <c r="N311">
        <f>_xll.BDP("086419DT Muni","YTW_SPREAD_TO_MATURITY_AT_ISSU")</f>
        <v>66.328465753424638</v>
      </c>
      <c r="O311" t="str">
        <f>_xll.BDP("086419DT Muni","BVAL_MID_YTM")</f>
        <v>#N/A Authorization</v>
      </c>
      <c r="P311" t="str">
        <f>_xll.BDP("086419DT Muni","MUNI_TAX_PROV")</f>
        <v>FED &amp; ST TAX-EXEMPT</v>
      </c>
      <c r="Q311" t="str">
        <f>_xll.BDP("086419DT Muni","MUNI_FED_TAX")</f>
        <v>N</v>
      </c>
      <c r="R311" t="str">
        <f>_xll.BDP("086419DT Muni","MUNI_MSRB_VOLUME")</f>
        <v>#N/A N/A</v>
      </c>
      <c r="S311" t="str">
        <f>_xll.BDP("086419DT Muni","BB_COMPOSITE")</f>
        <v>#N/A N/A</v>
      </c>
      <c r="T311">
        <f>_xll.BDP("086419DT Muni","LQA_LIQUIDITY_SCORE")</f>
        <v>73</v>
      </c>
    </row>
    <row r="312" spans="1:20" x14ac:dyDescent="0.25">
      <c r="A312" t="str">
        <f>_xll.BDP("094780M8 Muni","ID_CUSIP")</f>
        <v>094780M83</v>
      </c>
      <c r="B312" t="s">
        <v>177</v>
      </c>
      <c r="C312" t="str">
        <f>_xll.BDP("094780M8 Muni","INSURANCE_STATUS")</f>
        <v>N</v>
      </c>
      <c r="D312" t="str">
        <f>_xll.BDP("094780M8 Muni","STATE_CODE")</f>
        <v>MN</v>
      </c>
      <c r="E312" t="str">
        <f>_xll.BDP("094780M8 Muni","COUNTY_LOCATION_ISSUER")</f>
        <v>Hennepin, MN</v>
      </c>
      <c r="F312">
        <f>_xll.BDP("094780M8 Muni","DUR_ADJ_MID")</f>
        <v>0.49488279961570047</v>
      </c>
      <c r="G312">
        <f>_xll.BDP("094780M8 Muni","SPREAD_AT_ISSUANCE_TO_WORST")</f>
        <v>4.9773344096569305</v>
      </c>
      <c r="H312" t="str">
        <f>_xll.BDP("094780M8 Muni","ISSUE_DT")</f>
        <v>5/4/2017</v>
      </c>
      <c r="I312" t="str">
        <f>_xll.BDS("094780M8 Muni","MUNI_PURPOSE_SCHED", "aggregate=y")</f>
        <v>WATER UTILITY IMPS.</v>
      </c>
      <c r="J312">
        <f>_xll.BDP("094780M8 Muni","CPN")</f>
        <v>5</v>
      </c>
      <c r="K312" t="str">
        <f>_xll.BDP("094780M8 Muni","MATURITY")</f>
        <v>2/1/2023</v>
      </c>
      <c r="L312">
        <v>115000</v>
      </c>
      <c r="M312">
        <f>_xll.BDP("094780M8 Muni","YIELD_ON_ISSUE_DATE")</f>
        <v>1.7000000000000002</v>
      </c>
      <c r="N312">
        <f>_xll.BDP("094780M8 Muni","YTW_SPREAD_TO_MATURITY_AT_ISSU")</f>
        <v>4.9773344096569305</v>
      </c>
      <c r="O312" t="str">
        <f>_xll.BDP("094780M8 Muni","BVAL_MID_YTM")</f>
        <v>#N/A Authorization</v>
      </c>
      <c r="P312" t="str">
        <f>_xll.BDP("094780M8 Muni","MUNI_TAX_PROV")</f>
        <v>FED &amp; ST TAX-EXEMPT</v>
      </c>
      <c r="Q312" t="str">
        <f>_xll.BDP("094780M8 Muni","MUNI_FED_TAX")</f>
        <v>N</v>
      </c>
      <c r="R312" t="str">
        <f>_xll.BDP("094780M8 Muni","MUNI_MSRB_VOLUME")</f>
        <v>#N/A N/A</v>
      </c>
      <c r="S312" t="str">
        <f>_xll.BDP("094780M8 Muni","BB_COMPOSITE")</f>
        <v>#N/A N/A</v>
      </c>
      <c r="T312">
        <f>_xll.BDP("094780M8 Muni","LQA_LIQUIDITY_SCORE")</f>
        <v>95</v>
      </c>
    </row>
    <row r="313" spans="1:20" x14ac:dyDescent="0.25">
      <c r="A313" t="str">
        <f>_xll.BDP("094780M9 Muni","ID_CUSIP")</f>
        <v>094780M91</v>
      </c>
      <c r="B313" t="s">
        <v>177</v>
      </c>
      <c r="C313" t="str">
        <f>_xll.BDP("094780M9 Muni","INSURANCE_STATUS")</f>
        <v>N</v>
      </c>
      <c r="D313" t="str">
        <f>_xll.BDP("094780M9 Muni","STATE_CODE")</f>
        <v>MN</v>
      </c>
      <c r="E313" t="str">
        <f>_xll.BDP("094780M9 Muni","COUNTY_LOCATION_ISSUER")</f>
        <v>Hennepin, MN</v>
      </c>
      <c r="F313">
        <f>_xll.BDP("094780M9 Muni","DUR_ADJ_MID")</f>
        <v>1.4511209381214702</v>
      </c>
      <c r="G313">
        <f>_xll.BDP("094780M9 Muni","SPREAD_AT_ISSUANCE_TO_WORST")</f>
        <v>3.1700292000593988</v>
      </c>
      <c r="H313" t="str">
        <f>_xll.BDP("094780M9 Muni","ISSUE_DT")</f>
        <v>5/4/2017</v>
      </c>
      <c r="I313" t="str">
        <f>_xll.BDS("094780M9 Muni","MUNI_PURPOSE_SCHED", "aggregate=y")</f>
        <v>WATER UTILITY IMPS.</v>
      </c>
      <c r="J313">
        <f>_xll.BDP("094780M9 Muni","CPN")</f>
        <v>5</v>
      </c>
      <c r="K313" t="str">
        <f>_xll.BDP("094780M9 Muni","MATURITY")</f>
        <v>2/1/2024</v>
      </c>
      <c r="L313">
        <v>120000</v>
      </c>
      <c r="M313">
        <f>_xll.BDP("094780M9 Muni","YIELD_ON_ISSUE_DATE")</f>
        <v>1.85</v>
      </c>
      <c r="N313">
        <f>_xll.BDP("094780M9 Muni","YTW_SPREAD_TO_MATURITY_AT_ISSU")</f>
        <v>3.1700292000593988</v>
      </c>
      <c r="O313" t="str">
        <f>_xll.BDP("094780M9 Muni","BVAL_MID_YTM")</f>
        <v>#N/A Authorization</v>
      </c>
      <c r="P313" t="str">
        <f>_xll.BDP("094780M9 Muni","MUNI_TAX_PROV")</f>
        <v>FED &amp; ST TAX-EXEMPT</v>
      </c>
      <c r="Q313" t="str">
        <f>_xll.BDP("094780M9 Muni","MUNI_FED_TAX")</f>
        <v>N</v>
      </c>
      <c r="R313" t="str">
        <f>_xll.BDP("094780M9 Muni","MUNI_MSRB_VOLUME")</f>
        <v>#N/A N/A</v>
      </c>
      <c r="S313" t="str">
        <f>_xll.BDP("094780M9 Muni","BB_COMPOSITE")</f>
        <v>#N/A N/A</v>
      </c>
      <c r="T313">
        <f>_xll.BDP("094780M9 Muni","LQA_LIQUIDITY_SCORE")</f>
        <v>87</v>
      </c>
    </row>
    <row r="314" spans="1:20" x14ac:dyDescent="0.25">
      <c r="A314" t="str">
        <f>_xll.BDP("094780N2 Muni","ID_CUSIP")</f>
        <v>094780N25</v>
      </c>
      <c r="B314" t="s">
        <v>177</v>
      </c>
      <c r="C314" t="str">
        <f>_xll.BDP("094780N2 Muni","INSURANCE_STATUS")</f>
        <v>N</v>
      </c>
      <c r="D314" t="str">
        <f>_xll.BDP("094780N2 Muni","STATE_CODE")</f>
        <v>MN</v>
      </c>
      <c r="E314" t="str">
        <f>_xll.BDP("094780N2 Muni","COUNTY_LOCATION_ISSUER")</f>
        <v>Hennepin, MN</v>
      </c>
      <c r="F314">
        <f>_xll.BDP("094780N2 Muni","DUR_ADJ_MID")</f>
        <v>2.4286623976431763</v>
      </c>
      <c r="G314">
        <f>_xll.BDP("094780N2 Muni","SPREAD_AT_ISSUANCE_TO_WORST")</f>
        <v>0.709442957559836</v>
      </c>
      <c r="H314" t="str">
        <f>_xll.BDP("094780N2 Muni","ISSUE_DT")</f>
        <v>5/4/2017</v>
      </c>
      <c r="I314" t="str">
        <f>_xll.BDS("094780N2 Muni","MUNI_PURPOSE_SCHED", "aggregate=y")</f>
        <v>WATER UTILITY IMPS.</v>
      </c>
      <c r="J314">
        <f>_xll.BDP("094780N2 Muni","CPN")</f>
        <v>2</v>
      </c>
      <c r="K314" t="str">
        <f>_xll.BDP("094780N2 Muni","MATURITY")</f>
        <v>2/1/2025</v>
      </c>
      <c r="L314">
        <v>130000</v>
      </c>
      <c r="M314">
        <f>_xll.BDP("094780N2 Muni","YIELD_ON_ISSUE_DATE")</f>
        <v>1.99</v>
      </c>
      <c r="N314">
        <f>_xll.BDP("094780N2 Muni","YTW_SPREAD_TO_MATURITY_AT_ISSU")</f>
        <v>0.709442957559836</v>
      </c>
      <c r="O314" t="str">
        <f>_xll.BDP("094780N2 Muni","BVAL_MID_YTM")</f>
        <v>#N/A Authorization</v>
      </c>
      <c r="P314" t="str">
        <f>_xll.BDP("094780N2 Muni","MUNI_TAX_PROV")</f>
        <v>FED &amp; ST TAX-EXEMPT</v>
      </c>
      <c r="Q314" t="str">
        <f>_xll.BDP("094780N2 Muni","MUNI_FED_TAX")</f>
        <v>N</v>
      </c>
      <c r="R314" t="str">
        <f>_xll.BDP("094780N2 Muni","MUNI_MSRB_VOLUME")</f>
        <v>#N/A N/A</v>
      </c>
      <c r="S314" t="str">
        <f>_xll.BDP("094780N2 Muni","BB_COMPOSITE")</f>
        <v>#N/A N/A</v>
      </c>
      <c r="T314">
        <f>_xll.BDP("094780N2 Muni","LQA_LIQUIDITY_SCORE")</f>
        <v>55</v>
      </c>
    </row>
    <row r="315" spans="1:20" x14ac:dyDescent="0.25">
      <c r="A315" t="str">
        <f>_xll.BDP("094780N3 Muni","ID_CUSIP")</f>
        <v>094780N33</v>
      </c>
      <c r="B315" t="s">
        <v>177</v>
      </c>
      <c r="C315" t="str">
        <f>_xll.BDP("094780N3 Muni","INSURANCE_STATUS")</f>
        <v>N</v>
      </c>
      <c r="D315" t="str">
        <f>_xll.BDP("094780N3 Muni","STATE_CODE")</f>
        <v>MN</v>
      </c>
      <c r="E315" t="str">
        <f>_xll.BDP("094780N3 Muni","COUNTY_LOCATION_ISSUER")</f>
        <v>Hennepin, MN</v>
      </c>
      <c r="F315">
        <f>_xll.BDP("094780N3 Muni","DUR_ADJ_MID")</f>
        <v>3.3667505401375819</v>
      </c>
      <c r="G315">
        <f>_xll.BDP("094780N3 Muni","SPREAD_AT_ISSUANCE_TO_WORST")</f>
        <v>-1.0424077243206931</v>
      </c>
      <c r="H315" t="str">
        <f>_xll.BDP("094780N3 Muni","ISSUE_DT")</f>
        <v>5/4/2017</v>
      </c>
      <c r="I315" t="str">
        <f>_xll.BDS("094780N3 Muni","MUNI_PURPOSE_SCHED", "aggregate=y")</f>
        <v>WATER UTILITY IMPS.</v>
      </c>
      <c r="J315">
        <f>_xll.BDP("094780N3 Muni","CPN")</f>
        <v>2</v>
      </c>
      <c r="K315" t="str">
        <f>_xll.BDP("094780N3 Muni","MATURITY")</f>
        <v>2/1/2026</v>
      </c>
      <c r="L315">
        <v>130000</v>
      </c>
      <c r="M315">
        <f>_xll.BDP("094780N3 Muni","YIELD_ON_ISSUE_DATE")</f>
        <v>2.12</v>
      </c>
      <c r="N315">
        <f>_xll.BDP("094780N3 Muni","YTW_SPREAD_TO_MATURITY_AT_ISSU")</f>
        <v>-1.0424077243206931</v>
      </c>
      <c r="O315" t="str">
        <f>_xll.BDP("094780N3 Muni","BVAL_MID_YTM")</f>
        <v>#N/A Authorization</v>
      </c>
      <c r="P315" t="str">
        <f>_xll.BDP("094780N3 Muni","MUNI_TAX_PROV")</f>
        <v>FED &amp; ST TAX-EXEMPT</v>
      </c>
      <c r="Q315" t="str">
        <f>_xll.BDP("094780N3 Muni","MUNI_FED_TAX")</f>
        <v>N</v>
      </c>
      <c r="R315" t="str">
        <f>_xll.BDP("094780N3 Muni","MUNI_MSRB_VOLUME")</f>
        <v>#N/A N/A</v>
      </c>
      <c r="S315" t="str">
        <f>_xll.BDP("094780N3 Muni","BB_COMPOSITE")</f>
        <v>#N/A N/A</v>
      </c>
      <c r="T315">
        <f>_xll.BDP("094780N3 Muni","LQA_LIQUIDITY_SCORE")</f>
        <v>40</v>
      </c>
    </row>
    <row r="316" spans="1:20" x14ac:dyDescent="0.25">
      <c r="A316" t="str">
        <f>_xll.BDP("094780N4 Muni","ID_CUSIP")</f>
        <v>094780N41</v>
      </c>
      <c r="B316" t="s">
        <v>177</v>
      </c>
      <c r="C316" t="str">
        <f>_xll.BDP("094780N4 Muni","INSURANCE_STATUS")</f>
        <v>N</v>
      </c>
      <c r="D316" t="str">
        <f>_xll.BDP("094780N4 Muni","STATE_CODE")</f>
        <v>MN</v>
      </c>
      <c r="E316" t="str">
        <f>_xll.BDP("094780N4 Muni","COUNTY_LOCATION_ISSUER")</f>
        <v>Hennepin, MN</v>
      </c>
      <c r="F316">
        <f>_xll.BDP("094780N4 Muni","DUR_ADJ_MID")</f>
        <v>4.2757407429629533</v>
      </c>
      <c r="G316">
        <f>_xll.BDP("094780N4 Muni","SPREAD_AT_ISSUANCE_TO_WORST")</f>
        <v>-2.9064355515822538</v>
      </c>
      <c r="H316" t="str">
        <f>_xll.BDP("094780N4 Muni","ISSUE_DT")</f>
        <v>5/4/2017</v>
      </c>
      <c r="I316" t="str">
        <f>_xll.BDS("094780N4 Muni","MUNI_PURPOSE_SCHED", "aggregate=y")</f>
        <v>WATER UTILITY IMPS.</v>
      </c>
      <c r="J316">
        <f>_xll.BDP("094780N4 Muni","CPN")</f>
        <v>2.125</v>
      </c>
      <c r="K316" t="str">
        <f>_xll.BDP("094780N4 Muni","MATURITY")</f>
        <v>2/1/2027</v>
      </c>
      <c r="L316">
        <v>135000</v>
      </c>
      <c r="M316">
        <f>_xll.BDP("094780N4 Muni","YIELD_ON_ISSUE_DATE")</f>
        <v>2.2200000000000002</v>
      </c>
      <c r="N316">
        <f>_xll.BDP("094780N4 Muni","YTW_SPREAD_TO_MATURITY_AT_ISSU")</f>
        <v>-2.9064355515822538</v>
      </c>
      <c r="O316" t="str">
        <f>_xll.BDP("094780N4 Muni","BVAL_MID_YTM")</f>
        <v>#N/A Authorization</v>
      </c>
      <c r="P316" t="str">
        <f>_xll.BDP("094780N4 Muni","MUNI_TAX_PROV")</f>
        <v>FED &amp; ST TAX-EXEMPT</v>
      </c>
      <c r="Q316" t="str">
        <f>_xll.BDP("094780N4 Muni","MUNI_FED_TAX")</f>
        <v>N</v>
      </c>
      <c r="R316" t="str">
        <f>_xll.BDP("094780N4 Muni","MUNI_MSRB_VOLUME")</f>
        <v>#N/A N/A</v>
      </c>
      <c r="S316" t="str">
        <f>_xll.BDP("094780N4 Muni","BB_COMPOSITE")</f>
        <v>#N/A N/A</v>
      </c>
      <c r="T316">
        <f>_xll.BDP("094780N4 Muni","LQA_LIQUIDITY_SCORE")</f>
        <v>32</v>
      </c>
    </row>
    <row r="317" spans="1:20" x14ac:dyDescent="0.25">
      <c r="A317" t="str">
        <f>_xll.BDP("096028JY Muni","ID_CUSIP")</f>
        <v>096028JY2</v>
      </c>
      <c r="B317" t="s">
        <v>178</v>
      </c>
      <c r="C317" t="str">
        <f>_xll.BDP("096028JY Muni","INSURANCE_STATUS")</f>
        <v>Y</v>
      </c>
      <c r="D317" t="str">
        <f>_xll.BDP("096028JY Muni","STATE_CODE")</f>
        <v>TX</v>
      </c>
      <c r="E317" t="str">
        <f>_xll.BDP("096028JY Muni","COUNTY_LOCATION_ISSUER")</f>
        <v>Harris, TX</v>
      </c>
      <c r="F317">
        <f>_xll.BDP("096028JY Muni","DUR_ADJ_MID")</f>
        <v>8.0479329734043523E-2</v>
      </c>
      <c r="G317">
        <f>_xll.BDP("096028JY Muni","SPREAD_AT_ISSUANCE_TO_WORST")</f>
        <v>48.214882843527839</v>
      </c>
      <c r="H317" t="str">
        <f>_xll.BDP("096028JY Muni","ISSUE_DT")</f>
        <v>2/1/2017</v>
      </c>
      <c r="I317" t="str">
        <f>_xll.BDS("096028JY Muni","MUNI_PURPOSE_SCHED", "aggregate=y")</f>
        <v>WATER UTILITY IMPS. SEWER IMPS.</v>
      </c>
      <c r="J317">
        <f>_xll.BDP("096028JY Muni","CPN")</f>
        <v>2.125</v>
      </c>
      <c r="K317" t="str">
        <f>_xll.BDP("096028JY Muni","MATURITY")</f>
        <v>9/1/2022</v>
      </c>
      <c r="L317">
        <v>75000</v>
      </c>
      <c r="M317">
        <f>_xll.BDP("096028JY Muni","YIELD_ON_ISSUE_DATE")</f>
        <v>2.25</v>
      </c>
      <c r="N317">
        <f>_xll.BDP("096028JY Muni","YTW_SPREAD_TO_MATURITY_AT_ISSU")</f>
        <v>48.214882843527839</v>
      </c>
      <c r="O317" t="str">
        <f>_xll.BDP("096028JY Muni","BVAL_MID_YTM")</f>
        <v>#N/A Authorization</v>
      </c>
      <c r="P317" t="str">
        <f>_xll.BDP("096028JY Muni","MUNI_TAX_PROV")</f>
        <v>FED BQ</v>
      </c>
      <c r="Q317" t="str">
        <f>_xll.BDP("096028JY Muni","MUNI_FED_TAX")</f>
        <v>N</v>
      </c>
      <c r="R317" t="str">
        <f>_xll.BDP("096028JY Muni","MUNI_MSRB_VOLUME")</f>
        <v>#N/A N/A</v>
      </c>
      <c r="S317" t="str">
        <f>_xll.BDP("096028JY Muni","BB_COMPOSITE")</f>
        <v>#N/A N/A</v>
      </c>
      <c r="T317">
        <f>_xll.BDP("096028JY Muni","LQA_LIQUIDITY_SCORE")</f>
        <v>96</v>
      </c>
    </row>
    <row r="318" spans="1:20" x14ac:dyDescent="0.25">
      <c r="A318" t="str">
        <f>_xll.BDP("096028JZ Muni","ID_CUSIP")</f>
        <v>096028JZ9</v>
      </c>
      <c r="B318" t="s">
        <v>178</v>
      </c>
      <c r="C318" t="str">
        <f>_xll.BDP("096028JZ Muni","INSURANCE_STATUS")</f>
        <v>Y</v>
      </c>
      <c r="D318" t="str">
        <f>_xll.BDP("096028JZ Muni","STATE_CODE")</f>
        <v>TX</v>
      </c>
      <c r="E318" t="str">
        <f>_xll.BDP("096028JZ Muni","COUNTY_LOCATION_ISSUER")</f>
        <v>Harris, TX</v>
      </c>
      <c r="F318">
        <f>_xll.BDP("096028JZ Muni","DUR_ADJ_MID")</f>
        <v>1.0546464932043662</v>
      </c>
      <c r="G318">
        <f>_xll.BDP("096028JZ Muni","SPREAD_AT_ISSUANCE_TO_WORST")</f>
        <v>50.33506111662134</v>
      </c>
      <c r="H318" t="str">
        <f>_xll.BDP("096028JZ Muni","ISSUE_DT")</f>
        <v>2/1/2017</v>
      </c>
      <c r="I318" t="str">
        <f>_xll.BDS("096028JZ Muni","MUNI_PURPOSE_SCHED", "aggregate=y")</f>
        <v>WATER UTILITY IMPS. SEWER IMPS.</v>
      </c>
      <c r="J318">
        <f>_xll.BDP("096028JZ Muni","CPN")</f>
        <v>2.25</v>
      </c>
      <c r="K318" t="str">
        <f>_xll.BDP("096028JZ Muni","MATURITY")</f>
        <v>9/1/2023</v>
      </c>
      <c r="L318">
        <v>75000</v>
      </c>
      <c r="M318">
        <f>_xll.BDP("096028JZ Muni","YIELD_ON_ISSUE_DATE")</f>
        <v>2.4000000000000004</v>
      </c>
      <c r="N318">
        <f>_xll.BDP("096028JZ Muni","YTW_SPREAD_TO_MATURITY_AT_ISSU")</f>
        <v>50.33506111662134</v>
      </c>
      <c r="O318" t="str">
        <f>_xll.BDP("096028JZ Muni","BVAL_MID_YTM")</f>
        <v>#N/A Authorization</v>
      </c>
      <c r="P318" t="str">
        <f>_xll.BDP("096028JZ Muni","MUNI_TAX_PROV")</f>
        <v>FED BQ</v>
      </c>
      <c r="Q318" t="str">
        <f>_xll.BDP("096028JZ Muni","MUNI_FED_TAX")</f>
        <v>N</v>
      </c>
      <c r="R318" t="str">
        <f>_xll.BDP("096028JZ Muni","MUNI_MSRB_VOLUME")</f>
        <v>#N/A N/A</v>
      </c>
      <c r="S318" t="str">
        <f>_xll.BDP("096028JZ Muni","BB_COMPOSITE")</f>
        <v>#N/A N/A</v>
      </c>
      <c r="T318">
        <f>_xll.BDP("096028JZ Muni","LQA_LIQUIDITY_SCORE")</f>
        <v>74</v>
      </c>
    </row>
    <row r="319" spans="1:20" x14ac:dyDescent="0.25">
      <c r="A319" t="str">
        <f>_xll.BDP("096028KA Muni","ID_CUSIP")</f>
        <v>096028KA2</v>
      </c>
      <c r="B319" t="s">
        <v>178</v>
      </c>
      <c r="C319" t="str">
        <f>_xll.BDP("096028KA Muni","INSURANCE_STATUS")</f>
        <v>Y</v>
      </c>
      <c r="D319" t="str">
        <f>_xll.BDP("096028KA Muni","STATE_CODE")</f>
        <v>TX</v>
      </c>
      <c r="E319" t="str">
        <f>_xll.BDP("096028KA Muni","COUNTY_LOCATION_ISSUER")</f>
        <v>Harris, TX</v>
      </c>
      <c r="F319">
        <f>_xll.BDP("096028KA Muni","DUR_ADJ_MID")</f>
        <v>2.0055835537304278</v>
      </c>
      <c r="G319">
        <f>_xll.BDP("096028KA Muni","SPREAD_AT_ISSUANCE_TO_WORST")</f>
        <v>47.484370159898639</v>
      </c>
      <c r="H319" t="str">
        <f>_xll.BDP("096028KA Muni","ISSUE_DT")</f>
        <v>2/1/2017</v>
      </c>
      <c r="I319" t="str">
        <f>_xll.BDS("096028KA Muni","MUNI_PURPOSE_SCHED", "aggregate=y")</f>
        <v>WATER UTILITY IMPS. SEWER IMPS.</v>
      </c>
      <c r="J319">
        <f>_xll.BDP("096028KA Muni","CPN")</f>
        <v>2.25</v>
      </c>
      <c r="K319" t="str">
        <f>_xll.BDP("096028KA Muni","MATURITY")</f>
        <v>9/1/2024</v>
      </c>
      <c r="L319">
        <v>80000</v>
      </c>
      <c r="M319">
        <f>_xll.BDP("096028KA Muni","YIELD_ON_ISSUE_DATE")</f>
        <v>2.5</v>
      </c>
      <c r="N319">
        <f>_xll.BDP("096028KA Muni","YTW_SPREAD_TO_MATURITY_AT_ISSU")</f>
        <v>47.484370159898639</v>
      </c>
      <c r="O319" t="str">
        <f>_xll.BDP("096028KA Muni","BVAL_MID_YTM")</f>
        <v>#N/A Authorization</v>
      </c>
      <c r="P319" t="str">
        <f>_xll.BDP("096028KA Muni","MUNI_TAX_PROV")</f>
        <v>FED BQ</v>
      </c>
      <c r="Q319" t="str">
        <f>_xll.BDP("096028KA Muni","MUNI_FED_TAX")</f>
        <v>N</v>
      </c>
      <c r="R319" t="str">
        <f>_xll.BDP("096028KA Muni","MUNI_MSRB_VOLUME")</f>
        <v>#N/A N/A</v>
      </c>
      <c r="S319" t="str">
        <f>_xll.BDP("096028KA Muni","BB_COMPOSITE")</f>
        <v>#N/A N/A</v>
      </c>
      <c r="T319">
        <f>_xll.BDP("096028KA Muni","LQA_LIQUIDITY_SCORE")</f>
        <v>61</v>
      </c>
    </row>
    <row r="320" spans="1:20" x14ac:dyDescent="0.25">
      <c r="A320" t="str">
        <f>_xll.BDP("13063DCN Muni","ID_CUSIP")</f>
        <v>13063DCN6</v>
      </c>
      <c r="B320" t="s">
        <v>20</v>
      </c>
      <c r="C320" t="str">
        <f>_xll.BDP("13063DCN Muni","INSURANCE_STATUS")</f>
        <v>N</v>
      </c>
      <c r="D320" t="str">
        <f>_xll.BDP("13063DCN Muni","STATE_CODE")</f>
        <v>CA</v>
      </c>
      <c r="E320" t="str">
        <f>_xll.BDP("13063DCN Muni","COUNTY_LOCATION_ISSUER")</f>
        <v>Sacramento, CA</v>
      </c>
      <c r="F320">
        <f>_xll.BDP("13063DCN Muni","DUR_ADJ_MID")</f>
        <v>2.9909075856909602</v>
      </c>
      <c r="G320">
        <f>_xll.BDP("13063DCN Muni","SPREAD_AT_ISSUANCE_TO_WORST")</f>
        <v>23.73827601678795</v>
      </c>
      <c r="H320" t="str">
        <f>_xll.BDP("13063DCN Muni","ISSUE_DT")</f>
        <v>9/12/2017</v>
      </c>
      <c r="I320" t="str">
        <f>_xll.BDS("13063DCN Muni","MUNI_PURPOSE_SCHED", "aggregate=y")</f>
        <v>SCHOOL IMPS. WATER UTILITY IMPS. REFUNDING NOTES</v>
      </c>
      <c r="J320">
        <f>_xll.BDP("13063DCN Muni","CPN")</f>
        <v>5</v>
      </c>
      <c r="K320" t="str">
        <f>_xll.BDP("13063DCN Muni","MATURITY")</f>
        <v>11/1/2025</v>
      </c>
      <c r="L320">
        <v>3770000</v>
      </c>
      <c r="M320">
        <f>_xll.BDP("13063DCN Muni","YIELD_ON_ISSUE_DATE")</f>
        <v>1.85</v>
      </c>
      <c r="N320">
        <f>_xll.BDP("13063DCN Muni","YTW_SPREAD_TO_MATURITY_AT_ISSU")</f>
        <v>23.73827601678795</v>
      </c>
      <c r="O320" t="str">
        <f>_xll.BDP("13063DCN Muni","BVAL_MID_YTM")</f>
        <v>#N/A Authorization</v>
      </c>
      <c r="P320" t="str">
        <f>_xll.BDP("13063DCN Muni","MUNI_TAX_PROV")</f>
        <v>FED &amp; ST TAX-EXEMPT</v>
      </c>
      <c r="Q320" t="str">
        <f>_xll.BDP("13063DCN Muni","MUNI_FED_TAX")</f>
        <v>N</v>
      </c>
      <c r="R320">
        <f>_xll.BDP("13063DCN Muni","MUNI_MSRB_VOLUME")</f>
        <v>15000</v>
      </c>
      <c r="S320" t="str">
        <f>_xll.BDP("13063DCN Muni","BB_COMPOSITE")</f>
        <v>AA-</v>
      </c>
      <c r="T320">
        <f>_xll.BDP("13063DCN Muni","LQA_LIQUIDITY_SCORE")</f>
        <v>79</v>
      </c>
    </row>
    <row r="321" spans="1:20" x14ac:dyDescent="0.25">
      <c r="A321" t="str">
        <f>_xll.BDP("13063DCP Muni","ID_CUSIP")</f>
        <v>13063DCP1</v>
      </c>
      <c r="B321" t="s">
        <v>20</v>
      </c>
      <c r="C321" t="str">
        <f>_xll.BDP("13063DCP Muni","INSURANCE_STATUS")</f>
        <v>N</v>
      </c>
      <c r="D321" t="str">
        <f>_xll.BDP("13063DCP Muni","STATE_CODE")</f>
        <v>CA</v>
      </c>
      <c r="E321" t="str">
        <f>_xll.BDP("13063DCP Muni","COUNTY_LOCATION_ISSUER")</f>
        <v>Sacramento, CA</v>
      </c>
      <c r="F321">
        <f>_xll.BDP("13063DCP Muni","DUR_ADJ_MID")</f>
        <v>3.8303137145483674</v>
      </c>
      <c r="G321">
        <f>_xll.BDP("13063DCP Muni","SPREAD_AT_ISSUANCE_TO_WORST")</f>
        <v>23.732234329489966</v>
      </c>
      <c r="H321" t="str">
        <f>_xll.BDP("13063DCP Muni","ISSUE_DT")</f>
        <v>9/12/2017</v>
      </c>
      <c r="I321" t="str">
        <f>_xll.BDS("13063DCP Muni","MUNI_PURPOSE_SCHED", "aggregate=y")</f>
        <v>SCHOOL IMPS. WATER UTILITY IMPS. REFUNDING NOTES</v>
      </c>
      <c r="J321">
        <f>_xll.BDP("13063DCP Muni","CPN")</f>
        <v>5</v>
      </c>
      <c r="K321" t="str">
        <f>_xll.BDP("13063DCP Muni","MATURITY")</f>
        <v>11/1/2026</v>
      </c>
      <c r="L321">
        <v>15435000</v>
      </c>
      <c r="M321">
        <f>_xll.BDP("13063DCP Muni","YIELD_ON_ISSUE_DATE")</f>
        <v>1.98</v>
      </c>
      <c r="N321">
        <f>_xll.BDP("13063DCP Muni","YTW_SPREAD_TO_MATURITY_AT_ISSU")</f>
        <v>23.732234329489966</v>
      </c>
      <c r="O321" t="str">
        <f>_xll.BDP("13063DCP Muni","BVAL_MID_YTM")</f>
        <v>#N/A Authorization</v>
      </c>
      <c r="P321" t="str">
        <f>_xll.BDP("13063DCP Muni","MUNI_TAX_PROV")</f>
        <v>FED &amp; ST TAX-EXEMPT</v>
      </c>
      <c r="Q321" t="str">
        <f>_xll.BDP("13063DCP Muni","MUNI_FED_TAX")</f>
        <v>N</v>
      </c>
      <c r="R321">
        <f>_xll.BDP("13063DCP Muni","MUNI_MSRB_VOLUME")</f>
        <v>200000</v>
      </c>
      <c r="S321" t="str">
        <f>_xll.BDP("13063DCP Muni","BB_COMPOSITE")</f>
        <v>AA-</v>
      </c>
      <c r="T321">
        <f>_xll.BDP("13063DCP Muni","LQA_LIQUIDITY_SCORE")</f>
        <v>73</v>
      </c>
    </row>
    <row r="322" spans="1:20" x14ac:dyDescent="0.25">
      <c r="A322" t="str">
        <f>_xll.BDP("073186MX Muni","ID_CUSIP")</f>
        <v>073186MX3</v>
      </c>
      <c r="B322" t="s">
        <v>179</v>
      </c>
      <c r="C322" t="str">
        <f>_xll.BDP("073186MX Muni","INSURANCE_STATUS")</f>
        <v>N</v>
      </c>
      <c r="D322" t="str">
        <f>_xll.BDP("073186MX Muni","STATE_CODE")</f>
        <v>TX</v>
      </c>
      <c r="E322" t="str">
        <f>_xll.BDP("073186MX Muni","COUNTY_LOCATION_ISSUER")</f>
        <v>Harris, TX</v>
      </c>
      <c r="F322">
        <f>_xll.BDP("073186MX Muni","DUR_ADJ_MID")</f>
        <v>0.49469118714832921</v>
      </c>
      <c r="G322">
        <f>_xll.BDP("073186MX Muni","SPREAD_AT_ISSUANCE_TO_WORST")</f>
        <v>28.816098630136988</v>
      </c>
      <c r="H322" t="str">
        <f>_xll.BDP("073186MX Muni","ISSUE_DT")</f>
        <v>10/1/2017</v>
      </c>
      <c r="I322" t="str">
        <f>_xll.BDS("073186MX Muni","MUNI_PURPOSE_SCHED", "aggregate=y")</f>
        <v>PUBLIC IMPS. WATER UTILITY IMPS. SEWER IMPS.</v>
      </c>
      <c r="J322">
        <f>_xll.BDP("073186MX Muni","CPN")</f>
        <v>5</v>
      </c>
      <c r="K322" t="str">
        <f>_xll.BDP("073186MX Muni","MATURITY")</f>
        <v>2/1/2023</v>
      </c>
      <c r="L322">
        <v>1815000</v>
      </c>
      <c r="M322">
        <f>_xll.BDP("073186MX Muni","YIELD_ON_ISSUE_DATE")</f>
        <v>1.7000000000000002</v>
      </c>
      <c r="N322">
        <f>_xll.BDP("073186MX Muni","YTW_SPREAD_TO_MATURITY_AT_ISSU")</f>
        <v>28.816098630136988</v>
      </c>
      <c r="O322" t="str">
        <f>_xll.BDP("073186MX Muni","BVAL_MID_YTM")</f>
        <v>#N/A Authorization</v>
      </c>
      <c r="P322" t="str">
        <f>_xll.BDP("073186MX Muni","MUNI_TAX_PROV")</f>
        <v>FED TAX-EXEMPT</v>
      </c>
      <c r="Q322" t="str">
        <f>_xll.BDP("073186MX Muni","MUNI_FED_TAX")</f>
        <v>N</v>
      </c>
      <c r="R322" t="str">
        <f>_xll.BDP("073186MX Muni","MUNI_MSRB_VOLUME")</f>
        <v>#N/A N/A</v>
      </c>
      <c r="S322" t="str">
        <f>_xll.BDP("073186MX Muni","BB_COMPOSITE")</f>
        <v>AA</v>
      </c>
      <c r="T322">
        <f>_xll.BDP("073186MX Muni","LQA_LIQUIDITY_SCORE")</f>
        <v>90</v>
      </c>
    </row>
    <row r="323" spans="1:20" x14ac:dyDescent="0.25">
      <c r="A323" t="str">
        <f>_xll.BDP("073186MY Muni","ID_CUSIP")</f>
        <v>073186MY1</v>
      </c>
      <c r="B323" t="s">
        <v>179</v>
      </c>
      <c r="C323" t="str">
        <f>_xll.BDP("073186MY Muni","INSURANCE_STATUS")</f>
        <v>N</v>
      </c>
      <c r="D323" t="str">
        <f>_xll.BDP("073186MY Muni","STATE_CODE")</f>
        <v>TX</v>
      </c>
      <c r="E323" t="str">
        <f>_xll.BDP("073186MY Muni","COUNTY_LOCATION_ISSUER")</f>
        <v>Harris, TX</v>
      </c>
      <c r="F323">
        <f>_xll.BDP("073186MY Muni","DUR_ADJ_MID")</f>
        <v>1.4502820796404416</v>
      </c>
      <c r="G323">
        <f>_xll.BDP("073186MY Muni","SPREAD_AT_ISSUANCE_TO_WORST")</f>
        <v>30.289745205479445</v>
      </c>
      <c r="H323" t="str">
        <f>_xll.BDP("073186MY Muni","ISSUE_DT")</f>
        <v>10/1/2017</v>
      </c>
      <c r="I323" t="str">
        <f>_xll.BDS("073186MY Muni","MUNI_PURPOSE_SCHED", "aggregate=y")</f>
        <v>PUBLIC IMPS. WATER UTILITY IMPS. SEWER IMPS.</v>
      </c>
      <c r="J323">
        <f>_xll.BDP("073186MY Muni","CPN")</f>
        <v>5</v>
      </c>
      <c r="K323" t="str">
        <f>_xll.BDP("073186MY Muni","MATURITY")</f>
        <v>2/1/2024</v>
      </c>
      <c r="L323">
        <v>1910000</v>
      </c>
      <c r="M323">
        <f>_xll.BDP("073186MY Muni","YIELD_ON_ISSUE_DATE")</f>
        <v>1.85</v>
      </c>
      <c r="N323">
        <f>_xll.BDP("073186MY Muni","YTW_SPREAD_TO_MATURITY_AT_ISSU")</f>
        <v>30.289745205479445</v>
      </c>
      <c r="O323" t="str">
        <f>_xll.BDP("073186MY Muni","BVAL_MID_YTM")</f>
        <v>#N/A Authorization</v>
      </c>
      <c r="P323" t="str">
        <f>_xll.BDP("073186MY Muni","MUNI_TAX_PROV")</f>
        <v>FED TAX-EXEMPT</v>
      </c>
      <c r="Q323" t="str">
        <f>_xll.BDP("073186MY Muni","MUNI_FED_TAX")</f>
        <v>N</v>
      </c>
      <c r="R323">
        <f>_xll.BDP("073186MY Muni","MUNI_MSRB_VOLUME")</f>
        <v>80000</v>
      </c>
      <c r="S323" t="str">
        <f>_xll.BDP("073186MY Muni","BB_COMPOSITE")</f>
        <v>AA</v>
      </c>
      <c r="T323">
        <f>_xll.BDP("073186MY Muni","LQA_LIQUIDITY_SCORE")</f>
        <v>78</v>
      </c>
    </row>
    <row r="324" spans="1:20" x14ac:dyDescent="0.25">
      <c r="A324" t="str">
        <f>_xll.BDP("073186MZ Muni","ID_CUSIP")</f>
        <v>073186MZ8</v>
      </c>
      <c r="B324" t="s">
        <v>179</v>
      </c>
      <c r="C324" t="str">
        <f>_xll.BDP("073186MZ Muni","INSURANCE_STATUS")</f>
        <v>N</v>
      </c>
      <c r="D324" t="str">
        <f>_xll.BDP("073186MZ Muni","STATE_CODE")</f>
        <v>TX</v>
      </c>
      <c r="E324" t="str">
        <f>_xll.BDP("073186MZ Muni","COUNTY_LOCATION_ISSUER")</f>
        <v>Harris, TX</v>
      </c>
      <c r="F324">
        <f>_xll.BDP("073186MZ Muni","DUR_ADJ_MID")</f>
        <v>2.3826640660120155</v>
      </c>
      <c r="G324">
        <f>_xll.BDP("073186MZ Muni","SPREAD_AT_ISSUANCE_TO_WORST")</f>
        <v>34.443717808219155</v>
      </c>
      <c r="H324" t="str">
        <f>_xll.BDP("073186MZ Muni","ISSUE_DT")</f>
        <v>10/1/2017</v>
      </c>
      <c r="I324" t="str">
        <f>_xll.BDS("073186MZ Muni","MUNI_PURPOSE_SCHED", "aggregate=y")</f>
        <v>PUBLIC IMPS. WATER UTILITY IMPS. SEWER IMPS.</v>
      </c>
      <c r="J324">
        <f>_xll.BDP("073186MZ Muni","CPN")</f>
        <v>4</v>
      </c>
      <c r="K324" t="str">
        <f>_xll.BDP("073186MZ Muni","MATURITY")</f>
        <v>2/1/2025</v>
      </c>
      <c r="L324">
        <v>1995000</v>
      </c>
      <c r="M324">
        <f>_xll.BDP("073186MZ Muni","YIELD_ON_ISSUE_DATE")</f>
        <v>2.0300000000000002</v>
      </c>
      <c r="N324">
        <f>_xll.BDP("073186MZ Muni","YTW_SPREAD_TO_MATURITY_AT_ISSU")</f>
        <v>34.443717808219155</v>
      </c>
      <c r="O324" t="str">
        <f>_xll.BDP("073186MZ Muni","BVAL_MID_YTM")</f>
        <v>#N/A Authorization</v>
      </c>
      <c r="P324" t="str">
        <f>_xll.BDP("073186MZ Muni","MUNI_TAX_PROV")</f>
        <v>FED TAX-EXEMPT</v>
      </c>
      <c r="Q324" t="str">
        <f>_xll.BDP("073186MZ Muni","MUNI_FED_TAX")</f>
        <v>N</v>
      </c>
      <c r="R324" t="str">
        <f>_xll.BDP("073186MZ Muni","MUNI_MSRB_VOLUME")</f>
        <v>#N/A N/A</v>
      </c>
      <c r="S324" t="str">
        <f>_xll.BDP("073186MZ Muni","BB_COMPOSITE")</f>
        <v>AA</v>
      </c>
      <c r="T324">
        <f>_xll.BDP("073186MZ Muni","LQA_LIQUIDITY_SCORE")</f>
        <v>73</v>
      </c>
    </row>
    <row r="325" spans="1:20" x14ac:dyDescent="0.25">
      <c r="A325" t="str">
        <f>_xll.BDP("073186NA Muni","ID_CUSIP")</f>
        <v>073186NA2</v>
      </c>
      <c r="B325" t="s">
        <v>179</v>
      </c>
      <c r="C325" t="str">
        <f>_xll.BDP("073186NA Muni","INSURANCE_STATUS")</f>
        <v>N</v>
      </c>
      <c r="D325" t="str">
        <f>_xll.BDP("073186NA Muni","STATE_CODE")</f>
        <v>TX</v>
      </c>
      <c r="E325" t="str">
        <f>_xll.BDP("073186NA Muni","COUNTY_LOCATION_ISSUER")</f>
        <v>Harris, TX</v>
      </c>
      <c r="F325">
        <f>_xll.BDP("073186NA Muni","DUR_ADJ_MID")</f>
        <v>3.2744922140542556</v>
      </c>
      <c r="G325">
        <f>_xll.BDP("073186NA Muni","SPREAD_AT_ISSUANCE_TO_WORST")</f>
        <v>38.150484931506853</v>
      </c>
      <c r="H325" t="str">
        <f>_xll.BDP("073186NA Muni","ISSUE_DT")</f>
        <v>10/1/2017</v>
      </c>
      <c r="I325" t="str">
        <f>_xll.BDS("073186NA Muni","MUNI_PURPOSE_SCHED", "aggregate=y")</f>
        <v>PUBLIC IMPS. WATER UTILITY IMPS. SEWER IMPS.</v>
      </c>
      <c r="J325">
        <f>_xll.BDP("073186NA Muni","CPN")</f>
        <v>4</v>
      </c>
      <c r="K325" t="str">
        <f>_xll.BDP("073186NA Muni","MATURITY")</f>
        <v>2/1/2026</v>
      </c>
      <c r="L325">
        <v>2080000</v>
      </c>
      <c r="M325">
        <f>_xll.BDP("073186NA Muni","YIELD_ON_ISSUE_DATE")</f>
        <v>2.2000000000000002</v>
      </c>
      <c r="N325">
        <f>_xll.BDP("073186NA Muni","YTW_SPREAD_TO_MATURITY_AT_ISSU")</f>
        <v>38.150484931506853</v>
      </c>
      <c r="O325" t="str">
        <f>_xll.BDP("073186NA Muni","BVAL_MID_YTM")</f>
        <v>#N/A Authorization</v>
      </c>
      <c r="P325" t="str">
        <f>_xll.BDP("073186NA Muni","MUNI_TAX_PROV")</f>
        <v>FED TAX-EXEMPT</v>
      </c>
      <c r="Q325" t="str">
        <f>_xll.BDP("073186NA Muni","MUNI_FED_TAX")</f>
        <v>N</v>
      </c>
      <c r="R325">
        <f>_xll.BDP("073186NA Muni","MUNI_MSRB_VOLUME")</f>
        <v>60000</v>
      </c>
      <c r="S325" t="str">
        <f>_xll.BDP("073186NA Muni","BB_COMPOSITE")</f>
        <v>AA</v>
      </c>
      <c r="T325">
        <f>_xll.BDP("073186NA Muni","LQA_LIQUIDITY_SCORE")</f>
        <v>66</v>
      </c>
    </row>
    <row r="326" spans="1:20" x14ac:dyDescent="0.25">
      <c r="A326" t="str">
        <f>_xll.BDP("073186NB Muni","ID_CUSIP")</f>
        <v>073186NB0</v>
      </c>
      <c r="B326" t="s">
        <v>179</v>
      </c>
      <c r="C326" t="str">
        <f>_xll.BDP("073186NB Muni","INSURANCE_STATUS")</f>
        <v>N</v>
      </c>
      <c r="D326" t="str">
        <f>_xll.BDP("073186NB Muni","STATE_CODE")</f>
        <v>TX</v>
      </c>
      <c r="E326" t="str">
        <f>_xll.BDP("073186NB Muni","COUNTY_LOCATION_ISSUER")</f>
        <v>Harris, TX</v>
      </c>
      <c r="F326">
        <f>_xll.BDP("073186NB Muni","DUR_ADJ_MID")</f>
        <v>4.1338195763118915</v>
      </c>
      <c r="G326">
        <f>_xll.BDP("073186NB Muni","SPREAD_AT_ISSUANCE_TO_WORST")</f>
        <v>36.799199999999985</v>
      </c>
      <c r="H326" t="str">
        <f>_xll.BDP("073186NB Muni","ISSUE_DT")</f>
        <v>10/1/2017</v>
      </c>
      <c r="I326" t="str">
        <f>_xll.BDS("073186NB Muni","MUNI_PURPOSE_SCHED", "aggregate=y")</f>
        <v>PUBLIC IMPS. WATER UTILITY IMPS. SEWER IMPS.</v>
      </c>
      <c r="J326">
        <f>_xll.BDP("073186NB Muni","CPN")</f>
        <v>4</v>
      </c>
      <c r="K326" t="str">
        <f>_xll.BDP("073186NB Muni","MATURITY")</f>
        <v>2/1/2027</v>
      </c>
      <c r="L326">
        <v>2165000</v>
      </c>
      <c r="M326">
        <f>_xll.BDP("073186NB Muni","YIELD_ON_ISSUE_DATE")</f>
        <v>2.3000000000000003</v>
      </c>
      <c r="N326">
        <f>_xll.BDP("073186NB Muni","YTW_SPREAD_TO_MATURITY_AT_ISSU")</f>
        <v>36.799199999999985</v>
      </c>
      <c r="O326" t="str">
        <f>_xll.BDP("073186NB Muni","BVAL_MID_YTM")</f>
        <v>#N/A Authorization</v>
      </c>
      <c r="P326" t="str">
        <f>_xll.BDP("073186NB Muni","MUNI_TAX_PROV")</f>
        <v>FED TAX-EXEMPT</v>
      </c>
      <c r="Q326" t="str">
        <f>_xll.BDP("073186NB Muni","MUNI_FED_TAX")</f>
        <v>N</v>
      </c>
      <c r="R326">
        <f>_xll.BDP("073186NB Muni","MUNI_MSRB_VOLUME")</f>
        <v>10000</v>
      </c>
      <c r="S326" t="str">
        <f>_xll.BDP("073186NB Muni","BB_COMPOSITE")</f>
        <v>AA</v>
      </c>
      <c r="T326">
        <f>_xll.BDP("073186NB Muni","LQA_LIQUIDITY_SCORE")</f>
        <v>59</v>
      </c>
    </row>
    <row r="327" spans="1:20" x14ac:dyDescent="0.25">
      <c r="A327" t="str">
        <f>_xll.BDP("074561NZ Muni","ID_CUSIP")</f>
        <v>074561NZ0</v>
      </c>
      <c r="B327" t="s">
        <v>129</v>
      </c>
      <c r="C327" t="str">
        <f>_xll.BDP("074561NZ Muni","INSURANCE_STATUS")</f>
        <v>Y</v>
      </c>
      <c r="D327" t="str">
        <f>_xll.BDP("074561NZ Muni","STATE_CODE")</f>
        <v>TX</v>
      </c>
      <c r="E327" t="str">
        <f>_xll.BDP("074561NZ Muni","COUNTY_LOCATION_ISSUER")</f>
        <v>Jefferson, TX</v>
      </c>
      <c r="F327">
        <f>_xll.BDP("074561NZ Muni","DUR_ADJ_MID")</f>
        <v>1.0372766690127071</v>
      </c>
      <c r="G327">
        <f>_xll.BDP("074561NZ Muni","SPREAD_AT_ISSUANCE_TO_WORST")</f>
        <v>35.235400961785501</v>
      </c>
      <c r="H327" t="str">
        <f>_xll.BDP("074561NZ Muni","ISSUE_DT")</f>
        <v>5/1/2017</v>
      </c>
      <c r="I327" t="str">
        <f>_xll.BDS("074561NZ Muni","MUNI_PURPOSE_SCHED", "aggregate=y")</f>
        <v>WATER UTILITY IMPS. SEWER IMPS.</v>
      </c>
      <c r="J327">
        <f>_xll.BDP("074561NZ Muni","CPN")</f>
        <v>5</v>
      </c>
      <c r="K327" t="str">
        <f>_xll.BDP("074561NZ Muni","MATURITY")</f>
        <v>9/1/2023</v>
      </c>
      <c r="L327">
        <v>715000</v>
      </c>
      <c r="M327">
        <f>_xll.BDP("074561NZ Muni","YIELD_ON_ISSUE_DATE")</f>
        <v>1.98</v>
      </c>
      <c r="N327">
        <f>_xll.BDP("074561NZ Muni","YTW_SPREAD_TO_MATURITY_AT_ISSU")</f>
        <v>35.235400961785501</v>
      </c>
      <c r="O327" t="str">
        <f>_xll.BDP("074561NZ Muni","BVAL_MID_YTM")</f>
        <v>#N/A Authorization</v>
      </c>
      <c r="P327" t="str">
        <f>_xll.BDP("074561NZ Muni","MUNI_TAX_PROV")</f>
        <v>FED TAX-EXEMPT</v>
      </c>
      <c r="Q327" t="str">
        <f>_xll.BDP("074561NZ Muni","MUNI_FED_TAX")</f>
        <v>N</v>
      </c>
      <c r="R327" t="str">
        <f>_xll.BDP("074561NZ Muni","MUNI_MSRB_VOLUME")</f>
        <v>#N/A N/A</v>
      </c>
      <c r="S327" t="str">
        <f>_xll.BDP("074561NZ Muni","BB_COMPOSITE")</f>
        <v>AA-</v>
      </c>
      <c r="T327">
        <f>_xll.BDP("074561NZ Muni","LQA_LIQUIDITY_SCORE")</f>
        <v>81</v>
      </c>
    </row>
    <row r="328" spans="1:20" x14ac:dyDescent="0.25">
      <c r="A328" t="str">
        <f>_xll.BDP("074561PA Muni","ID_CUSIP")</f>
        <v>074561PA3</v>
      </c>
      <c r="B328" t="s">
        <v>129</v>
      </c>
      <c r="C328" t="str">
        <f>_xll.BDP("074561PA Muni","INSURANCE_STATUS")</f>
        <v>Y</v>
      </c>
      <c r="D328" t="str">
        <f>_xll.BDP("074561PA Muni","STATE_CODE")</f>
        <v>TX</v>
      </c>
      <c r="E328" t="str">
        <f>_xll.BDP("074561PA Muni","COUNTY_LOCATION_ISSUER")</f>
        <v>Jefferson, TX</v>
      </c>
      <c r="F328">
        <f>_xll.BDP("074561PA Muni","DUR_ADJ_MID")</f>
        <v>1.9491688778018954</v>
      </c>
      <c r="G328">
        <f>_xll.BDP("074561PA Muni","SPREAD_AT_ISSUANCE_TO_WORST")</f>
        <v>39.764906922893736</v>
      </c>
      <c r="H328" t="str">
        <f>_xll.BDP("074561PA Muni","ISSUE_DT")</f>
        <v>5/1/2017</v>
      </c>
      <c r="I328" t="str">
        <f>_xll.BDS("074561PA Muni","MUNI_PURPOSE_SCHED", "aggregate=y")</f>
        <v>WATER UTILITY IMPS. SEWER IMPS.</v>
      </c>
      <c r="J328">
        <f>_xll.BDP("074561PA Muni","CPN")</f>
        <v>5</v>
      </c>
      <c r="K328" t="str">
        <f>_xll.BDP("074561PA Muni","MATURITY")</f>
        <v>9/1/2024</v>
      </c>
      <c r="L328">
        <v>750000</v>
      </c>
      <c r="M328">
        <f>_xll.BDP("074561PA Muni","YIELD_ON_ISSUE_DATE")</f>
        <v>2.19</v>
      </c>
      <c r="N328">
        <f>_xll.BDP("074561PA Muni","YTW_SPREAD_TO_MATURITY_AT_ISSU")</f>
        <v>39.764906922893736</v>
      </c>
      <c r="O328" t="str">
        <f>_xll.BDP("074561PA Muni","BVAL_MID_YTM")</f>
        <v>#N/A Authorization</v>
      </c>
      <c r="P328" t="str">
        <f>_xll.BDP("074561PA Muni","MUNI_TAX_PROV")</f>
        <v>FED TAX-EXEMPT</v>
      </c>
      <c r="Q328" t="str">
        <f>_xll.BDP("074561PA Muni","MUNI_FED_TAX")</f>
        <v>N</v>
      </c>
      <c r="R328">
        <f>_xll.BDP("074561PA Muni","MUNI_MSRB_VOLUME")</f>
        <v>50000</v>
      </c>
      <c r="S328" t="str">
        <f>_xll.BDP("074561PA Muni","BB_COMPOSITE")</f>
        <v>AA-</v>
      </c>
      <c r="T328">
        <f>_xll.BDP("074561PA Muni","LQA_LIQUIDITY_SCORE")</f>
        <v>70</v>
      </c>
    </row>
    <row r="329" spans="1:20" x14ac:dyDescent="0.25">
      <c r="A329" t="str">
        <f>_xll.BDP("074561PB Muni","ID_CUSIP")</f>
        <v>074561PB1</v>
      </c>
      <c r="B329" t="s">
        <v>129</v>
      </c>
      <c r="C329" t="str">
        <f>_xll.BDP("074561PB Muni","INSURANCE_STATUS")</f>
        <v>Y</v>
      </c>
      <c r="D329" t="str">
        <f>_xll.BDP("074561PB Muni","STATE_CODE")</f>
        <v>TX</v>
      </c>
      <c r="E329" t="str">
        <f>_xll.BDP("074561PB Muni","COUNTY_LOCATION_ISSUER")</f>
        <v>Jefferson, TX</v>
      </c>
      <c r="F329">
        <f>_xll.BDP("074561PB Muni","DUR_ADJ_MID")</f>
        <v>2.8216216716405946</v>
      </c>
      <c r="G329">
        <f>_xll.BDP("074561PB Muni","SPREAD_AT_ISSUANCE_TO_WORST")</f>
        <v>47.942815037682784</v>
      </c>
      <c r="H329" t="str">
        <f>_xll.BDP("074561PB Muni","ISSUE_DT")</f>
        <v>5/1/2017</v>
      </c>
      <c r="I329" t="str">
        <f>_xll.BDS("074561PB Muni","MUNI_PURPOSE_SCHED", "aggregate=y")</f>
        <v>WATER UTILITY IMPS. SEWER IMPS.</v>
      </c>
      <c r="J329">
        <f>_xll.BDP("074561PB Muni","CPN")</f>
        <v>5</v>
      </c>
      <c r="K329" t="str">
        <f>_xll.BDP("074561PB Muni","MATURITY")</f>
        <v>9/1/2025</v>
      </c>
      <c r="L329">
        <v>785000</v>
      </c>
      <c r="M329">
        <f>_xll.BDP("074561PB Muni","YIELD_ON_ISSUE_DATE")</f>
        <v>2.4300000000000002</v>
      </c>
      <c r="N329">
        <f>_xll.BDP("074561PB Muni","YTW_SPREAD_TO_MATURITY_AT_ISSU")</f>
        <v>47.942815037682784</v>
      </c>
      <c r="O329" t="str">
        <f>_xll.BDP("074561PB Muni","BVAL_MID_YTM")</f>
        <v>#N/A Authorization</v>
      </c>
      <c r="P329" t="str">
        <f>_xll.BDP("074561PB Muni","MUNI_TAX_PROV")</f>
        <v>FED TAX-EXEMPT</v>
      </c>
      <c r="Q329" t="str">
        <f>_xll.BDP("074561PB Muni","MUNI_FED_TAX")</f>
        <v>N</v>
      </c>
      <c r="R329" t="str">
        <f>_xll.BDP("074561PB Muni","MUNI_MSRB_VOLUME")</f>
        <v>#N/A N/A</v>
      </c>
      <c r="S329" t="str">
        <f>_xll.BDP("074561PB Muni","BB_COMPOSITE")</f>
        <v>AA-</v>
      </c>
      <c r="T329">
        <f>_xll.BDP("074561PB Muni","LQA_LIQUIDITY_SCORE")</f>
        <v>61</v>
      </c>
    </row>
    <row r="330" spans="1:20" x14ac:dyDescent="0.25">
      <c r="A330" t="str">
        <f>_xll.BDP("074561PC Muni","ID_CUSIP")</f>
        <v>074561PC9</v>
      </c>
      <c r="B330" t="s">
        <v>129</v>
      </c>
      <c r="C330" t="str">
        <f>_xll.BDP("074561PC Muni","INSURANCE_STATUS")</f>
        <v>Y</v>
      </c>
      <c r="D330" t="str">
        <f>_xll.BDP("074561PC Muni","STATE_CODE")</f>
        <v>TX</v>
      </c>
      <c r="E330" t="str">
        <f>_xll.BDP("074561PC Muni","COUNTY_LOCATION_ISSUER")</f>
        <v>Jefferson, TX</v>
      </c>
      <c r="F330">
        <f>_xll.BDP("074561PC Muni","DUR_ADJ_MID")</f>
        <v>3.6573328024531544</v>
      </c>
      <c r="G330">
        <f>_xll.BDP("074561PC Muni","SPREAD_AT_ISSUANCE_TO_WORST")</f>
        <v>53.206557489323146</v>
      </c>
      <c r="H330" t="str">
        <f>_xll.BDP("074561PC Muni","ISSUE_DT")</f>
        <v>5/1/2017</v>
      </c>
      <c r="I330" t="str">
        <f>_xll.BDS("074561PC Muni","MUNI_PURPOSE_SCHED", "aggregate=y")</f>
        <v>WATER UTILITY IMPS. SEWER IMPS.</v>
      </c>
      <c r="J330">
        <f>_xll.BDP("074561PC Muni","CPN")</f>
        <v>5</v>
      </c>
      <c r="K330" t="str">
        <f>_xll.BDP("074561PC Muni","MATURITY")</f>
        <v>9/1/2026</v>
      </c>
      <c r="L330">
        <v>825000</v>
      </c>
      <c r="M330">
        <f>_xll.BDP("074561PC Muni","YIELD_ON_ISSUE_DATE")</f>
        <v>2.62</v>
      </c>
      <c r="N330">
        <f>_xll.BDP("074561PC Muni","YTW_SPREAD_TO_MATURITY_AT_ISSU")</f>
        <v>53.206557489323146</v>
      </c>
      <c r="O330" t="str">
        <f>_xll.BDP("074561PC Muni","BVAL_MID_YTM")</f>
        <v>#N/A Authorization</v>
      </c>
      <c r="P330" t="str">
        <f>_xll.BDP("074561PC Muni","MUNI_TAX_PROV")</f>
        <v>FED TAX-EXEMPT</v>
      </c>
      <c r="Q330" t="str">
        <f>_xll.BDP("074561PC Muni","MUNI_FED_TAX")</f>
        <v>N</v>
      </c>
      <c r="R330" t="str">
        <f>_xll.BDP("074561PC Muni","MUNI_MSRB_VOLUME")</f>
        <v>#N/A N/A</v>
      </c>
      <c r="S330" t="str">
        <f>_xll.BDP("074561PC Muni","BB_COMPOSITE")</f>
        <v>AA-</v>
      </c>
      <c r="T330">
        <f>_xll.BDP("074561PC Muni","LQA_LIQUIDITY_SCORE")</f>
        <v>53</v>
      </c>
    </row>
    <row r="331" spans="1:20" x14ac:dyDescent="0.25">
      <c r="A331" t="str">
        <f>_xll.BDP("074561PD Muni","ID_CUSIP")</f>
        <v>074561PD7</v>
      </c>
      <c r="B331" t="s">
        <v>129</v>
      </c>
      <c r="C331" t="str">
        <f>_xll.BDP("074561PD Muni","INSURANCE_STATUS")</f>
        <v>Y</v>
      </c>
      <c r="D331" t="str">
        <f>_xll.BDP("074561PD Muni","STATE_CODE")</f>
        <v>TX</v>
      </c>
      <c r="E331" t="str">
        <f>_xll.BDP("074561PD Muni","COUNTY_LOCATION_ISSUER")</f>
        <v>Jefferson, TX</v>
      </c>
      <c r="F331">
        <f>_xll.BDP("074561PD Muni","DUR_ADJ_MID")</f>
        <v>4.4588630415600301</v>
      </c>
      <c r="G331">
        <f>_xll.BDP("074561PD Muni","SPREAD_AT_ISSUANCE_TO_WORST")</f>
        <v>53.213381063189622</v>
      </c>
      <c r="H331" t="str">
        <f>_xll.BDP("074561PD Muni","ISSUE_DT")</f>
        <v>5/1/2017</v>
      </c>
      <c r="I331" t="str">
        <f>_xll.BDS("074561PD Muni","MUNI_PURPOSE_SCHED", "aggregate=y")</f>
        <v>WATER UTILITY IMPS. SEWER IMPS.</v>
      </c>
      <c r="J331">
        <f>_xll.BDP("074561PD Muni","CPN")</f>
        <v>5</v>
      </c>
      <c r="K331" t="str">
        <f>_xll.BDP("074561PD Muni","MATURITY")</f>
        <v>9/1/2027</v>
      </c>
      <c r="L331">
        <v>865000</v>
      </c>
      <c r="M331">
        <f>_xll.BDP("074561PD Muni","YIELD_ON_ISSUE_DATE")</f>
        <v>2.74</v>
      </c>
      <c r="N331">
        <f>_xll.BDP("074561PD Muni","YTW_SPREAD_TO_MATURITY_AT_ISSU")</f>
        <v>53.213381063189622</v>
      </c>
      <c r="O331" t="str">
        <f>_xll.BDP("074561PD Muni","BVAL_MID_YTM")</f>
        <v>#N/A Authorization</v>
      </c>
      <c r="P331" t="str">
        <f>_xll.BDP("074561PD Muni","MUNI_TAX_PROV")</f>
        <v>FED TAX-EXEMPT</v>
      </c>
      <c r="Q331" t="str">
        <f>_xll.BDP("074561PD Muni","MUNI_FED_TAX")</f>
        <v>N</v>
      </c>
      <c r="R331">
        <f>_xll.BDP("074561PD Muni","MUNI_MSRB_VOLUME")</f>
        <v>45000</v>
      </c>
      <c r="S331" t="str">
        <f>_xll.BDP("074561PD Muni","BB_COMPOSITE")</f>
        <v>AA-</v>
      </c>
      <c r="T331">
        <f>_xll.BDP("074561PD Muni","LQA_LIQUIDITY_SCORE")</f>
        <v>46</v>
      </c>
    </row>
    <row r="332" spans="1:20" x14ac:dyDescent="0.25">
      <c r="A332" t="str">
        <f>_xll.BDP("122458V4 Muni","ID_CUSIP")</f>
        <v>122458V41</v>
      </c>
      <c r="B332" t="s">
        <v>130</v>
      </c>
      <c r="C332" t="str">
        <f>_xll.BDP("122458V4 Muni","INSURANCE_STATUS")</f>
        <v>N</v>
      </c>
      <c r="D332" t="str">
        <f>_xll.BDP("122458V4 Muni","STATE_CODE")</f>
        <v>MN</v>
      </c>
      <c r="E332" t="str">
        <f>_xll.BDP("122458V4 Muni","COUNTY_LOCATION_ISSUER")</f>
        <v>Dakota, MN</v>
      </c>
      <c r="F332">
        <f>_xll.BDP("122458V4 Muni","DUR_ADJ_MID")</f>
        <v>0.38203513672319311</v>
      </c>
      <c r="G332">
        <f>_xll.BDP("122458V4 Muni","SPREAD_AT_ISSUANCE_TO_WORST")</f>
        <v>1.4017041095890415</v>
      </c>
      <c r="H332" t="str">
        <f>_xll.BDP("122458V4 Muni","ISSUE_DT")</f>
        <v>11/15/2017</v>
      </c>
      <c r="I332" t="str">
        <f>_xll.BDS("122458V4 Muni","MUNI_PURPOSE_SCHED", "aggregate=y")</f>
        <v>PUBLIC FACILITIES WATER UTILITY IMPS.</v>
      </c>
      <c r="J332">
        <f>_xll.BDP("122458V4 Muni","CPN")</f>
        <v>4</v>
      </c>
      <c r="K332" t="str">
        <f>_xll.BDP("122458V4 Muni","MATURITY")</f>
        <v>12/20/2022</v>
      </c>
      <c r="L332">
        <v>850000</v>
      </c>
      <c r="M332">
        <f>_xll.BDP("122458V4 Muni","YIELD_ON_ISSUE_DATE")</f>
        <v>1.3900000000000001</v>
      </c>
      <c r="N332">
        <f>_xll.BDP("122458V4 Muni","YTW_SPREAD_TO_MATURITY_AT_ISSU")</f>
        <v>1.4017041095890415</v>
      </c>
      <c r="O332" t="str">
        <f>_xll.BDP("122458V4 Muni","BVAL_MID_YTM")</f>
        <v>#N/A Authorization</v>
      </c>
      <c r="P332" t="str">
        <f>_xll.BDP("122458V4 Muni","MUNI_TAX_PROV")</f>
        <v>FED &amp; ST TAX-EXEMPT</v>
      </c>
      <c r="Q332" t="str">
        <f>_xll.BDP("122458V4 Muni","MUNI_FED_TAX")</f>
        <v>N</v>
      </c>
      <c r="R332">
        <f>_xll.BDP("122458V4 Muni","MUNI_MSRB_VOLUME")</f>
        <v>600000</v>
      </c>
      <c r="S332" t="str">
        <f>_xll.BDP("122458V4 Muni","BB_COMPOSITE")</f>
        <v>#N/A N/A</v>
      </c>
      <c r="T332">
        <f>_xll.BDP("122458V4 Muni","LQA_LIQUIDITY_SCORE")</f>
        <v>97</v>
      </c>
    </row>
    <row r="333" spans="1:20" x14ac:dyDescent="0.25">
      <c r="A333" t="str">
        <f>_xll.BDP("122458V6 Muni","ID_CUSIP")</f>
        <v>122458V66</v>
      </c>
      <c r="B333" t="s">
        <v>130</v>
      </c>
      <c r="C333" t="str">
        <f>_xll.BDP("122458V6 Muni","INSURANCE_STATUS")</f>
        <v>N</v>
      </c>
      <c r="D333" t="str">
        <f>_xll.BDP("122458V6 Muni","STATE_CODE")</f>
        <v>MN</v>
      </c>
      <c r="E333" t="str">
        <f>_xll.BDP("122458V6 Muni","COUNTY_LOCATION_ISSUER")</f>
        <v>Dakota, MN</v>
      </c>
      <c r="F333">
        <f>_xll.BDP("122458V6 Muni","DUR_ADJ_MID")</f>
        <v>2.2719544559894</v>
      </c>
      <c r="G333">
        <f>_xll.BDP("122458V6 Muni","SPREAD_AT_ISSUANCE_TO_WORST")</f>
        <v>1.205263013698632</v>
      </c>
      <c r="H333" t="str">
        <f>_xll.BDP("122458V6 Muni","ISSUE_DT")</f>
        <v>11/15/2017</v>
      </c>
      <c r="I333" t="str">
        <f>_xll.BDS("122458V6 Muni","MUNI_PURPOSE_SCHED", "aggregate=y")</f>
        <v>PUBLIC FACILITIES WATER UTILITY IMPS.</v>
      </c>
      <c r="J333">
        <f>_xll.BDP("122458V6 Muni","CPN")</f>
        <v>4</v>
      </c>
      <c r="K333" t="str">
        <f>_xll.BDP("122458V6 Muni","MATURITY")</f>
        <v>12/20/2024</v>
      </c>
      <c r="L333">
        <v>925000</v>
      </c>
      <c r="M333">
        <f>_xll.BDP("122458V6 Muni","YIELD_ON_ISSUE_DATE")</f>
        <v>1.6500000000000001</v>
      </c>
      <c r="N333">
        <f>_xll.BDP("122458V6 Muni","YTW_SPREAD_TO_MATURITY_AT_ISSU")</f>
        <v>1.205263013698632</v>
      </c>
      <c r="O333" t="str">
        <f>_xll.BDP("122458V6 Muni","BVAL_MID_YTM")</f>
        <v>#N/A Authorization</v>
      </c>
      <c r="P333" t="str">
        <f>_xll.BDP("122458V6 Muni","MUNI_TAX_PROV")</f>
        <v>FED &amp; ST TAX-EXEMPT</v>
      </c>
      <c r="Q333" t="str">
        <f>_xll.BDP("122458V6 Muni","MUNI_FED_TAX")</f>
        <v>N</v>
      </c>
      <c r="R333" t="str">
        <f>_xll.BDP("122458V6 Muni","MUNI_MSRB_VOLUME")</f>
        <v>#N/A N/A</v>
      </c>
      <c r="S333" t="str">
        <f>_xll.BDP("122458V6 Muni","BB_COMPOSITE")</f>
        <v>#N/A N/A</v>
      </c>
      <c r="T333">
        <f>_xll.BDP("122458V6 Muni","LQA_LIQUIDITY_SCORE")</f>
        <v>80</v>
      </c>
    </row>
    <row r="334" spans="1:20" x14ac:dyDescent="0.25">
      <c r="A334" t="str">
        <f>_xll.BDP("122458V7 Muni","ID_CUSIP")</f>
        <v>122458V74</v>
      </c>
      <c r="B334" t="s">
        <v>130</v>
      </c>
      <c r="C334" t="str">
        <f>_xll.BDP("122458V7 Muni","INSURANCE_STATUS")</f>
        <v>N</v>
      </c>
      <c r="D334" t="str">
        <f>_xll.BDP("122458V7 Muni","STATE_CODE")</f>
        <v>MN</v>
      </c>
      <c r="E334" t="str">
        <f>_xll.BDP("122458V7 Muni","COUNTY_LOCATION_ISSUER")</f>
        <v>Dakota, MN</v>
      </c>
      <c r="F334">
        <f>_xll.BDP("122458V7 Muni","DUR_ADJ_MID")</f>
        <v>3.1659524771491379</v>
      </c>
      <c r="G334">
        <f>_xll.BDP("122458V7 Muni","SPREAD_AT_ISSUANCE_TO_WORST")</f>
        <v>8.2094438356164368</v>
      </c>
      <c r="H334" t="str">
        <f>_xll.BDP("122458V7 Muni","ISSUE_DT")</f>
        <v>11/15/2017</v>
      </c>
      <c r="I334" t="str">
        <f>_xll.BDS("122458V7 Muni","MUNI_PURPOSE_SCHED", "aggregate=y")</f>
        <v>PUBLIC FACILITIES WATER UTILITY IMPS.</v>
      </c>
      <c r="J334">
        <f>_xll.BDP("122458V7 Muni","CPN")</f>
        <v>4</v>
      </c>
      <c r="K334" t="str">
        <f>_xll.BDP("122458V7 Muni","MATURITY")</f>
        <v>12/20/2025</v>
      </c>
      <c r="L334">
        <v>965000</v>
      </c>
      <c r="M334">
        <f>_xll.BDP("122458V7 Muni","YIELD_ON_ISSUE_DATE")</f>
        <v>1.85</v>
      </c>
      <c r="N334">
        <f>_xll.BDP("122458V7 Muni","YTW_SPREAD_TO_MATURITY_AT_ISSU")</f>
        <v>8.2094438356164368</v>
      </c>
      <c r="O334" t="str">
        <f>_xll.BDP("122458V7 Muni","BVAL_MID_YTM")</f>
        <v>#N/A Authorization</v>
      </c>
      <c r="P334" t="str">
        <f>_xll.BDP("122458V7 Muni","MUNI_TAX_PROV")</f>
        <v>FED &amp; ST TAX-EXEMPT</v>
      </c>
      <c r="Q334" t="str">
        <f>_xll.BDP("122458V7 Muni","MUNI_FED_TAX")</f>
        <v>N</v>
      </c>
      <c r="R334" t="str">
        <f>_xll.BDP("122458V7 Muni","MUNI_MSRB_VOLUME")</f>
        <v>#N/A N/A</v>
      </c>
      <c r="S334" t="str">
        <f>_xll.BDP("122458V7 Muni","BB_COMPOSITE")</f>
        <v>#N/A N/A</v>
      </c>
      <c r="T334">
        <f>_xll.BDP("122458V7 Muni","LQA_LIQUIDITY_SCORE")</f>
        <v>71</v>
      </c>
    </row>
    <row r="335" spans="1:20" x14ac:dyDescent="0.25">
      <c r="A335" t="str">
        <f>_xll.BDP("122458V8 Muni","ID_CUSIP")</f>
        <v>122458V82</v>
      </c>
      <c r="B335" t="s">
        <v>130</v>
      </c>
      <c r="C335" t="str">
        <f>_xll.BDP("122458V8 Muni","INSURANCE_STATUS")</f>
        <v>N</v>
      </c>
      <c r="D335" t="str">
        <f>_xll.BDP("122458V8 Muni","STATE_CODE")</f>
        <v>MN</v>
      </c>
      <c r="E335" t="str">
        <f>_xll.BDP("122458V8 Muni","COUNTY_LOCATION_ISSUER")</f>
        <v>Dakota, MN</v>
      </c>
      <c r="F335">
        <f>_xll.BDP("122458V8 Muni","DUR_ADJ_MID")</f>
        <v>4.0283305040409001</v>
      </c>
      <c r="G335">
        <f>_xll.BDP("122458V8 Muni","SPREAD_AT_ISSUANCE_TO_WORST")</f>
        <v>12.02994246575344</v>
      </c>
      <c r="H335" t="str">
        <f>_xll.BDP("122458V8 Muni","ISSUE_DT")</f>
        <v>11/15/2017</v>
      </c>
      <c r="I335" t="str">
        <f>_xll.BDS("122458V8 Muni","MUNI_PURPOSE_SCHED", "aggregate=y")</f>
        <v>PUBLIC FACILITIES WATER UTILITY IMPS.</v>
      </c>
      <c r="J335">
        <f>_xll.BDP("122458V8 Muni","CPN")</f>
        <v>4</v>
      </c>
      <c r="K335" t="str">
        <f>_xll.BDP("122458V8 Muni","MATURITY")</f>
        <v>12/20/2026</v>
      </c>
      <c r="L335">
        <v>1000000</v>
      </c>
      <c r="M335">
        <f>_xll.BDP("122458V8 Muni","YIELD_ON_ISSUE_DATE")</f>
        <v>2</v>
      </c>
      <c r="N335">
        <f>_xll.BDP("122458V8 Muni","YTW_SPREAD_TO_MATURITY_AT_ISSU")</f>
        <v>12.02994246575344</v>
      </c>
      <c r="O335" t="str">
        <f>_xll.BDP("122458V8 Muni","BVAL_MID_YTM")</f>
        <v>#N/A Authorization</v>
      </c>
      <c r="P335" t="str">
        <f>_xll.BDP("122458V8 Muni","MUNI_TAX_PROV")</f>
        <v>FED &amp; ST TAX-EXEMPT</v>
      </c>
      <c r="Q335" t="str">
        <f>_xll.BDP("122458V8 Muni","MUNI_FED_TAX")</f>
        <v>N</v>
      </c>
      <c r="R335" t="str">
        <f>_xll.BDP("122458V8 Muni","MUNI_MSRB_VOLUME")</f>
        <v>#N/A N/A</v>
      </c>
      <c r="S335" t="str">
        <f>_xll.BDP("122458V8 Muni","BB_COMPOSITE")</f>
        <v>#N/A N/A</v>
      </c>
      <c r="T335">
        <f>_xll.BDP("122458V8 Muni","LQA_LIQUIDITY_SCORE")</f>
        <v>65</v>
      </c>
    </row>
    <row r="336" spans="1:20" x14ac:dyDescent="0.25">
      <c r="A336" t="str">
        <f>_xll.BDP("123889GX Muni","ID_CUSIP")</f>
        <v>123889GX9</v>
      </c>
      <c r="B336" t="s">
        <v>180</v>
      </c>
      <c r="C336" t="str">
        <f>_xll.BDP("123889GX Muni","INSURANCE_STATUS")</f>
        <v>N</v>
      </c>
      <c r="D336" t="str">
        <f>_xll.BDP("123889GX Muni","STATE_CODE")</f>
        <v>WI</v>
      </c>
      <c r="E336" t="str">
        <f>_xll.BDP("123889GX Muni","COUNTY_LOCATION_ISSUER")</f>
        <v>Waukesha, WI</v>
      </c>
      <c r="F336">
        <f>_xll.BDP("123889GX Muni","DUR_ADJ_MID")</f>
        <v>0.49380086099218651</v>
      </c>
      <c r="G336">
        <f>_xll.BDP("123889GX Muni","SPREAD_AT_ISSUANCE_TO_WORST")</f>
        <v>22.14501017706425</v>
      </c>
      <c r="H336" t="str">
        <f>_xll.BDP("123889GX Muni","ISSUE_DT")</f>
        <v>3/30/2017</v>
      </c>
      <c r="I336" t="str">
        <f>_xll.BDS("123889GX Muni","MUNI_PURPOSE_SCHED", "aggregate=y")</f>
        <v>PUBLIC IMPS. WATER UTILITY IMPS.</v>
      </c>
      <c r="J336">
        <f>_xll.BDP("123889GX Muni","CPN")</f>
        <v>3</v>
      </c>
      <c r="K336" t="str">
        <f>_xll.BDP("123889GX Muni","MATURITY")</f>
        <v>2/1/2023</v>
      </c>
      <c r="L336">
        <v>50000</v>
      </c>
      <c r="M336">
        <f>_xll.BDP("123889GX Muni","YIELD_ON_ISSUE_DATE")</f>
        <v>2</v>
      </c>
      <c r="N336">
        <f>_xll.BDP("123889GX Muni","YTW_SPREAD_TO_MATURITY_AT_ISSU")</f>
        <v>22.14501017706425</v>
      </c>
      <c r="O336" t="str">
        <f>_xll.BDP("123889GX Muni","BVAL_MID_YTM")</f>
        <v>#N/A Authorization</v>
      </c>
      <c r="P336" t="str">
        <f>_xll.BDP("123889GX Muni","MUNI_TAX_PROV")</f>
        <v>FED BQ/ST TAXABLE</v>
      </c>
      <c r="Q336" t="str">
        <f>_xll.BDP("123889GX Muni","MUNI_FED_TAX")</f>
        <v>N</v>
      </c>
      <c r="R336" t="str">
        <f>_xll.BDP("123889GX Muni","MUNI_MSRB_VOLUME")</f>
        <v>#N/A N/A</v>
      </c>
      <c r="S336" t="str">
        <f>_xll.BDP("123889GX Muni","BB_COMPOSITE")</f>
        <v>#N/A N/A</v>
      </c>
      <c r="T336">
        <f>_xll.BDP("123889GX Muni","LQA_LIQUIDITY_SCORE")</f>
        <v>89</v>
      </c>
    </row>
    <row r="337" spans="1:20" x14ac:dyDescent="0.25">
      <c r="A337" t="str">
        <f>_xll.BDP("023108LG Muni","ID_CUSIP")</f>
        <v>023108LG6</v>
      </c>
      <c r="B337" t="s">
        <v>156</v>
      </c>
      <c r="C337" t="str">
        <f>_xll.BDP("023108LG Muni","INSURANCE_STATUS")</f>
        <v>N</v>
      </c>
      <c r="D337" t="str">
        <f>_xll.BDP("023108LG Muni","STATE_CODE")</f>
        <v>TX</v>
      </c>
      <c r="E337" t="str">
        <f>_xll.BDP("023108LG Muni","COUNTY_LOCATION_ISSUER")</f>
        <v>Potter, TX</v>
      </c>
      <c r="F337">
        <f>_xll.BDP("023108LG Muni","DUR_ADJ_MID")</f>
        <v>0.64804213927551113</v>
      </c>
      <c r="G337">
        <f>_xll.BDP("023108LG Muni","SPREAD_AT_ISSUANCE_TO_WORST")</f>
        <v>20.056678925581608</v>
      </c>
      <c r="H337" t="str">
        <f>_xll.BDP("023108LG Muni","ISSUE_DT")</f>
        <v>4/1/2017</v>
      </c>
      <c r="I337" t="str">
        <f>_xll.BDS("023108LG Muni","MUNI_PURPOSE_SCHED", "aggregate=y")</f>
        <v>WATER UTILITY IMPS. SEWER IMPS.</v>
      </c>
      <c r="J337">
        <f>_xll.BDP("023108LG Muni","CPN")</f>
        <v>5</v>
      </c>
      <c r="K337" t="str">
        <f>_xll.BDP("023108LG Muni","MATURITY")</f>
        <v>4/1/2023</v>
      </c>
      <c r="L337">
        <v>1360000</v>
      </c>
      <c r="M337">
        <f>_xll.BDP("023108LG Muni","YIELD_ON_ISSUE_DATE")</f>
        <v>1.8</v>
      </c>
      <c r="N337">
        <f>_xll.BDP("023108LG Muni","YTW_SPREAD_TO_MATURITY_AT_ISSU")</f>
        <v>20.056678925581608</v>
      </c>
      <c r="O337" t="str">
        <f>_xll.BDP("023108LG Muni","BVAL_MID_YTM")</f>
        <v>#N/A Authorization</v>
      </c>
      <c r="P337" t="str">
        <f>_xll.BDP("023108LG Muni","MUNI_TAX_PROV")</f>
        <v>FED TAX-EXEMPT</v>
      </c>
      <c r="Q337" t="str">
        <f>_xll.BDP("023108LG Muni","MUNI_FED_TAX")</f>
        <v>N</v>
      </c>
      <c r="R337">
        <f>_xll.BDP("023108LG Muni","MUNI_MSRB_VOLUME")</f>
        <v>35000</v>
      </c>
      <c r="S337" t="str">
        <f>_xll.BDP("023108LG Muni","BB_COMPOSITE")</f>
        <v>#N/A N/A</v>
      </c>
      <c r="T337">
        <f>_xll.BDP("023108LG Muni","LQA_LIQUIDITY_SCORE")</f>
        <v>95</v>
      </c>
    </row>
    <row r="338" spans="1:20" x14ac:dyDescent="0.25">
      <c r="A338" t="str">
        <f>_xll.BDP("023108LH Muni","ID_CUSIP")</f>
        <v>023108LH4</v>
      </c>
      <c r="B338" t="s">
        <v>156</v>
      </c>
      <c r="C338" t="str">
        <f>_xll.BDP("023108LH Muni","INSURANCE_STATUS")</f>
        <v>N</v>
      </c>
      <c r="D338" t="str">
        <f>_xll.BDP("023108LH Muni","STATE_CODE")</f>
        <v>TX</v>
      </c>
      <c r="E338" t="str">
        <f>_xll.BDP("023108LH Muni","COUNTY_LOCATION_ISSUER")</f>
        <v>Potter, TX</v>
      </c>
      <c r="F338">
        <f>_xll.BDP("023108LH Muni","DUR_ADJ_MID")</f>
        <v>1.5813618816619355</v>
      </c>
      <c r="G338">
        <f>_xll.BDP("023108LH Muni","SPREAD_AT_ISSUANCE_TO_WORST")</f>
        <v>21.276725653257799</v>
      </c>
      <c r="H338" t="str">
        <f>_xll.BDP("023108LH Muni","ISSUE_DT")</f>
        <v>4/1/2017</v>
      </c>
      <c r="I338" t="str">
        <f>_xll.BDS("023108LH Muni","MUNI_PURPOSE_SCHED", "aggregate=y")</f>
        <v>WATER UTILITY IMPS. SEWER IMPS.</v>
      </c>
      <c r="J338">
        <f>_xll.BDP("023108LH Muni","CPN")</f>
        <v>5</v>
      </c>
      <c r="K338" t="str">
        <f>_xll.BDP("023108LH Muni","MATURITY")</f>
        <v>4/1/2024</v>
      </c>
      <c r="L338">
        <v>1425000</v>
      </c>
      <c r="M338">
        <f>_xll.BDP("023108LH Muni","YIELD_ON_ISSUE_DATE")</f>
        <v>1.98</v>
      </c>
      <c r="N338">
        <f>_xll.BDP("023108LH Muni","YTW_SPREAD_TO_MATURITY_AT_ISSU")</f>
        <v>21.276725653257799</v>
      </c>
      <c r="O338" t="str">
        <f>_xll.BDP("023108LH Muni","BVAL_MID_YTM")</f>
        <v>#N/A Authorization</v>
      </c>
      <c r="P338" t="str">
        <f>_xll.BDP("023108LH Muni","MUNI_TAX_PROV")</f>
        <v>FED TAX-EXEMPT</v>
      </c>
      <c r="Q338" t="str">
        <f>_xll.BDP("023108LH Muni","MUNI_FED_TAX")</f>
        <v>N</v>
      </c>
      <c r="R338" t="str">
        <f>_xll.BDP("023108LH Muni","MUNI_MSRB_VOLUME")</f>
        <v>#N/A N/A</v>
      </c>
      <c r="S338" t="str">
        <f>_xll.BDP("023108LH Muni","BB_COMPOSITE")</f>
        <v>#N/A N/A</v>
      </c>
      <c r="T338">
        <f>_xll.BDP("023108LH Muni","LQA_LIQUIDITY_SCORE")</f>
        <v>85</v>
      </c>
    </row>
    <row r="339" spans="1:20" x14ac:dyDescent="0.25">
      <c r="A339" t="str">
        <f>_xll.BDP("023108LJ Muni","ID_CUSIP")</f>
        <v>023108LJ0</v>
      </c>
      <c r="B339" t="s">
        <v>156</v>
      </c>
      <c r="C339" t="str">
        <f>_xll.BDP("023108LJ Muni","INSURANCE_STATUS")</f>
        <v>N</v>
      </c>
      <c r="D339" t="str">
        <f>_xll.BDP("023108LJ Muni","STATE_CODE")</f>
        <v>TX</v>
      </c>
      <c r="E339" t="str">
        <f>_xll.BDP("023108LJ Muni","COUNTY_LOCATION_ISSUER")</f>
        <v>Potter, TX</v>
      </c>
      <c r="F339">
        <f>_xll.BDP("023108LJ Muni","DUR_ADJ_MID")</f>
        <v>2.4735190024863742</v>
      </c>
      <c r="G339">
        <f>_xll.BDP("023108LJ Muni","SPREAD_AT_ISSUANCE_TO_WORST")</f>
        <v>22.894465568501165</v>
      </c>
      <c r="H339" t="str">
        <f>_xll.BDP("023108LJ Muni","ISSUE_DT")</f>
        <v>4/1/2017</v>
      </c>
      <c r="I339" t="str">
        <f>_xll.BDS("023108LJ Muni","MUNI_PURPOSE_SCHED", "aggregate=y")</f>
        <v>WATER UTILITY IMPS. SEWER IMPS.</v>
      </c>
      <c r="J339">
        <f>_xll.BDP("023108LJ Muni","CPN")</f>
        <v>5</v>
      </c>
      <c r="K339" t="str">
        <f>_xll.BDP("023108LJ Muni","MATURITY")</f>
        <v>4/1/2025</v>
      </c>
      <c r="L339">
        <v>1500000</v>
      </c>
      <c r="M339">
        <f>_xll.BDP("023108LJ Muni","YIELD_ON_ISSUE_DATE")</f>
        <v>2.16</v>
      </c>
      <c r="N339">
        <f>_xll.BDP("023108LJ Muni","YTW_SPREAD_TO_MATURITY_AT_ISSU")</f>
        <v>22.894465568501165</v>
      </c>
      <c r="O339" t="str">
        <f>_xll.BDP("023108LJ Muni","BVAL_MID_YTM")</f>
        <v>#N/A Authorization</v>
      </c>
      <c r="P339" t="str">
        <f>_xll.BDP("023108LJ Muni","MUNI_TAX_PROV")</f>
        <v>FED TAX-EXEMPT</v>
      </c>
      <c r="Q339" t="str">
        <f>_xll.BDP("023108LJ Muni","MUNI_FED_TAX")</f>
        <v>N</v>
      </c>
      <c r="R339">
        <f>_xll.BDP("023108LJ Muni","MUNI_MSRB_VOLUME")</f>
        <v>15000</v>
      </c>
      <c r="S339" t="str">
        <f>_xll.BDP("023108LJ Muni","BB_COMPOSITE")</f>
        <v>#N/A N/A</v>
      </c>
      <c r="T339">
        <f>_xll.BDP("023108LJ Muni","LQA_LIQUIDITY_SCORE")</f>
        <v>76</v>
      </c>
    </row>
    <row r="340" spans="1:20" x14ac:dyDescent="0.25">
      <c r="A340" t="str">
        <f>_xll.BDP("023108LL Muni","ID_CUSIP")</f>
        <v>023108LL5</v>
      </c>
      <c r="B340" t="s">
        <v>156</v>
      </c>
      <c r="C340" t="str">
        <f>_xll.BDP("023108LL Muni","INSURANCE_STATUS")</f>
        <v>N</v>
      </c>
      <c r="D340" t="str">
        <f>_xll.BDP("023108LL Muni","STATE_CODE")</f>
        <v>TX</v>
      </c>
      <c r="E340" t="str">
        <f>_xll.BDP("023108LL Muni","COUNTY_LOCATION_ISSUER")</f>
        <v>Potter, TX</v>
      </c>
      <c r="F340">
        <f>_xll.BDP("023108LL Muni","DUR_ADJ_MID")</f>
        <v>4.1477251919742821</v>
      </c>
      <c r="G340">
        <f>_xll.BDP("023108LL Muni","SPREAD_AT_ISSUANCE_TO_WORST")</f>
        <v>17.65546980012158</v>
      </c>
      <c r="H340" t="str">
        <f>_xll.BDP("023108LL Muni","ISSUE_DT")</f>
        <v>4/1/2017</v>
      </c>
      <c r="I340" t="str">
        <f>_xll.BDS("023108LL Muni","MUNI_PURPOSE_SCHED", "aggregate=y")</f>
        <v>WATER UTILITY IMPS. SEWER IMPS.</v>
      </c>
      <c r="J340">
        <f>_xll.BDP("023108LL Muni","CPN")</f>
        <v>5</v>
      </c>
      <c r="K340" t="str">
        <f>_xll.BDP("023108LL Muni","MATURITY")</f>
        <v>4/1/2027</v>
      </c>
      <c r="L340">
        <v>1445000</v>
      </c>
      <c r="M340">
        <f>_xll.BDP("023108LL Muni","YIELD_ON_ISSUE_DATE")</f>
        <v>2.37</v>
      </c>
      <c r="N340">
        <f>_xll.BDP("023108LL Muni","YTW_SPREAD_TO_MATURITY_AT_ISSU")</f>
        <v>17.65546980012158</v>
      </c>
      <c r="O340" t="str">
        <f>_xll.BDP("023108LL Muni","BVAL_MID_YTM")</f>
        <v>#N/A Authorization</v>
      </c>
      <c r="P340" t="str">
        <f>_xll.BDP("023108LL Muni","MUNI_TAX_PROV")</f>
        <v>FED TAX-EXEMPT</v>
      </c>
      <c r="Q340" t="str">
        <f>_xll.BDP("023108LL Muni","MUNI_FED_TAX")</f>
        <v>N</v>
      </c>
      <c r="R340" t="str">
        <f>_xll.BDP("023108LL Muni","MUNI_MSRB_VOLUME")</f>
        <v>#N/A N/A</v>
      </c>
      <c r="S340" t="str">
        <f>_xll.BDP("023108LL Muni","BB_COMPOSITE")</f>
        <v>#N/A N/A</v>
      </c>
      <c r="T340">
        <f>_xll.BDP("023108LL Muni","LQA_LIQUIDITY_SCORE")</f>
        <v>59</v>
      </c>
    </row>
    <row r="341" spans="1:20" x14ac:dyDescent="0.25">
      <c r="A341" t="str">
        <f>_xll.BDP("047885CK Muni","ID_CUSIP")</f>
        <v>047885CK2</v>
      </c>
      <c r="B341" t="s">
        <v>181</v>
      </c>
      <c r="C341" t="str">
        <f>_xll.BDP("047885CK Muni","INSURANCE_STATUS")</f>
        <v>N</v>
      </c>
      <c r="D341" t="str">
        <f>_xll.BDP("047885CK Muni","STATE_CODE")</f>
        <v>IL</v>
      </c>
      <c r="E341" t="str">
        <f>_xll.BDP("047885CK Muni","COUNTY_LOCATION_ISSUER")</f>
        <v>Logan, IL</v>
      </c>
      <c r="F341">
        <f>_xll.BDP("047885CK Muni","DUR_ADJ_MID")</f>
        <v>0.32869543984074201</v>
      </c>
      <c r="G341">
        <f>_xll.BDP("047885CK Muni","SPREAD_AT_ISSUANCE_TO_WORST")</f>
        <v>148.04627083080837</v>
      </c>
      <c r="H341" t="str">
        <f>_xll.BDP("047885CK Muni","ISSUE_DT")</f>
        <v>5/10/2017</v>
      </c>
      <c r="I341" t="str">
        <f>_xll.BDS("047885CK Muni","MUNI_PURPOSE_SCHED", "aggregate=y")</f>
        <v>WATER UTILITY IMPS. CURRENT REFUNDING</v>
      </c>
      <c r="J341">
        <f>_xll.BDP("047885CK Muni","CPN")</f>
        <v>4.75</v>
      </c>
      <c r="K341" t="str">
        <f>_xll.BDP("047885CK Muni","MATURITY")</f>
        <v>12/1/2022</v>
      </c>
      <c r="L341">
        <v>60000</v>
      </c>
      <c r="M341">
        <f>_xll.BDP("047885CK Muni","YIELD_ON_ISSUE_DATE")</f>
        <v>2.9000000000000004</v>
      </c>
      <c r="N341">
        <f>_xll.BDP("047885CK Muni","YTW_SPREAD_TO_MATURITY_AT_ISSU")</f>
        <v>148.04627083080837</v>
      </c>
      <c r="O341" t="str">
        <f>_xll.BDP("047885CK Muni","BVAL_MID_YTM")</f>
        <v>#N/A Authorization</v>
      </c>
      <c r="P341" t="str">
        <f>_xll.BDP("047885CK Muni","MUNI_TAX_PROV")</f>
        <v>FED BQ/ST TAXABLE</v>
      </c>
      <c r="Q341" t="str">
        <f>_xll.BDP("047885CK Muni","MUNI_FED_TAX")</f>
        <v>N</v>
      </c>
      <c r="R341" t="str">
        <f>_xll.BDP("047885CK Muni","MUNI_MSRB_VOLUME")</f>
        <v>#N/A N/A</v>
      </c>
      <c r="S341" t="str">
        <f>_xll.BDP("047885CK Muni","BB_COMPOSITE")</f>
        <v>#N/A N/A</v>
      </c>
      <c r="T341">
        <f>_xll.BDP("047885CK Muni","LQA_LIQUIDITY_SCORE")</f>
        <v>98</v>
      </c>
    </row>
    <row r="342" spans="1:20" x14ac:dyDescent="0.25">
      <c r="A342" t="str">
        <f>_xll.BDP("2441094M Muni","ID_CUSIP")</f>
        <v>2441094M3</v>
      </c>
      <c r="B342" t="s">
        <v>182</v>
      </c>
      <c r="C342" t="str">
        <f>_xll.BDP("2441094M Muni","INSURANCE_STATUS")</f>
        <v>N</v>
      </c>
      <c r="D342" t="str">
        <f>_xll.BDP("2441094M Muni","STATE_CODE")</f>
        <v>TX</v>
      </c>
      <c r="E342" t="str">
        <f>_xll.BDP("2441094M Muni","COUNTY_LOCATION_ISSUER")</f>
        <v>Harris, TX</v>
      </c>
      <c r="F342">
        <f>_xll.BDP("2441094M Muni","DUR_ADJ_MID")</f>
        <v>0.61079357998864248</v>
      </c>
      <c r="G342">
        <f>_xll.BDP("2441094M Muni","SPREAD_AT_ISSUANCE_TO_WORST")</f>
        <v>11.177136986301385</v>
      </c>
      <c r="H342" t="str">
        <f>_xll.BDP("2441094M Muni","ISSUE_DT")</f>
        <v>12/1/2017</v>
      </c>
      <c r="I342" t="str">
        <f>_xll.BDS("2441094M Muni","MUNI_PURPOSE_SCHED", "aggregate=y")</f>
        <v>WATER UTILITY IMPS. SEWER IMPS.</v>
      </c>
      <c r="J342">
        <f>_xll.BDP("2441094M Muni","CPN")</f>
        <v>2</v>
      </c>
      <c r="K342" t="str">
        <f>_xll.BDP("2441094M Muni","MATURITY")</f>
        <v>3/15/2023</v>
      </c>
      <c r="L342">
        <v>195000</v>
      </c>
      <c r="M342">
        <f>_xll.BDP("2441094M Muni","YIELD_ON_ISSUE_DATE")</f>
        <v>1.6</v>
      </c>
      <c r="N342">
        <f>_xll.BDP("2441094M Muni","YTW_SPREAD_TO_MATURITY_AT_ISSU")</f>
        <v>11.177136986301385</v>
      </c>
      <c r="O342" t="str">
        <f>_xll.BDP("2441094M Muni","BVAL_MID_YTM")</f>
        <v>#N/A Authorization</v>
      </c>
      <c r="P342" t="str">
        <f>_xll.BDP("2441094M Muni","MUNI_TAX_PROV")</f>
        <v>FED BQ</v>
      </c>
      <c r="Q342" t="str">
        <f>_xll.BDP("2441094M Muni","MUNI_FED_TAX")</f>
        <v>N</v>
      </c>
      <c r="R342" t="str">
        <f>_xll.BDP("2441094M Muni","MUNI_MSRB_VOLUME")</f>
        <v>#N/A N/A</v>
      </c>
      <c r="S342" t="str">
        <f>_xll.BDP("2441094M Muni","BB_COMPOSITE")</f>
        <v>#N/A N/A</v>
      </c>
      <c r="T342">
        <f>_xll.BDP("2441094M Muni","LQA_LIQUIDITY_SCORE")</f>
        <v>93</v>
      </c>
    </row>
    <row r="343" spans="1:20" x14ac:dyDescent="0.25">
      <c r="A343" t="str">
        <f>_xll.BDP("2441094N Muni","ID_CUSIP")</f>
        <v>2441094N1</v>
      </c>
      <c r="B343" t="s">
        <v>182</v>
      </c>
      <c r="C343" t="str">
        <f>_xll.BDP("2441094N Muni","INSURANCE_STATUS")</f>
        <v>N</v>
      </c>
      <c r="D343" t="str">
        <f>_xll.BDP("2441094N Muni","STATE_CODE")</f>
        <v>TX</v>
      </c>
      <c r="E343" t="str">
        <f>_xll.BDP("2441094N Muni","COUNTY_LOCATION_ISSUER")</f>
        <v>Harris, TX</v>
      </c>
      <c r="F343">
        <f>_xll.BDP("2441094N Muni","DUR_ADJ_MID")</f>
        <v>1.5628309025033185</v>
      </c>
      <c r="G343">
        <f>_xll.BDP("2441094N Muni","SPREAD_AT_ISSUANCE_TO_WORST")</f>
        <v>14.698616438356172</v>
      </c>
      <c r="H343" t="str">
        <f>_xll.BDP("2441094N Muni","ISSUE_DT")</f>
        <v>12/1/2017</v>
      </c>
      <c r="I343" t="str">
        <f>_xll.BDS("2441094N Muni","MUNI_PURPOSE_SCHED", "aggregate=y")</f>
        <v>WATER UTILITY IMPS. SEWER IMPS.</v>
      </c>
      <c r="J343">
        <f>_xll.BDP("2441094N Muni","CPN")</f>
        <v>3</v>
      </c>
      <c r="K343" t="str">
        <f>_xll.BDP("2441094N Muni","MATURITY")</f>
        <v>3/15/2024</v>
      </c>
      <c r="L343">
        <v>250000</v>
      </c>
      <c r="M343">
        <f>_xll.BDP("2441094N Muni","YIELD_ON_ISSUE_DATE")</f>
        <v>1.75</v>
      </c>
      <c r="N343">
        <f>_xll.BDP("2441094N Muni","YTW_SPREAD_TO_MATURITY_AT_ISSU")</f>
        <v>14.698616438356172</v>
      </c>
      <c r="O343" t="str">
        <f>_xll.BDP("2441094N Muni","BVAL_MID_YTM")</f>
        <v>#N/A Authorization</v>
      </c>
      <c r="P343" t="str">
        <f>_xll.BDP("2441094N Muni","MUNI_TAX_PROV")</f>
        <v>FED BQ</v>
      </c>
      <c r="Q343" t="str">
        <f>_xll.BDP("2441094N Muni","MUNI_FED_TAX")</f>
        <v>N</v>
      </c>
      <c r="R343">
        <f>_xll.BDP("2441094N Muni","MUNI_MSRB_VOLUME")</f>
        <v>50000</v>
      </c>
      <c r="S343" t="str">
        <f>_xll.BDP("2441094N Muni","BB_COMPOSITE")</f>
        <v>#N/A N/A</v>
      </c>
      <c r="T343">
        <f>_xll.BDP("2441094N Muni","LQA_LIQUIDITY_SCORE")</f>
        <v>89</v>
      </c>
    </row>
    <row r="344" spans="1:20" x14ac:dyDescent="0.25">
      <c r="A344" t="str">
        <f>_xll.BDP("2441094Q Muni","ID_CUSIP")</f>
        <v>2441094Q4</v>
      </c>
      <c r="B344" t="s">
        <v>182</v>
      </c>
      <c r="C344" t="str">
        <f>_xll.BDP("2441094Q Muni","INSURANCE_STATUS")</f>
        <v>N</v>
      </c>
      <c r="D344" t="str">
        <f>_xll.BDP("2441094Q Muni","STATE_CODE")</f>
        <v>TX</v>
      </c>
      <c r="E344" t="str">
        <f>_xll.BDP("2441094Q Muni","COUNTY_LOCATION_ISSUER")</f>
        <v>Harris, TX</v>
      </c>
      <c r="F344">
        <f>_xll.BDP("2441094Q Muni","DUR_ADJ_MID")</f>
        <v>3.3907282917645962</v>
      </c>
      <c r="G344">
        <f>_xll.BDP("2441094Q Muni","SPREAD_AT_ISSUANCE_TO_WORST")</f>
        <v>16.811068493150682</v>
      </c>
      <c r="H344" t="str">
        <f>_xll.BDP("2441094Q Muni","ISSUE_DT")</f>
        <v>12/1/2017</v>
      </c>
      <c r="I344" t="str">
        <f>_xll.BDS("2441094Q Muni","MUNI_PURPOSE_SCHED", "aggregate=y")</f>
        <v>WATER UTILITY IMPS. SEWER IMPS.</v>
      </c>
      <c r="J344">
        <f>_xll.BDP("2441094Q Muni","CPN")</f>
        <v>3</v>
      </c>
      <c r="K344" t="str">
        <f>_xll.BDP("2441094Q Muni","MATURITY")</f>
        <v>3/15/2026</v>
      </c>
      <c r="L344">
        <v>265000</v>
      </c>
      <c r="M344">
        <f>_xll.BDP("2441094Q Muni","YIELD_ON_ISSUE_DATE")</f>
        <v>2</v>
      </c>
      <c r="N344">
        <f>_xll.BDP("2441094Q Muni","YTW_SPREAD_TO_MATURITY_AT_ISSU")</f>
        <v>16.811068493150682</v>
      </c>
      <c r="O344" t="str">
        <f>_xll.BDP("2441094Q Muni","BVAL_MID_YTM")</f>
        <v>#N/A Authorization</v>
      </c>
      <c r="P344" t="str">
        <f>_xll.BDP("2441094Q Muni","MUNI_TAX_PROV")</f>
        <v>FED BQ</v>
      </c>
      <c r="Q344" t="str">
        <f>_xll.BDP("2441094Q Muni","MUNI_FED_TAX")</f>
        <v>N</v>
      </c>
      <c r="R344" t="str">
        <f>_xll.BDP("2441094Q Muni","MUNI_MSRB_VOLUME")</f>
        <v>#N/A N/A</v>
      </c>
      <c r="S344" t="str">
        <f>_xll.BDP("2441094Q Muni","BB_COMPOSITE")</f>
        <v>#N/A N/A</v>
      </c>
      <c r="T344">
        <f>_xll.BDP("2441094Q Muni","LQA_LIQUIDITY_SCORE")</f>
        <v>71</v>
      </c>
    </row>
    <row r="345" spans="1:20" x14ac:dyDescent="0.25">
      <c r="A345" t="str">
        <f>_xll.BDP("227384EP Muni","ID_CUSIP")</f>
        <v>227384EP5</v>
      </c>
      <c r="B345" t="s">
        <v>183</v>
      </c>
      <c r="C345" t="str">
        <f>_xll.BDP("227384EP Muni","INSURANCE_STATUS")</f>
        <v>Y</v>
      </c>
      <c r="D345" t="str">
        <f>_xll.BDP("227384EP Muni","STATE_CODE")</f>
        <v>TX</v>
      </c>
      <c r="E345" t="str">
        <f>_xll.BDP("227384EP Muni","COUNTY_LOCATION_ISSUER")</f>
        <v>Harris, TX</v>
      </c>
      <c r="F345">
        <f>_xll.BDP("227384EP Muni","DUR_ADJ_MID")</f>
        <v>1.0122109132021391</v>
      </c>
      <c r="G345">
        <f>_xll.BDP("227384EP Muni","SPREAD_AT_ISSUANCE_TO_WORST")</f>
        <v>35.477243835616434</v>
      </c>
      <c r="H345" t="str">
        <f>_xll.BDP("227384EP Muni","ISSUE_DT")</f>
        <v>11/15/2017</v>
      </c>
      <c r="I345" t="str">
        <f>_xll.BDS("227384EP Muni","MUNI_PURPOSE_SCHED", "aggregate=y")</f>
        <v>WATER UTILITY IMPS. SEWER IMPS.</v>
      </c>
      <c r="J345">
        <f>_xll.BDP("227384EP Muni","CPN")</f>
        <v>2</v>
      </c>
      <c r="K345" t="str">
        <f>_xll.BDP("227384EP Muni","MATURITY")</f>
        <v>8/15/2023</v>
      </c>
      <c r="L345">
        <v>185000</v>
      </c>
      <c r="M345">
        <f>_xll.BDP("227384EP Muni","YIELD_ON_ISSUE_DATE")</f>
        <v>1.9000000000000001</v>
      </c>
      <c r="N345">
        <f>_xll.BDP("227384EP Muni","YTW_SPREAD_TO_MATURITY_AT_ISSU")</f>
        <v>35.477243835616434</v>
      </c>
      <c r="O345" t="str">
        <f>_xll.BDP("227384EP Muni","BVAL_MID_YTM")</f>
        <v>#N/A Authorization</v>
      </c>
      <c r="P345" t="str">
        <f>_xll.BDP("227384EP Muni","MUNI_TAX_PROV")</f>
        <v>FED BQ</v>
      </c>
      <c r="Q345" t="str">
        <f>_xll.BDP("227384EP Muni","MUNI_FED_TAX")</f>
        <v>N</v>
      </c>
      <c r="R345" t="str">
        <f>_xll.BDP("227384EP Muni","MUNI_MSRB_VOLUME")</f>
        <v>#N/A N/A</v>
      </c>
      <c r="S345" t="str">
        <f>_xll.BDP("227384EP Muni","BB_COMPOSITE")</f>
        <v>#N/A N/A</v>
      </c>
      <c r="T345">
        <f>_xll.BDP("227384EP Muni","LQA_LIQUIDITY_SCORE")</f>
        <v>85</v>
      </c>
    </row>
    <row r="346" spans="1:20" x14ac:dyDescent="0.25">
      <c r="A346" t="str">
        <f>_xll.BDP("227384EQ Muni","ID_CUSIP")</f>
        <v>227384EQ3</v>
      </c>
      <c r="B346" t="s">
        <v>183</v>
      </c>
      <c r="C346" t="str">
        <f>_xll.BDP("227384EQ Muni","INSURANCE_STATUS")</f>
        <v>Y</v>
      </c>
      <c r="D346" t="str">
        <f>_xll.BDP("227384EQ Muni","STATE_CODE")</f>
        <v>TX</v>
      </c>
      <c r="E346" t="str">
        <f>_xll.BDP("227384EQ Muni","COUNTY_LOCATION_ISSUER")</f>
        <v>Harris, TX</v>
      </c>
      <c r="F346">
        <f>_xll.BDP("227384EQ Muni","DUR_ADJ_MID")</f>
        <v>1.9669347259764531</v>
      </c>
      <c r="G346">
        <f>_xll.BDP("227384EQ Muni","SPREAD_AT_ISSUANCE_TO_WORST")</f>
        <v>43.014821917808234</v>
      </c>
      <c r="H346" t="str">
        <f>_xll.BDP("227384EQ Muni","ISSUE_DT")</f>
        <v>11/15/2017</v>
      </c>
      <c r="I346" t="str">
        <f>_xll.BDS("227384EQ Muni","MUNI_PURPOSE_SCHED", "aggregate=y")</f>
        <v>WATER UTILITY IMPS. SEWER IMPS.</v>
      </c>
      <c r="J346">
        <f>_xll.BDP("227384EQ Muni","CPN")</f>
        <v>2</v>
      </c>
      <c r="K346" t="str">
        <f>_xll.BDP("227384EQ Muni","MATURITY")</f>
        <v>8/15/2024</v>
      </c>
      <c r="L346">
        <v>185000</v>
      </c>
      <c r="M346">
        <f>_xll.BDP("227384EQ Muni","YIELD_ON_ISSUE_DATE")</f>
        <v>2.1</v>
      </c>
      <c r="N346">
        <f>_xll.BDP("227384EQ Muni","YTW_SPREAD_TO_MATURITY_AT_ISSU")</f>
        <v>43.014821917808234</v>
      </c>
      <c r="O346" t="str">
        <f>_xll.BDP("227384EQ Muni","BVAL_MID_YTM")</f>
        <v>#N/A Authorization</v>
      </c>
      <c r="P346" t="str">
        <f>_xll.BDP("227384EQ Muni","MUNI_TAX_PROV")</f>
        <v>FED BQ</v>
      </c>
      <c r="Q346" t="str">
        <f>_xll.BDP("227384EQ Muni","MUNI_FED_TAX")</f>
        <v>N</v>
      </c>
      <c r="R346" t="str">
        <f>_xll.BDP("227384EQ Muni","MUNI_MSRB_VOLUME")</f>
        <v>#N/A N/A</v>
      </c>
      <c r="S346" t="str">
        <f>_xll.BDP("227384EQ Muni","BB_COMPOSITE")</f>
        <v>#N/A N/A</v>
      </c>
      <c r="T346">
        <f>_xll.BDP("227384EQ Muni","LQA_LIQUIDITY_SCORE")</f>
        <v>70</v>
      </c>
    </row>
    <row r="347" spans="1:20" x14ac:dyDescent="0.25">
      <c r="A347" t="str">
        <f>_xll.BDP("227384EN Muni","ID_CUSIP")</f>
        <v>227384EN0</v>
      </c>
      <c r="B347" t="s">
        <v>183</v>
      </c>
      <c r="C347" t="str">
        <f>_xll.BDP("227384EN Muni","INSURANCE_STATUS")</f>
        <v>Y</v>
      </c>
      <c r="D347" t="str">
        <f>_xll.BDP("227384EN Muni","STATE_CODE")</f>
        <v>TX</v>
      </c>
      <c r="E347" t="str">
        <f>_xll.BDP("227384EN Muni","COUNTY_LOCATION_ISSUER")</f>
        <v>Harris, TX</v>
      </c>
      <c r="F347">
        <f>_xll.BDP("227384EN Muni","DUR_ADJ_MID")</f>
        <v>3.6095300086271355E-2</v>
      </c>
      <c r="G347">
        <f>_xll.BDP("227384EN Muni","SPREAD_AT_ISSUANCE_TO_WORST")</f>
        <v>37.613589041095885</v>
      </c>
      <c r="H347" t="str">
        <f>_xll.BDP("227384EN Muni","ISSUE_DT")</f>
        <v>11/15/2017</v>
      </c>
      <c r="I347" t="str">
        <f>_xll.BDS("227384EN Muni","MUNI_PURPOSE_SCHED", "aggregate=y")</f>
        <v>WATER UTILITY IMPS. SEWER IMPS.</v>
      </c>
      <c r="J347">
        <f>_xll.BDP("227384EN Muni","CPN")</f>
        <v>2</v>
      </c>
      <c r="K347" t="str">
        <f>_xll.BDP("227384EN Muni","MATURITY")</f>
        <v>8/15/2022</v>
      </c>
      <c r="L347">
        <v>185000</v>
      </c>
      <c r="M347">
        <f>_xll.BDP("227384EN Muni","YIELD_ON_ISSUE_DATE")</f>
        <v>1.8</v>
      </c>
      <c r="N347">
        <f>_xll.BDP("227384EN Muni","YTW_SPREAD_TO_MATURITY_AT_ISSU")</f>
        <v>37.613589041095885</v>
      </c>
      <c r="O347" t="str">
        <f>_xll.BDP("227384EN Muni","BVAL_MID_YTM")</f>
        <v>#N/A Authorization</v>
      </c>
      <c r="P347" t="str">
        <f>_xll.BDP("227384EN Muni","MUNI_TAX_PROV")</f>
        <v>FED BQ</v>
      </c>
      <c r="Q347" t="str">
        <f>_xll.BDP("227384EN Muni","MUNI_FED_TAX")</f>
        <v>N</v>
      </c>
      <c r="R347" t="str">
        <f>_xll.BDP("227384EN Muni","MUNI_MSRB_VOLUME")</f>
        <v>#N/A N/A</v>
      </c>
      <c r="S347" t="str">
        <f>_xll.BDP("227384EN Muni","BB_COMPOSITE")</f>
        <v>#N/A N/A</v>
      </c>
      <c r="T347">
        <f>_xll.BDP("227384EN Muni","LQA_LIQUIDITY_SCORE")</f>
        <v>95</v>
      </c>
    </row>
    <row r="348" spans="1:20" x14ac:dyDescent="0.25">
      <c r="A348" t="str">
        <f>_xll.BDP("227384ER Muni","ID_CUSIP")</f>
        <v>227384ER1</v>
      </c>
      <c r="B348" t="s">
        <v>183</v>
      </c>
      <c r="C348" t="str">
        <f>_xll.BDP("227384ER Muni","INSURANCE_STATUS")</f>
        <v>Y</v>
      </c>
      <c r="D348" t="str">
        <f>_xll.BDP("227384ER Muni","STATE_CODE")</f>
        <v>TX</v>
      </c>
      <c r="E348" t="str">
        <f>_xll.BDP("227384ER Muni","COUNTY_LOCATION_ISSUER")</f>
        <v>Harris, TX</v>
      </c>
      <c r="F348">
        <f>_xll.BDP("227384ER Muni","DUR_ADJ_MID")</f>
        <v>2.9023638932319673</v>
      </c>
      <c r="G348">
        <f>_xll.BDP("227384ER Muni","SPREAD_AT_ISSUANCE_TO_WORST")</f>
        <v>45.45098082191781</v>
      </c>
      <c r="H348" t="str">
        <f>_xll.BDP("227384ER Muni","ISSUE_DT")</f>
        <v>11/15/2017</v>
      </c>
      <c r="I348" t="str">
        <f>_xll.BDS("227384ER Muni","MUNI_PURPOSE_SCHED", "aggregate=y")</f>
        <v>WATER UTILITY IMPS. SEWER IMPS.</v>
      </c>
      <c r="J348">
        <f>_xll.BDP("227384ER Muni","CPN")</f>
        <v>2</v>
      </c>
      <c r="K348" t="str">
        <f>_xll.BDP("227384ER Muni","MATURITY")</f>
        <v>8/15/2025</v>
      </c>
      <c r="L348">
        <v>180000</v>
      </c>
      <c r="M348">
        <f>_xll.BDP("227384ER Muni","YIELD_ON_ISSUE_DATE")</f>
        <v>2.25</v>
      </c>
      <c r="N348">
        <f>_xll.BDP("227384ER Muni","YTW_SPREAD_TO_MATURITY_AT_ISSU")</f>
        <v>45.45098082191781</v>
      </c>
      <c r="O348" t="str">
        <f>_xll.BDP("227384ER Muni","BVAL_MID_YTM")</f>
        <v>#N/A Authorization</v>
      </c>
      <c r="P348" t="str">
        <f>_xll.BDP("227384ER Muni","MUNI_TAX_PROV")</f>
        <v>FED BQ</v>
      </c>
      <c r="Q348" t="str">
        <f>_xll.BDP("227384ER Muni","MUNI_FED_TAX")</f>
        <v>N</v>
      </c>
      <c r="R348" t="str">
        <f>_xll.BDP("227384ER Muni","MUNI_MSRB_VOLUME")</f>
        <v>#N/A N/A</v>
      </c>
      <c r="S348" t="str">
        <f>_xll.BDP("227384ER Muni","BB_COMPOSITE")</f>
        <v>#N/A N/A</v>
      </c>
      <c r="T348">
        <f>_xll.BDP("227384ER Muni","LQA_LIQUIDITY_SCORE")</f>
        <v>56</v>
      </c>
    </row>
    <row r="349" spans="1:20" x14ac:dyDescent="0.25">
      <c r="A349" t="str">
        <f>_xll.BDP("147294CU Muni","ID_CUSIP")</f>
        <v>147294CU4</v>
      </c>
      <c r="B349" t="s">
        <v>184</v>
      </c>
      <c r="C349" t="str">
        <f>_xll.BDP("147294CU Muni","INSURANCE_STATUS")</f>
        <v>N</v>
      </c>
      <c r="D349" t="str">
        <f>_xll.BDP("147294CU Muni","STATE_CODE")</f>
        <v>IA</v>
      </c>
      <c r="E349" t="str">
        <f>_xll.BDP("147294CU Muni","COUNTY_LOCATION_ISSUER")</f>
        <v>Dubuque, IA</v>
      </c>
      <c r="F349">
        <f>_xll.BDP("147294CU Muni","DUR_ADJ_MID")</f>
        <v>0.81859546028075303</v>
      </c>
      <c r="G349">
        <f>_xll.BDP("147294CU Muni","SPREAD_AT_ISSUANCE_TO_WORST")</f>
        <v>25.033740776233216</v>
      </c>
      <c r="H349" t="str">
        <f>_xll.BDP("147294CU Muni","ISSUE_DT")</f>
        <v>4/25/2017</v>
      </c>
      <c r="I349" t="str">
        <f>_xll.BDS("147294CU Muni","MUNI_PURPOSE_SCHED", "aggregate=y")</f>
        <v>PUBLIC IMPS. WATER UTILITY IMPS. SEWER IMPS.</v>
      </c>
      <c r="J349">
        <f>_xll.BDP("147294CU Muni","CPN")</f>
        <v>2.5</v>
      </c>
      <c r="K349" t="str">
        <f>_xll.BDP("147294CU Muni","MATURITY")</f>
        <v>6/1/2023</v>
      </c>
      <c r="L349">
        <v>125000</v>
      </c>
      <c r="M349">
        <f>_xll.BDP("147294CU Muni","YIELD_ON_ISSUE_DATE")</f>
        <v>2</v>
      </c>
      <c r="N349">
        <f>_xll.BDP("147294CU Muni","YTW_SPREAD_TO_MATURITY_AT_ISSU")</f>
        <v>25.033740776233216</v>
      </c>
      <c r="O349" t="str">
        <f>_xll.BDP("147294CU Muni","BVAL_MID_YTM")</f>
        <v>#N/A Authorization</v>
      </c>
      <c r="P349" t="str">
        <f>_xll.BDP("147294CU Muni","MUNI_TAX_PROV")</f>
        <v>FED BQ</v>
      </c>
      <c r="Q349" t="str">
        <f>_xll.BDP("147294CU Muni","MUNI_FED_TAX")</f>
        <v>N</v>
      </c>
      <c r="R349" t="str">
        <f>_xll.BDP("147294CU Muni","MUNI_MSRB_VOLUME")</f>
        <v>#N/A N/A</v>
      </c>
      <c r="S349" t="str">
        <f>_xll.BDP("147294CU Muni","BB_COMPOSITE")</f>
        <v>#N/A N/A</v>
      </c>
      <c r="T349">
        <f>_xll.BDP("147294CU Muni","LQA_LIQUIDITY_SCORE")</f>
        <v>77</v>
      </c>
    </row>
    <row r="350" spans="1:20" x14ac:dyDescent="0.25">
      <c r="A350" t="str">
        <f>_xll.BDP("147294CV Muni","ID_CUSIP")</f>
        <v>147294CV2</v>
      </c>
      <c r="B350" t="s">
        <v>184</v>
      </c>
      <c r="C350" t="str">
        <f>_xll.BDP("147294CV Muni","INSURANCE_STATUS")</f>
        <v>N</v>
      </c>
      <c r="D350" t="str">
        <f>_xll.BDP("147294CV Muni","STATE_CODE")</f>
        <v>IA</v>
      </c>
      <c r="E350" t="str">
        <f>_xll.BDP("147294CV Muni","COUNTY_LOCATION_ISSUER")</f>
        <v>Dubuque, IA</v>
      </c>
      <c r="F350">
        <f>_xll.BDP("147294CV Muni","DUR_ADJ_MID")</f>
        <v>1.7782724636285938</v>
      </c>
      <c r="G350">
        <f>_xll.BDP("147294CV Muni","SPREAD_AT_ISSUANCE_TO_WORST")</f>
        <v>18.337460501613268</v>
      </c>
      <c r="H350" t="str">
        <f>_xll.BDP("147294CV Muni","ISSUE_DT")</f>
        <v>4/25/2017</v>
      </c>
      <c r="I350" t="str">
        <f>_xll.BDS("147294CV Muni","MUNI_PURPOSE_SCHED", "aggregate=y")</f>
        <v>PUBLIC IMPS. WATER UTILITY IMPS. SEWER IMPS.</v>
      </c>
      <c r="J350">
        <f>_xll.BDP("147294CV Muni","CPN")</f>
        <v>2.5</v>
      </c>
      <c r="K350" t="str">
        <f>_xll.BDP("147294CV Muni","MATURITY")</f>
        <v>6/1/2024</v>
      </c>
      <c r="L350">
        <v>130000</v>
      </c>
      <c r="M350">
        <f>_xll.BDP("147294CV Muni","YIELD_ON_ISSUE_DATE")</f>
        <v>2.1</v>
      </c>
      <c r="N350">
        <f>_xll.BDP("147294CV Muni","YTW_SPREAD_TO_MATURITY_AT_ISSU")</f>
        <v>18.337460501613268</v>
      </c>
      <c r="O350" t="str">
        <f>_xll.BDP("147294CV Muni","BVAL_MID_YTM")</f>
        <v>#N/A Authorization</v>
      </c>
      <c r="P350" t="str">
        <f>_xll.BDP("147294CV Muni","MUNI_TAX_PROV")</f>
        <v>FED BQ</v>
      </c>
      <c r="Q350" t="str">
        <f>_xll.BDP("147294CV Muni","MUNI_FED_TAX")</f>
        <v>N</v>
      </c>
      <c r="R350" t="str">
        <f>_xll.BDP("147294CV Muni","MUNI_MSRB_VOLUME")</f>
        <v>#N/A N/A</v>
      </c>
      <c r="S350" t="str">
        <f>_xll.BDP("147294CV Muni","BB_COMPOSITE")</f>
        <v>#N/A N/A</v>
      </c>
      <c r="T350">
        <f>_xll.BDP("147294CV Muni","LQA_LIQUIDITY_SCORE")</f>
        <v>62</v>
      </c>
    </row>
    <row r="351" spans="1:20" x14ac:dyDescent="0.25">
      <c r="A351" t="str">
        <f>_xll.BDP("147294CW Muni","ID_CUSIP")</f>
        <v>147294CW0</v>
      </c>
      <c r="B351" t="s">
        <v>184</v>
      </c>
      <c r="C351" t="str">
        <f>_xll.BDP("147294CW Muni","INSURANCE_STATUS")</f>
        <v>N</v>
      </c>
      <c r="D351" t="str">
        <f>_xll.BDP("147294CW Muni","STATE_CODE")</f>
        <v>IA</v>
      </c>
      <c r="E351" t="str">
        <f>_xll.BDP("147294CW Muni","COUNTY_LOCATION_ISSUER")</f>
        <v>Dubuque, IA</v>
      </c>
      <c r="F351">
        <f>_xll.BDP("147294CW Muni","DUR_ADJ_MID")</f>
        <v>2.7145852982993652</v>
      </c>
      <c r="G351">
        <f>_xll.BDP("147294CW Muni","SPREAD_AT_ISSUANCE_TO_WORST")</f>
        <v>17.384798781340692</v>
      </c>
      <c r="H351" t="str">
        <f>_xll.BDP("147294CW Muni","ISSUE_DT")</f>
        <v>4/25/2017</v>
      </c>
      <c r="I351" t="str">
        <f>_xll.BDS("147294CW Muni","MUNI_PURPOSE_SCHED", "aggregate=y")</f>
        <v>PUBLIC IMPS. WATER UTILITY IMPS. SEWER IMPS.</v>
      </c>
      <c r="J351">
        <f>_xll.BDP("147294CW Muni","CPN")</f>
        <v>2.5</v>
      </c>
      <c r="K351" t="str">
        <f>_xll.BDP("147294CW Muni","MATURITY")</f>
        <v>6/1/2025</v>
      </c>
      <c r="L351">
        <v>130000</v>
      </c>
      <c r="M351">
        <f>_xll.BDP("147294CW Muni","YIELD_ON_ISSUE_DATE")</f>
        <v>2.25</v>
      </c>
      <c r="N351">
        <f>_xll.BDP("147294CW Muni","YTW_SPREAD_TO_MATURITY_AT_ISSU")</f>
        <v>17.384798781340692</v>
      </c>
      <c r="O351" t="str">
        <f>_xll.BDP("147294CW Muni","BVAL_MID_YTM")</f>
        <v>#N/A Authorization</v>
      </c>
      <c r="P351" t="str">
        <f>_xll.BDP("147294CW Muni","MUNI_TAX_PROV")</f>
        <v>FED BQ</v>
      </c>
      <c r="Q351" t="str">
        <f>_xll.BDP("147294CW Muni","MUNI_FED_TAX")</f>
        <v>N</v>
      </c>
      <c r="R351" t="str">
        <f>_xll.BDP("147294CW Muni","MUNI_MSRB_VOLUME")</f>
        <v>#N/A N/A</v>
      </c>
      <c r="S351" t="str">
        <f>_xll.BDP("147294CW Muni","BB_COMPOSITE")</f>
        <v>#N/A N/A</v>
      </c>
      <c r="T351">
        <f>_xll.BDP("147294CW Muni","LQA_LIQUIDITY_SCORE")</f>
        <v>48</v>
      </c>
    </row>
    <row r="352" spans="1:20" x14ac:dyDescent="0.25">
      <c r="A352" t="str">
        <f>_xll.BDP("147294CX Muni","ID_CUSIP")</f>
        <v>147294CX8</v>
      </c>
      <c r="B352" t="s">
        <v>184</v>
      </c>
      <c r="C352" t="str">
        <f>_xll.BDP("147294CX Muni","INSURANCE_STATUS")</f>
        <v>N</v>
      </c>
      <c r="D352" t="str">
        <f>_xll.BDP("147294CX Muni","STATE_CODE")</f>
        <v>IA</v>
      </c>
      <c r="E352" t="str">
        <f>_xll.BDP("147294CX Muni","COUNTY_LOCATION_ISSUER")</f>
        <v>Dubuque, IA</v>
      </c>
      <c r="F352">
        <f>_xll.BDP("147294CX Muni","DUR_ADJ_MID")</f>
        <v>3.5985927798365696</v>
      </c>
      <c r="G352">
        <f>_xll.BDP("147294CX Muni","SPREAD_AT_ISSUANCE_TO_WORST")</f>
        <v>13.606595402789923</v>
      </c>
      <c r="H352" t="str">
        <f>_xll.BDP("147294CX Muni","ISSUE_DT")</f>
        <v>4/25/2017</v>
      </c>
      <c r="I352" t="str">
        <f>_xll.BDS("147294CX Muni","MUNI_PURPOSE_SCHED", "aggregate=y")</f>
        <v>PUBLIC IMPS. WATER UTILITY IMPS. SEWER IMPS.</v>
      </c>
      <c r="J352">
        <f>_xll.BDP("147294CX Muni","CPN")</f>
        <v>3</v>
      </c>
      <c r="K352" t="str">
        <f>_xll.BDP("147294CX Muni","MATURITY")</f>
        <v>6/1/2026</v>
      </c>
      <c r="L352">
        <v>135000</v>
      </c>
      <c r="M352">
        <f>_xll.BDP("147294CX Muni","YIELD_ON_ISSUE_DATE")</f>
        <v>2.35</v>
      </c>
      <c r="N352">
        <f>_xll.BDP("147294CX Muni","YTW_SPREAD_TO_MATURITY_AT_ISSU")</f>
        <v>13.606595402789923</v>
      </c>
      <c r="O352" t="str">
        <f>_xll.BDP("147294CX Muni","BVAL_MID_YTM")</f>
        <v>#N/A Authorization</v>
      </c>
      <c r="P352" t="str">
        <f>_xll.BDP("147294CX Muni","MUNI_TAX_PROV")</f>
        <v>FED BQ</v>
      </c>
      <c r="Q352" t="str">
        <f>_xll.BDP("147294CX Muni","MUNI_FED_TAX")</f>
        <v>N</v>
      </c>
      <c r="R352" t="str">
        <f>_xll.BDP("147294CX Muni","MUNI_MSRB_VOLUME")</f>
        <v>#N/A N/A</v>
      </c>
      <c r="S352" t="str">
        <f>_xll.BDP("147294CX Muni","BB_COMPOSITE")</f>
        <v>#N/A N/A</v>
      </c>
      <c r="T352">
        <f>_xll.BDP("147294CX Muni","LQA_LIQUIDITY_SCORE")</f>
        <v>46</v>
      </c>
    </row>
    <row r="353" spans="1:20" x14ac:dyDescent="0.25">
      <c r="A353" t="str">
        <f>_xll.BDP("14762PAF Muni","ID_CUSIP")</f>
        <v>14762PAF0</v>
      </c>
      <c r="B353" t="s">
        <v>68</v>
      </c>
      <c r="C353" t="str">
        <f>_xll.BDP("14762PAF Muni","INSURANCE_STATUS")</f>
        <v>N</v>
      </c>
      <c r="D353" t="str">
        <f>_xll.BDP("14762PAF Muni","STATE_CODE")</f>
        <v>CA</v>
      </c>
      <c r="E353" t="str">
        <f>_xll.BDP("14762PAF Muni","COUNTY_LOCATION_ISSUER")</f>
        <v>Ventura, CA</v>
      </c>
      <c r="F353">
        <f>_xll.BDP("14762PAF Muni","DUR_ADJ_MID")</f>
        <v>8.0480392312274371E-2</v>
      </c>
      <c r="G353">
        <f>_xll.BDP("14762PAF Muni","SPREAD_AT_ISSUANCE_TO_WORST")</f>
        <v>48.586570636548032</v>
      </c>
      <c r="H353" t="str">
        <f>_xll.BDP("14762PAF Muni","ISSUE_DT")</f>
        <v>5/31/2017</v>
      </c>
      <c r="I353" t="str">
        <f>_xll.BDS("14762PAF Muni","MUNI_PURPOSE_SCHED", "aggregate=y")</f>
        <v>WATER UTILITY IMPS.</v>
      </c>
      <c r="J353">
        <f>_xll.BDP("14762PAF Muni","CPN")</f>
        <v>4</v>
      </c>
      <c r="K353" t="str">
        <f>_xll.BDP("14762PAF Muni","MATURITY")</f>
        <v>9/1/2022</v>
      </c>
      <c r="L353">
        <v>340000</v>
      </c>
      <c r="M353">
        <f>_xll.BDP("14762PAF Muni","YIELD_ON_ISSUE_DATE")</f>
        <v>1.9100000000000001</v>
      </c>
      <c r="N353">
        <f>_xll.BDP("14762PAF Muni","YTW_SPREAD_TO_MATURITY_AT_ISSU")</f>
        <v>48.586570636548032</v>
      </c>
      <c r="O353" t="str">
        <f>_xll.BDP("14762PAF Muni","BVAL_MID_YTM")</f>
        <v>#N/A Authorization</v>
      </c>
      <c r="P353" t="str">
        <f>_xll.BDP("14762PAF Muni","MUNI_TAX_PROV")</f>
        <v>FED &amp; ST TAX-EXEMPT</v>
      </c>
      <c r="Q353" t="str">
        <f>_xll.BDP("14762PAF Muni","MUNI_FED_TAX")</f>
        <v>N</v>
      </c>
      <c r="R353" t="str">
        <f>_xll.BDP("14762PAF Muni","MUNI_MSRB_VOLUME")</f>
        <v>#N/A N/A</v>
      </c>
      <c r="S353" t="str">
        <f>_xll.BDP("14762PAF Muni","BB_COMPOSITE")</f>
        <v>#N/A N/A</v>
      </c>
      <c r="T353">
        <f>_xll.BDP("14762PAF Muni","LQA_LIQUIDITY_SCORE")</f>
        <v>97</v>
      </c>
    </row>
    <row r="354" spans="1:20" x14ac:dyDescent="0.25">
      <c r="A354" t="str">
        <f>_xll.BDP("14762PAH Muni","ID_CUSIP")</f>
        <v>14762PAH6</v>
      </c>
      <c r="B354" t="s">
        <v>68</v>
      </c>
      <c r="C354" t="str">
        <f>_xll.BDP("14762PAH Muni","INSURANCE_STATUS")</f>
        <v>Y</v>
      </c>
      <c r="D354" t="str">
        <f>_xll.BDP("14762PAH Muni","STATE_CODE")</f>
        <v>CA</v>
      </c>
      <c r="E354" t="str">
        <f>_xll.BDP("14762PAH Muni","COUNTY_LOCATION_ISSUER")</f>
        <v>Ventura, CA</v>
      </c>
      <c r="F354">
        <f>_xll.BDP("14762PAH Muni","DUR_ADJ_MID")</f>
        <v>1.9692357229770516</v>
      </c>
      <c r="G354">
        <f>_xll.BDP("14762PAH Muni","SPREAD_AT_ISSUANCE_TO_WORST")</f>
        <v>46.949941538257889</v>
      </c>
      <c r="H354" t="str">
        <f>_xll.BDP("14762PAH Muni","ISSUE_DT")</f>
        <v>5/31/2017</v>
      </c>
      <c r="I354" t="str">
        <f>_xll.BDS("14762PAH Muni","MUNI_PURPOSE_SCHED", "aggregate=y")</f>
        <v>WATER UTILITY IMPS.</v>
      </c>
      <c r="J354">
        <f>_xll.BDP("14762PAH Muni","CPN")</f>
        <v>4</v>
      </c>
      <c r="K354" t="str">
        <f>_xll.BDP("14762PAH Muni","MATURITY")</f>
        <v>9/1/2024</v>
      </c>
      <c r="L354">
        <v>455000</v>
      </c>
      <c r="M354">
        <f>_xll.BDP("14762PAH Muni","YIELD_ON_ISSUE_DATE")</f>
        <v>2.2200000000000002</v>
      </c>
      <c r="N354">
        <f>_xll.BDP("14762PAH Muni","YTW_SPREAD_TO_MATURITY_AT_ISSU")</f>
        <v>46.949941538257889</v>
      </c>
      <c r="O354" t="str">
        <f>_xll.BDP("14762PAH Muni","BVAL_MID_YTM")</f>
        <v>#N/A Authorization</v>
      </c>
      <c r="P354" t="str">
        <f>_xll.BDP("14762PAH Muni","MUNI_TAX_PROV")</f>
        <v>FED &amp; ST TAX-EXEMPT</v>
      </c>
      <c r="Q354" t="str">
        <f>_xll.BDP("14762PAH Muni","MUNI_FED_TAX")</f>
        <v>N</v>
      </c>
      <c r="R354" t="str">
        <f>_xll.BDP("14762PAH Muni","MUNI_MSRB_VOLUME")</f>
        <v>#N/A N/A</v>
      </c>
      <c r="S354" t="str">
        <f>_xll.BDP("14762PAH Muni","BB_COMPOSITE")</f>
        <v>#N/A N/A</v>
      </c>
      <c r="T354">
        <f>_xll.BDP("14762PAH Muni","LQA_LIQUIDITY_SCORE")</f>
        <v>79</v>
      </c>
    </row>
    <row r="355" spans="1:20" x14ac:dyDescent="0.25">
      <c r="A355" t="str">
        <f>_xll.BDP("14762PAJ Muni","ID_CUSIP")</f>
        <v>14762PAJ2</v>
      </c>
      <c r="B355" t="s">
        <v>68</v>
      </c>
      <c r="C355" t="str">
        <f>_xll.BDP("14762PAJ Muni","INSURANCE_STATUS")</f>
        <v>Y</v>
      </c>
      <c r="D355" t="str">
        <f>_xll.BDP("14762PAJ Muni","STATE_CODE")</f>
        <v>CA</v>
      </c>
      <c r="E355" t="str">
        <f>_xll.BDP("14762PAJ Muni","COUNTY_LOCATION_ISSUER")</f>
        <v>Ventura, CA</v>
      </c>
      <c r="F355">
        <f>_xll.BDP("14762PAJ Muni","DUR_ADJ_MID")</f>
        <v>2.8609458465357811</v>
      </c>
      <c r="G355">
        <f>_xll.BDP("14762PAJ Muni","SPREAD_AT_ISSUANCE_TO_WORST")</f>
        <v>49.143906499811976</v>
      </c>
      <c r="H355" t="str">
        <f>_xll.BDP("14762PAJ Muni","ISSUE_DT")</f>
        <v>5/31/2017</v>
      </c>
      <c r="I355" t="str">
        <f>_xll.BDS("14762PAJ Muni","MUNI_PURPOSE_SCHED", "aggregate=y")</f>
        <v>WATER UTILITY IMPS.</v>
      </c>
      <c r="J355">
        <f>_xll.BDP("14762PAJ Muni","CPN")</f>
        <v>4</v>
      </c>
      <c r="K355" t="str">
        <f>_xll.BDP("14762PAJ Muni","MATURITY")</f>
        <v>9/1/2025</v>
      </c>
      <c r="L355">
        <v>520000</v>
      </c>
      <c r="M355">
        <f>_xll.BDP("14762PAJ Muni","YIELD_ON_ISSUE_DATE")</f>
        <v>2.4000000000000004</v>
      </c>
      <c r="N355">
        <f>_xll.BDP("14762PAJ Muni","YTW_SPREAD_TO_MATURITY_AT_ISSU")</f>
        <v>49.143906499811976</v>
      </c>
      <c r="O355" t="str">
        <f>_xll.BDP("14762PAJ Muni","BVAL_MID_YTM")</f>
        <v>#N/A Authorization</v>
      </c>
      <c r="P355" t="str">
        <f>_xll.BDP("14762PAJ Muni","MUNI_TAX_PROV")</f>
        <v>FED &amp; ST TAX-EXEMPT</v>
      </c>
      <c r="Q355" t="str">
        <f>_xll.BDP("14762PAJ Muni","MUNI_FED_TAX")</f>
        <v>N</v>
      </c>
      <c r="R355">
        <f>_xll.BDP("14762PAJ Muni","MUNI_MSRB_VOLUME")</f>
        <v>150000</v>
      </c>
      <c r="S355" t="str">
        <f>_xll.BDP("14762PAJ Muni","BB_COMPOSITE")</f>
        <v>#N/A N/A</v>
      </c>
      <c r="T355">
        <f>_xll.BDP("14762PAJ Muni","LQA_LIQUIDITY_SCORE")</f>
        <v>71</v>
      </c>
    </row>
    <row r="356" spans="1:20" x14ac:dyDescent="0.25">
      <c r="A356" t="str">
        <f>_xll.BDP("14762PAL Muni","ID_CUSIP")</f>
        <v>14762PAL7</v>
      </c>
      <c r="B356" t="s">
        <v>68</v>
      </c>
      <c r="C356" t="str">
        <f>_xll.BDP("14762PAL Muni","INSURANCE_STATUS")</f>
        <v>Y</v>
      </c>
      <c r="D356" t="str">
        <f>_xll.BDP("14762PAL Muni","STATE_CODE")</f>
        <v>CA</v>
      </c>
      <c r="E356" t="str">
        <f>_xll.BDP("14762PAL Muni","COUNTY_LOCATION_ISSUER")</f>
        <v>Ventura, CA</v>
      </c>
      <c r="F356">
        <f>_xll.BDP("14762PAL Muni","DUR_ADJ_MID")</f>
        <v>4.4562053329370839</v>
      </c>
      <c r="G356">
        <f>_xll.BDP("14762PAL Muni","SPREAD_AT_ISSUANCE_TO_WORST")</f>
        <v>53.329563111033096</v>
      </c>
      <c r="H356" t="str">
        <f>_xll.BDP("14762PAL Muni","ISSUE_DT")</f>
        <v>5/31/2017</v>
      </c>
      <c r="I356" t="str">
        <f>_xll.BDS("14762PAL Muni","MUNI_PURPOSE_SCHED", "aggregate=y")</f>
        <v>WATER UTILITY IMPS.</v>
      </c>
      <c r="J356">
        <f>_xll.BDP("14762PAL Muni","CPN")</f>
        <v>5</v>
      </c>
      <c r="K356" t="str">
        <f>_xll.BDP("14762PAL Muni","MATURITY")</f>
        <v>9/1/2027</v>
      </c>
      <c r="L356">
        <v>655000</v>
      </c>
      <c r="M356">
        <f>_xll.BDP("14762PAL Muni","YIELD_ON_ISSUE_DATE")</f>
        <v>2.7</v>
      </c>
      <c r="N356">
        <f>_xll.BDP("14762PAL Muni","YTW_SPREAD_TO_MATURITY_AT_ISSU")</f>
        <v>53.329563111033096</v>
      </c>
      <c r="O356" t="str">
        <f>_xll.BDP("14762PAL Muni","BVAL_MID_YTM")</f>
        <v>#N/A Authorization</v>
      </c>
      <c r="P356" t="str">
        <f>_xll.BDP("14762PAL Muni","MUNI_TAX_PROV")</f>
        <v>FED &amp; ST TAX-EXEMPT</v>
      </c>
      <c r="Q356" t="str">
        <f>_xll.BDP("14762PAL Muni","MUNI_FED_TAX")</f>
        <v>N</v>
      </c>
      <c r="R356" t="str">
        <f>_xll.BDP("14762PAL Muni","MUNI_MSRB_VOLUME")</f>
        <v>#N/A N/A</v>
      </c>
      <c r="S356" t="str">
        <f>_xll.BDP("14762PAL Muni","BB_COMPOSITE")</f>
        <v>#N/A N/A</v>
      </c>
      <c r="T356">
        <f>_xll.BDP("14762PAL Muni","LQA_LIQUIDITY_SCORE")</f>
        <v>63</v>
      </c>
    </row>
    <row r="357" spans="1:20" x14ac:dyDescent="0.25">
      <c r="A357" t="str">
        <f>_xll.BDP("04184KSL Muni","ID_CUSIP")</f>
        <v>04184KSL0</v>
      </c>
      <c r="B357" t="s">
        <v>185</v>
      </c>
      <c r="C357" t="str">
        <f>_xll.BDP("04184KSL Muni","INSURANCE_STATUS")</f>
        <v>N</v>
      </c>
      <c r="D357" t="str">
        <f>_xll.BDP("04184KSL Muni","STATE_CODE")</f>
        <v>TX</v>
      </c>
      <c r="E357" t="str">
        <f>_xll.BDP("04184KSL Muni","COUNTY_LOCATION_ISSUER")</f>
        <v>Tarrant, TX</v>
      </c>
      <c r="F357">
        <f>_xll.BDP("04184KSL Muni","DUR_ADJ_MID")</f>
        <v>1.7592737600538146</v>
      </c>
      <c r="G357">
        <f>_xll.BDP("04184KSL Muni","SPREAD_AT_ISSUANCE_TO_WORST")</f>
        <v>13.092558336107452</v>
      </c>
      <c r="H357" t="str">
        <f>_xll.BDP("04184KSL Muni","ISSUE_DT")</f>
        <v>6/1/2017</v>
      </c>
      <c r="I357" t="str">
        <f>_xll.BDS("04184KSL Muni","MUNI_PURPOSE_SCHED", "aggregate=y")</f>
        <v>WATER UTILITY IMPS. SEWER IMPS.</v>
      </c>
      <c r="J357">
        <f>_xll.BDP("04184KSL Muni","CPN")</f>
        <v>4</v>
      </c>
      <c r="K357" t="str">
        <f>_xll.BDP("04184KSL Muni","MATURITY")</f>
        <v>6/1/2024</v>
      </c>
      <c r="L357">
        <v>2015000</v>
      </c>
      <c r="M357">
        <f>_xll.BDP("04184KSL Muni","YIELD_ON_ISSUE_DATE")</f>
        <v>1.61</v>
      </c>
      <c r="N357">
        <f>_xll.BDP("04184KSL Muni","YTW_SPREAD_TO_MATURITY_AT_ISSU")</f>
        <v>13.092558336107452</v>
      </c>
      <c r="O357" t="str">
        <f>_xll.BDP("04184KSL Muni","BVAL_MID_YTM")</f>
        <v>#N/A Authorization</v>
      </c>
      <c r="P357" t="str">
        <f>_xll.BDP("04184KSL Muni","MUNI_TAX_PROV")</f>
        <v>FED TAX-EXEMPT</v>
      </c>
      <c r="Q357" t="str">
        <f>_xll.BDP("04184KSL Muni","MUNI_FED_TAX")</f>
        <v>N</v>
      </c>
      <c r="R357" t="str">
        <f>_xll.BDP("04184KSL Muni","MUNI_MSRB_VOLUME")</f>
        <v>#N/A N/A</v>
      </c>
      <c r="S357" t="str">
        <f>_xll.BDP("04184KSL Muni","BB_COMPOSITE")</f>
        <v>AA+</v>
      </c>
      <c r="T357">
        <f>_xll.BDP("04184KSL Muni","LQA_LIQUIDITY_SCORE")</f>
        <v>88</v>
      </c>
    </row>
    <row r="358" spans="1:20" x14ac:dyDescent="0.25">
      <c r="A358" t="str">
        <f>_xll.BDP("04184KSK Muni","ID_CUSIP")</f>
        <v>04184KSK2</v>
      </c>
      <c r="B358" t="s">
        <v>185</v>
      </c>
      <c r="C358" t="str">
        <f>_xll.BDP("04184KSK Muni","INSURANCE_STATUS")</f>
        <v>N</v>
      </c>
      <c r="D358" t="str">
        <f>_xll.BDP("04184KSK Muni","STATE_CODE")</f>
        <v>TX</v>
      </c>
      <c r="E358" t="str">
        <f>_xll.BDP("04184KSK Muni","COUNTY_LOCATION_ISSUER")</f>
        <v>Tarrant, TX</v>
      </c>
      <c r="F358">
        <f>_xll.BDP("04184KSK Muni","DUR_ADJ_MID")</f>
        <v>0.8155033625496193</v>
      </c>
      <c r="G358">
        <f>_xll.BDP("04184KSK Muni","SPREAD_AT_ISSUANCE_TO_WORST")</f>
        <v>14.060490209335462</v>
      </c>
      <c r="H358" t="str">
        <f>_xll.BDP("04184KSK Muni","ISSUE_DT")</f>
        <v>6/1/2017</v>
      </c>
      <c r="I358" t="str">
        <f>_xll.BDS("04184KSK Muni","MUNI_PURPOSE_SCHED", "aggregate=y")</f>
        <v>WATER UTILITY IMPS. SEWER IMPS.</v>
      </c>
      <c r="J358">
        <f>_xll.BDP("04184KSK Muni","CPN")</f>
        <v>4</v>
      </c>
      <c r="K358" t="str">
        <f>_xll.BDP("04184KSK Muni","MATURITY")</f>
        <v>6/1/2023</v>
      </c>
      <c r="L358">
        <v>2015000</v>
      </c>
      <c r="M358">
        <f>_xll.BDP("04184KSK Muni","YIELD_ON_ISSUE_DATE")</f>
        <v>1.47</v>
      </c>
      <c r="N358">
        <f>_xll.BDP("04184KSK Muni","YTW_SPREAD_TO_MATURITY_AT_ISSU")</f>
        <v>14.060490209335462</v>
      </c>
      <c r="O358" t="str">
        <f>_xll.BDP("04184KSK Muni","BVAL_MID_YTM")</f>
        <v>#N/A Authorization</v>
      </c>
      <c r="P358" t="str">
        <f>_xll.BDP("04184KSK Muni","MUNI_TAX_PROV")</f>
        <v>FED TAX-EXEMPT</v>
      </c>
      <c r="Q358" t="str">
        <f>_xll.BDP("04184KSK Muni","MUNI_FED_TAX")</f>
        <v>N</v>
      </c>
      <c r="R358">
        <f>_xll.BDP("04184KSK Muni","MUNI_MSRB_VOLUME")</f>
        <v>100000</v>
      </c>
      <c r="S358" t="str">
        <f>_xll.BDP("04184KSK Muni","BB_COMPOSITE")</f>
        <v>AA+</v>
      </c>
      <c r="T358">
        <f>_xll.BDP("04184KSK Muni","LQA_LIQUIDITY_SCORE")</f>
        <v>91</v>
      </c>
    </row>
    <row r="359" spans="1:20" x14ac:dyDescent="0.25">
      <c r="A359" t="str">
        <f>_xll.BDP("04184KSP Muni","ID_CUSIP")</f>
        <v>04184KSP1</v>
      </c>
      <c r="B359" t="s">
        <v>185</v>
      </c>
      <c r="C359" t="str">
        <f>_xll.BDP("04184KSP Muni","INSURANCE_STATUS")</f>
        <v>N</v>
      </c>
      <c r="D359" t="str">
        <f>_xll.BDP("04184KSP Muni","STATE_CODE")</f>
        <v>TX</v>
      </c>
      <c r="E359" t="str">
        <f>_xll.BDP("04184KSP Muni","COUNTY_LOCATION_ISSUER")</f>
        <v>Tarrant, TX</v>
      </c>
      <c r="F359">
        <f>_xll.BDP("04184KSP Muni","DUR_ADJ_MID")</f>
        <v>4.3918632018217432</v>
      </c>
      <c r="G359">
        <f>_xll.BDP("04184KSP Muni","SPREAD_AT_ISSUANCE_TO_WORST")</f>
        <v>24.862865608779238</v>
      </c>
      <c r="H359" t="str">
        <f>_xll.BDP("04184KSP Muni","ISSUE_DT")</f>
        <v>6/1/2017</v>
      </c>
      <c r="I359" t="str">
        <f>_xll.BDS("04184KSP Muni","MUNI_PURPOSE_SCHED", "aggregate=y")</f>
        <v>WATER UTILITY IMPS. SEWER IMPS.</v>
      </c>
      <c r="J359">
        <f>_xll.BDP("04184KSP Muni","CPN")</f>
        <v>4</v>
      </c>
      <c r="K359" t="str">
        <f>_xll.BDP("04184KSP Muni","MATURITY")</f>
        <v>6/1/2027</v>
      </c>
      <c r="L359">
        <v>2015000</v>
      </c>
      <c r="M359">
        <f>_xll.BDP("04184KSP Muni","YIELD_ON_ISSUE_DATE")</f>
        <v>2.13</v>
      </c>
      <c r="N359">
        <f>_xll.BDP("04184KSP Muni","YTW_SPREAD_TO_MATURITY_AT_ISSU")</f>
        <v>24.862865608779238</v>
      </c>
      <c r="O359" t="str">
        <f>_xll.BDP("04184KSP Muni","BVAL_MID_YTM")</f>
        <v>#N/A Authorization</v>
      </c>
      <c r="P359" t="str">
        <f>_xll.BDP("04184KSP Muni","MUNI_TAX_PROV")</f>
        <v>FED TAX-EXEMPT</v>
      </c>
      <c r="Q359" t="str">
        <f>_xll.BDP("04184KSP Muni","MUNI_FED_TAX")</f>
        <v>N</v>
      </c>
      <c r="R359">
        <f>_xll.BDP("04184KSP Muni","MUNI_MSRB_VOLUME")</f>
        <v>10000</v>
      </c>
      <c r="S359" t="str">
        <f>_xll.BDP("04184KSP Muni","BB_COMPOSITE")</f>
        <v>AA+</v>
      </c>
      <c r="T359">
        <f>_xll.BDP("04184KSP Muni","LQA_LIQUIDITY_SCORE")</f>
        <v>66</v>
      </c>
    </row>
    <row r="360" spans="1:20" x14ac:dyDescent="0.25">
      <c r="A360" t="str">
        <f>_xll.BDP("2441094P Muni","ID_CUSIP")</f>
        <v>2441094P6</v>
      </c>
      <c r="B360" t="s">
        <v>182</v>
      </c>
      <c r="C360" t="str">
        <f>_xll.BDP("2441094P Muni","INSURANCE_STATUS")</f>
        <v>N</v>
      </c>
      <c r="D360" t="str">
        <f>_xll.BDP("2441094P Muni","STATE_CODE")</f>
        <v>TX</v>
      </c>
      <c r="E360" t="str">
        <f>_xll.BDP("2441094P Muni","COUNTY_LOCATION_ISSUER")</f>
        <v>Harris, TX</v>
      </c>
      <c r="F360">
        <f>_xll.BDP("2441094P Muni","DUR_ADJ_MID")</f>
        <v>2.4898693774743013</v>
      </c>
      <c r="G360">
        <f>_xll.BDP("2441094P Muni","SPREAD_AT_ISSUANCE_TO_WORST")</f>
        <v>12.978493150684933</v>
      </c>
      <c r="H360" t="str">
        <f>_xll.BDP("2441094P Muni","ISSUE_DT")</f>
        <v>12/1/2017</v>
      </c>
      <c r="I360" t="str">
        <f>_xll.BDS("2441094P Muni","MUNI_PURPOSE_SCHED", "aggregate=y")</f>
        <v>WATER UTILITY IMPS. SEWER IMPS.</v>
      </c>
      <c r="J360">
        <f>_xll.BDP("2441094P Muni","CPN")</f>
        <v>3</v>
      </c>
      <c r="K360" t="str">
        <f>_xll.BDP("2441094P Muni","MATURITY")</f>
        <v>3/15/2025</v>
      </c>
      <c r="L360">
        <v>255000</v>
      </c>
      <c r="M360">
        <f>_xll.BDP("2441094P Muni","YIELD_ON_ISSUE_DATE")</f>
        <v>1.85</v>
      </c>
      <c r="N360">
        <f>_xll.BDP("2441094P Muni","YTW_SPREAD_TO_MATURITY_AT_ISSU")</f>
        <v>12.978493150684933</v>
      </c>
      <c r="O360" t="str">
        <f>_xll.BDP("2441094P Muni","BVAL_MID_YTM")</f>
        <v>#N/A Authorization</v>
      </c>
      <c r="P360" t="str">
        <f>_xll.BDP("2441094P Muni","MUNI_TAX_PROV")</f>
        <v>FED BQ</v>
      </c>
      <c r="Q360" t="str">
        <f>_xll.BDP("2441094P Muni","MUNI_FED_TAX")</f>
        <v>N</v>
      </c>
      <c r="R360" t="str">
        <f>_xll.BDP("2441094P Muni","MUNI_MSRB_VOLUME")</f>
        <v>#N/A N/A</v>
      </c>
      <c r="S360" t="str">
        <f>_xll.BDP("2441094P Muni","BB_COMPOSITE")</f>
        <v>#N/A N/A</v>
      </c>
      <c r="T360">
        <f>_xll.BDP("2441094P Muni","LQA_LIQUIDITY_SCORE")</f>
        <v>80</v>
      </c>
    </row>
    <row r="361" spans="1:20" x14ac:dyDescent="0.25">
      <c r="A361" t="str">
        <f>_xll.BDP("25471TAW Muni","ID_CUSIP")</f>
        <v>25471TAW3</v>
      </c>
      <c r="B361" t="s">
        <v>86</v>
      </c>
      <c r="C361" t="str">
        <f>_xll.BDP("25471TAW Muni","INSURANCE_STATUS")</f>
        <v>N</v>
      </c>
      <c r="D361" t="str">
        <f>_xll.BDP("25471TAW Muni","STATE_CODE")</f>
        <v>CA</v>
      </c>
      <c r="E361" t="str">
        <f>_xll.BDP("25471TAW Muni","COUNTY_LOCATION_ISSUER")</f>
        <v>#N/A Field Not Applicable</v>
      </c>
      <c r="F361">
        <f>_xll.BDP("25471TAW Muni","DUR_ADJ_MID")</f>
        <v>0.32953027556509207</v>
      </c>
      <c r="G361">
        <f>_xll.BDP("25471TAW Muni","SPREAD_AT_ISSUANCE_TO_WORST")</f>
        <v>16.074813327072455</v>
      </c>
      <c r="H361" t="str">
        <f>_xll.BDP("25471TAW Muni","ISSUE_DT")</f>
        <v>4/19/2017</v>
      </c>
      <c r="I361" t="str">
        <f>_xll.BDS("25471TAW Muni","MUNI_PURPOSE_SCHED", "aggregate=y")</f>
        <v>WATER UTILITY IMPS. SEWER IMPS.</v>
      </c>
      <c r="J361">
        <f>_xll.BDP("25471TAW Muni","CPN")</f>
        <v>4</v>
      </c>
      <c r="K361" t="str">
        <f>_xll.BDP("25471TAW Muni","MATURITY")</f>
        <v>12/1/2022</v>
      </c>
      <c r="L361">
        <v>200000</v>
      </c>
      <c r="M361">
        <f>_xll.BDP("25471TAW Muni","YIELD_ON_ISSUE_DATE")</f>
        <v>1.73</v>
      </c>
      <c r="N361">
        <f>_xll.BDP("25471TAW Muni","YTW_SPREAD_TO_MATURITY_AT_ISSU")</f>
        <v>16.074813327072455</v>
      </c>
      <c r="O361" t="str">
        <f>_xll.BDP("25471TAW Muni","BVAL_MID_YTM")</f>
        <v>#N/A Authorization</v>
      </c>
      <c r="P361" t="str">
        <f>_xll.BDP("25471TAW Muni","MUNI_TAX_PROV")</f>
        <v>FED BQ/ST TAX-EXEMPT</v>
      </c>
      <c r="Q361" t="str">
        <f>_xll.BDP("25471TAW Muni","MUNI_FED_TAX")</f>
        <v>N</v>
      </c>
      <c r="R361" t="str">
        <f>_xll.BDP("25471TAW Muni","MUNI_MSRB_VOLUME")</f>
        <v>#N/A N/A</v>
      </c>
      <c r="S361" t="str">
        <f>_xll.BDP("25471TAW Muni","BB_COMPOSITE")</f>
        <v>#N/A N/A</v>
      </c>
      <c r="T361">
        <f>_xll.BDP("25471TAW Muni","LQA_LIQUIDITY_SCORE")</f>
        <v>93</v>
      </c>
    </row>
    <row r="362" spans="1:20" x14ac:dyDescent="0.25">
      <c r="A362" t="str">
        <f>_xll.BDP("25471TAY Muni","ID_CUSIP")</f>
        <v>25471TAY9</v>
      </c>
      <c r="B362" t="s">
        <v>86</v>
      </c>
      <c r="C362" t="str">
        <f>_xll.BDP("25471TAY Muni","INSURANCE_STATUS")</f>
        <v>N</v>
      </c>
      <c r="D362" t="str">
        <f>_xll.BDP("25471TAY Muni","STATE_CODE")</f>
        <v>CA</v>
      </c>
      <c r="E362" t="str">
        <f>_xll.BDP("25471TAY Muni","COUNTY_LOCATION_ISSUER")</f>
        <v>#N/A Field Not Applicable</v>
      </c>
      <c r="F362">
        <f>_xll.BDP("25471TAY Muni","DUR_ADJ_MID")</f>
        <v>2.197389196486367</v>
      </c>
      <c r="G362">
        <f>_xll.BDP("25471TAY Muni","SPREAD_AT_ISSUANCE_TO_WORST")</f>
        <v>23.218926381660854</v>
      </c>
      <c r="H362" t="str">
        <f>_xll.BDP("25471TAY Muni","ISSUE_DT")</f>
        <v>4/19/2017</v>
      </c>
      <c r="I362" t="str">
        <f>_xll.BDS("25471TAY Muni","MUNI_PURPOSE_SCHED", "aggregate=y")</f>
        <v>WATER UTILITY IMPS. SEWER IMPS.</v>
      </c>
      <c r="J362">
        <f>_xll.BDP("25471TAY Muni","CPN")</f>
        <v>5</v>
      </c>
      <c r="K362" t="str">
        <f>_xll.BDP("25471TAY Muni","MATURITY")</f>
        <v>12/1/2024</v>
      </c>
      <c r="L362">
        <v>215000</v>
      </c>
      <c r="M362">
        <f>_xll.BDP("25471TAY Muni","YIELD_ON_ISSUE_DATE")</f>
        <v>2.13</v>
      </c>
      <c r="N362">
        <f>_xll.BDP("25471TAY Muni","YTW_SPREAD_TO_MATURITY_AT_ISSU")</f>
        <v>23.218926381660854</v>
      </c>
      <c r="O362" t="str">
        <f>_xll.BDP("25471TAY Muni","BVAL_MID_YTM")</f>
        <v>#N/A Authorization</v>
      </c>
      <c r="P362" t="str">
        <f>_xll.BDP("25471TAY Muni","MUNI_TAX_PROV")</f>
        <v>FED BQ/ST TAX-EXEMPT</v>
      </c>
      <c r="Q362" t="str">
        <f>_xll.BDP("25471TAY Muni","MUNI_FED_TAX")</f>
        <v>N</v>
      </c>
      <c r="R362" t="str">
        <f>_xll.BDP("25471TAY Muni","MUNI_MSRB_VOLUME")</f>
        <v>#N/A N/A</v>
      </c>
      <c r="S362" t="str">
        <f>_xll.BDP("25471TAY Muni","BB_COMPOSITE")</f>
        <v>#N/A N/A</v>
      </c>
      <c r="T362">
        <f>_xll.BDP("25471TAY Muni","LQA_LIQUIDITY_SCORE")</f>
        <v>72</v>
      </c>
    </row>
    <row r="363" spans="1:20" x14ac:dyDescent="0.25">
      <c r="A363" t="str">
        <f>_xll.BDP("254845NF Muni","ID_CUSIP")</f>
        <v>254845NF3</v>
      </c>
      <c r="B363" t="s">
        <v>104</v>
      </c>
      <c r="C363" t="str">
        <f>_xll.BDP("254845NF Muni","INSURANCE_STATUS")</f>
        <v>N</v>
      </c>
      <c r="D363" t="str">
        <f>_xll.BDP("254845NF Muni","STATE_CODE")</f>
        <v>DC</v>
      </c>
      <c r="E363" t="str">
        <f>_xll.BDP("254845NF Muni","COUNTY_LOCATION_ISSUER")</f>
        <v>District of Columbia, 11</v>
      </c>
      <c r="F363">
        <f>_xll.BDP("254845NF Muni","DUR_ADJ_MID")</f>
        <v>2.0328778424623342</v>
      </c>
      <c r="G363">
        <f>_xll.BDP("254845NF Muni","SPREAD_AT_ISSUANCE_TO_WORST")</f>
        <v>9.8128621204322641</v>
      </c>
      <c r="H363" t="str">
        <f>_xll.BDP("254845NF Muni","ISSUE_DT")</f>
        <v>2/23/2017</v>
      </c>
      <c r="I363" t="str">
        <f>_xll.BDS("254845NF Muni","MUNI_PURPOSE_SCHED", "aggregate=y")</f>
        <v>WATER UTILITY IMPS. SEWER IMPS.</v>
      </c>
      <c r="J363">
        <f>_xll.BDP("254845NF Muni","CPN")</f>
        <v>5</v>
      </c>
      <c r="K363" t="str">
        <f>_xll.BDP("254845NF Muni","MATURITY")</f>
        <v>10/1/2024</v>
      </c>
      <c r="L363">
        <v>5025000</v>
      </c>
      <c r="M363">
        <f>_xll.BDP("254845NF Muni","YIELD_ON_ISSUE_DATE")</f>
        <v>2.15</v>
      </c>
      <c r="N363">
        <f>_xll.BDP("254845NF Muni","YTW_SPREAD_TO_MATURITY_AT_ISSU")</f>
        <v>9.8128621204322641</v>
      </c>
      <c r="O363" t="str">
        <f>_xll.BDP("254845NF Muni","BVAL_MID_YTM")</f>
        <v>#N/A Authorization</v>
      </c>
      <c r="P363" t="str">
        <f>_xll.BDP("254845NF Muni","MUNI_TAX_PROV")</f>
        <v>FED &amp; ST TAX-EXEMPT</v>
      </c>
      <c r="Q363" t="str">
        <f>_xll.BDP("254845NF Muni","MUNI_FED_TAX")</f>
        <v>N</v>
      </c>
      <c r="R363">
        <f>_xll.BDP("254845NF Muni","MUNI_MSRB_VOLUME")</f>
        <v>10000</v>
      </c>
      <c r="S363" t="str">
        <f>_xll.BDP("254845NF Muni","BB_COMPOSITE")</f>
        <v>AA+</v>
      </c>
      <c r="T363">
        <f>_xll.BDP("254845NF Muni","LQA_LIQUIDITY_SCORE")</f>
        <v>89</v>
      </c>
    </row>
    <row r="364" spans="1:20" x14ac:dyDescent="0.25">
      <c r="A364" t="str">
        <f>_xll.BDP("187882PE Muni","ID_CUSIP")</f>
        <v>187882PE9</v>
      </c>
      <c r="B364" t="s">
        <v>141</v>
      </c>
      <c r="C364" t="str">
        <f>_xll.BDP("187882PE Muni","INSURANCE_STATUS")</f>
        <v>N</v>
      </c>
      <c r="D364" t="str">
        <f>_xll.BDP("187882PE Muni","STATE_CODE")</f>
        <v>MA</v>
      </c>
      <c r="E364" t="str">
        <f>_xll.BDP("187882PE Muni","COUNTY_LOCATION_ISSUER")</f>
        <v>Worcester, MA</v>
      </c>
      <c r="F364">
        <f>_xll.BDP("187882PE Muni","DUR_ADJ_MID")</f>
        <v>0.85431732278078543</v>
      </c>
      <c r="G364">
        <f>_xll.BDP("187882PE Muni","SPREAD_AT_ISSUANCE_TO_WORST")</f>
        <v>8.0222287634415856</v>
      </c>
      <c r="H364" t="str">
        <f>_xll.BDP("187882PE Muni","ISSUE_DT")</f>
        <v>6/29/2017</v>
      </c>
      <c r="I364" t="str">
        <f>_xll.BDS("187882PE Muni","MUNI_PURPOSE_SCHED", "aggregate=y")</f>
        <v>REFUNDING NOTES PUBLIC IMPS. WATER UTILITY IMPS.</v>
      </c>
      <c r="J364">
        <f>_xll.BDP("187882PE Muni","CPN")</f>
        <v>4</v>
      </c>
      <c r="K364" t="str">
        <f>_xll.BDP("187882PE Muni","MATURITY")</f>
        <v>6/15/2023</v>
      </c>
      <c r="L364">
        <v>245000</v>
      </c>
      <c r="M364">
        <f>_xll.BDP("187882PE Muni","YIELD_ON_ISSUE_DATE")</f>
        <v>1.43</v>
      </c>
      <c r="N364">
        <f>_xll.BDP("187882PE Muni","YTW_SPREAD_TO_MATURITY_AT_ISSU")</f>
        <v>8.0222287634415856</v>
      </c>
      <c r="O364" t="str">
        <f>_xll.BDP("187882PE Muni","BVAL_MID_YTM")</f>
        <v>#N/A Authorization</v>
      </c>
      <c r="P364" t="str">
        <f>_xll.BDP("187882PE Muni","MUNI_TAX_PROV")</f>
        <v>FED BQ/ST TAX-EXEMPT</v>
      </c>
      <c r="Q364" t="str">
        <f>_xll.BDP("187882PE Muni","MUNI_FED_TAX")</f>
        <v>N</v>
      </c>
      <c r="R364">
        <f>_xll.BDP("187882PE Muni","MUNI_MSRB_VOLUME")</f>
        <v>75000</v>
      </c>
      <c r="S364" t="str">
        <f>_xll.BDP("187882PE Muni","BB_COMPOSITE")</f>
        <v>#N/A N/A</v>
      </c>
      <c r="T364">
        <f>_xll.BDP("187882PE Muni","LQA_LIQUIDITY_SCORE")</f>
        <v>92</v>
      </c>
    </row>
    <row r="365" spans="1:20" x14ac:dyDescent="0.25">
      <c r="A365" t="str">
        <f>_xll.BDP("187882PH Muni","ID_CUSIP")</f>
        <v>187882PH2</v>
      </c>
      <c r="B365" t="s">
        <v>141</v>
      </c>
      <c r="C365" t="str">
        <f>_xll.BDP("187882PH Muni","INSURANCE_STATUS")</f>
        <v>N</v>
      </c>
      <c r="D365" t="str">
        <f>_xll.BDP("187882PH Muni","STATE_CODE")</f>
        <v>MA</v>
      </c>
      <c r="E365" t="str">
        <f>_xll.BDP("187882PH Muni","COUNTY_LOCATION_ISSUER")</f>
        <v>Worcester, MA</v>
      </c>
      <c r="F365">
        <f>_xll.BDP("187882PH Muni","DUR_ADJ_MID")</f>
        <v>3.5860222925153522</v>
      </c>
      <c r="G365">
        <f>_xll.BDP("187882PH Muni","SPREAD_AT_ISSUANCE_TO_WORST")</f>
        <v>32.616202288624322</v>
      </c>
      <c r="H365" t="str">
        <f>_xll.BDP("187882PH Muni","ISSUE_DT")</f>
        <v>6/29/2017</v>
      </c>
      <c r="I365" t="str">
        <f>_xll.BDS("187882PH Muni","MUNI_PURPOSE_SCHED", "aggregate=y")</f>
        <v>REFUNDING NOTES PUBLIC IMPS. WATER UTILITY IMPS.</v>
      </c>
      <c r="J365">
        <f>_xll.BDP("187882PH Muni","CPN")</f>
        <v>4</v>
      </c>
      <c r="K365" t="str">
        <f>_xll.BDP("187882PH Muni","MATURITY")</f>
        <v>6/15/2026</v>
      </c>
      <c r="L365">
        <v>240000</v>
      </c>
      <c r="M365">
        <f>_xll.BDP("187882PH Muni","YIELD_ON_ISSUE_DATE")</f>
        <v>2.1</v>
      </c>
      <c r="N365">
        <f>_xll.BDP("187882PH Muni","YTW_SPREAD_TO_MATURITY_AT_ISSU")</f>
        <v>32.616202288624322</v>
      </c>
      <c r="O365" t="str">
        <f>_xll.BDP("187882PH Muni","BVAL_MID_YTM")</f>
        <v>#N/A Authorization</v>
      </c>
      <c r="P365" t="str">
        <f>_xll.BDP("187882PH Muni","MUNI_TAX_PROV")</f>
        <v>FED BQ/ST TAX-EXEMPT</v>
      </c>
      <c r="Q365" t="str">
        <f>_xll.BDP("187882PH Muni","MUNI_FED_TAX")</f>
        <v>N</v>
      </c>
      <c r="R365">
        <f>_xll.BDP("187882PH Muni","MUNI_MSRB_VOLUME")</f>
        <v>75000</v>
      </c>
      <c r="S365" t="str">
        <f>_xll.BDP("187882PH Muni","BB_COMPOSITE")</f>
        <v>#N/A N/A</v>
      </c>
      <c r="T365">
        <f>_xll.BDP("187882PH Muni","LQA_LIQUIDITY_SCORE")</f>
        <v>63</v>
      </c>
    </row>
    <row r="366" spans="1:20" x14ac:dyDescent="0.25">
      <c r="A366" t="str">
        <f>_xll.BDP("187882PJ Muni","ID_CUSIP")</f>
        <v>187882PJ8</v>
      </c>
      <c r="B366" t="s">
        <v>141</v>
      </c>
      <c r="C366" t="str">
        <f>_xll.BDP("187882PJ Muni","INSURANCE_STATUS")</f>
        <v>N</v>
      </c>
      <c r="D366" t="str">
        <f>_xll.BDP("187882PJ Muni","STATE_CODE")</f>
        <v>MA</v>
      </c>
      <c r="E366" t="str">
        <f>_xll.BDP("187882PJ Muni","COUNTY_LOCATION_ISSUER")</f>
        <v>Worcester, MA</v>
      </c>
      <c r="F366">
        <f>_xll.BDP("187882PJ Muni","DUR_ADJ_MID")</f>
        <v>4.433136857914536</v>
      </c>
      <c r="G366">
        <f>_xll.BDP("187882PJ Muni","SPREAD_AT_ISSUANCE_TO_WORST")</f>
        <v>36.796203543607106</v>
      </c>
      <c r="H366" t="str">
        <f>_xll.BDP("187882PJ Muni","ISSUE_DT")</f>
        <v>6/29/2017</v>
      </c>
      <c r="I366" t="str">
        <f>_xll.BDS("187882PJ Muni","MUNI_PURPOSE_SCHED", "aggregate=y")</f>
        <v>REFUNDING NOTES PUBLIC IMPS. WATER UTILITY IMPS.</v>
      </c>
      <c r="J366">
        <f>_xll.BDP("187882PJ Muni","CPN")</f>
        <v>4</v>
      </c>
      <c r="K366" t="str">
        <f>_xll.BDP("187882PJ Muni","MATURITY")</f>
        <v>6/15/2027</v>
      </c>
      <c r="L366">
        <v>225000</v>
      </c>
      <c r="M366">
        <f>_xll.BDP("187882PJ Muni","YIELD_ON_ISSUE_DATE")</f>
        <v>2.25</v>
      </c>
      <c r="N366">
        <f>_xll.BDP("187882PJ Muni","YTW_SPREAD_TO_MATURITY_AT_ISSU")</f>
        <v>36.796203543607106</v>
      </c>
      <c r="O366" t="str">
        <f>_xll.BDP("187882PJ Muni","BVAL_MID_YTM")</f>
        <v>#N/A Authorization</v>
      </c>
      <c r="P366" t="str">
        <f>_xll.BDP("187882PJ Muni","MUNI_TAX_PROV")</f>
        <v>FED BQ/ST TAX-EXEMPT</v>
      </c>
      <c r="Q366" t="str">
        <f>_xll.BDP("187882PJ Muni","MUNI_FED_TAX")</f>
        <v>N</v>
      </c>
      <c r="R366" t="str">
        <f>_xll.BDP("187882PJ Muni","MUNI_MSRB_VOLUME")</f>
        <v>#N/A N/A</v>
      </c>
      <c r="S366" t="str">
        <f>_xll.BDP("187882PJ Muni","BB_COMPOSITE")</f>
        <v>#N/A N/A</v>
      </c>
      <c r="T366">
        <f>_xll.BDP("187882PJ Muni","LQA_LIQUIDITY_SCORE")</f>
        <v>52</v>
      </c>
    </row>
    <row r="367" spans="1:20" x14ac:dyDescent="0.25">
      <c r="A367" t="str">
        <f>_xll.BDP("186594KZ Muni","ID_CUSIP")</f>
        <v>186594KZ9</v>
      </c>
      <c r="B367" t="s">
        <v>186</v>
      </c>
      <c r="C367" t="str">
        <f>_xll.BDP("186594KZ Muni","INSURANCE_STATUS")</f>
        <v>Y</v>
      </c>
      <c r="D367" t="str">
        <f>_xll.BDP("186594KZ Muni","STATE_CODE")</f>
        <v>TX</v>
      </c>
      <c r="E367" t="str">
        <f>_xll.BDP("186594KZ Muni","COUNTY_LOCATION_ISSUER")</f>
        <v>Liberty, TX</v>
      </c>
      <c r="F367">
        <f>_xll.BDP("186594KZ Muni","DUR_ADJ_MID")</f>
        <v>1.5227186557382122</v>
      </c>
      <c r="G367">
        <f>_xll.BDP("186594KZ Muni","SPREAD_AT_ISSUANCE_TO_WORST")</f>
        <v>37.280304919506001</v>
      </c>
      <c r="H367" t="str">
        <f>_xll.BDP("186594KZ Muni","ISSUE_DT")</f>
        <v>8/1/2017</v>
      </c>
      <c r="I367" t="str">
        <f>_xll.BDS("186594KZ Muni","MUNI_PURPOSE_SCHED", "aggregate=y")</f>
        <v>WATER UTILITY IMPS. SEWER IMPS. PRT, AIRPRT &amp; MARINA IMPS</v>
      </c>
      <c r="J367">
        <f>_xll.BDP("186594KZ Muni","CPN")</f>
        <v>3</v>
      </c>
      <c r="K367" t="str">
        <f>_xll.BDP("186594KZ Muni","MATURITY")</f>
        <v>3/1/2024</v>
      </c>
      <c r="L367">
        <v>295000</v>
      </c>
      <c r="M367">
        <f>_xll.BDP("186594KZ Muni","YIELD_ON_ISSUE_DATE")</f>
        <v>1.9000000000000001</v>
      </c>
      <c r="N367">
        <f>_xll.BDP("186594KZ Muni","YTW_SPREAD_TO_MATURITY_AT_ISSU")</f>
        <v>37.280304919506001</v>
      </c>
      <c r="O367" t="str">
        <f>_xll.BDP("186594KZ Muni","BVAL_MID_YTM")</f>
        <v>#N/A Authorization</v>
      </c>
      <c r="P367" t="str">
        <f>_xll.BDP("186594KZ Muni","MUNI_TAX_PROV")</f>
        <v>FED BQ</v>
      </c>
      <c r="Q367" t="str">
        <f>_xll.BDP("186594KZ Muni","MUNI_FED_TAX")</f>
        <v>N</v>
      </c>
      <c r="R367" t="str">
        <f>_xll.BDP("186594KZ Muni","MUNI_MSRB_VOLUME")</f>
        <v>#N/A N/A</v>
      </c>
      <c r="S367" t="str">
        <f>_xll.BDP("186594KZ Muni","BB_COMPOSITE")</f>
        <v>AA-</v>
      </c>
      <c r="T367">
        <f>_xll.BDP("186594KZ Muni","LQA_LIQUIDITY_SCORE")</f>
        <v>71</v>
      </c>
    </row>
    <row r="368" spans="1:20" x14ac:dyDescent="0.25">
      <c r="A368" t="str">
        <f>_xll.BDP("186594LB Muni","ID_CUSIP")</f>
        <v>186594LB1</v>
      </c>
      <c r="B368" t="s">
        <v>186</v>
      </c>
      <c r="C368" t="str">
        <f>_xll.BDP("186594LB Muni","INSURANCE_STATUS")</f>
        <v>Y</v>
      </c>
      <c r="D368" t="str">
        <f>_xll.BDP("186594LB Muni","STATE_CODE")</f>
        <v>TX</v>
      </c>
      <c r="E368" t="str">
        <f>_xll.BDP("186594LB Muni","COUNTY_LOCATION_ISSUER")</f>
        <v>Liberty, TX</v>
      </c>
      <c r="F368">
        <f>_xll.BDP("186594LB Muni","DUR_ADJ_MID")</f>
        <v>3.3472391133600845</v>
      </c>
      <c r="G368">
        <f>_xll.BDP("186594LB Muni","SPREAD_AT_ISSUANCE_TO_WORST")</f>
        <v>33.426049941547035</v>
      </c>
      <c r="H368" t="str">
        <f>_xll.BDP("186594LB Muni","ISSUE_DT")</f>
        <v>8/1/2017</v>
      </c>
      <c r="I368" t="str">
        <f>_xll.BDS("186594LB Muni","MUNI_PURPOSE_SCHED", "aggregate=y")</f>
        <v>WATER UTILITY IMPS. SEWER IMPS. PRT, AIRPRT &amp; MARINA IMPS</v>
      </c>
      <c r="J368">
        <f>_xll.BDP("186594LB Muni","CPN")</f>
        <v>3</v>
      </c>
      <c r="K368" t="str">
        <f>_xll.BDP("186594LB Muni","MATURITY")</f>
        <v>3/1/2026</v>
      </c>
      <c r="L368">
        <v>305000</v>
      </c>
      <c r="M368">
        <f>_xll.BDP("186594LB Muni","YIELD_ON_ISSUE_DATE")</f>
        <v>2.15</v>
      </c>
      <c r="N368">
        <f>_xll.BDP("186594LB Muni","YTW_SPREAD_TO_MATURITY_AT_ISSU")</f>
        <v>33.426049941547035</v>
      </c>
      <c r="O368" t="str">
        <f>_xll.BDP("186594LB Muni","BVAL_MID_YTM")</f>
        <v>#N/A Authorization</v>
      </c>
      <c r="P368" t="str">
        <f>_xll.BDP("186594LB Muni","MUNI_TAX_PROV")</f>
        <v>FED BQ</v>
      </c>
      <c r="Q368" t="str">
        <f>_xll.BDP("186594LB Muni","MUNI_FED_TAX")</f>
        <v>N</v>
      </c>
      <c r="R368" t="str">
        <f>_xll.BDP("186594LB Muni","MUNI_MSRB_VOLUME")</f>
        <v>#N/A N/A</v>
      </c>
      <c r="S368" t="str">
        <f>_xll.BDP("186594LB Muni","BB_COMPOSITE")</f>
        <v>AA-</v>
      </c>
      <c r="T368">
        <f>_xll.BDP("186594LB Muni","LQA_LIQUIDITY_SCORE")</f>
        <v>50</v>
      </c>
    </row>
    <row r="369" spans="1:20" x14ac:dyDescent="0.25">
      <c r="A369" t="str">
        <f>_xll.BDP("00344NQR Muni","ID_CUSIP")</f>
        <v>00344NQR8</v>
      </c>
      <c r="B369" t="s">
        <v>99</v>
      </c>
      <c r="C369" t="str">
        <f>_xll.BDP("00344NQR Muni","INSURANCE_STATUS")</f>
        <v>N</v>
      </c>
      <c r="D369" t="str">
        <f>_xll.BDP("00344NQR Muni","STATE_CODE")</f>
        <v>TX</v>
      </c>
      <c r="E369" t="str">
        <f>_xll.BDP("00344NQR Muni","COUNTY_LOCATION_ISSUER")</f>
        <v>Taylor, TX</v>
      </c>
      <c r="F369">
        <f>_xll.BDP("00344NQR Muni","DUR_ADJ_MID")</f>
        <v>0.52773443926957109</v>
      </c>
      <c r="G369">
        <f>_xll.BDP("00344NQR Muni","SPREAD_AT_ISSUANCE_TO_WORST")</f>
        <v>23.37483914233114</v>
      </c>
      <c r="H369" t="str">
        <f>_xll.BDP("00344NQR Muni","ISSUE_DT")</f>
        <v>7/1/2017</v>
      </c>
      <c r="I369" t="str">
        <f>_xll.BDS("00344NQR Muni","MUNI_PURPOSE_SCHED", "aggregate=y")</f>
        <v>PUBLIC IMPS. WATER UTILITY IMPS. SEWER IMPS.</v>
      </c>
      <c r="J369">
        <f>_xll.BDP("00344NQR Muni","CPN")</f>
        <v>2.25</v>
      </c>
      <c r="K369" t="str">
        <f>_xll.BDP("00344NQR Muni","MATURITY")</f>
        <v>2/15/2023</v>
      </c>
      <c r="L369">
        <v>715000</v>
      </c>
      <c r="M369">
        <f>_xll.BDP("00344NQR Muni","YIELD_ON_ISSUE_DATE")</f>
        <v>1.54</v>
      </c>
      <c r="N369">
        <f>_xll.BDP("00344NQR Muni","YTW_SPREAD_TO_MATURITY_AT_ISSU")</f>
        <v>23.37483914233114</v>
      </c>
      <c r="O369" t="str">
        <f>_xll.BDP("00344NQR Muni","BVAL_MID_YTM")</f>
        <v>#N/A Authorization</v>
      </c>
      <c r="P369" t="str">
        <f>_xll.BDP("00344NQR Muni","MUNI_TAX_PROV")</f>
        <v>FED TAX-EXEMPT</v>
      </c>
      <c r="Q369" t="str">
        <f>_xll.BDP("00344NQR Muni","MUNI_FED_TAX")</f>
        <v>N</v>
      </c>
      <c r="R369" t="str">
        <f>_xll.BDP("00344NQR Muni","MUNI_MSRB_VOLUME")</f>
        <v>#N/A N/A</v>
      </c>
      <c r="S369" t="str">
        <f>_xll.BDP("00344NQR Muni","BB_COMPOSITE")</f>
        <v>AA+</v>
      </c>
      <c r="T369">
        <f>_xll.BDP("00344NQR Muni","LQA_LIQUIDITY_SCORE")</f>
        <v>86</v>
      </c>
    </row>
    <row r="370" spans="1:20" x14ac:dyDescent="0.25">
      <c r="A370" t="str">
        <f>_xll.BDP("186594LA Muni","ID_CUSIP")</f>
        <v>186594LA3</v>
      </c>
      <c r="B370" t="s">
        <v>186</v>
      </c>
      <c r="C370" t="str">
        <f>_xll.BDP("186594LA Muni","INSURANCE_STATUS")</f>
        <v>Y</v>
      </c>
      <c r="D370" t="str">
        <f>_xll.BDP("186594LA Muni","STATE_CODE")</f>
        <v>TX</v>
      </c>
      <c r="E370" t="str">
        <f>_xll.BDP("186594LA Muni","COUNTY_LOCATION_ISSUER")</f>
        <v>Liberty, TX</v>
      </c>
      <c r="F370">
        <f>_xll.BDP("186594LA Muni","DUR_ADJ_MID")</f>
        <v>2.4483188434089955</v>
      </c>
      <c r="G370">
        <f>_xll.BDP("186594LA Muni","SPREAD_AT_ISSUANCE_TO_WORST")</f>
        <v>32.444637087603191</v>
      </c>
      <c r="H370" t="str">
        <f>_xll.BDP("186594LA Muni","ISSUE_DT")</f>
        <v>8/1/2017</v>
      </c>
      <c r="I370" t="str">
        <f>_xll.BDS("186594LA Muni","MUNI_PURPOSE_SCHED", "aggregate=y")</f>
        <v>WATER UTILITY IMPS. SEWER IMPS. PRT, AIRPRT &amp; MARINA IMPS</v>
      </c>
      <c r="J370">
        <f>_xll.BDP("186594LA Muni","CPN")</f>
        <v>3</v>
      </c>
      <c r="K370" t="str">
        <f>_xll.BDP("186594LA Muni","MATURITY")</f>
        <v>3/1/2025</v>
      </c>
      <c r="L370">
        <v>300000</v>
      </c>
      <c r="M370">
        <f>_xll.BDP("186594LA Muni","YIELD_ON_ISSUE_DATE")</f>
        <v>2</v>
      </c>
      <c r="N370">
        <f>_xll.BDP("186594LA Muni","YTW_SPREAD_TO_MATURITY_AT_ISSU")</f>
        <v>32.444637087603191</v>
      </c>
      <c r="O370" t="str">
        <f>_xll.BDP("186594LA Muni","BVAL_MID_YTM")</f>
        <v>#N/A Authorization</v>
      </c>
      <c r="P370" t="str">
        <f>_xll.BDP("186594LA Muni","MUNI_TAX_PROV")</f>
        <v>FED BQ</v>
      </c>
      <c r="Q370" t="str">
        <f>_xll.BDP("186594LA Muni","MUNI_FED_TAX")</f>
        <v>N</v>
      </c>
      <c r="R370" t="str">
        <f>_xll.BDP("186594LA Muni","MUNI_MSRB_VOLUME")</f>
        <v>#N/A N/A</v>
      </c>
      <c r="S370" t="str">
        <f>_xll.BDP("186594LA Muni","BB_COMPOSITE")</f>
        <v>AA-</v>
      </c>
      <c r="T370">
        <f>_xll.BDP("186594LA Muni","LQA_LIQUIDITY_SCORE")</f>
        <v>60</v>
      </c>
    </row>
    <row r="371" spans="1:20" x14ac:dyDescent="0.25">
      <c r="A371" t="str">
        <f>_xll.BDP("00344NQU Muni","ID_CUSIP")</f>
        <v>00344NQU1</v>
      </c>
      <c r="B371" t="s">
        <v>99</v>
      </c>
      <c r="C371" t="str">
        <f>_xll.BDP("00344NQU Muni","INSURANCE_STATUS")</f>
        <v>N</v>
      </c>
      <c r="D371" t="str">
        <f>_xll.BDP("00344NQU Muni","STATE_CODE")</f>
        <v>TX</v>
      </c>
      <c r="E371" t="str">
        <f>_xll.BDP("00344NQU Muni","COUNTY_LOCATION_ISSUER")</f>
        <v>Taylor, TX</v>
      </c>
      <c r="F371">
        <f>_xll.BDP("00344NQU Muni","DUR_ADJ_MID")</f>
        <v>3.2008016161172432</v>
      </c>
      <c r="G371">
        <f>_xll.BDP("00344NQU Muni","SPREAD_AT_ISSUANCE_TO_WORST")</f>
        <v>27.468221849418462</v>
      </c>
      <c r="H371" t="str">
        <f>_xll.BDP("00344NQU Muni","ISSUE_DT")</f>
        <v>7/1/2017</v>
      </c>
      <c r="I371" t="str">
        <f>_xll.BDS("00344NQU Muni","MUNI_PURPOSE_SCHED", "aggregate=y")</f>
        <v>PUBLIC IMPS. WATER UTILITY IMPS. SEWER IMPS.</v>
      </c>
      <c r="J371">
        <f>_xll.BDP("00344NQU Muni","CPN")</f>
        <v>5</v>
      </c>
      <c r="K371" t="str">
        <f>_xll.BDP("00344NQU Muni","MATURITY")</f>
        <v>2/15/2026</v>
      </c>
      <c r="L371">
        <v>820000</v>
      </c>
      <c r="M371">
        <f>_xll.BDP("00344NQU Muni","YIELD_ON_ISSUE_DATE")</f>
        <v>2.0100000000000002</v>
      </c>
      <c r="N371">
        <f>_xll.BDP("00344NQU Muni","YTW_SPREAD_TO_MATURITY_AT_ISSU")</f>
        <v>27.468221849418462</v>
      </c>
      <c r="O371" t="str">
        <f>_xll.BDP("00344NQU Muni","BVAL_MID_YTM")</f>
        <v>#N/A Authorization</v>
      </c>
      <c r="P371" t="str">
        <f>_xll.BDP("00344NQU Muni","MUNI_TAX_PROV")</f>
        <v>FED TAX-EXEMPT</v>
      </c>
      <c r="Q371" t="str">
        <f>_xll.BDP("00344NQU Muni","MUNI_FED_TAX")</f>
        <v>N</v>
      </c>
      <c r="R371" t="str">
        <f>_xll.BDP("00344NQU Muni","MUNI_MSRB_VOLUME")</f>
        <v>#N/A N/A</v>
      </c>
      <c r="S371" t="str">
        <f>_xll.BDP("00344NQU Muni","BB_COMPOSITE")</f>
        <v>AA+</v>
      </c>
      <c r="T371">
        <f>_xll.BDP("00344NQU Muni","LQA_LIQUIDITY_SCORE")</f>
        <v>71</v>
      </c>
    </row>
    <row r="372" spans="1:20" x14ac:dyDescent="0.25">
      <c r="A372" t="str">
        <f>_xll.BDP("094743MM Muni","ID_CUSIP")</f>
        <v>094743MM0</v>
      </c>
      <c r="B372" t="s">
        <v>115</v>
      </c>
      <c r="C372" t="str">
        <f>_xll.BDP("094743MM Muni","INSURANCE_STATUS")</f>
        <v>Y</v>
      </c>
      <c r="D372" t="str">
        <f>_xll.BDP("094743MM Muni","STATE_CODE")</f>
        <v>IN</v>
      </c>
      <c r="E372" t="str">
        <f>_xll.BDP("094743MM Muni","COUNTY_LOCATION_ISSUER")</f>
        <v>Monroe, IN</v>
      </c>
      <c r="F372">
        <f>_xll.BDP("094743MM Muni","DUR_ADJ_MID")</f>
        <v>2.3199731649614574</v>
      </c>
      <c r="G372">
        <f>_xll.BDP("094743MM Muni","SPREAD_AT_ISSUANCE_TO_WORST")</f>
        <v>37.979017647905764</v>
      </c>
      <c r="H372" t="str">
        <f>_xll.BDP("094743MM Muni","ISSUE_DT")</f>
        <v>7/25/2017</v>
      </c>
      <c r="I372" t="str">
        <f>_xll.BDS("094743MM Muni","MUNI_PURPOSE_SCHED", "aggregate=y")</f>
        <v>WATER UTILITY IMPS.</v>
      </c>
      <c r="J372">
        <f>_xll.BDP("094743MM Muni","CPN")</f>
        <v>3</v>
      </c>
      <c r="K372" t="str">
        <f>_xll.BDP("094743MM Muni","MATURITY")</f>
        <v>1/1/2025</v>
      </c>
      <c r="L372">
        <v>100000</v>
      </c>
      <c r="M372">
        <f>_xll.BDP("094743MM Muni","YIELD_ON_ISSUE_DATE")</f>
        <v>2.1</v>
      </c>
      <c r="N372">
        <f>_xll.BDP("094743MM Muni","YTW_SPREAD_TO_MATURITY_AT_ISSU")</f>
        <v>37.979017647905764</v>
      </c>
      <c r="O372" t="str">
        <f>_xll.BDP("094743MM Muni","BVAL_MID_YTM")</f>
        <v>#N/A Authorization</v>
      </c>
      <c r="P372" t="str">
        <f>_xll.BDP("094743MM Muni","MUNI_TAX_PROV")</f>
        <v>FED &amp; ST TAX-EXEMPT</v>
      </c>
      <c r="Q372" t="str">
        <f>_xll.BDP("094743MM Muni","MUNI_FED_TAX")</f>
        <v>N</v>
      </c>
      <c r="R372" t="str">
        <f>_xll.BDP("094743MM Muni","MUNI_MSRB_VOLUME")</f>
        <v>#N/A N/A</v>
      </c>
      <c r="S372" t="str">
        <f>_xll.BDP("094743MM Muni","BB_COMPOSITE")</f>
        <v>#N/A N/A</v>
      </c>
      <c r="T372">
        <f>_xll.BDP("094743MM Muni","LQA_LIQUIDITY_SCORE")</f>
        <v>69</v>
      </c>
    </row>
    <row r="373" spans="1:20" x14ac:dyDescent="0.25">
      <c r="A373" t="str">
        <f>_xll.BDP("094743MQ Muni","ID_CUSIP")</f>
        <v>094743MQ1</v>
      </c>
      <c r="B373" t="s">
        <v>115</v>
      </c>
      <c r="C373" t="str">
        <f>_xll.BDP("094743MQ Muni","INSURANCE_STATUS")</f>
        <v>Y</v>
      </c>
      <c r="D373" t="str">
        <f>_xll.BDP("094743MQ Muni","STATE_CODE")</f>
        <v>IN</v>
      </c>
      <c r="E373" t="str">
        <f>_xll.BDP("094743MQ Muni","COUNTY_LOCATION_ISSUER")</f>
        <v>Monroe, IN</v>
      </c>
      <c r="F373">
        <f>_xll.BDP("094743MQ Muni","DUR_ADJ_MID")</f>
        <v>3.678429382175183</v>
      </c>
      <c r="G373">
        <f>_xll.BDP("094743MQ Muni","SPREAD_AT_ISSUANCE_TO_WORST")</f>
        <v>37.05411887707362</v>
      </c>
      <c r="H373" t="str">
        <f>_xll.BDP("094743MQ Muni","ISSUE_DT")</f>
        <v>7/25/2017</v>
      </c>
      <c r="I373" t="str">
        <f>_xll.BDS("094743MQ Muni","MUNI_PURPOSE_SCHED", "aggregate=y")</f>
        <v>WATER UTILITY IMPS.</v>
      </c>
      <c r="J373">
        <f>_xll.BDP("094743MQ Muni","CPN")</f>
        <v>3</v>
      </c>
      <c r="K373" t="str">
        <f>_xll.BDP("094743MQ Muni","MATURITY")</f>
        <v>7/1/2026</v>
      </c>
      <c r="L373">
        <v>105000</v>
      </c>
      <c r="M373">
        <f>_xll.BDP("094743MQ Muni","YIELD_ON_ISSUE_DATE")</f>
        <v>2.3000000000000003</v>
      </c>
      <c r="N373">
        <f>_xll.BDP("094743MQ Muni","YTW_SPREAD_TO_MATURITY_AT_ISSU")</f>
        <v>37.05411887707362</v>
      </c>
      <c r="O373" t="str">
        <f>_xll.BDP("094743MQ Muni","BVAL_MID_YTM")</f>
        <v>#N/A Authorization</v>
      </c>
      <c r="P373" t="str">
        <f>_xll.BDP("094743MQ Muni","MUNI_TAX_PROV")</f>
        <v>FED &amp; ST TAX-EXEMPT</v>
      </c>
      <c r="Q373" t="str">
        <f>_xll.BDP("094743MQ Muni","MUNI_FED_TAX")</f>
        <v>N</v>
      </c>
      <c r="R373" t="str">
        <f>_xll.BDP("094743MQ Muni","MUNI_MSRB_VOLUME")</f>
        <v>#N/A N/A</v>
      </c>
      <c r="S373" t="str">
        <f>_xll.BDP("094743MQ Muni","BB_COMPOSITE")</f>
        <v>#N/A N/A</v>
      </c>
      <c r="T373">
        <f>_xll.BDP("094743MQ Muni","LQA_LIQUIDITY_SCORE")</f>
        <v>52</v>
      </c>
    </row>
    <row r="374" spans="1:20" x14ac:dyDescent="0.25">
      <c r="A374" t="str">
        <f>_xll.BDP("094743MS Muni","ID_CUSIP")</f>
        <v>094743MS7</v>
      </c>
      <c r="B374" t="s">
        <v>115</v>
      </c>
      <c r="C374" t="str">
        <f>_xll.BDP("094743MS Muni","INSURANCE_STATUS")</f>
        <v>Y</v>
      </c>
      <c r="D374" t="str">
        <f>_xll.BDP("094743MS Muni","STATE_CODE")</f>
        <v>IN</v>
      </c>
      <c r="E374" t="str">
        <f>_xll.BDP("094743MS Muni","COUNTY_LOCATION_ISSUER")</f>
        <v>Monroe, IN</v>
      </c>
      <c r="F374">
        <f>_xll.BDP("094743MS Muni","DUR_ADJ_MID")</f>
        <v>4.5508531742757414</v>
      </c>
      <c r="G374">
        <f>_xll.BDP("094743MS Muni","SPREAD_AT_ISSUANCE_TO_WORST")</f>
        <v>46.309785956828222</v>
      </c>
      <c r="H374" t="str">
        <f>_xll.BDP("094743MS Muni","ISSUE_DT")</f>
        <v>7/25/2017</v>
      </c>
      <c r="I374" t="str">
        <f>_xll.BDS("094743MS Muni","MUNI_PURPOSE_SCHED", "aggregate=y")</f>
        <v>WATER UTILITY IMPS.</v>
      </c>
      <c r="J374">
        <f>_xll.BDP("094743MS Muni","CPN")</f>
        <v>3</v>
      </c>
      <c r="K374" t="str">
        <f>_xll.BDP("094743MS Muni","MATURITY")</f>
        <v>7/1/2027</v>
      </c>
      <c r="L374">
        <v>110000</v>
      </c>
      <c r="M374">
        <f>_xll.BDP("094743MS Muni","YIELD_ON_ISSUE_DATE")</f>
        <v>2.5</v>
      </c>
      <c r="N374">
        <f>_xll.BDP("094743MS Muni","YTW_SPREAD_TO_MATURITY_AT_ISSU")</f>
        <v>46.309785956828222</v>
      </c>
      <c r="O374" t="str">
        <f>_xll.BDP("094743MS Muni","BVAL_MID_YTM")</f>
        <v>#N/A Authorization</v>
      </c>
      <c r="P374" t="str">
        <f>_xll.BDP("094743MS Muni","MUNI_TAX_PROV")</f>
        <v>FED &amp; ST TAX-EXEMPT</v>
      </c>
      <c r="Q374" t="str">
        <f>_xll.BDP("094743MS Muni","MUNI_FED_TAX")</f>
        <v>N</v>
      </c>
      <c r="R374" t="str">
        <f>_xll.BDP("094743MS Muni","MUNI_MSRB_VOLUME")</f>
        <v>#N/A N/A</v>
      </c>
      <c r="S374" t="str">
        <f>_xll.BDP("094743MS Muni","BB_COMPOSITE")</f>
        <v>#N/A N/A</v>
      </c>
      <c r="T374">
        <f>_xll.BDP("094743MS Muni","LQA_LIQUIDITY_SCORE")</f>
        <v>42</v>
      </c>
    </row>
    <row r="375" spans="1:20" x14ac:dyDescent="0.25">
      <c r="A375" t="str">
        <f>_xll.BDP("24880AKP Muni","ID_CUSIP")</f>
        <v>24880AKP6</v>
      </c>
      <c r="B375" t="s">
        <v>187</v>
      </c>
      <c r="C375" t="str">
        <f>_xll.BDP("24880AKP Muni","INSURANCE_STATUS")</f>
        <v>Y</v>
      </c>
      <c r="D375" t="str">
        <f>_xll.BDP("24880AKP Muni","STATE_CODE")</f>
        <v>TX</v>
      </c>
      <c r="E375" t="str">
        <f>_xll.BDP("24880AKP Muni","COUNTY_LOCATION_ISSUER")</f>
        <v>Denton, TX</v>
      </c>
      <c r="F375">
        <f>_xll.BDP("24880AKP Muni","DUR_ADJ_MID")</f>
        <v>1.9865258142776234</v>
      </c>
      <c r="G375">
        <f>_xll.BDP("24880AKP Muni","SPREAD_AT_ISSUANCE_TO_WORST")</f>
        <v>83.899540348855297</v>
      </c>
      <c r="H375" t="str">
        <f>_xll.BDP("24880AKP Muni","ISSUE_DT")</f>
        <v>1/1/2017</v>
      </c>
      <c r="I375" t="str">
        <f>_xll.BDS("24880AKP Muni","MUNI_PURPOSE_SCHED", "aggregate=y")</f>
        <v>WATER UTILITY IMPS. SEWER IMPS.</v>
      </c>
      <c r="J375">
        <f>_xll.BDP("24880AKP Muni","CPN")</f>
        <v>3</v>
      </c>
      <c r="K375" t="str">
        <f>_xll.BDP("24880AKP Muni","MATURITY")</f>
        <v>9/1/2024</v>
      </c>
      <c r="L375">
        <v>150000</v>
      </c>
      <c r="M375">
        <f>_xll.BDP("24880AKP Muni","YIELD_ON_ISSUE_DATE")</f>
        <v>3</v>
      </c>
      <c r="N375">
        <f>_xll.BDP("24880AKP Muni","YTW_SPREAD_TO_MATURITY_AT_ISSU")</f>
        <v>83.899540348855297</v>
      </c>
      <c r="O375" t="str">
        <f>_xll.BDP("24880AKP Muni","BVAL_MID_YTM")</f>
        <v>#N/A Authorization</v>
      </c>
      <c r="P375" t="str">
        <f>_xll.BDP("24880AKP Muni","MUNI_TAX_PROV")</f>
        <v>FED BQ</v>
      </c>
      <c r="Q375" t="str">
        <f>_xll.BDP("24880AKP Muni","MUNI_FED_TAX")</f>
        <v>N</v>
      </c>
      <c r="R375" t="str">
        <f>_xll.BDP("24880AKP Muni","MUNI_MSRB_VOLUME")</f>
        <v>#N/A N/A</v>
      </c>
      <c r="S375" t="str">
        <f>_xll.BDP("24880AKP Muni","BB_COMPOSITE")</f>
        <v>#N/A N/A</v>
      </c>
      <c r="T375">
        <f>_xll.BDP("24880AKP Muni","LQA_LIQUIDITY_SCORE")</f>
        <v>71</v>
      </c>
    </row>
    <row r="376" spans="1:20" x14ac:dyDescent="0.25">
      <c r="A376" t="str">
        <f>_xll.BDP("04184KSM Muni","ID_CUSIP")</f>
        <v>04184KSM8</v>
      </c>
      <c r="B376" t="s">
        <v>185</v>
      </c>
      <c r="C376" t="str">
        <f>_xll.BDP("04184KSM Muni","INSURANCE_STATUS")</f>
        <v>N</v>
      </c>
      <c r="D376" t="str">
        <f>_xll.BDP("04184KSM Muni","STATE_CODE")</f>
        <v>TX</v>
      </c>
      <c r="E376" t="str">
        <f>_xll.BDP("04184KSM Muni","COUNTY_LOCATION_ISSUER")</f>
        <v>Tarrant, TX</v>
      </c>
      <c r="F376">
        <f>_xll.BDP("04184KSM Muni","DUR_ADJ_MID")</f>
        <v>2.6685724275890914</v>
      </c>
      <c r="G376">
        <f>_xll.BDP("04184KSM Muni","SPREAD_AT_ISSUANCE_TO_WORST")</f>
        <v>16.006684982484121</v>
      </c>
      <c r="H376" t="str">
        <f>_xll.BDP("04184KSM Muni","ISSUE_DT")</f>
        <v>6/1/2017</v>
      </c>
      <c r="I376" t="str">
        <f>_xll.BDS("04184KSM Muni","MUNI_PURPOSE_SCHED", "aggregate=y")</f>
        <v>WATER UTILITY IMPS. SEWER IMPS.</v>
      </c>
      <c r="J376">
        <f>_xll.BDP("04184KSM Muni","CPN")</f>
        <v>4</v>
      </c>
      <c r="K376" t="str">
        <f>_xll.BDP("04184KSM Muni","MATURITY")</f>
        <v>6/1/2025</v>
      </c>
      <c r="L376">
        <v>2015000</v>
      </c>
      <c r="M376">
        <f>_xll.BDP("04184KSM Muni","YIELD_ON_ISSUE_DATE")</f>
        <v>1.79</v>
      </c>
      <c r="N376">
        <f>_xll.BDP("04184KSM Muni","YTW_SPREAD_TO_MATURITY_AT_ISSU")</f>
        <v>16.006684982484121</v>
      </c>
      <c r="O376" t="str">
        <f>_xll.BDP("04184KSM Muni","BVAL_MID_YTM")</f>
        <v>#N/A Authorization</v>
      </c>
      <c r="P376" t="str">
        <f>_xll.BDP("04184KSM Muni","MUNI_TAX_PROV")</f>
        <v>FED TAX-EXEMPT</v>
      </c>
      <c r="Q376" t="str">
        <f>_xll.BDP("04184KSM Muni","MUNI_FED_TAX")</f>
        <v>N</v>
      </c>
      <c r="R376" t="str">
        <f>_xll.BDP("04184KSM Muni","MUNI_MSRB_VOLUME")</f>
        <v>#N/A N/A</v>
      </c>
      <c r="S376" t="str">
        <f>_xll.BDP("04184KSM Muni","BB_COMPOSITE")</f>
        <v>AA+</v>
      </c>
      <c r="T376">
        <f>_xll.BDP("04184KSM Muni","LQA_LIQUIDITY_SCORE")</f>
        <v>79</v>
      </c>
    </row>
    <row r="377" spans="1:20" x14ac:dyDescent="0.25">
      <c r="A377" t="str">
        <f>_xll.BDP("04184KSN Muni","ID_CUSIP")</f>
        <v>04184KSN6</v>
      </c>
      <c r="B377" t="s">
        <v>185</v>
      </c>
      <c r="C377" t="str">
        <f>_xll.BDP("04184KSN Muni","INSURANCE_STATUS")</f>
        <v>N</v>
      </c>
      <c r="D377" t="str">
        <f>_xll.BDP("04184KSN Muni","STATE_CODE")</f>
        <v>TX</v>
      </c>
      <c r="E377" t="str">
        <f>_xll.BDP("04184KSN Muni","COUNTY_LOCATION_ISSUER")</f>
        <v>Tarrant, TX</v>
      </c>
      <c r="F377">
        <f>_xll.BDP("04184KSN Muni","DUR_ADJ_MID")</f>
        <v>3.5454496762000445</v>
      </c>
      <c r="G377">
        <f>_xll.BDP("04184KSN Muni","SPREAD_AT_ISSUANCE_TO_WORST")</f>
        <v>23.182922044660526</v>
      </c>
      <c r="H377" t="str">
        <f>_xll.BDP("04184KSN Muni","ISSUE_DT")</f>
        <v>6/1/2017</v>
      </c>
      <c r="I377" t="str">
        <f>_xll.BDS("04184KSN Muni","MUNI_PURPOSE_SCHED", "aggregate=y")</f>
        <v>WATER UTILITY IMPS. SEWER IMPS.</v>
      </c>
      <c r="J377">
        <f>_xll.BDP("04184KSN Muni","CPN")</f>
        <v>4</v>
      </c>
      <c r="K377" t="str">
        <f>_xll.BDP("04184KSN Muni","MATURITY")</f>
        <v>6/1/2026</v>
      </c>
      <c r="L377">
        <v>2015000</v>
      </c>
      <c r="M377">
        <f>_xll.BDP("04184KSN Muni","YIELD_ON_ISSUE_DATE")</f>
        <v>2</v>
      </c>
      <c r="N377">
        <f>_xll.BDP("04184KSN Muni","YTW_SPREAD_TO_MATURITY_AT_ISSU")</f>
        <v>23.182922044660526</v>
      </c>
      <c r="O377" t="str">
        <f>_xll.BDP("04184KSN Muni","BVAL_MID_YTM")</f>
        <v>#N/A Authorization</v>
      </c>
      <c r="P377" t="str">
        <f>_xll.BDP("04184KSN Muni","MUNI_TAX_PROV")</f>
        <v>FED TAX-EXEMPT</v>
      </c>
      <c r="Q377" t="str">
        <f>_xll.BDP("04184KSN Muni","MUNI_FED_TAX")</f>
        <v>N</v>
      </c>
      <c r="R377">
        <f>_xll.BDP("04184KSN Muni","MUNI_MSRB_VOLUME")</f>
        <v>30000</v>
      </c>
      <c r="S377" t="str">
        <f>_xll.BDP("04184KSN Muni","BB_COMPOSITE")</f>
        <v>AA+</v>
      </c>
      <c r="T377">
        <f>_xll.BDP("04184KSN Muni","LQA_LIQUIDITY_SCORE")</f>
        <v>72</v>
      </c>
    </row>
    <row r="378" spans="1:20" x14ac:dyDescent="0.25">
      <c r="A378" t="str">
        <f>_xll.BDP("25471TAX Muni","ID_CUSIP")</f>
        <v>25471TAX1</v>
      </c>
      <c r="B378" t="s">
        <v>86</v>
      </c>
      <c r="C378" t="str">
        <f>_xll.BDP("25471TAX Muni","INSURANCE_STATUS")</f>
        <v>N</v>
      </c>
      <c r="D378" t="str">
        <f>_xll.BDP("25471TAX Muni","STATE_CODE")</f>
        <v>CA</v>
      </c>
      <c r="E378" t="str">
        <f>_xll.BDP("25471TAX Muni","COUNTY_LOCATION_ISSUER")</f>
        <v>#N/A Field Not Applicable</v>
      </c>
      <c r="F378">
        <f>_xll.BDP("25471TAX Muni","DUR_ADJ_MID")</f>
        <v>1.2918548848261862</v>
      </c>
      <c r="G378">
        <f>_xll.BDP("25471TAX Muni","SPREAD_AT_ISSUANCE_TO_WORST")</f>
        <v>21.501629775086052</v>
      </c>
      <c r="H378" t="str">
        <f>_xll.BDP("25471TAX Muni","ISSUE_DT")</f>
        <v>4/19/2017</v>
      </c>
      <c r="I378" t="str">
        <f>_xll.BDS("25471TAX Muni","MUNI_PURPOSE_SCHED", "aggregate=y")</f>
        <v>WATER UTILITY IMPS. SEWER IMPS.</v>
      </c>
      <c r="J378">
        <f>_xll.BDP("25471TAX Muni","CPN")</f>
        <v>4</v>
      </c>
      <c r="K378" t="str">
        <f>_xll.BDP("25471TAX Muni","MATURITY")</f>
        <v>12/1/2023</v>
      </c>
      <c r="L378">
        <v>210000</v>
      </c>
      <c r="M378">
        <f>_xll.BDP("25471TAX Muni","YIELD_ON_ISSUE_DATE")</f>
        <v>1.95</v>
      </c>
      <c r="N378">
        <f>_xll.BDP("25471TAX Muni","YTW_SPREAD_TO_MATURITY_AT_ISSU")</f>
        <v>21.501629775086052</v>
      </c>
      <c r="O378" t="str">
        <f>_xll.BDP("25471TAX Muni","BVAL_MID_YTM")</f>
        <v>#N/A Authorization</v>
      </c>
      <c r="P378" t="str">
        <f>_xll.BDP("25471TAX Muni","MUNI_TAX_PROV")</f>
        <v>FED BQ/ST TAX-EXEMPT</v>
      </c>
      <c r="Q378" t="str">
        <f>_xll.BDP("25471TAX Muni","MUNI_FED_TAX")</f>
        <v>N</v>
      </c>
      <c r="R378" t="str">
        <f>_xll.BDP("25471TAX Muni","MUNI_MSRB_VOLUME")</f>
        <v>#N/A N/A</v>
      </c>
      <c r="S378" t="str">
        <f>_xll.BDP("25471TAX Muni","BB_COMPOSITE")</f>
        <v>#N/A N/A</v>
      </c>
      <c r="T378">
        <f>_xll.BDP("25471TAX Muni","LQA_LIQUIDITY_SCORE")</f>
        <v>79</v>
      </c>
    </row>
    <row r="379" spans="1:20" x14ac:dyDescent="0.25">
      <c r="A379" t="str">
        <f>_xll.BDP("25471TBA Muni","ID_CUSIP")</f>
        <v>25471TBA0</v>
      </c>
      <c r="B379" t="s">
        <v>86</v>
      </c>
      <c r="C379" t="str">
        <f>_xll.BDP("25471TBA Muni","INSURANCE_STATUS")</f>
        <v>N</v>
      </c>
      <c r="D379" t="str">
        <f>_xll.BDP("25471TBA Muni","STATE_CODE")</f>
        <v>CA</v>
      </c>
      <c r="E379" t="str">
        <f>_xll.BDP("25471TBA Muni","COUNTY_LOCATION_ISSUER")</f>
        <v>#N/A Field Not Applicable</v>
      </c>
      <c r="F379">
        <f>_xll.BDP("25471TBA Muni","DUR_ADJ_MID")</f>
        <v>3.9059941387526687</v>
      </c>
      <c r="G379">
        <f>_xll.BDP("25471TBA Muni","SPREAD_AT_ISSUANCE_TO_WORST")</f>
        <v>25.936899871492038</v>
      </c>
      <c r="H379" t="str">
        <f>_xll.BDP("25471TBA Muni","ISSUE_DT")</f>
        <v>4/19/2017</v>
      </c>
      <c r="I379" t="str">
        <f>_xll.BDS("25471TBA Muni","MUNI_PURPOSE_SCHED", "aggregate=y")</f>
        <v>WATER UTILITY IMPS. SEWER IMPS.</v>
      </c>
      <c r="J379">
        <f>_xll.BDP("25471TBA Muni","CPN")</f>
        <v>5</v>
      </c>
      <c r="K379" t="str">
        <f>_xll.BDP("25471TBA Muni","MATURITY")</f>
        <v>12/1/2026</v>
      </c>
      <c r="L379">
        <v>240000</v>
      </c>
      <c r="M379">
        <f>_xll.BDP("25471TBA Muni","YIELD_ON_ISSUE_DATE")</f>
        <v>2.4300000000000002</v>
      </c>
      <c r="N379">
        <f>_xll.BDP("25471TBA Muni","YTW_SPREAD_TO_MATURITY_AT_ISSU")</f>
        <v>25.936899871492038</v>
      </c>
      <c r="O379" t="str">
        <f>_xll.BDP("25471TBA Muni","BVAL_MID_YTM")</f>
        <v>#N/A Authorization</v>
      </c>
      <c r="P379" t="str">
        <f>_xll.BDP("25471TBA Muni","MUNI_TAX_PROV")</f>
        <v>FED BQ/ST TAX-EXEMPT</v>
      </c>
      <c r="Q379" t="str">
        <f>_xll.BDP("25471TBA Muni","MUNI_FED_TAX")</f>
        <v>N</v>
      </c>
      <c r="R379" t="str">
        <f>_xll.BDP("25471TBA Muni","MUNI_MSRB_VOLUME")</f>
        <v>#N/A N/A</v>
      </c>
      <c r="S379" t="str">
        <f>_xll.BDP("25471TBA Muni","BB_COMPOSITE")</f>
        <v>#N/A N/A</v>
      </c>
      <c r="T379">
        <f>_xll.BDP("25471TBA Muni","LQA_LIQUIDITY_SCORE")</f>
        <v>59</v>
      </c>
    </row>
    <row r="380" spans="1:20" x14ac:dyDescent="0.25">
      <c r="A380" t="str">
        <f>_xll.BDP("25471TAZ Muni","ID_CUSIP")</f>
        <v>25471TAZ6</v>
      </c>
      <c r="B380" t="s">
        <v>86</v>
      </c>
      <c r="C380" t="str">
        <f>_xll.BDP("25471TAZ Muni","INSURANCE_STATUS")</f>
        <v>N</v>
      </c>
      <c r="D380" t="str">
        <f>_xll.BDP("25471TAZ Muni","STATE_CODE")</f>
        <v>CA</v>
      </c>
      <c r="E380" t="str">
        <f>_xll.BDP("25471TAZ Muni","COUNTY_LOCATION_ISSUER")</f>
        <v>#N/A Field Not Applicable</v>
      </c>
      <c r="F380">
        <f>_xll.BDP("25471TAZ Muni","DUR_ADJ_MID")</f>
        <v>3.070120006660773</v>
      </c>
      <c r="G380">
        <f>_xll.BDP("25471TAZ Muni","SPREAD_AT_ISSUANCE_TO_WORST")</f>
        <v>24.292050426647769</v>
      </c>
      <c r="H380" t="str">
        <f>_xll.BDP("25471TAZ Muni","ISSUE_DT")</f>
        <v>4/19/2017</v>
      </c>
      <c r="I380" t="str">
        <f>_xll.BDS("25471TAZ Muni","MUNI_PURPOSE_SCHED", "aggregate=y")</f>
        <v>WATER UTILITY IMPS. SEWER IMPS.</v>
      </c>
      <c r="J380">
        <f>_xll.BDP("25471TAZ Muni","CPN")</f>
        <v>5</v>
      </c>
      <c r="K380" t="str">
        <f>_xll.BDP("25471TAZ Muni","MATURITY")</f>
        <v>12/1/2025</v>
      </c>
      <c r="L380">
        <v>225000</v>
      </c>
      <c r="M380">
        <f>_xll.BDP("25471TAZ Muni","YIELD_ON_ISSUE_DATE")</f>
        <v>2.29</v>
      </c>
      <c r="N380">
        <f>_xll.BDP("25471TAZ Muni","YTW_SPREAD_TO_MATURITY_AT_ISSU")</f>
        <v>24.292050426647769</v>
      </c>
      <c r="O380" t="str">
        <f>_xll.BDP("25471TAZ Muni","BVAL_MID_YTM")</f>
        <v>#N/A Authorization</v>
      </c>
      <c r="P380" t="str">
        <f>_xll.BDP("25471TAZ Muni","MUNI_TAX_PROV")</f>
        <v>FED BQ/ST TAX-EXEMPT</v>
      </c>
      <c r="Q380" t="str">
        <f>_xll.BDP("25471TAZ Muni","MUNI_FED_TAX")</f>
        <v>N</v>
      </c>
      <c r="R380" t="str">
        <f>_xll.BDP("25471TAZ Muni","MUNI_MSRB_VOLUME")</f>
        <v>#N/A N/A</v>
      </c>
      <c r="S380" t="str">
        <f>_xll.BDP("25471TAZ Muni","BB_COMPOSITE")</f>
        <v>#N/A N/A</v>
      </c>
      <c r="T380">
        <f>_xll.BDP("25471TAZ Muni","LQA_LIQUIDITY_SCORE")</f>
        <v>65</v>
      </c>
    </row>
    <row r="381" spans="1:20" x14ac:dyDescent="0.25">
      <c r="A381" t="str">
        <f>_xll.BDP("254845ND Muni","ID_CUSIP")</f>
        <v>254845ND8</v>
      </c>
      <c r="B381" t="s">
        <v>104</v>
      </c>
      <c r="C381" t="str">
        <f>_xll.BDP("254845ND Muni","INSURANCE_STATUS")</f>
        <v>N</v>
      </c>
      <c r="D381" t="str">
        <f>_xll.BDP("254845ND Muni","STATE_CODE")</f>
        <v>DC</v>
      </c>
      <c r="E381" t="str">
        <f>_xll.BDP("254845ND Muni","COUNTY_LOCATION_ISSUER")</f>
        <v>District of Columbia, 11</v>
      </c>
      <c r="F381">
        <f>_xll.BDP("254845ND Muni","DUR_ADJ_MID")</f>
        <v>0.16346126773408745</v>
      </c>
      <c r="G381">
        <f>_xll.BDP("254845ND Muni","SPREAD_AT_ISSUANCE_TO_WORST")</f>
        <v>7.9302751887523781</v>
      </c>
      <c r="H381" t="str">
        <f>_xll.BDP("254845ND Muni","ISSUE_DT")</f>
        <v>2/23/2017</v>
      </c>
      <c r="I381" t="str">
        <f>_xll.BDS("254845ND Muni","MUNI_PURPOSE_SCHED", "aggregate=y")</f>
        <v>WATER UTILITY IMPS. SEWER IMPS.</v>
      </c>
      <c r="J381">
        <f>_xll.BDP("254845ND Muni","CPN")</f>
        <v>5</v>
      </c>
      <c r="K381" t="str">
        <f>_xll.BDP("254845ND Muni","MATURITY")</f>
        <v>10/1/2022</v>
      </c>
      <c r="L381">
        <v>4555000</v>
      </c>
      <c r="M381">
        <f>_xll.BDP("254845ND Muni","YIELD_ON_ISSUE_DATE")</f>
        <v>1.84</v>
      </c>
      <c r="N381">
        <f>_xll.BDP("254845ND Muni","YTW_SPREAD_TO_MATURITY_AT_ISSU")</f>
        <v>7.9302751887523781</v>
      </c>
      <c r="O381" t="str">
        <f>_xll.BDP("254845ND Muni","BVAL_MID_YTM")</f>
        <v>#N/A Authorization</v>
      </c>
      <c r="P381" t="str">
        <f>_xll.BDP("254845ND Muni","MUNI_TAX_PROV")</f>
        <v>FED &amp; ST TAX-EXEMPT</v>
      </c>
      <c r="Q381" t="str">
        <f>_xll.BDP("254845ND Muni","MUNI_FED_TAX")</f>
        <v>N</v>
      </c>
      <c r="R381">
        <f>_xll.BDP("254845ND Muni","MUNI_MSRB_VOLUME")</f>
        <v>75000</v>
      </c>
      <c r="S381" t="str">
        <f>_xll.BDP("254845ND Muni","BB_COMPOSITE")</f>
        <v>AA+</v>
      </c>
      <c r="T381">
        <f>_xll.BDP("254845ND Muni","LQA_LIQUIDITY_SCORE")</f>
        <v>99</v>
      </c>
    </row>
    <row r="382" spans="1:20" x14ac:dyDescent="0.25">
      <c r="A382" t="str">
        <f>_xll.BDP("254845NE Muni","ID_CUSIP")</f>
        <v>254845NE6</v>
      </c>
      <c r="B382" t="s">
        <v>104</v>
      </c>
      <c r="C382" t="str">
        <f>_xll.BDP("254845NE Muni","INSURANCE_STATUS")</f>
        <v>N</v>
      </c>
      <c r="D382" t="str">
        <f>_xll.BDP("254845NE Muni","STATE_CODE")</f>
        <v>DC</v>
      </c>
      <c r="E382" t="str">
        <f>_xll.BDP("254845NE Muni","COUNTY_LOCATION_ISSUER")</f>
        <v>District of Columbia, 11</v>
      </c>
      <c r="F382">
        <f>_xll.BDP("254845NE Muni","DUR_ADJ_MID")</f>
        <v>1.1202516894848606</v>
      </c>
      <c r="G382">
        <f>_xll.BDP("254845NE Muni","SPREAD_AT_ISSUANCE_TO_WORST")</f>
        <v>10.252792456441707</v>
      </c>
      <c r="H382" t="str">
        <f>_xll.BDP("254845NE Muni","ISSUE_DT")</f>
        <v>2/23/2017</v>
      </c>
      <c r="I382" t="str">
        <f>_xll.BDS("254845NE Muni","MUNI_PURPOSE_SCHED", "aggregate=y")</f>
        <v>WATER UTILITY IMPS. SEWER IMPS.</v>
      </c>
      <c r="J382">
        <f>_xll.BDP("254845NE Muni","CPN")</f>
        <v>5</v>
      </c>
      <c r="K382" t="str">
        <f>_xll.BDP("254845NE Muni","MATURITY")</f>
        <v>10/1/2023</v>
      </c>
      <c r="L382">
        <v>4785000</v>
      </c>
      <c r="M382">
        <f>_xll.BDP("254845NE Muni","YIELD_ON_ISSUE_DATE")</f>
        <v>2.0100000000000002</v>
      </c>
      <c r="N382">
        <f>_xll.BDP("254845NE Muni","YTW_SPREAD_TO_MATURITY_AT_ISSU")</f>
        <v>10.252792456441707</v>
      </c>
      <c r="O382" t="str">
        <f>_xll.BDP("254845NE Muni","BVAL_MID_YTM")</f>
        <v>#N/A Authorization</v>
      </c>
      <c r="P382" t="str">
        <f>_xll.BDP("254845NE Muni","MUNI_TAX_PROV")</f>
        <v>FED &amp; ST TAX-EXEMPT</v>
      </c>
      <c r="Q382" t="str">
        <f>_xll.BDP("254845NE Muni","MUNI_FED_TAX")</f>
        <v>N</v>
      </c>
      <c r="R382">
        <f>_xll.BDP("254845NE Muni","MUNI_MSRB_VOLUME")</f>
        <v>20000</v>
      </c>
      <c r="S382" t="str">
        <f>_xll.BDP("254845NE Muni","BB_COMPOSITE")</f>
        <v>AA+</v>
      </c>
      <c r="T382">
        <f>_xll.BDP("254845NE Muni","LQA_LIQUIDITY_SCORE")</f>
        <v>94</v>
      </c>
    </row>
    <row r="383" spans="1:20" x14ac:dyDescent="0.25">
      <c r="A383" t="str">
        <f>_xll.BDP("255650AZ Muni","ID_CUSIP")</f>
        <v>255650AZ6</v>
      </c>
      <c r="B383" t="s">
        <v>188</v>
      </c>
      <c r="C383" t="str">
        <f>_xll.BDP("255650AZ Muni","INSURANCE_STATUS")</f>
        <v>N</v>
      </c>
      <c r="D383" t="str">
        <f>_xll.BDP("255650AZ Muni","STATE_CODE")</f>
        <v>CA</v>
      </c>
      <c r="E383" t="str">
        <f>_xll.BDP("255650AZ Muni","COUNTY_LOCATION_ISSUER")</f>
        <v>Solano, CA</v>
      </c>
      <c r="F383">
        <f>_xll.BDP("255650AZ Muni","DUR_ADJ_MID")</f>
        <v>8.049074334330697E-2</v>
      </c>
      <c r="G383">
        <f>_xll.BDP("255650AZ Muni","SPREAD_AT_ISSUANCE_TO_WORST")</f>
        <v>74.946457773539166</v>
      </c>
      <c r="H383" t="str">
        <f>_xll.BDP("255650AZ Muni","ISSUE_DT")</f>
        <v>9/12/2017</v>
      </c>
      <c r="I383" t="str">
        <f>_xll.BDS("255650AZ Muni","MUNI_PURPOSE_SCHED", "aggregate=y")</f>
        <v>PUBLIC IMPS. WATER UTILITY IMPS. SEWER IMPS.</v>
      </c>
      <c r="J383">
        <f>_xll.BDP("255650AZ Muni","CPN")</f>
        <v>2</v>
      </c>
      <c r="K383" t="str">
        <f>_xll.BDP("255650AZ Muni","MATURITY")</f>
        <v>9/1/2022</v>
      </c>
      <c r="L383">
        <v>55000</v>
      </c>
      <c r="M383">
        <f>_xll.BDP("255650AZ Muni","YIELD_ON_ISSUE_DATE")</f>
        <v>1.9000000000000001</v>
      </c>
      <c r="N383">
        <f>_xll.BDP("255650AZ Muni","YTW_SPREAD_TO_MATURITY_AT_ISSU")</f>
        <v>74.946457773539166</v>
      </c>
      <c r="O383" t="str">
        <f>_xll.BDP("255650AZ Muni","BVAL_MID_YTM")</f>
        <v>#N/A Authorization</v>
      </c>
      <c r="P383" t="str">
        <f>_xll.BDP("255650AZ Muni","MUNI_TAX_PROV")</f>
        <v>FED &amp; ST TAX-EXEMPT</v>
      </c>
      <c r="Q383" t="str">
        <f>_xll.BDP("255650AZ Muni","MUNI_FED_TAX")</f>
        <v>N</v>
      </c>
      <c r="R383" t="str">
        <f>_xll.BDP("255650AZ Muni","MUNI_MSRB_VOLUME")</f>
        <v>#N/A N/A</v>
      </c>
      <c r="S383" t="str">
        <f>_xll.BDP("255650AZ Muni","BB_COMPOSITE")</f>
        <v>#N/A N/A</v>
      </c>
      <c r="T383">
        <f>_xll.BDP("255650AZ Muni","LQA_LIQUIDITY_SCORE")</f>
        <v>91</v>
      </c>
    </row>
    <row r="384" spans="1:20" x14ac:dyDescent="0.25">
      <c r="A384" t="str">
        <f>_xll.BDP("255650BA Muni","ID_CUSIP")</f>
        <v>255650BA0</v>
      </c>
      <c r="B384" t="s">
        <v>188</v>
      </c>
      <c r="C384" t="str">
        <f>_xll.BDP("255650BA Muni","INSURANCE_STATUS")</f>
        <v>N</v>
      </c>
      <c r="D384" t="str">
        <f>_xll.BDP("255650BA Muni","STATE_CODE")</f>
        <v>CA</v>
      </c>
      <c r="E384" t="str">
        <f>_xll.BDP("255650BA Muni","COUNTY_LOCATION_ISSUER")</f>
        <v>Solano, CA</v>
      </c>
      <c r="F384">
        <f>_xll.BDP("255650BA Muni","DUR_ADJ_MID")</f>
        <v>1.057342225846402</v>
      </c>
      <c r="G384">
        <f>_xll.BDP("255650BA Muni","SPREAD_AT_ISSUANCE_TO_WORST")</f>
        <v>84.298717626555543</v>
      </c>
      <c r="H384" t="str">
        <f>_xll.BDP("255650BA Muni","ISSUE_DT")</f>
        <v>9/12/2017</v>
      </c>
      <c r="I384" t="str">
        <f>_xll.BDS("255650BA Muni","MUNI_PURPOSE_SCHED", "aggregate=y")</f>
        <v>PUBLIC IMPS. WATER UTILITY IMPS. SEWER IMPS.</v>
      </c>
      <c r="J384">
        <f>_xll.BDP("255650BA Muni","CPN")</f>
        <v>2</v>
      </c>
      <c r="K384" t="str">
        <f>_xll.BDP("255650BA Muni","MATURITY")</f>
        <v>9/1/2023</v>
      </c>
      <c r="L384">
        <v>60000</v>
      </c>
      <c r="M384">
        <f>_xll.BDP("255650BA Muni","YIELD_ON_ISSUE_DATE")</f>
        <v>2.14</v>
      </c>
      <c r="N384">
        <f>_xll.BDP("255650BA Muni","YTW_SPREAD_TO_MATURITY_AT_ISSU")</f>
        <v>84.298717626555543</v>
      </c>
      <c r="O384" t="str">
        <f>_xll.BDP("255650BA Muni","BVAL_MID_YTM")</f>
        <v>#N/A Authorization</v>
      </c>
      <c r="P384" t="str">
        <f>_xll.BDP("255650BA Muni","MUNI_TAX_PROV")</f>
        <v>FED &amp; ST TAX-EXEMPT</v>
      </c>
      <c r="Q384" t="str">
        <f>_xll.BDP("255650BA Muni","MUNI_FED_TAX")</f>
        <v>N</v>
      </c>
      <c r="R384">
        <f>_xll.BDP("255650BA Muni","MUNI_MSRB_VOLUME")</f>
        <v>40000</v>
      </c>
      <c r="S384" t="str">
        <f>_xll.BDP("255650BA Muni","BB_COMPOSITE")</f>
        <v>#N/A N/A</v>
      </c>
      <c r="T384">
        <f>_xll.BDP("255650BA Muni","LQA_LIQUIDITY_SCORE")</f>
        <v>67</v>
      </c>
    </row>
    <row r="385" spans="1:20" x14ac:dyDescent="0.25">
      <c r="A385" t="str">
        <f>_xll.BDP("255650BB Muni","ID_CUSIP")</f>
        <v>255650BB8</v>
      </c>
      <c r="B385" t="s">
        <v>188</v>
      </c>
      <c r="C385" t="str">
        <f>_xll.BDP("255650BB Muni","INSURANCE_STATUS")</f>
        <v>N</v>
      </c>
      <c r="D385" t="str">
        <f>_xll.BDP("255650BB Muni","STATE_CODE")</f>
        <v>CA</v>
      </c>
      <c r="E385" t="str">
        <f>_xll.BDP("255650BB Muni","COUNTY_LOCATION_ISSUER")</f>
        <v>Solano, CA</v>
      </c>
      <c r="F385">
        <f>_xll.BDP("255650BB Muni","DUR_ADJ_MID")</f>
        <v>2.0131000506305092</v>
      </c>
      <c r="G385">
        <f>_xll.BDP("255650BB Muni","SPREAD_AT_ISSUANCE_TO_WORST")</f>
        <v>96.314231463322926</v>
      </c>
      <c r="H385" t="str">
        <f>_xll.BDP("255650BB Muni","ISSUE_DT")</f>
        <v>9/12/2017</v>
      </c>
      <c r="I385" t="str">
        <f>_xll.BDS("255650BB Muni","MUNI_PURPOSE_SCHED", "aggregate=y")</f>
        <v>PUBLIC IMPS. WATER UTILITY IMPS. SEWER IMPS.</v>
      </c>
      <c r="J385">
        <f>_xll.BDP("255650BB Muni","CPN")</f>
        <v>2</v>
      </c>
      <c r="K385" t="str">
        <f>_xll.BDP("255650BB Muni","MATURITY")</f>
        <v>9/1/2024</v>
      </c>
      <c r="L385">
        <v>65000</v>
      </c>
      <c r="M385">
        <f>_xll.BDP("255650BB Muni","YIELD_ON_ISSUE_DATE")</f>
        <v>2.41</v>
      </c>
      <c r="N385">
        <f>_xll.BDP("255650BB Muni","YTW_SPREAD_TO_MATURITY_AT_ISSU")</f>
        <v>96.314231463322926</v>
      </c>
      <c r="O385" t="str">
        <f>_xll.BDP("255650BB Muni","BVAL_MID_YTM")</f>
        <v>#N/A Authorization</v>
      </c>
      <c r="P385" t="str">
        <f>_xll.BDP("255650BB Muni","MUNI_TAX_PROV")</f>
        <v>FED &amp; ST TAX-EXEMPT</v>
      </c>
      <c r="Q385" t="str">
        <f>_xll.BDP("255650BB Muni","MUNI_FED_TAX")</f>
        <v>N</v>
      </c>
      <c r="R385" t="str">
        <f>_xll.BDP("255650BB Muni","MUNI_MSRB_VOLUME")</f>
        <v>#N/A N/A</v>
      </c>
      <c r="S385" t="str">
        <f>_xll.BDP("255650BB Muni","BB_COMPOSITE")</f>
        <v>#N/A N/A</v>
      </c>
      <c r="T385">
        <f>_xll.BDP("255650BB Muni","LQA_LIQUIDITY_SCORE")</f>
        <v>52</v>
      </c>
    </row>
    <row r="386" spans="1:20" x14ac:dyDescent="0.25">
      <c r="A386" t="str">
        <f>_xll.BDP("24880EBC Muni","ID_CUSIP")</f>
        <v>24880EBC7</v>
      </c>
      <c r="B386" t="s">
        <v>189</v>
      </c>
      <c r="C386" t="str">
        <f>_xll.BDP("24880EBC Muni","INSURANCE_STATUS")</f>
        <v>Y</v>
      </c>
      <c r="D386" t="str">
        <f>_xll.BDP("24880EBC Muni","STATE_CODE")</f>
        <v>TX</v>
      </c>
      <c r="E386" t="str">
        <f>_xll.BDP("24880EBC Muni","COUNTY_LOCATION_ISSUER")</f>
        <v>Dallas, TX</v>
      </c>
      <c r="F386">
        <f>_xll.BDP("24880EBC Muni","DUR_ADJ_MID")</f>
        <v>8.0449868075707948E-2</v>
      </c>
      <c r="G386">
        <f>_xll.BDP("24880EBC Muni","SPREAD_AT_ISSUANCE_TO_WORST")</f>
        <v>60.296549842144657</v>
      </c>
      <c r="H386" t="str">
        <f>_xll.BDP("24880EBC Muni","ISSUE_DT")</f>
        <v>6/1/2017</v>
      </c>
      <c r="I386" t="str">
        <f>_xll.BDS("24880EBC Muni","MUNI_PURPOSE_SCHED", "aggregate=y")</f>
        <v>WATER UTILITY IMPS. SEWER IMPS. REFUNDING NOTES</v>
      </c>
      <c r="J386">
        <f>_xll.BDP("24880EBC Muni","CPN")</f>
        <v>4</v>
      </c>
      <c r="K386" t="str">
        <f>_xll.BDP("24880EBC Muni","MATURITY")</f>
        <v>9/1/2022</v>
      </c>
      <c r="L386">
        <v>115000</v>
      </c>
      <c r="M386">
        <f>_xll.BDP("24880EBC Muni","YIELD_ON_ISSUE_DATE")</f>
        <v>1.85</v>
      </c>
      <c r="N386">
        <f>_xll.BDP("24880EBC Muni","YTW_SPREAD_TO_MATURITY_AT_ISSU")</f>
        <v>60.296549842144657</v>
      </c>
      <c r="O386" t="str">
        <f>_xll.BDP("24880EBC Muni","BVAL_MID_YTM")</f>
        <v>#N/A Authorization</v>
      </c>
      <c r="P386" t="str">
        <f>_xll.BDP("24880EBC Muni","MUNI_TAX_PROV")</f>
        <v>FED BQ</v>
      </c>
      <c r="Q386" t="str">
        <f>_xll.BDP("24880EBC Muni","MUNI_FED_TAX")</f>
        <v>N</v>
      </c>
      <c r="R386" t="str">
        <f>_xll.BDP("24880EBC Muni","MUNI_MSRB_VOLUME")</f>
        <v>#N/A N/A</v>
      </c>
      <c r="S386" t="str">
        <f>_xll.BDP("24880EBC Muni","BB_COMPOSITE")</f>
        <v>#N/A N/A</v>
      </c>
      <c r="T386">
        <f>_xll.BDP("24880EBC Muni","LQA_LIQUIDITY_SCORE")</f>
        <v>86</v>
      </c>
    </row>
    <row r="387" spans="1:20" x14ac:dyDescent="0.25">
      <c r="A387" t="str">
        <f>_xll.BDP("24880EBD Muni","ID_CUSIP")</f>
        <v>24880EBD5</v>
      </c>
      <c r="B387" t="s">
        <v>189</v>
      </c>
      <c r="C387" t="str">
        <f>_xll.BDP("24880EBD Muni","INSURANCE_STATUS")</f>
        <v>Y</v>
      </c>
      <c r="D387" t="str">
        <f>_xll.BDP("24880EBD Muni","STATE_CODE")</f>
        <v>TX</v>
      </c>
      <c r="E387" t="str">
        <f>_xll.BDP("24880EBD Muni","COUNTY_LOCATION_ISSUER")</f>
        <v>Dallas, TX</v>
      </c>
      <c r="F387">
        <f>_xll.BDP("24880EBD Muni","DUR_ADJ_MID")</f>
        <v>1.0401497938609556</v>
      </c>
      <c r="G387">
        <f>_xll.BDP("24880EBD Muni","SPREAD_AT_ISSUANCE_TO_WORST")</f>
        <v>59.31781718406539</v>
      </c>
      <c r="H387" t="str">
        <f>_xll.BDP("24880EBD Muni","ISSUE_DT")</f>
        <v>6/1/2017</v>
      </c>
      <c r="I387" t="str">
        <f>_xll.BDS("24880EBD Muni","MUNI_PURPOSE_SCHED", "aggregate=y")</f>
        <v>WATER UTILITY IMPS. SEWER IMPS. REFUNDING NOTES</v>
      </c>
      <c r="J387">
        <f>_xll.BDP("24880EBD Muni","CPN")</f>
        <v>4</v>
      </c>
      <c r="K387" t="str">
        <f>_xll.BDP("24880EBD Muni","MATURITY")</f>
        <v>9/1/2023</v>
      </c>
      <c r="L387">
        <v>120000</v>
      </c>
      <c r="M387">
        <f>_xll.BDP("24880EBD Muni","YIELD_ON_ISSUE_DATE")</f>
        <v>2</v>
      </c>
      <c r="N387">
        <f>_xll.BDP("24880EBD Muni","YTW_SPREAD_TO_MATURITY_AT_ISSU")</f>
        <v>59.31781718406539</v>
      </c>
      <c r="O387" t="str">
        <f>_xll.BDP("24880EBD Muni","BVAL_MID_YTM")</f>
        <v>#N/A Authorization</v>
      </c>
      <c r="P387" t="str">
        <f>_xll.BDP("24880EBD Muni","MUNI_TAX_PROV")</f>
        <v>FED BQ</v>
      </c>
      <c r="Q387" t="str">
        <f>_xll.BDP("24880EBD Muni","MUNI_FED_TAX")</f>
        <v>N</v>
      </c>
      <c r="R387" t="str">
        <f>_xll.BDP("24880EBD Muni","MUNI_MSRB_VOLUME")</f>
        <v>#N/A N/A</v>
      </c>
      <c r="S387" t="str">
        <f>_xll.BDP("24880EBD Muni","BB_COMPOSITE")</f>
        <v>#N/A N/A</v>
      </c>
      <c r="T387">
        <f>_xll.BDP("24880EBD Muni","LQA_LIQUIDITY_SCORE")</f>
        <v>73</v>
      </c>
    </row>
    <row r="388" spans="1:20" x14ac:dyDescent="0.25">
      <c r="A388" t="str">
        <f>_xll.BDP("24880EBE Muni","ID_CUSIP")</f>
        <v>24880EBE3</v>
      </c>
      <c r="B388" t="s">
        <v>189</v>
      </c>
      <c r="C388" t="str">
        <f>_xll.BDP("24880EBE Muni","INSURANCE_STATUS")</f>
        <v>Y</v>
      </c>
      <c r="D388" t="str">
        <f>_xll.BDP("24880EBE Muni","STATE_CODE")</f>
        <v>TX</v>
      </c>
      <c r="E388" t="str">
        <f>_xll.BDP("24880EBE Muni","COUNTY_LOCATION_ISSUER")</f>
        <v>Dallas, TX</v>
      </c>
      <c r="F388">
        <f>_xll.BDP("24880EBE Muni","DUR_ADJ_MID")</f>
        <v>1.9622632578971353</v>
      </c>
      <c r="G388">
        <f>_xll.BDP("24880EBE Muni","SPREAD_AT_ISSUANCE_TO_WORST")</f>
        <v>68.234556137395685</v>
      </c>
      <c r="H388" t="str">
        <f>_xll.BDP("24880EBE Muni","ISSUE_DT")</f>
        <v>6/1/2017</v>
      </c>
      <c r="I388" t="str">
        <f>_xll.BDS("24880EBE Muni","MUNI_PURPOSE_SCHED", "aggregate=y")</f>
        <v>WATER UTILITY IMPS. SEWER IMPS. REFUNDING NOTES</v>
      </c>
      <c r="J388">
        <f>_xll.BDP("24880EBE Muni","CPN")</f>
        <v>4</v>
      </c>
      <c r="K388" t="str">
        <f>_xll.BDP("24880EBE Muni","MATURITY")</f>
        <v>9/1/2024</v>
      </c>
      <c r="L388">
        <v>120000</v>
      </c>
      <c r="M388">
        <f>_xll.BDP("24880EBE Muni","YIELD_ON_ISSUE_DATE")</f>
        <v>2.25</v>
      </c>
      <c r="N388">
        <f>_xll.BDP("24880EBE Muni","YTW_SPREAD_TO_MATURITY_AT_ISSU")</f>
        <v>68.234556137395685</v>
      </c>
      <c r="O388" t="str">
        <f>_xll.BDP("24880EBE Muni","BVAL_MID_YTM")</f>
        <v>#N/A Authorization</v>
      </c>
      <c r="P388" t="str">
        <f>_xll.BDP("24880EBE Muni","MUNI_TAX_PROV")</f>
        <v>FED BQ</v>
      </c>
      <c r="Q388" t="str">
        <f>_xll.BDP("24880EBE Muni","MUNI_FED_TAX")</f>
        <v>N</v>
      </c>
      <c r="R388" t="str">
        <f>_xll.BDP("24880EBE Muni","MUNI_MSRB_VOLUME")</f>
        <v>#N/A N/A</v>
      </c>
      <c r="S388" t="str">
        <f>_xll.BDP("24880EBE Muni","BB_COMPOSITE")</f>
        <v>#N/A N/A</v>
      </c>
      <c r="T388">
        <f>_xll.BDP("24880EBE Muni","LQA_LIQUIDITY_SCORE")</f>
        <v>62</v>
      </c>
    </row>
    <row r="389" spans="1:20" x14ac:dyDescent="0.25">
      <c r="A389" t="str">
        <f>_xll.BDP("24880EBF Muni","ID_CUSIP")</f>
        <v>24880EBF0</v>
      </c>
      <c r="B389" t="s">
        <v>189</v>
      </c>
      <c r="C389" t="str">
        <f>_xll.BDP("24880EBF Muni","INSURANCE_STATUS")</f>
        <v>Y</v>
      </c>
      <c r="D389" t="str">
        <f>_xll.BDP("24880EBF Muni","STATE_CODE")</f>
        <v>TX</v>
      </c>
      <c r="E389" t="str">
        <f>_xll.BDP("24880EBF Muni","COUNTY_LOCATION_ISSUER")</f>
        <v>Dallas, TX</v>
      </c>
      <c r="F389">
        <f>_xll.BDP("24880EBF Muni","DUR_ADJ_MID")</f>
        <v>2.8500844567415267</v>
      </c>
      <c r="G389">
        <f>_xll.BDP("24880EBF Muni","SPREAD_AT_ISSUANCE_TO_WORST")</f>
        <v>77.689025469542997</v>
      </c>
      <c r="H389" t="str">
        <f>_xll.BDP("24880EBF Muni","ISSUE_DT")</f>
        <v>6/1/2017</v>
      </c>
      <c r="I389" t="str">
        <f>_xll.BDS("24880EBF Muni","MUNI_PURPOSE_SCHED", "aggregate=y")</f>
        <v>WATER UTILITY IMPS. SEWER IMPS. REFUNDING NOTES</v>
      </c>
      <c r="J389">
        <f>_xll.BDP("24880EBF Muni","CPN")</f>
        <v>4</v>
      </c>
      <c r="K389" t="str">
        <f>_xll.BDP("24880EBF Muni","MATURITY")</f>
        <v>9/1/2025</v>
      </c>
      <c r="L389">
        <v>125000</v>
      </c>
      <c r="M389">
        <f>_xll.BDP("24880EBF Muni","YIELD_ON_ISSUE_DATE")</f>
        <v>2.5</v>
      </c>
      <c r="N389">
        <f>_xll.BDP("24880EBF Muni","YTW_SPREAD_TO_MATURITY_AT_ISSU")</f>
        <v>77.689025469542997</v>
      </c>
      <c r="O389" t="str">
        <f>_xll.BDP("24880EBF Muni","BVAL_MID_YTM")</f>
        <v>#N/A Authorization</v>
      </c>
      <c r="P389" t="str">
        <f>_xll.BDP("24880EBF Muni","MUNI_TAX_PROV")</f>
        <v>FED BQ</v>
      </c>
      <c r="Q389" t="str">
        <f>_xll.BDP("24880EBF Muni","MUNI_FED_TAX")</f>
        <v>N</v>
      </c>
      <c r="R389" t="str">
        <f>_xll.BDP("24880EBF Muni","MUNI_MSRB_VOLUME")</f>
        <v>#N/A N/A</v>
      </c>
      <c r="S389" t="str">
        <f>_xll.BDP("24880EBF Muni","BB_COMPOSITE")</f>
        <v>#N/A N/A</v>
      </c>
      <c r="T389">
        <f>_xll.BDP("24880EBF Muni","LQA_LIQUIDITY_SCORE")</f>
        <v>63</v>
      </c>
    </row>
    <row r="390" spans="1:20" x14ac:dyDescent="0.25">
      <c r="A390" t="str">
        <f>_xll.BDP("24880RDX Muni","ID_CUSIP")</f>
        <v>24880RDX0</v>
      </c>
      <c r="B390" t="s">
        <v>190</v>
      </c>
      <c r="C390" t="str">
        <f>_xll.BDP("24880RDX Muni","INSURANCE_STATUS")</f>
        <v>Y</v>
      </c>
      <c r="D390" t="str">
        <f>_xll.BDP("24880RDX Muni","STATE_CODE")</f>
        <v>TX</v>
      </c>
      <c r="E390" t="str">
        <f>_xll.BDP("24880RDX Muni","COUNTY_LOCATION_ISSUER")</f>
        <v>Denton, TX</v>
      </c>
      <c r="F390">
        <f>_xll.BDP("24880RDX Muni","DUR_ADJ_MID")</f>
        <v>8.0474342815429242E-2</v>
      </c>
      <c r="G390">
        <f>_xll.BDP("24880RDX Muni","SPREAD_AT_ISSUANCE_TO_WORST")</f>
        <v>34.486722489598435</v>
      </c>
      <c r="H390" t="str">
        <f>_xll.BDP("24880RDX Muni","ISSUE_DT")</f>
        <v>2/1/2017</v>
      </c>
      <c r="I390" t="str">
        <f>_xll.BDS("24880RDX Muni","MUNI_PURPOSE_SCHED", "aggregate=y")</f>
        <v>WATER UTILITY IMPS. SEWER IMPS. PUBLIC IMPS.</v>
      </c>
      <c r="J390">
        <f>_xll.BDP("24880RDX Muni","CPN")</f>
        <v>2.25</v>
      </c>
      <c r="K390" t="str">
        <f>_xll.BDP("24880RDX Muni","MATURITY")</f>
        <v>9/1/2022</v>
      </c>
      <c r="L390">
        <v>65000</v>
      </c>
      <c r="M390">
        <f>_xll.BDP("24880RDX Muni","YIELD_ON_ISSUE_DATE")</f>
        <v>2</v>
      </c>
      <c r="N390">
        <f>_xll.BDP("24880RDX Muni","YTW_SPREAD_TO_MATURITY_AT_ISSU")</f>
        <v>34.486722489598435</v>
      </c>
      <c r="O390" t="str">
        <f>_xll.BDP("24880RDX Muni","BVAL_MID_YTM")</f>
        <v>#N/A Authorization</v>
      </c>
      <c r="P390" t="str">
        <f>_xll.BDP("24880RDX Muni","MUNI_TAX_PROV")</f>
        <v>FED BQ</v>
      </c>
      <c r="Q390" t="str">
        <f>_xll.BDP("24880RDX Muni","MUNI_FED_TAX")</f>
        <v>N</v>
      </c>
      <c r="R390" t="str">
        <f>_xll.BDP("24880RDX Muni","MUNI_MSRB_VOLUME")</f>
        <v>#N/A N/A</v>
      </c>
      <c r="S390" t="str">
        <f>_xll.BDP("24880RDX Muni","BB_COMPOSITE")</f>
        <v>A</v>
      </c>
      <c r="T390">
        <f>_xll.BDP("24880RDX Muni","LQA_LIQUIDITY_SCORE")</f>
        <v>99</v>
      </c>
    </row>
    <row r="391" spans="1:20" x14ac:dyDescent="0.25">
      <c r="A391" t="str">
        <f>_xll.BDP("24880RDY Muni","ID_CUSIP")</f>
        <v>24880RDY8</v>
      </c>
      <c r="B391" t="s">
        <v>190</v>
      </c>
      <c r="C391" t="str">
        <f>_xll.BDP("24880RDY Muni","INSURANCE_STATUS")</f>
        <v>Y</v>
      </c>
      <c r="D391" t="str">
        <f>_xll.BDP("24880RDY Muni","STATE_CODE")</f>
        <v>TX</v>
      </c>
      <c r="E391" t="str">
        <f>_xll.BDP("24880RDY Muni","COUNTY_LOCATION_ISSUER")</f>
        <v>Denton, TX</v>
      </c>
      <c r="F391">
        <f>_xll.BDP("24880RDY Muni","DUR_ADJ_MID")</f>
        <v>1.0524661596346232</v>
      </c>
      <c r="G391">
        <f>_xll.BDP("24880RDY Muni","SPREAD_AT_ISSUANCE_TO_WORST")</f>
        <v>36.347415178516364</v>
      </c>
      <c r="H391" t="str">
        <f>_xll.BDP("24880RDY Muni","ISSUE_DT")</f>
        <v>2/1/2017</v>
      </c>
      <c r="I391" t="str">
        <f>_xll.BDS("24880RDY Muni","MUNI_PURPOSE_SCHED", "aggregate=y")</f>
        <v>WATER UTILITY IMPS. SEWER IMPS. PUBLIC IMPS.</v>
      </c>
      <c r="J391">
        <f>_xll.BDP("24880RDY Muni","CPN")</f>
        <v>2.5</v>
      </c>
      <c r="K391" t="str">
        <f>_xll.BDP("24880RDY Muni","MATURITY")</f>
        <v>9/1/2023</v>
      </c>
      <c r="L391">
        <v>70000</v>
      </c>
      <c r="M391">
        <f>_xll.BDP("24880RDY Muni","YIELD_ON_ISSUE_DATE")</f>
        <v>2.15</v>
      </c>
      <c r="N391">
        <f>_xll.BDP("24880RDY Muni","YTW_SPREAD_TO_MATURITY_AT_ISSU")</f>
        <v>36.347415178516364</v>
      </c>
      <c r="O391" t="str">
        <f>_xll.BDP("24880RDY Muni","BVAL_MID_YTM")</f>
        <v>#N/A Authorization</v>
      </c>
      <c r="P391" t="str">
        <f>_xll.BDP("24880RDY Muni","MUNI_TAX_PROV")</f>
        <v>FED BQ</v>
      </c>
      <c r="Q391" t="str">
        <f>_xll.BDP("24880RDY Muni","MUNI_FED_TAX")</f>
        <v>N</v>
      </c>
      <c r="R391" t="str">
        <f>_xll.BDP("24880RDY Muni","MUNI_MSRB_VOLUME")</f>
        <v>#N/A N/A</v>
      </c>
      <c r="S391" t="str">
        <f>_xll.BDP("24880RDY Muni","BB_COMPOSITE")</f>
        <v>A</v>
      </c>
      <c r="T391">
        <f>_xll.BDP("24880RDY Muni","LQA_LIQUIDITY_SCORE")</f>
        <v>86</v>
      </c>
    </row>
    <row r="392" spans="1:20" x14ac:dyDescent="0.25">
      <c r="A392" t="str">
        <f>_xll.BDP("24880RDZ Muni","ID_CUSIP")</f>
        <v>24880RDZ5</v>
      </c>
      <c r="B392" t="s">
        <v>190</v>
      </c>
      <c r="C392" t="str">
        <f>_xll.BDP("24880RDZ Muni","INSURANCE_STATUS")</f>
        <v>Y</v>
      </c>
      <c r="D392" t="str">
        <f>_xll.BDP("24880RDZ Muni","STATE_CODE")</f>
        <v>TX</v>
      </c>
      <c r="E392" t="str">
        <f>_xll.BDP("24880RDZ Muni","COUNTY_LOCATION_ISSUER")</f>
        <v>Denton, TX</v>
      </c>
      <c r="F392">
        <f>_xll.BDP("24880RDZ Muni","DUR_ADJ_MID")</f>
        <v>1.9991285041244571</v>
      </c>
      <c r="G392">
        <f>_xll.BDP("24880RDZ Muni","SPREAD_AT_ISSUANCE_TO_WORST")</f>
        <v>38.242843916712133</v>
      </c>
      <c r="H392" t="str">
        <f>_xll.BDP("24880RDZ Muni","ISSUE_DT")</f>
        <v>2/1/2017</v>
      </c>
      <c r="I392" t="str">
        <f>_xll.BDS("24880RDZ Muni","MUNI_PURPOSE_SCHED", "aggregate=y")</f>
        <v>WATER UTILITY IMPS. SEWER IMPS. PUBLIC IMPS.</v>
      </c>
      <c r="J392">
        <f>_xll.BDP("24880RDZ Muni","CPN")</f>
        <v>2.5</v>
      </c>
      <c r="K392" t="str">
        <f>_xll.BDP("24880RDZ Muni","MATURITY")</f>
        <v>9/1/2024</v>
      </c>
      <c r="L392">
        <v>70000</v>
      </c>
      <c r="M392">
        <f>_xll.BDP("24880RDZ Muni","YIELD_ON_ISSUE_DATE")</f>
        <v>2.3000000000000003</v>
      </c>
      <c r="N392">
        <f>_xll.BDP("24880RDZ Muni","YTW_SPREAD_TO_MATURITY_AT_ISSU")</f>
        <v>38.242843916712133</v>
      </c>
      <c r="O392" t="str">
        <f>_xll.BDP("24880RDZ Muni","BVAL_MID_YTM")</f>
        <v>#N/A Authorization</v>
      </c>
      <c r="P392" t="str">
        <f>_xll.BDP("24880RDZ Muni","MUNI_TAX_PROV")</f>
        <v>FED BQ</v>
      </c>
      <c r="Q392" t="str">
        <f>_xll.BDP("24880RDZ Muni","MUNI_FED_TAX")</f>
        <v>N</v>
      </c>
      <c r="R392" t="str">
        <f>_xll.BDP("24880RDZ Muni","MUNI_MSRB_VOLUME")</f>
        <v>#N/A N/A</v>
      </c>
      <c r="S392" t="str">
        <f>_xll.BDP("24880RDZ Muni","BB_COMPOSITE")</f>
        <v>A</v>
      </c>
      <c r="T392">
        <f>_xll.BDP("24880RDZ Muni","LQA_LIQUIDITY_SCORE")</f>
        <v>72</v>
      </c>
    </row>
    <row r="393" spans="1:20" x14ac:dyDescent="0.25">
      <c r="A393" t="str">
        <f>_xll.BDP("24880RFW Muni","ID_CUSIP")</f>
        <v>24880RFW0</v>
      </c>
      <c r="B393" t="s">
        <v>190</v>
      </c>
      <c r="C393" t="str">
        <f>_xll.BDP("24880RFW Muni","INSURANCE_STATUS")</f>
        <v>Y</v>
      </c>
      <c r="D393" t="str">
        <f>_xll.BDP("24880RFW Muni","STATE_CODE")</f>
        <v>TX</v>
      </c>
      <c r="E393" t="str">
        <f>_xll.BDP("24880RFW Muni","COUNTY_LOCATION_ISSUER")</f>
        <v>Denton, TX</v>
      </c>
      <c r="F393">
        <f>_xll.BDP("24880RFW Muni","DUR_ADJ_MID")</f>
        <v>8.047425156682235E-2</v>
      </c>
      <c r="G393">
        <f>_xll.BDP("24880RFW Muni","SPREAD_AT_ISSUANCE_TO_WORST")</f>
        <v>65.053597335557271</v>
      </c>
      <c r="H393" t="str">
        <f>_xll.BDP("24880RFW Muni","ISSUE_DT")</f>
        <v>10/1/2017</v>
      </c>
      <c r="I393" t="str">
        <f>_xll.BDS("24880RFW Muni","MUNI_PURPOSE_SCHED", "aggregate=y")</f>
        <v>WATER UTILITY IMPS. SEWER IMPS.</v>
      </c>
      <c r="J393">
        <f>_xll.BDP("24880RFW Muni","CPN")</f>
        <v>4.5</v>
      </c>
      <c r="K393" t="str">
        <f>_xll.BDP("24880RFW Muni","MATURITY")</f>
        <v>9/1/2022</v>
      </c>
      <c r="L393">
        <v>50000</v>
      </c>
      <c r="M393">
        <f>_xll.BDP("24880RFW Muni","YIELD_ON_ISSUE_DATE")</f>
        <v>1.75</v>
      </c>
      <c r="N393">
        <f>_xll.BDP("24880RFW Muni","YTW_SPREAD_TO_MATURITY_AT_ISSU")</f>
        <v>65.053597335557271</v>
      </c>
      <c r="O393" t="str">
        <f>_xll.BDP("24880RFW Muni","BVAL_MID_YTM")</f>
        <v>#N/A Authorization</v>
      </c>
      <c r="P393" t="str">
        <f>_xll.BDP("24880RFW Muni","MUNI_TAX_PROV")</f>
        <v>FED BQ</v>
      </c>
      <c r="Q393" t="str">
        <f>_xll.BDP("24880RFW Muni","MUNI_FED_TAX")</f>
        <v>N</v>
      </c>
      <c r="R393" t="str">
        <f>_xll.BDP("24880RFW Muni","MUNI_MSRB_VOLUME")</f>
        <v>#N/A N/A</v>
      </c>
      <c r="S393" t="str">
        <f>_xll.BDP("24880RFW Muni","BB_COMPOSITE")</f>
        <v>AA-</v>
      </c>
      <c r="T393">
        <f>_xll.BDP("24880RFW Muni","LQA_LIQUIDITY_SCORE")</f>
        <v>96</v>
      </c>
    </row>
    <row r="394" spans="1:20" x14ac:dyDescent="0.25">
      <c r="A394" t="str">
        <f>_xll.BDP("24880RFX Muni","ID_CUSIP")</f>
        <v>24880RFX8</v>
      </c>
      <c r="B394" t="s">
        <v>190</v>
      </c>
      <c r="C394" t="str">
        <f>_xll.BDP("24880RFX Muni","INSURANCE_STATUS")</f>
        <v>Y</v>
      </c>
      <c r="D394" t="str">
        <f>_xll.BDP("24880RFX Muni","STATE_CODE")</f>
        <v>TX</v>
      </c>
      <c r="E394" t="str">
        <f>_xll.BDP("24880RFX Muni","COUNTY_LOCATION_ISSUER")</f>
        <v>Denton, TX</v>
      </c>
      <c r="F394">
        <f>_xll.BDP("24880RFX Muni","DUR_ADJ_MID")</f>
        <v>1.0388486874226281</v>
      </c>
      <c r="G394">
        <f>_xll.BDP("24880RFX Muni","SPREAD_AT_ISSUANCE_TO_WORST")</f>
        <v>65.640104559091441</v>
      </c>
      <c r="H394" t="str">
        <f>_xll.BDP("24880RFX Muni","ISSUE_DT")</f>
        <v>10/1/2017</v>
      </c>
      <c r="I394" t="str">
        <f>_xll.BDS("24880RFX Muni","MUNI_PURPOSE_SCHED", "aggregate=y")</f>
        <v>WATER UTILITY IMPS. SEWER IMPS.</v>
      </c>
      <c r="J394">
        <f>_xll.BDP("24880RFX Muni","CPN")</f>
        <v>4.5</v>
      </c>
      <c r="K394" t="str">
        <f>_xll.BDP("24880RFX Muni","MATURITY")</f>
        <v>9/1/2023</v>
      </c>
      <c r="L394">
        <v>50000</v>
      </c>
      <c r="M394">
        <f>_xll.BDP("24880RFX Muni","YIELD_ON_ISSUE_DATE")</f>
        <v>1.9000000000000001</v>
      </c>
      <c r="N394">
        <f>_xll.BDP("24880RFX Muni","YTW_SPREAD_TO_MATURITY_AT_ISSU")</f>
        <v>65.640104559091441</v>
      </c>
      <c r="O394" t="str">
        <f>_xll.BDP("24880RFX Muni","BVAL_MID_YTM")</f>
        <v>#N/A Authorization</v>
      </c>
      <c r="P394" t="str">
        <f>_xll.BDP("24880RFX Muni","MUNI_TAX_PROV")</f>
        <v>FED BQ</v>
      </c>
      <c r="Q394" t="str">
        <f>_xll.BDP("24880RFX Muni","MUNI_FED_TAX")</f>
        <v>N</v>
      </c>
      <c r="R394" t="str">
        <f>_xll.BDP("24880RFX Muni","MUNI_MSRB_VOLUME")</f>
        <v>#N/A N/A</v>
      </c>
      <c r="S394" t="str">
        <f>_xll.BDP("24880RFX Muni","BB_COMPOSITE")</f>
        <v>AA-</v>
      </c>
      <c r="T394">
        <f>_xll.BDP("24880RFX Muni","LQA_LIQUIDITY_SCORE")</f>
        <v>91</v>
      </c>
    </row>
    <row r="395" spans="1:20" x14ac:dyDescent="0.25">
      <c r="A395" t="str">
        <f>_xll.BDP("24880RFY Muni","ID_CUSIP")</f>
        <v>24880RFY6</v>
      </c>
      <c r="B395" t="s">
        <v>190</v>
      </c>
      <c r="C395" t="str">
        <f>_xll.BDP("24880RFY Muni","INSURANCE_STATUS")</f>
        <v>Y</v>
      </c>
      <c r="D395" t="str">
        <f>_xll.BDP("24880RFY Muni","STATE_CODE")</f>
        <v>TX</v>
      </c>
      <c r="E395" t="str">
        <f>_xll.BDP("24880RFY Muni","COUNTY_LOCATION_ISSUER")</f>
        <v>Denton, TX</v>
      </c>
      <c r="F395">
        <f>_xll.BDP("24880RFY Muni","DUR_ADJ_MID")</f>
        <v>1.9560760419318335</v>
      </c>
      <c r="G395">
        <f>_xll.BDP("24880RFY Muni","SPREAD_AT_ISSUANCE_TO_WORST")</f>
        <v>65.760122721281817</v>
      </c>
      <c r="H395" t="str">
        <f>_xll.BDP("24880RFY Muni","ISSUE_DT")</f>
        <v>10/1/2017</v>
      </c>
      <c r="I395" t="str">
        <f>_xll.BDS("24880RFY Muni","MUNI_PURPOSE_SCHED", "aggregate=y")</f>
        <v>WATER UTILITY IMPS. SEWER IMPS.</v>
      </c>
      <c r="J395">
        <f>_xll.BDP("24880RFY Muni","CPN")</f>
        <v>4.5</v>
      </c>
      <c r="K395" t="str">
        <f>_xll.BDP("24880RFY Muni","MATURITY")</f>
        <v>9/1/2024</v>
      </c>
      <c r="L395">
        <v>55000</v>
      </c>
      <c r="M395">
        <f>_xll.BDP("24880RFY Muni","YIELD_ON_ISSUE_DATE")</f>
        <v>2.0499999999999998</v>
      </c>
      <c r="N395">
        <f>_xll.BDP("24880RFY Muni","YTW_SPREAD_TO_MATURITY_AT_ISSU")</f>
        <v>65.760122721281817</v>
      </c>
      <c r="O395" t="str">
        <f>_xll.BDP("24880RFY Muni","BVAL_MID_YTM")</f>
        <v>#N/A Authorization</v>
      </c>
      <c r="P395" t="str">
        <f>_xll.BDP("24880RFY Muni","MUNI_TAX_PROV")</f>
        <v>FED BQ</v>
      </c>
      <c r="Q395" t="str">
        <f>_xll.BDP("24880RFY Muni","MUNI_FED_TAX")</f>
        <v>N</v>
      </c>
      <c r="R395" t="str">
        <f>_xll.BDP("24880RFY Muni","MUNI_MSRB_VOLUME")</f>
        <v>#N/A N/A</v>
      </c>
      <c r="S395" t="str">
        <f>_xll.BDP("24880RFY Muni","BB_COMPOSITE")</f>
        <v>AA-</v>
      </c>
      <c r="T395">
        <f>_xll.BDP("24880RFY Muni","LQA_LIQUIDITY_SCORE")</f>
        <v>79</v>
      </c>
    </row>
    <row r="396" spans="1:20" x14ac:dyDescent="0.25">
      <c r="A396" t="str">
        <f>_xll.BDP("24880RFZ Muni","ID_CUSIP")</f>
        <v>24880RFZ3</v>
      </c>
      <c r="B396" t="s">
        <v>190</v>
      </c>
      <c r="C396" t="str">
        <f>_xll.BDP("24880RFZ Muni","INSURANCE_STATUS")</f>
        <v>Y</v>
      </c>
      <c r="D396" t="str">
        <f>_xll.BDP("24880RFZ Muni","STATE_CODE")</f>
        <v>TX</v>
      </c>
      <c r="E396" t="str">
        <f>_xll.BDP("24880RFZ Muni","COUNTY_LOCATION_ISSUER")</f>
        <v>Denton, TX</v>
      </c>
      <c r="F396">
        <f>_xll.BDP("24880RFZ Muni","DUR_ADJ_MID")</f>
        <v>2.9456683045758987</v>
      </c>
      <c r="G396">
        <f>_xll.BDP("24880RFZ Muni","SPREAD_AT_ISSUANCE_TO_WORST")</f>
        <v>70.799344390573211</v>
      </c>
      <c r="H396" t="str">
        <f>_xll.BDP("24880RFZ Muni","ISSUE_DT")</f>
        <v>10/1/2017</v>
      </c>
      <c r="I396" t="str">
        <f>_xll.BDS("24880RFZ Muni","MUNI_PURPOSE_SCHED", "aggregate=y")</f>
        <v>WATER UTILITY IMPS. SEWER IMPS.</v>
      </c>
      <c r="J396">
        <f>_xll.BDP("24880RFZ Muni","CPN")</f>
        <v>2</v>
      </c>
      <c r="K396" t="str">
        <f>_xll.BDP("24880RFZ Muni","MATURITY")</f>
        <v>9/1/2025</v>
      </c>
      <c r="L396">
        <v>55000</v>
      </c>
      <c r="M396">
        <f>_xll.BDP("24880RFZ Muni","YIELD_ON_ISSUE_DATE")</f>
        <v>2.25</v>
      </c>
      <c r="N396">
        <f>_xll.BDP("24880RFZ Muni","YTW_SPREAD_TO_MATURITY_AT_ISSU")</f>
        <v>70.799344390573211</v>
      </c>
      <c r="O396" t="str">
        <f>_xll.BDP("24880RFZ Muni","BVAL_MID_YTM")</f>
        <v>#N/A Authorization</v>
      </c>
      <c r="P396" t="str">
        <f>_xll.BDP("24880RFZ Muni","MUNI_TAX_PROV")</f>
        <v>FED BQ</v>
      </c>
      <c r="Q396" t="str">
        <f>_xll.BDP("24880RFZ Muni","MUNI_FED_TAX")</f>
        <v>N</v>
      </c>
      <c r="R396" t="str">
        <f>_xll.BDP("24880RFZ Muni","MUNI_MSRB_VOLUME")</f>
        <v>#N/A N/A</v>
      </c>
      <c r="S396" t="str">
        <f>_xll.BDP("24880RFZ Muni","BB_COMPOSITE")</f>
        <v>AA-</v>
      </c>
      <c r="T396">
        <f>_xll.BDP("24880RFZ Muni","LQA_LIQUIDITY_SCORE")</f>
        <v>56</v>
      </c>
    </row>
    <row r="397" spans="1:20" x14ac:dyDescent="0.25">
      <c r="A397" t="str">
        <f>_xll.BDP("24916PFS Muni","ID_CUSIP")</f>
        <v>24916PFS1</v>
      </c>
      <c r="B397" t="s">
        <v>96</v>
      </c>
      <c r="C397" t="str">
        <f>_xll.BDP("24916PFS Muni","INSURANCE_STATUS")</f>
        <v>N</v>
      </c>
      <c r="D397" t="str">
        <f>_xll.BDP("24916PFS Muni","STATE_CODE")</f>
        <v>CO</v>
      </c>
      <c r="E397" t="str">
        <f>_xll.BDP("24916PFS Muni","COUNTY_LOCATION_ISSUER")</f>
        <v>Denver, CO</v>
      </c>
      <c r="F397">
        <f>_xll.BDP("24916PFS Muni","DUR_ADJ_MID")</f>
        <v>0.11933392582165904</v>
      </c>
      <c r="G397">
        <f>_xll.BDP("24916PFS Muni","SPREAD_AT_ISSUANCE_TO_WORST")</f>
        <v>2.9645583326965763</v>
      </c>
      <c r="H397" t="str">
        <f>_xll.BDP("24916PFS Muni","ISSUE_DT")</f>
        <v>5/23/2017</v>
      </c>
      <c r="I397" t="str">
        <f>_xll.BDS("24916PFS Muni","MUNI_PURPOSE_SCHED", "aggregate=y")</f>
        <v>WATER UTILITY IMPS. GREEN PURPOSE</v>
      </c>
      <c r="J397">
        <f>_xll.BDP("24916PFS Muni","CPN")</f>
        <v>4</v>
      </c>
      <c r="K397" t="str">
        <f>_xll.BDP("24916PFS Muni","MATURITY")</f>
        <v>9/15/2022</v>
      </c>
      <c r="L397">
        <v>2515000</v>
      </c>
      <c r="M397">
        <f>_xll.BDP("24916PFS Muni","YIELD_ON_ISSUE_DATE")</f>
        <v>1.46</v>
      </c>
      <c r="N397">
        <f>_xll.BDP("24916PFS Muni","YTW_SPREAD_TO_MATURITY_AT_ISSU")</f>
        <v>2.9645583326965763</v>
      </c>
      <c r="O397" t="str">
        <f>_xll.BDP("24916PFS Muni","BVAL_MID_YTM")</f>
        <v>#N/A Authorization</v>
      </c>
      <c r="P397" t="str">
        <f>_xll.BDP("24916PFS Muni","MUNI_TAX_PROV")</f>
        <v>FED &amp; ST TAX-EXEMPT</v>
      </c>
      <c r="Q397" t="str">
        <f>_xll.BDP("24916PFS Muni","MUNI_FED_TAX")</f>
        <v>N</v>
      </c>
      <c r="R397">
        <f>_xll.BDP("24916PFS Muni","MUNI_MSRB_VOLUME")</f>
        <v>45000</v>
      </c>
      <c r="S397" t="str">
        <f>_xll.BDP("24916PFS Muni","BB_COMPOSITE")</f>
        <v>AAA</v>
      </c>
      <c r="T397">
        <f>_xll.BDP("24916PFS Muni","LQA_LIQUIDITY_SCORE")</f>
        <v>99</v>
      </c>
    </row>
    <row r="398" spans="1:20" x14ac:dyDescent="0.25">
      <c r="A398" t="str">
        <f>_xll.BDP("24916PFW Muni","ID_CUSIP")</f>
        <v>24916PFW2</v>
      </c>
      <c r="B398" t="s">
        <v>96</v>
      </c>
      <c r="C398" t="str">
        <f>_xll.BDP("24916PFW Muni","INSURANCE_STATUS")</f>
        <v>N</v>
      </c>
      <c r="D398" t="str">
        <f>_xll.BDP("24916PFW Muni","STATE_CODE")</f>
        <v>CO</v>
      </c>
      <c r="E398" t="str">
        <f>_xll.BDP("24916PFW Muni","COUNTY_LOCATION_ISSUER")</f>
        <v>Denver, CO</v>
      </c>
      <c r="F398">
        <f>_xll.BDP("24916PFW Muni","DUR_ADJ_MID")</f>
        <v>3.7033897514032588</v>
      </c>
      <c r="G398">
        <f>_xll.BDP("24916PFW Muni","SPREAD_AT_ISSUANCE_TO_WORST")</f>
        <v>8.8814672273562323</v>
      </c>
      <c r="H398" t="str">
        <f>_xll.BDP("24916PFW Muni","ISSUE_DT")</f>
        <v>5/23/2017</v>
      </c>
      <c r="I398" t="str">
        <f>_xll.BDS("24916PFW Muni","MUNI_PURPOSE_SCHED", "aggregate=y")</f>
        <v>WATER UTILITY IMPS. GREEN PURPOSE</v>
      </c>
      <c r="J398">
        <f>_xll.BDP("24916PFW Muni","CPN")</f>
        <v>5</v>
      </c>
      <c r="K398" t="str">
        <f>_xll.BDP("24916PFW Muni","MATURITY")</f>
        <v>9/15/2026</v>
      </c>
      <c r="L398">
        <v>3030000</v>
      </c>
      <c r="M398">
        <f>_xll.BDP("24916PFW Muni","YIELD_ON_ISSUE_DATE")</f>
        <v>2.14</v>
      </c>
      <c r="N398">
        <f>_xll.BDP("24916PFW Muni","YTW_SPREAD_TO_MATURITY_AT_ISSU")</f>
        <v>8.8814672273562323</v>
      </c>
      <c r="O398" t="str">
        <f>_xll.BDP("24916PFW Muni","BVAL_MID_YTM")</f>
        <v>#N/A Authorization</v>
      </c>
      <c r="P398" t="str">
        <f>_xll.BDP("24916PFW Muni","MUNI_TAX_PROV")</f>
        <v>FED &amp; ST TAX-EXEMPT</v>
      </c>
      <c r="Q398" t="str">
        <f>_xll.BDP("24916PFW Muni","MUNI_FED_TAX")</f>
        <v>N</v>
      </c>
      <c r="R398">
        <f>_xll.BDP("24916PFW Muni","MUNI_MSRB_VOLUME")</f>
        <v>75000</v>
      </c>
      <c r="S398" t="str">
        <f>_xll.BDP("24916PFW Muni","BB_COMPOSITE")</f>
        <v>AAA</v>
      </c>
      <c r="T398">
        <f>_xll.BDP("24916PFW Muni","LQA_LIQUIDITY_SCORE")</f>
        <v>77</v>
      </c>
    </row>
    <row r="399" spans="1:20" x14ac:dyDescent="0.25">
      <c r="A399" t="str">
        <f>_xll.BDP("24916PFX Muni","ID_CUSIP")</f>
        <v>24916PFX0</v>
      </c>
      <c r="B399" t="s">
        <v>96</v>
      </c>
      <c r="C399" t="str">
        <f>_xll.BDP("24916PFX Muni","INSURANCE_STATUS")</f>
        <v>N</v>
      </c>
      <c r="D399" t="str">
        <f>_xll.BDP("24916PFX Muni","STATE_CODE")</f>
        <v>CO</v>
      </c>
      <c r="E399" t="str">
        <f>_xll.BDP("24916PFX Muni","COUNTY_LOCATION_ISSUER")</f>
        <v>Denver, CO</v>
      </c>
      <c r="F399">
        <f>_xll.BDP("24916PFX Muni","DUR_ADJ_MID")</f>
        <v>4.509108374302282</v>
      </c>
      <c r="G399">
        <f>_xll.BDP("24916PFX Muni","SPREAD_AT_ISSUANCE_TO_WORST")</f>
        <v>7.8553663252924455</v>
      </c>
      <c r="H399" t="str">
        <f>_xll.BDP("24916PFX Muni","ISSUE_DT")</f>
        <v>5/23/2017</v>
      </c>
      <c r="I399" t="str">
        <f>_xll.BDS("24916PFX Muni","MUNI_PURPOSE_SCHED", "aggregate=y")</f>
        <v>WATER UTILITY IMPS. GREEN PURPOSE</v>
      </c>
      <c r="J399">
        <f>_xll.BDP("24916PFX Muni","CPN")</f>
        <v>5</v>
      </c>
      <c r="K399" t="str">
        <f>_xll.BDP("24916PFX Muni","MATURITY")</f>
        <v>9/15/2027</v>
      </c>
      <c r="L399">
        <v>3180000</v>
      </c>
      <c r="M399">
        <f>_xll.BDP("24916PFX Muni","YIELD_ON_ISSUE_DATE")</f>
        <v>2.25</v>
      </c>
      <c r="N399">
        <f>_xll.BDP("24916PFX Muni","YTW_SPREAD_TO_MATURITY_AT_ISSU")</f>
        <v>7.8553663252924455</v>
      </c>
      <c r="O399" t="str">
        <f>_xll.BDP("24916PFX Muni","BVAL_MID_YTM")</f>
        <v>#N/A Authorization</v>
      </c>
      <c r="P399" t="str">
        <f>_xll.BDP("24916PFX Muni","MUNI_TAX_PROV")</f>
        <v>FED &amp; ST TAX-EXEMPT</v>
      </c>
      <c r="Q399" t="str">
        <f>_xll.BDP("24916PFX Muni","MUNI_FED_TAX")</f>
        <v>N</v>
      </c>
      <c r="R399">
        <f>_xll.BDP("24916PFX Muni","MUNI_MSRB_VOLUME")</f>
        <v>40000</v>
      </c>
      <c r="S399" t="str">
        <f>_xll.BDP("24916PFX Muni","BB_COMPOSITE")</f>
        <v>AAA</v>
      </c>
      <c r="T399">
        <f>_xll.BDP("24916PFX Muni","LQA_LIQUIDITY_SCORE")</f>
        <v>72</v>
      </c>
    </row>
    <row r="400" spans="1:20" x14ac:dyDescent="0.25">
      <c r="A400" t="str">
        <f>_xll.BDP("251001D7 Muni","ID_CUSIP")</f>
        <v>251001D75</v>
      </c>
      <c r="B400" t="s">
        <v>191</v>
      </c>
      <c r="C400" t="str">
        <f>_xll.BDP("251001D7 Muni","INSURANCE_STATUS")</f>
        <v>N</v>
      </c>
      <c r="D400" t="str">
        <f>_xll.BDP("251001D7 Muni","STATE_CODE")</f>
        <v>MN</v>
      </c>
      <c r="E400" t="str">
        <f>_xll.BDP("251001D7 Muni","COUNTY_LOCATION_ISSUER")</f>
        <v>Becker, MN</v>
      </c>
      <c r="F400">
        <f>_xll.BDP("251001D7 Muni","DUR_ADJ_MID")</f>
        <v>0.4945831899528218</v>
      </c>
      <c r="G400">
        <f>_xll.BDP("251001D7 Muni","SPREAD_AT_ISSUANCE_TO_WORST")</f>
        <v>11.081534246575341</v>
      </c>
      <c r="H400" t="str">
        <f>_xll.BDP("251001D7 Muni","ISSUE_DT")</f>
        <v>12/14/2017</v>
      </c>
      <c r="I400" t="str">
        <f>_xll.BDS("251001D7 Muni","MUNI_PURPOSE_SCHED", "aggregate=y")</f>
        <v>PUBLIC IMPS. WATER UTILITY IMPS. SEWER IMPS.</v>
      </c>
      <c r="J400">
        <f>_xll.BDP("251001D7 Muni","CPN")</f>
        <v>3</v>
      </c>
      <c r="K400" t="str">
        <f>_xll.BDP("251001D7 Muni","MATURITY")</f>
        <v>2/1/2023</v>
      </c>
      <c r="L400">
        <v>85000</v>
      </c>
      <c r="M400">
        <f>_xll.BDP("251001D7 Muni","YIELD_ON_ISSUE_DATE")</f>
        <v>1.6500000000000001</v>
      </c>
      <c r="N400">
        <f>_xll.BDP("251001D7 Muni","YTW_SPREAD_TO_MATURITY_AT_ISSU")</f>
        <v>11.081534246575341</v>
      </c>
      <c r="O400" t="str">
        <f>_xll.BDP("251001D7 Muni","BVAL_MID_YTM")</f>
        <v>#N/A Authorization</v>
      </c>
      <c r="P400" t="str">
        <f>_xll.BDP("251001D7 Muni","MUNI_TAX_PROV")</f>
        <v>FED BQ/ST TAX-EXEMPT</v>
      </c>
      <c r="Q400" t="str">
        <f>_xll.BDP("251001D7 Muni","MUNI_FED_TAX")</f>
        <v>N</v>
      </c>
      <c r="R400" t="str">
        <f>_xll.BDP("251001D7 Muni","MUNI_MSRB_VOLUME")</f>
        <v>#N/A N/A</v>
      </c>
      <c r="S400" t="str">
        <f>_xll.BDP("251001D7 Muni","BB_COMPOSITE")</f>
        <v>#N/A N/A</v>
      </c>
      <c r="T400">
        <f>_xll.BDP("251001D7 Muni","LQA_LIQUIDITY_SCORE")</f>
        <v>93</v>
      </c>
    </row>
    <row r="401" spans="1:20" x14ac:dyDescent="0.25">
      <c r="A401" t="str">
        <f>_xll.BDP("251001D8 Muni","ID_CUSIP")</f>
        <v>251001D83</v>
      </c>
      <c r="B401" t="s">
        <v>191</v>
      </c>
      <c r="C401" t="str">
        <f>_xll.BDP("251001D8 Muni","INSURANCE_STATUS")</f>
        <v>N</v>
      </c>
      <c r="D401" t="str">
        <f>_xll.BDP("251001D8 Muni","STATE_CODE")</f>
        <v>MN</v>
      </c>
      <c r="E401" t="str">
        <f>_xll.BDP("251001D8 Muni","COUNTY_LOCATION_ISSUER")</f>
        <v>Becker, MN</v>
      </c>
      <c r="F401">
        <f>_xll.BDP("251001D8 Muni","DUR_ADJ_MID")</f>
        <v>1.4633298402807833</v>
      </c>
      <c r="G401">
        <f>_xll.BDP("251001D8 Muni","SPREAD_AT_ISSUANCE_TO_WORST")</f>
        <v>10.337791780821926</v>
      </c>
      <c r="H401" t="str">
        <f>_xll.BDP("251001D8 Muni","ISSUE_DT")</f>
        <v>12/14/2017</v>
      </c>
      <c r="I401" t="str">
        <f>_xll.BDS("251001D8 Muni","MUNI_PURPOSE_SCHED", "aggregate=y")</f>
        <v>PUBLIC IMPS. WATER UTILITY IMPS. SEWER IMPS.</v>
      </c>
      <c r="J401">
        <f>_xll.BDP("251001D8 Muni","CPN")</f>
        <v>3</v>
      </c>
      <c r="K401" t="str">
        <f>_xll.BDP("251001D8 Muni","MATURITY")</f>
        <v>2/1/2024</v>
      </c>
      <c r="L401">
        <v>160000</v>
      </c>
      <c r="M401">
        <f>_xll.BDP("251001D8 Muni","YIELD_ON_ISSUE_DATE")</f>
        <v>1.75</v>
      </c>
      <c r="N401">
        <f>_xll.BDP("251001D8 Muni","YTW_SPREAD_TO_MATURITY_AT_ISSU")</f>
        <v>10.337791780821926</v>
      </c>
      <c r="O401" t="str">
        <f>_xll.BDP("251001D8 Muni","BVAL_MID_YTM")</f>
        <v>#N/A Authorization</v>
      </c>
      <c r="P401" t="str">
        <f>_xll.BDP("251001D8 Muni","MUNI_TAX_PROV")</f>
        <v>FED BQ/ST TAX-EXEMPT</v>
      </c>
      <c r="Q401" t="str">
        <f>_xll.BDP("251001D8 Muni","MUNI_FED_TAX")</f>
        <v>N</v>
      </c>
      <c r="R401" t="str">
        <f>_xll.BDP("251001D8 Muni","MUNI_MSRB_VOLUME")</f>
        <v>#N/A N/A</v>
      </c>
      <c r="S401" t="str">
        <f>_xll.BDP("251001D8 Muni","BB_COMPOSITE")</f>
        <v>#N/A N/A</v>
      </c>
      <c r="T401">
        <f>_xll.BDP("251001D8 Muni","LQA_LIQUIDITY_SCORE")</f>
        <v>83</v>
      </c>
    </row>
    <row r="402" spans="1:20" x14ac:dyDescent="0.25">
      <c r="A402" t="str">
        <f>_xll.BDP("251001D9 Muni","ID_CUSIP")</f>
        <v>251001D91</v>
      </c>
      <c r="B402" t="s">
        <v>191</v>
      </c>
      <c r="C402" t="str">
        <f>_xll.BDP("251001D9 Muni","INSURANCE_STATUS")</f>
        <v>N</v>
      </c>
      <c r="D402" t="str">
        <f>_xll.BDP("251001D9 Muni","STATE_CODE")</f>
        <v>MN</v>
      </c>
      <c r="E402" t="str">
        <f>_xll.BDP("251001D9 Muni","COUNTY_LOCATION_ISSUER")</f>
        <v>Becker, MN</v>
      </c>
      <c r="F402">
        <f>_xll.BDP("251001D9 Muni","DUR_ADJ_MID")</f>
        <v>2.4036422862061566</v>
      </c>
      <c r="G402">
        <f>_xll.BDP("251001D9 Muni","SPREAD_AT_ISSUANCE_TO_WORST")</f>
        <v>14.80328219178082</v>
      </c>
      <c r="H402" t="str">
        <f>_xll.BDP("251001D9 Muni","ISSUE_DT")</f>
        <v>12/14/2017</v>
      </c>
      <c r="I402" t="str">
        <f>_xll.BDS("251001D9 Muni","MUNI_PURPOSE_SCHED", "aggregate=y")</f>
        <v>PUBLIC IMPS. WATER UTILITY IMPS. SEWER IMPS.</v>
      </c>
      <c r="J402">
        <f>_xll.BDP("251001D9 Muni","CPN")</f>
        <v>3</v>
      </c>
      <c r="K402" t="str">
        <f>_xll.BDP("251001D9 Muni","MATURITY")</f>
        <v>2/1/2025</v>
      </c>
      <c r="L402">
        <v>105000</v>
      </c>
      <c r="M402">
        <f>_xll.BDP("251001D9 Muni","YIELD_ON_ISSUE_DATE")</f>
        <v>1.9000000000000001</v>
      </c>
      <c r="N402">
        <f>_xll.BDP("251001D9 Muni","YTW_SPREAD_TO_MATURITY_AT_ISSU")</f>
        <v>14.80328219178082</v>
      </c>
      <c r="O402" t="str">
        <f>_xll.BDP("251001D9 Muni","BVAL_MID_YTM")</f>
        <v>#N/A Authorization</v>
      </c>
      <c r="P402" t="str">
        <f>_xll.BDP("251001D9 Muni","MUNI_TAX_PROV")</f>
        <v>FED BQ/ST TAX-EXEMPT</v>
      </c>
      <c r="Q402" t="str">
        <f>_xll.BDP("251001D9 Muni","MUNI_FED_TAX")</f>
        <v>N</v>
      </c>
      <c r="R402" t="str">
        <f>_xll.BDP("251001D9 Muni","MUNI_MSRB_VOLUME")</f>
        <v>#N/A N/A</v>
      </c>
      <c r="S402" t="str">
        <f>_xll.BDP("251001D9 Muni","BB_COMPOSITE")</f>
        <v>#N/A N/A</v>
      </c>
      <c r="T402">
        <f>_xll.BDP("251001D9 Muni","LQA_LIQUIDITY_SCORE")</f>
        <v>73</v>
      </c>
    </row>
    <row r="403" spans="1:20" x14ac:dyDescent="0.25">
      <c r="A403" t="str">
        <f>_xll.BDP("251001E2 Muni","ID_CUSIP")</f>
        <v>251001E25</v>
      </c>
      <c r="B403" t="s">
        <v>191</v>
      </c>
      <c r="C403" t="str">
        <f>_xll.BDP("251001E2 Muni","INSURANCE_STATUS")</f>
        <v>N</v>
      </c>
      <c r="D403" t="str">
        <f>_xll.BDP("251001E2 Muni","STATE_CODE")</f>
        <v>MN</v>
      </c>
      <c r="E403" t="str">
        <f>_xll.BDP("251001E2 Muni","COUNTY_LOCATION_ISSUER")</f>
        <v>Becker, MN</v>
      </c>
      <c r="F403">
        <f>_xll.BDP("251001E2 Muni","DUR_ADJ_MID")</f>
        <v>3.3171610165055916</v>
      </c>
      <c r="G403">
        <f>_xll.BDP("251001E2 Muni","SPREAD_AT_ISSUANCE_TO_WORST")</f>
        <v>13.841112328767124</v>
      </c>
      <c r="H403" t="str">
        <f>_xll.BDP("251001E2 Muni","ISSUE_DT")</f>
        <v>12/14/2017</v>
      </c>
      <c r="I403" t="str">
        <f>_xll.BDS("251001E2 Muni","MUNI_PURPOSE_SCHED", "aggregate=y")</f>
        <v>PUBLIC IMPS. WATER UTILITY IMPS. SEWER IMPS.</v>
      </c>
      <c r="J403">
        <f>_xll.BDP("251001E2 Muni","CPN")</f>
        <v>3</v>
      </c>
      <c r="K403" t="str">
        <f>_xll.BDP("251001E2 Muni","MATURITY")</f>
        <v>2/1/2026</v>
      </c>
      <c r="L403">
        <v>110000</v>
      </c>
      <c r="M403">
        <f>_xll.BDP("251001E2 Muni","YIELD_ON_ISSUE_DATE")</f>
        <v>2</v>
      </c>
      <c r="N403">
        <f>_xll.BDP("251001E2 Muni","YTW_SPREAD_TO_MATURITY_AT_ISSU")</f>
        <v>13.841112328767124</v>
      </c>
      <c r="O403" t="str">
        <f>_xll.BDP("251001E2 Muni","BVAL_MID_YTM")</f>
        <v>#N/A Authorization</v>
      </c>
      <c r="P403" t="str">
        <f>_xll.BDP("251001E2 Muni","MUNI_TAX_PROV")</f>
        <v>FED BQ/ST TAX-EXEMPT</v>
      </c>
      <c r="Q403" t="str">
        <f>_xll.BDP("251001E2 Muni","MUNI_FED_TAX")</f>
        <v>N</v>
      </c>
      <c r="R403" t="str">
        <f>_xll.BDP("251001E2 Muni","MUNI_MSRB_VOLUME")</f>
        <v>#N/A N/A</v>
      </c>
      <c r="S403" t="str">
        <f>_xll.BDP("251001E2 Muni","BB_COMPOSITE")</f>
        <v>#N/A N/A</v>
      </c>
      <c r="T403">
        <f>_xll.BDP("251001E2 Muni","LQA_LIQUIDITY_SCORE")</f>
        <v>65</v>
      </c>
    </row>
    <row r="404" spans="1:20" x14ac:dyDescent="0.25">
      <c r="A404" t="str">
        <f>_xll.BDP("251001E3 Muni","ID_CUSIP")</f>
        <v>251001E33</v>
      </c>
      <c r="B404" t="s">
        <v>191</v>
      </c>
      <c r="C404" t="str">
        <f>_xll.BDP("251001E3 Muni","INSURANCE_STATUS")</f>
        <v>N</v>
      </c>
      <c r="D404" t="str">
        <f>_xll.BDP("251001E3 Muni","STATE_CODE")</f>
        <v>MN</v>
      </c>
      <c r="E404" t="str">
        <f>_xll.BDP("251001E3 Muni","COUNTY_LOCATION_ISSUER")</f>
        <v>Becker, MN</v>
      </c>
      <c r="F404">
        <f>_xll.BDP("251001E3 Muni","DUR_ADJ_MID")</f>
        <v>4.2044988638768714</v>
      </c>
      <c r="G404">
        <f>_xll.BDP("251001E3 Muni","SPREAD_AT_ISSUANCE_TO_WORST")</f>
        <v>14.95069589041098</v>
      </c>
      <c r="H404" t="str">
        <f>_xll.BDP("251001E3 Muni","ISSUE_DT")</f>
        <v>12/14/2017</v>
      </c>
      <c r="I404" t="str">
        <f>_xll.BDS("251001E3 Muni","MUNI_PURPOSE_SCHED", "aggregate=y")</f>
        <v>PUBLIC IMPS. WATER UTILITY IMPS. SEWER IMPS.</v>
      </c>
      <c r="J404">
        <f>_xll.BDP("251001E3 Muni","CPN")</f>
        <v>3</v>
      </c>
      <c r="K404" t="str">
        <f>_xll.BDP("251001E3 Muni","MATURITY")</f>
        <v>2/1/2027</v>
      </c>
      <c r="L404">
        <v>105000</v>
      </c>
      <c r="M404">
        <f>_xll.BDP("251001E3 Muni","YIELD_ON_ISSUE_DATE")</f>
        <v>2.1</v>
      </c>
      <c r="N404">
        <f>_xll.BDP("251001E3 Muni","YTW_SPREAD_TO_MATURITY_AT_ISSU")</f>
        <v>14.95069589041098</v>
      </c>
      <c r="O404" t="str">
        <f>_xll.BDP("251001E3 Muni","BVAL_MID_YTM")</f>
        <v>#N/A Authorization</v>
      </c>
      <c r="P404" t="str">
        <f>_xll.BDP("251001E3 Muni","MUNI_TAX_PROV")</f>
        <v>FED BQ/ST TAX-EXEMPT</v>
      </c>
      <c r="Q404" t="str">
        <f>_xll.BDP("251001E3 Muni","MUNI_FED_TAX")</f>
        <v>N</v>
      </c>
      <c r="R404" t="str">
        <f>_xll.BDP("251001E3 Muni","MUNI_MSRB_VOLUME")</f>
        <v>#N/A N/A</v>
      </c>
      <c r="S404" t="str">
        <f>_xll.BDP("251001E3 Muni","BB_COMPOSITE")</f>
        <v>#N/A N/A</v>
      </c>
      <c r="T404">
        <f>_xll.BDP("251001E3 Muni","LQA_LIQUIDITY_SCORE")</f>
        <v>57</v>
      </c>
    </row>
    <row r="405" spans="1:20" x14ac:dyDescent="0.25">
      <c r="A405" t="str">
        <f>_xll.BDP("81568EFD Muni","ID_CUSIP")</f>
        <v>81568EFD0</v>
      </c>
      <c r="B405" t="s">
        <v>192</v>
      </c>
      <c r="C405" t="str">
        <f>_xll.BDP("81568EFD Muni","INSURANCE_STATUS")</f>
        <v>Y</v>
      </c>
      <c r="D405" t="str">
        <f>_xll.BDP("81568EFD Muni","STATE_CODE")</f>
        <v>TX</v>
      </c>
      <c r="E405" t="str">
        <f>_xll.BDP("81568EFD Muni","COUNTY_LOCATION_ISSUER")</f>
        <v>Brazoria, TX</v>
      </c>
      <c r="F405">
        <f>_xll.BDP("81568EFD Muni","DUR_ADJ_MID")</f>
        <v>8.0474253014432326E-2</v>
      </c>
      <c r="G405">
        <f>_xll.BDP("81568EFD Muni","SPREAD_AT_ISSUANCE_TO_WORST")</f>
        <v>34.729469908067266</v>
      </c>
      <c r="H405" t="str">
        <f>_xll.BDP("81568EFD Muni","ISSUE_DT")</f>
        <v>3/1/2017</v>
      </c>
      <c r="I405" t="str">
        <f>_xll.BDS("81568EFD Muni","MUNI_PURPOSE_SCHED", "aggregate=y")</f>
        <v>REFUNDING NOTES WATER UTILITY IMPS. SEWER IMPS.</v>
      </c>
      <c r="J405">
        <f>_xll.BDP("81568EFD Muni","CPN")</f>
        <v>2.5</v>
      </c>
      <c r="K405" t="str">
        <f>_xll.BDP("81568EFD Muni","MATURITY")</f>
        <v>9/1/2022</v>
      </c>
      <c r="L405">
        <v>160000</v>
      </c>
      <c r="M405">
        <f>_xll.BDP("81568EFD Muni","YIELD_ON_ISSUE_DATE")</f>
        <v>2.0499999999999998</v>
      </c>
      <c r="N405">
        <f>_xll.BDP("81568EFD Muni","YTW_SPREAD_TO_MATURITY_AT_ISSU")</f>
        <v>34.729469908067266</v>
      </c>
      <c r="O405" t="str">
        <f>_xll.BDP("81568EFD Muni","BVAL_MID_YTM")</f>
        <v>#N/A Authorization</v>
      </c>
      <c r="P405" t="str">
        <f>_xll.BDP("81568EFD Muni","MUNI_TAX_PROV")</f>
        <v>FED BQ</v>
      </c>
      <c r="Q405" t="str">
        <f>_xll.BDP("81568EFD Muni","MUNI_FED_TAX")</f>
        <v>N</v>
      </c>
      <c r="R405" t="str">
        <f>_xll.BDP("81568EFD Muni","MUNI_MSRB_VOLUME")</f>
        <v>#N/A N/A</v>
      </c>
      <c r="S405" t="str">
        <f>_xll.BDP("81568EFD Muni","BB_COMPOSITE")</f>
        <v>A</v>
      </c>
      <c r="T405">
        <f>_xll.BDP("81568EFD Muni","LQA_LIQUIDITY_SCORE")</f>
        <v>99</v>
      </c>
    </row>
    <row r="406" spans="1:20" x14ac:dyDescent="0.25">
      <c r="A406" t="str">
        <f>_xll.BDP("81568EFE Muni","ID_CUSIP")</f>
        <v>81568EFE8</v>
      </c>
      <c r="B406" t="s">
        <v>192</v>
      </c>
      <c r="C406" t="str">
        <f>_xll.BDP("81568EFE Muni","INSURANCE_STATUS")</f>
        <v>Y</v>
      </c>
      <c r="D406" t="str">
        <f>_xll.BDP("81568EFE Muni","STATE_CODE")</f>
        <v>TX</v>
      </c>
      <c r="E406" t="str">
        <f>_xll.BDP("81568EFE Muni","COUNTY_LOCATION_ISSUER")</f>
        <v>Brazoria, TX</v>
      </c>
      <c r="F406">
        <f>_xll.BDP("81568EFE Muni","DUR_ADJ_MID")</f>
        <v>1.0524639065976904</v>
      </c>
      <c r="G406">
        <f>_xll.BDP("81568EFE Muni","SPREAD_AT_ISSUANCE_TO_WORST")</f>
        <v>28.804518936888201</v>
      </c>
      <c r="H406" t="str">
        <f>_xll.BDP("81568EFE Muni","ISSUE_DT")</f>
        <v>3/1/2017</v>
      </c>
      <c r="I406" t="str">
        <f>_xll.BDS("81568EFE Muni","MUNI_PURPOSE_SCHED", "aggregate=y")</f>
        <v>REFUNDING NOTES WATER UTILITY IMPS. SEWER IMPS.</v>
      </c>
      <c r="J406">
        <f>_xll.BDP("81568EFE Muni","CPN")</f>
        <v>2.5</v>
      </c>
      <c r="K406" t="str">
        <f>_xll.BDP("81568EFE Muni","MATURITY")</f>
        <v>9/1/2023</v>
      </c>
      <c r="L406">
        <v>165000</v>
      </c>
      <c r="M406">
        <f>_xll.BDP("81568EFE Muni","YIELD_ON_ISSUE_DATE")</f>
        <v>2.15</v>
      </c>
      <c r="N406">
        <f>_xll.BDP("81568EFE Muni","YTW_SPREAD_TO_MATURITY_AT_ISSU")</f>
        <v>28.804518936888201</v>
      </c>
      <c r="O406" t="str">
        <f>_xll.BDP("81568EFE Muni","BVAL_MID_YTM")</f>
        <v>#N/A Authorization</v>
      </c>
      <c r="P406" t="str">
        <f>_xll.BDP("81568EFE Muni","MUNI_TAX_PROV")</f>
        <v>FED BQ</v>
      </c>
      <c r="Q406" t="str">
        <f>_xll.BDP("81568EFE Muni","MUNI_FED_TAX")</f>
        <v>N</v>
      </c>
      <c r="R406" t="str">
        <f>_xll.BDP("81568EFE Muni","MUNI_MSRB_VOLUME")</f>
        <v>#N/A N/A</v>
      </c>
      <c r="S406" t="str">
        <f>_xll.BDP("81568EFE Muni","BB_COMPOSITE")</f>
        <v>A</v>
      </c>
      <c r="T406">
        <f>_xll.BDP("81568EFE Muni","LQA_LIQUIDITY_SCORE")</f>
        <v>89</v>
      </c>
    </row>
    <row r="407" spans="1:20" x14ac:dyDescent="0.25">
      <c r="A407" t="str">
        <f>_xll.BDP("81568EFF Muni","ID_CUSIP")</f>
        <v>81568EFF5</v>
      </c>
      <c r="B407" t="s">
        <v>192</v>
      </c>
      <c r="C407" t="str">
        <f>_xll.BDP("81568EFF Muni","INSURANCE_STATUS")</f>
        <v>Y</v>
      </c>
      <c r="D407" t="str">
        <f>_xll.BDP("81568EFF Muni","STATE_CODE")</f>
        <v>TX</v>
      </c>
      <c r="E407" t="str">
        <f>_xll.BDP("81568EFF Muni","COUNTY_LOCATION_ISSUER")</f>
        <v>Brazoria, TX</v>
      </c>
      <c r="F407">
        <f>_xll.BDP("81568EFF Muni","DUR_ADJ_MID")</f>
        <v>1.9879782565072532</v>
      </c>
      <c r="G407">
        <f>_xll.BDP("81568EFF Muni","SPREAD_AT_ISSUANCE_TO_WORST")</f>
        <v>33.14939345589152</v>
      </c>
      <c r="H407" t="str">
        <f>_xll.BDP("81568EFF Muni","ISSUE_DT")</f>
        <v>3/1/2017</v>
      </c>
      <c r="I407" t="str">
        <f>_xll.BDS("81568EFF Muni","MUNI_PURPOSE_SCHED", "aggregate=y")</f>
        <v>REFUNDING NOTES WATER UTILITY IMPS. SEWER IMPS.</v>
      </c>
      <c r="J407">
        <f>_xll.BDP("81568EFF Muni","CPN")</f>
        <v>3</v>
      </c>
      <c r="K407" t="str">
        <f>_xll.BDP("81568EFF Muni","MATURITY")</f>
        <v>9/1/2024</v>
      </c>
      <c r="L407">
        <v>170000</v>
      </c>
      <c r="M407">
        <f>_xll.BDP("81568EFF Muni","YIELD_ON_ISSUE_DATE")</f>
        <v>2.35</v>
      </c>
      <c r="N407">
        <f>_xll.BDP("81568EFF Muni","YTW_SPREAD_TO_MATURITY_AT_ISSU")</f>
        <v>33.14939345589152</v>
      </c>
      <c r="O407" t="str">
        <f>_xll.BDP("81568EFF Muni","BVAL_MID_YTM")</f>
        <v>#N/A Authorization</v>
      </c>
      <c r="P407" t="str">
        <f>_xll.BDP("81568EFF Muni","MUNI_TAX_PROV")</f>
        <v>FED BQ</v>
      </c>
      <c r="Q407" t="str">
        <f>_xll.BDP("81568EFF Muni","MUNI_FED_TAX")</f>
        <v>N</v>
      </c>
      <c r="R407" t="str">
        <f>_xll.BDP("81568EFF Muni","MUNI_MSRB_VOLUME")</f>
        <v>#N/A N/A</v>
      </c>
      <c r="S407" t="str">
        <f>_xll.BDP("81568EFF Muni","BB_COMPOSITE")</f>
        <v>A</v>
      </c>
      <c r="T407">
        <f>_xll.BDP("81568EFF Muni","LQA_LIQUIDITY_SCORE")</f>
        <v>80</v>
      </c>
    </row>
    <row r="408" spans="1:20" x14ac:dyDescent="0.25">
      <c r="A408" t="str">
        <f>_xll.BDP("81568EFG Muni","ID_CUSIP")</f>
        <v>81568EFG3</v>
      </c>
      <c r="B408" t="s">
        <v>192</v>
      </c>
      <c r="C408" t="str">
        <f>_xll.BDP("81568EFG Muni","INSURANCE_STATUS")</f>
        <v>Y</v>
      </c>
      <c r="D408" t="str">
        <f>_xll.BDP("81568EFG Muni","STATE_CODE")</f>
        <v>TX</v>
      </c>
      <c r="E408" t="str">
        <f>_xll.BDP("81568EFG Muni","COUNTY_LOCATION_ISSUER")</f>
        <v>Brazoria, TX</v>
      </c>
      <c r="F408">
        <f>_xll.BDP("81568EFG Muni","DUR_ADJ_MID")</f>
        <v>2.8998499470497952</v>
      </c>
      <c r="G408">
        <f>_xll.BDP("81568EFG Muni","SPREAD_AT_ISSUANCE_TO_WORST")</f>
        <v>28.748935538314193</v>
      </c>
      <c r="H408" t="str">
        <f>_xll.BDP("81568EFG Muni","ISSUE_DT")</f>
        <v>3/1/2017</v>
      </c>
      <c r="I408" t="str">
        <f>_xll.BDS("81568EFG Muni","MUNI_PURPOSE_SCHED", "aggregate=y")</f>
        <v>REFUNDING NOTES WATER UTILITY IMPS. SEWER IMPS.</v>
      </c>
      <c r="J408">
        <f>_xll.BDP("81568EFG Muni","CPN")</f>
        <v>3</v>
      </c>
      <c r="K408" t="str">
        <f>_xll.BDP("81568EFG Muni","MATURITY")</f>
        <v>9/1/2025</v>
      </c>
      <c r="L408">
        <v>180000</v>
      </c>
      <c r="M408">
        <f>_xll.BDP("81568EFG Muni","YIELD_ON_ISSUE_DATE")</f>
        <v>2.4500000000000002</v>
      </c>
      <c r="N408">
        <f>_xll.BDP("81568EFG Muni","YTW_SPREAD_TO_MATURITY_AT_ISSU")</f>
        <v>28.748935538314193</v>
      </c>
      <c r="O408" t="str">
        <f>_xll.BDP("81568EFG Muni","BVAL_MID_YTM")</f>
        <v>#N/A Authorization</v>
      </c>
      <c r="P408" t="str">
        <f>_xll.BDP("81568EFG Muni","MUNI_TAX_PROV")</f>
        <v>FED BQ</v>
      </c>
      <c r="Q408" t="str">
        <f>_xll.BDP("81568EFG Muni","MUNI_FED_TAX")</f>
        <v>N</v>
      </c>
      <c r="R408" t="str">
        <f>_xll.BDP("81568EFG Muni","MUNI_MSRB_VOLUME")</f>
        <v>#N/A N/A</v>
      </c>
      <c r="S408" t="str">
        <f>_xll.BDP("81568EFG Muni","BB_COMPOSITE")</f>
        <v>A</v>
      </c>
      <c r="T408">
        <f>_xll.BDP("81568EFG Muni","LQA_LIQUIDITY_SCORE")</f>
        <v>70</v>
      </c>
    </row>
    <row r="409" spans="1:20" x14ac:dyDescent="0.25">
      <c r="A409" t="str">
        <f>_xll.BDP("815883LX Muni","ID_CUSIP")</f>
        <v>815883LX9</v>
      </c>
      <c r="B409" t="s">
        <v>114</v>
      </c>
      <c r="C409" t="str">
        <f>_xll.BDP("815883LX Muni","INSURANCE_STATUS")</f>
        <v>Y</v>
      </c>
      <c r="D409" t="str">
        <f>_xll.BDP("815883LX Muni","STATE_CODE")</f>
        <v>TX</v>
      </c>
      <c r="E409" t="str">
        <f>_xll.BDP("815883LX Muni","COUNTY_LOCATION_ISSUER")</f>
        <v>Henderson, TX</v>
      </c>
      <c r="F409">
        <f>_xll.BDP("815883LX Muni","DUR_ADJ_MID")</f>
        <v>0.4938978560679726</v>
      </c>
      <c r="G409">
        <f>_xll.BDP("815883LX Muni","SPREAD_AT_ISSUANCE_TO_WORST")</f>
        <v>20.735784484125496</v>
      </c>
      <c r="H409" t="str">
        <f>_xll.BDP("815883LX Muni","ISSUE_DT")</f>
        <v>2/1/2017</v>
      </c>
      <c r="I409" t="str">
        <f>_xll.BDS("815883LX Muni","MUNI_PURPOSE_SCHED", "aggregate=y")</f>
        <v>ELEC. LT. &amp; PWR. IMPTS. WATER UTILITY IMPS. SEWER IMPS.</v>
      </c>
      <c r="J409">
        <f>_xll.BDP("815883LX Muni","CPN")</f>
        <v>3</v>
      </c>
      <c r="K409" t="str">
        <f>_xll.BDP("815883LX Muni","MATURITY")</f>
        <v>2/1/2023</v>
      </c>
      <c r="L409">
        <v>195000</v>
      </c>
      <c r="M409">
        <f>_xll.BDP("815883LX Muni","YIELD_ON_ISSUE_DATE")</f>
        <v>2</v>
      </c>
      <c r="N409">
        <f>_xll.BDP("815883LX Muni","YTW_SPREAD_TO_MATURITY_AT_ISSU")</f>
        <v>20.735784484125496</v>
      </c>
      <c r="O409" t="str">
        <f>_xll.BDP("815883LX Muni","BVAL_MID_YTM")</f>
        <v>#N/A Authorization</v>
      </c>
      <c r="P409" t="str">
        <f>_xll.BDP("815883LX Muni","MUNI_TAX_PROV")</f>
        <v>FED BQ</v>
      </c>
      <c r="Q409" t="str">
        <f>_xll.BDP("815883LX Muni","MUNI_FED_TAX")</f>
        <v>N</v>
      </c>
      <c r="R409" t="str">
        <f>_xll.BDP("815883LX Muni","MUNI_MSRB_VOLUME")</f>
        <v>#N/A N/A</v>
      </c>
      <c r="S409" t="str">
        <f>_xll.BDP("815883LX Muni","BB_COMPOSITE")</f>
        <v>A+</v>
      </c>
      <c r="T409">
        <f>_xll.BDP("815883LX Muni","LQA_LIQUIDITY_SCORE")</f>
        <v>94</v>
      </c>
    </row>
    <row r="410" spans="1:20" x14ac:dyDescent="0.25">
      <c r="A410" t="str">
        <f>_xll.BDP("815883LY Muni","ID_CUSIP")</f>
        <v>815883LY7</v>
      </c>
      <c r="B410" t="s">
        <v>114</v>
      </c>
      <c r="C410" t="str">
        <f>_xll.BDP("815883LY Muni","INSURANCE_STATUS")</f>
        <v>Y</v>
      </c>
      <c r="D410" t="str">
        <f>_xll.BDP("815883LY Muni","STATE_CODE")</f>
        <v>TX</v>
      </c>
      <c r="E410" t="str">
        <f>_xll.BDP("815883LY Muni","COUNTY_LOCATION_ISSUER")</f>
        <v>Henderson, TX</v>
      </c>
      <c r="F410">
        <f>_xll.BDP("815883LY Muni","DUR_ADJ_MID")</f>
        <v>1.4612537874794398</v>
      </c>
      <c r="G410">
        <f>_xll.BDP("815883LY Muni","SPREAD_AT_ISSUANCE_TO_WORST")</f>
        <v>19.737293327595772</v>
      </c>
      <c r="H410" t="str">
        <f>_xll.BDP("815883LY Muni","ISSUE_DT")</f>
        <v>2/1/2017</v>
      </c>
      <c r="I410" t="str">
        <f>_xll.BDS("815883LY Muni","MUNI_PURPOSE_SCHED", "aggregate=y")</f>
        <v>ELEC. LT. &amp; PWR. IMPTS. WATER UTILITY IMPS. SEWER IMPS.</v>
      </c>
      <c r="J410">
        <f>_xll.BDP("815883LY Muni","CPN")</f>
        <v>3</v>
      </c>
      <c r="K410" t="str">
        <f>_xll.BDP("815883LY Muni","MATURITY")</f>
        <v>2/1/2024</v>
      </c>
      <c r="L410">
        <v>395000</v>
      </c>
      <c r="M410">
        <f>_xll.BDP("815883LY Muni","YIELD_ON_ISSUE_DATE")</f>
        <v>2.15</v>
      </c>
      <c r="N410">
        <f>_xll.BDP("815883LY Muni","YTW_SPREAD_TO_MATURITY_AT_ISSU")</f>
        <v>19.737293327595772</v>
      </c>
      <c r="O410" t="str">
        <f>_xll.BDP("815883LY Muni","BVAL_MID_YTM")</f>
        <v>#N/A Authorization</v>
      </c>
      <c r="P410" t="str">
        <f>_xll.BDP("815883LY Muni","MUNI_TAX_PROV")</f>
        <v>FED BQ</v>
      </c>
      <c r="Q410" t="str">
        <f>_xll.BDP("815883LY Muni","MUNI_FED_TAX")</f>
        <v>N</v>
      </c>
      <c r="R410" t="str">
        <f>_xll.BDP("815883LY Muni","MUNI_MSRB_VOLUME")</f>
        <v>#N/A N/A</v>
      </c>
      <c r="S410" t="str">
        <f>_xll.BDP("815883LY Muni","BB_COMPOSITE")</f>
        <v>A+</v>
      </c>
      <c r="T410">
        <f>_xll.BDP("815883LY Muni","LQA_LIQUIDITY_SCORE")</f>
        <v>80</v>
      </c>
    </row>
    <row r="411" spans="1:20" x14ac:dyDescent="0.25">
      <c r="A411" t="str">
        <f>_xll.BDP("815883LZ Muni","ID_CUSIP")</f>
        <v>815883LZ4</v>
      </c>
      <c r="B411" t="s">
        <v>114</v>
      </c>
      <c r="C411" t="str">
        <f>_xll.BDP("815883LZ Muni","INSURANCE_STATUS")</f>
        <v>Y</v>
      </c>
      <c r="D411" t="str">
        <f>_xll.BDP("815883LZ Muni","STATE_CODE")</f>
        <v>TX</v>
      </c>
      <c r="E411" t="str">
        <f>_xll.BDP("815883LZ Muni","COUNTY_LOCATION_ISSUER")</f>
        <v>Henderson, TX</v>
      </c>
      <c r="F411">
        <f>_xll.BDP("815883LZ Muni","DUR_ADJ_MID")</f>
        <v>2.4000572127142497</v>
      </c>
      <c r="G411">
        <f>_xll.BDP("815883LZ Muni","SPREAD_AT_ISSUANCE_TO_WORST")</f>
        <v>19.11444559530122</v>
      </c>
      <c r="H411" t="str">
        <f>_xll.BDP("815883LZ Muni","ISSUE_DT")</f>
        <v>2/1/2017</v>
      </c>
      <c r="I411" t="str">
        <f>_xll.BDS("815883LZ Muni","MUNI_PURPOSE_SCHED", "aggregate=y")</f>
        <v>ELEC. LT. &amp; PWR. IMPTS. WATER UTILITY IMPS. SEWER IMPS.</v>
      </c>
      <c r="J411">
        <f>_xll.BDP("815883LZ Muni","CPN")</f>
        <v>3</v>
      </c>
      <c r="K411" t="str">
        <f>_xll.BDP("815883LZ Muni","MATURITY")</f>
        <v>2/1/2025</v>
      </c>
      <c r="L411">
        <v>420000</v>
      </c>
      <c r="M411">
        <f>_xll.BDP("815883LZ Muni","YIELD_ON_ISSUE_DATE")</f>
        <v>2.3000000000000003</v>
      </c>
      <c r="N411">
        <f>_xll.BDP("815883LZ Muni","YTW_SPREAD_TO_MATURITY_AT_ISSU")</f>
        <v>19.11444559530122</v>
      </c>
      <c r="O411" t="str">
        <f>_xll.BDP("815883LZ Muni","BVAL_MID_YTM")</f>
        <v>#N/A Authorization</v>
      </c>
      <c r="P411" t="str">
        <f>_xll.BDP("815883LZ Muni","MUNI_TAX_PROV")</f>
        <v>FED BQ</v>
      </c>
      <c r="Q411" t="str">
        <f>_xll.BDP("815883LZ Muni","MUNI_FED_TAX")</f>
        <v>N</v>
      </c>
      <c r="R411" t="str">
        <f>_xll.BDP("815883LZ Muni","MUNI_MSRB_VOLUME")</f>
        <v>#N/A N/A</v>
      </c>
      <c r="S411" t="str">
        <f>_xll.BDP("815883LZ Muni","BB_COMPOSITE")</f>
        <v>A+</v>
      </c>
      <c r="T411">
        <f>_xll.BDP("815883LZ Muni","LQA_LIQUIDITY_SCORE")</f>
        <v>68</v>
      </c>
    </row>
    <row r="412" spans="1:20" x14ac:dyDescent="0.25">
      <c r="A412" t="str">
        <f>_xll.BDP("837545LG Muni","ID_CUSIP")</f>
        <v>837545LG5</v>
      </c>
      <c r="B412" t="s">
        <v>24</v>
      </c>
      <c r="C412" t="str">
        <f>_xll.BDP("837545LG Muni","INSURANCE_STATUS")</f>
        <v>N</v>
      </c>
      <c r="D412" t="str">
        <f>_xll.BDP("837545LG Muni","STATE_CODE")</f>
        <v>SD</v>
      </c>
      <c r="E412" t="str">
        <f>_xll.BDP("837545LG Muni","COUNTY_LOCATION_ISSUER")</f>
        <v>Hughes, SD</v>
      </c>
      <c r="F412">
        <f>_xll.BDP("837545LG Muni","DUR_ADJ_MID")</f>
        <v>5.5552667868544727E-3</v>
      </c>
      <c r="G412">
        <f>_xll.BDP("837545LG Muni","SPREAD_AT_ISSUANCE_TO_WORST")</f>
        <v>-2.1422405359094121</v>
      </c>
      <c r="H412" t="str">
        <f>_xll.BDP("837545LG Muni","ISSUE_DT")</f>
        <v>8/23/2017</v>
      </c>
      <c r="I412" t="str">
        <f>_xll.BDS("837545LG Muni","MUNI_PURPOSE_SCHED", "aggregate=y")</f>
        <v>WATER UTILITY IMPS. SEWER IMPS. ADVANCE REFUNDING</v>
      </c>
      <c r="J412">
        <f>_xll.BDP("837545LG Muni","CPN")</f>
        <v>5</v>
      </c>
      <c r="K412" t="str">
        <f>_xll.BDP("837545LG Muni","MATURITY")</f>
        <v>8/1/2022</v>
      </c>
      <c r="L412">
        <v>1645000</v>
      </c>
      <c r="M412">
        <f>_xll.BDP("837545LG Muni","YIELD_ON_ISSUE_DATE")</f>
        <v>1.19</v>
      </c>
      <c r="N412">
        <f>_xll.BDP("837545LG Muni","YTW_SPREAD_TO_MATURITY_AT_ISSU")</f>
        <v>-2.1422405359094121</v>
      </c>
      <c r="O412" t="str">
        <f>_xll.BDP("837545LG Muni","BVAL_MID_YTM")</f>
        <v>#N/A Authorization</v>
      </c>
      <c r="P412" t="str">
        <f>_xll.BDP("837545LG Muni","MUNI_TAX_PROV")</f>
        <v>FED TAX-EXEMPT</v>
      </c>
      <c r="Q412" t="str">
        <f>_xll.BDP("837545LG Muni","MUNI_FED_TAX")</f>
        <v>N</v>
      </c>
      <c r="R412">
        <f>_xll.BDP("837545LG Muni","MUNI_MSRB_VOLUME")</f>
        <v>40000</v>
      </c>
      <c r="S412" t="str">
        <f>_xll.BDP("837545LG Muni","BB_COMPOSITE")</f>
        <v>AAA</v>
      </c>
      <c r="T412">
        <f>_xll.BDP("837545LG Muni","LQA_LIQUIDITY_SCORE")</f>
        <v>96</v>
      </c>
    </row>
    <row r="413" spans="1:20" x14ac:dyDescent="0.25">
      <c r="A413" t="str">
        <f>_xll.BDP("837545LM Muni","ID_CUSIP")</f>
        <v>837545LM2</v>
      </c>
      <c r="B413" t="s">
        <v>24</v>
      </c>
      <c r="C413" t="str">
        <f>_xll.BDP("837545LM Muni","INSURANCE_STATUS")</f>
        <v>N</v>
      </c>
      <c r="D413" t="str">
        <f>_xll.BDP("837545LM Muni","STATE_CODE")</f>
        <v>SD</v>
      </c>
      <c r="E413" t="str">
        <f>_xll.BDP("837545LM Muni","COUNTY_LOCATION_ISSUER")</f>
        <v>Hughes, SD</v>
      </c>
      <c r="F413">
        <f>_xll.BDP("837545LM Muni","DUR_ADJ_MID")</f>
        <v>4.7200209699588171</v>
      </c>
      <c r="G413">
        <f>_xll.BDP("837545LM Muni","SPREAD_AT_ISSUANCE_TO_WORST")</f>
        <v>22.139394273938294</v>
      </c>
      <c r="H413" t="str">
        <f>_xll.BDP("837545LM Muni","ISSUE_DT")</f>
        <v>8/23/2017</v>
      </c>
      <c r="I413" t="str">
        <f>_xll.BDS("837545LM Muni","MUNI_PURPOSE_SCHED", "aggregate=y")</f>
        <v>WATER UTILITY IMPS. SEWER IMPS. ADVANCE REFUNDING</v>
      </c>
      <c r="J413">
        <f>_xll.BDP("837545LM Muni","CPN")</f>
        <v>2.125</v>
      </c>
      <c r="K413" t="str">
        <f>_xll.BDP("837545LM Muni","MATURITY")</f>
        <v>8/1/2027</v>
      </c>
      <c r="L413">
        <v>5000</v>
      </c>
      <c r="M413">
        <f>_xll.BDP("837545LM Muni","YIELD_ON_ISSUE_DATE")</f>
        <v>2.125</v>
      </c>
      <c r="N413">
        <f>_xll.BDP("837545LM Muni","YTW_SPREAD_TO_MATURITY_AT_ISSU")</f>
        <v>22.139394273938294</v>
      </c>
      <c r="O413" t="str">
        <f>_xll.BDP("837545LM Muni","BVAL_MID_YTM")</f>
        <v>#N/A Authorization</v>
      </c>
      <c r="P413" t="str">
        <f>_xll.BDP("837545LM Muni","MUNI_TAX_PROV")</f>
        <v>FED TAX-EXEMPT</v>
      </c>
      <c r="Q413" t="str">
        <f>_xll.BDP("837545LM Muni","MUNI_FED_TAX")</f>
        <v>N</v>
      </c>
      <c r="R413" t="str">
        <f>_xll.BDP("837545LM Muni","MUNI_MSRB_VOLUME")</f>
        <v>#N/A N/A</v>
      </c>
      <c r="S413" t="str">
        <f>_xll.BDP("837545LM Muni","BB_COMPOSITE")</f>
        <v>AAA</v>
      </c>
      <c r="T413">
        <f>_xll.BDP("837545LM Muni","LQA_LIQUIDITY_SCORE")</f>
        <v>24</v>
      </c>
    </row>
    <row r="414" spans="1:20" x14ac:dyDescent="0.25">
      <c r="A414" t="str">
        <f>_xll.BDP("67920QKT Muni","ID_CUSIP")</f>
        <v>67920QKT4</v>
      </c>
      <c r="B414" t="s">
        <v>193</v>
      </c>
      <c r="C414" t="str">
        <f>_xll.BDP("67920QKT Muni","INSURANCE_STATUS")</f>
        <v>N</v>
      </c>
      <c r="D414" t="str">
        <f>_xll.BDP("67920QKT Muni","STATE_CODE")</f>
        <v>OK</v>
      </c>
      <c r="E414" t="str">
        <f>_xll.BDP("67920QKT Muni","COUNTY_LOCATION_ISSUER")</f>
        <v>Oklahoma, OK</v>
      </c>
      <c r="F414">
        <f>_xll.BDP("67920QKT Muni","DUR_ADJ_MID")</f>
        <v>0.16360463456255497</v>
      </c>
      <c r="G414">
        <f>_xll.BDP("67920QKT Muni","SPREAD_AT_ISSUANCE_TO_WORST")</f>
        <v>6.537364028448045</v>
      </c>
      <c r="H414" t="str">
        <f>_xll.BDP("67920QKT Muni","ISSUE_DT")</f>
        <v>2/23/2017</v>
      </c>
      <c r="I414" t="str">
        <f>_xll.BDS("67920QKT Muni","MUNI_PURPOSE_SCHED", "aggregate=y")</f>
        <v>WATER UTILITY IMPS. SEWER IMPS.</v>
      </c>
      <c r="J414">
        <f>_xll.BDP("67920QKT Muni","CPN")</f>
        <v>2</v>
      </c>
      <c r="K414" t="str">
        <f>_xll.BDP("67920QKT Muni","MATURITY")</f>
        <v>10/1/2022</v>
      </c>
      <c r="L414">
        <v>750000</v>
      </c>
      <c r="M414">
        <f>_xll.BDP("67920QKT Muni","YIELD_ON_ISSUE_DATE")</f>
        <v>1.74</v>
      </c>
      <c r="N414">
        <f>_xll.BDP("67920QKT Muni","YTW_SPREAD_TO_MATURITY_AT_ISSU")</f>
        <v>6.537364028448045</v>
      </c>
      <c r="O414" t="str">
        <f>_xll.BDP("67920QKT Muni","BVAL_MID_YTM")</f>
        <v>#N/A Authorization</v>
      </c>
      <c r="P414" t="str">
        <f>_xll.BDP("67920QKT Muni","MUNI_TAX_PROV")</f>
        <v>FED &amp; ST TAX-EXEMPT</v>
      </c>
      <c r="Q414" t="str">
        <f>_xll.BDP("67920QKT Muni","MUNI_FED_TAX")</f>
        <v>N</v>
      </c>
      <c r="R414" t="str">
        <f>_xll.BDP("67920QKT Muni","MUNI_MSRB_VOLUME")</f>
        <v>#N/A N/A</v>
      </c>
      <c r="S414" t="str">
        <f>_xll.BDP("67920QKT Muni","BB_COMPOSITE")</f>
        <v>#N/A N/A</v>
      </c>
      <c r="T414">
        <f>_xll.BDP("67920QKT Muni","LQA_LIQUIDITY_SCORE")</f>
        <v>89</v>
      </c>
    </row>
    <row r="415" spans="1:20" x14ac:dyDescent="0.25">
      <c r="A415" t="str">
        <f>_xll.BDP("67920QKU Muni","ID_CUSIP")</f>
        <v>67920QKU1</v>
      </c>
      <c r="B415" t="s">
        <v>193</v>
      </c>
      <c r="C415" t="str">
        <f>_xll.BDP("67920QKU Muni","INSURANCE_STATUS")</f>
        <v>N</v>
      </c>
      <c r="D415" t="str">
        <f>_xll.BDP("67920QKU Muni","STATE_CODE")</f>
        <v>OK</v>
      </c>
      <c r="E415" t="str">
        <f>_xll.BDP("67920QKU Muni","COUNTY_LOCATION_ISSUER")</f>
        <v>Oklahoma, OK</v>
      </c>
      <c r="F415">
        <f>_xll.BDP("67920QKU Muni","DUR_ADJ_MID")</f>
        <v>1.1395902841063432</v>
      </c>
      <c r="G415">
        <f>_xll.BDP("67920QKU Muni","SPREAD_AT_ISSUANCE_TO_WORST")</f>
        <v>10.050992407405591</v>
      </c>
      <c r="H415" t="str">
        <f>_xll.BDP("67920QKU Muni","ISSUE_DT")</f>
        <v>2/23/2017</v>
      </c>
      <c r="I415" t="str">
        <f>_xll.BDS("67920QKU Muni","MUNI_PURPOSE_SCHED", "aggregate=y")</f>
        <v>WATER UTILITY IMPS. SEWER IMPS.</v>
      </c>
      <c r="J415">
        <f>_xll.BDP("67920QKU Muni","CPN")</f>
        <v>2</v>
      </c>
      <c r="K415" t="str">
        <f>_xll.BDP("67920QKU Muni","MATURITY")</f>
        <v>10/1/2023</v>
      </c>
      <c r="L415">
        <v>900000</v>
      </c>
      <c r="M415">
        <f>_xll.BDP("67920QKU Muni","YIELD_ON_ISSUE_DATE")</f>
        <v>1.93</v>
      </c>
      <c r="N415">
        <f>_xll.BDP("67920QKU Muni","YTW_SPREAD_TO_MATURITY_AT_ISSU")</f>
        <v>10.050992407405591</v>
      </c>
      <c r="O415" t="str">
        <f>_xll.BDP("67920QKU Muni","BVAL_MID_YTM")</f>
        <v>#N/A Authorization</v>
      </c>
      <c r="P415" t="str">
        <f>_xll.BDP("67920QKU Muni","MUNI_TAX_PROV")</f>
        <v>FED &amp; ST TAX-EXEMPT</v>
      </c>
      <c r="Q415" t="str">
        <f>_xll.BDP("67920QKU Muni","MUNI_FED_TAX")</f>
        <v>N</v>
      </c>
      <c r="R415">
        <f>_xll.BDP("67920QKU Muni","MUNI_MSRB_VOLUME")</f>
        <v>20000</v>
      </c>
      <c r="S415" t="str">
        <f>_xll.BDP("67920QKU Muni","BB_COMPOSITE")</f>
        <v>#N/A N/A</v>
      </c>
      <c r="T415">
        <f>_xll.BDP("67920QKU Muni","LQA_LIQUIDITY_SCORE")</f>
        <v>58</v>
      </c>
    </row>
    <row r="416" spans="1:20" x14ac:dyDescent="0.25">
      <c r="A416" t="str">
        <f>_xll.BDP("67920QKV Muni","ID_CUSIP")</f>
        <v>67920QKV9</v>
      </c>
      <c r="B416" t="s">
        <v>193</v>
      </c>
      <c r="C416" t="str">
        <f>_xll.BDP("67920QKV Muni","INSURANCE_STATUS")</f>
        <v>N</v>
      </c>
      <c r="D416" t="str">
        <f>_xll.BDP("67920QKV Muni","STATE_CODE")</f>
        <v>OK</v>
      </c>
      <c r="E416" t="str">
        <f>_xll.BDP("67920QKV Muni","COUNTY_LOCATION_ISSUER")</f>
        <v>Oklahoma, OK</v>
      </c>
      <c r="F416">
        <f>_xll.BDP("67920QKV Muni","DUR_ADJ_MID")</f>
        <v>2.0726405313142129</v>
      </c>
      <c r="G416">
        <f>_xll.BDP("67920QKV Muni","SPREAD_AT_ISSUANCE_TO_WORST")</f>
        <v>13.804023154350542</v>
      </c>
      <c r="H416" t="str">
        <f>_xll.BDP("67920QKV Muni","ISSUE_DT")</f>
        <v>2/23/2017</v>
      </c>
      <c r="I416" t="str">
        <f>_xll.BDS("67920QKV Muni","MUNI_PURPOSE_SCHED", "aggregate=y")</f>
        <v>WATER UTILITY IMPS. SEWER IMPS.</v>
      </c>
      <c r="J416">
        <f>_xll.BDP("67920QKV Muni","CPN")</f>
        <v>3</v>
      </c>
      <c r="K416" t="str">
        <f>_xll.BDP("67920QKV Muni","MATURITY")</f>
        <v>10/1/2024</v>
      </c>
      <c r="L416">
        <v>915000</v>
      </c>
      <c r="M416">
        <f>_xll.BDP("67920QKV Muni","YIELD_ON_ISSUE_DATE")</f>
        <v>2.12</v>
      </c>
      <c r="N416">
        <f>_xll.BDP("67920QKV Muni","YTW_SPREAD_TO_MATURITY_AT_ISSU")</f>
        <v>13.804023154350542</v>
      </c>
      <c r="O416" t="str">
        <f>_xll.BDP("67920QKV Muni","BVAL_MID_YTM")</f>
        <v>#N/A Authorization</v>
      </c>
      <c r="P416" t="str">
        <f>_xll.BDP("67920QKV Muni","MUNI_TAX_PROV")</f>
        <v>FED &amp; ST TAX-EXEMPT</v>
      </c>
      <c r="Q416" t="str">
        <f>_xll.BDP("67920QKV Muni","MUNI_FED_TAX")</f>
        <v>N</v>
      </c>
      <c r="R416" t="str">
        <f>_xll.BDP("67920QKV Muni","MUNI_MSRB_VOLUME")</f>
        <v>#N/A N/A</v>
      </c>
      <c r="S416" t="str">
        <f>_xll.BDP("67920QKV Muni","BB_COMPOSITE")</f>
        <v>#N/A N/A</v>
      </c>
      <c r="T416">
        <f>_xll.BDP("67920QKV Muni","LQA_LIQUIDITY_SCORE")</f>
        <v>69</v>
      </c>
    </row>
    <row r="417" spans="1:20" x14ac:dyDescent="0.25">
      <c r="A417" t="str">
        <f>_xll.BDP("67920QKW Muni","ID_CUSIP")</f>
        <v>67920QKW7</v>
      </c>
      <c r="B417" t="s">
        <v>193</v>
      </c>
      <c r="C417" t="str">
        <f>_xll.BDP("67920QKW Muni","INSURANCE_STATUS")</f>
        <v>N</v>
      </c>
      <c r="D417" t="str">
        <f>_xll.BDP("67920QKW Muni","STATE_CODE")</f>
        <v>OK</v>
      </c>
      <c r="E417" t="str">
        <f>_xll.BDP("67920QKW Muni","COUNTY_LOCATION_ISSUER")</f>
        <v>Oklahoma, OK</v>
      </c>
      <c r="F417">
        <f>_xll.BDP("67920QKW Muni","DUR_ADJ_MID")</f>
        <v>2.9858884524004061</v>
      </c>
      <c r="G417">
        <f>_xll.BDP("67920QKW Muni","SPREAD_AT_ISSUANCE_TO_WORST")</f>
        <v>18.834203530488391</v>
      </c>
      <c r="H417" t="str">
        <f>_xll.BDP("67920QKW Muni","ISSUE_DT")</f>
        <v>2/23/2017</v>
      </c>
      <c r="I417" t="str">
        <f>_xll.BDS("67920QKW Muni","MUNI_PURPOSE_SCHED", "aggregate=y")</f>
        <v>WATER UTILITY IMPS. SEWER IMPS.</v>
      </c>
      <c r="J417">
        <f>_xll.BDP("67920QKW Muni","CPN")</f>
        <v>3</v>
      </c>
      <c r="K417" t="str">
        <f>_xll.BDP("67920QKW Muni","MATURITY")</f>
        <v>10/1/2025</v>
      </c>
      <c r="L417">
        <v>940000</v>
      </c>
      <c r="M417">
        <f>_xll.BDP("67920QKW Muni","YIELD_ON_ISSUE_DATE")</f>
        <v>2.31</v>
      </c>
      <c r="N417">
        <f>_xll.BDP("67920QKW Muni","YTW_SPREAD_TO_MATURITY_AT_ISSU")</f>
        <v>18.834203530488391</v>
      </c>
      <c r="O417" t="str">
        <f>_xll.BDP("67920QKW Muni","BVAL_MID_YTM")</f>
        <v>#N/A Authorization</v>
      </c>
      <c r="P417" t="str">
        <f>_xll.BDP("67920QKW Muni","MUNI_TAX_PROV")</f>
        <v>FED &amp; ST TAX-EXEMPT</v>
      </c>
      <c r="Q417" t="str">
        <f>_xll.BDP("67920QKW Muni","MUNI_FED_TAX")</f>
        <v>N</v>
      </c>
      <c r="R417" t="str">
        <f>_xll.BDP("67920QKW Muni","MUNI_MSRB_VOLUME")</f>
        <v>#N/A N/A</v>
      </c>
      <c r="S417" t="str">
        <f>_xll.BDP("67920QKW Muni","BB_COMPOSITE")</f>
        <v>#N/A N/A</v>
      </c>
      <c r="T417">
        <f>_xll.BDP("67920QKW Muni","LQA_LIQUIDITY_SCORE")</f>
        <v>40</v>
      </c>
    </row>
    <row r="418" spans="1:20" x14ac:dyDescent="0.25">
      <c r="A418" t="str">
        <f>_xll.BDP("67920QKX Muni","ID_CUSIP")</f>
        <v>67920QKX5</v>
      </c>
      <c r="B418" t="s">
        <v>193</v>
      </c>
      <c r="C418" t="str">
        <f>_xll.BDP("67920QKX Muni","INSURANCE_STATUS")</f>
        <v>N</v>
      </c>
      <c r="D418" t="str">
        <f>_xll.BDP("67920QKX Muni","STATE_CODE")</f>
        <v>OK</v>
      </c>
      <c r="E418" t="str">
        <f>_xll.BDP("67920QKX Muni","COUNTY_LOCATION_ISSUER")</f>
        <v>Oklahoma, OK</v>
      </c>
      <c r="F418">
        <f>_xll.BDP("67920QKX Muni","DUR_ADJ_MID")</f>
        <v>3.872812683569324</v>
      </c>
      <c r="G418">
        <f>_xll.BDP("67920QKX Muni","SPREAD_AT_ISSUANCE_TO_WORST")</f>
        <v>22.405706478078756</v>
      </c>
      <c r="H418" t="str">
        <f>_xll.BDP("67920QKX Muni","ISSUE_DT")</f>
        <v>2/23/2017</v>
      </c>
      <c r="I418" t="str">
        <f>_xll.BDS("67920QKX Muni","MUNI_PURPOSE_SCHED", "aggregate=y")</f>
        <v>WATER UTILITY IMPS. SEWER IMPS.</v>
      </c>
      <c r="J418">
        <f>_xll.BDP("67920QKX Muni","CPN")</f>
        <v>3</v>
      </c>
      <c r="K418" t="str">
        <f>_xll.BDP("67920QKX Muni","MATURITY")</f>
        <v>10/1/2026</v>
      </c>
      <c r="L418">
        <v>965000</v>
      </c>
      <c r="M418">
        <f>_xll.BDP("67920QKX Muni","YIELD_ON_ISSUE_DATE")</f>
        <v>2.46</v>
      </c>
      <c r="N418">
        <f>_xll.BDP("67920QKX Muni","YTW_SPREAD_TO_MATURITY_AT_ISSU")</f>
        <v>22.405706478078756</v>
      </c>
      <c r="O418" t="str">
        <f>_xll.BDP("67920QKX Muni","BVAL_MID_YTM")</f>
        <v>#N/A Authorization</v>
      </c>
      <c r="P418" t="str">
        <f>_xll.BDP("67920QKX Muni","MUNI_TAX_PROV")</f>
        <v>FED &amp; ST TAX-EXEMPT</v>
      </c>
      <c r="Q418" t="str">
        <f>_xll.BDP("67920QKX Muni","MUNI_FED_TAX")</f>
        <v>N</v>
      </c>
      <c r="R418">
        <f>_xll.BDP("67920QKX Muni","MUNI_MSRB_VOLUME")</f>
        <v>125000</v>
      </c>
      <c r="S418" t="str">
        <f>_xll.BDP("67920QKX Muni","BB_COMPOSITE")</f>
        <v>#N/A N/A</v>
      </c>
      <c r="T418">
        <f>_xll.BDP("67920QKX Muni","LQA_LIQUIDITY_SCORE")</f>
        <v>33</v>
      </c>
    </row>
    <row r="419" spans="1:20" x14ac:dyDescent="0.25">
      <c r="A419" t="str">
        <f>_xll.BDP("67920QLN Muni","ID_CUSIP")</f>
        <v>67920QLN6</v>
      </c>
      <c r="B419" t="s">
        <v>193</v>
      </c>
      <c r="C419" t="str">
        <f>_xll.BDP("67920QLN Muni","INSURANCE_STATUS")</f>
        <v>N</v>
      </c>
      <c r="D419" t="str">
        <f>_xll.BDP("67920QLN Muni","STATE_CODE")</f>
        <v>OK</v>
      </c>
      <c r="E419" t="str">
        <f>_xll.BDP("67920QLN Muni","COUNTY_LOCATION_ISSUER")</f>
        <v>Oklahoma, OK</v>
      </c>
      <c r="F419">
        <f>_xll.BDP("67920QLN Muni","DUR_ADJ_MID")</f>
        <v>0.1636045649189268</v>
      </c>
      <c r="G419">
        <f>_xll.BDP("67920QLN Muni","SPREAD_AT_ISSUANCE_TO_WORST")</f>
        <v>21.496663493282831</v>
      </c>
      <c r="H419" t="str">
        <f>_xll.BDP("67920QLN Muni","ISSUE_DT")</f>
        <v>6/6/2017</v>
      </c>
      <c r="I419" t="str">
        <f>_xll.BDS("67920QLN Muni","MUNI_PURPOSE_SCHED", "aggregate=y")</f>
        <v>WATER UTILITY IMPS.</v>
      </c>
      <c r="J419">
        <f>_xll.BDP("67920QLN Muni","CPN")</f>
        <v>4</v>
      </c>
      <c r="K419" t="str">
        <f>_xll.BDP("67920QLN Muni","MATURITY")</f>
        <v>10/1/2022</v>
      </c>
      <c r="L419">
        <v>280000</v>
      </c>
      <c r="M419">
        <f>_xll.BDP("67920QLN Muni","YIELD_ON_ISSUE_DATE")</f>
        <v>1.49</v>
      </c>
      <c r="N419">
        <f>_xll.BDP("67920QLN Muni","YTW_SPREAD_TO_MATURITY_AT_ISSU")</f>
        <v>21.496663493282831</v>
      </c>
      <c r="O419" t="str">
        <f>_xll.BDP("67920QLN Muni","BVAL_MID_YTM")</f>
        <v>#N/A Authorization</v>
      </c>
      <c r="P419" t="str">
        <f>_xll.BDP("67920QLN Muni","MUNI_TAX_PROV")</f>
        <v>FED &amp; ST TAX-EXEMPT</v>
      </c>
      <c r="Q419" t="str">
        <f>_xll.BDP("67920QLN Muni","MUNI_FED_TAX")</f>
        <v>N</v>
      </c>
      <c r="R419" t="str">
        <f>_xll.BDP("67920QLN Muni","MUNI_MSRB_VOLUME")</f>
        <v>#N/A N/A</v>
      </c>
      <c r="S419" t="str">
        <f>_xll.BDP("67920QLN Muni","BB_COMPOSITE")</f>
        <v>#N/A N/A</v>
      </c>
      <c r="T419">
        <f>_xll.BDP("67920QLN Muni","LQA_LIQUIDITY_SCORE")</f>
        <v>92</v>
      </c>
    </row>
    <row r="420" spans="1:20" x14ac:dyDescent="0.25">
      <c r="A420" t="str">
        <f>_xll.BDP("67920QLP Muni","ID_CUSIP")</f>
        <v>67920QLP1</v>
      </c>
      <c r="B420" t="s">
        <v>193</v>
      </c>
      <c r="C420" t="str">
        <f>_xll.BDP("67920QLP Muni","INSURANCE_STATUS")</f>
        <v>N</v>
      </c>
      <c r="D420" t="str">
        <f>_xll.BDP("67920QLP Muni","STATE_CODE")</f>
        <v>OK</v>
      </c>
      <c r="E420" t="str">
        <f>_xll.BDP("67920QLP Muni","COUNTY_LOCATION_ISSUER")</f>
        <v>Oklahoma, OK</v>
      </c>
      <c r="F420">
        <f>_xll.BDP("67920QLP Muni","DUR_ADJ_MID")</f>
        <v>1.1325870697770626</v>
      </c>
      <c r="G420">
        <f>_xll.BDP("67920QLP Muni","SPREAD_AT_ISSUANCE_TO_WORST")</f>
        <v>23.502772145735683</v>
      </c>
      <c r="H420" t="str">
        <f>_xll.BDP("67920QLP Muni","ISSUE_DT")</f>
        <v>6/6/2017</v>
      </c>
      <c r="I420" t="str">
        <f>_xll.BDS("67920QLP Muni","MUNI_PURPOSE_SCHED", "aggregate=y")</f>
        <v>WATER UTILITY IMPS.</v>
      </c>
      <c r="J420">
        <f>_xll.BDP("67920QLP Muni","CPN")</f>
        <v>3</v>
      </c>
      <c r="K420" t="str">
        <f>_xll.BDP("67920QLP Muni","MATURITY")</f>
        <v>10/1/2023</v>
      </c>
      <c r="L420">
        <v>285000</v>
      </c>
      <c r="M420">
        <f>_xll.BDP("67920QLP Muni","YIELD_ON_ISSUE_DATE")</f>
        <v>1.67</v>
      </c>
      <c r="N420">
        <f>_xll.BDP("67920QLP Muni","YTW_SPREAD_TO_MATURITY_AT_ISSU")</f>
        <v>23.502772145735683</v>
      </c>
      <c r="O420" t="str">
        <f>_xll.BDP("67920QLP Muni","BVAL_MID_YTM")</f>
        <v>#N/A Authorization</v>
      </c>
      <c r="P420" t="str">
        <f>_xll.BDP("67920QLP Muni","MUNI_TAX_PROV")</f>
        <v>FED &amp; ST TAX-EXEMPT</v>
      </c>
      <c r="Q420" t="str">
        <f>_xll.BDP("67920QLP Muni","MUNI_FED_TAX")</f>
        <v>N</v>
      </c>
      <c r="R420" t="str">
        <f>_xll.BDP("67920QLP Muni","MUNI_MSRB_VOLUME")</f>
        <v>#N/A N/A</v>
      </c>
      <c r="S420" t="str">
        <f>_xll.BDP("67920QLP Muni","BB_COMPOSITE")</f>
        <v>#N/A N/A</v>
      </c>
      <c r="T420">
        <f>_xll.BDP("67920QLP Muni","LQA_LIQUIDITY_SCORE")</f>
        <v>65</v>
      </c>
    </row>
    <row r="421" spans="1:20" x14ac:dyDescent="0.25">
      <c r="A421" t="str">
        <f>_xll.BDP("67920QLQ Muni","ID_CUSIP")</f>
        <v>67920QLQ9</v>
      </c>
      <c r="B421" t="s">
        <v>193</v>
      </c>
      <c r="C421" t="str">
        <f>_xll.BDP("67920QLQ Muni","INSURANCE_STATUS")</f>
        <v>N</v>
      </c>
      <c r="D421" t="str">
        <f>_xll.BDP("67920QLQ Muni","STATE_CODE")</f>
        <v>OK</v>
      </c>
      <c r="E421" t="str">
        <f>_xll.BDP("67920QLQ Muni","COUNTY_LOCATION_ISSUER")</f>
        <v>Oklahoma, OK</v>
      </c>
      <c r="F421">
        <f>_xll.BDP("67920QLQ Muni","DUR_ADJ_MID")</f>
        <v>2.0726405313142129</v>
      </c>
      <c r="G421">
        <f>_xll.BDP("67920QLQ Muni","SPREAD_AT_ISSUANCE_TO_WORST")</f>
        <v>22.399425735848165</v>
      </c>
      <c r="H421" t="str">
        <f>_xll.BDP("67920QLQ Muni","ISSUE_DT")</f>
        <v>6/6/2017</v>
      </c>
      <c r="I421" t="str">
        <f>_xll.BDS("67920QLQ Muni","MUNI_PURPOSE_SCHED", "aggregate=y")</f>
        <v>WATER UTILITY IMPS.</v>
      </c>
      <c r="J421">
        <f>_xll.BDP("67920QLQ Muni","CPN")</f>
        <v>3</v>
      </c>
      <c r="K421" t="str">
        <f>_xll.BDP("67920QLQ Muni","MATURITY")</f>
        <v>10/1/2024</v>
      </c>
      <c r="L421">
        <v>295000</v>
      </c>
      <c r="M421">
        <f>_xll.BDP("67920QLQ Muni","YIELD_ON_ISSUE_DATE")</f>
        <v>1.82</v>
      </c>
      <c r="N421">
        <f>_xll.BDP("67920QLQ Muni","YTW_SPREAD_TO_MATURITY_AT_ISSU")</f>
        <v>22.399425735848165</v>
      </c>
      <c r="O421" t="str">
        <f>_xll.BDP("67920QLQ Muni","BVAL_MID_YTM")</f>
        <v>#N/A Authorization</v>
      </c>
      <c r="P421" t="str">
        <f>_xll.BDP("67920QLQ Muni","MUNI_TAX_PROV")</f>
        <v>FED &amp; ST TAX-EXEMPT</v>
      </c>
      <c r="Q421" t="str">
        <f>_xll.BDP("67920QLQ Muni","MUNI_FED_TAX")</f>
        <v>N</v>
      </c>
      <c r="R421" t="str">
        <f>_xll.BDP("67920QLQ Muni","MUNI_MSRB_VOLUME")</f>
        <v>#N/A N/A</v>
      </c>
      <c r="S421" t="str">
        <f>_xll.BDP("67920QLQ Muni","BB_COMPOSITE")</f>
        <v>#N/A N/A</v>
      </c>
      <c r="T421">
        <f>_xll.BDP("67920QLQ Muni","LQA_LIQUIDITY_SCORE")</f>
        <v>67</v>
      </c>
    </row>
    <row r="422" spans="1:20" x14ac:dyDescent="0.25">
      <c r="A422" t="str">
        <f>_xll.BDP("67920QLR Muni","ID_CUSIP")</f>
        <v>67920QLR7</v>
      </c>
      <c r="B422" t="s">
        <v>193</v>
      </c>
      <c r="C422" t="str">
        <f>_xll.BDP("67920QLR Muni","INSURANCE_STATUS")</f>
        <v>N</v>
      </c>
      <c r="D422" t="str">
        <f>_xll.BDP("67920QLR Muni","STATE_CODE")</f>
        <v>OK</v>
      </c>
      <c r="E422" t="str">
        <f>_xll.BDP("67920QLR Muni","COUNTY_LOCATION_ISSUER")</f>
        <v>Oklahoma, OK</v>
      </c>
      <c r="F422">
        <f>_xll.BDP("67920QLR Muni","DUR_ADJ_MID")</f>
        <v>2.9858884524004061</v>
      </c>
      <c r="G422">
        <f>_xll.BDP("67920QLR Muni","SPREAD_AT_ISSUANCE_TO_WORST")</f>
        <v>26.913051166752155</v>
      </c>
      <c r="H422" t="str">
        <f>_xll.BDP("67920QLR Muni","ISSUE_DT")</f>
        <v>6/6/2017</v>
      </c>
      <c r="I422" t="str">
        <f>_xll.BDS("67920QLR Muni","MUNI_PURPOSE_SCHED", "aggregate=y")</f>
        <v>WATER UTILITY IMPS.</v>
      </c>
      <c r="J422">
        <f>_xll.BDP("67920QLR Muni","CPN")</f>
        <v>3</v>
      </c>
      <c r="K422" t="str">
        <f>_xll.BDP("67920QLR Muni","MATURITY")</f>
        <v>10/1/2025</v>
      </c>
      <c r="L422">
        <v>305000</v>
      </c>
      <c r="M422">
        <f>_xll.BDP("67920QLR Muni","YIELD_ON_ISSUE_DATE")</f>
        <v>2.02</v>
      </c>
      <c r="N422">
        <f>_xll.BDP("67920QLR Muni","YTW_SPREAD_TO_MATURITY_AT_ISSU")</f>
        <v>26.913051166752155</v>
      </c>
      <c r="O422" t="str">
        <f>_xll.BDP("67920QLR Muni","BVAL_MID_YTM")</f>
        <v>#N/A Authorization</v>
      </c>
      <c r="P422" t="str">
        <f>_xll.BDP("67920QLR Muni","MUNI_TAX_PROV")</f>
        <v>FED &amp; ST TAX-EXEMPT</v>
      </c>
      <c r="Q422" t="str">
        <f>_xll.BDP("67920QLR Muni","MUNI_FED_TAX")</f>
        <v>N</v>
      </c>
      <c r="R422" t="str">
        <f>_xll.BDP("67920QLR Muni","MUNI_MSRB_VOLUME")</f>
        <v>#N/A N/A</v>
      </c>
      <c r="S422" t="str">
        <f>_xll.BDP("67920QLR Muni","BB_COMPOSITE")</f>
        <v>#N/A N/A</v>
      </c>
      <c r="T422">
        <f>_xll.BDP("67920QLR Muni","LQA_LIQUIDITY_SCORE")</f>
        <v>37</v>
      </c>
    </row>
    <row r="423" spans="1:20" x14ac:dyDescent="0.25">
      <c r="A423" t="str">
        <f>_xll.BDP("67920QLS Muni","ID_CUSIP")</f>
        <v>67920QLS5</v>
      </c>
      <c r="B423" t="s">
        <v>193</v>
      </c>
      <c r="C423" t="str">
        <f>_xll.BDP("67920QLS Muni","INSURANCE_STATUS")</f>
        <v>N</v>
      </c>
      <c r="D423" t="str">
        <f>_xll.BDP("67920QLS Muni","STATE_CODE")</f>
        <v>OK</v>
      </c>
      <c r="E423" t="str">
        <f>_xll.BDP("67920QLS Muni","COUNTY_LOCATION_ISSUER")</f>
        <v>Oklahoma, OK</v>
      </c>
      <c r="F423">
        <f>_xll.BDP("67920QLS Muni","DUR_ADJ_MID")</f>
        <v>3.8030871148916048</v>
      </c>
      <c r="G423">
        <f>_xll.BDP("67920QLS Muni","SPREAD_AT_ISSUANCE_TO_WORST")</f>
        <v>31.466370606911553</v>
      </c>
      <c r="H423" t="str">
        <f>_xll.BDP("67920QLS Muni","ISSUE_DT")</f>
        <v>6/6/2017</v>
      </c>
      <c r="I423" t="str">
        <f>_xll.BDS("67920QLS Muni","MUNI_PURPOSE_SCHED", "aggregate=y")</f>
        <v>WATER UTILITY IMPS.</v>
      </c>
      <c r="J423">
        <f>_xll.BDP("67920QLS Muni","CPN")</f>
        <v>4</v>
      </c>
      <c r="K423" t="str">
        <f>_xll.BDP("67920QLS Muni","MATURITY")</f>
        <v>10/1/2026</v>
      </c>
      <c r="L423">
        <v>315000</v>
      </c>
      <c r="M423">
        <f>_xll.BDP("67920QLS Muni","YIELD_ON_ISSUE_DATE")</f>
        <v>2.2000000000000002</v>
      </c>
      <c r="N423">
        <f>_xll.BDP("67920QLS Muni","YTW_SPREAD_TO_MATURITY_AT_ISSU")</f>
        <v>31.466370606911553</v>
      </c>
      <c r="O423" t="str">
        <f>_xll.BDP("67920QLS Muni","BVAL_MID_YTM")</f>
        <v>#N/A Authorization</v>
      </c>
      <c r="P423" t="str">
        <f>_xll.BDP("67920QLS Muni","MUNI_TAX_PROV")</f>
        <v>FED &amp; ST TAX-EXEMPT</v>
      </c>
      <c r="Q423" t="str">
        <f>_xll.BDP("67920QLS Muni","MUNI_FED_TAX")</f>
        <v>N</v>
      </c>
      <c r="R423" t="str">
        <f>_xll.BDP("67920QLS Muni","MUNI_MSRB_VOLUME")</f>
        <v>#N/A N/A</v>
      </c>
      <c r="S423" t="str">
        <f>_xll.BDP("67920QLS Muni","BB_COMPOSITE")</f>
        <v>#N/A N/A</v>
      </c>
      <c r="T423">
        <f>_xll.BDP("67920QLS Muni","LQA_LIQUIDITY_SCORE")</f>
        <v>38</v>
      </c>
    </row>
    <row r="424" spans="1:20" x14ac:dyDescent="0.25">
      <c r="A424" t="str">
        <f>_xll.BDP("67920QLT Muni","ID_CUSIP")</f>
        <v>67920QLT3</v>
      </c>
      <c r="B424" t="s">
        <v>193</v>
      </c>
      <c r="C424" t="str">
        <f>_xll.BDP("67920QLT Muni","INSURANCE_STATUS")</f>
        <v>N</v>
      </c>
      <c r="D424" t="str">
        <f>_xll.BDP("67920QLT Muni","STATE_CODE")</f>
        <v>OK</v>
      </c>
      <c r="E424" t="str">
        <f>_xll.BDP("67920QLT Muni","COUNTY_LOCATION_ISSUER")</f>
        <v>Oklahoma, OK</v>
      </c>
      <c r="F424">
        <f>_xll.BDP("67920QLT Muni","DUR_ADJ_MID")</f>
        <v>4.632680623291785</v>
      </c>
      <c r="G424">
        <f>_xll.BDP("67920QLT Muni","SPREAD_AT_ISSUANCE_TO_WORST")</f>
        <v>31.651619970404532</v>
      </c>
      <c r="H424" t="str">
        <f>_xll.BDP("67920QLT Muni","ISSUE_DT")</f>
        <v>6/6/2017</v>
      </c>
      <c r="I424" t="str">
        <f>_xll.BDS("67920QLT Muni","MUNI_PURPOSE_SCHED", "aggregate=y")</f>
        <v>WATER UTILITY IMPS.</v>
      </c>
      <c r="J424">
        <f>_xll.BDP("67920QLT Muni","CPN")</f>
        <v>4</v>
      </c>
      <c r="K424" t="str">
        <f>_xll.BDP("67920QLT Muni","MATURITY")</f>
        <v>10/1/2027</v>
      </c>
      <c r="L424">
        <v>325000</v>
      </c>
      <c r="M424">
        <f>_xll.BDP("67920QLT Muni","YIELD_ON_ISSUE_DATE")</f>
        <v>2.3199999999999998</v>
      </c>
      <c r="N424">
        <f>_xll.BDP("67920QLT Muni","YTW_SPREAD_TO_MATURITY_AT_ISSU")</f>
        <v>31.651619970404532</v>
      </c>
      <c r="O424" t="str">
        <f>_xll.BDP("67920QLT Muni","BVAL_MID_YTM")</f>
        <v>#N/A Authorization</v>
      </c>
      <c r="P424" t="str">
        <f>_xll.BDP("67920QLT Muni","MUNI_TAX_PROV")</f>
        <v>FED &amp; ST TAX-EXEMPT</v>
      </c>
      <c r="Q424" t="str">
        <f>_xll.BDP("67920QLT Muni","MUNI_FED_TAX")</f>
        <v>N</v>
      </c>
      <c r="R424" t="str">
        <f>_xll.BDP("67920QLT Muni","MUNI_MSRB_VOLUME")</f>
        <v>#N/A N/A</v>
      </c>
      <c r="S424" t="str">
        <f>_xll.BDP("67920QLT Muni","BB_COMPOSITE")</f>
        <v>#N/A N/A</v>
      </c>
      <c r="T424">
        <f>_xll.BDP("67920QLT Muni","LQA_LIQUIDITY_SCORE")</f>
        <v>42</v>
      </c>
    </row>
    <row r="425" spans="1:20" x14ac:dyDescent="0.25">
      <c r="A425" t="str">
        <f>_xll.BDP("679468WV Muni","ID_CUSIP")</f>
        <v>679468WV6</v>
      </c>
      <c r="B425" t="s">
        <v>131</v>
      </c>
      <c r="C425" t="str">
        <f>_xll.BDP("679468WV Muni","INSURANCE_STATUS")</f>
        <v>N</v>
      </c>
      <c r="D425" t="str">
        <f>_xll.BDP("679468WV Muni","STATE_CODE")</f>
        <v>KS</v>
      </c>
      <c r="E425" t="str">
        <f>_xll.BDP("679468WV Muni","COUNTY_LOCATION_ISSUER")</f>
        <v>Johnson, KS</v>
      </c>
      <c r="F425">
        <f>_xll.BDP("679468WV Muni","DUR_ADJ_MID")</f>
        <v>0.90034373788204058</v>
      </c>
      <c r="G425">
        <f>_xll.BDP("679468WV Muni","SPREAD_AT_ISSUANCE_TO_WORST")</f>
        <v>19.604781085686753</v>
      </c>
      <c r="H425" t="str">
        <f>_xll.BDP("679468WV Muni","ISSUE_DT")</f>
        <v>4/4/2017</v>
      </c>
      <c r="I425" t="str">
        <f>_xll.BDS("679468WV Muni","MUNI_PURPOSE_SCHED", "aggregate=y")</f>
        <v>WATER UTILITY IMPS. SEWER IMPS. CURRENT REFUNDING</v>
      </c>
      <c r="J425">
        <f>_xll.BDP("679468WV Muni","CPN")</f>
        <v>3</v>
      </c>
      <c r="K425" t="str">
        <f>_xll.BDP("679468WV Muni","MATURITY")</f>
        <v>7/1/2023</v>
      </c>
      <c r="L425">
        <v>545000</v>
      </c>
      <c r="M425">
        <f>_xll.BDP("679468WV Muni","YIELD_ON_ISSUE_DATE")</f>
        <v>2.06</v>
      </c>
      <c r="N425">
        <f>_xll.BDP("679468WV Muni","YTW_SPREAD_TO_MATURITY_AT_ISSU")</f>
        <v>19.604781085686753</v>
      </c>
      <c r="O425" t="str">
        <f>_xll.BDP("679468WV Muni","BVAL_MID_YTM")</f>
        <v>#N/A Authorization</v>
      </c>
      <c r="P425" t="str">
        <f>_xll.BDP("679468WV Muni","MUNI_TAX_PROV")</f>
        <v>FED &amp; ST TAX-EXEMPT</v>
      </c>
      <c r="Q425" t="str">
        <f>_xll.BDP("679468WV Muni","MUNI_FED_TAX")</f>
        <v>N</v>
      </c>
      <c r="R425">
        <f>_xll.BDP("679468WV Muni","MUNI_MSRB_VOLUME")</f>
        <v>50000</v>
      </c>
      <c r="S425" t="str">
        <f>_xll.BDP("679468WV Muni","BB_COMPOSITE")</f>
        <v>#N/A N/A</v>
      </c>
      <c r="T425">
        <f>_xll.BDP("679468WV Muni","LQA_LIQUIDITY_SCORE")</f>
        <v>86</v>
      </c>
    </row>
    <row r="426" spans="1:20" x14ac:dyDescent="0.25">
      <c r="A426" t="str">
        <f>_xll.BDP("679468WW Muni","ID_CUSIP")</f>
        <v>679468WW4</v>
      </c>
      <c r="B426" t="s">
        <v>131</v>
      </c>
      <c r="C426" t="str">
        <f>_xll.BDP("679468WW Muni","INSURANCE_STATUS")</f>
        <v>N</v>
      </c>
      <c r="D426" t="str">
        <f>_xll.BDP("679468WW Muni","STATE_CODE")</f>
        <v>KS</v>
      </c>
      <c r="E426" t="str">
        <f>_xll.BDP("679468WW Muni","COUNTY_LOCATION_ISSUER")</f>
        <v>Johnson, KS</v>
      </c>
      <c r="F426">
        <f>_xll.BDP("679468WW Muni","DUR_ADJ_MID")</f>
        <v>1.8550390659479221</v>
      </c>
      <c r="G426">
        <f>_xll.BDP("679468WW Muni","SPREAD_AT_ISSUANCE_TO_WORST")</f>
        <v>21.403779041711424</v>
      </c>
      <c r="H426" t="str">
        <f>_xll.BDP("679468WW Muni","ISSUE_DT")</f>
        <v>4/4/2017</v>
      </c>
      <c r="I426" t="str">
        <f>_xll.BDS("679468WW Muni","MUNI_PURPOSE_SCHED", "aggregate=y")</f>
        <v>WATER UTILITY IMPS. SEWER IMPS. CURRENT REFUNDING</v>
      </c>
      <c r="J426">
        <f>_xll.BDP("679468WW Muni","CPN")</f>
        <v>3</v>
      </c>
      <c r="K426" t="str">
        <f>_xll.BDP("679468WW Muni","MATURITY")</f>
        <v>7/1/2024</v>
      </c>
      <c r="L426">
        <v>560000</v>
      </c>
      <c r="M426">
        <f>_xll.BDP("679468WW Muni","YIELD_ON_ISSUE_DATE")</f>
        <v>2.2400000000000002</v>
      </c>
      <c r="N426">
        <f>_xll.BDP("679468WW Muni","YTW_SPREAD_TO_MATURITY_AT_ISSU")</f>
        <v>21.403779041711424</v>
      </c>
      <c r="O426" t="str">
        <f>_xll.BDP("679468WW Muni","BVAL_MID_YTM")</f>
        <v>#N/A Authorization</v>
      </c>
      <c r="P426" t="str">
        <f>_xll.BDP("679468WW Muni","MUNI_TAX_PROV")</f>
        <v>FED &amp; ST TAX-EXEMPT</v>
      </c>
      <c r="Q426" t="str">
        <f>_xll.BDP("679468WW Muni","MUNI_FED_TAX")</f>
        <v>N</v>
      </c>
      <c r="R426" t="str">
        <f>_xll.BDP("679468WW Muni","MUNI_MSRB_VOLUME")</f>
        <v>#N/A N/A</v>
      </c>
      <c r="S426" t="str">
        <f>_xll.BDP("679468WW Muni","BB_COMPOSITE")</f>
        <v>#N/A N/A</v>
      </c>
      <c r="T426">
        <f>_xll.BDP("679468WW Muni","LQA_LIQUIDITY_SCORE")</f>
        <v>74</v>
      </c>
    </row>
    <row r="427" spans="1:20" x14ac:dyDescent="0.25">
      <c r="A427" t="str">
        <f>_xll.BDP("68072EJW Muni","ID_CUSIP")</f>
        <v>68072EJW0</v>
      </c>
      <c r="B427" t="s">
        <v>194</v>
      </c>
      <c r="C427" t="str">
        <f>_xll.BDP("68072EJW Muni","INSURANCE_STATUS")</f>
        <v>N</v>
      </c>
      <c r="D427" t="str">
        <f>_xll.BDP("68072EJW Muni","STATE_CODE")</f>
        <v>MS</v>
      </c>
      <c r="E427" t="str">
        <f>_xll.BDP("68072EJW Muni","COUNTY_LOCATION_ISSUER")</f>
        <v>DeSoto, MS</v>
      </c>
      <c r="F427">
        <f>_xll.BDP("68072EJW Muni","DUR_ADJ_MID")</f>
        <v>0.65133233957634495</v>
      </c>
      <c r="G427">
        <f>_xll.BDP("68072EJW Muni","SPREAD_AT_ISSUANCE_TO_WORST")</f>
        <v>2.6661646525232729</v>
      </c>
      <c r="H427" t="str">
        <f>_xll.BDP("68072EJW Muni","ISSUE_DT")</f>
        <v>4/1/2017</v>
      </c>
      <c r="I427" t="str">
        <f>_xll.BDS("68072EJW Muni","MUNI_PURPOSE_SCHED", "aggregate=y")</f>
        <v>WATER UTILITY IMPS. SEWER IMPS.</v>
      </c>
      <c r="J427">
        <f>_xll.BDP("68072EJW Muni","CPN")</f>
        <v>3.25</v>
      </c>
      <c r="K427" t="str">
        <f>_xll.BDP("68072EJW Muni","MATURITY")</f>
        <v>4/1/2023</v>
      </c>
      <c r="L427">
        <v>240000</v>
      </c>
      <c r="M427">
        <f>_xll.BDP("68072EJW Muni","YIELD_ON_ISSUE_DATE")</f>
        <v>1.85</v>
      </c>
      <c r="N427">
        <f>_xll.BDP("68072EJW Muni","YTW_SPREAD_TO_MATURITY_AT_ISSU")</f>
        <v>2.6661646525232729</v>
      </c>
      <c r="O427" t="str">
        <f>_xll.BDP("68072EJW Muni","BVAL_MID_YTM")</f>
        <v>#N/A Authorization</v>
      </c>
      <c r="P427" t="str">
        <f>_xll.BDP("68072EJW Muni","MUNI_TAX_PROV")</f>
        <v>FED BQ/ST TAX-EXEMPT</v>
      </c>
      <c r="Q427" t="str">
        <f>_xll.BDP("68072EJW Muni","MUNI_FED_TAX")</f>
        <v>N</v>
      </c>
      <c r="R427" t="str">
        <f>_xll.BDP("68072EJW Muni","MUNI_MSRB_VOLUME")</f>
        <v>#N/A N/A</v>
      </c>
      <c r="S427" t="str">
        <f>_xll.BDP("68072EJW Muni","BB_COMPOSITE")</f>
        <v>#N/A N/A</v>
      </c>
      <c r="T427">
        <f>_xll.BDP("68072EJW Muni","LQA_LIQUIDITY_SCORE")</f>
        <v>92</v>
      </c>
    </row>
    <row r="428" spans="1:20" x14ac:dyDescent="0.25">
      <c r="A428" t="str">
        <f>_xll.BDP("68072EJX Muni","ID_CUSIP")</f>
        <v>68072EJX8</v>
      </c>
      <c r="B428" t="s">
        <v>194</v>
      </c>
      <c r="C428" t="str">
        <f>_xll.BDP("68072EJX Muni","INSURANCE_STATUS")</f>
        <v>N</v>
      </c>
      <c r="D428" t="str">
        <f>_xll.BDP("68072EJX Muni","STATE_CODE")</f>
        <v>MS</v>
      </c>
      <c r="E428" t="str">
        <f>_xll.BDP("68072EJX Muni","COUNTY_LOCATION_ISSUER")</f>
        <v>DeSoto, MS</v>
      </c>
      <c r="F428">
        <f>_xll.BDP("68072EJX Muni","DUR_ADJ_MID")</f>
        <v>1.6020293640760401</v>
      </c>
      <c r="G428">
        <f>_xll.BDP("68072EJX Muni","SPREAD_AT_ISSUANCE_TO_WORST")</f>
        <v>1.3492083279726064</v>
      </c>
      <c r="H428" t="str">
        <f>_xll.BDP("68072EJX Muni","ISSUE_DT")</f>
        <v>4/1/2017</v>
      </c>
      <c r="I428" t="str">
        <f>_xll.BDS("68072EJX Muni","MUNI_PURPOSE_SCHED", "aggregate=y")</f>
        <v>WATER UTILITY IMPS. SEWER IMPS.</v>
      </c>
      <c r="J428">
        <f>_xll.BDP("68072EJX Muni","CPN")</f>
        <v>3.25</v>
      </c>
      <c r="K428" t="str">
        <f>_xll.BDP("68072EJX Muni","MATURITY")</f>
        <v>4/1/2024</v>
      </c>
      <c r="L428">
        <v>250000</v>
      </c>
      <c r="M428">
        <f>_xll.BDP("68072EJX Muni","YIELD_ON_ISSUE_DATE")</f>
        <v>2</v>
      </c>
      <c r="N428">
        <f>_xll.BDP("68072EJX Muni","YTW_SPREAD_TO_MATURITY_AT_ISSU")</f>
        <v>1.3492083279726064</v>
      </c>
      <c r="O428" t="str">
        <f>_xll.BDP("68072EJX Muni","BVAL_MID_YTM")</f>
        <v>#N/A Authorization</v>
      </c>
      <c r="P428" t="str">
        <f>_xll.BDP("68072EJX Muni","MUNI_TAX_PROV")</f>
        <v>FED BQ/ST TAX-EXEMPT</v>
      </c>
      <c r="Q428" t="str">
        <f>_xll.BDP("68072EJX Muni","MUNI_FED_TAX")</f>
        <v>N</v>
      </c>
      <c r="R428" t="str">
        <f>_xll.BDP("68072EJX Muni","MUNI_MSRB_VOLUME")</f>
        <v>#N/A N/A</v>
      </c>
      <c r="S428" t="str">
        <f>_xll.BDP("68072EJX Muni","BB_COMPOSITE")</f>
        <v>#N/A N/A</v>
      </c>
      <c r="T428">
        <f>_xll.BDP("68072EJX Muni","LQA_LIQUIDITY_SCORE")</f>
        <v>81</v>
      </c>
    </row>
    <row r="429" spans="1:20" x14ac:dyDescent="0.25">
      <c r="A429" t="str">
        <f>_xll.BDP("68072EJY Muni","ID_CUSIP")</f>
        <v>68072EJY6</v>
      </c>
      <c r="B429" t="s">
        <v>194</v>
      </c>
      <c r="C429" t="str">
        <f>_xll.BDP("68072EJY Muni","INSURANCE_STATUS")</f>
        <v>N</v>
      </c>
      <c r="D429" t="str">
        <f>_xll.BDP("68072EJY Muni","STATE_CODE")</f>
        <v>MS</v>
      </c>
      <c r="E429" t="str">
        <f>_xll.BDP("68072EJY Muni","COUNTY_LOCATION_ISSUER")</f>
        <v>DeSoto, MS</v>
      </c>
      <c r="F429">
        <f>_xll.BDP("68072EJY Muni","DUR_ADJ_MID")</f>
        <v>2.5232376649462016</v>
      </c>
      <c r="G429">
        <f>_xll.BDP("68072EJY Muni","SPREAD_AT_ISSUANCE_TO_WORST")</f>
        <v>0.59670907230371384</v>
      </c>
      <c r="H429" t="str">
        <f>_xll.BDP("68072EJY Muni","ISSUE_DT")</f>
        <v>4/1/2017</v>
      </c>
      <c r="I429" t="str">
        <f>_xll.BDS("68072EJY Muni","MUNI_PURPOSE_SCHED", "aggregate=y")</f>
        <v>WATER UTILITY IMPS. SEWER IMPS.</v>
      </c>
      <c r="J429">
        <f>_xll.BDP("68072EJY Muni","CPN")</f>
        <v>3.25</v>
      </c>
      <c r="K429" t="str">
        <f>_xll.BDP("68072EJY Muni","MATURITY")</f>
        <v>4/1/2025</v>
      </c>
      <c r="L429">
        <v>260000</v>
      </c>
      <c r="M429">
        <f>_xll.BDP("68072EJY Muni","YIELD_ON_ISSUE_DATE")</f>
        <v>2.15</v>
      </c>
      <c r="N429">
        <f>_xll.BDP("68072EJY Muni","YTW_SPREAD_TO_MATURITY_AT_ISSU")</f>
        <v>0.59670907230371384</v>
      </c>
      <c r="O429" t="str">
        <f>_xll.BDP("68072EJY Muni","BVAL_MID_YTM")</f>
        <v>#N/A Authorization</v>
      </c>
      <c r="P429" t="str">
        <f>_xll.BDP("68072EJY Muni","MUNI_TAX_PROV")</f>
        <v>FED BQ/ST TAX-EXEMPT</v>
      </c>
      <c r="Q429" t="str">
        <f>_xll.BDP("68072EJY Muni","MUNI_FED_TAX")</f>
        <v>N</v>
      </c>
      <c r="R429" t="str">
        <f>_xll.BDP("68072EJY Muni","MUNI_MSRB_VOLUME")</f>
        <v>#N/A N/A</v>
      </c>
      <c r="S429" t="str">
        <f>_xll.BDP("68072EJY Muni","BB_COMPOSITE")</f>
        <v>#N/A N/A</v>
      </c>
      <c r="T429">
        <f>_xll.BDP("68072EJY Muni","LQA_LIQUIDITY_SCORE")</f>
        <v>64</v>
      </c>
    </row>
    <row r="430" spans="1:20" x14ac:dyDescent="0.25">
      <c r="A430" t="str">
        <f>_xll.BDP("68072EJZ Muni","ID_CUSIP")</f>
        <v>68072EJZ3</v>
      </c>
      <c r="B430" t="s">
        <v>194</v>
      </c>
      <c r="C430" t="str">
        <f>_xll.BDP("68072EJZ Muni","INSURANCE_STATUS")</f>
        <v>N</v>
      </c>
      <c r="D430" t="str">
        <f>_xll.BDP("68072EJZ Muni","STATE_CODE")</f>
        <v>MS</v>
      </c>
      <c r="E430" t="str">
        <f>_xll.BDP("68072EJZ Muni","COUNTY_LOCATION_ISSUER")</f>
        <v>DeSoto, MS</v>
      </c>
      <c r="F430">
        <f>_xll.BDP("68072EJZ Muni","DUR_ADJ_MID")</f>
        <v>3.4305786017018609</v>
      </c>
      <c r="G430">
        <f>_xll.BDP("68072EJZ Muni","SPREAD_AT_ISSUANCE_TO_WORST")</f>
        <v>-3.2188121854817897</v>
      </c>
      <c r="H430" t="str">
        <f>_xll.BDP("68072EJZ Muni","ISSUE_DT")</f>
        <v>4/1/2017</v>
      </c>
      <c r="I430" t="str">
        <f>_xll.BDS("68072EJZ Muni","MUNI_PURPOSE_SCHED", "aggregate=y")</f>
        <v>WATER UTILITY IMPS. SEWER IMPS.</v>
      </c>
      <c r="J430">
        <f>_xll.BDP("68072EJZ Muni","CPN")</f>
        <v>3</v>
      </c>
      <c r="K430" t="str">
        <f>_xll.BDP("68072EJZ Muni","MATURITY")</f>
        <v>4/1/2026</v>
      </c>
      <c r="L430">
        <v>270000</v>
      </c>
      <c r="M430">
        <f>_xll.BDP("68072EJZ Muni","YIELD_ON_ISSUE_DATE")</f>
        <v>2.25</v>
      </c>
      <c r="N430">
        <f>_xll.BDP("68072EJZ Muni","YTW_SPREAD_TO_MATURITY_AT_ISSU")</f>
        <v>-3.2188121854817897</v>
      </c>
      <c r="O430" t="str">
        <f>_xll.BDP("68072EJZ Muni","BVAL_MID_YTM")</f>
        <v>#N/A Authorization</v>
      </c>
      <c r="P430" t="str">
        <f>_xll.BDP("68072EJZ Muni","MUNI_TAX_PROV")</f>
        <v>FED BQ/ST TAX-EXEMPT</v>
      </c>
      <c r="Q430" t="str">
        <f>_xll.BDP("68072EJZ Muni","MUNI_FED_TAX")</f>
        <v>N</v>
      </c>
      <c r="R430" t="str">
        <f>_xll.BDP("68072EJZ Muni","MUNI_MSRB_VOLUME")</f>
        <v>#N/A N/A</v>
      </c>
      <c r="S430" t="str">
        <f>_xll.BDP("68072EJZ Muni","BB_COMPOSITE")</f>
        <v>#N/A N/A</v>
      </c>
      <c r="T430">
        <f>_xll.BDP("68072EJZ Muni","LQA_LIQUIDITY_SCORE")</f>
        <v>58</v>
      </c>
    </row>
    <row r="431" spans="1:20" x14ac:dyDescent="0.25">
      <c r="A431" t="str">
        <f>_xll.BDP("68072EKA Muni","ID_CUSIP")</f>
        <v>68072EKA6</v>
      </c>
      <c r="B431" t="s">
        <v>194</v>
      </c>
      <c r="C431" t="str">
        <f>_xll.BDP("68072EKA Muni","INSURANCE_STATUS")</f>
        <v>N</v>
      </c>
      <c r="D431" t="str">
        <f>_xll.BDP("68072EKA Muni","STATE_CODE")</f>
        <v>MS</v>
      </c>
      <c r="E431" t="str">
        <f>_xll.BDP("68072EKA Muni","COUNTY_LOCATION_ISSUER")</f>
        <v>DeSoto, MS</v>
      </c>
      <c r="F431">
        <f>_xll.BDP("68072EKA Muni","DUR_ADJ_MID")</f>
        <v>4.3039244431703745</v>
      </c>
      <c r="G431">
        <f>_xll.BDP("68072EKA Muni","SPREAD_AT_ISSUANCE_TO_WORST")</f>
        <v>-9.1244454615580839</v>
      </c>
      <c r="H431" t="str">
        <f>_xll.BDP("68072EKA Muni","ISSUE_DT")</f>
        <v>4/1/2017</v>
      </c>
      <c r="I431" t="str">
        <f>_xll.BDS("68072EKA Muni","MUNI_PURPOSE_SCHED", "aggregate=y")</f>
        <v>WATER UTILITY IMPS. SEWER IMPS.</v>
      </c>
      <c r="J431">
        <f>_xll.BDP("68072EKA Muni","CPN")</f>
        <v>3</v>
      </c>
      <c r="K431" t="str">
        <f>_xll.BDP("68072EKA Muni","MATURITY")</f>
        <v>4/1/2027</v>
      </c>
      <c r="L431">
        <v>275000</v>
      </c>
      <c r="M431">
        <f>_xll.BDP("68072EKA Muni","YIELD_ON_ISSUE_DATE")</f>
        <v>2.3000000000000003</v>
      </c>
      <c r="N431">
        <f>_xll.BDP("68072EKA Muni","YTW_SPREAD_TO_MATURITY_AT_ISSU")</f>
        <v>-9.1244454615580839</v>
      </c>
      <c r="O431" t="str">
        <f>_xll.BDP("68072EKA Muni","BVAL_MID_YTM")</f>
        <v>#N/A Authorization</v>
      </c>
      <c r="P431" t="str">
        <f>_xll.BDP("68072EKA Muni","MUNI_TAX_PROV")</f>
        <v>FED BQ/ST TAX-EXEMPT</v>
      </c>
      <c r="Q431" t="str">
        <f>_xll.BDP("68072EKA Muni","MUNI_FED_TAX")</f>
        <v>N</v>
      </c>
      <c r="R431" t="str">
        <f>_xll.BDP("68072EKA Muni","MUNI_MSRB_VOLUME")</f>
        <v>#N/A N/A</v>
      </c>
      <c r="S431" t="str">
        <f>_xll.BDP("68072EKA Muni","BB_COMPOSITE")</f>
        <v>#N/A N/A</v>
      </c>
      <c r="T431">
        <f>_xll.BDP("68072EKA Muni","LQA_LIQUIDITY_SCORE")</f>
        <v>50</v>
      </c>
    </row>
    <row r="432" spans="1:20" x14ac:dyDescent="0.25">
      <c r="A432" t="str">
        <f>_xll.BDP("68072EKB Muni","ID_CUSIP")</f>
        <v>68072EKB4</v>
      </c>
      <c r="B432" t="s">
        <v>194</v>
      </c>
      <c r="C432" t="str">
        <f>_xll.BDP("68072EKB Muni","INSURANCE_STATUS")</f>
        <v>N</v>
      </c>
      <c r="D432" t="str">
        <f>_xll.BDP("68072EKB Muni","STATE_CODE")</f>
        <v>MS</v>
      </c>
      <c r="E432" t="str">
        <f>_xll.BDP("68072EKB Muni","COUNTY_LOCATION_ISSUER")</f>
        <v>DeSoto, MS</v>
      </c>
      <c r="F432">
        <f>_xll.BDP("68072EKB Muni","DUR_ADJ_MID")</f>
        <v>5.1514332607737527</v>
      </c>
      <c r="G432">
        <f>_xll.BDP("68072EKB Muni","SPREAD_AT_ISSUANCE_TO_WORST")</f>
        <v>-10.862273713383397</v>
      </c>
      <c r="H432" t="str">
        <f>_xll.BDP("68072EKB Muni","ISSUE_DT")</f>
        <v>4/1/2017</v>
      </c>
      <c r="I432" t="str">
        <f>_xll.BDS("68072EKB Muni","MUNI_PURPOSE_SCHED", "aggregate=y")</f>
        <v>WATER UTILITY IMPS. SEWER IMPS.</v>
      </c>
      <c r="J432">
        <f>_xll.BDP("68072EKB Muni","CPN")</f>
        <v>3</v>
      </c>
      <c r="K432" t="str">
        <f>_xll.BDP("68072EKB Muni","MATURITY")</f>
        <v>4/1/2028</v>
      </c>
      <c r="L432">
        <v>285000</v>
      </c>
      <c r="M432">
        <f>_xll.BDP("68072EKB Muni","YIELD_ON_ISSUE_DATE")</f>
        <v>2.4000000000000004</v>
      </c>
      <c r="N432">
        <f>_xll.BDP("68072EKB Muni","YTW_SPREAD_TO_MATURITY_AT_ISSU")</f>
        <v>-10.862273713383397</v>
      </c>
      <c r="O432" t="str">
        <f>_xll.BDP("68072EKB Muni","BVAL_MID_YTM")</f>
        <v>#N/A Authorization</v>
      </c>
      <c r="P432" t="str">
        <f>_xll.BDP("68072EKB Muni","MUNI_TAX_PROV")</f>
        <v>FED BQ/ST TAX-EXEMPT</v>
      </c>
      <c r="Q432" t="str">
        <f>_xll.BDP("68072EKB Muni","MUNI_FED_TAX")</f>
        <v>N</v>
      </c>
      <c r="R432" t="str">
        <f>_xll.BDP("68072EKB Muni","MUNI_MSRB_VOLUME")</f>
        <v>#N/A N/A</v>
      </c>
      <c r="S432" t="str">
        <f>_xll.BDP("68072EKB Muni","BB_COMPOSITE")</f>
        <v>#N/A N/A</v>
      </c>
      <c r="T432">
        <f>_xll.BDP("68072EKB Muni","LQA_LIQUIDITY_SCORE")</f>
        <v>44</v>
      </c>
    </row>
    <row r="433" spans="1:20" x14ac:dyDescent="0.25">
      <c r="A433" t="str">
        <f>_xll.BDP("68072EKC Muni","ID_CUSIP")</f>
        <v>68072EKC2</v>
      </c>
      <c r="B433" t="s">
        <v>194</v>
      </c>
      <c r="C433" t="str">
        <f>_xll.BDP("68072EKC Muni","INSURANCE_STATUS")</f>
        <v>N</v>
      </c>
      <c r="D433" t="str">
        <f>_xll.BDP("68072EKC Muni","STATE_CODE")</f>
        <v>MS</v>
      </c>
      <c r="E433" t="str">
        <f>_xll.BDP("68072EKC Muni","COUNTY_LOCATION_ISSUER")</f>
        <v>DeSoto, MS</v>
      </c>
      <c r="F433">
        <f>_xll.BDP("68072EKC Muni","DUR_ADJ_MID")</f>
        <v>5.9712559917442904</v>
      </c>
      <c r="G433">
        <f>_xll.BDP("68072EKC Muni","SPREAD_AT_ISSUANCE_TO_WORST")</f>
        <v>-11.021479338030726</v>
      </c>
      <c r="H433" t="str">
        <f>_xll.BDP("68072EKC Muni","ISSUE_DT")</f>
        <v>4/1/2017</v>
      </c>
      <c r="I433" t="str">
        <f>_xll.BDS("68072EKC Muni","MUNI_PURPOSE_SCHED", "aggregate=y")</f>
        <v>WATER UTILITY IMPS. SEWER IMPS.</v>
      </c>
      <c r="J433">
        <f>_xll.BDP("68072EKC Muni","CPN")</f>
        <v>3</v>
      </c>
      <c r="K433" t="str">
        <f>_xll.BDP("68072EKC Muni","MATURITY")</f>
        <v>4/1/2029</v>
      </c>
      <c r="L433">
        <v>300000</v>
      </c>
      <c r="M433">
        <f>_xll.BDP("68072EKC Muni","YIELD_ON_ISSUE_DATE")</f>
        <v>2.5</v>
      </c>
      <c r="N433">
        <f>_xll.BDP("68072EKC Muni","YTW_SPREAD_TO_MATURITY_AT_ISSU")</f>
        <v>-11.021479338030726</v>
      </c>
      <c r="O433" t="str">
        <f>_xll.BDP("68072EKC Muni","BVAL_MID_YTM")</f>
        <v>#N/A Authorization</v>
      </c>
      <c r="P433" t="str">
        <f>_xll.BDP("68072EKC Muni","MUNI_TAX_PROV")</f>
        <v>FED BQ/ST TAX-EXEMPT</v>
      </c>
      <c r="Q433" t="str">
        <f>_xll.BDP("68072EKC Muni","MUNI_FED_TAX")</f>
        <v>N</v>
      </c>
      <c r="R433" t="str">
        <f>_xll.BDP("68072EKC Muni","MUNI_MSRB_VOLUME")</f>
        <v>#N/A N/A</v>
      </c>
      <c r="S433" t="str">
        <f>_xll.BDP("68072EKC Muni","BB_COMPOSITE")</f>
        <v>#N/A N/A</v>
      </c>
      <c r="T433">
        <f>_xll.BDP("68072EKC Muni","LQA_LIQUIDITY_SCORE")</f>
        <v>37</v>
      </c>
    </row>
    <row r="434" spans="1:20" x14ac:dyDescent="0.25">
      <c r="A434" t="str">
        <f>_xll.BDP("652282CF Muni","ID_CUSIP")</f>
        <v>652282CF9</v>
      </c>
      <c r="B434" t="s">
        <v>195</v>
      </c>
      <c r="C434" t="str">
        <f>_xll.BDP("652282CF Muni","INSURANCE_STATUS")</f>
        <v>N</v>
      </c>
      <c r="D434" t="str">
        <f>_xll.BDP("652282CF Muni","STATE_CODE")</f>
        <v>VA</v>
      </c>
      <c r="E434" t="str">
        <f>_xll.BDP("652282CF Muni","COUNTY_LOCATION_ISSUER")</f>
        <v>Newport News, VA</v>
      </c>
      <c r="F434">
        <f>_xll.BDP("652282CF Muni","DUR_ADJ_MID")</f>
        <v>0.93449618747005203</v>
      </c>
      <c r="G434">
        <f>_xll.BDP("652282CF Muni","SPREAD_AT_ISSUANCE_TO_WORST")</f>
        <v>-2.9364494857753387</v>
      </c>
      <c r="H434" t="str">
        <f>_xll.BDP("652282CF Muni","ISSUE_DT")</f>
        <v>5/31/2017</v>
      </c>
      <c r="I434" t="str">
        <f>_xll.BDS("652282CF Muni","MUNI_PURPOSE_SCHED", "aggregate=y")</f>
        <v>WATER UTILITY IMPS.</v>
      </c>
      <c r="J434">
        <f>_xll.BDP("652282CF Muni","CPN")</f>
        <v>5</v>
      </c>
      <c r="K434" t="str">
        <f>_xll.BDP("652282CF Muni","MATURITY")</f>
        <v>7/15/2023</v>
      </c>
      <c r="L434">
        <v>1455000</v>
      </c>
      <c r="M434">
        <f>_xll.BDP("652282CF Muni","YIELD_ON_ISSUE_DATE")</f>
        <v>1.49</v>
      </c>
      <c r="N434">
        <f>_xll.BDP("652282CF Muni","YTW_SPREAD_TO_MATURITY_AT_ISSU")</f>
        <v>-2.9364494857753387</v>
      </c>
      <c r="O434" t="str">
        <f>_xll.BDP("652282CF Muni","BVAL_MID_YTM")</f>
        <v>#N/A Authorization</v>
      </c>
      <c r="P434" t="str">
        <f>_xll.BDP("652282CF Muni","MUNI_TAX_PROV")</f>
        <v>FED &amp; ST TAX-EXEMPT</v>
      </c>
      <c r="Q434" t="str">
        <f>_xll.BDP("652282CF Muni","MUNI_FED_TAX")</f>
        <v>N</v>
      </c>
      <c r="R434">
        <f>_xll.BDP("652282CF Muni","MUNI_MSRB_VOLUME")</f>
        <v>10000</v>
      </c>
      <c r="S434" t="str">
        <f>_xll.BDP("652282CF Muni","BB_COMPOSITE")</f>
        <v>AA+</v>
      </c>
      <c r="T434">
        <f>_xll.BDP("652282CF Muni","LQA_LIQUIDITY_SCORE")</f>
        <v>91</v>
      </c>
    </row>
    <row r="435" spans="1:20" x14ac:dyDescent="0.25">
      <c r="A435" t="str">
        <f>_xll.BDP("652282CG Muni","ID_CUSIP")</f>
        <v>652282CG7</v>
      </c>
      <c r="B435" t="s">
        <v>195</v>
      </c>
      <c r="C435" t="str">
        <f>_xll.BDP("652282CG Muni","INSURANCE_STATUS")</f>
        <v>N</v>
      </c>
      <c r="D435" t="str">
        <f>_xll.BDP("652282CG Muni","STATE_CODE")</f>
        <v>VA</v>
      </c>
      <c r="E435" t="str">
        <f>_xll.BDP("652282CG Muni","COUNTY_LOCATION_ISSUER")</f>
        <v>Newport News, VA</v>
      </c>
      <c r="F435">
        <f>_xll.BDP("652282CG Muni","DUR_ADJ_MID")</f>
        <v>1.8683592054959124</v>
      </c>
      <c r="G435">
        <f>_xll.BDP("652282CG Muni","SPREAD_AT_ISSUANCE_TO_WORST")</f>
        <v>-3.2847959582871011</v>
      </c>
      <c r="H435" t="str">
        <f>_xll.BDP("652282CG Muni","ISSUE_DT")</f>
        <v>5/31/2017</v>
      </c>
      <c r="I435" t="str">
        <f>_xll.BDS("652282CG Muni","MUNI_PURPOSE_SCHED", "aggregate=y")</f>
        <v>WATER UTILITY IMPS.</v>
      </c>
      <c r="J435">
        <f>_xll.BDP("652282CG Muni","CPN")</f>
        <v>5</v>
      </c>
      <c r="K435" t="str">
        <f>_xll.BDP("652282CG Muni","MATURITY")</f>
        <v>7/15/2024</v>
      </c>
      <c r="L435">
        <v>1455000</v>
      </c>
      <c r="M435">
        <f>_xll.BDP("652282CG Muni","YIELD_ON_ISSUE_DATE")</f>
        <v>1.6500000000000001</v>
      </c>
      <c r="N435">
        <f>_xll.BDP("652282CG Muni","YTW_SPREAD_TO_MATURITY_AT_ISSU")</f>
        <v>-3.2847959582871011</v>
      </c>
      <c r="O435" t="str">
        <f>_xll.BDP("652282CG Muni","BVAL_MID_YTM")</f>
        <v>#N/A Authorization</v>
      </c>
      <c r="P435" t="str">
        <f>_xll.BDP("652282CG Muni","MUNI_TAX_PROV")</f>
        <v>FED &amp; ST TAX-EXEMPT</v>
      </c>
      <c r="Q435" t="str">
        <f>_xll.BDP("652282CG Muni","MUNI_FED_TAX")</f>
        <v>N</v>
      </c>
      <c r="R435" t="str">
        <f>_xll.BDP("652282CG Muni","MUNI_MSRB_VOLUME")</f>
        <v>#N/A N/A</v>
      </c>
      <c r="S435" t="str">
        <f>_xll.BDP("652282CG Muni","BB_COMPOSITE")</f>
        <v>AA+</v>
      </c>
      <c r="T435">
        <f>_xll.BDP("652282CG Muni","LQA_LIQUIDITY_SCORE")</f>
        <v>84</v>
      </c>
    </row>
    <row r="436" spans="1:20" x14ac:dyDescent="0.25">
      <c r="A436" t="str">
        <f>_xll.BDP("652282CH Muni","ID_CUSIP")</f>
        <v>652282CH5</v>
      </c>
      <c r="B436" t="s">
        <v>195</v>
      </c>
      <c r="C436" t="str">
        <f>_xll.BDP("652282CH Muni","INSURANCE_STATUS")</f>
        <v>N</v>
      </c>
      <c r="D436" t="str">
        <f>_xll.BDP("652282CH Muni","STATE_CODE")</f>
        <v>VA</v>
      </c>
      <c r="E436" t="str">
        <f>_xll.BDP("652282CH Muni","COUNTY_LOCATION_ISSUER")</f>
        <v>Newport News, VA</v>
      </c>
      <c r="F436">
        <f>_xll.BDP("652282CH Muni","DUR_ADJ_MID")</f>
        <v>2.7614972597064478</v>
      </c>
      <c r="G436">
        <f>_xll.BDP("652282CH Muni","SPREAD_AT_ISSUANCE_TO_WORST")</f>
        <v>-2.2460256044363192</v>
      </c>
      <c r="H436" t="str">
        <f>_xll.BDP("652282CH Muni","ISSUE_DT")</f>
        <v>5/31/2017</v>
      </c>
      <c r="I436" t="str">
        <f>_xll.BDS("652282CH Muni","MUNI_PURPOSE_SCHED", "aggregate=y")</f>
        <v>WATER UTILITY IMPS.</v>
      </c>
      <c r="J436">
        <f>_xll.BDP("652282CH Muni","CPN")</f>
        <v>5</v>
      </c>
      <c r="K436" t="str">
        <f>_xll.BDP("652282CH Muni","MATURITY")</f>
        <v>7/15/2025</v>
      </c>
      <c r="L436">
        <v>1455000</v>
      </c>
      <c r="M436">
        <f>_xll.BDP("652282CH Muni","YIELD_ON_ISSUE_DATE")</f>
        <v>1.82</v>
      </c>
      <c r="N436">
        <f>_xll.BDP("652282CH Muni","YTW_SPREAD_TO_MATURITY_AT_ISSU")</f>
        <v>-2.2460256044363192</v>
      </c>
      <c r="O436" t="str">
        <f>_xll.BDP("652282CH Muni","BVAL_MID_YTM")</f>
        <v>#N/A Authorization</v>
      </c>
      <c r="P436" t="str">
        <f>_xll.BDP("652282CH Muni","MUNI_TAX_PROV")</f>
        <v>FED &amp; ST TAX-EXEMPT</v>
      </c>
      <c r="Q436" t="str">
        <f>_xll.BDP("652282CH Muni","MUNI_FED_TAX")</f>
        <v>N</v>
      </c>
      <c r="R436" t="str">
        <f>_xll.BDP("652282CH Muni","MUNI_MSRB_VOLUME")</f>
        <v>#N/A N/A</v>
      </c>
      <c r="S436" t="str">
        <f>_xll.BDP("652282CH Muni","BB_COMPOSITE")</f>
        <v>AA+</v>
      </c>
      <c r="T436">
        <f>_xll.BDP("652282CH Muni","LQA_LIQUIDITY_SCORE")</f>
        <v>76</v>
      </c>
    </row>
    <row r="437" spans="1:20" x14ac:dyDescent="0.25">
      <c r="A437" t="str">
        <f>_xll.BDP("652282CJ Muni","ID_CUSIP")</f>
        <v>652282CJ1</v>
      </c>
      <c r="B437" t="s">
        <v>195</v>
      </c>
      <c r="C437" t="str">
        <f>_xll.BDP("652282CJ Muni","INSURANCE_STATUS")</f>
        <v>N</v>
      </c>
      <c r="D437" t="str">
        <f>_xll.BDP("652282CJ Muni","STATE_CODE")</f>
        <v>VA</v>
      </c>
      <c r="E437" t="str">
        <f>_xll.BDP("652282CJ Muni","COUNTY_LOCATION_ISSUER")</f>
        <v>Newport News, VA</v>
      </c>
      <c r="F437">
        <f>_xll.BDP("652282CJ Muni","DUR_ADJ_MID")</f>
        <v>3.6171142316863389</v>
      </c>
      <c r="G437">
        <f>_xll.BDP("652282CJ Muni","SPREAD_AT_ISSUANCE_TO_WORST")</f>
        <v>1.6207488911758716</v>
      </c>
      <c r="H437" t="str">
        <f>_xll.BDP("652282CJ Muni","ISSUE_DT")</f>
        <v>5/31/2017</v>
      </c>
      <c r="I437" t="str">
        <f>_xll.BDS("652282CJ Muni","MUNI_PURPOSE_SCHED", "aggregate=y")</f>
        <v>WATER UTILITY IMPS.</v>
      </c>
      <c r="J437">
        <f>_xll.BDP("652282CJ Muni","CPN")</f>
        <v>5</v>
      </c>
      <c r="K437" t="str">
        <f>_xll.BDP("652282CJ Muni","MATURITY")</f>
        <v>7/15/2026</v>
      </c>
      <c r="L437">
        <v>1455000</v>
      </c>
      <c r="M437">
        <f>_xll.BDP("652282CJ Muni","YIELD_ON_ISSUE_DATE")</f>
        <v>2</v>
      </c>
      <c r="N437">
        <f>_xll.BDP("652282CJ Muni","YTW_SPREAD_TO_MATURITY_AT_ISSU")</f>
        <v>1.6207488911758716</v>
      </c>
      <c r="O437" t="str">
        <f>_xll.BDP("652282CJ Muni","BVAL_MID_YTM")</f>
        <v>#N/A Authorization</v>
      </c>
      <c r="P437" t="str">
        <f>_xll.BDP("652282CJ Muni","MUNI_TAX_PROV")</f>
        <v>FED &amp; ST TAX-EXEMPT</v>
      </c>
      <c r="Q437" t="str">
        <f>_xll.BDP("652282CJ Muni","MUNI_FED_TAX")</f>
        <v>N</v>
      </c>
      <c r="R437">
        <f>_xll.BDP("652282CJ Muni","MUNI_MSRB_VOLUME")</f>
        <v>50000</v>
      </c>
      <c r="S437" t="str">
        <f>_xll.BDP("652282CJ Muni","BB_COMPOSITE")</f>
        <v>AA+</v>
      </c>
      <c r="T437">
        <f>_xll.BDP("652282CJ Muni","LQA_LIQUIDITY_SCORE")</f>
        <v>69</v>
      </c>
    </row>
    <row r="438" spans="1:20" x14ac:dyDescent="0.25">
      <c r="A438" t="str">
        <f>_xll.BDP("654710RG Muni","ID_CUSIP")</f>
        <v>654710RG9</v>
      </c>
      <c r="B438" t="s">
        <v>196</v>
      </c>
      <c r="C438" t="str">
        <f>_xll.BDP("654710RG Muni","INSURANCE_STATUS")</f>
        <v>N</v>
      </c>
      <c r="D438" t="str">
        <f>_xll.BDP("654710RG Muni","STATE_CODE")</f>
        <v>NY</v>
      </c>
      <c r="E438" t="str">
        <f>_xll.BDP("654710RG Muni","COUNTY_LOCATION_ISSUER")</f>
        <v>Schenectady, NY</v>
      </c>
      <c r="F438">
        <f>_xll.BDP("654710RG Muni","DUR_ADJ_MID")</f>
        <v>2.4065395600122237</v>
      </c>
      <c r="G438">
        <f>_xll.BDP("654710RG Muni","SPREAD_AT_ISSUANCE_TO_WORST")</f>
        <v>16.802919443810225</v>
      </c>
      <c r="H438" t="str">
        <f>_xll.BDP("654710RG Muni","ISSUE_DT")</f>
        <v>6/27/2017</v>
      </c>
      <c r="I438" t="str">
        <f>_xll.BDS("654710RG Muni","MUNI_PURPOSE_SCHED", "aggregate=y")</f>
        <v>SEWER IMPS. WATER UTILITY IMPS. PUBLIC IMPS.</v>
      </c>
      <c r="J438">
        <f>_xll.BDP("654710RG Muni","CPN")</f>
        <v>3</v>
      </c>
      <c r="K438" t="str">
        <f>_xll.BDP("654710RG Muni","MATURITY")</f>
        <v>2/1/2025</v>
      </c>
      <c r="L438">
        <v>455000</v>
      </c>
      <c r="M438">
        <f>_xll.BDP("654710RG Muni","YIELD_ON_ISSUE_DATE")</f>
        <v>1.75</v>
      </c>
      <c r="N438">
        <f>_xll.BDP("654710RG Muni","YTW_SPREAD_TO_MATURITY_AT_ISSU")</f>
        <v>16.802919443810225</v>
      </c>
      <c r="O438" t="str">
        <f>_xll.BDP("654710RG Muni","BVAL_MID_YTM")</f>
        <v>#N/A Authorization</v>
      </c>
      <c r="P438" t="str">
        <f>_xll.BDP("654710RG Muni","MUNI_TAX_PROV")</f>
        <v>FED &amp; ST TAX-EXEMPT</v>
      </c>
      <c r="Q438" t="str">
        <f>_xll.BDP("654710RG Muni","MUNI_FED_TAX")</f>
        <v>N</v>
      </c>
      <c r="R438">
        <f>_xll.BDP("654710RG Muni","MUNI_MSRB_VOLUME")</f>
        <v>90000</v>
      </c>
      <c r="S438" t="str">
        <f>_xll.BDP("654710RG Muni","BB_COMPOSITE")</f>
        <v>#N/A N/A</v>
      </c>
      <c r="T438">
        <f>_xll.BDP("654710RG Muni","LQA_LIQUIDITY_SCORE")</f>
        <v>65</v>
      </c>
    </row>
    <row r="439" spans="1:20" x14ac:dyDescent="0.25">
      <c r="A439" t="str">
        <f>_xll.BDP("655482AE Muni","ID_CUSIP")</f>
        <v>655482AE7</v>
      </c>
      <c r="B439" t="s">
        <v>197</v>
      </c>
      <c r="C439" t="str">
        <f>_xll.BDP("655482AE Muni","INSURANCE_STATUS")</f>
        <v>N</v>
      </c>
      <c r="D439" t="str">
        <f>_xll.BDP("655482AE Muni","STATE_CODE")</f>
        <v>MO</v>
      </c>
      <c r="E439" t="str">
        <f>_xll.BDP("655482AE Muni","COUNTY_LOCATION_ISSUER")</f>
        <v>#N/A Field Not Applicable</v>
      </c>
      <c r="F439">
        <f>_xll.BDP("655482AE Muni","DUR_ADJ_MID")</f>
        <v>0.32917563573480696</v>
      </c>
      <c r="G439">
        <f>_xll.BDP("655482AE Muni","SPREAD_AT_ISSUANCE_TO_WORST")</f>
        <v>117.20775164855226</v>
      </c>
      <c r="H439" t="str">
        <f>_xll.BDP("655482AE Muni","ISSUE_DT")</f>
        <v>3/22/2017</v>
      </c>
      <c r="I439" t="str">
        <f>_xll.BDS("655482AE Muni","MUNI_PURPOSE_SCHED", "aggregate=y")</f>
        <v>WATER UTILITY IMPS. CURRENT REFUNDING</v>
      </c>
      <c r="J439">
        <f>_xll.BDP("655482AE Muni","CPN")</f>
        <v>3</v>
      </c>
      <c r="K439" t="str">
        <f>_xll.BDP("655482AE Muni","MATURITY")</f>
        <v>12/1/2022</v>
      </c>
      <c r="L439">
        <v>70000</v>
      </c>
      <c r="M439">
        <f>_xll.BDP("655482AE Muni","YIELD_ON_ISSUE_DATE")</f>
        <v>2.9990000000000001</v>
      </c>
      <c r="N439">
        <f>_xll.BDP("655482AE Muni","YTW_SPREAD_TO_MATURITY_AT_ISSU")</f>
        <v>117.20775164855226</v>
      </c>
      <c r="O439" t="str">
        <f>_xll.BDP("655482AE Muni","BVAL_MID_YTM")</f>
        <v>#N/A Authorization</v>
      </c>
      <c r="P439" t="str">
        <f>_xll.BDP("655482AE Muni","MUNI_TAX_PROV")</f>
        <v>FED BQ/ST TAX-EXEMPT</v>
      </c>
      <c r="Q439" t="str">
        <f>_xll.BDP("655482AE Muni","MUNI_FED_TAX")</f>
        <v>N</v>
      </c>
      <c r="R439" t="str">
        <f>_xll.BDP("655482AE Muni","MUNI_MSRB_VOLUME")</f>
        <v>#N/A N/A</v>
      </c>
      <c r="S439" t="str">
        <f>_xll.BDP("655482AE Muni","BB_COMPOSITE")</f>
        <v>#N/A N/A</v>
      </c>
      <c r="T439">
        <f>_xll.BDP("655482AE Muni","LQA_LIQUIDITY_SCORE")</f>
        <v>98</v>
      </c>
    </row>
    <row r="440" spans="1:20" x14ac:dyDescent="0.25">
      <c r="A440" t="str">
        <f>_xll.BDP("82621CMT Muni","ID_CUSIP")</f>
        <v>82621CMT4</v>
      </c>
      <c r="B440" t="s">
        <v>198</v>
      </c>
      <c r="C440" t="str">
        <f>_xll.BDP("82621CMT Muni","INSURANCE_STATUS")</f>
        <v>N</v>
      </c>
      <c r="D440" t="str">
        <f>_xll.BDP("82621CMT Muni","STATE_CODE")</f>
        <v>TX</v>
      </c>
      <c r="E440" t="str">
        <f>_xll.BDP("82621CMT Muni","COUNTY_LOCATION_ISSUER")</f>
        <v>Fort Bend, TX</v>
      </c>
      <c r="F440">
        <f>_xll.BDP("82621CMT Muni","DUR_ADJ_MID")</f>
        <v>0.56844101123993496</v>
      </c>
      <c r="G440">
        <f>_xll.BDP("82621CMT Muni","SPREAD_AT_ISSUANCE_TO_WORST")</f>
        <v>107.96850490682075</v>
      </c>
      <c r="H440" t="str">
        <f>_xll.BDP("82621CMT Muni","ISSUE_DT")</f>
        <v>6/1/2017</v>
      </c>
      <c r="I440" t="str">
        <f>_xll.BDS("82621CMT Muni","MUNI_PURPOSE_SCHED", "aggregate=y")</f>
        <v>WATER UTILITY IMPS. SEWER IMPS.</v>
      </c>
      <c r="J440">
        <f>_xll.BDP("82621CMT Muni","CPN")</f>
        <v>2.6</v>
      </c>
      <c r="K440" t="str">
        <f>_xll.BDP("82621CMT Muni","MATURITY")</f>
        <v>3/1/2023</v>
      </c>
      <c r="L440">
        <v>75000</v>
      </c>
      <c r="M440">
        <f>_xll.BDP("82621CMT Muni","YIELD_ON_ISSUE_DATE")</f>
        <v>2.6</v>
      </c>
      <c r="N440">
        <f>_xll.BDP("82621CMT Muni","YTW_SPREAD_TO_MATURITY_AT_ISSU")</f>
        <v>107.96850490682075</v>
      </c>
      <c r="O440" t="str">
        <f>_xll.BDP("82621CMT Muni","BVAL_MID_YTM")</f>
        <v>#N/A Authorization</v>
      </c>
      <c r="P440" t="str">
        <f>_xll.BDP("82621CMT Muni","MUNI_TAX_PROV")</f>
        <v>FED TAX-EXEMPT</v>
      </c>
      <c r="Q440" t="str">
        <f>_xll.BDP("82621CMT Muni","MUNI_FED_TAX")</f>
        <v>N</v>
      </c>
      <c r="R440" t="str">
        <f>_xll.BDP("82621CMT Muni","MUNI_MSRB_VOLUME")</f>
        <v>#N/A N/A</v>
      </c>
      <c r="S440" t="str">
        <f>_xll.BDP("82621CMT Muni","BB_COMPOSITE")</f>
        <v>#N/A N/A</v>
      </c>
      <c r="T440">
        <f>_xll.BDP("82621CMT Muni","LQA_LIQUIDITY_SCORE")</f>
        <v>14</v>
      </c>
    </row>
    <row r="441" spans="1:20" x14ac:dyDescent="0.25">
      <c r="A441" t="str">
        <f>_xll.BDP("82621CMU Muni","ID_CUSIP")</f>
        <v>82621CMU1</v>
      </c>
      <c r="B441" t="s">
        <v>198</v>
      </c>
      <c r="C441" t="str">
        <f>_xll.BDP("82621CMU Muni","INSURANCE_STATUS")</f>
        <v>N</v>
      </c>
      <c r="D441" t="str">
        <f>_xll.BDP("82621CMU Muni","STATE_CODE")</f>
        <v>TX</v>
      </c>
      <c r="E441" t="str">
        <f>_xll.BDP("82621CMU Muni","COUNTY_LOCATION_ISSUER")</f>
        <v>Fort Bend, TX</v>
      </c>
      <c r="F441">
        <f>_xll.BDP("82621CMU Muni","DUR_ADJ_MID")</f>
        <v>1.5204180993055361</v>
      </c>
      <c r="G441">
        <f>_xll.BDP("82621CMU Muni","SPREAD_AT_ISSUANCE_TO_WORST")</f>
        <v>111.6651360731173</v>
      </c>
      <c r="H441" t="str">
        <f>_xll.BDP("82621CMU Muni","ISSUE_DT")</f>
        <v>6/1/2017</v>
      </c>
      <c r="I441" t="str">
        <f>_xll.BDS("82621CMU Muni","MUNI_PURPOSE_SCHED", "aggregate=y")</f>
        <v>WATER UTILITY IMPS. SEWER IMPS.</v>
      </c>
      <c r="J441">
        <f>_xll.BDP("82621CMU Muni","CPN")</f>
        <v>2.8</v>
      </c>
      <c r="K441" t="str">
        <f>_xll.BDP("82621CMU Muni","MATURITY")</f>
        <v>3/1/2024</v>
      </c>
      <c r="L441">
        <v>80000</v>
      </c>
      <c r="M441">
        <f>_xll.BDP("82621CMU Muni","YIELD_ON_ISSUE_DATE")</f>
        <v>2.8000000000000003</v>
      </c>
      <c r="N441">
        <f>_xll.BDP("82621CMU Muni","YTW_SPREAD_TO_MATURITY_AT_ISSU")</f>
        <v>111.6651360731173</v>
      </c>
      <c r="O441" t="str">
        <f>_xll.BDP("82621CMU Muni","BVAL_MID_YTM")</f>
        <v>#N/A Authorization</v>
      </c>
      <c r="P441" t="str">
        <f>_xll.BDP("82621CMU Muni","MUNI_TAX_PROV")</f>
        <v>FED TAX-EXEMPT</v>
      </c>
      <c r="Q441" t="str">
        <f>_xll.BDP("82621CMU Muni","MUNI_FED_TAX")</f>
        <v>N</v>
      </c>
      <c r="R441" t="str">
        <f>_xll.BDP("82621CMU Muni","MUNI_MSRB_VOLUME")</f>
        <v>#N/A N/A</v>
      </c>
      <c r="S441" t="str">
        <f>_xll.BDP("82621CMU Muni","BB_COMPOSITE")</f>
        <v>#N/A N/A</v>
      </c>
      <c r="T441">
        <f>_xll.BDP("82621CMU Muni","LQA_LIQUIDITY_SCORE")</f>
        <v>56</v>
      </c>
    </row>
    <row r="442" spans="1:20" x14ac:dyDescent="0.25">
      <c r="A442" t="str">
        <f>_xll.BDP("82621CMV Muni","ID_CUSIP")</f>
        <v>82621CMV9</v>
      </c>
      <c r="B442" t="s">
        <v>198</v>
      </c>
      <c r="C442" t="str">
        <f>_xll.BDP("82621CMV Muni","INSURANCE_STATUS")</f>
        <v>N</v>
      </c>
      <c r="D442" t="str">
        <f>_xll.BDP("82621CMV Muni","STATE_CODE")</f>
        <v>TX</v>
      </c>
      <c r="E442" t="str">
        <f>_xll.BDP("82621CMV Muni","COUNTY_LOCATION_ISSUER")</f>
        <v>Fort Bend, TX</v>
      </c>
      <c r="F442">
        <f>_xll.BDP("82621CMV Muni","DUR_ADJ_MID")</f>
        <v>2.4396427657522937</v>
      </c>
      <c r="G442">
        <f>_xll.BDP("82621CMV Muni","SPREAD_AT_ISSUANCE_TO_WORST")</f>
        <v>115.42178942765635</v>
      </c>
      <c r="H442" t="str">
        <f>_xll.BDP("82621CMV Muni","ISSUE_DT")</f>
        <v>6/1/2017</v>
      </c>
      <c r="I442" t="str">
        <f>_xll.BDS("82621CMV Muni","MUNI_PURPOSE_SCHED", "aggregate=y")</f>
        <v>WATER UTILITY IMPS. SEWER IMPS.</v>
      </c>
      <c r="J442">
        <f>_xll.BDP("82621CMV Muni","CPN")</f>
        <v>3</v>
      </c>
      <c r="K442" t="str">
        <f>_xll.BDP("82621CMV Muni","MATURITY")</f>
        <v>3/1/2025</v>
      </c>
      <c r="L442">
        <v>85000</v>
      </c>
      <c r="M442">
        <f>_xll.BDP("82621CMV Muni","YIELD_ON_ISSUE_DATE")</f>
        <v>3</v>
      </c>
      <c r="N442">
        <f>_xll.BDP("82621CMV Muni","YTW_SPREAD_TO_MATURITY_AT_ISSU")</f>
        <v>115.42178942765635</v>
      </c>
      <c r="O442" t="str">
        <f>_xll.BDP("82621CMV Muni","BVAL_MID_YTM")</f>
        <v>#N/A Authorization</v>
      </c>
      <c r="P442" t="str">
        <f>_xll.BDP("82621CMV Muni","MUNI_TAX_PROV")</f>
        <v>FED TAX-EXEMPT</v>
      </c>
      <c r="Q442" t="str">
        <f>_xll.BDP("82621CMV Muni","MUNI_FED_TAX")</f>
        <v>N</v>
      </c>
      <c r="R442" t="str">
        <f>_xll.BDP("82621CMV Muni","MUNI_MSRB_VOLUME")</f>
        <v>#N/A N/A</v>
      </c>
      <c r="S442" t="str">
        <f>_xll.BDP("82621CMV Muni","BB_COMPOSITE")</f>
        <v>#N/A N/A</v>
      </c>
      <c r="T442">
        <f>_xll.BDP("82621CMV Muni","LQA_LIQUIDITY_SCORE")</f>
        <v>42</v>
      </c>
    </row>
    <row r="443" spans="1:20" x14ac:dyDescent="0.25">
      <c r="A443" t="str">
        <f>_xll.BDP("82621NCE Muni","ID_CUSIP")</f>
        <v>82621NCE4</v>
      </c>
      <c r="B443" t="s">
        <v>199</v>
      </c>
      <c r="C443" t="str">
        <f>_xll.BDP("82621NCE Muni","INSURANCE_STATUS")</f>
        <v>Y</v>
      </c>
      <c r="D443" t="str">
        <f>_xll.BDP("82621NCE Muni","STATE_CODE")</f>
        <v>TX</v>
      </c>
      <c r="E443" t="str">
        <f>_xll.BDP("82621NCE Muni","COUNTY_LOCATION_ISSUER")</f>
        <v>Travis, TX</v>
      </c>
      <c r="F443">
        <f>_xll.BDP("82621NCE Muni","DUR_ADJ_MID")</f>
        <v>8.0455791277088351E-2</v>
      </c>
      <c r="G443">
        <f>_xll.BDP("82621NCE Muni","SPREAD_AT_ISSUANCE_TO_WORST")</f>
        <v>62.111519840827526</v>
      </c>
      <c r="H443" t="str">
        <f>_xll.BDP("82621NCE Muni","ISSUE_DT")</f>
        <v>5/17/2017</v>
      </c>
      <c r="I443" t="str">
        <f>_xll.BDS("82621NCE Muni","MUNI_PURPOSE_SCHED", "aggregate=y")</f>
        <v>WATER UTILITY IMPS. SEWER IMPS.</v>
      </c>
      <c r="J443">
        <f>_xll.BDP("82621NCE Muni","CPN")</f>
        <v>4</v>
      </c>
      <c r="K443" t="str">
        <f>_xll.BDP("82621NCE Muni","MATURITY")</f>
        <v>9/1/2022</v>
      </c>
      <c r="L443">
        <v>250000</v>
      </c>
      <c r="M443">
        <f>_xll.BDP("82621NCE Muni","YIELD_ON_ISSUE_DATE")</f>
        <v>2</v>
      </c>
      <c r="N443">
        <f>_xll.BDP("82621NCE Muni","YTW_SPREAD_TO_MATURITY_AT_ISSU")</f>
        <v>62.111519840827526</v>
      </c>
      <c r="O443" t="str">
        <f>_xll.BDP("82621NCE Muni","BVAL_MID_YTM")</f>
        <v>#N/A Authorization</v>
      </c>
      <c r="P443" t="str">
        <f>_xll.BDP("82621NCE Muni","MUNI_TAX_PROV")</f>
        <v>FED BQ</v>
      </c>
      <c r="Q443" t="str">
        <f>_xll.BDP("82621NCE Muni","MUNI_FED_TAX")</f>
        <v>N</v>
      </c>
      <c r="R443" t="str">
        <f>_xll.BDP("82621NCE Muni","MUNI_MSRB_VOLUME")</f>
        <v>#N/A N/A</v>
      </c>
      <c r="S443" t="str">
        <f>_xll.BDP("82621NCE Muni","BB_COMPOSITE")</f>
        <v>#N/A N/A</v>
      </c>
      <c r="T443">
        <f>_xll.BDP("82621NCE Muni","LQA_LIQUIDITY_SCORE")</f>
        <v>99</v>
      </c>
    </row>
    <row r="444" spans="1:20" x14ac:dyDescent="0.25">
      <c r="A444" t="str">
        <f>_xll.BDP("82621NCF Muni","ID_CUSIP")</f>
        <v>82621NCF1</v>
      </c>
      <c r="B444" t="s">
        <v>199</v>
      </c>
      <c r="C444" t="str">
        <f>_xll.BDP("82621NCF Muni","INSURANCE_STATUS")</f>
        <v>Y</v>
      </c>
      <c r="D444" t="str">
        <f>_xll.BDP("82621NCF Muni","STATE_CODE")</f>
        <v>TX</v>
      </c>
      <c r="E444" t="str">
        <f>_xll.BDP("82621NCF Muni","COUNTY_LOCATION_ISSUER")</f>
        <v>Travis, TX</v>
      </c>
      <c r="F444">
        <f>_xll.BDP("82621NCF Muni","DUR_ADJ_MID")</f>
        <v>1.0544643035597456</v>
      </c>
      <c r="G444">
        <f>_xll.BDP("82621NCF Muni","SPREAD_AT_ISSUANCE_TO_WORST")</f>
        <v>55.830441933080508</v>
      </c>
      <c r="H444" t="str">
        <f>_xll.BDP("82621NCF Muni","ISSUE_DT")</f>
        <v>5/17/2017</v>
      </c>
      <c r="I444" t="str">
        <f>_xll.BDS("82621NCF Muni","MUNI_PURPOSE_SCHED", "aggregate=y")</f>
        <v>WATER UTILITY IMPS. SEWER IMPS.</v>
      </c>
      <c r="J444">
        <f>_xll.BDP("82621NCF Muni","CPN")</f>
        <v>2</v>
      </c>
      <c r="K444" t="str">
        <f>_xll.BDP("82621NCF Muni","MATURITY")</f>
        <v>9/1/2023</v>
      </c>
      <c r="L444">
        <v>275000</v>
      </c>
      <c r="M444">
        <f>_xll.BDP("82621NCF Muni","YIELD_ON_ISSUE_DATE")</f>
        <v>2.1</v>
      </c>
      <c r="N444">
        <f>_xll.BDP("82621NCF Muni","YTW_SPREAD_TO_MATURITY_AT_ISSU")</f>
        <v>55.830441933080508</v>
      </c>
      <c r="O444" t="str">
        <f>_xll.BDP("82621NCF Muni","BVAL_MID_YTM")</f>
        <v>#N/A Authorization</v>
      </c>
      <c r="P444" t="str">
        <f>_xll.BDP("82621NCF Muni","MUNI_TAX_PROV")</f>
        <v>FED BQ</v>
      </c>
      <c r="Q444" t="str">
        <f>_xll.BDP("82621NCF Muni","MUNI_FED_TAX")</f>
        <v>N</v>
      </c>
      <c r="R444" t="str">
        <f>_xll.BDP("82621NCF Muni","MUNI_MSRB_VOLUME")</f>
        <v>#N/A N/A</v>
      </c>
      <c r="S444" t="str">
        <f>_xll.BDP("82621NCF Muni","BB_COMPOSITE")</f>
        <v>#N/A N/A</v>
      </c>
      <c r="T444">
        <f>_xll.BDP("82621NCF Muni","LQA_LIQUIDITY_SCORE")</f>
        <v>85</v>
      </c>
    </row>
    <row r="445" spans="1:20" x14ac:dyDescent="0.25">
      <c r="A445" t="str">
        <f>_xll.BDP("82621RBD Muni","ID_CUSIP")</f>
        <v>82621RBD8</v>
      </c>
      <c r="B445" t="s">
        <v>200</v>
      </c>
      <c r="C445" t="str">
        <f>_xll.BDP("82621RBD Muni","INSURANCE_STATUS")</f>
        <v>N</v>
      </c>
      <c r="D445" t="str">
        <f>_xll.BDP("82621RBD Muni","STATE_CODE")</f>
        <v>TX</v>
      </c>
      <c r="E445" t="str">
        <f>_xll.BDP("82621RBD Muni","COUNTY_LOCATION_ISSUER")</f>
        <v>Travis, TX</v>
      </c>
      <c r="F445">
        <f>_xll.BDP("82621RBD Muni","DUR_ADJ_MID")</f>
        <v>8.044804233238162E-2</v>
      </c>
      <c r="G445">
        <f>_xll.BDP("82621RBD Muni","SPREAD_AT_ISSUANCE_TO_WORST")</f>
        <v>92.585188328070473</v>
      </c>
      <c r="H445" t="str">
        <f>_xll.BDP("82621RBD Muni","ISSUE_DT")</f>
        <v>8/16/2017</v>
      </c>
      <c r="I445" t="str">
        <f>_xll.BDS("82621RBD Muni","MUNI_PURPOSE_SCHED", "aggregate=y")</f>
        <v>WATER UTILITY IMPS. SEWER IMPS.</v>
      </c>
      <c r="J445">
        <f>_xll.BDP("82621RBD Muni","CPN")</f>
        <v>3</v>
      </c>
      <c r="K445" t="str">
        <f>_xll.BDP("82621RBD Muni","MATURITY")</f>
        <v>9/1/2022</v>
      </c>
      <c r="L445">
        <v>75000</v>
      </c>
      <c r="M445">
        <f>_xll.BDP("82621RBD Muni","YIELD_ON_ISSUE_DATE")</f>
        <v>2.2000000000000002</v>
      </c>
      <c r="N445">
        <f>_xll.BDP("82621RBD Muni","YTW_SPREAD_TO_MATURITY_AT_ISSU")</f>
        <v>92.585188328070473</v>
      </c>
      <c r="O445" t="str">
        <f>_xll.BDP("82621RBD Muni","BVAL_MID_YTM")</f>
        <v>#N/A Authorization</v>
      </c>
      <c r="P445" t="str">
        <f>_xll.BDP("82621RBD Muni","MUNI_TAX_PROV")</f>
        <v>FED BQ</v>
      </c>
      <c r="Q445" t="str">
        <f>_xll.BDP("82621RBD Muni","MUNI_FED_TAX")</f>
        <v>N</v>
      </c>
      <c r="R445" t="str">
        <f>_xll.BDP("82621RBD Muni","MUNI_MSRB_VOLUME")</f>
        <v>#N/A N/A</v>
      </c>
      <c r="S445" t="str">
        <f>_xll.BDP("82621RBD Muni","BB_COMPOSITE")</f>
        <v>#N/A N/A</v>
      </c>
      <c r="T445">
        <f>_xll.BDP("82621RBD Muni","LQA_LIQUIDITY_SCORE")</f>
        <v>97</v>
      </c>
    </row>
    <row r="446" spans="1:20" x14ac:dyDescent="0.25">
      <c r="A446" t="str">
        <f>_xll.BDP("82621RBE Muni","ID_CUSIP")</f>
        <v>82621RBE6</v>
      </c>
      <c r="B446" t="s">
        <v>200</v>
      </c>
      <c r="C446" t="str">
        <f>_xll.BDP("82621RBE Muni","INSURANCE_STATUS")</f>
        <v>N</v>
      </c>
      <c r="D446" t="str">
        <f>_xll.BDP("82621RBE Muni","STATE_CODE")</f>
        <v>TX</v>
      </c>
      <c r="E446" t="str">
        <f>_xll.BDP("82621RBE Muni","COUNTY_LOCATION_ISSUER")</f>
        <v>Travis, TX</v>
      </c>
      <c r="F446">
        <f>_xll.BDP("82621RBE Muni","DUR_ADJ_MID")</f>
        <v>1.0468044659613953</v>
      </c>
      <c r="G446">
        <f>_xll.BDP("82621RBE Muni","SPREAD_AT_ISSUANCE_TO_WORST")</f>
        <v>98.301139442728797</v>
      </c>
      <c r="H446" t="str">
        <f>_xll.BDP("82621RBE Muni","ISSUE_DT")</f>
        <v>8/16/2017</v>
      </c>
      <c r="I446" t="str">
        <f>_xll.BDS("82621RBE Muni","MUNI_PURPOSE_SCHED", "aggregate=y")</f>
        <v>WATER UTILITY IMPS. SEWER IMPS.</v>
      </c>
      <c r="J446">
        <f>_xll.BDP("82621RBE Muni","CPN")</f>
        <v>3</v>
      </c>
      <c r="K446" t="str">
        <f>_xll.BDP("82621RBE Muni","MATURITY")</f>
        <v>9/1/2023</v>
      </c>
      <c r="L446">
        <v>75000</v>
      </c>
      <c r="M446">
        <f>_xll.BDP("82621RBE Muni","YIELD_ON_ISSUE_DATE")</f>
        <v>2.4000000000000004</v>
      </c>
      <c r="N446">
        <f>_xll.BDP("82621RBE Muni","YTW_SPREAD_TO_MATURITY_AT_ISSU")</f>
        <v>98.301139442728797</v>
      </c>
      <c r="O446" t="str">
        <f>_xll.BDP("82621RBE Muni","BVAL_MID_YTM")</f>
        <v>#N/A Authorization</v>
      </c>
      <c r="P446" t="str">
        <f>_xll.BDP("82621RBE Muni","MUNI_TAX_PROV")</f>
        <v>FED BQ</v>
      </c>
      <c r="Q446" t="str">
        <f>_xll.BDP("82621RBE Muni","MUNI_FED_TAX")</f>
        <v>N</v>
      </c>
      <c r="R446" t="str">
        <f>_xll.BDP("82621RBE Muni","MUNI_MSRB_VOLUME")</f>
        <v>#N/A N/A</v>
      </c>
      <c r="S446" t="str">
        <f>_xll.BDP("82621RBE Muni","BB_COMPOSITE")</f>
        <v>#N/A N/A</v>
      </c>
      <c r="T446">
        <f>_xll.BDP("82621RBE Muni","LQA_LIQUIDITY_SCORE")</f>
        <v>70</v>
      </c>
    </row>
    <row r="447" spans="1:20" x14ac:dyDescent="0.25">
      <c r="A447" t="str">
        <f>_xll.BDP("82621RBF Muni","ID_CUSIP")</f>
        <v>82621RBF3</v>
      </c>
      <c r="B447" t="s">
        <v>200</v>
      </c>
      <c r="C447" t="str">
        <f>_xll.BDP("82621RBF Muni","INSURANCE_STATUS")</f>
        <v>N</v>
      </c>
      <c r="D447" t="str">
        <f>_xll.BDP("82621RBF Muni","STATE_CODE")</f>
        <v>TX</v>
      </c>
      <c r="E447" t="str">
        <f>_xll.BDP("82621RBF Muni","COUNTY_LOCATION_ISSUER")</f>
        <v>Travis, TX</v>
      </c>
      <c r="F447">
        <f>_xll.BDP("82621RBF Muni","DUR_ADJ_MID")</f>
        <v>1.9833907777180704</v>
      </c>
      <c r="G447">
        <f>_xll.BDP("82621RBF Muni","SPREAD_AT_ISSUANCE_TO_WORST")</f>
        <v>103.6340524059719</v>
      </c>
      <c r="H447" t="str">
        <f>_xll.BDP("82621RBF Muni","ISSUE_DT")</f>
        <v>8/16/2017</v>
      </c>
      <c r="I447" t="str">
        <f>_xll.BDS("82621RBF Muni","MUNI_PURPOSE_SCHED", "aggregate=y")</f>
        <v>WATER UTILITY IMPS. SEWER IMPS.</v>
      </c>
      <c r="J447">
        <f>_xll.BDP("82621RBF Muni","CPN")</f>
        <v>3</v>
      </c>
      <c r="K447" t="str">
        <f>_xll.BDP("82621RBF Muni","MATURITY")</f>
        <v>9/1/2024</v>
      </c>
      <c r="L447">
        <v>75000</v>
      </c>
      <c r="M447">
        <f>_xll.BDP("82621RBF Muni","YIELD_ON_ISSUE_DATE")</f>
        <v>2.6</v>
      </c>
      <c r="N447">
        <f>_xll.BDP("82621RBF Muni","YTW_SPREAD_TO_MATURITY_AT_ISSU")</f>
        <v>103.6340524059719</v>
      </c>
      <c r="O447" t="str">
        <f>_xll.BDP("82621RBF Muni","BVAL_MID_YTM")</f>
        <v>#N/A Authorization</v>
      </c>
      <c r="P447" t="str">
        <f>_xll.BDP("82621RBF Muni","MUNI_TAX_PROV")</f>
        <v>FED BQ</v>
      </c>
      <c r="Q447" t="str">
        <f>_xll.BDP("82621RBF Muni","MUNI_FED_TAX")</f>
        <v>N</v>
      </c>
      <c r="R447" t="str">
        <f>_xll.BDP("82621RBF Muni","MUNI_MSRB_VOLUME")</f>
        <v>#N/A N/A</v>
      </c>
      <c r="S447" t="str">
        <f>_xll.BDP("82621RBF Muni","BB_COMPOSITE")</f>
        <v>#N/A N/A</v>
      </c>
      <c r="T447">
        <f>_xll.BDP("82621RBF Muni","LQA_LIQUIDITY_SCORE")</f>
        <v>54</v>
      </c>
    </row>
    <row r="448" spans="1:20" x14ac:dyDescent="0.25">
      <c r="A448" t="str">
        <f>_xll.BDP("82621VCD Muni","ID_CUSIP")</f>
        <v>82621VCD8</v>
      </c>
      <c r="B448" t="s">
        <v>201</v>
      </c>
      <c r="C448" t="str">
        <f>_xll.BDP("82621VCD Muni","INSURANCE_STATUS")</f>
        <v>N</v>
      </c>
      <c r="D448" t="str">
        <f>_xll.BDP("82621VCD Muni","STATE_CODE")</f>
        <v>TX</v>
      </c>
      <c r="E448" t="str">
        <f>_xll.BDP("82621VCD Muni","COUNTY_LOCATION_ISSUER")</f>
        <v>Harris, TX</v>
      </c>
      <c r="F448">
        <f>_xll.BDP("82621VCD Muni","DUR_ADJ_MID")</f>
        <v>0.24631452304733462</v>
      </c>
      <c r="G448">
        <f>_xll.BDP("82621VCD Muni","SPREAD_AT_ISSUANCE_TO_WORST")</f>
        <v>91.416558904109607</v>
      </c>
      <c r="H448" t="str">
        <f>_xll.BDP("82621VCD Muni","ISSUE_DT")</f>
        <v>10/1/2017</v>
      </c>
      <c r="I448" t="str">
        <f>_xll.BDS("82621VCD Muni","MUNI_PURPOSE_SCHED", "aggregate=y")</f>
        <v>SEWER IMPS. WATER UTILITY IMPS. PUBLIC IMPS.</v>
      </c>
      <c r="J448">
        <f>_xll.BDP("82621VCD Muni","CPN")</f>
        <v>3</v>
      </c>
      <c r="K448" t="str">
        <f>_xll.BDP("82621VCD Muni","MATURITY")</f>
        <v>11/1/2022</v>
      </c>
      <c r="L448">
        <v>185000</v>
      </c>
      <c r="M448">
        <f>_xll.BDP("82621VCD Muni","YIELD_ON_ISSUE_DATE")</f>
        <v>2.2000000000000002</v>
      </c>
      <c r="N448">
        <f>_xll.BDP("82621VCD Muni","YTW_SPREAD_TO_MATURITY_AT_ISSU")</f>
        <v>91.416558904109607</v>
      </c>
      <c r="O448" t="str">
        <f>_xll.BDP("82621VCD Muni","BVAL_MID_YTM")</f>
        <v>#N/A Authorization</v>
      </c>
      <c r="P448" t="str">
        <f>_xll.BDP("82621VCD Muni","MUNI_TAX_PROV")</f>
        <v>FED BQ</v>
      </c>
      <c r="Q448" t="str">
        <f>_xll.BDP("82621VCD Muni","MUNI_FED_TAX")</f>
        <v>N</v>
      </c>
      <c r="R448" t="str">
        <f>_xll.BDP("82621VCD Muni","MUNI_MSRB_VOLUME")</f>
        <v>#N/A N/A</v>
      </c>
      <c r="S448" t="str">
        <f>_xll.BDP("82621VCD Muni","BB_COMPOSITE")</f>
        <v>#N/A N/A</v>
      </c>
      <c r="T448">
        <f>_xll.BDP("82621VCD Muni","LQA_LIQUIDITY_SCORE")</f>
        <v>96</v>
      </c>
    </row>
    <row r="449" spans="1:20" x14ac:dyDescent="0.25">
      <c r="A449" t="str">
        <f>_xll.BDP("82621VCE Muni","ID_CUSIP")</f>
        <v>82621VCE6</v>
      </c>
      <c r="B449" t="s">
        <v>201</v>
      </c>
      <c r="C449" t="str">
        <f>_xll.BDP("82621VCE Muni","INSURANCE_STATUS")</f>
        <v>N</v>
      </c>
      <c r="D449" t="str">
        <f>_xll.BDP("82621VCE Muni","STATE_CODE")</f>
        <v>TX</v>
      </c>
      <c r="E449" t="str">
        <f>_xll.BDP("82621VCE Muni","COUNTY_LOCATION_ISSUER")</f>
        <v>Harris, TX</v>
      </c>
      <c r="F449">
        <f>_xll.BDP("82621VCE Muni","DUR_ADJ_MID")</f>
        <v>1.2124321710295465</v>
      </c>
      <c r="G449">
        <f>_xll.BDP("82621VCE Muni","SPREAD_AT_ISSUANCE_TO_WORST")</f>
        <v>97.76932876712327</v>
      </c>
      <c r="H449" t="str">
        <f>_xll.BDP("82621VCE Muni","ISSUE_DT")</f>
        <v>10/1/2017</v>
      </c>
      <c r="I449" t="str">
        <f>_xll.BDS("82621VCE Muni","MUNI_PURPOSE_SCHED", "aggregate=y")</f>
        <v>SEWER IMPS. WATER UTILITY IMPS. PUBLIC IMPS.</v>
      </c>
      <c r="J449">
        <f>_xll.BDP("82621VCE Muni","CPN")</f>
        <v>3</v>
      </c>
      <c r="K449" t="str">
        <f>_xll.BDP("82621VCE Muni","MATURITY")</f>
        <v>11/1/2023</v>
      </c>
      <c r="L449">
        <v>195000</v>
      </c>
      <c r="M449">
        <f>_xll.BDP("82621VCE Muni","YIELD_ON_ISSUE_DATE")</f>
        <v>2.4000000000000004</v>
      </c>
      <c r="N449">
        <f>_xll.BDP("82621VCE Muni","YTW_SPREAD_TO_MATURITY_AT_ISSU")</f>
        <v>97.76932876712327</v>
      </c>
      <c r="O449" t="str">
        <f>_xll.BDP("82621VCE Muni","BVAL_MID_YTM")</f>
        <v>#N/A Authorization</v>
      </c>
      <c r="P449" t="str">
        <f>_xll.BDP("82621VCE Muni","MUNI_TAX_PROV")</f>
        <v>FED BQ</v>
      </c>
      <c r="Q449" t="str">
        <f>_xll.BDP("82621VCE Muni","MUNI_FED_TAX")</f>
        <v>N</v>
      </c>
      <c r="R449" t="str">
        <f>_xll.BDP("82621VCE Muni","MUNI_MSRB_VOLUME")</f>
        <v>#N/A N/A</v>
      </c>
      <c r="S449" t="str">
        <f>_xll.BDP("82621VCE Muni","BB_COMPOSITE")</f>
        <v>#N/A N/A</v>
      </c>
      <c r="T449">
        <f>_xll.BDP("82621VCE Muni","LQA_LIQUIDITY_SCORE")</f>
        <v>77</v>
      </c>
    </row>
    <row r="450" spans="1:20" x14ac:dyDescent="0.25">
      <c r="A450" t="str">
        <f>_xll.BDP("82621VCF Muni","ID_CUSIP")</f>
        <v>82621VCF3</v>
      </c>
      <c r="B450" t="s">
        <v>201</v>
      </c>
      <c r="C450" t="str">
        <f>_xll.BDP("82621VCF Muni","INSURANCE_STATUS")</f>
        <v>N</v>
      </c>
      <c r="D450" t="str">
        <f>_xll.BDP("82621VCF Muni","STATE_CODE")</f>
        <v>TX</v>
      </c>
      <c r="E450" t="str">
        <f>_xll.BDP("82621VCF Muni","COUNTY_LOCATION_ISSUER")</f>
        <v>Harris, TX</v>
      </c>
      <c r="F450">
        <f>_xll.BDP("82621VCF Muni","DUR_ADJ_MID")</f>
        <v>2.1497322541994208</v>
      </c>
      <c r="G450">
        <f>_xll.BDP("82621VCF Muni","SPREAD_AT_ISSUANCE_TO_WORST")</f>
        <v>103.72859452054794</v>
      </c>
      <c r="H450" t="str">
        <f>_xll.BDP("82621VCF Muni","ISSUE_DT")</f>
        <v>10/1/2017</v>
      </c>
      <c r="I450" t="str">
        <f>_xll.BDS("82621VCF Muni","MUNI_PURPOSE_SCHED", "aggregate=y")</f>
        <v>SEWER IMPS. WATER UTILITY IMPS. PUBLIC IMPS.</v>
      </c>
      <c r="J450">
        <f>_xll.BDP("82621VCF Muni","CPN")</f>
        <v>3</v>
      </c>
      <c r="K450" t="str">
        <f>_xll.BDP("82621VCF Muni","MATURITY")</f>
        <v>11/1/2024</v>
      </c>
      <c r="L450">
        <v>200000</v>
      </c>
      <c r="M450">
        <f>_xll.BDP("82621VCF Muni","YIELD_ON_ISSUE_DATE")</f>
        <v>2.6</v>
      </c>
      <c r="N450">
        <f>_xll.BDP("82621VCF Muni","YTW_SPREAD_TO_MATURITY_AT_ISSU")</f>
        <v>103.72859452054794</v>
      </c>
      <c r="O450" t="str">
        <f>_xll.BDP("82621VCF Muni","BVAL_MID_YTM")</f>
        <v>#N/A Authorization</v>
      </c>
      <c r="P450" t="str">
        <f>_xll.BDP("82621VCF Muni","MUNI_TAX_PROV")</f>
        <v>FED BQ</v>
      </c>
      <c r="Q450" t="str">
        <f>_xll.BDP("82621VCF Muni","MUNI_FED_TAX")</f>
        <v>N</v>
      </c>
      <c r="R450" t="str">
        <f>_xll.BDP("82621VCF Muni","MUNI_MSRB_VOLUME")</f>
        <v>#N/A N/A</v>
      </c>
      <c r="S450" t="str">
        <f>_xll.BDP("82621VCF Muni","BB_COMPOSITE")</f>
        <v>#N/A N/A</v>
      </c>
      <c r="T450">
        <f>_xll.BDP("82621VCF Muni","LQA_LIQUIDITY_SCORE")</f>
        <v>62</v>
      </c>
    </row>
    <row r="451" spans="1:20" x14ac:dyDescent="0.25">
      <c r="A451" t="str">
        <f>_xll.BDP("82621VCG Muni","ID_CUSIP")</f>
        <v>82621VCG1</v>
      </c>
      <c r="B451" t="s">
        <v>201</v>
      </c>
      <c r="C451" t="str">
        <f>_xll.BDP("82621VCG Muni","INSURANCE_STATUS")</f>
        <v>N</v>
      </c>
      <c r="D451" t="str">
        <f>_xll.BDP("82621VCG Muni","STATE_CODE")</f>
        <v>TX</v>
      </c>
      <c r="E451" t="str">
        <f>_xll.BDP("82621VCG Muni","COUNTY_LOCATION_ISSUER")</f>
        <v>Harris, TX</v>
      </c>
      <c r="F451">
        <f>_xll.BDP("82621VCG Muni","DUR_ADJ_MID")</f>
        <v>3.0590296154196941</v>
      </c>
      <c r="G451">
        <f>_xll.BDP("82621VCG Muni","SPREAD_AT_ISSUANCE_TO_WORST")</f>
        <v>109.82604657534245</v>
      </c>
      <c r="H451" t="str">
        <f>_xll.BDP("82621VCG Muni","ISSUE_DT")</f>
        <v>10/1/2017</v>
      </c>
      <c r="I451" t="str">
        <f>_xll.BDS("82621VCG Muni","MUNI_PURPOSE_SCHED", "aggregate=y")</f>
        <v>SEWER IMPS. WATER UTILITY IMPS. PUBLIC IMPS.</v>
      </c>
      <c r="J451">
        <f>_xll.BDP("82621VCG Muni","CPN")</f>
        <v>3</v>
      </c>
      <c r="K451" t="str">
        <f>_xll.BDP("82621VCG Muni","MATURITY")</f>
        <v>11/1/2025</v>
      </c>
      <c r="L451">
        <v>210000</v>
      </c>
      <c r="M451">
        <f>_xll.BDP("82621VCG Muni","YIELD_ON_ISSUE_DATE")</f>
        <v>2.8000000000000003</v>
      </c>
      <c r="N451">
        <f>_xll.BDP("82621VCG Muni","YTW_SPREAD_TO_MATURITY_AT_ISSU")</f>
        <v>109.82604657534245</v>
      </c>
      <c r="O451" t="str">
        <f>_xll.BDP("82621VCG Muni","BVAL_MID_YTM")</f>
        <v>#N/A Authorization</v>
      </c>
      <c r="P451" t="str">
        <f>_xll.BDP("82621VCG Muni","MUNI_TAX_PROV")</f>
        <v>FED BQ</v>
      </c>
      <c r="Q451" t="str">
        <f>_xll.BDP("82621VCG Muni","MUNI_FED_TAX")</f>
        <v>N</v>
      </c>
      <c r="R451" t="str">
        <f>_xll.BDP("82621VCG Muni","MUNI_MSRB_VOLUME")</f>
        <v>#N/A N/A</v>
      </c>
      <c r="S451" t="str">
        <f>_xll.BDP("82621VCG Muni","BB_COMPOSITE")</f>
        <v>#N/A N/A</v>
      </c>
      <c r="T451">
        <f>_xll.BDP("82621VCG Muni","LQA_LIQUIDITY_SCORE")</f>
        <v>48</v>
      </c>
    </row>
    <row r="452" spans="1:20" x14ac:dyDescent="0.25">
      <c r="A452" t="str">
        <f>_xll.BDP("82621XCD Muni","ID_CUSIP")</f>
        <v>82621XCD4</v>
      </c>
      <c r="B452" t="s">
        <v>202</v>
      </c>
      <c r="C452" t="str">
        <f>_xll.BDP("82621XCD Muni","INSURANCE_STATUS")</f>
        <v>Y</v>
      </c>
      <c r="D452" t="str">
        <f>_xll.BDP("82621XCD Muni","STATE_CODE")</f>
        <v>TX</v>
      </c>
      <c r="E452" t="str">
        <f>_xll.BDP("82621XCD Muni","COUNTY_LOCATION_ISSUER")</f>
        <v>#N/A Field Not Applicable</v>
      </c>
      <c r="F452">
        <f>_xll.BDP("82621XCD Muni","DUR_ADJ_MID")</f>
        <v>8.0490244503560487E-2</v>
      </c>
      <c r="G452">
        <f>_xll.BDP("82621XCD Muni","SPREAD_AT_ISSUANCE_TO_WORST")</f>
        <v>58.608975342465762</v>
      </c>
      <c r="H452" t="str">
        <f>_xll.BDP("82621XCD Muni","ISSUE_DT")</f>
        <v>10/1/2017</v>
      </c>
      <c r="I452" t="str">
        <f>_xll.BDS("82621XCD Muni","MUNI_PURPOSE_SCHED", "aggregate=y")</f>
        <v>WATER UTILITY IMPS. SEWER IMPS.</v>
      </c>
      <c r="J452">
        <f>_xll.BDP("82621XCD Muni","CPN")</f>
        <v>4.5</v>
      </c>
      <c r="K452" t="str">
        <f>_xll.BDP("82621XCD Muni","MATURITY")</f>
        <v>9/1/2022</v>
      </c>
      <c r="L452">
        <v>285000</v>
      </c>
      <c r="M452">
        <f>_xll.BDP("82621XCD Muni","YIELD_ON_ISSUE_DATE")</f>
        <v>1.85</v>
      </c>
      <c r="N452">
        <f>_xll.BDP("82621XCD Muni","YTW_SPREAD_TO_MATURITY_AT_ISSU")</f>
        <v>58.608975342465762</v>
      </c>
      <c r="O452" t="str">
        <f>_xll.BDP("82621XCD Muni","BVAL_MID_YTM")</f>
        <v>#N/A Authorization</v>
      </c>
      <c r="P452" t="str">
        <f>_xll.BDP("82621XCD Muni","MUNI_TAX_PROV")</f>
        <v>FED TAX-EXEMPT</v>
      </c>
      <c r="Q452" t="str">
        <f>_xll.BDP("82621XCD Muni","MUNI_FED_TAX")</f>
        <v>N</v>
      </c>
      <c r="R452" t="str">
        <f>_xll.BDP("82621XCD Muni","MUNI_MSRB_VOLUME")</f>
        <v>#N/A N/A</v>
      </c>
      <c r="S452" t="str">
        <f>_xll.BDP("82621XCD Muni","BB_COMPOSITE")</f>
        <v>#N/A N/A</v>
      </c>
      <c r="T452">
        <f>_xll.BDP("82621XCD Muni","LQA_LIQUIDITY_SCORE")</f>
        <v>97</v>
      </c>
    </row>
    <row r="453" spans="1:20" x14ac:dyDescent="0.25">
      <c r="A453" t="str">
        <f>_xll.BDP("82621XCE Muni","ID_CUSIP")</f>
        <v>82621XCE2</v>
      </c>
      <c r="B453" t="s">
        <v>202</v>
      </c>
      <c r="C453" t="str">
        <f>_xll.BDP("82621XCE Muni","INSURANCE_STATUS")</f>
        <v>Y</v>
      </c>
      <c r="D453" t="str">
        <f>_xll.BDP("82621XCE Muni","STATE_CODE")</f>
        <v>TX</v>
      </c>
      <c r="E453" t="str">
        <f>_xll.BDP("82621XCE Muni","COUNTY_LOCATION_ISSUER")</f>
        <v>#N/A Field Not Applicable</v>
      </c>
      <c r="F453">
        <f>_xll.BDP("82621XCE Muni","DUR_ADJ_MID")</f>
        <v>1.0401428370402914</v>
      </c>
      <c r="G453">
        <f>_xll.BDP("82621XCE Muni","SPREAD_AT_ISSUANCE_TO_WORST")</f>
        <v>60.08277260273973</v>
      </c>
      <c r="H453" t="str">
        <f>_xll.BDP("82621XCE Muni","ISSUE_DT")</f>
        <v>10/1/2017</v>
      </c>
      <c r="I453" t="str">
        <f>_xll.BDS("82621XCE Muni","MUNI_PURPOSE_SCHED", "aggregate=y")</f>
        <v>WATER UTILITY IMPS. SEWER IMPS.</v>
      </c>
      <c r="J453">
        <f>_xll.BDP("82621XCE Muni","CPN")</f>
        <v>4.5</v>
      </c>
      <c r="K453" t="str">
        <f>_xll.BDP("82621XCE Muni","MATURITY")</f>
        <v>9/1/2023</v>
      </c>
      <c r="L453">
        <v>295000</v>
      </c>
      <c r="M453">
        <f>_xll.BDP("82621XCE Muni","YIELD_ON_ISSUE_DATE")</f>
        <v>2</v>
      </c>
      <c r="N453">
        <f>_xll.BDP("82621XCE Muni","YTW_SPREAD_TO_MATURITY_AT_ISSU")</f>
        <v>60.08277260273973</v>
      </c>
      <c r="O453" t="str">
        <f>_xll.BDP("82621XCE Muni","BVAL_MID_YTM")</f>
        <v>#N/A Authorization</v>
      </c>
      <c r="P453" t="str">
        <f>_xll.BDP("82621XCE Muni","MUNI_TAX_PROV")</f>
        <v>FED TAX-EXEMPT</v>
      </c>
      <c r="Q453" t="str">
        <f>_xll.BDP("82621XCE Muni","MUNI_FED_TAX")</f>
        <v>N</v>
      </c>
      <c r="R453" t="str">
        <f>_xll.BDP("82621XCE Muni","MUNI_MSRB_VOLUME")</f>
        <v>#N/A N/A</v>
      </c>
      <c r="S453" t="str">
        <f>_xll.BDP("82621XCE Muni","BB_COMPOSITE")</f>
        <v>#N/A N/A</v>
      </c>
      <c r="T453">
        <f>_xll.BDP("82621XCE Muni","LQA_LIQUIDITY_SCORE")</f>
        <v>91</v>
      </c>
    </row>
    <row r="454" spans="1:20" x14ac:dyDescent="0.25">
      <c r="A454" t="str">
        <f>_xll.BDP("82621XCF Muni","ID_CUSIP")</f>
        <v>82621XCF9</v>
      </c>
      <c r="B454" t="s">
        <v>202</v>
      </c>
      <c r="C454" t="str">
        <f>_xll.BDP("82621XCF Muni","INSURANCE_STATUS")</f>
        <v>Y</v>
      </c>
      <c r="D454" t="str">
        <f>_xll.BDP("82621XCF Muni","STATE_CODE")</f>
        <v>TX</v>
      </c>
      <c r="E454" t="str">
        <f>_xll.BDP("82621XCF Muni","COUNTY_LOCATION_ISSUER")</f>
        <v>#N/A Field Not Applicable</v>
      </c>
      <c r="F454">
        <f>_xll.BDP("82621XCF Muni","DUR_ADJ_MID")</f>
        <v>1.9584840279257112</v>
      </c>
      <c r="G454">
        <f>_xll.BDP("82621XCF Muni","SPREAD_AT_ISSUANCE_TO_WORST")</f>
        <v>56.074876712328781</v>
      </c>
      <c r="H454" t="str">
        <f>_xll.BDP("82621XCF Muni","ISSUE_DT")</f>
        <v>10/1/2017</v>
      </c>
      <c r="I454" t="str">
        <f>_xll.BDS("82621XCF Muni","MUNI_PURPOSE_SCHED", "aggregate=y")</f>
        <v>WATER UTILITY IMPS. SEWER IMPS.</v>
      </c>
      <c r="J454">
        <f>_xll.BDP("82621XCF Muni","CPN")</f>
        <v>4.5</v>
      </c>
      <c r="K454" t="str">
        <f>_xll.BDP("82621XCF Muni","MATURITY")</f>
        <v>9/1/2024</v>
      </c>
      <c r="L454">
        <v>305000</v>
      </c>
      <c r="M454">
        <f>_xll.BDP("82621XCF Muni","YIELD_ON_ISSUE_DATE")</f>
        <v>2.1</v>
      </c>
      <c r="N454">
        <f>_xll.BDP("82621XCF Muni","YTW_SPREAD_TO_MATURITY_AT_ISSU")</f>
        <v>56.074876712328781</v>
      </c>
      <c r="O454" t="str">
        <f>_xll.BDP("82621XCF Muni","BVAL_MID_YTM")</f>
        <v>#N/A Authorization</v>
      </c>
      <c r="P454" t="str">
        <f>_xll.BDP("82621XCF Muni","MUNI_TAX_PROV")</f>
        <v>FED TAX-EXEMPT</v>
      </c>
      <c r="Q454" t="str">
        <f>_xll.BDP("82621XCF Muni","MUNI_FED_TAX")</f>
        <v>N</v>
      </c>
      <c r="R454" t="str">
        <f>_xll.BDP("82621XCF Muni","MUNI_MSRB_VOLUME")</f>
        <v>#N/A N/A</v>
      </c>
      <c r="S454" t="str">
        <f>_xll.BDP("82621XCF Muni","BB_COMPOSITE")</f>
        <v>#N/A N/A</v>
      </c>
      <c r="T454">
        <f>_xll.BDP("82621XCF Muni","LQA_LIQUIDITY_SCORE")</f>
        <v>82</v>
      </c>
    </row>
    <row r="455" spans="1:20" x14ac:dyDescent="0.25">
      <c r="A455" t="str">
        <f>_xll.BDP("82621XCG Muni","ID_CUSIP")</f>
        <v>82621XCG7</v>
      </c>
      <c r="B455" t="s">
        <v>202</v>
      </c>
      <c r="C455" t="str">
        <f>_xll.BDP("82621XCG Muni","INSURANCE_STATUS")</f>
        <v>Y</v>
      </c>
      <c r="D455" t="str">
        <f>_xll.BDP("82621XCG Muni","STATE_CODE")</f>
        <v>TX</v>
      </c>
      <c r="E455" t="str">
        <f>_xll.BDP("82621XCG Muni","COUNTY_LOCATION_ISSUER")</f>
        <v>#N/A Field Not Applicable</v>
      </c>
      <c r="F455">
        <f>_xll.BDP("82621XCG Muni","DUR_ADJ_MID")</f>
        <v>2.9029793324810433</v>
      </c>
      <c r="G455">
        <f>_xll.BDP("82621XCG Muni","SPREAD_AT_ISSUANCE_TO_WORST")</f>
        <v>62.013350684931481</v>
      </c>
      <c r="H455" t="str">
        <f>_xll.BDP("82621XCG Muni","ISSUE_DT")</f>
        <v>10/1/2017</v>
      </c>
      <c r="I455" t="str">
        <f>_xll.BDS("82621XCG Muni","MUNI_PURPOSE_SCHED", "aggregate=y")</f>
        <v>WATER UTILITY IMPS. SEWER IMPS.</v>
      </c>
      <c r="J455">
        <f>_xll.BDP("82621XCG Muni","CPN")</f>
        <v>3</v>
      </c>
      <c r="K455" t="str">
        <f>_xll.BDP("82621XCG Muni","MATURITY")</f>
        <v>9/1/2025</v>
      </c>
      <c r="L455">
        <v>320000</v>
      </c>
      <c r="M455">
        <f>_xll.BDP("82621XCG Muni","YIELD_ON_ISSUE_DATE")</f>
        <v>2.3000000000000003</v>
      </c>
      <c r="N455">
        <f>_xll.BDP("82621XCG Muni","YTW_SPREAD_TO_MATURITY_AT_ISSU")</f>
        <v>62.013350684931481</v>
      </c>
      <c r="O455" t="str">
        <f>_xll.BDP("82621XCG Muni","BVAL_MID_YTM")</f>
        <v>#N/A Authorization</v>
      </c>
      <c r="P455" t="str">
        <f>_xll.BDP("82621XCG Muni","MUNI_TAX_PROV")</f>
        <v>FED TAX-EXEMPT</v>
      </c>
      <c r="Q455" t="str">
        <f>_xll.BDP("82621XCG Muni","MUNI_FED_TAX")</f>
        <v>N</v>
      </c>
      <c r="R455" t="str">
        <f>_xll.BDP("82621XCG Muni","MUNI_MSRB_VOLUME")</f>
        <v>#N/A N/A</v>
      </c>
      <c r="S455" t="str">
        <f>_xll.BDP("82621XCG Muni","BB_COMPOSITE")</f>
        <v>#N/A N/A</v>
      </c>
      <c r="T455">
        <f>_xll.BDP("82621XCG Muni","LQA_LIQUIDITY_SCORE")</f>
        <v>64</v>
      </c>
    </row>
    <row r="456" spans="1:20" x14ac:dyDescent="0.25">
      <c r="A456" t="str">
        <f>_xll.BDP("850777GP Muni","ID_CUSIP")</f>
        <v>850777GP2</v>
      </c>
      <c r="B456" t="s">
        <v>90</v>
      </c>
      <c r="C456" t="str">
        <f>_xll.BDP("850777GP Muni","INSURANCE_STATUS")</f>
        <v>N</v>
      </c>
      <c r="D456" t="str">
        <f>_xll.BDP("850777GP Muni","STATE_CODE")</f>
        <v>MA</v>
      </c>
      <c r="E456" t="str">
        <f>_xll.BDP("850777GP Muni","COUNTY_LOCATION_ISSUER")</f>
        <v>Hampden, MA</v>
      </c>
      <c r="F456">
        <f>_xll.BDP("850777GP Muni","DUR_ADJ_MID")</f>
        <v>0.68662660584692603</v>
      </c>
      <c r="G456">
        <f>_xll.BDP("850777GP Muni","SPREAD_AT_ISSUANCE_TO_WORST")</f>
        <v>12.125187841393847</v>
      </c>
      <c r="H456" t="str">
        <f>_xll.BDP("850777GP Muni","ISSUE_DT")</f>
        <v>7/14/2017</v>
      </c>
      <c r="I456" t="str">
        <f>_xll.BDS("850777GP Muni","MUNI_PURPOSE_SCHED", "aggregate=y")</f>
        <v>WATER UTILITY IMPS. SEWER IMPS.</v>
      </c>
      <c r="J456">
        <f>_xll.BDP("850777GP Muni","CPN")</f>
        <v>5</v>
      </c>
      <c r="K456" t="str">
        <f>_xll.BDP("850777GP Muni","MATURITY")</f>
        <v>4/15/2023</v>
      </c>
      <c r="L456">
        <v>1055000</v>
      </c>
      <c r="M456">
        <f>_xll.BDP("850777GP Muni","YIELD_ON_ISSUE_DATE")</f>
        <v>1.46</v>
      </c>
      <c r="N456">
        <f>_xll.BDP("850777GP Muni","YTW_SPREAD_TO_MATURITY_AT_ISSU")</f>
        <v>12.125187841393847</v>
      </c>
      <c r="O456" t="str">
        <f>_xll.BDP("850777GP Muni","BVAL_MID_YTM")</f>
        <v>#N/A Authorization</v>
      </c>
      <c r="P456" t="str">
        <f>_xll.BDP("850777GP Muni","MUNI_TAX_PROV")</f>
        <v>FED &amp; ST TAX-EXEMPT</v>
      </c>
      <c r="Q456" t="str">
        <f>_xll.BDP("850777GP Muni","MUNI_FED_TAX")</f>
        <v>N</v>
      </c>
      <c r="R456">
        <f>_xll.BDP("850777GP Muni","MUNI_MSRB_VOLUME")</f>
        <v>130000</v>
      </c>
      <c r="S456" t="str">
        <f>_xll.BDP("850777GP Muni","BB_COMPOSITE")</f>
        <v>#N/A N/A</v>
      </c>
      <c r="T456">
        <f>_xll.BDP("850777GP Muni","LQA_LIQUIDITY_SCORE")</f>
        <v>94</v>
      </c>
    </row>
    <row r="457" spans="1:20" x14ac:dyDescent="0.25">
      <c r="A457" t="str">
        <f>_xll.BDP("850777GT Muni","ID_CUSIP")</f>
        <v>850777GT4</v>
      </c>
      <c r="B457" t="s">
        <v>90</v>
      </c>
      <c r="C457" t="str">
        <f>_xll.BDP("850777GT Muni","INSURANCE_STATUS")</f>
        <v>N</v>
      </c>
      <c r="D457" t="str">
        <f>_xll.BDP("850777GT Muni","STATE_CODE")</f>
        <v>MA</v>
      </c>
      <c r="E457" t="str">
        <f>_xll.BDP("850777GT Muni","COUNTY_LOCATION_ISSUER")</f>
        <v>Hampden, MA</v>
      </c>
      <c r="F457">
        <f>_xll.BDP("850777GT Muni","DUR_ADJ_MID")</f>
        <v>4.1876025499940113</v>
      </c>
      <c r="G457">
        <f>_xll.BDP("850777GT Muni","SPREAD_AT_ISSUANCE_TO_WORST")</f>
        <v>16.318079398972362</v>
      </c>
      <c r="H457" t="str">
        <f>_xll.BDP("850777GT Muni","ISSUE_DT")</f>
        <v>7/14/2017</v>
      </c>
      <c r="I457" t="str">
        <f>_xll.BDS("850777GT Muni","MUNI_PURPOSE_SCHED", "aggregate=y")</f>
        <v>WATER UTILITY IMPS. SEWER IMPS.</v>
      </c>
      <c r="J457">
        <f>_xll.BDP("850777GT Muni","CPN")</f>
        <v>5</v>
      </c>
      <c r="K457" t="str">
        <f>_xll.BDP("850777GT Muni","MATURITY")</f>
        <v>4/15/2027</v>
      </c>
      <c r="L457">
        <v>1055000</v>
      </c>
      <c r="M457">
        <f>_xll.BDP("850777GT Muni","YIELD_ON_ISSUE_DATE")</f>
        <v>2.04</v>
      </c>
      <c r="N457">
        <f>_xll.BDP("850777GT Muni","YTW_SPREAD_TO_MATURITY_AT_ISSU")</f>
        <v>16.318079398972362</v>
      </c>
      <c r="O457" t="str">
        <f>_xll.BDP("850777GT Muni","BVAL_MID_YTM")</f>
        <v>#N/A Authorization</v>
      </c>
      <c r="P457" t="str">
        <f>_xll.BDP("850777GT Muni","MUNI_TAX_PROV")</f>
        <v>FED &amp; ST TAX-EXEMPT</v>
      </c>
      <c r="Q457" t="str">
        <f>_xll.BDP("850777GT Muni","MUNI_FED_TAX")</f>
        <v>N</v>
      </c>
      <c r="R457">
        <f>_xll.BDP("850777GT Muni","MUNI_MSRB_VOLUME")</f>
        <v>20000</v>
      </c>
      <c r="S457" t="str">
        <f>_xll.BDP("850777GT Muni","BB_COMPOSITE")</f>
        <v>#N/A N/A</v>
      </c>
      <c r="T457">
        <f>_xll.BDP("850777GT Muni","LQA_LIQUIDITY_SCORE")</f>
        <v>73</v>
      </c>
    </row>
    <row r="458" spans="1:20" x14ac:dyDescent="0.25">
      <c r="A458" t="str">
        <f>_xll.BDP("851830HR Muni","ID_CUSIP")</f>
        <v>851830HR3</v>
      </c>
      <c r="B458" t="s">
        <v>203</v>
      </c>
      <c r="C458" t="str">
        <f>_xll.BDP("851830HR Muni","INSURANCE_STATUS")</f>
        <v>Y</v>
      </c>
      <c r="D458" t="str">
        <f>_xll.BDP("851830HR Muni","STATE_CODE")</f>
        <v>TX</v>
      </c>
      <c r="E458" t="str">
        <f>_xll.BDP("851830HR Muni","COUNTY_LOCATION_ISSUER")</f>
        <v>Parker, TX</v>
      </c>
      <c r="F458">
        <f>_xll.BDP("851830HR Muni","DUR_ADJ_MID")</f>
        <v>0.52529239288677398</v>
      </c>
      <c r="G458">
        <f>_xll.BDP("851830HR Muni","SPREAD_AT_ISSUANCE_TO_WORST")</f>
        <v>58.959821981319969</v>
      </c>
      <c r="H458" t="str">
        <f>_xll.BDP("851830HR Muni","ISSUE_DT")</f>
        <v>4/15/2017</v>
      </c>
      <c r="I458" t="str">
        <f>_xll.BDS("851830HR Muni","MUNI_PURPOSE_SCHED", "aggregate=y")</f>
        <v>WATER UTILITY IMPS.</v>
      </c>
      <c r="J458">
        <f>_xll.BDP("851830HR Muni","CPN")</f>
        <v>3</v>
      </c>
      <c r="K458" t="str">
        <f>_xll.BDP("851830HR Muni","MATURITY")</f>
        <v>2/15/2023</v>
      </c>
      <c r="L458">
        <v>40000</v>
      </c>
      <c r="M458">
        <f>_xll.BDP("851830HR Muni","YIELD_ON_ISSUE_DATE")</f>
        <v>2.11</v>
      </c>
      <c r="N458">
        <f>_xll.BDP("851830HR Muni","YTW_SPREAD_TO_MATURITY_AT_ISSU")</f>
        <v>58.959821981319969</v>
      </c>
      <c r="O458" t="str">
        <f>_xll.BDP("851830HR Muni","BVAL_MID_YTM")</f>
        <v>#N/A Authorization</v>
      </c>
      <c r="P458" t="str">
        <f>_xll.BDP("851830HR Muni","MUNI_TAX_PROV")</f>
        <v>FED BQ</v>
      </c>
      <c r="Q458" t="str">
        <f>_xll.BDP("851830HR Muni","MUNI_FED_TAX")</f>
        <v>N</v>
      </c>
      <c r="R458" t="str">
        <f>_xll.BDP("851830HR Muni","MUNI_MSRB_VOLUME")</f>
        <v>#N/A N/A</v>
      </c>
      <c r="S458" t="str">
        <f>_xll.BDP("851830HR Muni","BB_COMPOSITE")</f>
        <v>A+</v>
      </c>
      <c r="T458">
        <f>_xll.BDP("851830HR Muni","LQA_LIQUIDITY_SCORE")</f>
        <v>94</v>
      </c>
    </row>
    <row r="459" spans="1:20" x14ac:dyDescent="0.25">
      <c r="A459" t="str">
        <f>_xll.BDP("682709QV Muni","ID_CUSIP")</f>
        <v>682709QV5</v>
      </c>
      <c r="B459" t="s">
        <v>142</v>
      </c>
      <c r="C459" t="str">
        <f>_xll.BDP("682709QV Muni","INSURANCE_STATUS")</f>
        <v>Y</v>
      </c>
      <c r="D459" t="str">
        <f>_xll.BDP("682709QV Muni","STATE_CODE")</f>
        <v>NY</v>
      </c>
      <c r="E459" t="str">
        <f>_xll.BDP("682709QV Muni","COUNTY_LOCATION_ISSUER")</f>
        <v>Otsego, NY</v>
      </c>
      <c r="F459">
        <f>_xll.BDP("682709QV Muni","DUR_ADJ_MID")</f>
        <v>1.7426757728938602</v>
      </c>
      <c r="G459">
        <f>_xll.BDP("682709QV Muni","SPREAD_AT_ISSUANCE_TO_WORST")</f>
        <v>17.654390898979464</v>
      </c>
      <c r="H459" t="str">
        <f>_xll.BDP("682709QV Muni","ISSUE_DT")</f>
        <v>5/18/2017</v>
      </c>
      <c r="I459" t="str">
        <f>_xll.BDS("682709QV Muni","MUNI_PURPOSE_SCHED", "aggregate=y")</f>
        <v>PUBLIC IMPS. WATER UTILITY IMPS.</v>
      </c>
      <c r="J459">
        <f>_xll.BDP("682709QV Muni","CPN")</f>
        <v>2</v>
      </c>
      <c r="K459" t="str">
        <f>_xll.BDP("682709QV Muni","MATURITY")</f>
        <v>5/15/2024</v>
      </c>
      <c r="L459">
        <v>250000</v>
      </c>
      <c r="M459">
        <f>_xll.BDP("682709QV Muni","YIELD_ON_ISSUE_DATE")</f>
        <v>1.9000000000000001</v>
      </c>
      <c r="N459">
        <f>_xll.BDP("682709QV Muni","YTW_SPREAD_TO_MATURITY_AT_ISSU")</f>
        <v>17.654390898979464</v>
      </c>
      <c r="O459" t="str">
        <f>_xll.BDP("682709QV Muni","BVAL_MID_YTM")</f>
        <v>#N/A Authorization</v>
      </c>
      <c r="P459" t="str">
        <f>_xll.BDP("682709QV Muni","MUNI_TAX_PROV")</f>
        <v>FED BQ/ST TAX-EXEMPT</v>
      </c>
      <c r="Q459" t="str">
        <f>_xll.BDP("682709QV Muni","MUNI_FED_TAX")</f>
        <v>N</v>
      </c>
      <c r="R459" t="str">
        <f>_xll.BDP("682709QV Muni","MUNI_MSRB_VOLUME")</f>
        <v>#N/A N/A</v>
      </c>
      <c r="S459" t="str">
        <f>_xll.BDP("682709QV Muni","BB_COMPOSITE")</f>
        <v>#N/A N/A</v>
      </c>
      <c r="T459">
        <f>_xll.BDP("682709QV Muni","LQA_LIQUIDITY_SCORE")</f>
        <v>74</v>
      </c>
    </row>
    <row r="460" spans="1:20" x14ac:dyDescent="0.25">
      <c r="A460" t="str">
        <f>_xll.BDP("682709QW Muni","ID_CUSIP")</f>
        <v>682709QW3</v>
      </c>
      <c r="B460" t="s">
        <v>142</v>
      </c>
      <c r="C460" t="str">
        <f>_xll.BDP("682709QW Muni","INSURANCE_STATUS")</f>
        <v>Y</v>
      </c>
      <c r="D460" t="str">
        <f>_xll.BDP("682709QW Muni","STATE_CODE")</f>
        <v>NY</v>
      </c>
      <c r="E460" t="str">
        <f>_xll.BDP("682709QW Muni","COUNTY_LOCATION_ISSUER")</f>
        <v>Otsego, NY</v>
      </c>
      <c r="F460">
        <f>_xll.BDP("682709QW Muni","DUR_ADJ_MID")</f>
        <v>2.6895705372542862</v>
      </c>
      <c r="G460">
        <f>_xll.BDP("682709QW Muni","SPREAD_AT_ISSUANCE_TO_WORST")</f>
        <v>11.707643842080673</v>
      </c>
      <c r="H460" t="str">
        <f>_xll.BDP("682709QW Muni","ISSUE_DT")</f>
        <v>5/18/2017</v>
      </c>
      <c r="I460" t="str">
        <f>_xll.BDS("682709QW Muni","MUNI_PURPOSE_SCHED", "aggregate=y")</f>
        <v>PUBLIC IMPS. WATER UTILITY IMPS.</v>
      </c>
      <c r="J460">
        <f>_xll.BDP("682709QW Muni","CPN")</f>
        <v>2</v>
      </c>
      <c r="K460" t="str">
        <f>_xll.BDP("682709QW Muni","MATURITY")</f>
        <v>5/15/2025</v>
      </c>
      <c r="L460">
        <v>255000</v>
      </c>
      <c r="M460">
        <f>_xll.BDP("682709QW Muni","YIELD_ON_ISSUE_DATE")</f>
        <v>2</v>
      </c>
      <c r="N460">
        <f>_xll.BDP("682709QW Muni","YTW_SPREAD_TO_MATURITY_AT_ISSU")</f>
        <v>11.707643842080673</v>
      </c>
      <c r="O460" t="str">
        <f>_xll.BDP("682709QW Muni","BVAL_MID_YTM")</f>
        <v>#N/A Authorization</v>
      </c>
      <c r="P460" t="str">
        <f>_xll.BDP("682709QW Muni","MUNI_TAX_PROV")</f>
        <v>FED BQ/ST TAX-EXEMPT</v>
      </c>
      <c r="Q460" t="str">
        <f>_xll.BDP("682709QW Muni","MUNI_FED_TAX")</f>
        <v>N</v>
      </c>
      <c r="R460" t="str">
        <f>_xll.BDP("682709QW Muni","MUNI_MSRB_VOLUME")</f>
        <v>#N/A N/A</v>
      </c>
      <c r="S460" t="str">
        <f>_xll.BDP("682709QW Muni","BB_COMPOSITE")</f>
        <v>#N/A N/A</v>
      </c>
      <c r="T460">
        <f>_xll.BDP("682709QW Muni","LQA_LIQUIDITY_SCORE")</f>
        <v>65</v>
      </c>
    </row>
    <row r="461" spans="1:20" x14ac:dyDescent="0.25">
      <c r="A461" t="str">
        <f>_xll.BDP("68277DAE Muni","ID_CUSIP")</f>
        <v>68277DAE4</v>
      </c>
      <c r="B461" t="s">
        <v>204</v>
      </c>
      <c r="C461" t="str">
        <f>_xll.BDP("68277DAE Muni","INSURANCE_STATUS")</f>
        <v>N</v>
      </c>
      <c r="D461" t="str">
        <f>_xll.BDP("68277DAE Muni","STATE_CODE")</f>
        <v>NY</v>
      </c>
      <c r="E461" t="str">
        <f>_xll.BDP("68277DAE Muni","COUNTY_LOCATION_ISSUER")</f>
        <v>Onondaga, NY</v>
      </c>
      <c r="F461">
        <f>_xll.BDP("68277DAE Muni","DUR_ADJ_MID")</f>
        <v>0.6869920512009009</v>
      </c>
      <c r="G461">
        <f>_xll.BDP("68277DAE Muni","SPREAD_AT_ISSUANCE_TO_WORST")</f>
        <v>-1.6385430384500577</v>
      </c>
      <c r="H461" t="str">
        <f>_xll.BDP("68277DAE Muni","ISSUE_DT")</f>
        <v>7/26/2017</v>
      </c>
      <c r="I461" t="str">
        <f>_xll.BDS("68277DAE Muni","MUNI_PURPOSE_SCHED", "aggregate=y")</f>
        <v>RECREATIONAL FAC. IMPS. PUBLIC IMPS. WATER UTILITY IMPS.</v>
      </c>
      <c r="J461">
        <f>_xll.BDP("68277DAE Muni","CPN")</f>
        <v>5</v>
      </c>
      <c r="K461" t="str">
        <f>_xll.BDP("68277DAE Muni","MATURITY")</f>
        <v>4/15/2023</v>
      </c>
      <c r="L461">
        <v>1125000</v>
      </c>
      <c r="M461">
        <f>_xll.BDP("68277DAE Muni","YIELD_ON_ISSUE_DATE")</f>
        <v>1.45</v>
      </c>
      <c r="N461">
        <f>_xll.BDP("68277DAE Muni","YTW_SPREAD_TO_MATURITY_AT_ISSU")</f>
        <v>-1.6385430384500577</v>
      </c>
      <c r="O461" t="str">
        <f>_xll.BDP("68277DAE Muni","BVAL_MID_YTM")</f>
        <v>#N/A Authorization</v>
      </c>
      <c r="P461" t="str">
        <f>_xll.BDP("68277DAE Muni","MUNI_TAX_PROV")</f>
        <v>FED &amp; ST TAX-EXEMPT</v>
      </c>
      <c r="Q461" t="str">
        <f>_xll.BDP("68277DAE Muni","MUNI_FED_TAX")</f>
        <v>N</v>
      </c>
      <c r="R461">
        <f>_xll.BDP("68277DAE Muni","MUNI_MSRB_VOLUME")</f>
        <v>25000</v>
      </c>
      <c r="S461" t="str">
        <f>_xll.BDP("68277DAE Muni","BB_COMPOSITE")</f>
        <v>AA</v>
      </c>
      <c r="T461">
        <f>_xll.BDP("68277DAE Muni","LQA_LIQUIDITY_SCORE")</f>
        <v>96</v>
      </c>
    </row>
    <row r="462" spans="1:20" x14ac:dyDescent="0.25">
      <c r="A462" t="str">
        <f>_xll.BDP("68277DAF Muni","ID_CUSIP")</f>
        <v>68277DAF1</v>
      </c>
      <c r="B462" t="s">
        <v>204</v>
      </c>
      <c r="C462" t="str">
        <f>_xll.BDP("68277DAF Muni","INSURANCE_STATUS")</f>
        <v>N</v>
      </c>
      <c r="D462" t="str">
        <f>_xll.BDP("68277DAF Muni","STATE_CODE")</f>
        <v>NY</v>
      </c>
      <c r="E462" t="str">
        <f>_xll.BDP("68277DAF Muni","COUNTY_LOCATION_ISSUER")</f>
        <v>Onondaga, NY</v>
      </c>
      <c r="F462">
        <f>_xll.BDP("68277DAF Muni","DUR_ADJ_MID")</f>
        <v>1.6210876594237591</v>
      </c>
      <c r="G462">
        <f>_xll.BDP("68277DAF Muni","SPREAD_AT_ISSUANCE_TO_WORST")</f>
        <v>-6.145934130492936</v>
      </c>
      <c r="H462" t="str">
        <f>_xll.BDP("68277DAF Muni","ISSUE_DT")</f>
        <v>7/26/2017</v>
      </c>
      <c r="I462" t="str">
        <f>_xll.BDS("68277DAF Muni","MUNI_PURPOSE_SCHED", "aggregate=y")</f>
        <v>RECREATIONAL FAC. IMPS. PUBLIC IMPS. WATER UTILITY IMPS.</v>
      </c>
      <c r="J462">
        <f>_xll.BDP("68277DAF Muni","CPN")</f>
        <v>5</v>
      </c>
      <c r="K462" t="str">
        <f>_xll.BDP("68277DAF Muni","MATURITY")</f>
        <v>4/15/2024</v>
      </c>
      <c r="L462">
        <v>1165000</v>
      </c>
      <c r="M462">
        <f>_xll.BDP("68277DAF Muni","YIELD_ON_ISSUE_DATE")</f>
        <v>1.55</v>
      </c>
      <c r="N462">
        <f>_xll.BDP("68277DAF Muni","YTW_SPREAD_TO_MATURITY_AT_ISSU")</f>
        <v>-6.145934130492936</v>
      </c>
      <c r="O462" t="str">
        <f>_xll.BDP("68277DAF Muni","BVAL_MID_YTM")</f>
        <v>#N/A Authorization</v>
      </c>
      <c r="P462" t="str">
        <f>_xll.BDP("68277DAF Muni","MUNI_TAX_PROV")</f>
        <v>FED &amp; ST TAX-EXEMPT</v>
      </c>
      <c r="Q462" t="str">
        <f>_xll.BDP("68277DAF Muni","MUNI_FED_TAX")</f>
        <v>N</v>
      </c>
      <c r="R462">
        <f>_xll.BDP("68277DAF Muni","MUNI_MSRB_VOLUME")</f>
        <v>20000</v>
      </c>
      <c r="S462" t="str">
        <f>_xll.BDP("68277DAF Muni","BB_COMPOSITE")</f>
        <v>AA</v>
      </c>
      <c r="T462">
        <f>_xll.BDP("68277DAF Muni","LQA_LIQUIDITY_SCORE")</f>
        <v>86</v>
      </c>
    </row>
    <row r="463" spans="1:20" x14ac:dyDescent="0.25">
      <c r="A463" t="str">
        <f>_xll.BDP("68277DAG Muni","ID_CUSIP")</f>
        <v>68277DAG9</v>
      </c>
      <c r="B463" t="s">
        <v>204</v>
      </c>
      <c r="C463" t="str">
        <f>_xll.BDP("68277DAG Muni","INSURANCE_STATUS")</f>
        <v>N</v>
      </c>
      <c r="D463" t="str">
        <f>_xll.BDP("68277DAG Muni","STATE_CODE")</f>
        <v>NY</v>
      </c>
      <c r="E463" t="str">
        <f>_xll.BDP("68277DAG Muni","COUNTY_LOCATION_ISSUER")</f>
        <v>Onondaga, NY</v>
      </c>
      <c r="F463">
        <f>_xll.BDP("68277DAG Muni","DUR_ADJ_MID")</f>
        <v>2.514476786012362</v>
      </c>
      <c r="G463">
        <f>_xll.BDP("68277DAG Muni","SPREAD_AT_ISSUANCE_TO_WORST")</f>
        <v>-7.8254036218604828</v>
      </c>
      <c r="H463" t="str">
        <f>_xll.BDP("68277DAG Muni","ISSUE_DT")</f>
        <v>7/26/2017</v>
      </c>
      <c r="I463" t="str">
        <f>_xll.BDS("68277DAG Muni","MUNI_PURPOSE_SCHED", "aggregate=y")</f>
        <v>RECREATIONAL FAC. IMPS. PUBLIC IMPS. WATER UTILITY IMPS.</v>
      </c>
      <c r="J463">
        <f>_xll.BDP("68277DAG Muni","CPN")</f>
        <v>5</v>
      </c>
      <c r="K463" t="str">
        <f>_xll.BDP("68277DAG Muni","MATURITY")</f>
        <v>4/15/2025</v>
      </c>
      <c r="L463">
        <v>1205000</v>
      </c>
      <c r="M463">
        <f>_xll.BDP("68277DAG Muni","YIELD_ON_ISSUE_DATE")</f>
        <v>1.68</v>
      </c>
      <c r="N463">
        <f>_xll.BDP("68277DAG Muni","YTW_SPREAD_TO_MATURITY_AT_ISSU")</f>
        <v>-7.8254036218604828</v>
      </c>
      <c r="O463" t="str">
        <f>_xll.BDP("68277DAG Muni","BVAL_MID_YTM")</f>
        <v>#N/A Authorization</v>
      </c>
      <c r="P463" t="str">
        <f>_xll.BDP("68277DAG Muni","MUNI_TAX_PROV")</f>
        <v>FED &amp; ST TAX-EXEMPT</v>
      </c>
      <c r="Q463" t="str">
        <f>_xll.BDP("68277DAG Muni","MUNI_FED_TAX")</f>
        <v>N</v>
      </c>
      <c r="R463">
        <f>_xll.BDP("68277DAG Muni","MUNI_MSRB_VOLUME")</f>
        <v>15000</v>
      </c>
      <c r="S463" t="str">
        <f>_xll.BDP("68277DAG Muni","BB_COMPOSITE")</f>
        <v>AA</v>
      </c>
      <c r="T463">
        <f>_xll.BDP("68277DAG Muni","LQA_LIQUIDITY_SCORE")</f>
        <v>76</v>
      </c>
    </row>
    <row r="464" spans="1:20" x14ac:dyDescent="0.25">
      <c r="A464" t="str">
        <f>_xll.BDP("79689TAF Muni","ID_CUSIP")</f>
        <v>79689TAF5</v>
      </c>
      <c r="B464" t="s">
        <v>205</v>
      </c>
      <c r="C464" t="str">
        <f>_xll.BDP("79689TAF Muni","INSURANCE_STATUS")</f>
        <v>N</v>
      </c>
      <c r="D464" t="str">
        <f>_xll.BDP("79689TAF Muni","STATE_CODE")</f>
        <v>CA</v>
      </c>
      <c r="E464" t="str">
        <f>_xll.BDP("79689TAF Muni","COUNTY_LOCATION_ISSUER")</f>
        <v>San Mateo, CA</v>
      </c>
      <c r="F464">
        <f>_xll.BDP("79689TAF Muni","DUR_ADJ_MID")</f>
        <v>0.8977993699880884</v>
      </c>
      <c r="G464">
        <f>_xll.BDP("79689TAF Muni","SPREAD_AT_ISSUANCE_TO_WORST")</f>
        <v>-2.1950958904109585</v>
      </c>
      <c r="H464" t="str">
        <f>_xll.BDP("79689TAF Muni","ISSUE_DT")</f>
        <v>12/6/2017</v>
      </c>
      <c r="I464" t="str">
        <f>_xll.BDS("79689TAF Muni","MUNI_PURPOSE_SCHED", "aggregate=y")</f>
        <v>WATER UTILITY IMPS.</v>
      </c>
      <c r="J464">
        <f>_xll.BDP("79689TAF Muni","CPN")</f>
        <v>4</v>
      </c>
      <c r="K464" t="str">
        <f>_xll.BDP("79689TAF Muni","MATURITY")</f>
        <v>7/1/2023</v>
      </c>
      <c r="L464">
        <v>240000</v>
      </c>
      <c r="M464">
        <f>_xll.BDP("79689TAF Muni","YIELD_ON_ISSUE_DATE")</f>
        <v>1.51</v>
      </c>
      <c r="N464">
        <f>_xll.BDP("79689TAF Muni","YTW_SPREAD_TO_MATURITY_AT_ISSU")</f>
        <v>-2.1950958904109585</v>
      </c>
      <c r="O464" t="str">
        <f>_xll.BDP("79689TAF Muni","BVAL_MID_YTM")</f>
        <v>#N/A Authorization</v>
      </c>
      <c r="P464" t="str">
        <f>_xll.BDP("79689TAF Muni","MUNI_TAX_PROV")</f>
        <v>FED &amp; ST TAX-EXEMPT</v>
      </c>
      <c r="Q464" t="str">
        <f>_xll.BDP("79689TAF Muni","MUNI_FED_TAX")</f>
        <v>N</v>
      </c>
      <c r="R464" t="str">
        <f>_xll.BDP("79689TAF Muni","MUNI_MSRB_VOLUME")</f>
        <v>#N/A N/A</v>
      </c>
      <c r="S464" t="str">
        <f>_xll.BDP("79689TAF Muni","BB_COMPOSITE")</f>
        <v>#N/A N/A</v>
      </c>
      <c r="T464">
        <f>_xll.BDP("79689TAF Muni","LQA_LIQUIDITY_SCORE")</f>
        <v>81</v>
      </c>
    </row>
    <row r="465" spans="1:20" x14ac:dyDescent="0.25">
      <c r="A465" t="str">
        <f>_xll.BDP("79689TAH Muni","ID_CUSIP")</f>
        <v>79689TAH1</v>
      </c>
      <c r="B465" t="s">
        <v>205</v>
      </c>
      <c r="C465" t="str">
        <f>_xll.BDP("79689TAH Muni","INSURANCE_STATUS")</f>
        <v>N</v>
      </c>
      <c r="D465" t="str">
        <f>_xll.BDP("79689TAH Muni","STATE_CODE")</f>
        <v>CA</v>
      </c>
      <c r="E465" t="str">
        <f>_xll.BDP("79689TAH Muni","COUNTY_LOCATION_ISSUER")</f>
        <v>San Mateo, CA</v>
      </c>
      <c r="F465">
        <f>_xll.BDP("79689TAH Muni","DUR_ADJ_MID")</f>
        <v>2.7222363490157511</v>
      </c>
      <c r="G465">
        <f>_xll.BDP("79689TAH Muni","SPREAD_AT_ISSUANCE_TO_WORST")</f>
        <v>-2.1266493150684962</v>
      </c>
      <c r="H465" t="str">
        <f>_xll.BDP("79689TAH Muni","ISSUE_DT")</f>
        <v>12/6/2017</v>
      </c>
      <c r="I465" t="str">
        <f>_xll.BDS("79689TAH Muni","MUNI_PURPOSE_SCHED", "aggregate=y")</f>
        <v>WATER UTILITY IMPS.</v>
      </c>
      <c r="J465">
        <f>_xll.BDP("79689TAH Muni","CPN")</f>
        <v>5</v>
      </c>
      <c r="K465" t="str">
        <f>_xll.BDP("79689TAH Muni","MATURITY")</f>
        <v>7/1/2025</v>
      </c>
      <c r="L465">
        <v>260000</v>
      </c>
      <c r="M465">
        <f>_xll.BDP("79689TAH Muni","YIELD_ON_ISSUE_DATE")</f>
        <v>1.72</v>
      </c>
      <c r="N465">
        <f>_xll.BDP("79689TAH Muni","YTW_SPREAD_TO_MATURITY_AT_ISSU")</f>
        <v>-2.1266493150684962</v>
      </c>
      <c r="O465" t="str">
        <f>_xll.BDP("79689TAH Muni","BVAL_MID_YTM")</f>
        <v>#N/A Authorization</v>
      </c>
      <c r="P465" t="str">
        <f>_xll.BDP("79689TAH Muni","MUNI_TAX_PROV")</f>
        <v>FED &amp; ST TAX-EXEMPT</v>
      </c>
      <c r="Q465" t="str">
        <f>_xll.BDP("79689TAH Muni","MUNI_FED_TAX")</f>
        <v>N</v>
      </c>
      <c r="R465" t="str">
        <f>_xll.BDP("79689TAH Muni","MUNI_MSRB_VOLUME")</f>
        <v>#N/A N/A</v>
      </c>
      <c r="S465" t="str">
        <f>_xll.BDP("79689TAH Muni","BB_COMPOSITE")</f>
        <v>#N/A N/A</v>
      </c>
      <c r="T465">
        <f>_xll.BDP("79689TAH Muni","LQA_LIQUIDITY_SCORE")</f>
        <v>61</v>
      </c>
    </row>
    <row r="466" spans="1:20" x14ac:dyDescent="0.25">
      <c r="A466" t="str">
        <f>_xll.BDP("79689TAJ Muni","ID_CUSIP")</f>
        <v>79689TAJ7</v>
      </c>
      <c r="B466" t="s">
        <v>205</v>
      </c>
      <c r="C466" t="str">
        <f>_xll.BDP("79689TAJ Muni","INSURANCE_STATUS")</f>
        <v>N</v>
      </c>
      <c r="D466" t="str">
        <f>_xll.BDP("79689TAJ Muni","STATE_CODE")</f>
        <v>CA</v>
      </c>
      <c r="E466" t="str">
        <f>_xll.BDP("79689TAJ Muni","COUNTY_LOCATION_ISSUER")</f>
        <v>San Mateo, CA</v>
      </c>
      <c r="F466">
        <f>_xll.BDP("79689TAJ Muni","DUR_ADJ_MID")</f>
        <v>3.5785152343637221</v>
      </c>
      <c r="G466">
        <f>_xll.BDP("79689TAJ Muni","SPREAD_AT_ISSUANCE_TO_WORST")</f>
        <v>-1.117101369863005</v>
      </c>
      <c r="H466" t="str">
        <f>_xll.BDP("79689TAJ Muni","ISSUE_DT")</f>
        <v>12/6/2017</v>
      </c>
      <c r="I466" t="str">
        <f>_xll.BDS("79689TAJ Muni","MUNI_PURPOSE_SCHED", "aggregate=y")</f>
        <v>WATER UTILITY IMPS.</v>
      </c>
      <c r="J466">
        <f>_xll.BDP("79689TAJ Muni","CPN")</f>
        <v>5</v>
      </c>
      <c r="K466" t="str">
        <f>_xll.BDP("79689TAJ Muni","MATURITY")</f>
        <v>7/1/2026</v>
      </c>
      <c r="L466">
        <v>275000</v>
      </c>
      <c r="M466">
        <f>_xll.BDP("79689TAJ Muni","YIELD_ON_ISSUE_DATE")</f>
        <v>1.83</v>
      </c>
      <c r="N466">
        <f>_xll.BDP("79689TAJ Muni","YTW_SPREAD_TO_MATURITY_AT_ISSU")</f>
        <v>-1.117101369863005</v>
      </c>
      <c r="O466" t="str">
        <f>_xll.BDP("79689TAJ Muni","BVAL_MID_YTM")</f>
        <v>#N/A Authorization</v>
      </c>
      <c r="P466" t="str">
        <f>_xll.BDP("79689TAJ Muni","MUNI_TAX_PROV")</f>
        <v>FED &amp; ST TAX-EXEMPT</v>
      </c>
      <c r="Q466" t="str">
        <f>_xll.BDP("79689TAJ Muni","MUNI_FED_TAX")</f>
        <v>N</v>
      </c>
      <c r="R466" t="str">
        <f>_xll.BDP("79689TAJ Muni","MUNI_MSRB_VOLUME")</f>
        <v>#N/A N/A</v>
      </c>
      <c r="S466" t="str">
        <f>_xll.BDP("79689TAJ Muni","BB_COMPOSITE")</f>
        <v>#N/A N/A</v>
      </c>
      <c r="T466">
        <f>_xll.BDP("79689TAJ Muni","LQA_LIQUIDITY_SCORE")</f>
        <v>62</v>
      </c>
    </row>
    <row r="467" spans="1:20" x14ac:dyDescent="0.25">
      <c r="A467" t="str">
        <f>_xll.BDP("728041XK Muni","ID_CUSIP")</f>
        <v>728041XK5</v>
      </c>
      <c r="B467" t="s">
        <v>206</v>
      </c>
      <c r="C467" t="str">
        <f>_xll.BDP("728041XK Muni","INSURANCE_STATUS")</f>
        <v>Y</v>
      </c>
      <c r="D467" t="str">
        <f>_xll.BDP("728041XK Muni","STATE_CODE")</f>
        <v>NY</v>
      </c>
      <c r="E467" t="str">
        <f>_xll.BDP("728041XK Muni","COUNTY_LOCATION_ISSUER")</f>
        <v>Clinton, NY</v>
      </c>
      <c r="F467">
        <f>_xll.BDP("728041XK Muni","DUR_ADJ_MID")</f>
        <v>1.2192168691008178</v>
      </c>
      <c r="G467">
        <f>_xll.BDP("728041XK Muni","SPREAD_AT_ISSUANCE_TO_WORST")</f>
        <v>36.873890410958921</v>
      </c>
      <c r="H467" t="str">
        <f>_xll.BDP("728041XK Muni","ISSUE_DT")</f>
        <v>11/2/2017</v>
      </c>
      <c r="I467" t="str">
        <f>_xll.BDS("728041XK Muni","MUNI_PURPOSE_SCHED", "aggregate=y")</f>
        <v>REFUNDING BONDS WATER UTILITY IMPS. PUBLIC IMPS.</v>
      </c>
      <c r="J467">
        <f>_xll.BDP("728041XK Muni","CPN")</f>
        <v>2.25</v>
      </c>
      <c r="K467" t="str">
        <f>_xll.BDP("728041XK Muni","MATURITY")</f>
        <v>11/1/2023</v>
      </c>
      <c r="L467">
        <v>885000</v>
      </c>
      <c r="M467">
        <f>_xll.BDP("728041XK Muni","YIELD_ON_ISSUE_DATE")</f>
        <v>1.87</v>
      </c>
      <c r="N467">
        <f>_xll.BDP("728041XK Muni","YTW_SPREAD_TO_MATURITY_AT_ISSU")</f>
        <v>36.873890410958921</v>
      </c>
      <c r="O467" t="str">
        <f>_xll.BDP("728041XK Muni","BVAL_MID_YTM")</f>
        <v>#N/A Authorization</v>
      </c>
      <c r="P467" t="str">
        <f>_xll.BDP("728041XK Muni","MUNI_TAX_PROV")</f>
        <v>FED BQ/ST TAX-EXEMPT</v>
      </c>
      <c r="Q467" t="str">
        <f>_xll.BDP("728041XK Muni","MUNI_FED_TAX")</f>
        <v>N</v>
      </c>
      <c r="R467" t="str">
        <f>_xll.BDP("728041XK Muni","MUNI_MSRB_VOLUME")</f>
        <v>#N/A N/A</v>
      </c>
      <c r="S467" t="str">
        <f>_xll.BDP("728041XK Muni","BB_COMPOSITE")</f>
        <v>A</v>
      </c>
      <c r="T467">
        <f>_xll.BDP("728041XK Muni","LQA_LIQUIDITY_SCORE")</f>
        <v>78</v>
      </c>
    </row>
    <row r="468" spans="1:20" x14ac:dyDescent="0.25">
      <c r="A468" t="str">
        <f>_xll.BDP("728857MJ Muni","ID_CUSIP")</f>
        <v>728857MJ9</v>
      </c>
      <c r="B468" t="s">
        <v>207</v>
      </c>
      <c r="C468" t="str">
        <f>_xll.BDP("728857MJ Muni","INSURANCE_STATUS")</f>
        <v>N</v>
      </c>
      <c r="D468" t="str">
        <f>_xll.BDP("728857MJ Muni","STATE_CODE")</f>
        <v>TX</v>
      </c>
      <c r="E468" t="str">
        <f>_xll.BDP("728857MJ Muni","COUNTY_LOCATION_ISSUER")</f>
        <v>Atascosa, TX</v>
      </c>
      <c r="F468">
        <f>_xll.BDP("728857MJ Muni","DUR_ADJ_MID")</f>
        <v>0.98123907190319648</v>
      </c>
      <c r="G468">
        <f>_xll.BDP("728857MJ Muni","SPREAD_AT_ISSUANCE_TO_WORST")</f>
        <v>28.25118356164382</v>
      </c>
      <c r="H468" t="str">
        <f>_xll.BDP("728857MJ Muni","ISSUE_DT")</f>
        <v>9/1/2017</v>
      </c>
      <c r="I468" t="str">
        <f>_xll.BDS("728857MJ Muni","MUNI_PURPOSE_SCHED", "aggregate=y")</f>
        <v>PUBLIC IMPS. WATER UTILITY IMPS. SEWER IMPS.</v>
      </c>
      <c r="J468">
        <f>_xll.BDP("728857MJ Muni","CPN")</f>
        <v>3</v>
      </c>
      <c r="K468" t="str">
        <f>_xll.BDP("728857MJ Muni","MATURITY")</f>
        <v>8/1/2023</v>
      </c>
      <c r="L468">
        <v>85000</v>
      </c>
      <c r="M468">
        <f>_xll.BDP("728857MJ Muni","YIELD_ON_ISSUE_DATE")</f>
        <v>1.6500000000000001</v>
      </c>
      <c r="N468">
        <f>_xll.BDP("728857MJ Muni","YTW_SPREAD_TO_MATURITY_AT_ISSU")</f>
        <v>28.25118356164382</v>
      </c>
      <c r="O468" t="str">
        <f>_xll.BDP("728857MJ Muni","BVAL_MID_YTM")</f>
        <v>#N/A Authorization</v>
      </c>
      <c r="P468" t="str">
        <f>_xll.BDP("728857MJ Muni","MUNI_TAX_PROV")</f>
        <v>FED BQ</v>
      </c>
      <c r="Q468" t="str">
        <f>_xll.BDP("728857MJ Muni","MUNI_FED_TAX")</f>
        <v>N</v>
      </c>
      <c r="R468" t="str">
        <f>_xll.BDP("728857MJ Muni","MUNI_MSRB_VOLUME")</f>
        <v>#N/A N/A</v>
      </c>
      <c r="S468" t="str">
        <f>_xll.BDP("728857MJ Muni","BB_COMPOSITE")</f>
        <v>#N/A N/A</v>
      </c>
      <c r="T468">
        <f>_xll.BDP("728857MJ Muni","LQA_LIQUIDITY_SCORE")</f>
        <v>80</v>
      </c>
    </row>
    <row r="469" spans="1:20" x14ac:dyDescent="0.25">
      <c r="A469" t="str">
        <f>_xll.BDP("729654TL Muni","ID_CUSIP")</f>
        <v>729654TL7</v>
      </c>
      <c r="B469" t="s">
        <v>69</v>
      </c>
      <c r="C469" t="str">
        <f>_xll.BDP("729654TL Muni","INSURANCE_STATUS")</f>
        <v>N</v>
      </c>
      <c r="D469" t="str">
        <f>_xll.BDP("729654TL Muni","STATE_CODE")</f>
        <v>MA</v>
      </c>
      <c r="E469" t="str">
        <f>_xll.BDP("729654TL Muni","COUNTY_LOCATION_ISSUER")</f>
        <v>Plymouth, MA</v>
      </c>
      <c r="F469">
        <f>_xll.BDP("729654TL Muni","DUR_ADJ_MID")</f>
        <v>4.2361205057475662</v>
      </c>
      <c r="G469">
        <f>_xll.BDP("729654TL Muni","SPREAD_AT_ISSUANCE_TO_WORST")</f>
        <v>18.675019820474237</v>
      </c>
      <c r="H469" t="str">
        <f>_xll.BDP("729654TL Muni","ISSUE_DT")</f>
        <v>5/4/2017</v>
      </c>
      <c r="I469" t="str">
        <f>_xll.BDS("729654TL Muni","MUNI_PURPOSE_SCHED", "aggregate=y")</f>
        <v>REFUNDING NOTES WATER UTILITY IMPS. PUBLIC IMPS.</v>
      </c>
      <c r="J469">
        <f>_xll.BDP("729654TL Muni","CPN")</f>
        <v>5</v>
      </c>
      <c r="K469" t="str">
        <f>_xll.BDP("729654TL Muni","MATURITY")</f>
        <v>5/1/2027</v>
      </c>
      <c r="L469">
        <v>2810000</v>
      </c>
      <c r="M469">
        <f>_xll.BDP("729654TL Muni","YIELD_ON_ISSUE_DATE")</f>
        <v>2.3000000000000003</v>
      </c>
      <c r="N469">
        <f>_xll.BDP("729654TL Muni","YTW_SPREAD_TO_MATURITY_AT_ISSU")</f>
        <v>18.675019820474237</v>
      </c>
      <c r="O469" t="str">
        <f>_xll.BDP("729654TL Muni","BVAL_MID_YTM")</f>
        <v>#N/A Authorization</v>
      </c>
      <c r="P469" t="str">
        <f>_xll.BDP("729654TL Muni","MUNI_TAX_PROV")</f>
        <v>FED &amp; ST TAX-EXEMPT</v>
      </c>
      <c r="Q469" t="str">
        <f>_xll.BDP("729654TL Muni","MUNI_FED_TAX")</f>
        <v>N</v>
      </c>
      <c r="R469">
        <f>_xll.BDP("729654TL Muni","MUNI_MSRB_VOLUME")</f>
        <v>110000</v>
      </c>
      <c r="S469" t="str">
        <f>_xll.BDP("729654TL Muni","BB_COMPOSITE")</f>
        <v>AA</v>
      </c>
      <c r="T469">
        <f>_xll.BDP("729654TL Muni","LQA_LIQUIDITY_SCORE")</f>
        <v>74</v>
      </c>
    </row>
    <row r="470" spans="1:20" x14ac:dyDescent="0.25">
      <c r="A470" t="str">
        <f>_xll.BDP("751140AF Muni","ID_CUSIP")</f>
        <v>751140AF1</v>
      </c>
      <c r="B470" t="s">
        <v>208</v>
      </c>
      <c r="C470" t="str">
        <f>_xll.BDP("751140AF Muni","INSURANCE_STATUS")</f>
        <v>N</v>
      </c>
      <c r="D470" t="str">
        <f>_xll.BDP("751140AF Muni","STATE_CODE")</f>
        <v>MO</v>
      </c>
      <c r="E470" t="str">
        <f>_xll.BDP("751140AF Muni","COUNTY_LOCATION_ISSUER")</f>
        <v>Marion, MO</v>
      </c>
      <c r="F470">
        <f>_xll.BDP("751140AF Muni","DUR_ADJ_MID")</f>
        <v>0.56611894668859308</v>
      </c>
      <c r="G470">
        <f>_xll.BDP("751140AF Muni","SPREAD_AT_ISSUANCE_TO_WORST")</f>
        <v>80.025694886833378</v>
      </c>
      <c r="H470" t="str">
        <f>_xll.BDP("751140AF Muni","ISSUE_DT")</f>
        <v>4/27/2017</v>
      </c>
      <c r="I470" t="str">
        <f>_xll.BDS("751140AF Muni","MUNI_PURPOSE_SCHED", "aggregate=y")</f>
        <v>WATER UTILITY IMPS. REFUNDING BONDS</v>
      </c>
      <c r="J470">
        <f>_xll.BDP("751140AF Muni","CPN")</f>
        <v>4</v>
      </c>
      <c r="K470" t="str">
        <f>_xll.BDP("751140AF Muni","MATURITY")</f>
        <v>3/1/2023</v>
      </c>
      <c r="L470">
        <v>475000</v>
      </c>
      <c r="M470">
        <f>_xll.BDP("751140AF Muni","YIELD_ON_ISSUE_DATE")</f>
        <v>2.2600000000000002</v>
      </c>
      <c r="N470">
        <f>_xll.BDP("751140AF Muni","YTW_SPREAD_TO_MATURITY_AT_ISSU")</f>
        <v>80.025694886833378</v>
      </c>
      <c r="O470" t="str">
        <f>_xll.BDP("751140AF Muni","BVAL_MID_YTM")</f>
        <v>#N/A Authorization</v>
      </c>
      <c r="P470" t="str">
        <f>_xll.BDP("751140AF Muni","MUNI_TAX_PROV")</f>
        <v>FED &amp; ST TAX-EXEMPT</v>
      </c>
      <c r="Q470" t="str">
        <f>_xll.BDP("751140AF Muni","MUNI_FED_TAX")</f>
        <v>N</v>
      </c>
      <c r="R470">
        <f>_xll.BDP("751140AF Muni","MUNI_MSRB_VOLUME")</f>
        <v>20000</v>
      </c>
      <c r="S470" t="str">
        <f>_xll.BDP("751140AF Muni","BB_COMPOSITE")</f>
        <v>#N/A N/A</v>
      </c>
      <c r="T470">
        <f>_xll.BDP("751140AF Muni","LQA_LIQUIDITY_SCORE")</f>
        <v>98</v>
      </c>
    </row>
    <row r="471" spans="1:20" x14ac:dyDescent="0.25">
      <c r="A471" t="str">
        <f>_xll.BDP("751140AJ Muni","ID_CUSIP")</f>
        <v>751140AJ3</v>
      </c>
      <c r="B471" t="s">
        <v>208</v>
      </c>
      <c r="C471" t="str">
        <f>_xll.BDP("751140AJ Muni","INSURANCE_STATUS")</f>
        <v>N</v>
      </c>
      <c r="D471" t="str">
        <f>_xll.BDP("751140AJ Muni","STATE_CODE")</f>
        <v>MO</v>
      </c>
      <c r="E471" t="str">
        <f>_xll.BDP("751140AJ Muni","COUNTY_LOCATION_ISSUER")</f>
        <v>Marion, MO</v>
      </c>
      <c r="F471">
        <f>_xll.BDP("751140AJ Muni","DUR_ADJ_MID")</f>
        <v>3.2854194641971843</v>
      </c>
      <c r="G471">
        <f>_xll.BDP("751140AJ Muni","SPREAD_AT_ISSUANCE_TO_WORST")</f>
        <v>89.078921473484527</v>
      </c>
      <c r="H471" t="str">
        <f>_xll.BDP("751140AJ Muni","ISSUE_DT")</f>
        <v>4/27/2017</v>
      </c>
      <c r="I471" t="str">
        <f>_xll.BDS("751140AJ Muni","MUNI_PURPOSE_SCHED", "aggregate=y")</f>
        <v>WATER UTILITY IMPS. REFUNDING BONDS</v>
      </c>
      <c r="J471">
        <f>_xll.BDP("751140AJ Muni","CPN")</f>
        <v>4</v>
      </c>
      <c r="K471" t="str">
        <f>_xll.BDP("751140AJ Muni","MATURITY")</f>
        <v>3/1/2026</v>
      </c>
      <c r="L471">
        <v>535000</v>
      </c>
      <c r="M471">
        <f>_xll.BDP("751140AJ Muni","YIELD_ON_ISSUE_DATE")</f>
        <v>2.82</v>
      </c>
      <c r="N471">
        <f>_xll.BDP("751140AJ Muni","YTW_SPREAD_TO_MATURITY_AT_ISSU")</f>
        <v>89.078921473484527</v>
      </c>
      <c r="O471" t="str">
        <f>_xll.BDP("751140AJ Muni","BVAL_MID_YTM")</f>
        <v>#N/A Authorization</v>
      </c>
      <c r="P471" t="str">
        <f>_xll.BDP("751140AJ Muni","MUNI_TAX_PROV")</f>
        <v>FED &amp; ST TAX-EXEMPT</v>
      </c>
      <c r="Q471" t="str">
        <f>_xll.BDP("751140AJ Muni","MUNI_FED_TAX")</f>
        <v>N</v>
      </c>
      <c r="R471" t="str">
        <f>_xll.BDP("751140AJ Muni","MUNI_MSRB_VOLUME")</f>
        <v>#N/A N/A</v>
      </c>
      <c r="S471" t="str">
        <f>_xll.BDP("751140AJ Muni","BB_COMPOSITE")</f>
        <v>#N/A N/A</v>
      </c>
      <c r="T471">
        <f>_xll.BDP("751140AJ Muni","LQA_LIQUIDITY_SCORE")</f>
        <v>64</v>
      </c>
    </row>
    <row r="472" spans="1:20" x14ac:dyDescent="0.25">
      <c r="A472" t="str">
        <f>_xll.BDP("836809HD Muni","ID_CUSIP")</f>
        <v>836809HD8</v>
      </c>
      <c r="B472" t="s">
        <v>209</v>
      </c>
      <c r="C472" t="str">
        <f>_xll.BDP("836809HD Muni","INSURANCE_STATUS")</f>
        <v>Y</v>
      </c>
      <c r="D472" t="str">
        <f>_xll.BDP("836809HD Muni","STATE_CODE")</f>
        <v>TX</v>
      </c>
      <c r="E472" t="str">
        <f>_xll.BDP("836809HD Muni","COUNTY_LOCATION_ISSUER")</f>
        <v>Hays, TX</v>
      </c>
      <c r="F472">
        <f>_xll.BDP("836809HD Muni","DUR_ADJ_MID")</f>
        <v>1.9433021929421344</v>
      </c>
      <c r="G472">
        <f>_xll.BDP("836809HD Muni","SPREAD_AT_ISSUANCE_TO_WORST")</f>
        <v>45.928859787950941</v>
      </c>
      <c r="H472" t="str">
        <f>_xll.BDP("836809HD Muni","ISSUE_DT")</f>
        <v>2/23/2017</v>
      </c>
      <c r="I472" t="str">
        <f>_xll.BDS("836809HD Muni","MUNI_PURPOSE_SCHED", "aggregate=y")</f>
        <v>WATER UTILITY IMPS. SEWER IMPS.</v>
      </c>
      <c r="J472">
        <f>_xll.BDP("836809HD Muni","CPN")</f>
        <v>2.25</v>
      </c>
      <c r="K472" t="str">
        <f>_xll.BDP("836809HD Muni","MATURITY")</f>
        <v>8/1/2024</v>
      </c>
      <c r="L472">
        <v>145000</v>
      </c>
      <c r="M472">
        <f>_xll.BDP("836809HD Muni","YIELD_ON_ISSUE_DATE")</f>
        <v>2.5500000000000003</v>
      </c>
      <c r="N472">
        <f>_xll.BDP("836809HD Muni","YTW_SPREAD_TO_MATURITY_AT_ISSU")</f>
        <v>45.928859787950941</v>
      </c>
      <c r="O472" t="str">
        <f>_xll.BDP("836809HD Muni","BVAL_MID_YTM")</f>
        <v>#N/A Authorization</v>
      </c>
      <c r="P472" t="str">
        <f>_xll.BDP("836809HD Muni","MUNI_TAX_PROV")</f>
        <v>FED BQ</v>
      </c>
      <c r="Q472" t="str">
        <f>_xll.BDP("836809HD Muni","MUNI_FED_TAX")</f>
        <v>N</v>
      </c>
      <c r="R472" t="str">
        <f>_xll.BDP("836809HD Muni","MUNI_MSRB_VOLUME")</f>
        <v>#N/A N/A</v>
      </c>
      <c r="S472" t="str">
        <f>_xll.BDP("836809HD Muni","BB_COMPOSITE")</f>
        <v>#N/A N/A</v>
      </c>
      <c r="T472">
        <f>_xll.BDP("836809HD Muni","LQA_LIQUIDITY_SCORE")</f>
        <v>72</v>
      </c>
    </row>
    <row r="473" spans="1:20" x14ac:dyDescent="0.25">
      <c r="A473" t="str">
        <f>_xll.BDP("837545LH Muni","ID_CUSIP")</f>
        <v>837545LH3</v>
      </c>
      <c r="B473" t="s">
        <v>24</v>
      </c>
      <c r="C473" t="str">
        <f>_xll.BDP("837545LH Muni","INSURANCE_STATUS")</f>
        <v>N</v>
      </c>
      <c r="D473" t="str">
        <f>_xll.BDP("837545LH Muni","STATE_CODE")</f>
        <v>SD</v>
      </c>
      <c r="E473" t="str">
        <f>_xll.BDP("837545LH Muni","COUNTY_LOCATION_ISSUER")</f>
        <v>Hughes, SD</v>
      </c>
      <c r="F473">
        <f>_xll.BDP("837545LH Muni","DUR_ADJ_MID")</f>
        <v>0.97779212651368719</v>
      </c>
      <c r="G473">
        <f>_xll.BDP("837545LH Muni","SPREAD_AT_ISSUANCE_TO_WORST")</f>
        <v>5.4019794444659652E-2</v>
      </c>
      <c r="H473" t="str">
        <f>_xll.BDP("837545LH Muni","ISSUE_DT")</f>
        <v>8/23/2017</v>
      </c>
      <c r="I473" t="str">
        <f>_xll.BDS("837545LH Muni","MUNI_PURPOSE_SCHED", "aggregate=y")</f>
        <v>WATER UTILITY IMPS. SEWER IMPS. ADVANCE REFUNDING</v>
      </c>
      <c r="J473">
        <f>_xll.BDP("837545LH Muni","CPN")</f>
        <v>5</v>
      </c>
      <c r="K473" t="str">
        <f>_xll.BDP("837545LH Muni","MATURITY")</f>
        <v>8/1/2023</v>
      </c>
      <c r="L473">
        <v>3980000</v>
      </c>
      <c r="M473">
        <f>_xll.BDP("837545LH Muni","YIELD_ON_ISSUE_DATE")</f>
        <v>1.36</v>
      </c>
      <c r="N473">
        <f>_xll.BDP("837545LH Muni","YTW_SPREAD_TO_MATURITY_AT_ISSU")</f>
        <v>5.4019794444659652E-2</v>
      </c>
      <c r="O473" t="str">
        <f>_xll.BDP("837545LH Muni","BVAL_MID_YTM")</f>
        <v>#N/A Authorization</v>
      </c>
      <c r="P473" t="str">
        <f>_xll.BDP("837545LH Muni","MUNI_TAX_PROV")</f>
        <v>FED TAX-EXEMPT</v>
      </c>
      <c r="Q473" t="str">
        <f>_xll.BDP("837545LH Muni","MUNI_FED_TAX")</f>
        <v>N</v>
      </c>
      <c r="R473">
        <f>_xll.BDP("837545LH Muni","MUNI_MSRB_VOLUME")</f>
        <v>30000</v>
      </c>
      <c r="S473" t="str">
        <f>_xll.BDP("837545LH Muni","BB_COMPOSITE")</f>
        <v>AAA</v>
      </c>
      <c r="T473">
        <f>_xll.BDP("837545LH Muni","LQA_LIQUIDITY_SCORE")</f>
        <v>85</v>
      </c>
    </row>
    <row r="474" spans="1:20" x14ac:dyDescent="0.25">
      <c r="A474" t="str">
        <f>_xll.BDP("822346JC Muni","ID_CUSIP")</f>
        <v>822346JC7</v>
      </c>
      <c r="B474" t="s">
        <v>210</v>
      </c>
      <c r="C474" t="str">
        <f>_xll.BDP("822346JC Muni","INSURANCE_STATUS")</f>
        <v>N</v>
      </c>
      <c r="D474" t="str">
        <f>_xll.BDP("822346JC Muni","STATE_CODE")</f>
        <v>TN</v>
      </c>
      <c r="E474" t="str">
        <f>_xll.BDP("822346JC Muni","COUNTY_LOCATION_ISSUER")</f>
        <v>Bedford, TN</v>
      </c>
      <c r="F474">
        <f>_xll.BDP("822346JC Muni","DUR_ADJ_MID")</f>
        <v>0.97912637094897115</v>
      </c>
      <c r="G474">
        <f>_xll.BDP("822346JC Muni","SPREAD_AT_ISSUANCE_TO_WORST")</f>
        <v>9.6834220701643261</v>
      </c>
      <c r="H474" t="str">
        <f>_xll.BDP("822346JC Muni","ISSUE_DT")</f>
        <v>7/26/2017</v>
      </c>
      <c r="I474" t="str">
        <f>_xll.BDS("822346JC Muni","MUNI_PURPOSE_SCHED", "aggregate=y")</f>
        <v>CURRENT REFUNDING WATER UTILITY IMPS. SEWER IMPS.</v>
      </c>
      <c r="J474">
        <f>_xll.BDP("822346JC Muni","CPN")</f>
        <v>4</v>
      </c>
      <c r="K474" t="str">
        <f>_xll.BDP("822346JC Muni","MATURITY")</f>
        <v>8/1/2023</v>
      </c>
      <c r="L474">
        <v>160000</v>
      </c>
      <c r="M474">
        <f>_xll.BDP("822346JC Muni","YIELD_ON_ISSUE_DATE")</f>
        <v>1.55</v>
      </c>
      <c r="N474">
        <f>_xll.BDP("822346JC Muni","YTW_SPREAD_TO_MATURITY_AT_ISSU")</f>
        <v>9.6834220701643261</v>
      </c>
      <c r="O474" t="str">
        <f>_xll.BDP("822346JC Muni","BVAL_MID_YTM")</f>
        <v>#N/A Authorization</v>
      </c>
      <c r="P474" t="str">
        <f>_xll.BDP("822346JC Muni","MUNI_TAX_PROV")</f>
        <v>FED BQ/ST TAX-EXEMPT</v>
      </c>
      <c r="Q474" t="str">
        <f>_xll.BDP("822346JC Muni","MUNI_FED_TAX")</f>
        <v>N</v>
      </c>
      <c r="R474" t="str">
        <f>_xll.BDP("822346JC Muni","MUNI_MSRB_VOLUME")</f>
        <v>#N/A N/A</v>
      </c>
      <c r="S474" t="str">
        <f>_xll.BDP("822346JC Muni","BB_COMPOSITE")</f>
        <v>#N/A N/A</v>
      </c>
      <c r="T474">
        <f>_xll.BDP("822346JC Muni","LQA_LIQUIDITY_SCORE")</f>
        <v>81</v>
      </c>
    </row>
    <row r="475" spans="1:20" x14ac:dyDescent="0.25">
      <c r="A475" t="str">
        <f>_xll.BDP("683548CJ Muni","ID_CUSIP")</f>
        <v>683548CJ8</v>
      </c>
      <c r="B475" t="s">
        <v>73</v>
      </c>
      <c r="C475" t="str">
        <f>_xll.BDP("683548CJ Muni","INSURANCE_STATUS")</f>
        <v>N</v>
      </c>
      <c r="D475" t="str">
        <f>_xll.BDP("683548CJ Muni","STATE_CODE")</f>
        <v>AL</v>
      </c>
      <c r="E475" t="str">
        <f>_xll.BDP("683548CJ Muni","COUNTY_LOCATION_ISSUER")</f>
        <v>Lee, AL</v>
      </c>
      <c r="F475">
        <f>_xll.BDP("683548CJ Muni","DUR_ADJ_MID")</f>
        <v>0.82008154471544292</v>
      </c>
      <c r="G475">
        <f>_xll.BDP("683548CJ Muni","SPREAD_AT_ISSUANCE_TO_WORST")</f>
        <v>40.449187102555143</v>
      </c>
      <c r="H475" t="str">
        <f>_xll.BDP("683548CJ Muni","ISSUE_DT")</f>
        <v>6/6/2017</v>
      </c>
      <c r="I475" t="str">
        <f>_xll.BDS("683548CJ Muni","MUNI_PURPOSE_SCHED", "aggregate=y")</f>
        <v>ADVANCE REFUNDING WATER UTILITY IMPS.</v>
      </c>
      <c r="J475">
        <f>_xll.BDP("683548CJ Muni","CPN")</f>
        <v>1.9</v>
      </c>
      <c r="K475" t="str">
        <f>_xll.BDP("683548CJ Muni","MATURITY")</f>
        <v>6/1/2023</v>
      </c>
      <c r="L475">
        <v>880000</v>
      </c>
      <c r="M475">
        <f>_xll.BDP("683548CJ Muni","YIELD_ON_ISSUE_DATE")</f>
        <v>1.95</v>
      </c>
      <c r="N475">
        <f>_xll.BDP("683548CJ Muni","YTW_SPREAD_TO_MATURITY_AT_ISSU")</f>
        <v>40.449187102555143</v>
      </c>
      <c r="O475" t="str">
        <f>_xll.BDP("683548CJ Muni","BVAL_MID_YTM")</f>
        <v>#N/A Authorization</v>
      </c>
      <c r="P475" t="str">
        <f>_xll.BDP("683548CJ Muni","MUNI_TAX_PROV")</f>
        <v>FED &amp; ST TAX-EXEMPT</v>
      </c>
      <c r="Q475" t="str">
        <f>_xll.BDP("683548CJ Muni","MUNI_FED_TAX")</f>
        <v>N</v>
      </c>
      <c r="R475" t="str">
        <f>_xll.BDP("683548CJ Muni","MUNI_MSRB_VOLUME")</f>
        <v>#N/A N/A</v>
      </c>
      <c r="S475" t="str">
        <f>_xll.BDP("683548CJ Muni","BB_COMPOSITE")</f>
        <v>A+</v>
      </c>
      <c r="T475">
        <f>_xll.BDP("683548CJ Muni","LQA_LIQUIDITY_SCORE")</f>
        <v>71</v>
      </c>
    </row>
    <row r="476" spans="1:20" x14ac:dyDescent="0.25">
      <c r="A476" t="str">
        <f>_xll.BDP("683548CK Muni","ID_CUSIP")</f>
        <v>683548CK5</v>
      </c>
      <c r="B476" t="s">
        <v>73</v>
      </c>
      <c r="C476" t="str">
        <f>_xll.BDP("683548CK Muni","INSURANCE_STATUS")</f>
        <v>N</v>
      </c>
      <c r="D476" t="str">
        <f>_xll.BDP("683548CK Muni","STATE_CODE")</f>
        <v>AL</v>
      </c>
      <c r="E476" t="str">
        <f>_xll.BDP("683548CK Muni","COUNTY_LOCATION_ISSUER")</f>
        <v>Lee, AL</v>
      </c>
      <c r="F476">
        <f>_xll.BDP("683548CK Muni","DUR_ADJ_MID")</f>
        <v>1.7852893797913734</v>
      </c>
      <c r="G476">
        <f>_xll.BDP("683548CK Muni","SPREAD_AT_ISSUANCE_TO_WORST")</f>
        <v>46.060820085660566</v>
      </c>
      <c r="H476" t="str">
        <f>_xll.BDP("683548CK Muni","ISSUE_DT")</f>
        <v>6/6/2017</v>
      </c>
      <c r="I476" t="str">
        <f>_xll.BDS("683548CK Muni","MUNI_PURPOSE_SCHED", "aggregate=y")</f>
        <v>ADVANCE REFUNDING WATER UTILITY IMPS.</v>
      </c>
      <c r="J476">
        <f>_xll.BDP("683548CK Muni","CPN")</f>
        <v>2</v>
      </c>
      <c r="K476" t="str">
        <f>_xll.BDP("683548CK Muni","MATURITY")</f>
        <v>6/1/2024</v>
      </c>
      <c r="L476">
        <v>900000</v>
      </c>
      <c r="M476">
        <f>_xll.BDP("683548CK Muni","YIELD_ON_ISSUE_DATE")</f>
        <v>2.17</v>
      </c>
      <c r="N476">
        <f>_xll.BDP("683548CK Muni","YTW_SPREAD_TO_MATURITY_AT_ISSU")</f>
        <v>46.060820085660566</v>
      </c>
      <c r="O476" t="str">
        <f>_xll.BDP("683548CK Muni","BVAL_MID_YTM")</f>
        <v>#N/A Authorization</v>
      </c>
      <c r="P476" t="str">
        <f>_xll.BDP("683548CK Muni","MUNI_TAX_PROV")</f>
        <v>FED &amp; ST TAX-EXEMPT</v>
      </c>
      <c r="Q476" t="str">
        <f>_xll.BDP("683548CK Muni","MUNI_FED_TAX")</f>
        <v>N</v>
      </c>
      <c r="R476" t="str">
        <f>_xll.BDP("683548CK Muni","MUNI_MSRB_VOLUME")</f>
        <v>#N/A N/A</v>
      </c>
      <c r="S476" t="str">
        <f>_xll.BDP("683548CK Muni","BB_COMPOSITE")</f>
        <v>A+</v>
      </c>
      <c r="T476">
        <f>_xll.BDP("683548CK Muni","LQA_LIQUIDITY_SCORE")</f>
        <v>55</v>
      </c>
    </row>
    <row r="477" spans="1:20" x14ac:dyDescent="0.25">
      <c r="A477" t="str">
        <f>_xll.BDP("683548CL Muni","ID_CUSIP")</f>
        <v>683548CL3</v>
      </c>
      <c r="B477" t="s">
        <v>73</v>
      </c>
      <c r="C477" t="str">
        <f>_xll.BDP("683548CL Muni","INSURANCE_STATUS")</f>
        <v>N</v>
      </c>
      <c r="D477" t="str">
        <f>_xll.BDP("683548CL Muni","STATE_CODE")</f>
        <v>AL</v>
      </c>
      <c r="E477" t="str">
        <f>_xll.BDP("683548CL Muni","COUNTY_LOCATION_ISSUER")</f>
        <v>Lee, AL</v>
      </c>
      <c r="F477">
        <f>_xll.BDP("683548CL Muni","DUR_ADJ_MID")</f>
        <v>2.6370003209053281</v>
      </c>
      <c r="G477">
        <f>_xll.BDP("683548CL Muni","SPREAD_AT_ISSUANCE_TO_WORST")</f>
        <v>52.855513958723542</v>
      </c>
      <c r="H477" t="str">
        <f>_xll.BDP("683548CL Muni","ISSUE_DT")</f>
        <v>6/6/2017</v>
      </c>
      <c r="I477" t="str">
        <f>_xll.BDS("683548CL Muni","MUNI_PURPOSE_SCHED", "aggregate=y")</f>
        <v>ADVANCE REFUNDING WATER UTILITY IMPS.</v>
      </c>
      <c r="J477">
        <f>_xll.BDP("683548CL Muni","CPN")</f>
        <v>5</v>
      </c>
      <c r="K477" t="str">
        <f>_xll.BDP("683548CL Muni","MATURITY")</f>
        <v>6/1/2025</v>
      </c>
      <c r="L477">
        <v>910000</v>
      </c>
      <c r="M477">
        <f>_xll.BDP("683548CL Muni","YIELD_ON_ISSUE_DATE")</f>
        <v>2.4000000000000004</v>
      </c>
      <c r="N477">
        <f>_xll.BDP("683548CL Muni","YTW_SPREAD_TO_MATURITY_AT_ISSU")</f>
        <v>52.855513958723542</v>
      </c>
      <c r="O477" t="str">
        <f>_xll.BDP("683548CL Muni","BVAL_MID_YTM")</f>
        <v>#N/A Authorization</v>
      </c>
      <c r="P477" t="str">
        <f>_xll.BDP("683548CL Muni","MUNI_TAX_PROV")</f>
        <v>FED &amp; ST TAX-EXEMPT</v>
      </c>
      <c r="Q477" t="str">
        <f>_xll.BDP("683548CL Muni","MUNI_FED_TAX")</f>
        <v>N</v>
      </c>
      <c r="R477">
        <f>_xll.BDP("683548CL Muni","MUNI_MSRB_VOLUME")</f>
        <v>300000</v>
      </c>
      <c r="S477" t="str">
        <f>_xll.BDP("683548CL Muni","BB_COMPOSITE")</f>
        <v>A+</v>
      </c>
      <c r="T477">
        <f>_xll.BDP("683548CL Muni","LQA_LIQUIDITY_SCORE")</f>
        <v>68</v>
      </c>
    </row>
    <row r="478" spans="1:20" x14ac:dyDescent="0.25">
      <c r="A478" t="str">
        <f>_xll.BDP("683548CM Muni","ID_CUSIP")</f>
        <v>683548CM1</v>
      </c>
      <c r="B478" t="s">
        <v>73</v>
      </c>
      <c r="C478" t="str">
        <f>_xll.BDP("683548CM Muni","INSURANCE_STATUS")</f>
        <v>N</v>
      </c>
      <c r="D478" t="str">
        <f>_xll.BDP("683548CM Muni","STATE_CODE")</f>
        <v>AL</v>
      </c>
      <c r="E478" t="str">
        <f>_xll.BDP("683548CM Muni","COUNTY_LOCATION_ISSUER")</f>
        <v>Lee, AL</v>
      </c>
      <c r="F478">
        <f>_xll.BDP("683548CM Muni","DUR_ADJ_MID")</f>
        <v>3.4904413813794997</v>
      </c>
      <c r="G478">
        <f>_xll.BDP("683548CM Muni","SPREAD_AT_ISSUANCE_TO_WORST")</f>
        <v>54.319856902479735</v>
      </c>
      <c r="H478" t="str">
        <f>_xll.BDP("683548CM Muni","ISSUE_DT")</f>
        <v>6/6/2017</v>
      </c>
      <c r="I478" t="str">
        <f>_xll.BDS("683548CM Muni","MUNI_PURPOSE_SCHED", "aggregate=y")</f>
        <v>ADVANCE REFUNDING WATER UTILITY IMPS.</v>
      </c>
      <c r="J478">
        <f>_xll.BDP("683548CM Muni","CPN")</f>
        <v>5</v>
      </c>
      <c r="K478" t="str">
        <f>_xll.BDP("683548CM Muni","MATURITY")</f>
        <v>6/1/2026</v>
      </c>
      <c r="L478">
        <v>955000</v>
      </c>
      <c r="M478">
        <f>_xll.BDP("683548CM Muni","YIELD_ON_ISSUE_DATE")</f>
        <v>2.56</v>
      </c>
      <c r="N478">
        <f>_xll.BDP("683548CM Muni","YTW_SPREAD_TO_MATURITY_AT_ISSU")</f>
        <v>54.319856902479735</v>
      </c>
      <c r="O478" t="str">
        <f>_xll.BDP("683548CM Muni","BVAL_MID_YTM")</f>
        <v>#N/A Authorization</v>
      </c>
      <c r="P478" t="str">
        <f>_xll.BDP("683548CM Muni","MUNI_TAX_PROV")</f>
        <v>FED &amp; ST TAX-EXEMPT</v>
      </c>
      <c r="Q478" t="str">
        <f>_xll.BDP("683548CM Muni","MUNI_FED_TAX")</f>
        <v>N</v>
      </c>
      <c r="R478">
        <f>_xll.BDP("683548CM Muni","MUNI_MSRB_VOLUME")</f>
        <v>300000</v>
      </c>
      <c r="S478" t="str">
        <f>_xll.BDP("683548CM Muni","BB_COMPOSITE")</f>
        <v>A+</v>
      </c>
      <c r="T478">
        <f>_xll.BDP("683548CM Muni","LQA_LIQUIDITY_SCORE")</f>
        <v>61</v>
      </c>
    </row>
    <row r="479" spans="1:20" x14ac:dyDescent="0.25">
      <c r="A479" t="str">
        <f>_xll.BDP("683548CN Muni","ID_CUSIP")</f>
        <v>683548CN9</v>
      </c>
      <c r="B479" t="s">
        <v>73</v>
      </c>
      <c r="C479" t="str">
        <f>_xll.BDP("683548CN Muni","INSURANCE_STATUS")</f>
        <v>N</v>
      </c>
      <c r="D479" t="str">
        <f>_xll.BDP("683548CN Muni","STATE_CODE")</f>
        <v>AL</v>
      </c>
      <c r="E479" t="str">
        <f>_xll.BDP("683548CN Muni","COUNTY_LOCATION_ISSUER")</f>
        <v>Lee, AL</v>
      </c>
      <c r="F479">
        <f>_xll.BDP("683548CN Muni","DUR_ADJ_MID")</f>
        <v>4.3087467201484255</v>
      </c>
      <c r="G479">
        <f>_xll.BDP("683548CN Muni","SPREAD_AT_ISSUANCE_TO_WORST")</f>
        <v>53.445713417328953</v>
      </c>
      <c r="H479" t="str">
        <f>_xll.BDP("683548CN Muni","ISSUE_DT")</f>
        <v>6/6/2017</v>
      </c>
      <c r="I479" t="str">
        <f>_xll.BDS("683548CN Muni","MUNI_PURPOSE_SCHED", "aggregate=y")</f>
        <v>ADVANCE REFUNDING WATER UTILITY IMPS.</v>
      </c>
      <c r="J479">
        <f>_xll.BDP("683548CN Muni","CPN")</f>
        <v>5</v>
      </c>
      <c r="K479" t="str">
        <f>_xll.BDP("683548CN Muni","MATURITY")</f>
        <v>6/1/2027</v>
      </c>
      <c r="L479">
        <v>1005000</v>
      </c>
      <c r="M479">
        <f>_xll.BDP("683548CN Muni","YIELD_ON_ISSUE_DATE")</f>
        <v>2.67</v>
      </c>
      <c r="N479">
        <f>_xll.BDP("683548CN Muni","YTW_SPREAD_TO_MATURITY_AT_ISSU")</f>
        <v>53.445713417328953</v>
      </c>
      <c r="O479" t="str">
        <f>_xll.BDP("683548CN Muni","BVAL_MID_YTM")</f>
        <v>#N/A Authorization</v>
      </c>
      <c r="P479" t="str">
        <f>_xll.BDP("683548CN Muni","MUNI_TAX_PROV")</f>
        <v>FED &amp; ST TAX-EXEMPT</v>
      </c>
      <c r="Q479" t="str">
        <f>_xll.BDP("683548CN Muni","MUNI_FED_TAX")</f>
        <v>N</v>
      </c>
      <c r="R479" t="str">
        <f>_xll.BDP("683548CN Muni","MUNI_MSRB_VOLUME")</f>
        <v>#N/A N/A</v>
      </c>
      <c r="S479" t="str">
        <f>_xll.BDP("683548CN Muni","BB_COMPOSITE")</f>
        <v>A+</v>
      </c>
      <c r="T479">
        <f>_xll.BDP("683548CN Muni","LQA_LIQUIDITY_SCORE")</f>
        <v>52</v>
      </c>
    </row>
    <row r="480" spans="1:20" x14ac:dyDescent="0.25">
      <c r="A480" t="str">
        <f>_xll.BDP("683548DE Muni","ID_CUSIP")</f>
        <v>683548DE8</v>
      </c>
      <c r="B480" t="s">
        <v>73</v>
      </c>
      <c r="C480" t="str">
        <f>_xll.BDP("683548DE Muni","INSURANCE_STATUS")</f>
        <v>N</v>
      </c>
      <c r="D480" t="str">
        <f>_xll.BDP("683548DE Muni","STATE_CODE")</f>
        <v>AL</v>
      </c>
      <c r="E480" t="str">
        <f>_xll.BDP("683548DE Muni","COUNTY_LOCATION_ISSUER")</f>
        <v>Lee, AL</v>
      </c>
      <c r="F480">
        <f>_xll.BDP("683548DE Muni","DUR_ADJ_MID")</f>
        <v>0.81705357994749761</v>
      </c>
      <c r="G480">
        <f>_xll.BDP("683548DE Muni","SPREAD_AT_ISSUANCE_TO_WORST")</f>
        <v>45.599138249516443</v>
      </c>
      <c r="H480" t="str">
        <f>_xll.BDP("683548DE Muni","ISSUE_DT")</f>
        <v>8/30/2017</v>
      </c>
      <c r="I480" t="str">
        <f>_xll.BDS("683548DE Muni","MUNI_PURPOSE_SCHED", "aggregate=y")</f>
        <v>WATER UTILITY IMPS. ADVANCE REFUNDING</v>
      </c>
      <c r="J480">
        <f>_xll.BDP("683548DE Muni","CPN")</f>
        <v>3</v>
      </c>
      <c r="K480" t="str">
        <f>_xll.BDP("683548DE Muni","MATURITY")</f>
        <v>6/1/2023</v>
      </c>
      <c r="L480">
        <v>190000</v>
      </c>
      <c r="M480">
        <f>_xll.BDP("683548DE Muni","YIELD_ON_ISSUE_DATE")</f>
        <v>1.73</v>
      </c>
      <c r="N480">
        <f>_xll.BDP("683548DE Muni","YTW_SPREAD_TO_MATURITY_AT_ISSU")</f>
        <v>45.599138249516443</v>
      </c>
      <c r="O480" t="str">
        <f>_xll.BDP("683548DE Muni","BVAL_MID_YTM")</f>
        <v>#N/A Authorization</v>
      </c>
      <c r="P480" t="str">
        <f>_xll.BDP("683548DE Muni","MUNI_TAX_PROV")</f>
        <v>FED &amp; ST TAX-EXEMPT</v>
      </c>
      <c r="Q480" t="str">
        <f>_xll.BDP("683548DE Muni","MUNI_FED_TAX")</f>
        <v>N</v>
      </c>
      <c r="R480" t="str">
        <f>_xll.BDP("683548DE Muni","MUNI_MSRB_VOLUME")</f>
        <v>#N/A N/A</v>
      </c>
      <c r="S480" t="str">
        <f>_xll.BDP("683548DE Muni","BB_COMPOSITE")</f>
        <v>A+</v>
      </c>
      <c r="T480">
        <f>_xll.BDP("683548DE Muni","LQA_LIQUIDITY_SCORE")</f>
        <v>68</v>
      </c>
    </row>
    <row r="481" spans="1:20" x14ac:dyDescent="0.25">
      <c r="A481" t="str">
        <f>_xll.BDP("683548DF Muni","ID_CUSIP")</f>
        <v>683548DF5</v>
      </c>
      <c r="B481" t="s">
        <v>73</v>
      </c>
      <c r="C481" t="str">
        <f>_xll.BDP("683548DF Muni","INSURANCE_STATUS")</f>
        <v>N</v>
      </c>
      <c r="D481" t="str">
        <f>_xll.BDP("683548DF Muni","STATE_CODE")</f>
        <v>AL</v>
      </c>
      <c r="E481" t="str">
        <f>_xll.BDP("683548DF Muni","COUNTY_LOCATION_ISSUER")</f>
        <v>Lee, AL</v>
      </c>
      <c r="F481">
        <f>_xll.BDP("683548DF Muni","DUR_ADJ_MID")</f>
        <v>1.7706053780783222</v>
      </c>
      <c r="G481">
        <f>_xll.BDP("683548DF Muni","SPREAD_AT_ISSUANCE_TO_WORST")</f>
        <v>49.463698606386352</v>
      </c>
      <c r="H481" t="str">
        <f>_xll.BDP("683548DF Muni","ISSUE_DT")</f>
        <v>8/30/2017</v>
      </c>
      <c r="I481" t="str">
        <f>_xll.BDS("683548DF Muni","MUNI_PURPOSE_SCHED", "aggregate=y")</f>
        <v>WATER UTILITY IMPS. ADVANCE REFUNDING</v>
      </c>
      <c r="J481">
        <f>_xll.BDP("683548DF Muni","CPN")</f>
        <v>3</v>
      </c>
      <c r="K481" t="str">
        <f>_xll.BDP("683548DF Muni","MATURITY")</f>
        <v>6/1/2024</v>
      </c>
      <c r="L481">
        <v>190000</v>
      </c>
      <c r="M481">
        <f>_xll.BDP("683548DF Muni","YIELD_ON_ISSUE_DATE")</f>
        <v>1.92</v>
      </c>
      <c r="N481">
        <f>_xll.BDP("683548DF Muni","YTW_SPREAD_TO_MATURITY_AT_ISSU")</f>
        <v>49.463698606386352</v>
      </c>
      <c r="O481" t="str">
        <f>_xll.BDP("683548DF Muni","BVAL_MID_YTM")</f>
        <v>#N/A Authorization</v>
      </c>
      <c r="P481" t="str">
        <f>_xll.BDP("683548DF Muni","MUNI_TAX_PROV")</f>
        <v>FED &amp; ST TAX-EXEMPT</v>
      </c>
      <c r="Q481" t="str">
        <f>_xll.BDP("683548DF Muni","MUNI_FED_TAX")</f>
        <v>N</v>
      </c>
      <c r="R481" t="str">
        <f>_xll.BDP("683548DF Muni","MUNI_MSRB_VOLUME")</f>
        <v>#N/A N/A</v>
      </c>
      <c r="S481" t="str">
        <f>_xll.BDP("683548DF Muni","BB_COMPOSITE")</f>
        <v>A+</v>
      </c>
      <c r="T481">
        <f>_xll.BDP("683548DF Muni","LQA_LIQUIDITY_SCORE")</f>
        <v>46</v>
      </c>
    </row>
    <row r="482" spans="1:20" x14ac:dyDescent="0.25">
      <c r="A482" t="str">
        <f>_xll.BDP("683548DG Muni","ID_CUSIP")</f>
        <v>683548DG3</v>
      </c>
      <c r="B482" t="s">
        <v>73</v>
      </c>
      <c r="C482" t="str">
        <f>_xll.BDP("683548DG Muni","INSURANCE_STATUS")</f>
        <v>N</v>
      </c>
      <c r="D482" t="str">
        <f>_xll.BDP("683548DG Muni","STATE_CODE")</f>
        <v>AL</v>
      </c>
      <c r="E482" t="str">
        <f>_xll.BDP("683548DG Muni","COUNTY_LOCATION_ISSUER")</f>
        <v>Lee, AL</v>
      </c>
      <c r="F482">
        <f>_xll.BDP("683548DG Muni","DUR_ADJ_MID")</f>
        <v>2.6965216905455849</v>
      </c>
      <c r="G482">
        <f>_xll.BDP("683548DG Muni","SPREAD_AT_ISSUANCE_TO_WORST")</f>
        <v>51.202149838455632</v>
      </c>
      <c r="H482" t="str">
        <f>_xll.BDP("683548DG Muni","ISSUE_DT")</f>
        <v>8/30/2017</v>
      </c>
      <c r="I482" t="str">
        <f>_xll.BDS("683548DG Muni","MUNI_PURPOSE_SCHED", "aggregate=y")</f>
        <v>WATER UTILITY IMPS. ADVANCE REFUNDING</v>
      </c>
      <c r="J482">
        <f>_xll.BDP("683548DG Muni","CPN")</f>
        <v>3</v>
      </c>
      <c r="K482" t="str">
        <f>_xll.BDP("683548DG Muni","MATURITY")</f>
        <v>6/1/2025</v>
      </c>
      <c r="L482">
        <v>200000</v>
      </c>
      <c r="M482">
        <f>_xll.BDP("683548DG Muni","YIELD_ON_ISSUE_DATE")</f>
        <v>2.09</v>
      </c>
      <c r="N482">
        <f>_xll.BDP("683548DG Muni","YTW_SPREAD_TO_MATURITY_AT_ISSU")</f>
        <v>51.202149838455632</v>
      </c>
      <c r="O482" t="str">
        <f>_xll.BDP("683548DG Muni","BVAL_MID_YTM")</f>
        <v>#N/A Authorization</v>
      </c>
      <c r="P482" t="str">
        <f>_xll.BDP("683548DG Muni","MUNI_TAX_PROV")</f>
        <v>FED &amp; ST TAX-EXEMPT</v>
      </c>
      <c r="Q482" t="str">
        <f>_xll.BDP("683548DG Muni","MUNI_FED_TAX")</f>
        <v>N</v>
      </c>
      <c r="R482" t="str">
        <f>_xll.BDP("683548DG Muni","MUNI_MSRB_VOLUME")</f>
        <v>#N/A N/A</v>
      </c>
      <c r="S482" t="str">
        <f>_xll.BDP("683548DG Muni","BB_COMPOSITE")</f>
        <v>A+</v>
      </c>
      <c r="T482">
        <f>_xll.BDP("683548DG Muni","LQA_LIQUIDITY_SCORE")</f>
        <v>33</v>
      </c>
    </row>
    <row r="483" spans="1:20" x14ac:dyDescent="0.25">
      <c r="A483" t="str">
        <f>_xll.BDP("683548DH Muni","ID_CUSIP")</f>
        <v>683548DH1</v>
      </c>
      <c r="B483" t="s">
        <v>73</v>
      </c>
      <c r="C483" t="str">
        <f>_xll.BDP("683548DH Muni","INSURANCE_STATUS")</f>
        <v>N</v>
      </c>
      <c r="D483" t="str">
        <f>_xll.BDP("683548DH Muni","STATE_CODE")</f>
        <v>AL</v>
      </c>
      <c r="E483" t="str">
        <f>_xll.BDP("683548DH Muni","COUNTY_LOCATION_ISSUER")</f>
        <v>Lee, AL</v>
      </c>
      <c r="F483">
        <f>_xll.BDP("683548DH Muni","DUR_ADJ_MID")</f>
        <v>3.5398458553850567</v>
      </c>
      <c r="G483">
        <f>_xll.BDP("683548DH Muni","SPREAD_AT_ISSUANCE_TO_WORST")</f>
        <v>50.11176756114488</v>
      </c>
      <c r="H483" t="str">
        <f>_xll.BDP("683548DH Muni","ISSUE_DT")</f>
        <v>8/30/2017</v>
      </c>
      <c r="I483" t="str">
        <f>_xll.BDS("683548DH Muni","MUNI_PURPOSE_SCHED", "aggregate=y")</f>
        <v>WATER UTILITY IMPS. ADVANCE REFUNDING</v>
      </c>
      <c r="J483">
        <f>_xll.BDP("683548DH Muni","CPN")</f>
        <v>4</v>
      </c>
      <c r="K483" t="str">
        <f>_xll.BDP("683548DH Muni","MATURITY")</f>
        <v>6/1/2026</v>
      </c>
      <c r="L483">
        <v>210000</v>
      </c>
      <c r="M483">
        <f>_xll.BDP("683548DH Muni","YIELD_ON_ISSUE_DATE")</f>
        <v>2.2200000000000002</v>
      </c>
      <c r="N483">
        <f>_xll.BDP("683548DH Muni","YTW_SPREAD_TO_MATURITY_AT_ISSU")</f>
        <v>50.11176756114488</v>
      </c>
      <c r="O483" t="str">
        <f>_xll.BDP("683548DH Muni","BVAL_MID_YTM")</f>
        <v>#N/A Authorization</v>
      </c>
      <c r="P483" t="str">
        <f>_xll.BDP("683548DH Muni","MUNI_TAX_PROV")</f>
        <v>FED &amp; ST TAX-EXEMPT</v>
      </c>
      <c r="Q483" t="str">
        <f>_xll.BDP("683548DH Muni","MUNI_FED_TAX")</f>
        <v>N</v>
      </c>
      <c r="R483" t="str">
        <f>_xll.BDP("683548DH Muni","MUNI_MSRB_VOLUME")</f>
        <v>#N/A N/A</v>
      </c>
      <c r="S483" t="str">
        <f>_xll.BDP("683548DH Muni","BB_COMPOSITE")</f>
        <v>A+</v>
      </c>
      <c r="T483">
        <f>_xll.BDP("683548DH Muni","LQA_LIQUIDITY_SCORE")</f>
        <v>31</v>
      </c>
    </row>
    <row r="484" spans="1:20" x14ac:dyDescent="0.25">
      <c r="A484" t="str">
        <f>_xll.BDP("686084KN Muni","ID_CUSIP")</f>
        <v>686084KN3</v>
      </c>
      <c r="B484" t="s">
        <v>143</v>
      </c>
      <c r="C484" t="str">
        <f>_xll.BDP("686084KN Muni","INSURANCE_STATUS")</f>
        <v>N</v>
      </c>
      <c r="D484" t="str">
        <f>_xll.BDP("686084KN Muni","STATE_CODE")</f>
        <v>WI</v>
      </c>
      <c r="E484" t="str">
        <f>_xll.BDP("686084KN Muni","COUNTY_LOCATION_ISSUER")</f>
        <v>Dane, WI</v>
      </c>
      <c r="F484">
        <f>_xll.BDP("686084KN Muni","DUR_ADJ_MID")</f>
        <v>0.56986786861691274</v>
      </c>
      <c r="G484">
        <f>_xll.BDP("686084KN Muni","SPREAD_AT_ISSUANCE_TO_WORST")</f>
        <v>21.00003850238361</v>
      </c>
      <c r="H484" t="str">
        <f>_xll.BDP("686084KN Muni","ISSUE_DT")</f>
        <v>6/8/2017</v>
      </c>
      <c r="I484" t="str">
        <f>_xll.BDS("686084KN Muni","MUNI_PURPOSE_SCHED", "aggregate=y")</f>
        <v>PUBLIC IMPS. WATER UTILITY IMPS. SEWER IMPS.</v>
      </c>
      <c r="J484">
        <f>_xll.BDP("686084KN Muni","CPN")</f>
        <v>3</v>
      </c>
      <c r="K484" t="str">
        <f>_xll.BDP("686084KN Muni","MATURITY")</f>
        <v>3/1/2023</v>
      </c>
      <c r="L484">
        <v>100000</v>
      </c>
      <c r="M484">
        <f>_xll.BDP("686084KN Muni","YIELD_ON_ISSUE_DATE")</f>
        <v>1.7000000000000002</v>
      </c>
      <c r="N484">
        <f>_xll.BDP("686084KN Muni","YTW_SPREAD_TO_MATURITY_AT_ISSU")</f>
        <v>21.00003850238361</v>
      </c>
      <c r="O484" t="str">
        <f>_xll.BDP("686084KN Muni","BVAL_MID_YTM")</f>
        <v>#N/A Authorization</v>
      </c>
      <c r="P484" t="str">
        <f>_xll.BDP("686084KN Muni","MUNI_TAX_PROV")</f>
        <v>FED BQ/ST TAXABLE</v>
      </c>
      <c r="Q484" t="str">
        <f>_xll.BDP("686084KN Muni","MUNI_FED_TAX")</f>
        <v>N</v>
      </c>
      <c r="R484" t="str">
        <f>_xll.BDP("686084KN Muni","MUNI_MSRB_VOLUME")</f>
        <v>#N/A N/A</v>
      </c>
      <c r="S484" t="str">
        <f>_xll.BDP("686084KN Muni","BB_COMPOSITE")</f>
        <v>#N/A N/A</v>
      </c>
      <c r="T484">
        <f>_xll.BDP("686084KN Muni","LQA_LIQUIDITY_SCORE")</f>
        <v>88</v>
      </c>
    </row>
    <row r="485" spans="1:20" x14ac:dyDescent="0.25">
      <c r="A485" t="str">
        <f>_xll.BDP("686084KP Muni","ID_CUSIP")</f>
        <v>686084KP8</v>
      </c>
      <c r="B485" t="s">
        <v>143</v>
      </c>
      <c r="C485" t="str">
        <f>_xll.BDP("686084KP Muni","INSURANCE_STATUS")</f>
        <v>N</v>
      </c>
      <c r="D485" t="str">
        <f>_xll.BDP("686084KP Muni","STATE_CODE")</f>
        <v>WI</v>
      </c>
      <c r="E485" t="str">
        <f>_xll.BDP("686084KP Muni","COUNTY_LOCATION_ISSUER")</f>
        <v>Dane, WI</v>
      </c>
      <c r="F485">
        <f>_xll.BDP("686084KP Muni","DUR_ADJ_MID")</f>
        <v>1.5243039398470859</v>
      </c>
      <c r="G485">
        <f>_xll.BDP("686084KP Muni","SPREAD_AT_ISSUANCE_TO_WORST")</f>
        <v>24.585989157542222</v>
      </c>
      <c r="H485" t="str">
        <f>_xll.BDP("686084KP Muni","ISSUE_DT")</f>
        <v>6/8/2017</v>
      </c>
      <c r="I485" t="str">
        <f>_xll.BDS("686084KP Muni","MUNI_PURPOSE_SCHED", "aggregate=y")</f>
        <v>PUBLIC IMPS. WATER UTILITY IMPS. SEWER IMPS.</v>
      </c>
      <c r="J485">
        <f>_xll.BDP("686084KP Muni","CPN")</f>
        <v>3</v>
      </c>
      <c r="K485" t="str">
        <f>_xll.BDP("686084KP Muni","MATURITY")</f>
        <v>3/1/2024</v>
      </c>
      <c r="L485">
        <v>100000</v>
      </c>
      <c r="M485">
        <f>_xll.BDP("686084KP Muni","YIELD_ON_ISSUE_DATE")</f>
        <v>1.9000000000000001</v>
      </c>
      <c r="N485">
        <f>_xll.BDP("686084KP Muni","YTW_SPREAD_TO_MATURITY_AT_ISSU")</f>
        <v>24.585989157542222</v>
      </c>
      <c r="O485" t="str">
        <f>_xll.BDP("686084KP Muni","BVAL_MID_YTM")</f>
        <v>#N/A Authorization</v>
      </c>
      <c r="P485" t="str">
        <f>_xll.BDP("686084KP Muni","MUNI_TAX_PROV")</f>
        <v>FED BQ/ST TAXABLE</v>
      </c>
      <c r="Q485" t="str">
        <f>_xll.BDP("686084KP Muni","MUNI_FED_TAX")</f>
        <v>N</v>
      </c>
      <c r="R485">
        <f>_xll.BDP("686084KP Muni","MUNI_MSRB_VOLUME")</f>
        <v>100000</v>
      </c>
      <c r="S485" t="str">
        <f>_xll.BDP("686084KP Muni","BB_COMPOSITE")</f>
        <v>#N/A N/A</v>
      </c>
      <c r="T485">
        <f>_xll.BDP("686084KP Muni","LQA_LIQUIDITY_SCORE")</f>
        <v>86</v>
      </c>
    </row>
    <row r="486" spans="1:20" x14ac:dyDescent="0.25">
      <c r="A486" t="str">
        <f>_xll.BDP("686084KQ Muni","ID_CUSIP")</f>
        <v>686084KQ6</v>
      </c>
      <c r="B486" t="s">
        <v>143</v>
      </c>
      <c r="C486" t="str">
        <f>_xll.BDP("686084KQ Muni","INSURANCE_STATUS")</f>
        <v>N</v>
      </c>
      <c r="D486" t="str">
        <f>_xll.BDP("686084KQ Muni","STATE_CODE")</f>
        <v>WI</v>
      </c>
      <c r="E486" t="str">
        <f>_xll.BDP("686084KQ Muni","COUNTY_LOCATION_ISSUER")</f>
        <v>Dane, WI</v>
      </c>
      <c r="F486">
        <f>_xll.BDP("686084KQ Muni","DUR_ADJ_MID")</f>
        <v>2.4511319338537629</v>
      </c>
      <c r="G486">
        <f>_xll.BDP("686084KQ Muni","SPREAD_AT_ISSUANCE_TO_WORST")</f>
        <v>23.242328927314993</v>
      </c>
      <c r="H486" t="str">
        <f>_xll.BDP("686084KQ Muni","ISSUE_DT")</f>
        <v>6/8/2017</v>
      </c>
      <c r="I486" t="str">
        <f>_xll.BDS("686084KQ Muni","MUNI_PURPOSE_SCHED", "aggregate=y")</f>
        <v>PUBLIC IMPS. WATER UTILITY IMPS. SEWER IMPS.</v>
      </c>
      <c r="J486">
        <f>_xll.BDP("686084KQ Muni","CPN")</f>
        <v>3</v>
      </c>
      <c r="K486" t="str">
        <f>_xll.BDP("686084KQ Muni","MATURITY")</f>
        <v>3/1/2025</v>
      </c>
      <c r="L486">
        <v>100000</v>
      </c>
      <c r="M486">
        <f>_xll.BDP("686084KQ Muni","YIELD_ON_ISSUE_DATE")</f>
        <v>2.0499999999999998</v>
      </c>
      <c r="N486">
        <f>_xll.BDP("686084KQ Muni","YTW_SPREAD_TO_MATURITY_AT_ISSU")</f>
        <v>23.242328927314993</v>
      </c>
      <c r="O486" t="str">
        <f>_xll.BDP("686084KQ Muni","BVAL_MID_YTM")</f>
        <v>#N/A Authorization</v>
      </c>
      <c r="P486" t="str">
        <f>_xll.BDP("686084KQ Muni","MUNI_TAX_PROV")</f>
        <v>FED BQ/ST TAXABLE</v>
      </c>
      <c r="Q486" t="str">
        <f>_xll.BDP("686084KQ Muni","MUNI_FED_TAX")</f>
        <v>N</v>
      </c>
      <c r="R486" t="str">
        <f>_xll.BDP("686084KQ Muni","MUNI_MSRB_VOLUME")</f>
        <v>#N/A N/A</v>
      </c>
      <c r="S486" t="str">
        <f>_xll.BDP("686084KQ Muni","BB_COMPOSITE")</f>
        <v>#N/A N/A</v>
      </c>
      <c r="T486">
        <f>_xll.BDP("686084KQ Muni","LQA_LIQUIDITY_SCORE")</f>
        <v>79</v>
      </c>
    </row>
    <row r="487" spans="1:20" x14ac:dyDescent="0.25">
      <c r="A487" t="str">
        <f>_xll.BDP("686084KR Muni","ID_CUSIP")</f>
        <v>686084KR4</v>
      </c>
      <c r="B487" t="s">
        <v>143</v>
      </c>
      <c r="C487" t="str">
        <f>_xll.BDP("686084KR Muni","INSURANCE_STATUS")</f>
        <v>N</v>
      </c>
      <c r="D487" t="str">
        <f>_xll.BDP("686084KR Muni","STATE_CODE")</f>
        <v>WI</v>
      </c>
      <c r="E487" t="str">
        <f>_xll.BDP("686084KR Muni","COUNTY_LOCATION_ISSUER")</f>
        <v>Dane, WI</v>
      </c>
      <c r="F487">
        <f>_xll.BDP("686084KR Muni","DUR_ADJ_MID")</f>
        <v>3.3515763573589377</v>
      </c>
      <c r="G487">
        <f>_xll.BDP("686084KR Muni","SPREAD_AT_ISSUANCE_TO_WORST")</f>
        <v>23.204020283444837</v>
      </c>
      <c r="H487" t="str">
        <f>_xll.BDP("686084KR Muni","ISSUE_DT")</f>
        <v>6/8/2017</v>
      </c>
      <c r="I487" t="str">
        <f>_xll.BDS("686084KR Muni","MUNI_PURPOSE_SCHED", "aggregate=y")</f>
        <v>PUBLIC IMPS. WATER UTILITY IMPS. SEWER IMPS.</v>
      </c>
      <c r="J487">
        <f>_xll.BDP("686084KR Muni","CPN")</f>
        <v>3</v>
      </c>
      <c r="K487" t="str">
        <f>_xll.BDP("686084KR Muni","MATURITY")</f>
        <v>3/1/2026</v>
      </c>
      <c r="L487">
        <v>95000</v>
      </c>
      <c r="M487">
        <f>_xll.BDP("686084KR Muni","YIELD_ON_ISSUE_DATE")</f>
        <v>2.2000000000000002</v>
      </c>
      <c r="N487">
        <f>_xll.BDP("686084KR Muni","YTW_SPREAD_TO_MATURITY_AT_ISSU")</f>
        <v>23.204020283444837</v>
      </c>
      <c r="O487" t="str">
        <f>_xll.BDP("686084KR Muni","BVAL_MID_YTM")</f>
        <v>#N/A Authorization</v>
      </c>
      <c r="P487" t="str">
        <f>_xll.BDP("686084KR Muni","MUNI_TAX_PROV")</f>
        <v>FED BQ/ST TAXABLE</v>
      </c>
      <c r="Q487" t="str">
        <f>_xll.BDP("686084KR Muni","MUNI_FED_TAX")</f>
        <v>N</v>
      </c>
      <c r="R487" t="str">
        <f>_xll.BDP("686084KR Muni","MUNI_MSRB_VOLUME")</f>
        <v>#N/A N/A</v>
      </c>
      <c r="S487" t="str">
        <f>_xll.BDP("686084KR Muni","BB_COMPOSITE")</f>
        <v>#N/A N/A</v>
      </c>
      <c r="T487">
        <f>_xll.BDP("686084KR Muni","LQA_LIQUIDITY_SCORE")</f>
        <v>73</v>
      </c>
    </row>
    <row r="488" spans="1:20" x14ac:dyDescent="0.25">
      <c r="A488" t="str">
        <f>_xll.BDP("822346JB Muni","ID_CUSIP")</f>
        <v>822346JB9</v>
      </c>
      <c r="B488" t="s">
        <v>210</v>
      </c>
      <c r="C488" t="str">
        <f>_xll.BDP("822346JB Muni","INSURANCE_STATUS")</f>
        <v>N</v>
      </c>
      <c r="D488" t="str">
        <f>_xll.BDP("822346JB Muni","STATE_CODE")</f>
        <v>TN</v>
      </c>
      <c r="E488" t="str">
        <f>_xll.BDP("822346JB Muni","COUNTY_LOCATION_ISSUER")</f>
        <v>Bedford, TN</v>
      </c>
      <c r="F488">
        <f>_xll.BDP("822346JB Muni","DUR_ADJ_MID")</f>
        <v>5.5543451948938168E-3</v>
      </c>
      <c r="G488">
        <f>_xll.BDP("822346JB Muni","SPREAD_AT_ISSUANCE_TO_WORST")</f>
        <v>9.0016130102317007</v>
      </c>
      <c r="H488" t="str">
        <f>_xll.BDP("822346JB Muni","ISSUE_DT")</f>
        <v>7/26/2017</v>
      </c>
      <c r="I488" t="str">
        <f>_xll.BDS("822346JB Muni","MUNI_PURPOSE_SCHED", "aggregate=y")</f>
        <v>CURRENT REFUNDING WATER UTILITY IMPS. SEWER IMPS.</v>
      </c>
      <c r="J488">
        <f>_xll.BDP("822346JB Muni","CPN")</f>
        <v>4</v>
      </c>
      <c r="K488" t="str">
        <f>_xll.BDP("822346JB Muni","MATURITY")</f>
        <v>8/1/2022</v>
      </c>
      <c r="L488">
        <v>155000</v>
      </c>
      <c r="M488">
        <f>_xll.BDP("822346JB Muni","YIELD_ON_ISSUE_DATE")</f>
        <v>1.4000000000000001</v>
      </c>
      <c r="N488">
        <f>_xll.BDP("822346JB Muni","YTW_SPREAD_TO_MATURITY_AT_ISSU")</f>
        <v>9.0016130102317007</v>
      </c>
      <c r="O488" t="str">
        <f>_xll.BDP("822346JB Muni","BVAL_MID_YTM")</f>
        <v>#N/A Authorization</v>
      </c>
      <c r="P488" t="str">
        <f>_xll.BDP("822346JB Muni","MUNI_TAX_PROV")</f>
        <v>FED BQ/ST TAX-EXEMPT</v>
      </c>
      <c r="Q488" t="str">
        <f>_xll.BDP("822346JB Muni","MUNI_FED_TAX")</f>
        <v>N</v>
      </c>
      <c r="R488" t="str">
        <f>_xll.BDP("822346JB Muni","MUNI_MSRB_VOLUME")</f>
        <v>#N/A N/A</v>
      </c>
      <c r="S488" t="str">
        <f>_xll.BDP("822346JB Muni","BB_COMPOSITE")</f>
        <v>#N/A N/A</v>
      </c>
      <c r="T488">
        <f>_xll.BDP("822346JB Muni","LQA_LIQUIDITY_SCORE")</f>
        <v>99</v>
      </c>
    </row>
    <row r="489" spans="1:20" x14ac:dyDescent="0.25">
      <c r="A489" t="str">
        <f>_xll.BDP("652282CK Muni","ID_CUSIP")</f>
        <v>652282CK8</v>
      </c>
      <c r="B489" t="s">
        <v>195</v>
      </c>
      <c r="C489" t="str">
        <f>_xll.BDP("652282CK Muni","INSURANCE_STATUS")</f>
        <v>N</v>
      </c>
      <c r="D489" t="str">
        <f>_xll.BDP("652282CK Muni","STATE_CODE")</f>
        <v>VA</v>
      </c>
      <c r="E489" t="str">
        <f>_xll.BDP("652282CK Muni","COUNTY_LOCATION_ISSUER")</f>
        <v>Newport News, VA</v>
      </c>
      <c r="F489">
        <f>_xll.BDP("652282CK Muni","DUR_ADJ_MID")</f>
        <v>4.4382707091930369</v>
      </c>
      <c r="G489">
        <f>_xll.BDP("652282CK Muni","SPREAD_AT_ISSUANCE_TO_WORST")</f>
        <v>-0.21287930882349926</v>
      </c>
      <c r="H489" t="str">
        <f>_xll.BDP("652282CK Muni","ISSUE_DT")</f>
        <v>5/31/2017</v>
      </c>
      <c r="I489" t="str">
        <f>_xll.BDS("652282CK Muni","MUNI_PURPOSE_SCHED", "aggregate=y")</f>
        <v>WATER UTILITY IMPS.</v>
      </c>
      <c r="J489">
        <f>_xll.BDP("652282CK Muni","CPN")</f>
        <v>5</v>
      </c>
      <c r="K489" t="str">
        <f>_xll.BDP("652282CK Muni","MATURITY")</f>
        <v>7/15/2027</v>
      </c>
      <c r="L489">
        <v>1455000</v>
      </c>
      <c r="M489">
        <f>_xll.BDP("652282CK Muni","YIELD_ON_ISSUE_DATE")</f>
        <v>2.1</v>
      </c>
      <c r="N489">
        <f>_xll.BDP("652282CK Muni","YTW_SPREAD_TO_MATURITY_AT_ISSU")</f>
        <v>-0.21287930882349926</v>
      </c>
      <c r="O489" t="str">
        <f>_xll.BDP("652282CK Muni","BVAL_MID_YTM")</f>
        <v>#N/A Authorization</v>
      </c>
      <c r="P489" t="str">
        <f>_xll.BDP("652282CK Muni","MUNI_TAX_PROV")</f>
        <v>FED &amp; ST TAX-EXEMPT</v>
      </c>
      <c r="Q489" t="str">
        <f>_xll.BDP("652282CK Muni","MUNI_FED_TAX")</f>
        <v>N</v>
      </c>
      <c r="R489">
        <f>_xll.BDP("652282CK Muni","MUNI_MSRB_VOLUME")</f>
        <v>20000</v>
      </c>
      <c r="S489" t="str">
        <f>_xll.BDP("652282CK Muni","BB_COMPOSITE")</f>
        <v>AA+</v>
      </c>
      <c r="T489">
        <f>_xll.BDP("652282CK Muni","LQA_LIQUIDITY_SCORE")</f>
        <v>63</v>
      </c>
    </row>
    <row r="490" spans="1:20" x14ac:dyDescent="0.25">
      <c r="A490" t="str">
        <f>_xll.BDP("653794SS Muni","ID_CUSIP")</f>
        <v>653794SS7</v>
      </c>
      <c r="B490" t="s">
        <v>211</v>
      </c>
      <c r="C490" t="str">
        <f>_xll.BDP("653794SS Muni","INSURANCE_STATUS")</f>
        <v>N</v>
      </c>
      <c r="D490" t="str">
        <f>_xll.BDP("653794SS Muni","STATE_CODE")</f>
        <v>OK</v>
      </c>
      <c r="E490" t="str">
        <f>_xll.BDP("653794SS Muni","COUNTY_LOCATION_ISSUER")</f>
        <v>Oklahoma, OK</v>
      </c>
      <c r="F490">
        <f>_xll.BDP("653794SS Muni","DUR_ADJ_MID")</f>
        <v>0.90108422300497815</v>
      </c>
      <c r="G490">
        <f>_xll.BDP("653794SS Muni","SPREAD_AT_ISSUANCE_TO_WORST")</f>
        <v>5.1856746606288251</v>
      </c>
      <c r="H490" t="str">
        <f>_xll.BDP("653794SS Muni","ISSUE_DT")</f>
        <v>4/1/2017</v>
      </c>
      <c r="I490" t="str">
        <f>_xll.BDS("653794SS Muni","MUNI_PURPOSE_SCHED", "aggregate=y")</f>
        <v>PUBLIC IMPS. WATER UTILITY IMPS. TRANSIT IMPS.</v>
      </c>
      <c r="J490">
        <f>_xll.BDP("653794SS Muni","CPN")</f>
        <v>2.5</v>
      </c>
      <c r="K490" t="str">
        <f>_xll.BDP("653794SS Muni","MATURITY")</f>
        <v>7/1/2023</v>
      </c>
      <c r="L490">
        <v>350000</v>
      </c>
      <c r="M490">
        <f>_xll.BDP("653794SS Muni","YIELD_ON_ISSUE_DATE")</f>
        <v>2</v>
      </c>
      <c r="N490">
        <f>_xll.BDP("653794SS Muni","YTW_SPREAD_TO_MATURITY_AT_ISSU")</f>
        <v>5.1856746606288251</v>
      </c>
      <c r="O490" t="str">
        <f>_xll.BDP("653794SS Muni","BVAL_MID_YTM")</f>
        <v>#N/A Authorization</v>
      </c>
      <c r="P490" t="str">
        <f>_xll.BDP("653794SS Muni","MUNI_TAX_PROV")</f>
        <v>FED BQ/ST TAX-EXEMPT</v>
      </c>
      <c r="Q490" t="str">
        <f>_xll.BDP("653794SS Muni","MUNI_FED_TAX")</f>
        <v>N</v>
      </c>
      <c r="R490" t="str">
        <f>_xll.BDP("653794SS Muni","MUNI_MSRB_VOLUME")</f>
        <v>#N/A N/A</v>
      </c>
      <c r="S490" t="str">
        <f>_xll.BDP("653794SS Muni","BB_COMPOSITE")</f>
        <v>#N/A N/A</v>
      </c>
      <c r="T490">
        <f>_xll.BDP("653794SS Muni","LQA_LIQUIDITY_SCORE")</f>
        <v>88</v>
      </c>
    </row>
    <row r="491" spans="1:20" x14ac:dyDescent="0.25">
      <c r="A491" t="str">
        <f>_xll.BDP("9242582A Muni","ID_CUSIP")</f>
        <v>9242582A3</v>
      </c>
      <c r="B491" t="s">
        <v>77</v>
      </c>
      <c r="C491" t="str">
        <f>_xll.BDP("9242582A Muni","INSURANCE_STATUS")</f>
        <v>N</v>
      </c>
      <c r="D491" t="str">
        <f>_xll.BDP("9242582A Muni","STATE_CODE")</f>
        <v>VT</v>
      </c>
      <c r="E491" t="str">
        <f>_xll.BDP("9242582A Muni","COUNTY_LOCATION_ISSUER")</f>
        <v>Washington, VT</v>
      </c>
      <c r="F491">
        <f>_xll.BDP("9242582A Muni","DUR_ADJ_MID")</f>
        <v>3.6101508883078601E-2</v>
      </c>
      <c r="G491">
        <f>_xll.BDP("9242582A Muni","SPREAD_AT_ISSUANCE_TO_WORST")</f>
        <v>-3.5366585428006969</v>
      </c>
      <c r="H491" t="str">
        <f>_xll.BDP("9242582A Muni","ISSUE_DT")</f>
        <v>9/13/2017</v>
      </c>
      <c r="I491" t="str">
        <f>_xll.BDS("9242582A Muni","MUNI_PURPOSE_SCHED", "aggregate=y")</f>
        <v>PUBLIC IMPS. WATER UTILITY IMPS. UNIV. &amp; COLLEGE IMPS.</v>
      </c>
      <c r="J491">
        <f>_xll.BDP("9242582A Muni","CPN")</f>
        <v>5</v>
      </c>
      <c r="K491" t="str">
        <f>_xll.BDP("9242582A Muni","MATURITY")</f>
        <v>8/15/2022</v>
      </c>
      <c r="L491">
        <v>3580000</v>
      </c>
      <c r="M491">
        <f>_xll.BDP("9242582A Muni","YIELD_ON_ISSUE_DATE")</f>
        <v>1.1000000000000001</v>
      </c>
      <c r="N491">
        <f>_xll.BDP("9242582A Muni","YTW_SPREAD_TO_MATURITY_AT_ISSU")</f>
        <v>-3.5366585428006969</v>
      </c>
      <c r="O491" t="str">
        <f>_xll.BDP("9242582A Muni","BVAL_MID_YTM")</f>
        <v>#N/A Authorization</v>
      </c>
      <c r="P491" t="str">
        <f>_xll.BDP("9242582A Muni","MUNI_TAX_PROV")</f>
        <v>FED &amp; ST TAX-EXEMPT</v>
      </c>
      <c r="Q491" t="str">
        <f>_xll.BDP("9242582A Muni","MUNI_FED_TAX")</f>
        <v>N</v>
      </c>
      <c r="R491">
        <f>_xll.BDP("9242582A Muni","MUNI_MSRB_VOLUME")</f>
        <v>70000</v>
      </c>
      <c r="S491" t="str">
        <f>_xll.BDP("9242582A Muni","BB_COMPOSITE")</f>
        <v>AA+</v>
      </c>
      <c r="T491">
        <f>_xll.BDP("9242582A Muni","LQA_LIQUIDITY_SCORE")</f>
        <v>98</v>
      </c>
    </row>
    <row r="492" spans="1:20" x14ac:dyDescent="0.25">
      <c r="A492" t="str">
        <f>_xll.BDP("9242582B Muni","ID_CUSIP")</f>
        <v>9242582B1</v>
      </c>
      <c r="B492" t="s">
        <v>77</v>
      </c>
      <c r="C492" t="str">
        <f>_xll.BDP("9242582B Muni","INSURANCE_STATUS")</f>
        <v>N</v>
      </c>
      <c r="D492" t="str">
        <f>_xll.BDP("9242582B Muni","STATE_CODE")</f>
        <v>VT</v>
      </c>
      <c r="E492" t="str">
        <f>_xll.BDP("9242582B Muni","COUNTY_LOCATION_ISSUER")</f>
        <v>Washington, VT</v>
      </c>
      <c r="F492">
        <f>_xll.BDP("9242582B Muni","DUR_ADJ_MID")</f>
        <v>0.99428458196169112</v>
      </c>
      <c r="G492">
        <f>_xll.BDP("9242582B Muni","SPREAD_AT_ISSUANCE_TO_WORST")</f>
        <v>-3.2818677140887376</v>
      </c>
      <c r="H492" t="str">
        <f>_xll.BDP("9242582B Muni","ISSUE_DT")</f>
        <v>9/13/2017</v>
      </c>
      <c r="I492" t="str">
        <f>_xll.BDS("9242582B Muni","MUNI_PURPOSE_SCHED", "aggregate=y")</f>
        <v>PUBLIC IMPS. WATER UTILITY IMPS. UNIV. &amp; COLLEGE IMPS.</v>
      </c>
      <c r="J492">
        <f>_xll.BDP("9242582B Muni","CPN")</f>
        <v>5</v>
      </c>
      <c r="K492" t="str">
        <f>_xll.BDP("9242582B Muni","MATURITY")</f>
        <v>8/15/2023</v>
      </c>
      <c r="L492">
        <v>4225000</v>
      </c>
      <c r="M492">
        <f>_xll.BDP("9242582B Muni","YIELD_ON_ISSUE_DATE")</f>
        <v>1.25</v>
      </c>
      <c r="N492">
        <f>_xll.BDP("9242582B Muni","YTW_SPREAD_TO_MATURITY_AT_ISSU")</f>
        <v>-3.2818677140887376</v>
      </c>
      <c r="O492" t="str">
        <f>_xll.BDP("9242582B Muni","BVAL_MID_YTM")</f>
        <v>#N/A Authorization</v>
      </c>
      <c r="P492" t="str">
        <f>_xll.BDP("9242582B Muni","MUNI_TAX_PROV")</f>
        <v>FED &amp; ST TAX-EXEMPT</v>
      </c>
      <c r="Q492" t="str">
        <f>_xll.BDP("9242582B Muni","MUNI_FED_TAX")</f>
        <v>N</v>
      </c>
      <c r="R492" t="str">
        <f>_xll.BDP("9242582B Muni","MUNI_MSRB_VOLUME")</f>
        <v>#N/A N/A</v>
      </c>
      <c r="S492" t="str">
        <f>_xll.BDP("9242582B Muni","BB_COMPOSITE")</f>
        <v>AA+</v>
      </c>
      <c r="T492">
        <f>_xll.BDP("9242582B Muni","LQA_LIQUIDITY_SCORE")</f>
        <v>97</v>
      </c>
    </row>
    <row r="493" spans="1:20" x14ac:dyDescent="0.25">
      <c r="A493" t="str">
        <f>_xll.BDP("9242582C Muni","ID_CUSIP")</f>
        <v>9242582C9</v>
      </c>
      <c r="B493" t="s">
        <v>77</v>
      </c>
      <c r="C493" t="str">
        <f>_xll.BDP("9242582C Muni","INSURANCE_STATUS")</f>
        <v>N</v>
      </c>
      <c r="D493" t="str">
        <f>_xll.BDP("9242582C Muni","STATE_CODE")</f>
        <v>VT</v>
      </c>
      <c r="E493" t="str">
        <f>_xll.BDP("9242582C Muni","COUNTY_LOCATION_ISSUER")</f>
        <v>Washington, VT</v>
      </c>
      <c r="F493">
        <f>_xll.BDP("9242582C Muni","DUR_ADJ_MID")</f>
        <v>1.9078399207747607</v>
      </c>
      <c r="G493">
        <f>_xll.BDP("9242582C Muni","SPREAD_AT_ISSUANCE_TO_WORST")</f>
        <v>-1.3773470564188761</v>
      </c>
      <c r="H493" t="str">
        <f>_xll.BDP("9242582C Muni","ISSUE_DT")</f>
        <v>9/13/2017</v>
      </c>
      <c r="I493" t="str">
        <f>_xll.BDS("9242582C Muni","MUNI_PURPOSE_SCHED", "aggregate=y")</f>
        <v>PUBLIC IMPS. WATER UTILITY IMPS. UNIV. &amp; COLLEGE IMPS.</v>
      </c>
      <c r="J493">
        <f>_xll.BDP("9242582C Muni","CPN")</f>
        <v>5</v>
      </c>
      <c r="K493" t="str">
        <f>_xll.BDP("9242582C Muni","MATURITY")</f>
        <v>8/15/2024</v>
      </c>
      <c r="L493">
        <v>2240000</v>
      </c>
      <c r="M493">
        <f>_xll.BDP("9242582C Muni","YIELD_ON_ISSUE_DATE")</f>
        <v>1.42</v>
      </c>
      <c r="N493">
        <f>_xll.BDP("9242582C Muni","YTW_SPREAD_TO_MATURITY_AT_ISSU")</f>
        <v>-1.3773470564188761</v>
      </c>
      <c r="O493" t="str">
        <f>_xll.BDP("9242582C Muni","BVAL_MID_YTM")</f>
        <v>#N/A Authorization</v>
      </c>
      <c r="P493" t="str">
        <f>_xll.BDP("9242582C Muni","MUNI_TAX_PROV")</f>
        <v>FED &amp; ST TAX-EXEMPT</v>
      </c>
      <c r="Q493" t="str">
        <f>_xll.BDP("9242582C Muni","MUNI_FED_TAX")</f>
        <v>N</v>
      </c>
      <c r="R493" t="str">
        <f>_xll.BDP("9242582C Muni","MUNI_MSRB_VOLUME")</f>
        <v>#N/A N/A</v>
      </c>
      <c r="S493" t="str">
        <f>_xll.BDP("9242582C Muni","BB_COMPOSITE")</f>
        <v>AA+</v>
      </c>
      <c r="T493">
        <f>_xll.BDP("9242582C Muni","LQA_LIQUIDITY_SCORE")</f>
        <v>89</v>
      </c>
    </row>
    <row r="494" spans="1:20" x14ac:dyDescent="0.25">
      <c r="A494" t="str">
        <f>_xll.BDP("9242582F Muni","ID_CUSIP")</f>
        <v>9242582F2</v>
      </c>
      <c r="B494" t="s">
        <v>77</v>
      </c>
      <c r="C494" t="str">
        <f>_xll.BDP("9242582F Muni","INSURANCE_STATUS")</f>
        <v>N</v>
      </c>
      <c r="D494" t="str">
        <f>_xll.BDP("9242582F Muni","STATE_CODE")</f>
        <v>VT</v>
      </c>
      <c r="E494" t="str">
        <f>_xll.BDP("9242582F Muni","COUNTY_LOCATION_ISSUER")</f>
        <v>Washington, VT</v>
      </c>
      <c r="F494">
        <f>_xll.BDP("9242582F Muni","DUR_ADJ_MID")</f>
        <v>4.4272787851054334</v>
      </c>
      <c r="G494">
        <f>_xll.BDP("9242582F Muni","SPREAD_AT_ISSUANCE_TO_WORST")</f>
        <v>3.7657099038794772</v>
      </c>
      <c r="H494" t="str">
        <f>_xll.BDP("9242582F Muni","ISSUE_DT")</f>
        <v>9/13/2017</v>
      </c>
      <c r="I494" t="str">
        <f>_xll.BDS("9242582F Muni","MUNI_PURPOSE_SCHED", "aggregate=y")</f>
        <v>PUBLIC IMPS. WATER UTILITY IMPS. UNIV. &amp; COLLEGE IMPS.</v>
      </c>
      <c r="J494">
        <f>_xll.BDP("9242582F Muni","CPN")</f>
        <v>5</v>
      </c>
      <c r="K494" t="str">
        <f>_xll.BDP("9242582F Muni","MATURITY")</f>
        <v>8/15/2027</v>
      </c>
      <c r="L494">
        <v>3805000</v>
      </c>
      <c r="M494">
        <f>_xll.BDP("9242582F Muni","YIELD_ON_ISSUE_DATE")</f>
        <v>1.87</v>
      </c>
      <c r="N494">
        <f>_xll.BDP("9242582F Muni","YTW_SPREAD_TO_MATURITY_AT_ISSU")</f>
        <v>3.7657099038794772</v>
      </c>
      <c r="O494" t="str">
        <f>_xll.BDP("9242582F Muni","BVAL_MID_YTM")</f>
        <v>#N/A Authorization</v>
      </c>
      <c r="P494" t="str">
        <f>_xll.BDP("9242582F Muni","MUNI_TAX_PROV")</f>
        <v>FED &amp; ST TAX-EXEMPT</v>
      </c>
      <c r="Q494" t="str">
        <f>_xll.BDP("9242582F Muni","MUNI_FED_TAX")</f>
        <v>N</v>
      </c>
      <c r="R494">
        <f>_xll.BDP("9242582F Muni","MUNI_MSRB_VOLUME")</f>
        <v>800000</v>
      </c>
      <c r="S494" t="str">
        <f>_xll.BDP("9242582F Muni","BB_COMPOSITE")</f>
        <v>AA+</v>
      </c>
      <c r="T494">
        <f>_xll.BDP("9242582F Muni","LQA_LIQUIDITY_SCORE")</f>
        <v>69</v>
      </c>
    </row>
    <row r="495" spans="1:20" x14ac:dyDescent="0.25">
      <c r="A495" t="str">
        <f>_xll.BDP("924258X7 Muni","ID_CUSIP")</f>
        <v>924258X76</v>
      </c>
      <c r="B495" t="s">
        <v>77</v>
      </c>
      <c r="C495" t="str">
        <f>_xll.BDP("924258X7 Muni","INSURANCE_STATUS")</f>
        <v>N</v>
      </c>
      <c r="D495" t="str">
        <f>_xll.BDP("924258X7 Muni","STATE_CODE")</f>
        <v>VT</v>
      </c>
      <c r="E495" t="str">
        <f>_xll.BDP("924258X7 Muni","COUNTY_LOCATION_ISSUER")</f>
        <v>Washington, VT</v>
      </c>
      <c r="F495">
        <f>_xll.BDP("924258X7 Muni","DUR_ADJ_MID")</f>
        <v>1.0076874964580287</v>
      </c>
      <c r="G495">
        <f>_xll.BDP("924258X7 Muni","SPREAD_AT_ISSUANCE_TO_WORST")</f>
        <v>2.8106427596405581</v>
      </c>
      <c r="H495" t="str">
        <f>_xll.BDP("924258X7 Muni","ISSUE_DT")</f>
        <v>9/13/2017</v>
      </c>
      <c r="I495" t="str">
        <f>_xll.BDS("924258X7 Muni","MUNI_PURPOSE_SCHED", "aggregate=y")</f>
        <v>PUBLIC IMPS. WATER UTILITY IMPS. UNIV. &amp; COLLEGE IMPS.</v>
      </c>
      <c r="J495">
        <f>_xll.BDP("924258X7 Muni","CPN")</f>
        <v>3</v>
      </c>
      <c r="K495" t="str">
        <f>_xll.BDP("924258X7 Muni","MATURITY")</f>
        <v>8/15/2023</v>
      </c>
      <c r="L495">
        <v>1080000</v>
      </c>
      <c r="M495">
        <f>_xll.BDP("924258X7 Muni","YIELD_ON_ISSUE_DATE")</f>
        <v>1.33</v>
      </c>
      <c r="N495">
        <f>_xll.BDP("924258X7 Muni","YTW_SPREAD_TO_MATURITY_AT_ISSU")</f>
        <v>2.8106427596405581</v>
      </c>
      <c r="O495" t="str">
        <f>_xll.BDP("924258X7 Muni","BVAL_MID_YTM")</f>
        <v>#N/A Authorization</v>
      </c>
      <c r="P495" t="str">
        <f>_xll.BDP("924258X7 Muni","MUNI_TAX_PROV")</f>
        <v>FED &amp; ST TAX-EXEMPT</v>
      </c>
      <c r="Q495" t="str">
        <f>_xll.BDP("924258X7 Muni","MUNI_FED_TAX")</f>
        <v>N</v>
      </c>
      <c r="R495">
        <f>_xll.BDP("924258X7 Muni","MUNI_MSRB_VOLUME")</f>
        <v>60000</v>
      </c>
      <c r="S495" t="str">
        <f>_xll.BDP("924258X7 Muni","BB_COMPOSITE")</f>
        <v>AA+</v>
      </c>
      <c r="T495">
        <f>_xll.BDP("924258X7 Muni","LQA_LIQUIDITY_SCORE")</f>
        <v>92</v>
      </c>
    </row>
    <row r="496" spans="1:20" x14ac:dyDescent="0.25">
      <c r="A496" t="str">
        <f>_xll.BDP("924258Y2 Muni","ID_CUSIP")</f>
        <v>924258Y26</v>
      </c>
      <c r="B496" t="s">
        <v>77</v>
      </c>
      <c r="C496" t="str">
        <f>_xll.BDP("924258Y2 Muni","INSURANCE_STATUS")</f>
        <v>N</v>
      </c>
      <c r="D496" t="str">
        <f>_xll.BDP("924258Y2 Muni","STATE_CODE")</f>
        <v>VT</v>
      </c>
      <c r="E496" t="str">
        <f>_xll.BDP("924258Y2 Muni","COUNTY_LOCATION_ISSUER")</f>
        <v>Washington, VT</v>
      </c>
      <c r="F496">
        <f>_xll.BDP("924258Y2 Muni","DUR_ADJ_MID")</f>
        <v>3.7551092319644304</v>
      </c>
      <c r="G496">
        <f>_xll.BDP("924258Y2 Muni","SPREAD_AT_ISSUANCE_TO_WORST")</f>
        <v>6.8856189282301417</v>
      </c>
      <c r="H496" t="str">
        <f>_xll.BDP("924258Y2 Muni","ISSUE_DT")</f>
        <v>9/13/2017</v>
      </c>
      <c r="I496" t="str">
        <f>_xll.BDS("924258Y2 Muni","MUNI_PURPOSE_SCHED", "aggregate=y")</f>
        <v>PUBLIC IMPS. WATER UTILITY IMPS. UNIV. &amp; COLLEGE IMPS.</v>
      </c>
      <c r="J496">
        <f>_xll.BDP("924258Y2 Muni","CPN")</f>
        <v>3</v>
      </c>
      <c r="K496" t="str">
        <f>_xll.BDP("924258Y2 Muni","MATURITY")</f>
        <v>8/15/2026</v>
      </c>
      <c r="L496">
        <v>390000</v>
      </c>
      <c r="M496">
        <f>_xll.BDP("924258Y2 Muni","YIELD_ON_ISSUE_DATE")</f>
        <v>1.81</v>
      </c>
      <c r="N496">
        <f>_xll.BDP("924258Y2 Muni","YTW_SPREAD_TO_MATURITY_AT_ISSU")</f>
        <v>6.8856189282301417</v>
      </c>
      <c r="O496" t="str">
        <f>_xll.BDP("924258Y2 Muni","BVAL_MID_YTM")</f>
        <v>#N/A Authorization</v>
      </c>
      <c r="P496" t="str">
        <f>_xll.BDP("924258Y2 Muni","MUNI_TAX_PROV")</f>
        <v>FED &amp; ST TAX-EXEMPT</v>
      </c>
      <c r="Q496" t="str">
        <f>_xll.BDP("924258Y2 Muni","MUNI_FED_TAX")</f>
        <v>N</v>
      </c>
      <c r="R496" t="str">
        <f>_xll.BDP("924258Y2 Muni","MUNI_MSRB_VOLUME")</f>
        <v>#N/A N/A</v>
      </c>
      <c r="S496" t="str">
        <f>_xll.BDP("924258Y2 Muni","BB_COMPOSITE")</f>
        <v>AA+</v>
      </c>
      <c r="T496">
        <f>_xll.BDP("924258Y2 Muni","LQA_LIQUIDITY_SCORE")</f>
        <v>64</v>
      </c>
    </row>
    <row r="497" spans="1:20" x14ac:dyDescent="0.25">
      <c r="A497" t="str">
        <f>_xll.BDP("925088VL Muni","ID_CUSIP")</f>
        <v>925088VL7</v>
      </c>
      <c r="B497" t="s">
        <v>212</v>
      </c>
      <c r="C497" t="str">
        <f>_xll.BDP("925088VL Muni","INSURANCE_STATUS")</f>
        <v>N</v>
      </c>
      <c r="D497" t="str">
        <f>_xll.BDP("925088VL Muni","STATE_CODE")</f>
        <v>WI</v>
      </c>
      <c r="E497" t="str">
        <f>_xll.BDP("925088VL Muni","COUNTY_LOCATION_ISSUER")</f>
        <v>Dane, WI</v>
      </c>
      <c r="F497">
        <f>_xll.BDP("925088VL Muni","DUR_ADJ_MID")</f>
        <v>1.7853656609891584</v>
      </c>
      <c r="G497">
        <f>_xll.BDP("925088VL Muni","SPREAD_AT_ISSUANCE_TO_WORST")</f>
        <v>19.71193963212643</v>
      </c>
      <c r="H497" t="str">
        <f>_xll.BDP("925088VL Muni","ISSUE_DT")</f>
        <v>7/20/2017</v>
      </c>
      <c r="I497" t="str">
        <f>_xll.BDS("925088VL Muni","MUNI_PURPOSE_SCHED", "aggregate=y")</f>
        <v>PUBLIC IMPS. SEWER IMPS. WATER UTILITY IMPS.</v>
      </c>
      <c r="J497">
        <f>_xll.BDP("925088VL Muni","CPN")</f>
        <v>2</v>
      </c>
      <c r="K497" t="str">
        <f>_xll.BDP("925088VL Muni","MATURITY")</f>
        <v>6/1/2024</v>
      </c>
      <c r="L497">
        <v>345000</v>
      </c>
      <c r="M497">
        <f>_xll.BDP("925088VL Muni","YIELD_ON_ISSUE_DATE")</f>
        <v>1.7000000000000002</v>
      </c>
      <c r="N497">
        <f>_xll.BDP("925088VL Muni","YTW_SPREAD_TO_MATURITY_AT_ISSU")</f>
        <v>19.71193963212643</v>
      </c>
      <c r="O497" t="str">
        <f>_xll.BDP("925088VL Muni","BVAL_MID_YTM")</f>
        <v>#N/A Authorization</v>
      </c>
      <c r="P497" t="str">
        <f>_xll.BDP("925088VL Muni","MUNI_TAX_PROV")</f>
        <v>FED BQ/ST TAXABLE</v>
      </c>
      <c r="Q497" t="str">
        <f>_xll.BDP("925088VL Muni","MUNI_FED_TAX")</f>
        <v>N</v>
      </c>
      <c r="R497" t="str">
        <f>_xll.BDP("925088VL Muni","MUNI_MSRB_VOLUME")</f>
        <v>#N/A N/A</v>
      </c>
      <c r="S497" t="str">
        <f>_xll.BDP("925088VL Muni","BB_COMPOSITE")</f>
        <v>#N/A N/A</v>
      </c>
      <c r="T497">
        <f>_xll.BDP("925088VL Muni","LQA_LIQUIDITY_SCORE")</f>
        <v>72</v>
      </c>
    </row>
    <row r="498" spans="1:20" x14ac:dyDescent="0.25">
      <c r="A498" t="str">
        <f>_xll.BDP("83005TAT Muni","ID_CUSIP")</f>
        <v>83005TAT4</v>
      </c>
      <c r="B498" t="s">
        <v>213</v>
      </c>
      <c r="C498" t="str">
        <f>_xll.BDP("83005TAT Muni","INSURANCE_STATUS")</f>
        <v>N</v>
      </c>
      <c r="D498" t="str">
        <f>_xll.BDP("83005TAT Muni","STATE_CODE")</f>
        <v>FL</v>
      </c>
      <c r="E498" t="str">
        <f>_xll.BDP("83005TAT Muni","COUNTY_LOCATION_ISSUER")</f>
        <v>Leon, FL</v>
      </c>
      <c r="F498">
        <f>_xll.BDP("83005TAT Muni","DUR_ADJ_MID")</f>
        <v>5.866706365718902</v>
      </c>
      <c r="G498">
        <f>_xll.BDP("83005TAT Muni","SPREAD_AT_ISSUANCE_TO_WORST")</f>
        <v>330.93155342465752</v>
      </c>
      <c r="H498" t="str">
        <f>_xll.BDP("83005TAT Muni","ISSUE_DT")</f>
        <v>12/7/2017</v>
      </c>
      <c r="I498" t="str">
        <f>_xll.BDS("83005TAT Muni","MUNI_PURPOSE_SCHED", "aggregate=y")</f>
        <v>WATER UTILITY IMPS. PUBLIC IMPS. CROSSOVER REFUNDING</v>
      </c>
      <c r="J498">
        <f>_xll.BDP("83005TAT Muni","CPN")</f>
        <v>5.35</v>
      </c>
      <c r="K498" t="str">
        <f>_xll.BDP("83005TAT Muni","MATURITY")</f>
        <v>11/1/2029</v>
      </c>
      <c r="L498">
        <v>3980000</v>
      </c>
      <c r="M498">
        <f>_xll.BDP("83005TAT Muni","YIELD_ON_ISSUE_DATE")</f>
        <v>5.4649999999999999</v>
      </c>
      <c r="N498">
        <f>_xll.BDP("83005TAT Muni","YTW_SPREAD_TO_MATURITY_AT_ISSU")</f>
        <v>330.93155342465752</v>
      </c>
      <c r="O498" t="str">
        <f>_xll.BDP("83005TAT Muni","BVAL_MID_YTM")</f>
        <v>#N/A Authorization</v>
      </c>
      <c r="P498" t="str">
        <f>_xll.BDP("83005TAT Muni","MUNI_TAX_PROV")</f>
        <v>FED &amp; ST TAX-EXEMPT</v>
      </c>
      <c r="Q498" t="str">
        <f>_xll.BDP("83005TAT Muni","MUNI_FED_TAX")</f>
        <v>N</v>
      </c>
      <c r="R498" t="str">
        <f>_xll.BDP("83005TAT Muni","MUNI_MSRB_VOLUME")</f>
        <v>#N/A N/A</v>
      </c>
      <c r="S498" t="str">
        <f>_xll.BDP("83005TAT Muni","BB_COMPOSITE")</f>
        <v>#N/A N/A</v>
      </c>
      <c r="T498">
        <f>_xll.BDP("83005TAT Muni","LQA_LIQUIDITY_SCORE")</f>
        <v>15</v>
      </c>
    </row>
    <row r="499" spans="1:20" x14ac:dyDescent="0.25">
      <c r="A499" t="str">
        <f>_xll.BDP("921237DA Muni","ID_CUSIP")</f>
        <v>921237DA8</v>
      </c>
      <c r="B499" t="s">
        <v>214</v>
      </c>
      <c r="C499" t="str">
        <f>_xll.BDP("921237DA Muni","INSURANCE_STATUS")</f>
        <v>Y</v>
      </c>
      <c r="D499" t="str">
        <f>_xll.BDP("921237DA Muni","STATE_CODE")</f>
        <v>TX</v>
      </c>
      <c r="E499" t="str">
        <f>_xll.BDP("921237DA Muni","COUNTY_LOCATION_ISSUER")</f>
        <v>Van Zandt, TX</v>
      </c>
      <c r="F499">
        <f>_xll.BDP("921237DA Muni","DUR_ADJ_MID")</f>
        <v>3.6093417259187875E-2</v>
      </c>
      <c r="G499">
        <f>_xll.BDP("921237DA Muni","SPREAD_AT_ISSUANCE_TO_WORST")</f>
        <v>21.877455550359915</v>
      </c>
      <c r="H499" t="str">
        <f>_xll.BDP("921237DA Muni","ISSUE_DT")</f>
        <v>3/9/2017</v>
      </c>
      <c r="I499" t="str">
        <f>_xll.BDS("921237DA Muni","MUNI_PURPOSE_SCHED", "aggregate=y")</f>
        <v>PUBLIC IMPS. WATER UTILITY IMPS. SEWER IMPS.</v>
      </c>
      <c r="J499">
        <f>_xll.BDP("921237DA Muni","CPN")</f>
        <v>3</v>
      </c>
      <c r="K499" t="str">
        <f>_xll.BDP("921237DA Muni","MATURITY")</f>
        <v>8/15/2022</v>
      </c>
      <c r="L499">
        <v>105000</v>
      </c>
      <c r="M499">
        <f>_xll.BDP("921237DA Muni","YIELD_ON_ISSUE_DATE")</f>
        <v>1.85</v>
      </c>
      <c r="N499">
        <f>_xll.BDP("921237DA Muni","YTW_SPREAD_TO_MATURITY_AT_ISSU")</f>
        <v>21.877455550359915</v>
      </c>
      <c r="O499" t="str">
        <f>_xll.BDP("921237DA Muni","BVAL_MID_YTM")</f>
        <v>#N/A Authorization</v>
      </c>
      <c r="P499" t="str">
        <f>_xll.BDP("921237DA Muni","MUNI_TAX_PROV")</f>
        <v>FED BQ</v>
      </c>
      <c r="Q499" t="str">
        <f>_xll.BDP("921237DA Muni","MUNI_FED_TAX")</f>
        <v>N</v>
      </c>
      <c r="R499" t="str">
        <f>_xll.BDP("921237DA Muni","MUNI_MSRB_VOLUME")</f>
        <v>#N/A N/A</v>
      </c>
      <c r="S499" t="str">
        <f>_xll.BDP("921237DA Muni","BB_COMPOSITE")</f>
        <v>A+</v>
      </c>
      <c r="T499">
        <f>_xll.BDP("921237DA Muni","LQA_LIQUIDITY_SCORE")</f>
        <v>87</v>
      </c>
    </row>
    <row r="500" spans="1:20" x14ac:dyDescent="0.25">
      <c r="A500" t="str">
        <f>_xll.BDP("921237DB Muni","ID_CUSIP")</f>
        <v>921237DB6</v>
      </c>
      <c r="B500" t="s">
        <v>214</v>
      </c>
      <c r="C500" t="str">
        <f>_xll.BDP("921237DB Muni","INSURANCE_STATUS")</f>
        <v>Y</v>
      </c>
      <c r="D500" t="str">
        <f>_xll.BDP("921237DB Muni","STATE_CODE")</f>
        <v>TX</v>
      </c>
      <c r="E500" t="str">
        <f>_xll.BDP("921237DB Muni","COUNTY_LOCATION_ISSUER")</f>
        <v>Van Zandt, TX</v>
      </c>
      <c r="F500">
        <f>_xll.BDP("921237DB Muni","DUR_ADJ_MID")</f>
        <v>1.0044731724247968</v>
      </c>
      <c r="G500">
        <f>_xll.BDP("921237DB Muni","SPREAD_AT_ISSUANCE_TO_WORST")</f>
        <v>21.696794715934509</v>
      </c>
      <c r="H500" t="str">
        <f>_xll.BDP("921237DB Muni","ISSUE_DT")</f>
        <v>3/9/2017</v>
      </c>
      <c r="I500" t="str">
        <f>_xll.BDS("921237DB Muni","MUNI_PURPOSE_SCHED", "aggregate=y")</f>
        <v>PUBLIC IMPS. WATER UTILITY IMPS. SEWER IMPS.</v>
      </c>
      <c r="J500">
        <f>_xll.BDP("921237DB Muni","CPN")</f>
        <v>3</v>
      </c>
      <c r="K500" t="str">
        <f>_xll.BDP("921237DB Muni","MATURITY")</f>
        <v>8/15/2023</v>
      </c>
      <c r="L500">
        <v>110000</v>
      </c>
      <c r="M500">
        <f>_xll.BDP("921237DB Muni","YIELD_ON_ISSUE_DATE")</f>
        <v>2</v>
      </c>
      <c r="N500">
        <f>_xll.BDP("921237DB Muni","YTW_SPREAD_TO_MATURITY_AT_ISSU")</f>
        <v>21.696794715934509</v>
      </c>
      <c r="O500" t="str">
        <f>_xll.BDP("921237DB Muni","BVAL_MID_YTM")</f>
        <v>#N/A Authorization</v>
      </c>
      <c r="P500" t="str">
        <f>_xll.BDP("921237DB Muni","MUNI_TAX_PROV")</f>
        <v>FED BQ</v>
      </c>
      <c r="Q500" t="str">
        <f>_xll.BDP("921237DB Muni","MUNI_FED_TAX")</f>
        <v>N</v>
      </c>
      <c r="R500" t="str">
        <f>_xll.BDP("921237DB Muni","MUNI_MSRB_VOLUME")</f>
        <v>#N/A N/A</v>
      </c>
      <c r="S500" t="str">
        <f>_xll.BDP("921237DB Muni","BB_COMPOSITE")</f>
        <v>A+</v>
      </c>
      <c r="T500">
        <f>_xll.BDP("921237DB Muni","LQA_LIQUIDITY_SCORE")</f>
        <v>82</v>
      </c>
    </row>
    <row r="501" spans="1:20" x14ac:dyDescent="0.25">
      <c r="A501" t="str">
        <f>_xll.BDP("921237DC Muni","ID_CUSIP")</f>
        <v>921237DC4</v>
      </c>
      <c r="B501" t="s">
        <v>214</v>
      </c>
      <c r="C501" t="str">
        <f>_xll.BDP("921237DC Muni","INSURANCE_STATUS")</f>
        <v>Y</v>
      </c>
      <c r="D501" t="str">
        <f>_xll.BDP("921237DC Muni","STATE_CODE")</f>
        <v>TX</v>
      </c>
      <c r="E501" t="str">
        <f>_xll.BDP("921237DC Muni","COUNTY_LOCATION_ISSUER")</f>
        <v>Van Zandt, TX</v>
      </c>
      <c r="F501">
        <f>_xll.BDP("921237DC Muni","DUR_ADJ_MID")</f>
        <v>1.9428911098279402</v>
      </c>
      <c r="G501">
        <f>_xll.BDP("921237DC Muni","SPREAD_AT_ISSUANCE_TO_WORST")</f>
        <v>16.732280183507029</v>
      </c>
      <c r="H501" t="str">
        <f>_xll.BDP("921237DC Muni","ISSUE_DT")</f>
        <v>3/9/2017</v>
      </c>
      <c r="I501" t="str">
        <f>_xll.BDS("921237DC Muni","MUNI_PURPOSE_SCHED", "aggregate=y")</f>
        <v>PUBLIC IMPS. WATER UTILITY IMPS. SEWER IMPS.</v>
      </c>
      <c r="J501">
        <f>_xll.BDP("921237DC Muni","CPN")</f>
        <v>3</v>
      </c>
      <c r="K501" t="str">
        <f>_xll.BDP("921237DC Muni","MATURITY")</f>
        <v>8/15/2024</v>
      </c>
      <c r="L501">
        <v>110000</v>
      </c>
      <c r="M501">
        <f>_xll.BDP("921237DC Muni","YIELD_ON_ISSUE_DATE")</f>
        <v>2.1</v>
      </c>
      <c r="N501">
        <f>_xll.BDP("921237DC Muni","YTW_SPREAD_TO_MATURITY_AT_ISSU")</f>
        <v>16.732280183507029</v>
      </c>
      <c r="O501" t="str">
        <f>_xll.BDP("921237DC Muni","BVAL_MID_YTM")</f>
        <v>#N/A Authorization</v>
      </c>
      <c r="P501" t="str">
        <f>_xll.BDP("921237DC Muni","MUNI_TAX_PROV")</f>
        <v>FED BQ</v>
      </c>
      <c r="Q501" t="str">
        <f>_xll.BDP("921237DC Muni","MUNI_FED_TAX")</f>
        <v>N</v>
      </c>
      <c r="R501" t="str">
        <f>_xll.BDP("921237DC Muni","MUNI_MSRB_VOLUME")</f>
        <v>#N/A N/A</v>
      </c>
      <c r="S501" t="str">
        <f>_xll.BDP("921237DC Muni","BB_COMPOSITE")</f>
        <v>A+</v>
      </c>
      <c r="T501">
        <f>_xll.BDP("921237DC Muni","LQA_LIQUIDITY_SCORE")</f>
        <v>73</v>
      </c>
    </row>
    <row r="502" spans="1:20" x14ac:dyDescent="0.25">
      <c r="A502" t="str">
        <f>_xll.BDP("921237DD Muni","ID_CUSIP")</f>
        <v>921237DD2</v>
      </c>
      <c r="B502" t="s">
        <v>214</v>
      </c>
      <c r="C502" t="str">
        <f>_xll.BDP("921237DD Muni","INSURANCE_STATUS")</f>
        <v>Y</v>
      </c>
      <c r="D502" t="str">
        <f>_xll.BDP("921237DD Muni","STATE_CODE")</f>
        <v>TX</v>
      </c>
      <c r="E502" t="str">
        <f>_xll.BDP("921237DD Muni","COUNTY_LOCATION_ISSUER")</f>
        <v>Van Zandt, TX</v>
      </c>
      <c r="F502">
        <f>_xll.BDP("921237DD Muni","DUR_ADJ_MID")</f>
        <v>2.8540777706807328</v>
      </c>
      <c r="G502">
        <f>_xll.BDP("921237DD Muni","SPREAD_AT_ISSUANCE_TO_WORST")</f>
        <v>12.730723044830494</v>
      </c>
      <c r="H502" t="str">
        <f>_xll.BDP("921237DD Muni","ISSUE_DT")</f>
        <v>3/9/2017</v>
      </c>
      <c r="I502" t="str">
        <f>_xll.BDS("921237DD Muni","MUNI_PURPOSE_SCHED", "aggregate=y")</f>
        <v>PUBLIC IMPS. WATER UTILITY IMPS. SEWER IMPS.</v>
      </c>
      <c r="J502">
        <f>_xll.BDP("921237DD Muni","CPN")</f>
        <v>3</v>
      </c>
      <c r="K502" t="str">
        <f>_xll.BDP("921237DD Muni","MATURITY")</f>
        <v>8/15/2025</v>
      </c>
      <c r="L502">
        <v>115000</v>
      </c>
      <c r="M502">
        <f>_xll.BDP("921237DD Muni","YIELD_ON_ISSUE_DATE")</f>
        <v>2.2000000000000002</v>
      </c>
      <c r="N502">
        <f>_xll.BDP("921237DD Muni","YTW_SPREAD_TO_MATURITY_AT_ISSU")</f>
        <v>12.730723044830494</v>
      </c>
      <c r="O502" t="str">
        <f>_xll.BDP("921237DD Muni","BVAL_MID_YTM")</f>
        <v>#N/A Authorization</v>
      </c>
      <c r="P502" t="str">
        <f>_xll.BDP("921237DD Muni","MUNI_TAX_PROV")</f>
        <v>FED BQ</v>
      </c>
      <c r="Q502" t="str">
        <f>_xll.BDP("921237DD Muni","MUNI_FED_TAX")</f>
        <v>N</v>
      </c>
      <c r="R502" t="str">
        <f>_xll.BDP("921237DD Muni","MUNI_MSRB_VOLUME")</f>
        <v>#N/A N/A</v>
      </c>
      <c r="S502" t="str">
        <f>_xll.BDP("921237DD Muni","BB_COMPOSITE")</f>
        <v>A+</v>
      </c>
      <c r="T502">
        <f>_xll.BDP("921237DD Muni","LQA_LIQUIDITY_SCORE")</f>
        <v>64</v>
      </c>
    </row>
    <row r="503" spans="1:20" x14ac:dyDescent="0.25">
      <c r="A503" t="str">
        <f>_xll.BDP("923357CD Muni","ID_CUSIP")</f>
        <v>923357CD7</v>
      </c>
      <c r="B503" t="s">
        <v>215</v>
      </c>
      <c r="C503" t="str">
        <f>_xll.BDP("923357CD Muni","INSURANCE_STATUS")</f>
        <v>N</v>
      </c>
      <c r="D503" t="str">
        <f>_xll.BDP("923357CD Muni","STATE_CODE")</f>
        <v>WA</v>
      </c>
      <c r="E503" t="str">
        <f>_xll.BDP("923357CD Muni","COUNTY_LOCATION_ISSUER")</f>
        <v>Spokane, WA</v>
      </c>
      <c r="F503">
        <f>_xll.BDP("923357CD Muni","DUR_ADJ_MID")</f>
        <v>2.3098187693090924</v>
      </c>
      <c r="G503">
        <f>_xll.BDP("923357CD Muni","SPREAD_AT_ISSUANCE_TO_WORST")</f>
        <v>46.834773907499908</v>
      </c>
      <c r="H503" t="str">
        <f>_xll.BDP("923357CD Muni","ISSUE_DT")</f>
        <v>4/7/2017</v>
      </c>
      <c r="I503" t="str">
        <f>_xll.BDS("923357CD Muni","MUNI_PURPOSE_SCHED", "aggregate=y")</f>
        <v>ELEC. LT. &amp; PWR. IMPTS. WATER UTILITY IMPS.</v>
      </c>
      <c r="J503">
        <f>_xll.BDP("923357CD Muni","CPN")</f>
        <v>3.5</v>
      </c>
      <c r="K503" t="str">
        <f>_xll.BDP("923357CD Muni","MATURITY")</f>
        <v>1/1/2025</v>
      </c>
      <c r="L503">
        <v>220000</v>
      </c>
      <c r="M503">
        <f>_xll.BDP("923357CD Muni","YIELD_ON_ISSUE_DATE")</f>
        <v>2.5</v>
      </c>
      <c r="N503">
        <f>_xll.BDP("923357CD Muni","YTW_SPREAD_TO_MATURITY_AT_ISSU")</f>
        <v>46.834773907499908</v>
      </c>
      <c r="O503" t="str">
        <f>_xll.BDP("923357CD Muni","BVAL_MID_YTM")</f>
        <v>#N/A Authorization</v>
      </c>
      <c r="P503" t="str">
        <f>_xll.BDP("923357CD Muni","MUNI_TAX_PROV")</f>
        <v>FED BQ</v>
      </c>
      <c r="Q503" t="str">
        <f>_xll.BDP("923357CD Muni","MUNI_FED_TAX")</f>
        <v>N</v>
      </c>
      <c r="R503" t="str">
        <f>_xll.BDP("923357CD Muni","MUNI_MSRB_VOLUME")</f>
        <v>#N/A N/A</v>
      </c>
      <c r="S503" t="str">
        <f>_xll.BDP("923357CD Muni","BB_COMPOSITE")</f>
        <v>#N/A N/A</v>
      </c>
      <c r="T503">
        <f>_xll.BDP("923357CD Muni","LQA_LIQUIDITY_SCORE")</f>
        <v>78</v>
      </c>
    </row>
    <row r="504" spans="1:20" x14ac:dyDescent="0.25">
      <c r="A504" t="str">
        <f>_xll.BDP("923357CE Muni","ID_CUSIP")</f>
        <v>923357CE5</v>
      </c>
      <c r="B504" t="s">
        <v>215</v>
      </c>
      <c r="C504" t="str">
        <f>_xll.BDP("923357CE Muni","INSURANCE_STATUS")</f>
        <v>N</v>
      </c>
      <c r="D504" t="str">
        <f>_xll.BDP("923357CE Muni","STATE_CODE")</f>
        <v>WA</v>
      </c>
      <c r="E504" t="str">
        <f>_xll.BDP("923357CE Muni","COUNTY_LOCATION_ISSUER")</f>
        <v>Spokane, WA</v>
      </c>
      <c r="F504">
        <f>_xll.BDP("923357CE Muni","DUR_ADJ_MID")</f>
        <v>3.2118193361880722</v>
      </c>
      <c r="G504">
        <f>_xll.BDP("923357CE Muni","SPREAD_AT_ISSUANCE_TO_WORST")</f>
        <v>37.101166648601193</v>
      </c>
      <c r="H504" t="str">
        <f>_xll.BDP("923357CE Muni","ISSUE_DT")</f>
        <v>4/7/2017</v>
      </c>
      <c r="I504" t="str">
        <f>_xll.BDS("923357CE Muni","MUNI_PURPOSE_SCHED", "aggregate=y")</f>
        <v>ELEC. LT. &amp; PWR. IMPTS. WATER UTILITY IMPS.</v>
      </c>
      <c r="J504">
        <f>_xll.BDP("923357CE Muni","CPN")</f>
        <v>3.5</v>
      </c>
      <c r="K504" t="str">
        <f>_xll.BDP("923357CE Muni","MATURITY")</f>
        <v>1/1/2026</v>
      </c>
      <c r="L504">
        <v>185000</v>
      </c>
      <c r="M504">
        <f>_xll.BDP("923357CE Muni","YIELD_ON_ISSUE_DATE")</f>
        <v>2.5500000000000003</v>
      </c>
      <c r="N504">
        <f>_xll.BDP("923357CE Muni","YTW_SPREAD_TO_MATURITY_AT_ISSU")</f>
        <v>37.101166648601193</v>
      </c>
      <c r="O504" t="str">
        <f>_xll.BDP("923357CE Muni","BVAL_MID_YTM")</f>
        <v>#N/A Authorization</v>
      </c>
      <c r="P504" t="str">
        <f>_xll.BDP("923357CE Muni","MUNI_TAX_PROV")</f>
        <v>FED BQ</v>
      </c>
      <c r="Q504" t="str">
        <f>_xll.BDP("923357CE Muni","MUNI_FED_TAX")</f>
        <v>N</v>
      </c>
      <c r="R504" t="str">
        <f>_xll.BDP("923357CE Muni","MUNI_MSRB_VOLUME")</f>
        <v>#N/A N/A</v>
      </c>
      <c r="S504" t="str">
        <f>_xll.BDP("923357CE Muni","BB_COMPOSITE")</f>
        <v>#N/A N/A</v>
      </c>
      <c r="T504">
        <f>_xll.BDP("923357CE Muni","LQA_LIQUIDITY_SCORE")</f>
        <v>70</v>
      </c>
    </row>
    <row r="505" spans="1:20" x14ac:dyDescent="0.25">
      <c r="A505" t="str">
        <f>_xll.BDP("654710RE Muni","ID_CUSIP")</f>
        <v>654710RE4</v>
      </c>
      <c r="B505" t="s">
        <v>196</v>
      </c>
      <c r="C505" t="str">
        <f>_xll.BDP("654710RE Muni","INSURANCE_STATUS")</f>
        <v>N</v>
      </c>
      <c r="D505" t="str">
        <f>_xll.BDP("654710RE Muni","STATE_CODE")</f>
        <v>NY</v>
      </c>
      <c r="E505" t="str">
        <f>_xll.BDP("654710RE Muni","COUNTY_LOCATION_ISSUER")</f>
        <v>Schenectady, NY</v>
      </c>
      <c r="F505">
        <f>_xll.BDP("654710RE Muni","DUR_ADJ_MID")</f>
        <v>0.49507061469505703</v>
      </c>
      <c r="G505">
        <f>_xll.BDP("654710RE Muni","SPREAD_AT_ISSUANCE_TO_WORST")</f>
        <v>7.6716970467414658</v>
      </c>
      <c r="H505" t="str">
        <f>_xll.BDP("654710RE Muni","ISSUE_DT")</f>
        <v>6/27/2017</v>
      </c>
      <c r="I505" t="str">
        <f>_xll.BDS("654710RE Muni","MUNI_PURPOSE_SCHED", "aggregate=y")</f>
        <v>SEWER IMPS. WATER UTILITY IMPS. PUBLIC IMPS.</v>
      </c>
      <c r="J505">
        <f>_xll.BDP("654710RE Muni","CPN")</f>
        <v>3</v>
      </c>
      <c r="K505" t="str">
        <f>_xll.BDP("654710RE Muni","MATURITY")</f>
        <v>2/1/2023</v>
      </c>
      <c r="L505">
        <v>475000</v>
      </c>
      <c r="M505">
        <f>_xll.BDP("654710RE Muni","YIELD_ON_ISSUE_DATE")</f>
        <v>1.37</v>
      </c>
      <c r="N505">
        <f>_xll.BDP("654710RE Muni","YTW_SPREAD_TO_MATURITY_AT_ISSU")</f>
        <v>7.6716970467414658</v>
      </c>
      <c r="O505" t="str">
        <f>_xll.BDP("654710RE Muni","BVAL_MID_YTM")</f>
        <v>#N/A Authorization</v>
      </c>
      <c r="P505" t="str">
        <f>_xll.BDP("654710RE Muni","MUNI_TAX_PROV")</f>
        <v>FED &amp; ST TAX-EXEMPT</v>
      </c>
      <c r="Q505" t="str">
        <f>_xll.BDP("654710RE Muni","MUNI_FED_TAX")</f>
        <v>N</v>
      </c>
      <c r="R505" t="str">
        <f>_xll.BDP("654710RE Muni","MUNI_MSRB_VOLUME")</f>
        <v>#N/A N/A</v>
      </c>
      <c r="S505" t="str">
        <f>_xll.BDP("654710RE Muni","BB_COMPOSITE")</f>
        <v>#N/A N/A</v>
      </c>
      <c r="T505">
        <f>_xll.BDP("654710RE Muni","LQA_LIQUIDITY_SCORE")</f>
        <v>93</v>
      </c>
    </row>
    <row r="506" spans="1:20" x14ac:dyDescent="0.25">
      <c r="A506" t="str">
        <f>_xll.BDP("654710RF Muni","ID_CUSIP")</f>
        <v>654710RF1</v>
      </c>
      <c r="B506" t="s">
        <v>196</v>
      </c>
      <c r="C506" t="str">
        <f>_xll.BDP("654710RF Muni","INSURANCE_STATUS")</f>
        <v>N</v>
      </c>
      <c r="D506" t="str">
        <f>_xll.BDP("654710RF Muni","STATE_CODE")</f>
        <v>NY</v>
      </c>
      <c r="E506" t="str">
        <f>_xll.BDP("654710RF Muni","COUNTY_LOCATION_ISSUER")</f>
        <v>Schenectady, NY</v>
      </c>
      <c r="F506">
        <f>_xll.BDP("654710RF Muni","DUR_ADJ_MID")</f>
        <v>1.46489356270241</v>
      </c>
      <c r="G506">
        <f>_xll.BDP("654710RF Muni","SPREAD_AT_ISSUANCE_TO_WORST")</f>
        <v>13.400114885172254</v>
      </c>
      <c r="H506" t="str">
        <f>_xll.BDP("654710RF Muni","ISSUE_DT")</f>
        <v>6/27/2017</v>
      </c>
      <c r="I506" t="str">
        <f>_xll.BDS("654710RF Muni","MUNI_PURPOSE_SCHED", "aggregate=y")</f>
        <v>SEWER IMPS. WATER UTILITY IMPS. PUBLIC IMPS.</v>
      </c>
      <c r="J506">
        <f>_xll.BDP("654710RF Muni","CPN")</f>
        <v>3</v>
      </c>
      <c r="K506" t="str">
        <f>_xll.BDP("654710RF Muni","MATURITY")</f>
        <v>2/1/2024</v>
      </c>
      <c r="L506">
        <v>480000</v>
      </c>
      <c r="M506">
        <f>_xll.BDP("654710RF Muni","YIELD_ON_ISSUE_DATE")</f>
        <v>1.57</v>
      </c>
      <c r="N506">
        <f>_xll.BDP("654710RF Muni","YTW_SPREAD_TO_MATURITY_AT_ISSU")</f>
        <v>13.400114885172254</v>
      </c>
      <c r="O506" t="str">
        <f>_xll.BDP("654710RF Muni","BVAL_MID_YTM")</f>
        <v>#N/A Authorization</v>
      </c>
      <c r="P506" t="str">
        <f>_xll.BDP("654710RF Muni","MUNI_TAX_PROV")</f>
        <v>FED &amp; ST TAX-EXEMPT</v>
      </c>
      <c r="Q506" t="str">
        <f>_xll.BDP("654710RF Muni","MUNI_FED_TAX")</f>
        <v>N</v>
      </c>
      <c r="R506" t="str">
        <f>_xll.BDP("654710RF Muni","MUNI_MSRB_VOLUME")</f>
        <v>#N/A N/A</v>
      </c>
      <c r="S506" t="str">
        <f>_xll.BDP("654710RF Muni","BB_COMPOSITE")</f>
        <v>#N/A N/A</v>
      </c>
      <c r="T506">
        <f>_xll.BDP("654710RF Muni","LQA_LIQUIDITY_SCORE")</f>
        <v>79</v>
      </c>
    </row>
    <row r="507" spans="1:20" x14ac:dyDescent="0.25">
      <c r="A507" t="str">
        <f>_xll.BDP("655867VU Muni","ID_CUSIP")</f>
        <v>655867VU0</v>
      </c>
      <c r="B507" t="s">
        <v>65</v>
      </c>
      <c r="C507" t="str">
        <f>_xll.BDP("655867VU Muni","INSURANCE_STATUS")</f>
        <v>N</v>
      </c>
      <c r="D507" t="str">
        <f>_xll.BDP("655867VU Muni","STATE_CODE")</f>
        <v>VA</v>
      </c>
      <c r="E507" t="str">
        <f>_xll.BDP("655867VU Muni","COUNTY_LOCATION_ISSUER")</f>
        <v>Norfolk, VA</v>
      </c>
      <c r="F507">
        <f>_xll.BDP("655867VU Muni","DUR_ADJ_MID")</f>
        <v>8.0502249176993779E-2</v>
      </c>
      <c r="G507">
        <f>_xll.BDP("655867VU Muni","SPREAD_AT_ISSUANCE_TO_WORST")</f>
        <v>8.8278136986301483</v>
      </c>
      <c r="H507" t="str">
        <f>_xll.BDP("655867VU Muni","ISSUE_DT")</f>
        <v>12/5/2017</v>
      </c>
      <c r="I507" t="str">
        <f>_xll.BDS("655867VU Muni","MUNI_PURPOSE_SCHED", "aggregate=y")</f>
        <v>PUBLIC IMPS. WATER UTILITY IMPS. SEWER IMPS.</v>
      </c>
      <c r="J507">
        <f>_xll.BDP("655867VU Muni","CPN")</f>
        <v>5</v>
      </c>
      <c r="K507" t="str">
        <f>_xll.BDP("655867VU Muni","MATURITY")</f>
        <v>9/1/2022</v>
      </c>
      <c r="L507">
        <v>5510000</v>
      </c>
      <c r="M507">
        <f>_xll.BDP("655867VU Muni","YIELD_ON_ISSUE_DATE")</f>
        <v>1.58</v>
      </c>
      <c r="N507">
        <f>_xll.BDP("655867VU Muni","YTW_SPREAD_TO_MATURITY_AT_ISSU")</f>
        <v>8.8278136986301483</v>
      </c>
      <c r="O507" t="str">
        <f>_xll.BDP("655867VU Muni","BVAL_MID_YTM")</f>
        <v>#N/A Authorization</v>
      </c>
      <c r="P507" t="str">
        <f>_xll.BDP("655867VU Muni","MUNI_TAX_PROV")</f>
        <v>FED &amp; ST TAX-EXEMPT</v>
      </c>
      <c r="Q507" t="str">
        <f>_xll.BDP("655867VU Muni","MUNI_FED_TAX")</f>
        <v>N</v>
      </c>
      <c r="R507">
        <f>_xll.BDP("655867VU Muni","MUNI_MSRB_VOLUME")</f>
        <v>50000</v>
      </c>
      <c r="S507" t="str">
        <f>_xll.BDP("655867VU Muni","BB_COMPOSITE")</f>
        <v>AA+</v>
      </c>
      <c r="T507">
        <f>_xll.BDP("655867VU Muni","LQA_LIQUIDITY_SCORE")</f>
        <v>98</v>
      </c>
    </row>
    <row r="508" spans="1:20" x14ac:dyDescent="0.25">
      <c r="A508" t="str">
        <f>_xll.BDP("657339D2 Muni","ID_CUSIP")</f>
        <v>657339D20</v>
      </c>
      <c r="B508" t="s">
        <v>216</v>
      </c>
      <c r="C508" t="str">
        <f>_xll.BDP("657339D2 Muni","INSURANCE_STATUS")</f>
        <v>N</v>
      </c>
      <c r="D508" t="str">
        <f>_xll.BDP("657339D2 Muni","STATE_CODE")</f>
        <v>MA</v>
      </c>
      <c r="E508" t="str">
        <f>_xll.BDP("657339D2 Muni","COUNTY_LOCATION_ISSUER")</f>
        <v>Bristol, MA</v>
      </c>
      <c r="F508">
        <f>_xll.BDP("657339D2 Muni","DUR_ADJ_MID")</f>
        <v>0.69335181663800471</v>
      </c>
      <c r="G508">
        <f>_xll.BDP("657339D2 Muni","SPREAD_AT_ISSUANCE_TO_WORST")</f>
        <v>17.261630760699909</v>
      </c>
      <c r="H508" t="str">
        <f>_xll.BDP("657339D2 Muni","ISSUE_DT")</f>
        <v>4/11/2017</v>
      </c>
      <c r="I508" t="str">
        <f>_xll.BDS("657339D2 Muni","MUNI_PURPOSE_SCHED", "aggregate=y")</f>
        <v>PUBLIC IMPS. WATER UTILITY IMPS. SCHOOL IMPS.</v>
      </c>
      <c r="J508">
        <f>_xll.BDP("657339D2 Muni","CPN")</f>
        <v>2.25</v>
      </c>
      <c r="K508" t="str">
        <f>_xll.BDP("657339D2 Muni","MATURITY")</f>
        <v>4/15/2023</v>
      </c>
      <c r="L508">
        <v>240000</v>
      </c>
      <c r="M508">
        <f>_xll.BDP("657339D2 Muni","YIELD_ON_ISSUE_DATE")</f>
        <v>1.9000000000000001</v>
      </c>
      <c r="N508">
        <f>_xll.BDP("657339D2 Muni","YTW_SPREAD_TO_MATURITY_AT_ISSU")</f>
        <v>17.261630760699909</v>
      </c>
      <c r="O508" t="str">
        <f>_xll.BDP("657339D2 Muni","BVAL_MID_YTM")</f>
        <v>#N/A Authorization</v>
      </c>
      <c r="P508" t="str">
        <f>_xll.BDP("657339D2 Muni","MUNI_TAX_PROV")</f>
        <v>FED BQ/ST TAX-EXEMPT</v>
      </c>
      <c r="Q508" t="str">
        <f>_xll.BDP("657339D2 Muni","MUNI_FED_TAX")</f>
        <v>N</v>
      </c>
      <c r="R508" t="str">
        <f>_xll.BDP("657339D2 Muni","MUNI_MSRB_VOLUME")</f>
        <v>#N/A N/A</v>
      </c>
      <c r="S508" t="str">
        <f>_xll.BDP("657339D2 Muni","BB_COMPOSITE")</f>
        <v>#N/A N/A</v>
      </c>
      <c r="T508">
        <f>_xll.BDP("657339D2 Muni","LQA_LIQUIDITY_SCORE")</f>
        <v>92</v>
      </c>
    </row>
    <row r="509" spans="1:20" x14ac:dyDescent="0.25">
      <c r="A509" t="str">
        <f>_xll.BDP("657339D3 Muni","ID_CUSIP")</f>
        <v>657339D38</v>
      </c>
      <c r="B509" t="s">
        <v>216</v>
      </c>
      <c r="C509" t="str">
        <f>_xll.BDP("657339D3 Muni","INSURANCE_STATUS")</f>
        <v>N</v>
      </c>
      <c r="D509" t="str">
        <f>_xll.BDP("657339D3 Muni","STATE_CODE")</f>
        <v>MA</v>
      </c>
      <c r="E509" t="str">
        <f>_xll.BDP("657339D3 Muni","COUNTY_LOCATION_ISSUER")</f>
        <v>Bristol, MA</v>
      </c>
      <c r="F509">
        <f>_xll.BDP("657339D3 Muni","DUR_ADJ_MID")</f>
        <v>1.6535128783783806</v>
      </c>
      <c r="G509">
        <f>_xll.BDP("657339D3 Muni","SPREAD_AT_ISSUANCE_TO_WORST")</f>
        <v>10.804394409197116</v>
      </c>
      <c r="H509" t="str">
        <f>_xll.BDP("657339D3 Muni","ISSUE_DT")</f>
        <v>4/11/2017</v>
      </c>
      <c r="I509" t="str">
        <f>_xll.BDS("657339D3 Muni","MUNI_PURPOSE_SCHED", "aggregate=y")</f>
        <v>PUBLIC IMPS. WATER UTILITY IMPS. SCHOOL IMPS.</v>
      </c>
      <c r="J509">
        <f>_xll.BDP("657339D3 Muni","CPN")</f>
        <v>2.5</v>
      </c>
      <c r="K509" t="str">
        <f>_xll.BDP("657339D3 Muni","MATURITY")</f>
        <v>4/15/2024</v>
      </c>
      <c r="L509">
        <v>240000</v>
      </c>
      <c r="M509">
        <f>_xll.BDP("657339D3 Muni","YIELD_ON_ISSUE_DATE")</f>
        <v>2</v>
      </c>
      <c r="N509">
        <f>_xll.BDP("657339D3 Muni","YTW_SPREAD_TO_MATURITY_AT_ISSU")</f>
        <v>10.804394409197116</v>
      </c>
      <c r="O509" t="str">
        <f>_xll.BDP("657339D3 Muni","BVAL_MID_YTM")</f>
        <v>#N/A Authorization</v>
      </c>
      <c r="P509" t="str">
        <f>_xll.BDP("657339D3 Muni","MUNI_TAX_PROV")</f>
        <v>FED BQ/ST TAX-EXEMPT</v>
      </c>
      <c r="Q509" t="str">
        <f>_xll.BDP("657339D3 Muni","MUNI_FED_TAX")</f>
        <v>N</v>
      </c>
      <c r="R509" t="str">
        <f>_xll.BDP("657339D3 Muni","MUNI_MSRB_VOLUME")</f>
        <v>#N/A N/A</v>
      </c>
      <c r="S509" t="str">
        <f>_xll.BDP("657339D3 Muni","BB_COMPOSITE")</f>
        <v>#N/A N/A</v>
      </c>
      <c r="T509">
        <f>_xll.BDP("657339D3 Muni","LQA_LIQUIDITY_SCORE")</f>
        <v>83</v>
      </c>
    </row>
    <row r="510" spans="1:20" x14ac:dyDescent="0.25">
      <c r="A510" t="str">
        <f>_xll.BDP("657339D4 Muni","ID_CUSIP")</f>
        <v>657339D46</v>
      </c>
      <c r="B510" t="s">
        <v>216</v>
      </c>
      <c r="C510" t="str">
        <f>_xll.BDP("657339D4 Muni","INSURANCE_STATUS")</f>
        <v>N</v>
      </c>
      <c r="D510" t="str">
        <f>_xll.BDP("657339D4 Muni","STATE_CODE")</f>
        <v>MA</v>
      </c>
      <c r="E510" t="str">
        <f>_xll.BDP("657339D4 Muni","COUNTY_LOCATION_ISSUER")</f>
        <v>Bristol, MA</v>
      </c>
      <c r="F510">
        <f>_xll.BDP("657339D4 Muni","DUR_ADJ_MID")</f>
        <v>2.5909550133009156</v>
      </c>
      <c r="G510">
        <f>_xll.BDP("657339D4 Muni","SPREAD_AT_ISSUANCE_TO_WORST")</f>
        <v>4.9129562352530964</v>
      </c>
      <c r="H510" t="str">
        <f>_xll.BDP("657339D4 Muni","ISSUE_DT")</f>
        <v>4/11/2017</v>
      </c>
      <c r="I510" t="str">
        <f>_xll.BDS("657339D4 Muni","MUNI_PURPOSE_SCHED", "aggregate=y")</f>
        <v>PUBLIC IMPS. WATER UTILITY IMPS. SCHOOL IMPS.</v>
      </c>
      <c r="J510">
        <f>_xll.BDP("657339D4 Muni","CPN")</f>
        <v>2.5</v>
      </c>
      <c r="K510" t="str">
        <f>_xll.BDP("657339D4 Muni","MATURITY")</f>
        <v>4/15/2025</v>
      </c>
      <c r="L510">
        <v>240000</v>
      </c>
      <c r="M510">
        <f>_xll.BDP("657339D4 Muni","YIELD_ON_ISSUE_DATE")</f>
        <v>2.1</v>
      </c>
      <c r="N510">
        <f>_xll.BDP("657339D4 Muni","YTW_SPREAD_TO_MATURITY_AT_ISSU")</f>
        <v>4.9129562352530964</v>
      </c>
      <c r="O510" t="str">
        <f>_xll.BDP("657339D4 Muni","BVAL_MID_YTM")</f>
        <v>#N/A Authorization</v>
      </c>
      <c r="P510" t="str">
        <f>_xll.BDP("657339D4 Muni","MUNI_TAX_PROV")</f>
        <v>FED BQ/ST TAX-EXEMPT</v>
      </c>
      <c r="Q510" t="str">
        <f>_xll.BDP("657339D4 Muni","MUNI_FED_TAX")</f>
        <v>N</v>
      </c>
      <c r="R510" t="str">
        <f>_xll.BDP("657339D4 Muni","MUNI_MSRB_VOLUME")</f>
        <v>#N/A N/A</v>
      </c>
      <c r="S510" t="str">
        <f>_xll.BDP("657339D4 Muni","BB_COMPOSITE")</f>
        <v>#N/A N/A</v>
      </c>
      <c r="T510">
        <f>_xll.BDP("657339D4 Muni","LQA_LIQUIDITY_SCORE")</f>
        <v>73</v>
      </c>
    </row>
    <row r="511" spans="1:20" x14ac:dyDescent="0.25">
      <c r="A511" t="str">
        <f>_xll.BDP("657407EC Muni","ID_CUSIP")</f>
        <v>657407EC2</v>
      </c>
      <c r="B511" t="s">
        <v>217</v>
      </c>
      <c r="C511" t="str">
        <f>_xll.BDP("657407EC Muni","INSURANCE_STATUS")</f>
        <v>N</v>
      </c>
      <c r="D511" t="str">
        <f>_xll.BDP("657407EC Muni","STATE_CODE")</f>
        <v>IL</v>
      </c>
      <c r="E511" t="str">
        <f>_xll.BDP("657407EC Muni","COUNTY_LOCATION_ISSUER")</f>
        <v>Kane, IL</v>
      </c>
      <c r="F511">
        <f>_xll.BDP("657407EC Muni","DUR_ADJ_MID")</f>
        <v>0.41169908434926528</v>
      </c>
      <c r="G511">
        <f>_xll.BDP("657407EC Muni","SPREAD_AT_ISSUANCE_TO_WORST")</f>
        <v>38.054753172950818</v>
      </c>
      <c r="H511" t="str">
        <f>_xll.BDP("657407EC Muni","ISSUE_DT")</f>
        <v>4/4/2017</v>
      </c>
      <c r="I511" t="str">
        <f>_xll.BDS("657407EC Muni","MUNI_PURPOSE_SCHED", "aggregate=y")</f>
        <v>WATER UTILITY IMPS.</v>
      </c>
      <c r="J511">
        <f>_xll.BDP("657407EC Muni","CPN")</f>
        <v>3</v>
      </c>
      <c r="K511" t="str">
        <f>_xll.BDP("657407EC Muni","MATURITY")</f>
        <v>1/1/2023</v>
      </c>
      <c r="L511">
        <v>360000</v>
      </c>
      <c r="M511">
        <f>_xll.BDP("657407EC Muni","YIELD_ON_ISSUE_DATE")</f>
        <v>2.2000000000000002</v>
      </c>
      <c r="N511">
        <f>_xll.BDP("657407EC Muni","YTW_SPREAD_TO_MATURITY_AT_ISSU")</f>
        <v>38.054753172950818</v>
      </c>
      <c r="O511" t="str">
        <f>_xll.BDP("657407EC Muni","BVAL_MID_YTM")</f>
        <v>#N/A Authorization</v>
      </c>
      <c r="P511" t="str">
        <f>_xll.BDP("657407EC Muni","MUNI_TAX_PROV")</f>
        <v>FED BQ/ST TAXABLE</v>
      </c>
      <c r="Q511" t="str">
        <f>_xll.BDP("657407EC Muni","MUNI_FED_TAX")</f>
        <v>N</v>
      </c>
      <c r="R511" t="str">
        <f>_xll.BDP("657407EC Muni","MUNI_MSRB_VOLUME")</f>
        <v>#N/A N/A</v>
      </c>
      <c r="S511" t="str">
        <f>_xll.BDP("657407EC Muni","BB_COMPOSITE")</f>
        <v>#N/A N/A</v>
      </c>
      <c r="T511">
        <f>_xll.BDP("657407EC Muni","LQA_LIQUIDITY_SCORE")</f>
        <v>94</v>
      </c>
    </row>
    <row r="512" spans="1:20" x14ac:dyDescent="0.25">
      <c r="A512" t="str">
        <f>_xll.BDP("657407ED Muni","ID_CUSIP")</f>
        <v>657407ED0</v>
      </c>
      <c r="B512" t="s">
        <v>217</v>
      </c>
      <c r="C512" t="str">
        <f>_xll.BDP("657407ED Muni","INSURANCE_STATUS")</f>
        <v>N</v>
      </c>
      <c r="D512" t="str">
        <f>_xll.BDP("657407ED Muni","STATE_CODE")</f>
        <v>IL</v>
      </c>
      <c r="E512" t="str">
        <f>_xll.BDP("657407ED Muni","COUNTY_LOCATION_ISSUER")</f>
        <v>Kane, IL</v>
      </c>
      <c r="F512">
        <f>_xll.BDP("657407ED Muni","DUR_ADJ_MID")</f>
        <v>1.379165943938669</v>
      </c>
      <c r="G512">
        <f>_xll.BDP("657407ED Muni","SPREAD_AT_ISSUANCE_TO_WORST")</f>
        <v>31.606240464133919</v>
      </c>
      <c r="H512" t="str">
        <f>_xll.BDP("657407ED Muni","ISSUE_DT")</f>
        <v>4/4/2017</v>
      </c>
      <c r="I512" t="str">
        <f>_xll.BDS("657407ED Muni","MUNI_PURPOSE_SCHED", "aggregate=y")</f>
        <v>WATER UTILITY IMPS.</v>
      </c>
      <c r="J512">
        <f>_xll.BDP("657407ED Muni","CPN")</f>
        <v>3</v>
      </c>
      <c r="K512" t="str">
        <f>_xll.BDP("657407ED Muni","MATURITY")</f>
        <v>1/1/2024</v>
      </c>
      <c r="L512">
        <v>370000</v>
      </c>
      <c r="M512">
        <f>_xll.BDP("657407ED Muni","YIELD_ON_ISSUE_DATE")</f>
        <v>2.3000000000000003</v>
      </c>
      <c r="N512">
        <f>_xll.BDP("657407ED Muni","YTW_SPREAD_TO_MATURITY_AT_ISSU")</f>
        <v>31.606240464133919</v>
      </c>
      <c r="O512" t="str">
        <f>_xll.BDP("657407ED Muni","BVAL_MID_YTM")</f>
        <v>#N/A Authorization</v>
      </c>
      <c r="P512" t="str">
        <f>_xll.BDP("657407ED Muni","MUNI_TAX_PROV")</f>
        <v>FED BQ/ST TAXABLE</v>
      </c>
      <c r="Q512" t="str">
        <f>_xll.BDP("657407ED Muni","MUNI_FED_TAX")</f>
        <v>N</v>
      </c>
      <c r="R512" t="str">
        <f>_xll.BDP("657407ED Muni","MUNI_MSRB_VOLUME")</f>
        <v>#N/A N/A</v>
      </c>
      <c r="S512" t="str">
        <f>_xll.BDP("657407ED Muni","BB_COMPOSITE")</f>
        <v>#N/A N/A</v>
      </c>
      <c r="T512">
        <f>_xll.BDP("657407ED Muni","LQA_LIQUIDITY_SCORE")</f>
        <v>81</v>
      </c>
    </row>
    <row r="513" spans="1:20" x14ac:dyDescent="0.25">
      <c r="A513" t="str">
        <f>_xll.BDP("657407EE Muni","ID_CUSIP")</f>
        <v>657407EE8</v>
      </c>
      <c r="B513" t="s">
        <v>217</v>
      </c>
      <c r="C513" t="str">
        <f>_xll.BDP("657407EE Muni","INSURANCE_STATUS")</f>
        <v>N</v>
      </c>
      <c r="D513" t="str">
        <f>_xll.BDP("657407EE Muni","STATE_CODE")</f>
        <v>IL</v>
      </c>
      <c r="E513" t="str">
        <f>_xll.BDP("657407EE Muni","COUNTY_LOCATION_ISSUER")</f>
        <v>Kane, IL</v>
      </c>
      <c r="F513">
        <f>_xll.BDP("657407EE Muni","DUR_ADJ_MID")</f>
        <v>2.3185270855557119</v>
      </c>
      <c r="G513">
        <f>_xll.BDP("657407EE Muni","SPREAD_AT_ISSUANCE_TO_WORST")</f>
        <v>30.492206702235734</v>
      </c>
      <c r="H513" t="str">
        <f>_xll.BDP("657407EE Muni","ISSUE_DT")</f>
        <v>4/4/2017</v>
      </c>
      <c r="I513" t="str">
        <f>_xll.BDS("657407EE Muni","MUNI_PURPOSE_SCHED", "aggregate=y")</f>
        <v>WATER UTILITY IMPS.</v>
      </c>
      <c r="J513">
        <f>_xll.BDP("657407EE Muni","CPN")</f>
        <v>3</v>
      </c>
      <c r="K513" t="str">
        <f>_xll.BDP("657407EE Muni","MATURITY")</f>
        <v>1/1/2025</v>
      </c>
      <c r="L513">
        <v>380000</v>
      </c>
      <c r="M513">
        <f>_xll.BDP("657407EE Muni","YIELD_ON_ISSUE_DATE")</f>
        <v>2.4500000000000002</v>
      </c>
      <c r="N513">
        <f>_xll.BDP("657407EE Muni","YTW_SPREAD_TO_MATURITY_AT_ISSU")</f>
        <v>30.492206702235734</v>
      </c>
      <c r="O513" t="str">
        <f>_xll.BDP("657407EE Muni","BVAL_MID_YTM")</f>
        <v>#N/A Authorization</v>
      </c>
      <c r="P513" t="str">
        <f>_xll.BDP("657407EE Muni","MUNI_TAX_PROV")</f>
        <v>FED BQ/ST TAXABLE</v>
      </c>
      <c r="Q513" t="str">
        <f>_xll.BDP("657407EE Muni","MUNI_FED_TAX")</f>
        <v>N</v>
      </c>
      <c r="R513" t="str">
        <f>_xll.BDP("657407EE Muni","MUNI_MSRB_VOLUME")</f>
        <v>#N/A N/A</v>
      </c>
      <c r="S513" t="str">
        <f>_xll.BDP("657407EE Muni","BB_COMPOSITE")</f>
        <v>#N/A N/A</v>
      </c>
      <c r="T513">
        <f>_xll.BDP("657407EE Muni","LQA_LIQUIDITY_SCORE")</f>
        <v>71</v>
      </c>
    </row>
    <row r="514" spans="1:20" x14ac:dyDescent="0.25">
      <c r="A514" t="str">
        <f>_xll.BDP("764279AU Muni","ID_CUSIP")</f>
        <v>764279AU9</v>
      </c>
      <c r="B514" t="s">
        <v>82</v>
      </c>
      <c r="C514" t="str">
        <f>_xll.BDP("764279AU Muni","INSURANCE_STATUS")</f>
        <v>N</v>
      </c>
      <c r="D514" t="str">
        <f>_xll.BDP("764279AU Muni","STATE_CODE")</f>
        <v>WA</v>
      </c>
      <c r="E514" t="str">
        <f>_xll.BDP("764279AU Muni","COUNTY_LOCATION_ISSUER")</f>
        <v>Benton, WA</v>
      </c>
      <c r="F514">
        <f>_xll.BDP("764279AU Muni","DUR_ADJ_MID")</f>
        <v>3.0302765779400249</v>
      </c>
      <c r="G514">
        <f>_xll.BDP("764279AU Muni","SPREAD_AT_ISSUANCE_TO_WORST")</f>
        <v>25.615077436143153</v>
      </c>
      <c r="H514" t="str">
        <f>_xll.BDP("764279AU Muni","ISSUE_DT")</f>
        <v>6/22/2017</v>
      </c>
      <c r="I514" t="str">
        <f>_xll.BDS("764279AU Muni","MUNI_PURPOSE_SCHED", "aggregate=y")</f>
        <v>WATER UTILITY IMPS. ADVANCE REFUNDING REFUNDING NOTES</v>
      </c>
      <c r="J514">
        <f>_xll.BDP("764279AU Muni","CPN")</f>
        <v>4</v>
      </c>
      <c r="K514" t="str">
        <f>_xll.BDP("764279AU Muni","MATURITY")</f>
        <v>11/1/2025</v>
      </c>
      <c r="L514">
        <v>525000</v>
      </c>
      <c r="M514">
        <f>_xll.BDP("764279AU Muni","YIELD_ON_ISSUE_DATE")</f>
        <v>1.9000000000000001</v>
      </c>
      <c r="N514">
        <f>_xll.BDP("764279AU Muni","YTW_SPREAD_TO_MATURITY_AT_ISSU")</f>
        <v>25.615077436143153</v>
      </c>
      <c r="O514" t="str">
        <f>_xll.BDP("764279AU Muni","BVAL_MID_YTM")</f>
        <v>#N/A Authorization</v>
      </c>
      <c r="P514" t="str">
        <f>_xll.BDP("764279AU Muni","MUNI_TAX_PROV")</f>
        <v>FED TAX-EXEMPT</v>
      </c>
      <c r="Q514" t="str">
        <f>_xll.BDP("764279AU Muni","MUNI_FED_TAX")</f>
        <v>N</v>
      </c>
      <c r="R514" t="str">
        <f>_xll.BDP("764279AU Muni","MUNI_MSRB_VOLUME")</f>
        <v>#N/A N/A</v>
      </c>
      <c r="S514" t="str">
        <f>_xll.BDP("764279AU Muni","BB_COMPOSITE")</f>
        <v>#N/A N/A</v>
      </c>
      <c r="T514">
        <f>_xll.BDP("764279AU Muni","LQA_LIQUIDITY_SCORE")</f>
        <v>66</v>
      </c>
    </row>
    <row r="515" spans="1:20" x14ac:dyDescent="0.25">
      <c r="A515" t="str">
        <f>_xll.BDP("740871AC Muni","ID_CUSIP")</f>
        <v>740871AC2</v>
      </c>
      <c r="B515" t="s">
        <v>218</v>
      </c>
      <c r="C515" t="str">
        <f>_xll.BDP("740871AC Muni","INSURANCE_STATUS")</f>
        <v>Y</v>
      </c>
      <c r="D515" t="str">
        <f>_xll.BDP("740871AC Muni","STATE_CODE")</f>
        <v>TX</v>
      </c>
      <c r="E515" t="str">
        <f>_xll.BDP("740871AC Muni","COUNTY_LOCATION_ISSUER")</f>
        <v>#N/A Field Not Applicable</v>
      </c>
      <c r="F515">
        <f>_xll.BDP("740871AC Muni","DUR_ADJ_MID")</f>
        <v>8.0472962967399059E-2</v>
      </c>
      <c r="G515">
        <f>_xll.BDP("740871AC Muni","SPREAD_AT_ISSUANCE_TO_WORST")</f>
        <v>39.068295890410965</v>
      </c>
      <c r="H515" t="str">
        <f>_xll.BDP("740871AC Muni","ISSUE_DT")</f>
        <v>10/24/2017</v>
      </c>
      <c r="I515" t="str">
        <f>_xll.BDS("740871AC Muni","MUNI_PURPOSE_SCHED", "aggregate=y")</f>
        <v>WATER UTILITY IMPS. SEWER IMPS.</v>
      </c>
      <c r="J515">
        <f>_xll.BDP("740871AC Muni","CPN")</f>
        <v>3</v>
      </c>
      <c r="K515" t="str">
        <f>_xll.BDP("740871AC Muni","MATURITY")</f>
        <v>9/1/2022</v>
      </c>
      <c r="L515">
        <v>100000</v>
      </c>
      <c r="M515">
        <f>_xll.BDP("740871AC Muni","YIELD_ON_ISSUE_DATE")</f>
        <v>1.6500000000000001</v>
      </c>
      <c r="N515">
        <f>_xll.BDP("740871AC Muni","YTW_SPREAD_TO_MATURITY_AT_ISSU")</f>
        <v>39.068295890410965</v>
      </c>
      <c r="O515" t="str">
        <f>_xll.BDP("740871AC Muni","BVAL_MID_YTM")</f>
        <v>#N/A Authorization</v>
      </c>
      <c r="P515" t="str">
        <f>_xll.BDP("740871AC Muni","MUNI_TAX_PROV")</f>
        <v>FED BQ</v>
      </c>
      <c r="Q515" t="str">
        <f>_xll.BDP("740871AC Muni","MUNI_FED_TAX")</f>
        <v>N</v>
      </c>
      <c r="R515" t="str">
        <f>_xll.BDP("740871AC Muni","MUNI_MSRB_VOLUME")</f>
        <v>#N/A N/A</v>
      </c>
      <c r="S515" t="str">
        <f>_xll.BDP("740871AC Muni","BB_COMPOSITE")</f>
        <v>A+</v>
      </c>
      <c r="T515">
        <f>_xll.BDP("740871AC Muni","LQA_LIQUIDITY_SCORE")</f>
        <v>99</v>
      </c>
    </row>
    <row r="516" spans="1:20" x14ac:dyDescent="0.25">
      <c r="A516" t="str">
        <f>_xll.BDP("740871AD Muni","ID_CUSIP")</f>
        <v>740871AD0</v>
      </c>
      <c r="B516" t="s">
        <v>218</v>
      </c>
      <c r="C516" t="str">
        <f>_xll.BDP("740871AD Muni","INSURANCE_STATUS")</f>
        <v>Y</v>
      </c>
      <c r="D516" t="str">
        <f>_xll.BDP("740871AD Muni","STATE_CODE")</f>
        <v>TX</v>
      </c>
      <c r="E516" t="str">
        <f>_xll.BDP("740871AD Muni","COUNTY_LOCATION_ISSUER")</f>
        <v>#N/A Field Not Applicable</v>
      </c>
      <c r="F516">
        <f>_xll.BDP("740871AD Muni","DUR_ADJ_MID")</f>
        <v>1.0488762999589556</v>
      </c>
      <c r="G516">
        <f>_xll.BDP("740871AD Muni","SPREAD_AT_ISSUANCE_TO_WORST")</f>
        <v>40.464397260273977</v>
      </c>
      <c r="H516" t="str">
        <f>_xll.BDP("740871AD Muni","ISSUE_DT")</f>
        <v>10/24/2017</v>
      </c>
      <c r="I516" t="str">
        <f>_xll.BDS("740871AD Muni","MUNI_PURPOSE_SCHED", "aggregate=y")</f>
        <v>WATER UTILITY IMPS. SEWER IMPS.</v>
      </c>
      <c r="J516">
        <f>_xll.BDP("740871AD Muni","CPN")</f>
        <v>3</v>
      </c>
      <c r="K516" t="str">
        <f>_xll.BDP("740871AD Muni","MATURITY")</f>
        <v>9/1/2023</v>
      </c>
      <c r="L516">
        <v>105000</v>
      </c>
      <c r="M516">
        <f>_xll.BDP("740871AD Muni","YIELD_ON_ISSUE_DATE")</f>
        <v>1.8</v>
      </c>
      <c r="N516">
        <f>_xll.BDP("740871AD Muni","YTW_SPREAD_TO_MATURITY_AT_ISSU")</f>
        <v>40.464397260273977</v>
      </c>
      <c r="O516" t="str">
        <f>_xll.BDP("740871AD Muni","BVAL_MID_YTM")</f>
        <v>#N/A Authorization</v>
      </c>
      <c r="P516" t="str">
        <f>_xll.BDP("740871AD Muni","MUNI_TAX_PROV")</f>
        <v>FED BQ</v>
      </c>
      <c r="Q516" t="str">
        <f>_xll.BDP("740871AD Muni","MUNI_FED_TAX")</f>
        <v>N</v>
      </c>
      <c r="R516" t="str">
        <f>_xll.BDP("740871AD Muni","MUNI_MSRB_VOLUME")</f>
        <v>#N/A N/A</v>
      </c>
      <c r="S516" t="str">
        <f>_xll.BDP("740871AD Muni","BB_COMPOSITE")</f>
        <v>A+</v>
      </c>
      <c r="T516">
        <f>_xll.BDP("740871AD Muni","LQA_LIQUIDITY_SCORE")</f>
        <v>89</v>
      </c>
    </row>
    <row r="517" spans="1:20" x14ac:dyDescent="0.25">
      <c r="A517" t="str">
        <f>_xll.BDP("740871AE Muni","ID_CUSIP")</f>
        <v>740871AE8</v>
      </c>
      <c r="B517" t="s">
        <v>218</v>
      </c>
      <c r="C517" t="str">
        <f>_xll.BDP("740871AE Muni","INSURANCE_STATUS")</f>
        <v>Y</v>
      </c>
      <c r="D517" t="str">
        <f>_xll.BDP("740871AE Muni","STATE_CODE")</f>
        <v>TX</v>
      </c>
      <c r="E517" t="str">
        <f>_xll.BDP("740871AE Muni","COUNTY_LOCATION_ISSUER")</f>
        <v>#N/A Field Not Applicable</v>
      </c>
      <c r="F517">
        <f>_xll.BDP("740871AE Muni","DUR_ADJ_MID")</f>
        <v>1.9876638841286762</v>
      </c>
      <c r="G517">
        <f>_xll.BDP("740871AE Muni","SPREAD_AT_ISSUANCE_TO_WORST")</f>
        <v>46.393271232876707</v>
      </c>
      <c r="H517" t="str">
        <f>_xll.BDP("740871AE Muni","ISSUE_DT")</f>
        <v>10/24/2017</v>
      </c>
      <c r="I517" t="str">
        <f>_xll.BDS("740871AE Muni","MUNI_PURPOSE_SCHED", "aggregate=y")</f>
        <v>WATER UTILITY IMPS. SEWER IMPS.</v>
      </c>
      <c r="J517">
        <f>_xll.BDP("740871AE Muni","CPN")</f>
        <v>3</v>
      </c>
      <c r="K517" t="str">
        <f>_xll.BDP("740871AE Muni","MATURITY")</f>
        <v>9/1/2024</v>
      </c>
      <c r="L517">
        <v>110000</v>
      </c>
      <c r="M517">
        <f>_xll.BDP("740871AE Muni","YIELD_ON_ISSUE_DATE")</f>
        <v>2</v>
      </c>
      <c r="N517">
        <f>_xll.BDP("740871AE Muni","YTW_SPREAD_TO_MATURITY_AT_ISSU")</f>
        <v>46.393271232876707</v>
      </c>
      <c r="O517" t="str">
        <f>_xll.BDP("740871AE Muni","BVAL_MID_YTM")</f>
        <v>#N/A Authorization</v>
      </c>
      <c r="P517" t="str">
        <f>_xll.BDP("740871AE Muni","MUNI_TAX_PROV")</f>
        <v>FED BQ</v>
      </c>
      <c r="Q517" t="str">
        <f>_xll.BDP("740871AE Muni","MUNI_FED_TAX")</f>
        <v>N</v>
      </c>
      <c r="R517" t="str">
        <f>_xll.BDP("740871AE Muni","MUNI_MSRB_VOLUME")</f>
        <v>#N/A N/A</v>
      </c>
      <c r="S517" t="str">
        <f>_xll.BDP("740871AE Muni","BB_COMPOSITE")</f>
        <v>A+</v>
      </c>
      <c r="T517">
        <f>_xll.BDP("740871AE Muni","LQA_LIQUIDITY_SCORE")</f>
        <v>78</v>
      </c>
    </row>
    <row r="518" spans="1:20" x14ac:dyDescent="0.25">
      <c r="A518" t="str">
        <f>_xll.BDP("889753NP Muni","ID_CUSIP")</f>
        <v>889753NP0</v>
      </c>
      <c r="B518" t="s">
        <v>43</v>
      </c>
      <c r="C518" t="str">
        <f>_xll.BDP("889753NP Muni","INSURANCE_STATUS")</f>
        <v>Y</v>
      </c>
      <c r="D518" t="str">
        <f>_xll.BDP("889753NP Muni","STATE_CODE")</f>
        <v>WI</v>
      </c>
      <c r="E518" t="str">
        <f>_xll.BDP("889753NP Muni","COUNTY_LOCATION_ISSUER")</f>
        <v>Monroe, WI</v>
      </c>
      <c r="F518">
        <f>_xll.BDP("889753NP Muni","DUR_ADJ_MID")</f>
        <v>2.4476917051556581</v>
      </c>
      <c r="G518">
        <f>_xll.BDP("889753NP Muni","SPREAD_AT_ISSUANCE_TO_WORST")</f>
        <v>23.236612258265367</v>
      </c>
      <c r="H518" t="str">
        <f>_xll.BDP("889753NP Muni","ISSUE_DT")</f>
        <v>3/30/2017</v>
      </c>
      <c r="I518" t="str">
        <f>_xll.BDS("889753NP Muni","MUNI_PURPOSE_SCHED", "aggregate=y")</f>
        <v>PUBLIC IMPS. WATER UTILITY IMPS. SEWER IMPS.</v>
      </c>
      <c r="J518">
        <f>_xll.BDP("889753NP Muni","CPN")</f>
        <v>3</v>
      </c>
      <c r="K518" t="str">
        <f>_xll.BDP("889753NP Muni","MATURITY")</f>
        <v>3/1/2025</v>
      </c>
      <c r="L518">
        <v>350000</v>
      </c>
      <c r="M518">
        <f>_xll.BDP("889753NP Muni","YIELD_ON_ISSUE_DATE")</f>
        <v>2.4500000000000002</v>
      </c>
      <c r="N518">
        <f>_xll.BDP("889753NP Muni","YTW_SPREAD_TO_MATURITY_AT_ISSU")</f>
        <v>23.236612258265367</v>
      </c>
      <c r="O518" t="str">
        <f>_xll.BDP("889753NP Muni","BVAL_MID_YTM")</f>
        <v>#N/A Authorization</v>
      </c>
      <c r="P518" t="str">
        <f>_xll.BDP("889753NP Muni","MUNI_TAX_PROV")</f>
        <v>FED BQ/ST TAXABLE</v>
      </c>
      <c r="Q518" t="str">
        <f>_xll.BDP("889753NP Muni","MUNI_FED_TAX")</f>
        <v>N</v>
      </c>
      <c r="R518" t="str">
        <f>_xll.BDP("889753NP Muni","MUNI_MSRB_VOLUME")</f>
        <v>#N/A N/A</v>
      </c>
      <c r="S518" t="str">
        <f>_xll.BDP("889753NP Muni","BB_COMPOSITE")</f>
        <v>AA-</v>
      </c>
      <c r="T518">
        <f>_xll.BDP("889753NP Muni","LQA_LIQUIDITY_SCORE")</f>
        <v>69</v>
      </c>
    </row>
    <row r="519" spans="1:20" x14ac:dyDescent="0.25">
      <c r="A519" t="str">
        <f>_xll.BDP("894389WU Muni","ID_CUSIP")</f>
        <v>894389WU5</v>
      </c>
      <c r="B519" t="s">
        <v>219</v>
      </c>
      <c r="C519" t="str">
        <f>_xll.BDP("894389WU Muni","INSURANCE_STATUS")</f>
        <v>Y</v>
      </c>
      <c r="D519" t="str">
        <f>_xll.BDP("894389WU Muni","STATE_CODE")</f>
        <v>TX</v>
      </c>
      <c r="E519" t="str">
        <f>_xll.BDP("894389WU Muni","COUNTY_LOCATION_ISSUER")</f>
        <v>Travis, TX</v>
      </c>
      <c r="F519">
        <f>_xll.BDP("894389WU Muni","DUR_ADJ_MID")</f>
        <v>8.0483804398411185E-2</v>
      </c>
      <c r="G519">
        <f>_xll.BDP("894389WU Muni","SPREAD_AT_ISSUANCE_TO_WORST")</f>
        <v>39.165873972602739</v>
      </c>
      <c r="H519" t="str">
        <f>_xll.BDP("894389WU Muni","ISSUE_DT")</f>
        <v>11/14/2017</v>
      </c>
      <c r="I519" t="str">
        <f>_xll.BDS("894389WU Muni","MUNI_PURPOSE_SCHED", "aggregate=y")</f>
        <v>WATER UTILITY IMPS. SEWER IMPS.</v>
      </c>
      <c r="J519">
        <f>_xll.BDP("894389WU Muni","CPN")</f>
        <v>2</v>
      </c>
      <c r="K519" t="str">
        <f>_xll.BDP("894389WU Muni","MATURITY")</f>
        <v>9/1/2022</v>
      </c>
      <c r="L519">
        <v>555000</v>
      </c>
      <c r="M519">
        <f>_xll.BDP("894389WU Muni","YIELD_ON_ISSUE_DATE")</f>
        <v>1.73</v>
      </c>
      <c r="N519">
        <f>_xll.BDP("894389WU Muni","YTW_SPREAD_TO_MATURITY_AT_ISSU")</f>
        <v>39.165873972602739</v>
      </c>
      <c r="O519" t="str">
        <f>_xll.BDP("894389WU Muni","BVAL_MID_YTM")</f>
        <v>#N/A Authorization</v>
      </c>
      <c r="P519" t="str">
        <f>_xll.BDP("894389WU Muni","MUNI_TAX_PROV")</f>
        <v>FED TAX-EXEMPT</v>
      </c>
      <c r="Q519" t="str">
        <f>_xll.BDP("894389WU Muni","MUNI_FED_TAX")</f>
        <v>N</v>
      </c>
      <c r="R519" t="str">
        <f>_xll.BDP("894389WU Muni","MUNI_MSRB_VOLUME")</f>
        <v>#N/A N/A</v>
      </c>
      <c r="S519" t="str">
        <f>_xll.BDP("894389WU Muni","BB_COMPOSITE")</f>
        <v>AA-</v>
      </c>
      <c r="T519">
        <f>_xll.BDP("894389WU Muni","LQA_LIQUIDITY_SCORE")</f>
        <v>92</v>
      </c>
    </row>
    <row r="520" spans="1:20" x14ac:dyDescent="0.25">
      <c r="A520" t="str">
        <f>_xll.BDP("894389WV Muni","ID_CUSIP")</f>
        <v>894389WV3</v>
      </c>
      <c r="B520" t="s">
        <v>219</v>
      </c>
      <c r="C520" t="str">
        <f>_xll.BDP("894389WV Muni","INSURANCE_STATUS")</f>
        <v>Y</v>
      </c>
      <c r="D520" t="str">
        <f>_xll.BDP("894389WV Muni","STATE_CODE")</f>
        <v>TX</v>
      </c>
      <c r="E520" t="str">
        <f>_xll.BDP("894389WV Muni","COUNTY_LOCATION_ISSUER")</f>
        <v>Travis, TX</v>
      </c>
      <c r="F520">
        <f>_xll.BDP("894389WV Muni","DUR_ADJ_MID")</f>
        <v>1.0567401403001748</v>
      </c>
      <c r="G520">
        <f>_xll.BDP("894389WV Muni","SPREAD_AT_ISSUANCE_TO_WORST")</f>
        <v>38.42919726027398</v>
      </c>
      <c r="H520" t="str">
        <f>_xll.BDP("894389WV Muni","ISSUE_DT")</f>
        <v>11/14/2017</v>
      </c>
      <c r="I520" t="str">
        <f>_xll.BDS("894389WV Muni","MUNI_PURPOSE_SCHED", "aggregate=y")</f>
        <v>WATER UTILITY IMPS. SEWER IMPS.</v>
      </c>
      <c r="J520">
        <f>_xll.BDP("894389WV Muni","CPN")</f>
        <v>2</v>
      </c>
      <c r="K520" t="str">
        <f>_xll.BDP("894389WV Muni","MATURITY")</f>
        <v>9/1/2023</v>
      </c>
      <c r="L520">
        <v>575000</v>
      </c>
      <c r="M520">
        <f>_xll.BDP("894389WV Muni","YIELD_ON_ISSUE_DATE")</f>
        <v>1.85</v>
      </c>
      <c r="N520">
        <f>_xll.BDP("894389WV Muni","YTW_SPREAD_TO_MATURITY_AT_ISSU")</f>
        <v>38.42919726027398</v>
      </c>
      <c r="O520" t="str">
        <f>_xll.BDP("894389WV Muni","BVAL_MID_YTM")</f>
        <v>#N/A Authorization</v>
      </c>
      <c r="P520" t="str">
        <f>_xll.BDP("894389WV Muni","MUNI_TAX_PROV")</f>
        <v>FED TAX-EXEMPT</v>
      </c>
      <c r="Q520" t="str">
        <f>_xll.BDP("894389WV Muni","MUNI_FED_TAX")</f>
        <v>N</v>
      </c>
      <c r="R520" t="str">
        <f>_xll.BDP("894389WV Muni","MUNI_MSRB_VOLUME")</f>
        <v>#N/A N/A</v>
      </c>
      <c r="S520" t="str">
        <f>_xll.BDP("894389WV Muni","BB_COMPOSITE")</f>
        <v>AA-</v>
      </c>
      <c r="T520">
        <f>_xll.BDP("894389WV Muni","LQA_LIQUIDITY_SCORE")</f>
        <v>68</v>
      </c>
    </row>
    <row r="521" spans="1:20" x14ac:dyDescent="0.25">
      <c r="A521" t="str">
        <f>_xll.BDP("89439LJS Muni","ID_CUSIP")</f>
        <v>89439LJS7</v>
      </c>
      <c r="B521" t="s">
        <v>220</v>
      </c>
      <c r="C521" t="str">
        <f>_xll.BDP("89439LJS Muni","INSURANCE_STATUS")</f>
        <v>Y</v>
      </c>
      <c r="D521" t="str">
        <f>_xll.BDP("89439LJS Muni","STATE_CODE")</f>
        <v>TX</v>
      </c>
      <c r="E521" t="str">
        <f>_xll.BDP("89439LJS Muni","COUNTY_LOCATION_ISSUER")</f>
        <v>Travis, TX</v>
      </c>
      <c r="F521">
        <f>_xll.BDP("89439LJS Muni","DUR_ADJ_MID")</f>
        <v>2.0105393498254562</v>
      </c>
      <c r="G521">
        <f>_xll.BDP("89439LJS Muni","SPREAD_AT_ISSUANCE_TO_WORST")</f>
        <v>40.366575889905576</v>
      </c>
      <c r="H521" t="str">
        <f>_xll.BDP("89439LJS Muni","ISSUE_DT")</f>
        <v>9/1/2017</v>
      </c>
      <c r="I521" t="str">
        <f>_xll.BDS("89439LJS Muni","MUNI_PURPOSE_SCHED", "aggregate=y")</f>
        <v>WATER UTILITY IMPS. SEWER IMPS.</v>
      </c>
      <c r="J521">
        <f>_xll.BDP("89439LJS Muni","CPN")</f>
        <v>2</v>
      </c>
      <c r="K521" t="str">
        <f>_xll.BDP("89439LJS Muni","MATURITY")</f>
        <v>9/1/2024</v>
      </c>
      <c r="L521">
        <v>300000</v>
      </c>
      <c r="M521">
        <f>_xll.BDP("89439LJS Muni","YIELD_ON_ISSUE_DATE")</f>
        <v>1.85</v>
      </c>
      <c r="N521">
        <f>_xll.BDP("89439LJS Muni","YTW_SPREAD_TO_MATURITY_AT_ISSU")</f>
        <v>40.366575889905576</v>
      </c>
      <c r="O521" t="str">
        <f>_xll.BDP("89439LJS Muni","BVAL_MID_YTM")</f>
        <v>#N/A Authorization</v>
      </c>
      <c r="P521" t="str">
        <f>_xll.BDP("89439LJS Muni","MUNI_TAX_PROV")</f>
        <v>FED BQ</v>
      </c>
      <c r="Q521" t="str">
        <f>_xll.BDP("89439LJS Muni","MUNI_FED_TAX")</f>
        <v>N</v>
      </c>
      <c r="R521" t="str">
        <f>_xll.BDP("89439LJS Muni","MUNI_MSRB_VOLUME")</f>
        <v>#N/A N/A</v>
      </c>
      <c r="S521" t="str">
        <f>_xll.BDP("89439LJS Muni","BB_COMPOSITE")</f>
        <v>#N/A N/A</v>
      </c>
      <c r="T521">
        <f>_xll.BDP("89439LJS Muni","LQA_LIQUIDITY_SCORE")</f>
        <v>73</v>
      </c>
    </row>
    <row r="522" spans="1:20" x14ac:dyDescent="0.25">
      <c r="A522" t="str">
        <f>_xll.BDP("89439PFC Muni","ID_CUSIP")</f>
        <v>89439PFC7</v>
      </c>
      <c r="B522" t="s">
        <v>221</v>
      </c>
      <c r="C522" t="str">
        <f>_xll.BDP("89439PFC Muni","INSURANCE_STATUS")</f>
        <v>Y</v>
      </c>
      <c r="D522" t="str">
        <f>_xll.BDP("89439PFC Muni","STATE_CODE")</f>
        <v>TX</v>
      </c>
      <c r="E522" t="str">
        <f>_xll.BDP("89439PFC Muni","COUNTY_LOCATION_ISSUER")</f>
        <v>Travis, TX</v>
      </c>
      <c r="F522">
        <f>_xll.BDP("89439PFC Muni","DUR_ADJ_MID")</f>
        <v>8.0456567050078906E-2</v>
      </c>
      <c r="G522">
        <f>_xll.BDP("89439PFC Muni","SPREAD_AT_ISSUANCE_TO_WORST")</f>
        <v>63.110114143978244</v>
      </c>
      <c r="H522" t="str">
        <f>_xll.BDP("89439PFC Muni","ISSUE_DT")</f>
        <v>6/1/2017</v>
      </c>
      <c r="I522" t="str">
        <f>_xll.BDS("89439PFC Muni","MUNI_PURPOSE_SCHED", "aggregate=y")</f>
        <v>WATER UTILITY IMPS. SEWER IMPS.</v>
      </c>
      <c r="J522">
        <f>_xll.BDP("89439PFC Muni","CPN")</f>
        <v>2</v>
      </c>
      <c r="K522" t="str">
        <f>_xll.BDP("89439PFC Muni","MATURITY")</f>
        <v>9/1/2022</v>
      </c>
      <c r="L522">
        <v>120000</v>
      </c>
      <c r="M522">
        <f>_xll.BDP("89439PFC Muni","YIELD_ON_ISSUE_DATE")</f>
        <v>1.85</v>
      </c>
      <c r="N522">
        <f>_xll.BDP("89439PFC Muni","YTW_SPREAD_TO_MATURITY_AT_ISSU")</f>
        <v>63.110114143978244</v>
      </c>
      <c r="O522" t="str">
        <f>_xll.BDP("89439PFC Muni","BVAL_MID_YTM")</f>
        <v>#N/A Authorization</v>
      </c>
      <c r="P522" t="str">
        <f>_xll.BDP("89439PFC Muni","MUNI_TAX_PROV")</f>
        <v>FED BQ</v>
      </c>
      <c r="Q522" t="str">
        <f>_xll.BDP("89439PFC Muni","MUNI_FED_TAX")</f>
        <v>N</v>
      </c>
      <c r="R522">
        <f>_xll.BDP("89439PFC Muni","MUNI_MSRB_VOLUME")</f>
        <v>300000</v>
      </c>
      <c r="S522" t="str">
        <f>_xll.BDP("89439PFC Muni","BB_COMPOSITE")</f>
        <v>AA-</v>
      </c>
      <c r="T522">
        <f>_xll.BDP("89439PFC Muni","LQA_LIQUIDITY_SCORE")</f>
        <v>100</v>
      </c>
    </row>
    <row r="523" spans="1:20" x14ac:dyDescent="0.25">
      <c r="A523" t="str">
        <f>_xll.BDP("89439PFE Muni","ID_CUSIP")</f>
        <v>89439PFE3</v>
      </c>
      <c r="B523" t="s">
        <v>221</v>
      </c>
      <c r="C523" t="str">
        <f>_xll.BDP("89439PFE Muni","INSURANCE_STATUS")</f>
        <v>Y</v>
      </c>
      <c r="D523" t="str">
        <f>_xll.BDP("89439PFE Muni","STATE_CODE")</f>
        <v>TX</v>
      </c>
      <c r="E523" t="str">
        <f>_xll.BDP("89439PFE Muni","COUNTY_LOCATION_ISSUER")</f>
        <v>Travis, TX</v>
      </c>
      <c r="F523">
        <f>_xll.BDP("89439PFE Muni","DUR_ADJ_MID")</f>
        <v>2.0076487290776495</v>
      </c>
      <c r="G523">
        <f>_xll.BDP("89439PFE Muni","SPREAD_AT_ISSUANCE_TO_WORST")</f>
        <v>73.293013389831202</v>
      </c>
      <c r="H523" t="str">
        <f>_xll.BDP("89439PFE Muni","ISSUE_DT")</f>
        <v>6/1/2017</v>
      </c>
      <c r="I523" t="str">
        <f>_xll.BDS("89439PFE Muni","MUNI_PURPOSE_SCHED", "aggregate=y")</f>
        <v>WATER UTILITY IMPS. SEWER IMPS.</v>
      </c>
      <c r="J523">
        <f>_xll.BDP("89439PFE Muni","CPN")</f>
        <v>2</v>
      </c>
      <c r="K523" t="str">
        <f>_xll.BDP("89439PFE Muni","MATURITY")</f>
        <v>9/1/2024</v>
      </c>
      <c r="L523">
        <v>95000</v>
      </c>
      <c r="M523">
        <f>_xll.BDP("89439PFE Muni","YIELD_ON_ISSUE_DATE")</f>
        <v>2.25</v>
      </c>
      <c r="N523">
        <f>_xll.BDP("89439PFE Muni","YTW_SPREAD_TO_MATURITY_AT_ISSU")</f>
        <v>73.293013389831202</v>
      </c>
      <c r="O523" t="str">
        <f>_xll.BDP("89439PFE Muni","BVAL_MID_YTM")</f>
        <v>#N/A Authorization</v>
      </c>
      <c r="P523" t="str">
        <f>_xll.BDP("89439PFE Muni","MUNI_TAX_PROV")</f>
        <v>FED BQ</v>
      </c>
      <c r="Q523" t="str">
        <f>_xll.BDP("89439PFE Muni","MUNI_FED_TAX")</f>
        <v>N</v>
      </c>
      <c r="R523" t="str">
        <f>_xll.BDP("89439PFE Muni","MUNI_MSRB_VOLUME")</f>
        <v>#N/A N/A</v>
      </c>
      <c r="S523" t="str">
        <f>_xll.BDP("89439PFE Muni","BB_COMPOSITE")</f>
        <v>AA-</v>
      </c>
      <c r="T523">
        <f>_xll.BDP("89439PFE Muni","LQA_LIQUIDITY_SCORE")</f>
        <v>66</v>
      </c>
    </row>
    <row r="524" spans="1:20" x14ac:dyDescent="0.25">
      <c r="A524" t="str">
        <f>_xll.BDP("89440LDB Muni","ID_CUSIP")</f>
        <v>89440LDB7</v>
      </c>
      <c r="B524" t="s">
        <v>222</v>
      </c>
      <c r="C524" t="str">
        <f>_xll.BDP("89440LDB Muni","INSURANCE_STATUS")</f>
        <v>Y</v>
      </c>
      <c r="D524" t="str">
        <f>_xll.BDP("89440LDB Muni","STATE_CODE")</f>
        <v>TX</v>
      </c>
      <c r="E524" t="str">
        <f>_xll.BDP("89440LDB Muni","COUNTY_LOCATION_ISSUER")</f>
        <v>Travis, TX</v>
      </c>
      <c r="F524">
        <f>_xll.BDP("89440LDB Muni","DUR_ADJ_MID")</f>
        <v>8.0476389879512722E-2</v>
      </c>
      <c r="G524">
        <f>_xll.BDP("89440LDB Muni","SPREAD_AT_ISSUANCE_TO_WORST")</f>
        <v>50.46149315068493</v>
      </c>
      <c r="H524" t="str">
        <f>_xll.BDP("89440LDB Muni","ISSUE_DT")</f>
        <v>12/1/2017</v>
      </c>
      <c r="I524" t="str">
        <f>_xll.BDS("89440LDB Muni","MUNI_PURPOSE_SCHED", "aggregate=y")</f>
        <v>WATER UTILITY IMPS. SEWER IMPS. PROPERTY ACQUISITION</v>
      </c>
      <c r="J524">
        <f>_xll.BDP("89440LDB Muni","CPN")</f>
        <v>3.5</v>
      </c>
      <c r="K524" t="str">
        <f>_xll.BDP("89440LDB Muni","MATURITY")</f>
        <v>9/1/2022</v>
      </c>
      <c r="L524">
        <v>195000</v>
      </c>
      <c r="M524">
        <f>_xll.BDP("89440LDB Muni","YIELD_ON_ISSUE_DATE")</f>
        <v>2.2000000000000002</v>
      </c>
      <c r="N524">
        <f>_xll.BDP("89440LDB Muni","YTW_SPREAD_TO_MATURITY_AT_ISSU")</f>
        <v>50.46149315068493</v>
      </c>
      <c r="O524" t="str">
        <f>_xll.BDP("89440LDB Muni","BVAL_MID_YTM")</f>
        <v>#N/A Authorization</v>
      </c>
      <c r="P524" t="str">
        <f>_xll.BDP("89440LDB Muni","MUNI_TAX_PROV")</f>
        <v>FED BQ</v>
      </c>
      <c r="Q524" t="str">
        <f>_xll.BDP("89440LDB Muni","MUNI_FED_TAX")</f>
        <v>N</v>
      </c>
      <c r="R524" t="str">
        <f>_xll.BDP("89440LDB Muni","MUNI_MSRB_VOLUME")</f>
        <v>#N/A N/A</v>
      </c>
      <c r="S524" t="str">
        <f>_xll.BDP("89440LDB Muni","BB_COMPOSITE")</f>
        <v>#N/A N/A</v>
      </c>
      <c r="T524">
        <f>_xll.BDP("89440LDB Muni","LQA_LIQUIDITY_SCORE")</f>
        <v>98</v>
      </c>
    </row>
    <row r="525" spans="1:20" x14ac:dyDescent="0.25">
      <c r="A525" t="str">
        <f>_xll.BDP("89440LDC Muni","ID_CUSIP")</f>
        <v>89440LDC5</v>
      </c>
      <c r="B525" t="s">
        <v>222</v>
      </c>
      <c r="C525" t="str">
        <f>_xll.BDP("89440LDC Muni","INSURANCE_STATUS")</f>
        <v>Y</v>
      </c>
      <c r="D525" t="str">
        <f>_xll.BDP("89440LDC Muni","STATE_CODE")</f>
        <v>TX</v>
      </c>
      <c r="E525" t="str">
        <f>_xll.BDP("89440LDC Muni","COUNTY_LOCATION_ISSUER")</f>
        <v>Travis, TX</v>
      </c>
      <c r="F525">
        <f>_xll.BDP("89440LDC Muni","DUR_ADJ_MID")</f>
        <v>1.0457347788938374</v>
      </c>
      <c r="G525">
        <f>_xll.BDP("89440LDC Muni","SPREAD_AT_ISSUANCE_TO_WORST")</f>
        <v>59.926328767123273</v>
      </c>
      <c r="H525" t="str">
        <f>_xll.BDP("89440LDC Muni","ISSUE_DT")</f>
        <v>12/1/2017</v>
      </c>
      <c r="I525" t="str">
        <f>_xll.BDS("89440LDC Muni","MUNI_PURPOSE_SCHED", "aggregate=y")</f>
        <v>WATER UTILITY IMPS. SEWER IMPS. PROPERTY ACQUISITION</v>
      </c>
      <c r="J525">
        <f>_xll.BDP("89440LDC Muni","CPN")</f>
        <v>3.5</v>
      </c>
      <c r="K525" t="str">
        <f>_xll.BDP("89440LDC Muni","MATURITY")</f>
        <v>9/1/2023</v>
      </c>
      <c r="L525">
        <v>200000</v>
      </c>
      <c r="M525">
        <f>_xll.BDP("89440LDC Muni","YIELD_ON_ISSUE_DATE")</f>
        <v>2.4000000000000004</v>
      </c>
      <c r="N525">
        <f>_xll.BDP("89440LDC Muni","YTW_SPREAD_TO_MATURITY_AT_ISSU")</f>
        <v>59.926328767123273</v>
      </c>
      <c r="O525" t="str">
        <f>_xll.BDP("89440LDC Muni","BVAL_MID_YTM")</f>
        <v>#N/A Authorization</v>
      </c>
      <c r="P525" t="str">
        <f>_xll.BDP("89440LDC Muni","MUNI_TAX_PROV")</f>
        <v>FED BQ</v>
      </c>
      <c r="Q525" t="str">
        <f>_xll.BDP("89440LDC Muni","MUNI_FED_TAX")</f>
        <v>N</v>
      </c>
      <c r="R525" t="str">
        <f>_xll.BDP("89440LDC Muni","MUNI_MSRB_VOLUME")</f>
        <v>#N/A N/A</v>
      </c>
      <c r="S525" t="str">
        <f>_xll.BDP("89440LDC Muni","BB_COMPOSITE")</f>
        <v>#N/A N/A</v>
      </c>
      <c r="T525">
        <f>_xll.BDP("89440LDC Muni","LQA_LIQUIDITY_SCORE")</f>
        <v>90</v>
      </c>
    </row>
    <row r="526" spans="1:20" x14ac:dyDescent="0.25">
      <c r="A526" t="str">
        <f>_xll.BDP("89440LDE Muni","ID_CUSIP")</f>
        <v>89440LDE1</v>
      </c>
      <c r="B526" t="s">
        <v>222</v>
      </c>
      <c r="C526" t="str">
        <f>_xll.BDP("89440LDE Muni","INSURANCE_STATUS")</f>
        <v>Y</v>
      </c>
      <c r="D526" t="str">
        <f>_xll.BDP("89440LDE Muni","STATE_CODE")</f>
        <v>TX</v>
      </c>
      <c r="E526" t="str">
        <f>_xll.BDP("89440LDE Muni","COUNTY_LOCATION_ISSUER")</f>
        <v>Travis, TX</v>
      </c>
      <c r="F526">
        <f>_xll.BDP("89440LDE Muni","DUR_ADJ_MID")</f>
        <v>2.8786043550758844</v>
      </c>
      <c r="G526">
        <f>_xll.BDP("89440LDE Muni","SPREAD_AT_ISSUANCE_TO_WORST")</f>
        <v>79.120408219178046</v>
      </c>
      <c r="H526" t="str">
        <f>_xll.BDP("89440LDE Muni","ISSUE_DT")</f>
        <v>12/1/2017</v>
      </c>
      <c r="I526" t="str">
        <f>_xll.BDS("89440LDE Muni","MUNI_PURPOSE_SCHED", "aggregate=y")</f>
        <v>WATER UTILITY IMPS. SEWER IMPS. PROPERTY ACQUISITION</v>
      </c>
      <c r="J526">
        <f>_xll.BDP("89440LDE Muni","CPN")</f>
        <v>3.5</v>
      </c>
      <c r="K526" t="str">
        <f>_xll.BDP("89440LDE Muni","MATURITY")</f>
        <v>9/1/2025</v>
      </c>
      <c r="L526">
        <v>220000</v>
      </c>
      <c r="M526">
        <f>_xll.BDP("89440LDE Muni","YIELD_ON_ISSUE_DATE")</f>
        <v>2.8000000000000003</v>
      </c>
      <c r="N526">
        <f>_xll.BDP("89440LDE Muni","YTW_SPREAD_TO_MATURITY_AT_ISSU")</f>
        <v>79.120408219178046</v>
      </c>
      <c r="O526" t="str">
        <f>_xll.BDP("89440LDE Muni","BVAL_MID_YTM")</f>
        <v>#N/A Authorization</v>
      </c>
      <c r="P526" t="str">
        <f>_xll.BDP("89440LDE Muni","MUNI_TAX_PROV")</f>
        <v>FED BQ</v>
      </c>
      <c r="Q526" t="str">
        <f>_xll.BDP("89440LDE Muni","MUNI_FED_TAX")</f>
        <v>N</v>
      </c>
      <c r="R526" t="str">
        <f>_xll.BDP("89440LDE Muni","MUNI_MSRB_VOLUME")</f>
        <v>#N/A N/A</v>
      </c>
      <c r="S526" t="str">
        <f>_xll.BDP("89440LDE Muni","BB_COMPOSITE")</f>
        <v>#N/A N/A</v>
      </c>
      <c r="T526">
        <f>_xll.BDP("89440LDE Muni","LQA_LIQUIDITY_SCORE")</f>
        <v>64</v>
      </c>
    </row>
    <row r="527" spans="1:20" x14ac:dyDescent="0.25">
      <c r="A527" t="str">
        <f>_xll.BDP("8945205B Muni","ID_CUSIP")</f>
        <v>8945205B7</v>
      </c>
      <c r="B527" t="s">
        <v>223</v>
      </c>
      <c r="C527" t="str">
        <f>_xll.BDP("8945205B Muni","INSURANCE_STATUS")</f>
        <v>Y</v>
      </c>
      <c r="D527" t="str">
        <f>_xll.BDP("8945205B Muni","STATE_CODE")</f>
        <v>TX</v>
      </c>
      <c r="E527" t="str">
        <f>_xll.BDP("8945205B Muni","COUNTY_LOCATION_ISSUER")</f>
        <v>Travis, TX</v>
      </c>
      <c r="F527">
        <f>_xll.BDP("8945205B Muni","DUR_ADJ_MID")</f>
        <v>0.24650633649468126</v>
      </c>
      <c r="G527">
        <f>_xll.BDP("8945205B Muni","SPREAD_AT_ISSUANCE_TO_WORST")</f>
        <v>63.209398747114861</v>
      </c>
      <c r="H527" t="str">
        <f>_xll.BDP("8945205B Muni","ISSUE_DT")</f>
        <v>9/26/2017</v>
      </c>
      <c r="I527" t="str">
        <f>_xll.BDS("8945205B Muni","MUNI_PURPOSE_SCHED", "aggregate=y")</f>
        <v>PUBLIC IMPS. WATER UTILITY IMPS. SEWER IMPS.</v>
      </c>
      <c r="J527">
        <f>_xll.BDP("8945205B Muni","CPN")</f>
        <v>5</v>
      </c>
      <c r="K527" t="str">
        <f>_xll.BDP("8945205B Muni","MATURITY")</f>
        <v>11/1/2022</v>
      </c>
      <c r="L527">
        <v>190000</v>
      </c>
      <c r="M527">
        <f>_xll.BDP("8945205B Muni","YIELD_ON_ISSUE_DATE")</f>
        <v>1.8</v>
      </c>
      <c r="N527">
        <f>_xll.BDP("8945205B Muni","YTW_SPREAD_TO_MATURITY_AT_ISSU")</f>
        <v>63.209398747114861</v>
      </c>
      <c r="O527" t="str">
        <f>_xll.BDP("8945205B Muni","BVAL_MID_YTM")</f>
        <v>#N/A Authorization</v>
      </c>
      <c r="P527" t="str">
        <f>_xll.BDP("8945205B Muni","MUNI_TAX_PROV")</f>
        <v>FED TAX-EXEMPT</v>
      </c>
      <c r="Q527" t="str">
        <f>_xll.BDP("8945205B Muni","MUNI_FED_TAX")</f>
        <v>N</v>
      </c>
      <c r="R527" t="str">
        <f>_xll.BDP("8945205B Muni","MUNI_MSRB_VOLUME")</f>
        <v>#N/A N/A</v>
      </c>
      <c r="S527" t="str">
        <f>_xll.BDP("8945205B Muni","BB_COMPOSITE")</f>
        <v>AA-</v>
      </c>
      <c r="T527">
        <f>_xll.BDP("8945205B Muni","LQA_LIQUIDITY_SCORE")</f>
        <v>87</v>
      </c>
    </row>
    <row r="528" spans="1:20" x14ac:dyDescent="0.25">
      <c r="A528" t="str">
        <f>_xll.BDP("8945205C Muni","ID_CUSIP")</f>
        <v>8945205C5</v>
      </c>
      <c r="B528" t="s">
        <v>223</v>
      </c>
      <c r="C528" t="str">
        <f>_xll.BDP("8945205C Muni","INSURANCE_STATUS")</f>
        <v>Y</v>
      </c>
      <c r="D528" t="str">
        <f>_xll.BDP("8945205C Muni","STATE_CODE")</f>
        <v>TX</v>
      </c>
      <c r="E528" t="str">
        <f>_xll.BDP("8945205C Muni","COUNTY_LOCATION_ISSUER")</f>
        <v>Travis, TX</v>
      </c>
      <c r="F528">
        <f>_xll.BDP("8945205C Muni","DUR_ADJ_MID")</f>
        <v>1.2075356614447335</v>
      </c>
      <c r="G528">
        <f>_xll.BDP("8945205C Muni","SPREAD_AT_ISSUANCE_TO_WORST")</f>
        <v>58.146587127754337</v>
      </c>
      <c r="H528" t="str">
        <f>_xll.BDP("8945205C Muni","ISSUE_DT")</f>
        <v>9/26/2017</v>
      </c>
      <c r="I528" t="str">
        <f>_xll.BDS("8945205C Muni","MUNI_PURPOSE_SCHED", "aggregate=y")</f>
        <v>PUBLIC IMPS. WATER UTILITY IMPS. SEWER IMPS.</v>
      </c>
      <c r="J528">
        <f>_xll.BDP("8945205C Muni","CPN")</f>
        <v>4</v>
      </c>
      <c r="K528" t="str">
        <f>_xll.BDP("8945205C Muni","MATURITY")</f>
        <v>11/1/2023</v>
      </c>
      <c r="L528">
        <v>200000</v>
      </c>
      <c r="M528">
        <f>_xll.BDP("8945205C Muni","YIELD_ON_ISSUE_DATE")</f>
        <v>1.9000000000000001</v>
      </c>
      <c r="N528">
        <f>_xll.BDP("8945205C Muni","YTW_SPREAD_TO_MATURITY_AT_ISSU")</f>
        <v>58.146587127754337</v>
      </c>
      <c r="O528" t="str">
        <f>_xll.BDP("8945205C Muni","BVAL_MID_YTM")</f>
        <v>#N/A Authorization</v>
      </c>
      <c r="P528" t="str">
        <f>_xll.BDP("8945205C Muni","MUNI_TAX_PROV")</f>
        <v>FED TAX-EXEMPT</v>
      </c>
      <c r="Q528" t="str">
        <f>_xll.BDP("8945205C Muni","MUNI_FED_TAX")</f>
        <v>N</v>
      </c>
      <c r="R528" t="str">
        <f>_xll.BDP("8945205C Muni","MUNI_MSRB_VOLUME")</f>
        <v>#N/A N/A</v>
      </c>
      <c r="S528" t="str">
        <f>_xll.BDP("8945205C Muni","BB_COMPOSITE")</f>
        <v>AA-</v>
      </c>
      <c r="T528">
        <f>_xll.BDP("8945205C Muni","LQA_LIQUIDITY_SCORE")</f>
        <v>78</v>
      </c>
    </row>
    <row r="529" spans="1:20" x14ac:dyDescent="0.25">
      <c r="A529" t="str">
        <f>_xll.BDP("894389WW Muni","ID_CUSIP")</f>
        <v>894389WW1</v>
      </c>
      <c r="B529" t="s">
        <v>219</v>
      </c>
      <c r="C529" t="str">
        <f>_xll.BDP("894389WW Muni","INSURANCE_STATUS")</f>
        <v>Y</v>
      </c>
      <c r="D529" t="str">
        <f>_xll.BDP("894389WW Muni","STATE_CODE")</f>
        <v>TX</v>
      </c>
      <c r="E529" t="str">
        <f>_xll.BDP("894389WW Muni","COUNTY_LOCATION_ISSUER")</f>
        <v>Travis, TX</v>
      </c>
      <c r="F529">
        <f>_xll.BDP("894389WW Muni","DUR_ADJ_MID")</f>
        <v>2.011802961627013</v>
      </c>
      <c r="G529">
        <f>_xll.BDP("894389WW Muni","SPREAD_AT_ISSUANCE_TO_WORST")</f>
        <v>44.206073972602745</v>
      </c>
      <c r="H529" t="str">
        <f>_xll.BDP("894389WW Muni","ISSUE_DT")</f>
        <v>11/14/2017</v>
      </c>
      <c r="I529" t="str">
        <f>_xll.BDS("894389WW Muni","MUNI_PURPOSE_SCHED", "aggregate=y")</f>
        <v>WATER UTILITY IMPS. SEWER IMPS.</v>
      </c>
      <c r="J529">
        <f>_xll.BDP("894389WW Muni","CPN")</f>
        <v>2</v>
      </c>
      <c r="K529" t="str">
        <f>_xll.BDP("894389WW Muni","MATURITY")</f>
        <v>9/1/2024</v>
      </c>
      <c r="L529">
        <v>595000</v>
      </c>
      <c r="M529">
        <f>_xll.BDP("894389WW Muni","YIELD_ON_ISSUE_DATE")</f>
        <v>2.04</v>
      </c>
      <c r="N529">
        <f>_xll.BDP("894389WW Muni","YTW_SPREAD_TO_MATURITY_AT_ISSU")</f>
        <v>44.206073972602745</v>
      </c>
      <c r="O529" t="str">
        <f>_xll.BDP("894389WW Muni","BVAL_MID_YTM")</f>
        <v>#N/A Authorization</v>
      </c>
      <c r="P529" t="str">
        <f>_xll.BDP("894389WW Muni","MUNI_TAX_PROV")</f>
        <v>FED TAX-EXEMPT</v>
      </c>
      <c r="Q529" t="str">
        <f>_xll.BDP("894389WW Muni","MUNI_FED_TAX")</f>
        <v>N</v>
      </c>
      <c r="R529" t="str">
        <f>_xll.BDP("894389WW Muni","MUNI_MSRB_VOLUME")</f>
        <v>#N/A N/A</v>
      </c>
      <c r="S529" t="str">
        <f>_xll.BDP("894389WW Muni","BB_COMPOSITE")</f>
        <v>AA-</v>
      </c>
      <c r="T529">
        <f>_xll.BDP("894389WW Muni","LQA_LIQUIDITY_SCORE")</f>
        <v>55</v>
      </c>
    </row>
    <row r="530" spans="1:20" x14ac:dyDescent="0.25">
      <c r="A530" t="str">
        <f>_xll.BDP("89439DFY Muni","ID_CUSIP")</f>
        <v>89439DFY6</v>
      </c>
      <c r="B530" t="s">
        <v>224</v>
      </c>
      <c r="C530" t="str">
        <f>_xll.BDP("89439DFY Muni","INSURANCE_STATUS")</f>
        <v>Y</v>
      </c>
      <c r="D530" t="str">
        <f>_xll.BDP("89439DFY Muni","STATE_CODE")</f>
        <v>TX</v>
      </c>
      <c r="E530" t="str">
        <f>_xll.BDP("89439DFY Muni","COUNTY_LOCATION_ISSUER")</f>
        <v>Travis, TX</v>
      </c>
      <c r="F530">
        <f>_xll.BDP("89439DFY Muni","DUR_ADJ_MID")</f>
        <v>8.0455794854330479E-2</v>
      </c>
      <c r="G530">
        <f>_xll.BDP("89439DFY Muni","SPREAD_AT_ISSUANCE_TO_WORST")</f>
        <v>46.540862300729046</v>
      </c>
      <c r="H530" t="str">
        <f>_xll.BDP("89439DFY Muni","ISSUE_DT")</f>
        <v>1/4/2017</v>
      </c>
      <c r="I530" t="str">
        <f>_xll.BDS("89439DFY Muni","MUNI_PURPOSE_SCHED", "aggregate=y")</f>
        <v>WATER UTILITY IMPS. SEWER IMPS.</v>
      </c>
      <c r="J530">
        <f>_xll.BDP("89439DFY Muni","CPN")</f>
        <v>2.5</v>
      </c>
      <c r="K530" t="str">
        <f>_xll.BDP("89439DFY Muni","MATURITY")</f>
        <v>9/1/2022</v>
      </c>
      <c r="L530">
        <v>110000</v>
      </c>
      <c r="M530">
        <f>_xll.BDP("89439DFY Muni","YIELD_ON_ISSUE_DATE")</f>
        <v>2.4500000000000002</v>
      </c>
      <c r="N530">
        <f>_xll.BDP("89439DFY Muni","YTW_SPREAD_TO_MATURITY_AT_ISSU")</f>
        <v>46.540862300729046</v>
      </c>
      <c r="O530" t="str">
        <f>_xll.BDP("89439DFY Muni","BVAL_MID_YTM")</f>
        <v>#N/A Authorization</v>
      </c>
      <c r="P530" t="str">
        <f>_xll.BDP("89439DFY Muni","MUNI_TAX_PROV")</f>
        <v>FED BQ</v>
      </c>
      <c r="Q530" t="str">
        <f>_xll.BDP("89439DFY Muni","MUNI_FED_TAX")</f>
        <v>N</v>
      </c>
      <c r="R530" t="str">
        <f>_xll.BDP("89439DFY Muni","MUNI_MSRB_VOLUME")</f>
        <v>#N/A N/A</v>
      </c>
      <c r="S530" t="str">
        <f>_xll.BDP("89439DFY Muni","BB_COMPOSITE")</f>
        <v>#N/A N/A</v>
      </c>
      <c r="T530">
        <f>_xll.BDP("89439DFY Muni","LQA_LIQUIDITY_SCORE")</f>
        <v>100</v>
      </c>
    </row>
    <row r="531" spans="1:20" x14ac:dyDescent="0.25">
      <c r="A531" t="str">
        <f>_xll.BDP("89439DFZ Muni","ID_CUSIP")</f>
        <v>89439DFZ3</v>
      </c>
      <c r="B531" t="s">
        <v>224</v>
      </c>
      <c r="C531" t="str">
        <f>_xll.BDP("89439DFZ Muni","INSURANCE_STATUS")</f>
        <v>Y</v>
      </c>
      <c r="D531" t="str">
        <f>_xll.BDP("89439DFZ Muni","STATE_CODE")</f>
        <v>TX</v>
      </c>
      <c r="E531" t="str">
        <f>_xll.BDP("89439DFZ Muni","COUNTY_LOCATION_ISSUER")</f>
        <v>Travis, TX</v>
      </c>
      <c r="F531">
        <f>_xll.BDP("89439DFZ Muni","DUR_ADJ_MID")</f>
        <v>1.050932070145647</v>
      </c>
      <c r="G531">
        <f>_xll.BDP("89439DFZ Muni","SPREAD_AT_ISSUANCE_TO_WORST")</f>
        <v>42.816118837987148</v>
      </c>
      <c r="H531" t="str">
        <f>_xll.BDP("89439DFZ Muni","ISSUE_DT")</f>
        <v>1/4/2017</v>
      </c>
      <c r="I531" t="str">
        <f>_xll.BDS("89439DFZ Muni","MUNI_PURPOSE_SCHED", "aggregate=y")</f>
        <v>WATER UTILITY IMPS. SEWER IMPS.</v>
      </c>
      <c r="J531">
        <f>_xll.BDP("89439DFZ Muni","CPN")</f>
        <v>2.5</v>
      </c>
      <c r="K531" t="str">
        <f>_xll.BDP("89439DFZ Muni","MATURITY")</f>
        <v>9/1/2023</v>
      </c>
      <c r="L531">
        <v>100000</v>
      </c>
      <c r="M531">
        <f>_xll.BDP("89439DFZ Muni","YIELD_ON_ISSUE_DATE")</f>
        <v>2.5500000000000003</v>
      </c>
      <c r="N531">
        <f>_xll.BDP("89439DFZ Muni","YTW_SPREAD_TO_MATURITY_AT_ISSU")</f>
        <v>42.816118837987148</v>
      </c>
      <c r="O531" t="str">
        <f>_xll.BDP("89439DFZ Muni","BVAL_MID_YTM")</f>
        <v>#N/A Authorization</v>
      </c>
      <c r="P531" t="str">
        <f>_xll.BDP("89439DFZ Muni","MUNI_TAX_PROV")</f>
        <v>FED BQ</v>
      </c>
      <c r="Q531" t="str">
        <f>_xll.BDP("89439DFZ Muni","MUNI_FED_TAX")</f>
        <v>N</v>
      </c>
      <c r="R531" t="str">
        <f>_xll.BDP("89439DFZ Muni","MUNI_MSRB_VOLUME")</f>
        <v>#N/A N/A</v>
      </c>
      <c r="S531" t="str">
        <f>_xll.BDP("89439DFZ Muni","BB_COMPOSITE")</f>
        <v>#N/A N/A</v>
      </c>
      <c r="T531">
        <f>_xll.BDP("89439DFZ Muni","LQA_LIQUIDITY_SCORE")</f>
        <v>84</v>
      </c>
    </row>
    <row r="532" spans="1:20" x14ac:dyDescent="0.25">
      <c r="A532" t="str">
        <f>_xll.BDP("89439DGA Muni","ID_CUSIP")</f>
        <v>89439DGA7</v>
      </c>
      <c r="B532" t="s">
        <v>224</v>
      </c>
      <c r="C532" t="str">
        <f>_xll.BDP("89439DGA Muni","INSURANCE_STATUS")</f>
        <v>Y</v>
      </c>
      <c r="D532" t="str">
        <f>_xll.BDP("89439DGA Muni","STATE_CODE")</f>
        <v>TX</v>
      </c>
      <c r="E532" t="str">
        <f>_xll.BDP("89439DGA Muni","COUNTY_LOCATION_ISSUER")</f>
        <v>Travis, TX</v>
      </c>
      <c r="F532">
        <f>_xll.BDP("89439DGA Muni","DUR_ADJ_MID")</f>
        <v>1.9792671279900498</v>
      </c>
      <c r="G532">
        <f>_xll.BDP("89439DGA Muni","SPREAD_AT_ISSUANCE_TO_WORST")</f>
        <v>54.316173904941458</v>
      </c>
      <c r="H532" t="str">
        <f>_xll.BDP("89439DGA Muni","ISSUE_DT")</f>
        <v>1/4/2017</v>
      </c>
      <c r="I532" t="str">
        <f>_xll.BDS("89439DGA Muni","MUNI_PURPOSE_SCHED", "aggregate=y")</f>
        <v>WATER UTILITY IMPS. SEWER IMPS.</v>
      </c>
      <c r="J532">
        <f>_xll.BDP("89439DGA Muni","CPN")</f>
        <v>3.25</v>
      </c>
      <c r="K532" t="str">
        <f>_xll.BDP("89439DGA Muni","MATURITY")</f>
        <v>9/1/2024</v>
      </c>
      <c r="L532">
        <v>105000</v>
      </c>
      <c r="M532">
        <f>_xll.BDP("89439DGA Muni","YIELD_ON_ISSUE_DATE")</f>
        <v>2.8000000000000003</v>
      </c>
      <c r="N532">
        <f>_xll.BDP("89439DGA Muni","YTW_SPREAD_TO_MATURITY_AT_ISSU")</f>
        <v>54.316173904941458</v>
      </c>
      <c r="O532" t="str">
        <f>_xll.BDP("89439DGA Muni","BVAL_MID_YTM")</f>
        <v>#N/A Authorization</v>
      </c>
      <c r="P532" t="str">
        <f>_xll.BDP("89439DGA Muni","MUNI_TAX_PROV")</f>
        <v>FED BQ</v>
      </c>
      <c r="Q532" t="str">
        <f>_xll.BDP("89439DGA Muni","MUNI_FED_TAX")</f>
        <v>N</v>
      </c>
      <c r="R532" t="str">
        <f>_xll.BDP("89439DGA Muni","MUNI_MSRB_VOLUME")</f>
        <v>#N/A N/A</v>
      </c>
      <c r="S532" t="str">
        <f>_xll.BDP("89439DGA Muni","BB_COMPOSITE")</f>
        <v>#N/A N/A</v>
      </c>
      <c r="T532">
        <f>_xll.BDP("89439DGA Muni","LQA_LIQUIDITY_SCORE")</f>
        <v>72</v>
      </c>
    </row>
    <row r="533" spans="1:20" x14ac:dyDescent="0.25">
      <c r="A533" t="str">
        <f>_xll.BDP("89439LJQ Muni","ID_CUSIP")</f>
        <v>89439LJQ1</v>
      </c>
      <c r="B533" t="s">
        <v>220</v>
      </c>
      <c r="C533" t="str">
        <f>_xll.BDP("89439LJQ Muni","INSURANCE_STATUS")</f>
        <v>Y</v>
      </c>
      <c r="D533" t="str">
        <f>_xll.BDP("89439LJQ Muni","STATE_CODE")</f>
        <v>TX</v>
      </c>
      <c r="E533" t="str">
        <f>_xll.BDP("89439LJQ Muni","COUNTY_LOCATION_ISSUER")</f>
        <v>Travis, TX</v>
      </c>
      <c r="F533">
        <f>_xll.BDP("89439LJQ Muni","DUR_ADJ_MID")</f>
        <v>8.04742733213792E-2</v>
      </c>
      <c r="G533">
        <f>_xll.BDP("89439LJQ Muni","SPREAD_AT_ISSUANCE_TO_WORST")</f>
        <v>45.716553522296223</v>
      </c>
      <c r="H533" t="str">
        <f>_xll.BDP("89439LJQ Muni","ISSUE_DT")</f>
        <v>9/1/2017</v>
      </c>
      <c r="I533" t="str">
        <f>_xll.BDS("89439LJQ Muni","MUNI_PURPOSE_SCHED", "aggregate=y")</f>
        <v>WATER UTILITY IMPS. SEWER IMPS.</v>
      </c>
      <c r="J533">
        <f>_xll.BDP("89439LJQ Muni","CPN")</f>
        <v>2</v>
      </c>
      <c r="K533" t="str">
        <f>_xll.BDP("89439LJQ Muni","MATURITY")</f>
        <v>9/1/2022</v>
      </c>
      <c r="L533">
        <v>300000</v>
      </c>
      <c r="M533">
        <f>_xll.BDP("89439LJQ Muni","YIELD_ON_ISSUE_DATE")</f>
        <v>1.6</v>
      </c>
      <c r="N533">
        <f>_xll.BDP("89439LJQ Muni","YTW_SPREAD_TO_MATURITY_AT_ISSU")</f>
        <v>45.716553522296223</v>
      </c>
      <c r="O533" t="str">
        <f>_xll.BDP("89439LJQ Muni","BVAL_MID_YTM")</f>
        <v>#N/A Authorization</v>
      </c>
      <c r="P533" t="str">
        <f>_xll.BDP("89439LJQ Muni","MUNI_TAX_PROV")</f>
        <v>FED BQ</v>
      </c>
      <c r="Q533" t="str">
        <f>_xll.BDP("89439LJQ Muni","MUNI_FED_TAX")</f>
        <v>N</v>
      </c>
      <c r="R533">
        <f>_xll.BDP("89439LJQ Muni","MUNI_MSRB_VOLUME")</f>
        <v>90000</v>
      </c>
      <c r="S533" t="str">
        <f>_xll.BDP("89439LJQ Muni","BB_COMPOSITE")</f>
        <v>#N/A N/A</v>
      </c>
      <c r="T533">
        <f>_xll.BDP("89439LJQ Muni","LQA_LIQUIDITY_SCORE")</f>
        <v>100</v>
      </c>
    </row>
    <row r="534" spans="1:20" x14ac:dyDescent="0.25">
      <c r="A534" t="str">
        <f>_xll.BDP("89439LJR Muni","ID_CUSIP")</f>
        <v>89439LJR9</v>
      </c>
      <c r="B534" t="s">
        <v>220</v>
      </c>
      <c r="C534" t="str">
        <f>_xll.BDP("89439LJR Muni","INSURANCE_STATUS")</f>
        <v>Y</v>
      </c>
      <c r="D534" t="str">
        <f>_xll.BDP("89439LJR Muni","STATE_CODE")</f>
        <v>TX</v>
      </c>
      <c r="E534" t="str">
        <f>_xll.BDP("89439LJR Muni","COUNTY_LOCATION_ISSUER")</f>
        <v>Travis, TX</v>
      </c>
      <c r="F534">
        <f>_xll.BDP("89439LJR Muni","DUR_ADJ_MID")</f>
        <v>1.0559926872950101</v>
      </c>
      <c r="G534">
        <f>_xll.BDP("89439LJR Muni","SPREAD_AT_ISSUANCE_TO_WORST")</f>
        <v>45.701434413702316</v>
      </c>
      <c r="H534" t="str">
        <f>_xll.BDP("89439LJR Muni","ISSUE_DT")</f>
        <v>9/1/2017</v>
      </c>
      <c r="I534" t="str">
        <f>_xll.BDS("89439LJR Muni","MUNI_PURPOSE_SCHED", "aggregate=y")</f>
        <v>WATER UTILITY IMPS. SEWER IMPS.</v>
      </c>
      <c r="J534">
        <f>_xll.BDP("89439LJR Muni","CPN")</f>
        <v>2</v>
      </c>
      <c r="K534" t="str">
        <f>_xll.BDP("89439LJR Muni","MATURITY")</f>
        <v>9/1/2023</v>
      </c>
      <c r="L534">
        <v>300000</v>
      </c>
      <c r="M534">
        <f>_xll.BDP("89439LJR Muni","YIELD_ON_ISSUE_DATE")</f>
        <v>1.75</v>
      </c>
      <c r="N534">
        <f>_xll.BDP("89439LJR Muni","YTW_SPREAD_TO_MATURITY_AT_ISSU")</f>
        <v>45.701434413702316</v>
      </c>
      <c r="O534" t="str">
        <f>_xll.BDP("89439LJR Muni","BVAL_MID_YTM")</f>
        <v>#N/A Authorization</v>
      </c>
      <c r="P534" t="str">
        <f>_xll.BDP("89439LJR Muni","MUNI_TAX_PROV")</f>
        <v>FED BQ</v>
      </c>
      <c r="Q534" t="str">
        <f>_xll.BDP("89439LJR Muni","MUNI_FED_TAX")</f>
        <v>N</v>
      </c>
      <c r="R534" t="str">
        <f>_xll.BDP("89439LJR Muni","MUNI_MSRB_VOLUME")</f>
        <v>#N/A N/A</v>
      </c>
      <c r="S534" t="str">
        <f>_xll.BDP("89439LJR Muni","BB_COMPOSITE")</f>
        <v>#N/A N/A</v>
      </c>
      <c r="T534">
        <f>_xll.BDP("89439LJR Muni","LQA_LIQUIDITY_SCORE")</f>
        <v>86</v>
      </c>
    </row>
    <row r="535" spans="1:20" x14ac:dyDescent="0.25">
      <c r="A535" t="str">
        <f>_xll.BDP("89439PFD Muni","ID_CUSIP")</f>
        <v>89439PFD5</v>
      </c>
      <c r="B535" t="s">
        <v>221</v>
      </c>
      <c r="C535" t="str">
        <f>_xll.BDP("89439PFD Muni","INSURANCE_STATUS")</f>
        <v>Y</v>
      </c>
      <c r="D535" t="str">
        <f>_xll.BDP("89439PFD Muni","STATE_CODE")</f>
        <v>TX</v>
      </c>
      <c r="E535" t="str">
        <f>_xll.BDP("89439PFD Muni","COUNTY_LOCATION_ISSUER")</f>
        <v>Travis, TX</v>
      </c>
      <c r="F535">
        <f>_xll.BDP("89439PFD Muni","DUR_ADJ_MID")</f>
        <v>1.0545318891776436</v>
      </c>
      <c r="G535">
        <f>_xll.BDP("89439PFD Muni","SPREAD_AT_ISSUANCE_TO_WORST")</f>
        <v>63.301300880457376</v>
      </c>
      <c r="H535" t="str">
        <f>_xll.BDP("89439PFD Muni","ISSUE_DT")</f>
        <v>6/1/2017</v>
      </c>
      <c r="I535" t="str">
        <f>_xll.BDS("89439PFD Muni","MUNI_PURPOSE_SCHED", "aggregate=y")</f>
        <v>WATER UTILITY IMPS. SEWER IMPS.</v>
      </c>
      <c r="J535">
        <f>_xll.BDP("89439PFD Muni","CPN")</f>
        <v>2</v>
      </c>
      <c r="K535" t="str">
        <f>_xll.BDP("89439PFD Muni","MATURITY")</f>
        <v>9/1/2023</v>
      </c>
      <c r="L535">
        <v>100000</v>
      </c>
      <c r="M535">
        <f>_xll.BDP("89439PFD Muni","YIELD_ON_ISSUE_DATE")</f>
        <v>2</v>
      </c>
      <c r="N535">
        <f>_xll.BDP("89439PFD Muni","YTW_SPREAD_TO_MATURITY_AT_ISSU")</f>
        <v>63.301300880457376</v>
      </c>
      <c r="O535" t="str">
        <f>_xll.BDP("89439PFD Muni","BVAL_MID_YTM")</f>
        <v>#N/A Authorization</v>
      </c>
      <c r="P535" t="str">
        <f>_xll.BDP("89439PFD Muni","MUNI_TAX_PROV")</f>
        <v>FED BQ</v>
      </c>
      <c r="Q535" t="str">
        <f>_xll.BDP("89439PFD Muni","MUNI_FED_TAX")</f>
        <v>N</v>
      </c>
      <c r="R535">
        <f>_xll.BDP("89439PFD Muni","MUNI_MSRB_VOLUME")</f>
        <v>400000</v>
      </c>
      <c r="S535" t="str">
        <f>_xll.BDP("89439PFD Muni","BB_COMPOSITE")</f>
        <v>AA-</v>
      </c>
      <c r="T535">
        <f>_xll.BDP("89439PFD Muni","LQA_LIQUIDITY_SCORE")</f>
        <v>81</v>
      </c>
    </row>
    <row r="536" spans="1:20" x14ac:dyDescent="0.25">
      <c r="A536" t="str">
        <f>_xll.BDP("89439PFF Muni","ID_CUSIP")</f>
        <v>89439PFF0</v>
      </c>
      <c r="B536" t="s">
        <v>221</v>
      </c>
      <c r="C536" t="str">
        <f>_xll.BDP("89439PFF Muni","INSURANCE_STATUS")</f>
        <v>Y</v>
      </c>
      <c r="D536" t="str">
        <f>_xll.BDP("89439PFF Muni","STATE_CODE")</f>
        <v>TX</v>
      </c>
      <c r="E536" t="str">
        <f>_xll.BDP("89439PFF Muni","COUNTY_LOCATION_ISSUER")</f>
        <v>Travis, TX</v>
      </c>
      <c r="F536">
        <f>_xll.BDP("89439PFF Muni","DUR_ADJ_MID")</f>
        <v>2.9293775048091897</v>
      </c>
      <c r="G536">
        <f>_xll.BDP("89439PFF Muni","SPREAD_AT_ISSUANCE_TO_WORST")</f>
        <v>73.498400489491189</v>
      </c>
      <c r="H536" t="str">
        <f>_xll.BDP("89439PFF Muni","ISSUE_DT")</f>
        <v>6/1/2017</v>
      </c>
      <c r="I536" t="str">
        <f>_xll.BDS("89439PFF Muni","MUNI_PURPOSE_SCHED", "aggregate=y")</f>
        <v>WATER UTILITY IMPS. SEWER IMPS.</v>
      </c>
      <c r="J536">
        <f>_xll.BDP("89439PFF Muni","CPN")</f>
        <v>2.25</v>
      </c>
      <c r="K536" t="str">
        <f>_xll.BDP("89439PFF Muni","MATURITY")</f>
        <v>9/1/2025</v>
      </c>
      <c r="L536">
        <v>85000</v>
      </c>
      <c r="M536">
        <f>_xll.BDP("89439PFF Muni","YIELD_ON_ISSUE_DATE")</f>
        <v>2.4000000000000004</v>
      </c>
      <c r="N536">
        <f>_xll.BDP("89439PFF Muni","YTW_SPREAD_TO_MATURITY_AT_ISSU")</f>
        <v>73.498400489491189</v>
      </c>
      <c r="O536" t="str">
        <f>_xll.BDP("89439PFF Muni","BVAL_MID_YTM")</f>
        <v>#N/A Authorization</v>
      </c>
      <c r="P536" t="str">
        <f>_xll.BDP("89439PFF Muni","MUNI_TAX_PROV")</f>
        <v>FED BQ</v>
      </c>
      <c r="Q536" t="str">
        <f>_xll.BDP("89439PFF Muni","MUNI_FED_TAX")</f>
        <v>N</v>
      </c>
      <c r="R536" t="str">
        <f>_xll.BDP("89439PFF Muni","MUNI_MSRB_VOLUME")</f>
        <v>#N/A N/A</v>
      </c>
      <c r="S536" t="str">
        <f>_xll.BDP("89439PFF Muni","BB_COMPOSITE")</f>
        <v>AA-</v>
      </c>
      <c r="T536">
        <f>_xll.BDP("89439PFF Muni","LQA_LIQUIDITY_SCORE")</f>
        <v>53</v>
      </c>
    </row>
    <row r="537" spans="1:20" x14ac:dyDescent="0.25">
      <c r="A537" t="str">
        <f>_xll.BDP("89440LDD Muni","ID_CUSIP")</f>
        <v>89440LDD3</v>
      </c>
      <c r="B537" t="s">
        <v>222</v>
      </c>
      <c r="C537" t="str">
        <f>_xll.BDP("89440LDD Muni","INSURANCE_STATUS")</f>
        <v>Y</v>
      </c>
      <c r="D537" t="str">
        <f>_xll.BDP("89440LDD Muni","STATE_CODE")</f>
        <v>TX</v>
      </c>
      <c r="E537" t="str">
        <f>_xll.BDP("89440LDD Muni","COUNTY_LOCATION_ISSUER")</f>
        <v>Travis, TX</v>
      </c>
      <c r="F537">
        <f>_xll.BDP("89440LDD Muni","DUR_ADJ_MID")</f>
        <v>1.9773872965286547</v>
      </c>
      <c r="G537">
        <f>_xll.BDP("89440LDD Muni","SPREAD_AT_ISSUANCE_TO_WORST")</f>
        <v>69.830860273972633</v>
      </c>
      <c r="H537" t="str">
        <f>_xll.BDP("89440LDD Muni","ISSUE_DT")</f>
        <v>12/1/2017</v>
      </c>
      <c r="I537" t="str">
        <f>_xll.BDS("89440LDD Muni","MUNI_PURPOSE_SCHED", "aggregate=y")</f>
        <v>WATER UTILITY IMPS. SEWER IMPS. PROPERTY ACQUISITION</v>
      </c>
      <c r="J537">
        <f>_xll.BDP("89440LDD Muni","CPN")</f>
        <v>3.5</v>
      </c>
      <c r="K537" t="str">
        <f>_xll.BDP("89440LDD Muni","MATURITY")</f>
        <v>9/1/2024</v>
      </c>
      <c r="L537">
        <v>210000</v>
      </c>
      <c r="M537">
        <f>_xll.BDP("89440LDD Muni","YIELD_ON_ISSUE_DATE")</f>
        <v>2.6</v>
      </c>
      <c r="N537">
        <f>_xll.BDP("89440LDD Muni","YTW_SPREAD_TO_MATURITY_AT_ISSU")</f>
        <v>69.830860273972633</v>
      </c>
      <c r="O537" t="str">
        <f>_xll.BDP("89440LDD Muni","BVAL_MID_YTM")</f>
        <v>#N/A Authorization</v>
      </c>
      <c r="P537" t="str">
        <f>_xll.BDP("89440LDD Muni","MUNI_TAX_PROV")</f>
        <v>FED BQ</v>
      </c>
      <c r="Q537" t="str">
        <f>_xll.BDP("89440LDD Muni","MUNI_FED_TAX")</f>
        <v>N</v>
      </c>
      <c r="R537" t="str">
        <f>_xll.BDP("89440LDD Muni","MUNI_MSRB_VOLUME")</f>
        <v>#N/A N/A</v>
      </c>
      <c r="S537" t="str">
        <f>_xll.BDP("89440LDD Muni","BB_COMPOSITE")</f>
        <v>#N/A N/A</v>
      </c>
      <c r="T537">
        <f>_xll.BDP("89440LDD Muni","LQA_LIQUIDITY_SCORE")</f>
        <v>77</v>
      </c>
    </row>
    <row r="538" spans="1:20" x14ac:dyDescent="0.25">
      <c r="A538" t="str">
        <f>_xll.BDP("89440LDF Muni","ID_CUSIP")</f>
        <v>89440LDF8</v>
      </c>
      <c r="B538" t="s">
        <v>222</v>
      </c>
      <c r="C538" t="str">
        <f>_xll.BDP("89440LDF Muni","INSURANCE_STATUS")</f>
        <v>Y</v>
      </c>
      <c r="D538" t="str">
        <f>_xll.BDP("89440LDF Muni","STATE_CODE")</f>
        <v>TX</v>
      </c>
      <c r="E538" t="str">
        <f>_xll.BDP("89440LDF Muni","COUNTY_LOCATION_ISSUER")</f>
        <v>Travis, TX</v>
      </c>
      <c r="F538">
        <f>_xll.BDP("89440LDF Muni","DUR_ADJ_MID")</f>
        <v>3.7503803885381966</v>
      </c>
      <c r="G538">
        <f>_xll.BDP("89440LDF Muni","SPREAD_AT_ISSUANCE_TO_WORST")</f>
        <v>79.451813698630147</v>
      </c>
      <c r="H538" t="str">
        <f>_xll.BDP("89440LDF Muni","ISSUE_DT")</f>
        <v>12/1/2017</v>
      </c>
      <c r="I538" t="str">
        <f>_xll.BDS("89440LDF Muni","MUNI_PURPOSE_SCHED", "aggregate=y")</f>
        <v>WATER UTILITY IMPS. SEWER IMPS. PROPERTY ACQUISITION</v>
      </c>
      <c r="J538">
        <f>_xll.BDP("89440LDF Muni","CPN")</f>
        <v>3.5</v>
      </c>
      <c r="K538" t="str">
        <f>_xll.BDP("89440LDF Muni","MATURITY")</f>
        <v>9/1/2026</v>
      </c>
      <c r="L538">
        <v>230000</v>
      </c>
      <c r="M538">
        <f>_xll.BDP("89440LDF Muni","YIELD_ON_ISSUE_DATE")</f>
        <v>2.9000000000000004</v>
      </c>
      <c r="N538">
        <f>_xll.BDP("89440LDF Muni","YTW_SPREAD_TO_MATURITY_AT_ISSU")</f>
        <v>79.451813698630147</v>
      </c>
      <c r="O538" t="str">
        <f>_xll.BDP("89440LDF Muni","BVAL_MID_YTM")</f>
        <v>#N/A Authorization</v>
      </c>
      <c r="P538" t="str">
        <f>_xll.BDP("89440LDF Muni","MUNI_TAX_PROV")</f>
        <v>FED BQ</v>
      </c>
      <c r="Q538" t="str">
        <f>_xll.BDP("89440LDF Muni","MUNI_FED_TAX")</f>
        <v>N</v>
      </c>
      <c r="R538" t="str">
        <f>_xll.BDP("89440LDF Muni","MUNI_MSRB_VOLUME")</f>
        <v>#N/A N/A</v>
      </c>
      <c r="S538" t="str">
        <f>_xll.BDP("89440LDF Muni","BB_COMPOSITE")</f>
        <v>#N/A N/A</v>
      </c>
      <c r="T538">
        <f>_xll.BDP("89440LDF Muni","LQA_LIQUIDITY_SCORE")</f>
        <v>55</v>
      </c>
    </row>
    <row r="539" spans="1:20" x14ac:dyDescent="0.25">
      <c r="A539" t="str">
        <f>_xll.BDP("89440LDG Muni","ID_CUSIP")</f>
        <v>89440LDG6</v>
      </c>
      <c r="B539" t="s">
        <v>222</v>
      </c>
      <c r="C539" t="str">
        <f>_xll.BDP("89440LDG Muni","INSURANCE_STATUS")</f>
        <v>Y</v>
      </c>
      <c r="D539" t="str">
        <f>_xll.BDP("89440LDG Muni","STATE_CODE")</f>
        <v>TX</v>
      </c>
      <c r="E539" t="str">
        <f>_xll.BDP("89440LDG Muni","COUNTY_LOCATION_ISSUER")</f>
        <v>Travis, TX</v>
      </c>
      <c r="F539">
        <f>_xll.BDP("89440LDG Muni","DUR_ADJ_MID")</f>
        <v>4.593936292199702</v>
      </c>
      <c r="G539">
        <f>_xll.BDP("89440LDG Muni","SPREAD_AT_ISSUANCE_TO_WORST")</f>
        <v>82.759194520547922</v>
      </c>
      <c r="H539" t="str">
        <f>_xll.BDP("89440LDG Muni","ISSUE_DT")</f>
        <v>12/1/2017</v>
      </c>
      <c r="I539" t="str">
        <f>_xll.BDS("89440LDG Muni","MUNI_PURPOSE_SCHED", "aggregate=y")</f>
        <v>WATER UTILITY IMPS. SEWER IMPS. PROPERTY ACQUISITION</v>
      </c>
      <c r="J539">
        <f>_xll.BDP("89440LDG Muni","CPN")</f>
        <v>3.5</v>
      </c>
      <c r="K539" t="str">
        <f>_xll.BDP("89440LDG Muni","MATURITY")</f>
        <v>9/1/2027</v>
      </c>
      <c r="L539">
        <v>240000</v>
      </c>
      <c r="M539">
        <f>_xll.BDP("89440LDG Muni","YIELD_ON_ISSUE_DATE")</f>
        <v>3</v>
      </c>
      <c r="N539">
        <f>_xll.BDP("89440LDG Muni","YTW_SPREAD_TO_MATURITY_AT_ISSU")</f>
        <v>82.759194520547922</v>
      </c>
      <c r="O539" t="str">
        <f>_xll.BDP("89440LDG Muni","BVAL_MID_YTM")</f>
        <v>#N/A Authorization</v>
      </c>
      <c r="P539" t="str">
        <f>_xll.BDP("89440LDG Muni","MUNI_TAX_PROV")</f>
        <v>FED BQ</v>
      </c>
      <c r="Q539" t="str">
        <f>_xll.BDP("89440LDG Muni","MUNI_FED_TAX")</f>
        <v>N</v>
      </c>
      <c r="R539" t="str">
        <f>_xll.BDP("89440LDG Muni","MUNI_MSRB_VOLUME")</f>
        <v>#N/A N/A</v>
      </c>
      <c r="S539" t="str">
        <f>_xll.BDP("89440LDG Muni","BB_COMPOSITE")</f>
        <v>#N/A N/A</v>
      </c>
      <c r="T539">
        <f>_xll.BDP("89440LDG Muni","LQA_LIQUIDITY_SCORE")</f>
        <v>46</v>
      </c>
    </row>
    <row r="540" spans="1:20" x14ac:dyDescent="0.25">
      <c r="A540" t="str">
        <f>_xll.BDP("8945205D Muni","ID_CUSIP")</f>
        <v>8945205D3</v>
      </c>
      <c r="B540" t="s">
        <v>223</v>
      </c>
      <c r="C540" t="str">
        <f>_xll.BDP("8945205D Muni","INSURANCE_STATUS")</f>
        <v>Y</v>
      </c>
      <c r="D540" t="str">
        <f>_xll.BDP("8945205D Muni","STATE_CODE")</f>
        <v>TX</v>
      </c>
      <c r="E540" t="str">
        <f>_xll.BDP("8945205D Muni","COUNTY_LOCATION_ISSUER")</f>
        <v>Travis, TX</v>
      </c>
      <c r="F540">
        <f>_xll.BDP("8945205D Muni","DUR_ADJ_MID")</f>
        <v>2.1531497723575339</v>
      </c>
      <c r="G540">
        <f>_xll.BDP("8945205D Muni","SPREAD_AT_ISSUANCE_TO_WORST")</f>
        <v>52.792158420921595</v>
      </c>
      <c r="H540" t="str">
        <f>_xll.BDP("8945205D Muni","ISSUE_DT")</f>
        <v>9/26/2017</v>
      </c>
      <c r="I540" t="str">
        <f>_xll.BDS("8945205D Muni","MUNI_PURPOSE_SCHED", "aggregate=y")</f>
        <v>PUBLIC IMPS. WATER UTILITY IMPS. SEWER IMPS.</v>
      </c>
      <c r="J540">
        <f>_xll.BDP("8945205D Muni","CPN")</f>
        <v>3</v>
      </c>
      <c r="K540" t="str">
        <f>_xll.BDP("8945205D Muni","MATURITY")</f>
        <v>11/1/2024</v>
      </c>
      <c r="L540">
        <v>210000</v>
      </c>
      <c r="M540">
        <f>_xll.BDP("8945205D Muni","YIELD_ON_ISSUE_DATE")</f>
        <v>2</v>
      </c>
      <c r="N540">
        <f>_xll.BDP("8945205D Muni","YTW_SPREAD_TO_MATURITY_AT_ISSU")</f>
        <v>52.792158420921595</v>
      </c>
      <c r="O540" t="str">
        <f>_xll.BDP("8945205D Muni","BVAL_MID_YTM")</f>
        <v>#N/A Authorization</v>
      </c>
      <c r="P540" t="str">
        <f>_xll.BDP("8945205D Muni","MUNI_TAX_PROV")</f>
        <v>FED TAX-EXEMPT</v>
      </c>
      <c r="Q540" t="str">
        <f>_xll.BDP("8945205D Muni","MUNI_FED_TAX")</f>
        <v>N</v>
      </c>
      <c r="R540" t="str">
        <f>_xll.BDP("8945205D Muni","MUNI_MSRB_VOLUME")</f>
        <v>#N/A N/A</v>
      </c>
      <c r="S540" t="str">
        <f>_xll.BDP("8945205D Muni","BB_COMPOSITE")</f>
        <v>AA-</v>
      </c>
      <c r="T540">
        <f>_xll.BDP("8945205D Muni","LQA_LIQUIDITY_SCORE")</f>
        <v>65</v>
      </c>
    </row>
    <row r="541" spans="1:20" x14ac:dyDescent="0.25">
      <c r="A541" t="str">
        <f>_xll.BDP("862335PG Muni","ID_CUSIP")</f>
        <v>862335PG5</v>
      </c>
      <c r="B541" t="s">
        <v>225</v>
      </c>
      <c r="C541" t="str">
        <f>_xll.BDP("862335PG Muni","INSURANCE_STATUS")</f>
        <v>N</v>
      </c>
      <c r="D541" t="str">
        <f>_xll.BDP("862335PG Muni","STATE_CODE")</f>
        <v>WI</v>
      </c>
      <c r="E541" t="str">
        <f>_xll.BDP("862335PG Muni","COUNTY_LOCATION_ISSUER")</f>
        <v>Dane, WI</v>
      </c>
      <c r="F541">
        <f>_xll.BDP("862335PG Muni","DUR_ADJ_MID")</f>
        <v>1.606755724122535</v>
      </c>
      <c r="G541">
        <f>_xll.BDP("862335PG Muni","SPREAD_AT_ISSUANCE_TO_WORST")</f>
        <v>21.44577944401853</v>
      </c>
      <c r="H541" t="str">
        <f>_xll.BDP("862335PG Muni","ISSUE_DT")</f>
        <v>6/8/2017</v>
      </c>
      <c r="I541" t="str">
        <f>_xll.BDS("862335PG Muni","MUNI_PURPOSE_SCHED", "aggregate=y")</f>
        <v>PUBLIC IMPS. WATER UTILITY IMPS. PROPERTY ACQUISITION</v>
      </c>
      <c r="J541">
        <f>_xll.BDP("862335PG Muni","CPN")</f>
        <v>3</v>
      </c>
      <c r="K541" t="str">
        <f>_xll.BDP("862335PG Muni","MATURITY")</f>
        <v>4/1/2024</v>
      </c>
      <c r="L541">
        <v>780000</v>
      </c>
      <c r="M541">
        <f>_xll.BDP("862335PG Muni","YIELD_ON_ISSUE_DATE")</f>
        <v>1.9000000000000001</v>
      </c>
      <c r="N541">
        <f>_xll.BDP("862335PG Muni","YTW_SPREAD_TO_MATURITY_AT_ISSU")</f>
        <v>21.44577944401853</v>
      </c>
      <c r="O541" t="str">
        <f>_xll.BDP("862335PG Muni","BVAL_MID_YTM")</f>
        <v>#N/A Authorization</v>
      </c>
      <c r="P541" t="str">
        <f>_xll.BDP("862335PG Muni","MUNI_TAX_PROV")</f>
        <v>FED BQ/ST TAXABLE</v>
      </c>
      <c r="Q541" t="str">
        <f>_xll.BDP("862335PG Muni","MUNI_FED_TAX")</f>
        <v>N</v>
      </c>
      <c r="R541" t="str">
        <f>_xll.BDP("862335PG Muni","MUNI_MSRB_VOLUME")</f>
        <v>#N/A N/A</v>
      </c>
      <c r="S541" t="str">
        <f>_xll.BDP("862335PG Muni","BB_COMPOSITE")</f>
        <v>#N/A N/A</v>
      </c>
      <c r="T541">
        <f>_xll.BDP("862335PG Muni","LQA_LIQUIDITY_SCORE")</f>
        <v>82</v>
      </c>
    </row>
    <row r="542" spans="1:20" x14ac:dyDescent="0.25">
      <c r="A542" t="str">
        <f>_xll.BDP("862335PF Muni","ID_CUSIP")</f>
        <v>862335PF7</v>
      </c>
      <c r="B542" t="s">
        <v>225</v>
      </c>
      <c r="C542" t="str">
        <f>_xll.BDP("862335PF Muni","INSURANCE_STATUS")</f>
        <v>N</v>
      </c>
      <c r="D542" t="str">
        <f>_xll.BDP("862335PF Muni","STATE_CODE")</f>
        <v>WI</v>
      </c>
      <c r="E542" t="str">
        <f>_xll.BDP("862335PF Muni","COUNTY_LOCATION_ISSUER")</f>
        <v>Dane, WI</v>
      </c>
      <c r="F542">
        <f>_xll.BDP("862335PF Muni","DUR_ADJ_MID")</f>
        <v>0.65364158667146111</v>
      </c>
      <c r="G542">
        <f>_xll.BDP("862335PF Muni","SPREAD_AT_ISSUANCE_TO_WORST")</f>
        <v>12.72504322460588</v>
      </c>
      <c r="H542" t="str">
        <f>_xll.BDP("862335PF Muni","ISSUE_DT")</f>
        <v>6/8/2017</v>
      </c>
      <c r="I542" t="str">
        <f>_xll.BDS("862335PF Muni","MUNI_PURPOSE_SCHED", "aggregate=y")</f>
        <v>PUBLIC IMPS. WATER UTILITY IMPS. PROPERTY ACQUISITION</v>
      </c>
      <c r="J542">
        <f>_xll.BDP("862335PF Muni","CPN")</f>
        <v>2.5</v>
      </c>
      <c r="K542" t="str">
        <f>_xll.BDP("862335PF Muni","MATURITY")</f>
        <v>4/1/2023</v>
      </c>
      <c r="L542">
        <v>765000</v>
      </c>
      <c r="M542">
        <f>_xll.BDP("862335PF Muni","YIELD_ON_ISSUE_DATE")</f>
        <v>1.6500000000000001</v>
      </c>
      <c r="N542">
        <f>_xll.BDP("862335PF Muni","YTW_SPREAD_TO_MATURITY_AT_ISSU")</f>
        <v>12.72504322460588</v>
      </c>
      <c r="O542" t="str">
        <f>_xll.BDP("862335PF Muni","BVAL_MID_YTM")</f>
        <v>#N/A Authorization</v>
      </c>
      <c r="P542" t="str">
        <f>_xll.BDP("862335PF Muni","MUNI_TAX_PROV")</f>
        <v>FED BQ/ST TAXABLE</v>
      </c>
      <c r="Q542" t="str">
        <f>_xll.BDP("862335PF Muni","MUNI_FED_TAX")</f>
        <v>N</v>
      </c>
      <c r="R542" t="str">
        <f>_xll.BDP("862335PF Muni","MUNI_MSRB_VOLUME")</f>
        <v>#N/A N/A</v>
      </c>
      <c r="S542" t="str">
        <f>_xll.BDP("862335PF Muni","BB_COMPOSITE")</f>
        <v>#N/A N/A</v>
      </c>
      <c r="T542">
        <f>_xll.BDP("862335PF Muni","LQA_LIQUIDITY_SCORE")</f>
        <v>90</v>
      </c>
    </row>
    <row r="543" spans="1:20" x14ac:dyDescent="0.25">
      <c r="A543" t="str">
        <f>_xll.BDP("855685EF Muni","ID_CUSIP")</f>
        <v>855685EF6</v>
      </c>
      <c r="B543" t="s">
        <v>226</v>
      </c>
      <c r="C543" t="str">
        <f>_xll.BDP("855685EF Muni","INSURANCE_STATUS")</f>
        <v>N</v>
      </c>
      <c r="D543" t="str">
        <f>_xll.BDP("855685EF Muni","STATE_CODE")</f>
        <v>SC</v>
      </c>
      <c r="E543" t="str">
        <f>_xll.BDP("855685EF Muni","COUNTY_LOCATION_ISSUER")</f>
        <v>Spartanburg, SC</v>
      </c>
      <c r="F543">
        <f>_xll.BDP("855685EF Muni","DUR_ADJ_MID")</f>
        <v>0.65442335431454346</v>
      </c>
      <c r="G543">
        <f>_xll.BDP("855685EF Muni","SPREAD_AT_ISSUANCE_TO_WORST")</f>
        <v>10.461276478245196</v>
      </c>
      <c r="H543" t="str">
        <f>_xll.BDP("855685EF Muni","ISSUE_DT")</f>
        <v>4/12/2017</v>
      </c>
      <c r="I543" t="str">
        <f>_xll.BDS("855685EF Muni","MUNI_PURPOSE_SCHED", "aggregate=y")</f>
        <v>WATER UTILITY IMPS.</v>
      </c>
      <c r="J543">
        <f>_xll.BDP("855685EF Muni","CPN")</f>
        <v>2</v>
      </c>
      <c r="K543" t="str">
        <f>_xll.BDP("855685EF Muni","MATURITY")</f>
        <v>4/1/2023</v>
      </c>
      <c r="L543">
        <v>1120000</v>
      </c>
      <c r="M543">
        <f>_xll.BDP("855685EF Muni","YIELD_ON_ISSUE_DATE")</f>
        <v>1.8</v>
      </c>
      <c r="N543">
        <f>_xll.BDP("855685EF Muni","YTW_SPREAD_TO_MATURITY_AT_ISSU")</f>
        <v>10.461276478245196</v>
      </c>
      <c r="O543" t="str">
        <f>_xll.BDP("855685EF Muni","BVAL_MID_YTM")</f>
        <v>#N/A Authorization</v>
      </c>
      <c r="P543" t="str">
        <f>_xll.BDP("855685EF Muni","MUNI_TAX_PROV")</f>
        <v>FED BQ/ST TAX-EXEMPT</v>
      </c>
      <c r="Q543" t="str">
        <f>_xll.BDP("855685EF Muni","MUNI_FED_TAX")</f>
        <v>N</v>
      </c>
      <c r="R543" t="str">
        <f>_xll.BDP("855685EF Muni","MUNI_MSRB_VOLUME")</f>
        <v>#N/A N/A</v>
      </c>
      <c r="S543" t="str">
        <f>_xll.BDP("855685EF Muni","BB_COMPOSITE")</f>
        <v>AA-</v>
      </c>
      <c r="T543">
        <f>_xll.BDP("855685EF Muni","LQA_LIQUIDITY_SCORE")</f>
        <v>84</v>
      </c>
    </row>
    <row r="544" spans="1:20" x14ac:dyDescent="0.25">
      <c r="A544" t="str">
        <f>_xll.BDP("834610BB Muni","ID_CUSIP")</f>
        <v>834610BB2</v>
      </c>
      <c r="B544" t="s">
        <v>227</v>
      </c>
      <c r="C544" t="str">
        <f>_xll.BDP("834610BB Muni","INSURANCE_STATUS")</f>
        <v>Y</v>
      </c>
      <c r="D544" t="str">
        <f>_xll.BDP("834610BB Muni","STATE_CODE")</f>
        <v>WI</v>
      </c>
      <c r="E544" t="str">
        <f>_xll.BDP("834610BB Muni","COUNTY_LOCATION_ISSUER")</f>
        <v>St. Croix, WI</v>
      </c>
      <c r="F544">
        <f>_xll.BDP("834610BB Muni","DUR_ADJ_MID")</f>
        <v>0.73408855505534776</v>
      </c>
      <c r="G544">
        <f>_xll.BDP("834610BB Muni","SPREAD_AT_ISSUANCE_TO_WORST")</f>
        <v>45.274043835616439</v>
      </c>
      <c r="H544" t="str">
        <f>_xll.BDP("834610BB Muni","ISSUE_DT")</f>
        <v>11/15/2017</v>
      </c>
      <c r="I544" t="str">
        <f>_xll.BDS("834610BB Muni","MUNI_PURPOSE_SCHED", "aggregate=y")</f>
        <v>WATER UTILITY IMPS. SEWER IMPS.</v>
      </c>
      <c r="J544">
        <f>_xll.BDP("834610BB Muni","CPN")</f>
        <v>3</v>
      </c>
      <c r="K544" t="str">
        <f>_xll.BDP("834610BB Muni","MATURITY")</f>
        <v>5/1/2023</v>
      </c>
      <c r="L544">
        <v>185000</v>
      </c>
      <c r="M544">
        <f>_xll.BDP("834610BB Muni","YIELD_ON_ISSUE_DATE")</f>
        <v>1.95</v>
      </c>
      <c r="N544">
        <f>_xll.BDP("834610BB Muni","YTW_SPREAD_TO_MATURITY_AT_ISSU")</f>
        <v>45.274043835616439</v>
      </c>
      <c r="O544" t="str">
        <f>_xll.BDP("834610BB Muni","BVAL_MID_YTM")</f>
        <v>#N/A Authorization</v>
      </c>
      <c r="P544" t="str">
        <f>_xll.BDP("834610BB Muni","MUNI_TAX_PROV")</f>
        <v>FED BQ/ST TAXABLE</v>
      </c>
      <c r="Q544" t="str">
        <f>_xll.BDP("834610BB Muni","MUNI_FED_TAX")</f>
        <v>N</v>
      </c>
      <c r="R544" t="str">
        <f>_xll.BDP("834610BB Muni","MUNI_MSRB_VOLUME")</f>
        <v>#N/A N/A</v>
      </c>
      <c r="S544" t="str">
        <f>_xll.BDP("834610BB Muni","BB_COMPOSITE")</f>
        <v>#N/A N/A</v>
      </c>
      <c r="T544">
        <f>_xll.BDP("834610BB Muni","LQA_LIQUIDITY_SCORE")</f>
        <v>94</v>
      </c>
    </row>
    <row r="545" spans="1:20" x14ac:dyDescent="0.25">
      <c r="A545" t="str">
        <f>_xll.BDP("834610BC Muni","ID_CUSIP")</f>
        <v>834610BC0</v>
      </c>
      <c r="B545" t="s">
        <v>227</v>
      </c>
      <c r="C545" t="str">
        <f>_xll.BDP("834610BC Muni","INSURANCE_STATUS")</f>
        <v>Y</v>
      </c>
      <c r="D545" t="str">
        <f>_xll.BDP("834610BC Muni","STATE_CODE")</f>
        <v>WI</v>
      </c>
      <c r="E545" t="str">
        <f>_xll.BDP("834610BC Muni","COUNTY_LOCATION_ISSUER")</f>
        <v>St. Croix, WI</v>
      </c>
      <c r="F545">
        <f>_xll.BDP("834610BC Muni","DUR_ADJ_MID")</f>
        <v>1.6870960849283854</v>
      </c>
      <c r="G545">
        <f>_xll.BDP("834610BC Muni","SPREAD_AT_ISSUANCE_TO_WORST")</f>
        <v>42.593095890410936</v>
      </c>
      <c r="H545" t="str">
        <f>_xll.BDP("834610BC Muni","ISSUE_DT")</f>
        <v>11/15/2017</v>
      </c>
      <c r="I545" t="str">
        <f>_xll.BDS("834610BC Muni","MUNI_PURPOSE_SCHED", "aggregate=y")</f>
        <v>WATER UTILITY IMPS. SEWER IMPS.</v>
      </c>
      <c r="J545">
        <f>_xll.BDP("834610BC Muni","CPN")</f>
        <v>3</v>
      </c>
      <c r="K545" t="str">
        <f>_xll.BDP("834610BC Muni","MATURITY")</f>
        <v>5/1/2024</v>
      </c>
      <c r="L545">
        <v>190000</v>
      </c>
      <c r="M545">
        <f>_xll.BDP("834610BC Muni","YIELD_ON_ISSUE_DATE")</f>
        <v>2.0499999999999998</v>
      </c>
      <c r="N545">
        <f>_xll.BDP("834610BC Muni","YTW_SPREAD_TO_MATURITY_AT_ISSU")</f>
        <v>42.593095890410936</v>
      </c>
      <c r="O545" t="str">
        <f>_xll.BDP("834610BC Muni","BVAL_MID_YTM")</f>
        <v>#N/A Authorization</v>
      </c>
      <c r="P545" t="str">
        <f>_xll.BDP("834610BC Muni","MUNI_TAX_PROV")</f>
        <v>FED BQ/ST TAXABLE</v>
      </c>
      <c r="Q545" t="str">
        <f>_xll.BDP("834610BC Muni","MUNI_FED_TAX")</f>
        <v>N</v>
      </c>
      <c r="R545" t="str">
        <f>_xll.BDP("834610BC Muni","MUNI_MSRB_VOLUME")</f>
        <v>#N/A N/A</v>
      </c>
      <c r="S545" t="str">
        <f>_xll.BDP("834610BC Muni","BB_COMPOSITE")</f>
        <v>#N/A N/A</v>
      </c>
      <c r="T545">
        <f>_xll.BDP("834610BC Muni","LQA_LIQUIDITY_SCORE")</f>
        <v>81</v>
      </c>
    </row>
    <row r="546" spans="1:20" x14ac:dyDescent="0.25">
      <c r="A546" t="str">
        <f>_xll.BDP("834610BD Muni","ID_CUSIP")</f>
        <v>834610BD8</v>
      </c>
      <c r="B546" t="s">
        <v>227</v>
      </c>
      <c r="C546" t="str">
        <f>_xll.BDP("834610BD Muni","INSURANCE_STATUS")</f>
        <v>Y</v>
      </c>
      <c r="D546" t="str">
        <f>_xll.BDP("834610BD Muni","STATE_CODE")</f>
        <v>WI</v>
      </c>
      <c r="E546" t="str">
        <f>_xll.BDP("834610BD Muni","COUNTY_LOCATION_ISSUER")</f>
        <v>St. Croix, WI</v>
      </c>
      <c r="F546">
        <f>_xll.BDP("834610BD Muni","DUR_ADJ_MID")</f>
        <v>2.6126642473519297</v>
      </c>
      <c r="G546">
        <f>_xll.BDP("834610BD Muni","SPREAD_AT_ISSUANCE_TO_WORST")</f>
        <v>44.723586301369878</v>
      </c>
      <c r="H546" t="str">
        <f>_xll.BDP("834610BD Muni","ISSUE_DT")</f>
        <v>11/15/2017</v>
      </c>
      <c r="I546" t="str">
        <f>_xll.BDS("834610BD Muni","MUNI_PURPOSE_SCHED", "aggregate=y")</f>
        <v>WATER UTILITY IMPS. SEWER IMPS.</v>
      </c>
      <c r="J546">
        <f>_xll.BDP("834610BD Muni","CPN")</f>
        <v>3</v>
      </c>
      <c r="K546" t="str">
        <f>_xll.BDP("834610BD Muni","MATURITY")</f>
        <v>5/1/2025</v>
      </c>
      <c r="L546">
        <v>200000</v>
      </c>
      <c r="M546">
        <f>_xll.BDP("834610BD Muni","YIELD_ON_ISSUE_DATE")</f>
        <v>2.2000000000000002</v>
      </c>
      <c r="N546">
        <f>_xll.BDP("834610BD Muni","YTW_SPREAD_TO_MATURITY_AT_ISSU")</f>
        <v>44.723586301369878</v>
      </c>
      <c r="O546" t="str">
        <f>_xll.BDP("834610BD Muni","BVAL_MID_YTM")</f>
        <v>#N/A Authorization</v>
      </c>
      <c r="P546" t="str">
        <f>_xll.BDP("834610BD Muni","MUNI_TAX_PROV")</f>
        <v>FED BQ/ST TAXABLE</v>
      </c>
      <c r="Q546" t="str">
        <f>_xll.BDP("834610BD Muni","MUNI_FED_TAX")</f>
        <v>N</v>
      </c>
      <c r="R546" t="str">
        <f>_xll.BDP("834610BD Muni","MUNI_MSRB_VOLUME")</f>
        <v>#N/A N/A</v>
      </c>
      <c r="S546" t="str">
        <f>_xll.BDP("834610BD Muni","BB_COMPOSITE")</f>
        <v>#N/A N/A</v>
      </c>
      <c r="T546">
        <f>_xll.BDP("834610BD Muni","LQA_LIQUIDITY_SCORE")</f>
        <v>67</v>
      </c>
    </row>
    <row r="547" spans="1:20" x14ac:dyDescent="0.25">
      <c r="A547" t="str">
        <f>_xll.BDP("834610BE Muni","ID_CUSIP")</f>
        <v>834610BE6</v>
      </c>
      <c r="B547" t="s">
        <v>227</v>
      </c>
      <c r="C547" t="str">
        <f>_xll.BDP("834610BE Muni","INSURANCE_STATUS")</f>
        <v>Y</v>
      </c>
      <c r="D547" t="str">
        <f>_xll.BDP("834610BE Muni","STATE_CODE")</f>
        <v>WI</v>
      </c>
      <c r="E547" t="str">
        <f>_xll.BDP("834610BE Muni","COUNTY_LOCATION_ISSUER")</f>
        <v>St. Croix, WI</v>
      </c>
      <c r="F547">
        <f>_xll.BDP("834610BE Muni","DUR_ADJ_MID")</f>
        <v>3.511797429649532</v>
      </c>
      <c r="G547">
        <f>_xll.BDP("834610BE Muni","SPREAD_AT_ISSUANCE_TO_WORST")</f>
        <v>42.678660273972582</v>
      </c>
      <c r="H547" t="str">
        <f>_xll.BDP("834610BE Muni","ISSUE_DT")</f>
        <v>11/15/2017</v>
      </c>
      <c r="I547" t="str">
        <f>_xll.BDS("834610BE Muni","MUNI_PURPOSE_SCHED", "aggregate=y")</f>
        <v>WATER UTILITY IMPS. SEWER IMPS.</v>
      </c>
      <c r="J547">
        <f>_xll.BDP("834610BE Muni","CPN")</f>
        <v>3</v>
      </c>
      <c r="K547" t="str">
        <f>_xll.BDP("834610BE Muni","MATURITY")</f>
        <v>5/1/2026</v>
      </c>
      <c r="L547">
        <v>200000</v>
      </c>
      <c r="M547">
        <f>_xll.BDP("834610BE Muni","YIELD_ON_ISSUE_DATE")</f>
        <v>2.3000000000000003</v>
      </c>
      <c r="N547">
        <f>_xll.BDP("834610BE Muni","YTW_SPREAD_TO_MATURITY_AT_ISSU")</f>
        <v>42.678660273972582</v>
      </c>
      <c r="O547" t="str">
        <f>_xll.BDP("834610BE Muni","BVAL_MID_YTM")</f>
        <v>#N/A Authorization</v>
      </c>
      <c r="P547" t="str">
        <f>_xll.BDP("834610BE Muni","MUNI_TAX_PROV")</f>
        <v>FED BQ/ST TAXABLE</v>
      </c>
      <c r="Q547" t="str">
        <f>_xll.BDP("834610BE Muni","MUNI_FED_TAX")</f>
        <v>N</v>
      </c>
      <c r="R547" t="str">
        <f>_xll.BDP("834610BE Muni","MUNI_MSRB_VOLUME")</f>
        <v>#N/A N/A</v>
      </c>
      <c r="S547" t="str">
        <f>_xll.BDP("834610BE Muni","BB_COMPOSITE")</f>
        <v>#N/A N/A</v>
      </c>
      <c r="T547">
        <f>_xll.BDP("834610BE Muni","LQA_LIQUIDITY_SCORE")</f>
        <v>57</v>
      </c>
    </row>
    <row r="548" spans="1:20" x14ac:dyDescent="0.25">
      <c r="A548" t="str">
        <f>_xll.BDP("834610BF Muni","ID_CUSIP")</f>
        <v>834610BF3</v>
      </c>
      <c r="B548" t="s">
        <v>227</v>
      </c>
      <c r="C548" t="str">
        <f>_xll.BDP("834610BF Muni","INSURANCE_STATUS")</f>
        <v>Y</v>
      </c>
      <c r="D548" t="str">
        <f>_xll.BDP("834610BF Muni","STATE_CODE")</f>
        <v>WI</v>
      </c>
      <c r="E548" t="str">
        <f>_xll.BDP("834610BF Muni","COUNTY_LOCATION_ISSUER")</f>
        <v>St. Croix, WI</v>
      </c>
      <c r="F548">
        <f>_xll.BDP("834610BF Muni","DUR_ADJ_MID")</f>
        <v>4.3852752241138955</v>
      </c>
      <c r="G548">
        <f>_xll.BDP("834610BF Muni","SPREAD_AT_ISSUANCE_TO_WORST")</f>
        <v>47.718030136986322</v>
      </c>
      <c r="H548" t="str">
        <f>_xll.BDP("834610BF Muni","ISSUE_DT")</f>
        <v>11/15/2017</v>
      </c>
      <c r="I548" t="str">
        <f>_xll.BDS("834610BF Muni","MUNI_PURPOSE_SCHED", "aggregate=y")</f>
        <v>WATER UTILITY IMPS. SEWER IMPS.</v>
      </c>
      <c r="J548">
        <f>_xll.BDP("834610BF Muni","CPN")</f>
        <v>3</v>
      </c>
      <c r="K548" t="str">
        <f>_xll.BDP("834610BF Muni","MATURITY")</f>
        <v>5/1/2027</v>
      </c>
      <c r="L548">
        <v>205000</v>
      </c>
      <c r="M548">
        <f>_xll.BDP("834610BF Muni","YIELD_ON_ISSUE_DATE")</f>
        <v>2.4500000000000002</v>
      </c>
      <c r="N548">
        <f>_xll.BDP("834610BF Muni","YTW_SPREAD_TO_MATURITY_AT_ISSU")</f>
        <v>47.718030136986322</v>
      </c>
      <c r="O548" t="str">
        <f>_xll.BDP("834610BF Muni","BVAL_MID_YTM")</f>
        <v>#N/A Authorization</v>
      </c>
      <c r="P548" t="str">
        <f>_xll.BDP("834610BF Muni","MUNI_TAX_PROV")</f>
        <v>FED BQ/ST TAXABLE</v>
      </c>
      <c r="Q548" t="str">
        <f>_xll.BDP("834610BF Muni","MUNI_FED_TAX")</f>
        <v>N</v>
      </c>
      <c r="R548" t="str">
        <f>_xll.BDP("834610BF Muni","MUNI_MSRB_VOLUME")</f>
        <v>#N/A N/A</v>
      </c>
      <c r="S548" t="str">
        <f>_xll.BDP("834610BF Muni","BB_COMPOSITE")</f>
        <v>#N/A N/A</v>
      </c>
      <c r="T548">
        <f>_xll.BDP("834610BF Muni","LQA_LIQUIDITY_SCORE")</f>
        <v>49</v>
      </c>
    </row>
    <row r="549" spans="1:20" x14ac:dyDescent="0.25">
      <c r="A549" t="str">
        <f>_xll.BDP("836809HB Muni","ID_CUSIP")</f>
        <v>836809HB2</v>
      </c>
      <c r="B549" t="s">
        <v>209</v>
      </c>
      <c r="C549" t="str">
        <f>_xll.BDP("836809HB Muni","INSURANCE_STATUS")</f>
        <v>Y</v>
      </c>
      <c r="D549" t="str">
        <f>_xll.BDP("836809HB Muni","STATE_CODE")</f>
        <v>TX</v>
      </c>
      <c r="E549" t="str">
        <f>_xll.BDP("836809HB Muni","COUNTY_LOCATION_ISSUER")</f>
        <v>Hays, TX</v>
      </c>
      <c r="F549">
        <f>_xll.BDP("836809HB Muni","DUR_ADJ_MID")</f>
        <v>5.5551485722751259E-3</v>
      </c>
      <c r="G549">
        <f>_xll.BDP("836809HB Muni","SPREAD_AT_ISSUANCE_TO_WORST")</f>
        <v>39.654915605514951</v>
      </c>
      <c r="H549" t="str">
        <f>_xll.BDP("836809HB Muni","ISSUE_DT")</f>
        <v>2/23/2017</v>
      </c>
      <c r="I549" t="str">
        <f>_xll.BDS("836809HB Muni","MUNI_PURPOSE_SCHED", "aggregate=y")</f>
        <v>WATER UTILITY IMPS. SEWER IMPS.</v>
      </c>
      <c r="J549">
        <f>_xll.BDP("836809HB Muni","CPN")</f>
        <v>4</v>
      </c>
      <c r="K549" t="str">
        <f>_xll.BDP("836809HB Muni","MATURITY")</f>
        <v>8/1/2022</v>
      </c>
      <c r="L549">
        <v>135000</v>
      </c>
      <c r="M549">
        <f>_xll.BDP("836809HB Muni","YIELD_ON_ISSUE_DATE")</f>
        <v>2.2000000000000002</v>
      </c>
      <c r="N549">
        <f>_xll.BDP("836809HB Muni","YTW_SPREAD_TO_MATURITY_AT_ISSU")</f>
        <v>39.654915605514951</v>
      </c>
      <c r="O549" t="str">
        <f>_xll.BDP("836809HB Muni","BVAL_MID_YTM")</f>
        <v>#N/A Authorization</v>
      </c>
      <c r="P549" t="str">
        <f>_xll.BDP("836809HB Muni","MUNI_TAX_PROV")</f>
        <v>FED BQ</v>
      </c>
      <c r="Q549" t="str">
        <f>_xll.BDP("836809HB Muni","MUNI_FED_TAX")</f>
        <v>N</v>
      </c>
      <c r="R549" t="str">
        <f>_xll.BDP("836809HB Muni","MUNI_MSRB_VOLUME")</f>
        <v>#N/A N/A</v>
      </c>
      <c r="S549" t="str">
        <f>_xll.BDP("836809HB Muni","BB_COMPOSITE")</f>
        <v>#N/A N/A</v>
      </c>
      <c r="T549">
        <f>_xll.BDP("836809HB Muni","LQA_LIQUIDITY_SCORE")</f>
        <v>98</v>
      </c>
    </row>
    <row r="550" spans="1:20" x14ac:dyDescent="0.25">
      <c r="A550" t="str">
        <f>_xll.BDP("836809HC Muni","ID_CUSIP")</f>
        <v>836809HC0</v>
      </c>
      <c r="B550" t="s">
        <v>209</v>
      </c>
      <c r="C550" t="str">
        <f>_xll.BDP("836809HC Muni","INSURANCE_STATUS")</f>
        <v>Y</v>
      </c>
      <c r="D550" t="str">
        <f>_xll.BDP("836809HC Muni","STATE_CODE")</f>
        <v>TX</v>
      </c>
      <c r="E550" t="str">
        <f>_xll.BDP("836809HC Muni","COUNTY_LOCATION_ISSUER")</f>
        <v>Hays, TX</v>
      </c>
      <c r="F550">
        <f>_xll.BDP("836809HC Muni","DUR_ADJ_MID")</f>
        <v>0.98234855504614049</v>
      </c>
      <c r="G550">
        <f>_xll.BDP("836809HC Muni","SPREAD_AT_ISSUANCE_TO_WORST")</f>
        <v>40.159621582023149</v>
      </c>
      <c r="H550" t="str">
        <f>_xll.BDP("836809HC Muni","ISSUE_DT")</f>
        <v>2/23/2017</v>
      </c>
      <c r="I550" t="str">
        <f>_xll.BDS("836809HC Muni","MUNI_PURPOSE_SCHED", "aggregate=y")</f>
        <v>WATER UTILITY IMPS. SEWER IMPS.</v>
      </c>
      <c r="J550">
        <f>_xll.BDP("836809HC Muni","CPN")</f>
        <v>2.25</v>
      </c>
      <c r="K550" t="str">
        <f>_xll.BDP("836809HC Muni","MATURITY")</f>
        <v>8/1/2023</v>
      </c>
      <c r="L550">
        <v>140000</v>
      </c>
      <c r="M550">
        <f>_xll.BDP("836809HC Muni","YIELD_ON_ISSUE_DATE")</f>
        <v>2.35</v>
      </c>
      <c r="N550">
        <f>_xll.BDP("836809HC Muni","YTW_SPREAD_TO_MATURITY_AT_ISSU")</f>
        <v>40.159621582023149</v>
      </c>
      <c r="O550" t="str">
        <f>_xll.BDP("836809HC Muni","BVAL_MID_YTM")</f>
        <v>#N/A Authorization</v>
      </c>
      <c r="P550" t="str">
        <f>_xll.BDP("836809HC Muni","MUNI_TAX_PROV")</f>
        <v>FED BQ</v>
      </c>
      <c r="Q550" t="str">
        <f>_xll.BDP("836809HC Muni","MUNI_FED_TAX")</f>
        <v>N</v>
      </c>
      <c r="R550" t="str">
        <f>_xll.BDP("836809HC Muni","MUNI_MSRB_VOLUME")</f>
        <v>#N/A N/A</v>
      </c>
      <c r="S550" t="str">
        <f>_xll.BDP("836809HC Muni","BB_COMPOSITE")</f>
        <v>#N/A N/A</v>
      </c>
      <c r="T550">
        <f>_xll.BDP("836809HC Muni","LQA_LIQUIDITY_SCORE")</f>
        <v>85</v>
      </c>
    </row>
    <row r="551" spans="1:20" x14ac:dyDescent="0.25">
      <c r="A551" t="str">
        <f>_xll.BDP("752111MM Muni","ID_CUSIP")</f>
        <v>752111MM3</v>
      </c>
      <c r="B551" t="s">
        <v>228</v>
      </c>
      <c r="C551" t="str">
        <f>_xll.BDP("752111MM Muni","INSURANCE_STATUS")</f>
        <v>N</v>
      </c>
      <c r="D551" t="str">
        <f>_xll.BDP("752111MM Muni","STATE_CODE")</f>
        <v>CA</v>
      </c>
      <c r="E551" t="str">
        <f>_xll.BDP("752111MM Muni","COUNTY_LOCATION_ISSUER")</f>
        <v>Riverside, CA</v>
      </c>
      <c r="F551">
        <f>_xll.BDP("752111MM Muni","DUR_ADJ_MID")</f>
        <v>5.554049985052472E-3</v>
      </c>
      <c r="G551">
        <f>_xll.BDP("752111MM Muni","SPREAD_AT_ISSUANCE_TO_WORST")</f>
        <v>-2.3638904109589021</v>
      </c>
      <c r="H551" t="str">
        <f>_xll.BDP("752111MM Muni","ISSUE_DT")</f>
        <v>12/1/2017</v>
      </c>
      <c r="I551" t="str">
        <f>_xll.BDS("752111MM Muni","MUNI_PURPOSE_SCHED", "aggregate=y")</f>
        <v>CURRENT REFUNDING SWAP TERMINATION WATER UTILITY IMPS.</v>
      </c>
      <c r="J551">
        <f>_xll.BDP("752111MM Muni","CPN")</f>
        <v>5</v>
      </c>
      <c r="K551" t="str">
        <f>_xll.BDP("752111MM Muni","MATURITY")</f>
        <v>8/1/2022</v>
      </c>
      <c r="L551">
        <v>100000</v>
      </c>
      <c r="M551">
        <f>_xll.BDP("752111MM Muni","YIELD_ON_ISSUE_DATE")</f>
        <v>1.47</v>
      </c>
      <c r="N551">
        <f>_xll.BDP("752111MM Muni","YTW_SPREAD_TO_MATURITY_AT_ISSU")</f>
        <v>-2.3638904109589021</v>
      </c>
      <c r="O551" t="str">
        <f>_xll.BDP("752111MM Muni","BVAL_MID_YTM")</f>
        <v>#N/A Authorization</v>
      </c>
      <c r="P551" t="str">
        <f>_xll.BDP("752111MM Muni","MUNI_TAX_PROV")</f>
        <v>FED &amp; ST TAX-EXEMPT</v>
      </c>
      <c r="Q551" t="str">
        <f>_xll.BDP("752111MM Muni","MUNI_FED_TAX")</f>
        <v>N</v>
      </c>
      <c r="R551">
        <f>_xll.BDP("752111MM Muni","MUNI_MSRB_VOLUME")</f>
        <v>30000</v>
      </c>
      <c r="S551" t="str">
        <f>_xll.BDP("752111MM Muni","BB_COMPOSITE")</f>
        <v>AAA</v>
      </c>
      <c r="T551">
        <f>_xll.BDP("752111MM Muni","LQA_LIQUIDITY_SCORE")</f>
        <v>98</v>
      </c>
    </row>
    <row r="552" spans="1:20" x14ac:dyDescent="0.25">
      <c r="A552" t="str">
        <f>_xll.BDP("752111MP Muni","ID_CUSIP")</f>
        <v>752111MP6</v>
      </c>
      <c r="B552" t="s">
        <v>228</v>
      </c>
      <c r="C552" t="str">
        <f>_xll.BDP("752111MP Muni","INSURANCE_STATUS")</f>
        <v>N</v>
      </c>
      <c r="D552" t="str">
        <f>_xll.BDP("752111MP Muni","STATE_CODE")</f>
        <v>CA</v>
      </c>
      <c r="E552" t="str">
        <f>_xll.BDP("752111MP Muni","COUNTY_LOCATION_ISSUER")</f>
        <v>Riverside, CA</v>
      </c>
      <c r="F552">
        <f>_xll.BDP("752111MP Muni","DUR_ADJ_MID")</f>
        <v>1.9119050313953547</v>
      </c>
      <c r="G552">
        <f>_xll.BDP("752111MP Muni","SPREAD_AT_ISSUANCE_TO_WORST")</f>
        <v>-10.508534246575319</v>
      </c>
      <c r="H552" t="str">
        <f>_xll.BDP("752111MP Muni","ISSUE_DT")</f>
        <v>12/1/2017</v>
      </c>
      <c r="I552" t="str">
        <f>_xll.BDS("752111MP Muni","MUNI_PURPOSE_SCHED", "aggregate=y")</f>
        <v>CURRENT REFUNDING SWAP TERMINATION WATER UTILITY IMPS.</v>
      </c>
      <c r="J552">
        <f>_xll.BDP("752111MP Muni","CPN")</f>
        <v>5</v>
      </c>
      <c r="K552" t="str">
        <f>_xll.BDP("752111MP Muni","MATURITY")</f>
        <v>8/1/2024</v>
      </c>
      <c r="L552">
        <v>2370000</v>
      </c>
      <c r="M552">
        <f>_xll.BDP("752111MP Muni","YIELD_ON_ISSUE_DATE")</f>
        <v>1.6</v>
      </c>
      <c r="N552">
        <f>_xll.BDP("752111MP Muni","YTW_SPREAD_TO_MATURITY_AT_ISSU")</f>
        <v>-10.508534246575319</v>
      </c>
      <c r="O552" t="str">
        <f>_xll.BDP("752111MP Muni","BVAL_MID_YTM")</f>
        <v>#N/A Authorization</v>
      </c>
      <c r="P552" t="str">
        <f>_xll.BDP("752111MP Muni","MUNI_TAX_PROV")</f>
        <v>FED &amp; ST TAX-EXEMPT</v>
      </c>
      <c r="Q552" t="str">
        <f>_xll.BDP("752111MP Muni","MUNI_FED_TAX")</f>
        <v>N</v>
      </c>
      <c r="R552">
        <f>_xll.BDP("752111MP Muni","MUNI_MSRB_VOLUME")</f>
        <v>135000</v>
      </c>
      <c r="S552" t="str">
        <f>_xll.BDP("752111MP Muni","BB_COMPOSITE")</f>
        <v>AAA</v>
      </c>
      <c r="T552">
        <f>_xll.BDP("752111MP Muni","LQA_LIQUIDITY_SCORE")</f>
        <v>73</v>
      </c>
    </row>
    <row r="553" spans="1:20" x14ac:dyDescent="0.25">
      <c r="A553" t="str">
        <f>_xll.BDP("752111MR Muni","ID_CUSIP")</f>
        <v>752111MR2</v>
      </c>
      <c r="B553" t="s">
        <v>228</v>
      </c>
      <c r="C553" t="str">
        <f>_xll.BDP("752111MR Muni","INSURANCE_STATUS")</f>
        <v>N</v>
      </c>
      <c r="D553" t="str">
        <f>_xll.BDP("752111MR Muni","STATE_CODE")</f>
        <v>CA</v>
      </c>
      <c r="E553" t="str">
        <f>_xll.BDP("752111MR Muni","COUNTY_LOCATION_ISSUER")</f>
        <v>Riverside, CA</v>
      </c>
      <c r="F553">
        <f>_xll.BDP("752111MR Muni","DUR_ADJ_MID")</f>
        <v>3.6596143220637432</v>
      </c>
      <c r="G553">
        <f>_xll.BDP("752111MR Muni","SPREAD_AT_ISSUANCE_TO_WORST")</f>
        <v>-12.133783561643829</v>
      </c>
      <c r="H553" t="str">
        <f>_xll.BDP("752111MR Muni","ISSUE_DT")</f>
        <v>12/1/2017</v>
      </c>
      <c r="I553" t="str">
        <f>_xll.BDS("752111MR Muni","MUNI_PURPOSE_SCHED", "aggregate=y")</f>
        <v>CURRENT REFUNDING SWAP TERMINATION WATER UTILITY IMPS.</v>
      </c>
      <c r="J553">
        <f>_xll.BDP("752111MR Muni","CPN")</f>
        <v>5</v>
      </c>
      <c r="K553" t="str">
        <f>_xll.BDP("752111MR Muni","MATURITY")</f>
        <v>8/1/2026</v>
      </c>
      <c r="L553">
        <v>2725000</v>
      </c>
      <c r="M553">
        <f>_xll.BDP("752111MR Muni","YIELD_ON_ISSUE_DATE")</f>
        <v>1.79</v>
      </c>
      <c r="N553">
        <f>_xll.BDP("752111MR Muni","YTW_SPREAD_TO_MATURITY_AT_ISSU")</f>
        <v>-12.133783561643829</v>
      </c>
      <c r="O553" t="str">
        <f>_xll.BDP("752111MR Muni","BVAL_MID_YTM")</f>
        <v>#N/A Authorization</v>
      </c>
      <c r="P553" t="str">
        <f>_xll.BDP("752111MR Muni","MUNI_TAX_PROV")</f>
        <v>FED &amp; ST TAX-EXEMPT</v>
      </c>
      <c r="Q553" t="str">
        <f>_xll.BDP("752111MR Muni","MUNI_FED_TAX")</f>
        <v>N</v>
      </c>
      <c r="R553">
        <f>_xll.BDP("752111MR Muni","MUNI_MSRB_VOLUME")</f>
        <v>80000</v>
      </c>
      <c r="S553" t="str">
        <f>_xll.BDP("752111MR Muni","BB_COMPOSITE")</f>
        <v>AAA</v>
      </c>
      <c r="T553">
        <f>_xll.BDP("752111MR Muni","LQA_LIQUIDITY_SCORE")</f>
        <v>62</v>
      </c>
    </row>
    <row r="554" spans="1:20" x14ac:dyDescent="0.25">
      <c r="A554" t="str">
        <f>_xll.BDP("846694AF Muni","ID_CUSIP")</f>
        <v>846694AF4</v>
      </c>
      <c r="B554" t="s">
        <v>229</v>
      </c>
      <c r="C554" t="str">
        <f>_xll.BDP("846694AF Muni","INSURANCE_STATUS")</f>
        <v>N</v>
      </c>
      <c r="D554" t="str">
        <f>_xll.BDP("846694AF Muni","STATE_CODE")</f>
        <v>TN</v>
      </c>
      <c r="E554" t="str">
        <f>_xll.BDP("846694AF Muni","COUNTY_LOCATION_ISSUER")</f>
        <v>#N/A Field Not Applicable</v>
      </c>
      <c r="F554">
        <f>_xll.BDP("846694AF Muni","DUR_ADJ_MID")</f>
        <v>1.7852136004605823</v>
      </c>
      <c r="G554">
        <f>_xll.BDP("846694AF Muni","SPREAD_AT_ISSUANCE_TO_WORST")</f>
        <v>4.7944641535030197</v>
      </c>
      <c r="H554" t="str">
        <f>_xll.BDP("846694AF Muni","ISSUE_DT")</f>
        <v>3/30/2017</v>
      </c>
      <c r="I554" t="str">
        <f>_xll.BDS("846694AF Muni","MUNI_PURPOSE_SCHED", "aggregate=y")</f>
        <v>WATER UTILITY IMPS. SEWER IMPS.</v>
      </c>
      <c r="J554">
        <f>_xll.BDP("846694AF Muni","CPN")</f>
        <v>2</v>
      </c>
      <c r="K554" t="str">
        <f>_xll.BDP("846694AF Muni","MATURITY")</f>
        <v>6/1/2024</v>
      </c>
      <c r="L554">
        <v>180000</v>
      </c>
      <c r="M554">
        <f>_xll.BDP("846694AF Muni","YIELD_ON_ISSUE_DATE")</f>
        <v>2.1</v>
      </c>
      <c r="N554">
        <f>_xll.BDP("846694AF Muni","YTW_SPREAD_TO_MATURITY_AT_ISSU")</f>
        <v>4.7944641535030197</v>
      </c>
      <c r="O554" t="str">
        <f>_xll.BDP("846694AF Muni","BVAL_MID_YTM")</f>
        <v>#N/A Authorization</v>
      </c>
      <c r="P554" t="str">
        <f>_xll.BDP("846694AF Muni","MUNI_TAX_PROV")</f>
        <v>FED BQ/ST TAX-EXEMPT</v>
      </c>
      <c r="Q554" t="str">
        <f>_xll.BDP("846694AF Muni","MUNI_FED_TAX")</f>
        <v>N</v>
      </c>
      <c r="R554" t="str">
        <f>_xll.BDP("846694AF Muni","MUNI_MSRB_VOLUME")</f>
        <v>#N/A N/A</v>
      </c>
      <c r="S554" t="str">
        <f>_xll.BDP("846694AF Muni","BB_COMPOSITE")</f>
        <v>#N/A N/A</v>
      </c>
      <c r="T554">
        <f>_xll.BDP("846694AF Muni","LQA_LIQUIDITY_SCORE")</f>
        <v>65</v>
      </c>
    </row>
    <row r="555" spans="1:20" x14ac:dyDescent="0.25">
      <c r="A555" t="str">
        <f>_xll.BDP("846694AH Muni","ID_CUSIP")</f>
        <v>846694AH0</v>
      </c>
      <c r="B555" t="s">
        <v>229</v>
      </c>
      <c r="C555" t="str">
        <f>_xll.BDP("846694AH Muni","INSURANCE_STATUS")</f>
        <v>N</v>
      </c>
      <c r="D555" t="str">
        <f>_xll.BDP("846694AH Muni","STATE_CODE")</f>
        <v>TN</v>
      </c>
      <c r="E555" t="str">
        <f>_xll.BDP("846694AH Muni","COUNTY_LOCATION_ISSUER")</f>
        <v>#N/A Field Not Applicable</v>
      </c>
      <c r="F555">
        <f>_xll.BDP("846694AH Muni","DUR_ADJ_MID")</f>
        <v>3.6459433080529275</v>
      </c>
      <c r="G555">
        <f>_xll.BDP("846694AH Muni","SPREAD_AT_ISSUANCE_TO_WORST")</f>
        <v>-4.6091563460245677</v>
      </c>
      <c r="H555" t="str">
        <f>_xll.BDP("846694AH Muni","ISSUE_DT")</f>
        <v>3/30/2017</v>
      </c>
      <c r="I555" t="str">
        <f>_xll.BDS("846694AH Muni","MUNI_PURPOSE_SCHED", "aggregate=y")</f>
        <v>WATER UTILITY IMPS. SEWER IMPS.</v>
      </c>
      <c r="J555">
        <f>_xll.BDP("846694AH Muni","CPN")</f>
        <v>2.2000000000000002</v>
      </c>
      <c r="K555" t="str">
        <f>_xll.BDP("846694AH Muni","MATURITY")</f>
        <v>6/1/2026</v>
      </c>
      <c r="L555">
        <v>190000</v>
      </c>
      <c r="M555">
        <f>_xll.BDP("846694AH Muni","YIELD_ON_ISSUE_DATE")</f>
        <v>2.3000000000000003</v>
      </c>
      <c r="N555">
        <f>_xll.BDP("846694AH Muni","YTW_SPREAD_TO_MATURITY_AT_ISSU")</f>
        <v>-4.6091563460245677</v>
      </c>
      <c r="O555" t="str">
        <f>_xll.BDP("846694AH Muni","BVAL_MID_YTM")</f>
        <v>#N/A Authorization</v>
      </c>
      <c r="P555" t="str">
        <f>_xll.BDP("846694AH Muni","MUNI_TAX_PROV")</f>
        <v>FED BQ/ST TAX-EXEMPT</v>
      </c>
      <c r="Q555" t="str">
        <f>_xll.BDP("846694AH Muni","MUNI_FED_TAX")</f>
        <v>N</v>
      </c>
      <c r="R555" t="str">
        <f>_xll.BDP("846694AH Muni","MUNI_MSRB_VOLUME")</f>
        <v>#N/A N/A</v>
      </c>
      <c r="S555" t="str">
        <f>_xll.BDP("846694AH Muni","BB_COMPOSITE")</f>
        <v>#N/A N/A</v>
      </c>
      <c r="T555">
        <f>_xll.BDP("846694AH Muni","LQA_LIQUIDITY_SCORE")</f>
        <v>39</v>
      </c>
    </row>
    <row r="556" spans="1:20" x14ac:dyDescent="0.25">
      <c r="A556" t="str">
        <f>_xll.BDP("752274AF Muni","ID_CUSIP")</f>
        <v>752274AF7</v>
      </c>
      <c r="B556" t="s">
        <v>230</v>
      </c>
      <c r="C556" t="str">
        <f>_xll.BDP("752274AF Muni","INSURANCE_STATUS")</f>
        <v>N</v>
      </c>
      <c r="D556" t="str">
        <f>_xll.BDP("752274AF Muni","STATE_CODE")</f>
        <v>SD</v>
      </c>
      <c r="E556" t="str">
        <f>_xll.BDP("752274AF Muni","COUNTY_LOCATION_ISSUER")</f>
        <v>Charles Mix, SD</v>
      </c>
      <c r="F556">
        <f>_xll.BDP("752274AF Muni","DUR_ADJ_MID")</f>
        <v>0.32896901652207855</v>
      </c>
      <c r="G556">
        <f>_xll.BDP("752274AF Muni","SPREAD_AT_ISSUANCE_TO_WORST")</f>
        <v>35.622249956649867</v>
      </c>
      <c r="H556" t="str">
        <f>_xll.BDP("752274AF Muni","ISSUE_DT")</f>
        <v>9/28/2017</v>
      </c>
      <c r="I556" t="str">
        <f>_xll.BDS("752274AF Muni","MUNI_PURPOSE_SCHED", "aggregate=y")</f>
        <v>WATER UTILITY IMPS.</v>
      </c>
      <c r="J556">
        <f>_xll.BDP("752274AF Muni","CPN")</f>
        <v>2</v>
      </c>
      <c r="K556" t="str">
        <f>_xll.BDP("752274AF Muni","MATURITY")</f>
        <v>12/1/2022</v>
      </c>
      <c r="L556">
        <v>315000</v>
      </c>
      <c r="M556">
        <f>_xll.BDP("752274AF Muni","YIELD_ON_ISSUE_DATE")</f>
        <v>1.6</v>
      </c>
      <c r="N556">
        <f>_xll.BDP("752274AF Muni","YTW_SPREAD_TO_MATURITY_AT_ISSU")</f>
        <v>35.622249956649867</v>
      </c>
      <c r="O556" t="str">
        <f>_xll.BDP("752274AF Muni","BVAL_MID_YTM")</f>
        <v>#N/A Authorization</v>
      </c>
      <c r="P556" t="str">
        <f>_xll.BDP("752274AF Muni","MUNI_TAX_PROV")</f>
        <v>FED BQ/ST TAX-EXEMPT</v>
      </c>
      <c r="Q556" t="str">
        <f>_xll.BDP("752274AF Muni","MUNI_FED_TAX")</f>
        <v>N</v>
      </c>
      <c r="R556" t="str">
        <f>_xll.BDP("752274AF Muni","MUNI_MSRB_VOLUME")</f>
        <v>#N/A N/A</v>
      </c>
      <c r="S556" t="str">
        <f>_xll.BDP("752274AF Muni","BB_COMPOSITE")</f>
        <v>#N/A N/A</v>
      </c>
      <c r="T556">
        <f>_xll.BDP("752274AF Muni","LQA_LIQUIDITY_SCORE")</f>
        <v>97</v>
      </c>
    </row>
    <row r="557" spans="1:20" x14ac:dyDescent="0.25">
      <c r="A557" t="str">
        <f>_xll.BDP("752274AH Muni","ID_CUSIP")</f>
        <v>752274AH3</v>
      </c>
      <c r="B557" t="s">
        <v>230</v>
      </c>
      <c r="C557" t="str">
        <f>_xll.BDP("752274AH Muni","INSURANCE_STATUS")</f>
        <v>N</v>
      </c>
      <c r="D557" t="str">
        <f>_xll.BDP("752274AH Muni","STATE_CODE")</f>
        <v>SD</v>
      </c>
      <c r="E557" t="str">
        <f>_xll.BDP("752274AH Muni","COUNTY_LOCATION_ISSUER")</f>
        <v>Charles Mix, SD</v>
      </c>
      <c r="F557">
        <f>_xll.BDP("752274AH Muni","DUR_ADJ_MID")</f>
        <v>2.2557372129372975</v>
      </c>
      <c r="G557">
        <f>_xll.BDP("752274AH Muni","SPREAD_AT_ISSUANCE_TO_WORST")</f>
        <v>36.688458490436361</v>
      </c>
      <c r="H557" t="str">
        <f>_xll.BDP("752274AH Muni","ISSUE_DT")</f>
        <v>9/28/2017</v>
      </c>
      <c r="I557" t="str">
        <f>_xll.BDS("752274AH Muni","MUNI_PURPOSE_SCHED", "aggregate=y")</f>
        <v>WATER UTILITY IMPS.</v>
      </c>
      <c r="J557">
        <f>_xll.BDP("752274AH Muni","CPN")</f>
        <v>2</v>
      </c>
      <c r="K557" t="str">
        <f>_xll.BDP("752274AH Muni","MATURITY")</f>
        <v>12/1/2024</v>
      </c>
      <c r="L557">
        <v>325000</v>
      </c>
      <c r="M557">
        <f>_xll.BDP("752274AH Muni","YIELD_ON_ISSUE_DATE")</f>
        <v>1.9000000000000001</v>
      </c>
      <c r="N557">
        <f>_xll.BDP("752274AH Muni","YTW_SPREAD_TO_MATURITY_AT_ISSU")</f>
        <v>36.688458490436361</v>
      </c>
      <c r="O557" t="str">
        <f>_xll.BDP("752274AH Muni","BVAL_MID_YTM")</f>
        <v>#N/A Authorization</v>
      </c>
      <c r="P557" t="str">
        <f>_xll.BDP("752274AH Muni","MUNI_TAX_PROV")</f>
        <v>FED BQ/ST TAX-EXEMPT</v>
      </c>
      <c r="Q557" t="str">
        <f>_xll.BDP("752274AH Muni","MUNI_FED_TAX")</f>
        <v>N</v>
      </c>
      <c r="R557" t="str">
        <f>_xll.BDP("752274AH Muni","MUNI_MSRB_VOLUME")</f>
        <v>#N/A N/A</v>
      </c>
      <c r="S557" t="str">
        <f>_xll.BDP("752274AH Muni","BB_COMPOSITE")</f>
        <v>#N/A N/A</v>
      </c>
      <c r="T557">
        <f>_xll.BDP("752274AH Muni","LQA_LIQUIDITY_SCORE")</f>
        <v>71</v>
      </c>
    </row>
    <row r="558" spans="1:20" x14ac:dyDescent="0.25">
      <c r="A558" t="str">
        <f>_xll.BDP("847184UM Muni","ID_CUSIP")</f>
        <v>847184UM8</v>
      </c>
      <c r="B558" t="s">
        <v>231</v>
      </c>
      <c r="C558" t="str">
        <f>_xll.BDP("847184UM Muni","INSURANCE_STATUS")</f>
        <v>N</v>
      </c>
      <c r="D558" t="str">
        <f>_xll.BDP("847184UM Muni","STATE_CODE")</f>
        <v>SC</v>
      </c>
      <c r="E558" t="str">
        <f>_xll.BDP("847184UM Muni","COUNTY_LOCATION_ISSUER")</f>
        <v>Spartanburg, SC</v>
      </c>
      <c r="F558">
        <f>_xll.BDP("847184UM Muni","DUR_ADJ_MID")</f>
        <v>2.6710166863091511</v>
      </c>
      <c r="G558">
        <f>_xll.BDP("847184UM Muni","SPREAD_AT_ISSUANCE_TO_WORST")</f>
        <v>15.400477715157844</v>
      </c>
      <c r="H558" t="str">
        <f>_xll.BDP("847184UM Muni","ISSUE_DT")</f>
        <v>8/24/2017</v>
      </c>
      <c r="I558" t="str">
        <f>_xll.BDS("847184UM Muni","MUNI_PURPOSE_SCHED", "aggregate=y")</f>
        <v>WATER UTILITY IMPS. ADVANCE REFUNDING CURRENT REFUNDING</v>
      </c>
      <c r="J558">
        <f>_xll.BDP("847184UM Muni","CPN")</f>
        <v>4</v>
      </c>
      <c r="K558" t="str">
        <f>_xll.BDP("847184UM Muni","MATURITY")</f>
        <v>6/1/2025</v>
      </c>
      <c r="L558">
        <v>365000</v>
      </c>
      <c r="M558">
        <f>_xll.BDP("847184UM Muni","YIELD_ON_ISSUE_DATE")</f>
        <v>1.77</v>
      </c>
      <c r="N558">
        <f>_xll.BDP("847184UM Muni","YTW_SPREAD_TO_MATURITY_AT_ISSU")</f>
        <v>15.400477715157844</v>
      </c>
      <c r="O558" t="str">
        <f>_xll.BDP("847184UM Muni","BVAL_MID_YTM")</f>
        <v>#N/A Authorization</v>
      </c>
      <c r="P558" t="str">
        <f>_xll.BDP("847184UM Muni","MUNI_TAX_PROV")</f>
        <v>FED &amp; ST TAX-EXEMPT</v>
      </c>
      <c r="Q558" t="str">
        <f>_xll.BDP("847184UM Muni","MUNI_FED_TAX")</f>
        <v>N</v>
      </c>
      <c r="R558" t="str">
        <f>_xll.BDP("847184UM Muni","MUNI_MSRB_VOLUME")</f>
        <v>#N/A N/A</v>
      </c>
      <c r="S558" t="str">
        <f>_xll.BDP("847184UM Muni","BB_COMPOSITE")</f>
        <v>AA</v>
      </c>
      <c r="T558">
        <f>_xll.BDP("847184UM Muni","LQA_LIQUIDITY_SCORE")</f>
        <v>78</v>
      </c>
    </row>
    <row r="559" spans="1:20" x14ac:dyDescent="0.25">
      <c r="A559" t="str">
        <f>_xll.BDP("755417A4 Muni","ID_CUSIP")</f>
        <v>755417A44</v>
      </c>
      <c r="B559" t="s">
        <v>74</v>
      </c>
      <c r="C559" t="str">
        <f>_xll.BDP("755417A4 Muni","INSURANCE_STATUS")</f>
        <v>N</v>
      </c>
      <c r="D559" t="str">
        <f>_xll.BDP("755417A4 Muni","STATE_CODE")</f>
        <v>MA</v>
      </c>
      <c r="E559" t="str">
        <f>_xll.BDP("755417A4 Muni","COUNTY_LOCATION_ISSUER")</f>
        <v>Middlesex, MA</v>
      </c>
      <c r="F559">
        <f>_xll.BDP("755417A4 Muni","DUR_ADJ_MID")</f>
        <v>4.4342711767532306</v>
      </c>
      <c r="G559">
        <f>_xll.BDP("755417A4 Muni","SPREAD_AT_ISSUANCE_TO_WORST")</f>
        <v>-2.8661151065230595</v>
      </c>
      <c r="H559" t="str">
        <f>_xll.BDP("755417A4 Muni","ISSUE_DT")</f>
        <v>6/30/2017</v>
      </c>
      <c r="I559" t="str">
        <f>_xll.BDS("755417A4 Muni","MUNI_PURPOSE_SCHED", "aggregate=y")</f>
        <v>WATER UTILITY IMPS. SEWER IMPS. PUBLIC IMPS.</v>
      </c>
      <c r="J559">
        <f>_xll.BDP("755417A4 Muni","CPN")</f>
        <v>4</v>
      </c>
      <c r="K559" t="str">
        <f>_xll.BDP("755417A4 Muni","MATURITY")</f>
        <v>6/15/2027</v>
      </c>
      <c r="L559">
        <v>445000</v>
      </c>
      <c r="M559">
        <f>_xll.BDP("755417A4 Muni","YIELD_ON_ISSUE_DATE")</f>
        <v>1.86</v>
      </c>
      <c r="N559">
        <f>_xll.BDP("755417A4 Muni","YTW_SPREAD_TO_MATURITY_AT_ISSU")</f>
        <v>-2.8661151065230595</v>
      </c>
      <c r="O559" t="str">
        <f>_xll.BDP("755417A4 Muni","BVAL_MID_YTM")</f>
        <v>#N/A Authorization</v>
      </c>
      <c r="P559" t="str">
        <f>_xll.BDP("755417A4 Muni","MUNI_TAX_PROV")</f>
        <v>FED BQ/ST TAX-EXEMPT</v>
      </c>
      <c r="Q559" t="str">
        <f>_xll.BDP("755417A4 Muni","MUNI_FED_TAX")</f>
        <v>N</v>
      </c>
      <c r="R559">
        <f>_xll.BDP("755417A4 Muni","MUNI_MSRB_VOLUME")</f>
        <v>50000</v>
      </c>
      <c r="S559" t="str">
        <f>_xll.BDP("755417A4 Muni","BB_COMPOSITE")</f>
        <v>#N/A N/A</v>
      </c>
      <c r="T559">
        <f>_xll.BDP("755417A4 Muni","LQA_LIQUIDITY_SCORE")</f>
        <v>67</v>
      </c>
    </row>
    <row r="560" spans="1:20" x14ac:dyDescent="0.25">
      <c r="A560" t="str">
        <f>_xll.BDP("755417ZY Muni","ID_CUSIP")</f>
        <v>755417ZY1</v>
      </c>
      <c r="B560" t="s">
        <v>74</v>
      </c>
      <c r="C560" t="str">
        <f>_xll.BDP("755417ZY Muni","INSURANCE_STATUS")</f>
        <v>N</v>
      </c>
      <c r="D560" t="str">
        <f>_xll.BDP("755417ZY Muni","STATE_CODE")</f>
        <v>MA</v>
      </c>
      <c r="E560" t="str">
        <f>_xll.BDP("755417ZY Muni","COUNTY_LOCATION_ISSUER")</f>
        <v>Middlesex, MA</v>
      </c>
      <c r="F560">
        <f>_xll.BDP("755417ZY Muni","DUR_ADJ_MID")</f>
        <v>0.85445208727983102</v>
      </c>
      <c r="G560">
        <f>_xll.BDP("755417ZY Muni","SPREAD_AT_ISSUANCE_TO_WORST")</f>
        <v>4.7324598610901214</v>
      </c>
      <c r="H560" t="str">
        <f>_xll.BDP("755417ZY Muni","ISSUE_DT")</f>
        <v>6/30/2017</v>
      </c>
      <c r="I560" t="str">
        <f>_xll.BDS("755417ZY Muni","MUNI_PURPOSE_SCHED", "aggregate=y")</f>
        <v>WATER UTILITY IMPS. SEWER IMPS. PUBLIC IMPS.</v>
      </c>
      <c r="J560">
        <f>_xll.BDP("755417ZY Muni","CPN")</f>
        <v>4</v>
      </c>
      <c r="K560" t="str">
        <f>_xll.BDP("755417ZY Muni","MATURITY")</f>
        <v>6/15/2023</v>
      </c>
      <c r="L560">
        <v>715000</v>
      </c>
      <c r="M560">
        <f>_xll.BDP("755417ZY Muni","YIELD_ON_ISSUE_DATE")</f>
        <v>1.4000000000000001</v>
      </c>
      <c r="N560">
        <f>_xll.BDP("755417ZY Muni","YTW_SPREAD_TO_MATURITY_AT_ISSU")</f>
        <v>4.7324598610901214</v>
      </c>
      <c r="O560" t="str">
        <f>_xll.BDP("755417ZY Muni","BVAL_MID_YTM")</f>
        <v>#N/A Authorization</v>
      </c>
      <c r="P560" t="str">
        <f>_xll.BDP("755417ZY Muni","MUNI_TAX_PROV")</f>
        <v>FED BQ/ST TAX-EXEMPT</v>
      </c>
      <c r="Q560" t="str">
        <f>_xll.BDP("755417ZY Muni","MUNI_FED_TAX")</f>
        <v>N</v>
      </c>
      <c r="R560">
        <f>_xll.BDP("755417ZY Muni","MUNI_MSRB_VOLUME")</f>
        <v>110000</v>
      </c>
      <c r="S560" t="str">
        <f>_xll.BDP("755417ZY Muni","BB_COMPOSITE")</f>
        <v>#N/A N/A</v>
      </c>
      <c r="T560">
        <f>_xll.BDP("755417ZY Muni","LQA_LIQUIDITY_SCORE")</f>
        <v>95</v>
      </c>
    </row>
    <row r="561" spans="1:20" x14ac:dyDescent="0.25">
      <c r="A561" t="str">
        <f>_xll.BDP("75686JAG Muni","ID_CUSIP")</f>
        <v>75686JAG6</v>
      </c>
      <c r="B561" t="s">
        <v>157</v>
      </c>
      <c r="C561" t="str">
        <f>_xll.BDP("75686JAG Muni","INSURANCE_STATUS")</f>
        <v>Y</v>
      </c>
      <c r="D561" t="str">
        <f>_xll.BDP("75686JAG Muni","STATE_CODE")</f>
        <v>TX</v>
      </c>
      <c r="E561" t="str">
        <f>_xll.BDP("75686JAG Muni","COUNTY_LOCATION_ISSUER")</f>
        <v>Wichita, TX</v>
      </c>
      <c r="F561">
        <f>_xll.BDP("75686JAG Muni","DUR_ADJ_MID")</f>
        <v>1.5930347547518264</v>
      </c>
      <c r="G561">
        <f>_xll.BDP("75686JAG Muni","SPREAD_AT_ISSUANCE_TO_WORST")</f>
        <v>59.890236935136507</v>
      </c>
      <c r="H561" t="str">
        <f>_xll.BDP("75686JAG Muni","ISSUE_DT")</f>
        <v>6/1/2017</v>
      </c>
      <c r="I561" t="str">
        <f>_xll.BDS("75686JAG Muni","MUNI_PURPOSE_SCHED", "aggregate=y")</f>
        <v>WATER UTILITY IMPS. SEWER IMPS.</v>
      </c>
      <c r="J561">
        <f>_xll.BDP("75686JAG Muni","CPN")</f>
        <v>4</v>
      </c>
      <c r="K561" t="str">
        <f>_xll.BDP("75686JAG Muni","MATURITY")</f>
        <v>4/1/2024</v>
      </c>
      <c r="L561">
        <v>350000</v>
      </c>
      <c r="M561">
        <f>_xll.BDP("75686JAG Muni","YIELD_ON_ISSUE_DATE")</f>
        <v>2.08</v>
      </c>
      <c r="N561">
        <f>_xll.BDP("75686JAG Muni","YTW_SPREAD_TO_MATURITY_AT_ISSU")</f>
        <v>59.890236935136507</v>
      </c>
      <c r="O561" t="str">
        <f>_xll.BDP("75686JAG Muni","BVAL_MID_YTM")</f>
        <v>#N/A Authorization</v>
      </c>
      <c r="P561" t="str">
        <f>_xll.BDP("75686JAG Muni","MUNI_TAX_PROV")</f>
        <v>FED TAX-EXEMPT</v>
      </c>
      <c r="Q561" t="str">
        <f>_xll.BDP("75686JAG Muni","MUNI_FED_TAX")</f>
        <v>N</v>
      </c>
      <c r="R561" t="str">
        <f>_xll.BDP("75686JAG Muni","MUNI_MSRB_VOLUME")</f>
        <v>#N/A N/A</v>
      </c>
      <c r="S561" t="str">
        <f>_xll.BDP("75686JAG Muni","BB_COMPOSITE")</f>
        <v>#N/A N/A</v>
      </c>
      <c r="T561">
        <f>_xll.BDP("75686JAG Muni","LQA_LIQUIDITY_SCORE")</f>
        <v>76</v>
      </c>
    </row>
    <row r="562" spans="1:20" x14ac:dyDescent="0.25">
      <c r="A562" t="str">
        <f>_xll.BDP("75686JAH Muni","ID_CUSIP")</f>
        <v>75686JAH4</v>
      </c>
      <c r="B562" t="s">
        <v>157</v>
      </c>
      <c r="C562" t="str">
        <f>_xll.BDP("75686JAH Muni","INSURANCE_STATUS")</f>
        <v>Y</v>
      </c>
      <c r="D562" t="str">
        <f>_xll.BDP("75686JAH Muni","STATE_CODE")</f>
        <v>TX</v>
      </c>
      <c r="E562" t="str">
        <f>_xll.BDP("75686JAH Muni","COUNTY_LOCATION_ISSUER")</f>
        <v>Wichita, TX</v>
      </c>
      <c r="F562">
        <f>_xll.BDP("75686JAH Muni","DUR_ADJ_MID")</f>
        <v>2.4714140152171979</v>
      </c>
      <c r="G562">
        <f>_xll.BDP("75686JAH Muni","SPREAD_AT_ISSUANCE_TO_WORST")</f>
        <v>64.058981787767451</v>
      </c>
      <c r="H562" t="str">
        <f>_xll.BDP("75686JAH Muni","ISSUE_DT")</f>
        <v>6/1/2017</v>
      </c>
      <c r="I562" t="str">
        <f>_xll.BDS("75686JAH Muni","MUNI_PURPOSE_SCHED", "aggregate=y")</f>
        <v>WATER UTILITY IMPS. SEWER IMPS.</v>
      </c>
      <c r="J562">
        <f>_xll.BDP("75686JAH Muni","CPN")</f>
        <v>5</v>
      </c>
      <c r="K562" t="str">
        <f>_xll.BDP("75686JAH Muni","MATURITY")</f>
        <v>4/1/2025</v>
      </c>
      <c r="L562">
        <v>360000</v>
      </c>
      <c r="M562">
        <f>_xll.BDP("75686JAH Muni","YIELD_ON_ISSUE_DATE")</f>
        <v>2.2800000000000002</v>
      </c>
      <c r="N562">
        <f>_xll.BDP("75686JAH Muni","YTW_SPREAD_TO_MATURITY_AT_ISSU")</f>
        <v>64.058981787767451</v>
      </c>
      <c r="O562" t="str">
        <f>_xll.BDP("75686JAH Muni","BVAL_MID_YTM")</f>
        <v>#N/A Authorization</v>
      </c>
      <c r="P562" t="str">
        <f>_xll.BDP("75686JAH Muni","MUNI_TAX_PROV")</f>
        <v>FED TAX-EXEMPT</v>
      </c>
      <c r="Q562" t="str">
        <f>_xll.BDP("75686JAH Muni","MUNI_FED_TAX")</f>
        <v>N</v>
      </c>
      <c r="R562" t="str">
        <f>_xll.BDP("75686JAH Muni","MUNI_MSRB_VOLUME")</f>
        <v>#N/A N/A</v>
      </c>
      <c r="S562" t="str">
        <f>_xll.BDP("75686JAH Muni","BB_COMPOSITE")</f>
        <v>#N/A N/A</v>
      </c>
      <c r="T562">
        <f>_xll.BDP("75686JAH Muni","LQA_LIQUIDITY_SCORE")</f>
        <v>64</v>
      </c>
    </row>
    <row r="563" spans="1:20" x14ac:dyDescent="0.25">
      <c r="A563" t="str">
        <f>_xll.BDP("75686JAJ Muni","ID_CUSIP")</f>
        <v>75686JAJ0</v>
      </c>
      <c r="B563" t="s">
        <v>157</v>
      </c>
      <c r="C563" t="str">
        <f>_xll.BDP("75686JAJ Muni","INSURANCE_STATUS")</f>
        <v>Y</v>
      </c>
      <c r="D563" t="str">
        <f>_xll.BDP("75686JAJ Muni","STATE_CODE")</f>
        <v>TX</v>
      </c>
      <c r="E563" t="str">
        <f>_xll.BDP("75686JAJ Muni","COUNTY_LOCATION_ISSUER")</f>
        <v>Wichita, TX</v>
      </c>
      <c r="F563">
        <f>_xll.BDP("75686JAJ Muni","DUR_ADJ_MID")</f>
        <v>3.3245492146564204</v>
      </c>
      <c r="G563">
        <f>_xll.BDP("75686JAJ Muni","SPREAD_AT_ISSUANCE_TO_WORST")</f>
        <v>74.529153579789508</v>
      </c>
      <c r="H563" t="str">
        <f>_xll.BDP("75686JAJ Muni","ISSUE_DT")</f>
        <v>6/1/2017</v>
      </c>
      <c r="I563" t="str">
        <f>_xll.BDS("75686JAJ Muni","MUNI_PURPOSE_SCHED", "aggregate=y")</f>
        <v>WATER UTILITY IMPS. SEWER IMPS.</v>
      </c>
      <c r="J563">
        <f>_xll.BDP("75686JAJ Muni","CPN")</f>
        <v>5</v>
      </c>
      <c r="K563" t="str">
        <f>_xll.BDP("75686JAJ Muni","MATURITY")</f>
        <v>4/1/2026</v>
      </c>
      <c r="L563">
        <v>380000</v>
      </c>
      <c r="M563">
        <f>_xll.BDP("75686JAJ Muni","YIELD_ON_ISSUE_DATE")</f>
        <v>2.5300000000000002</v>
      </c>
      <c r="N563">
        <f>_xll.BDP("75686JAJ Muni","YTW_SPREAD_TO_MATURITY_AT_ISSU")</f>
        <v>74.529153579789508</v>
      </c>
      <c r="O563" t="str">
        <f>_xll.BDP("75686JAJ Muni","BVAL_MID_YTM")</f>
        <v>#N/A Authorization</v>
      </c>
      <c r="P563" t="str">
        <f>_xll.BDP("75686JAJ Muni","MUNI_TAX_PROV")</f>
        <v>FED TAX-EXEMPT</v>
      </c>
      <c r="Q563" t="str">
        <f>_xll.BDP("75686JAJ Muni","MUNI_FED_TAX")</f>
        <v>N</v>
      </c>
      <c r="R563" t="str">
        <f>_xll.BDP("75686JAJ Muni","MUNI_MSRB_VOLUME")</f>
        <v>#N/A N/A</v>
      </c>
      <c r="S563" t="str">
        <f>_xll.BDP("75686JAJ Muni","BB_COMPOSITE")</f>
        <v>#N/A N/A</v>
      </c>
      <c r="T563">
        <f>_xll.BDP("75686JAJ Muni","LQA_LIQUIDITY_SCORE")</f>
        <v>55</v>
      </c>
    </row>
    <row r="564" spans="1:20" x14ac:dyDescent="0.25">
      <c r="A564" t="str">
        <f>_xll.BDP("850777GS Muni","ID_CUSIP")</f>
        <v>850777GS6</v>
      </c>
      <c r="B564" t="s">
        <v>90</v>
      </c>
      <c r="C564" t="str">
        <f>_xll.BDP("850777GS Muni","INSURANCE_STATUS")</f>
        <v>N</v>
      </c>
      <c r="D564" t="str">
        <f>_xll.BDP("850777GS Muni","STATE_CODE")</f>
        <v>MA</v>
      </c>
      <c r="E564" t="str">
        <f>_xll.BDP("850777GS Muni","COUNTY_LOCATION_ISSUER")</f>
        <v>Hampden, MA</v>
      </c>
      <c r="F564">
        <f>_xll.BDP("850777GS Muni","DUR_ADJ_MID")</f>
        <v>3.367559193692292</v>
      </c>
      <c r="G564">
        <f>_xll.BDP("850777GS Muni","SPREAD_AT_ISSUANCE_TO_WORST")</f>
        <v>14.517565925508592</v>
      </c>
      <c r="H564" t="str">
        <f>_xll.BDP("850777GS Muni","ISSUE_DT")</f>
        <v>7/14/2017</v>
      </c>
      <c r="I564" t="str">
        <f>_xll.BDS("850777GS Muni","MUNI_PURPOSE_SCHED", "aggregate=y")</f>
        <v>WATER UTILITY IMPS. SEWER IMPS.</v>
      </c>
      <c r="J564">
        <f>_xll.BDP("850777GS Muni","CPN")</f>
        <v>5</v>
      </c>
      <c r="K564" t="str">
        <f>_xll.BDP("850777GS Muni","MATURITY")</f>
        <v>4/15/2026</v>
      </c>
      <c r="L564">
        <v>1055000</v>
      </c>
      <c r="M564">
        <f>_xll.BDP("850777GS Muni","YIELD_ON_ISSUE_DATE")</f>
        <v>1.9100000000000001</v>
      </c>
      <c r="N564">
        <f>_xll.BDP("850777GS Muni","YTW_SPREAD_TO_MATURITY_AT_ISSU")</f>
        <v>14.517565925508592</v>
      </c>
      <c r="O564" t="str">
        <f>_xll.BDP("850777GS Muni","BVAL_MID_YTM")</f>
        <v>#N/A Authorization</v>
      </c>
      <c r="P564" t="str">
        <f>_xll.BDP("850777GS Muni","MUNI_TAX_PROV")</f>
        <v>FED &amp; ST TAX-EXEMPT</v>
      </c>
      <c r="Q564" t="str">
        <f>_xll.BDP("850777GS Muni","MUNI_FED_TAX")</f>
        <v>N</v>
      </c>
      <c r="R564" t="str">
        <f>_xll.BDP("850777GS Muni","MUNI_MSRB_VOLUME")</f>
        <v>#N/A N/A</v>
      </c>
      <c r="S564" t="str">
        <f>_xll.BDP("850777GS Muni","BB_COMPOSITE")</f>
        <v>#N/A N/A</v>
      </c>
      <c r="T564">
        <f>_xll.BDP("850777GS Muni","LQA_LIQUIDITY_SCORE")</f>
        <v>78</v>
      </c>
    </row>
    <row r="565" spans="1:20" x14ac:dyDescent="0.25">
      <c r="A565" t="str">
        <f>_xll.BDP("851830HS Muni","ID_CUSIP")</f>
        <v>851830HS1</v>
      </c>
      <c r="B565" t="s">
        <v>203</v>
      </c>
      <c r="C565" t="str">
        <f>_xll.BDP("851830HS Muni","INSURANCE_STATUS")</f>
        <v>Y</v>
      </c>
      <c r="D565" t="str">
        <f>_xll.BDP("851830HS Muni","STATE_CODE")</f>
        <v>TX</v>
      </c>
      <c r="E565" t="str">
        <f>_xll.BDP("851830HS Muni","COUNTY_LOCATION_ISSUER")</f>
        <v>Parker, TX</v>
      </c>
      <c r="F565">
        <f>_xll.BDP("851830HS Muni","DUR_ADJ_MID")</f>
        <v>1.4789101183559741</v>
      </c>
      <c r="G565">
        <f>_xll.BDP("851830HS Muni","SPREAD_AT_ISSUANCE_TO_WORST")</f>
        <v>56.836291002598131</v>
      </c>
      <c r="H565" t="str">
        <f>_xll.BDP("851830HS Muni","ISSUE_DT")</f>
        <v>4/15/2017</v>
      </c>
      <c r="I565" t="str">
        <f>_xll.BDS("851830HS Muni","MUNI_PURPOSE_SCHED", "aggregate=y")</f>
        <v>WATER UTILITY IMPS.</v>
      </c>
      <c r="J565">
        <f>_xll.BDP("851830HS Muni","CPN")</f>
        <v>3</v>
      </c>
      <c r="K565" t="str">
        <f>_xll.BDP("851830HS Muni","MATURITY")</f>
        <v>2/15/2024</v>
      </c>
      <c r="L565">
        <v>40000</v>
      </c>
      <c r="M565">
        <f>_xll.BDP("851830HS Muni","YIELD_ON_ISSUE_DATE")</f>
        <v>2.25</v>
      </c>
      <c r="N565">
        <f>_xll.BDP("851830HS Muni","YTW_SPREAD_TO_MATURITY_AT_ISSU")</f>
        <v>56.836291002598131</v>
      </c>
      <c r="O565" t="str">
        <f>_xll.BDP("851830HS Muni","BVAL_MID_YTM")</f>
        <v>#N/A Authorization</v>
      </c>
      <c r="P565" t="str">
        <f>_xll.BDP("851830HS Muni","MUNI_TAX_PROV")</f>
        <v>FED BQ</v>
      </c>
      <c r="Q565" t="str">
        <f>_xll.BDP("851830HS Muni","MUNI_FED_TAX")</f>
        <v>N</v>
      </c>
      <c r="R565" t="str">
        <f>_xll.BDP("851830HS Muni","MUNI_MSRB_VOLUME")</f>
        <v>#N/A N/A</v>
      </c>
      <c r="S565" t="str">
        <f>_xll.BDP("851830HS Muni","BB_COMPOSITE")</f>
        <v>A+</v>
      </c>
      <c r="T565">
        <f>_xll.BDP("851830HS Muni","LQA_LIQUIDITY_SCORE")</f>
        <v>82</v>
      </c>
    </row>
    <row r="566" spans="1:20" x14ac:dyDescent="0.25">
      <c r="A566" t="str">
        <f>_xll.BDP("751140AG Muni","ID_CUSIP")</f>
        <v>751140AG9</v>
      </c>
      <c r="B566" t="s">
        <v>208</v>
      </c>
      <c r="C566" t="str">
        <f>_xll.BDP("751140AG Muni","INSURANCE_STATUS")</f>
        <v>N</v>
      </c>
      <c r="D566" t="str">
        <f>_xll.BDP("751140AG Muni","STATE_CODE")</f>
        <v>MO</v>
      </c>
      <c r="E566" t="str">
        <f>_xll.BDP("751140AG Muni","COUNTY_LOCATION_ISSUER")</f>
        <v>Marion, MO</v>
      </c>
      <c r="F566">
        <f>_xll.BDP("751140AG Muni","DUR_ADJ_MID")</f>
        <v>1.5071164165750359</v>
      </c>
      <c r="G566">
        <f>_xll.BDP("751140AG Muni","SPREAD_AT_ISSUANCE_TO_WORST")</f>
        <v>82.732612512341589</v>
      </c>
      <c r="H566" t="str">
        <f>_xll.BDP("751140AG Muni","ISSUE_DT")</f>
        <v>4/27/2017</v>
      </c>
      <c r="I566" t="str">
        <f>_xll.BDS("751140AG Muni","MUNI_PURPOSE_SCHED", "aggregate=y")</f>
        <v>WATER UTILITY IMPS. REFUNDING BONDS</v>
      </c>
      <c r="J566">
        <f>_xll.BDP("751140AG Muni","CPN")</f>
        <v>4</v>
      </c>
      <c r="K566" t="str">
        <f>_xll.BDP("751140AG Muni","MATURITY")</f>
        <v>3/1/2024</v>
      </c>
      <c r="L566">
        <v>495000</v>
      </c>
      <c r="M566">
        <f>_xll.BDP("751140AG Muni","YIELD_ON_ISSUE_DATE")</f>
        <v>2.4500000000000002</v>
      </c>
      <c r="N566">
        <f>_xll.BDP("751140AG Muni","YTW_SPREAD_TO_MATURITY_AT_ISSU")</f>
        <v>82.732612512341589</v>
      </c>
      <c r="O566" t="str">
        <f>_xll.BDP("751140AG Muni","BVAL_MID_YTM")</f>
        <v>#N/A Authorization</v>
      </c>
      <c r="P566" t="str">
        <f>_xll.BDP("751140AG Muni","MUNI_TAX_PROV")</f>
        <v>FED &amp; ST TAX-EXEMPT</v>
      </c>
      <c r="Q566" t="str">
        <f>_xll.BDP("751140AG Muni","MUNI_FED_TAX")</f>
        <v>N</v>
      </c>
      <c r="R566" t="str">
        <f>_xll.BDP("751140AG Muni","MUNI_MSRB_VOLUME")</f>
        <v>#N/A N/A</v>
      </c>
      <c r="S566" t="str">
        <f>_xll.BDP("751140AG Muni","BB_COMPOSITE")</f>
        <v>#N/A N/A</v>
      </c>
      <c r="T566">
        <f>_xll.BDP("751140AG Muni","LQA_LIQUIDITY_SCORE")</f>
        <v>85</v>
      </c>
    </row>
    <row r="567" spans="1:20" x14ac:dyDescent="0.25">
      <c r="A567" t="str">
        <f>_xll.BDP("751140AH Muni","ID_CUSIP")</f>
        <v>751140AH7</v>
      </c>
      <c r="B567" t="s">
        <v>208</v>
      </c>
      <c r="C567" t="str">
        <f>_xll.BDP("751140AH Muni","INSURANCE_STATUS")</f>
        <v>N</v>
      </c>
      <c r="D567" t="str">
        <f>_xll.BDP("751140AH Muni","STATE_CODE")</f>
        <v>MO</v>
      </c>
      <c r="E567" t="str">
        <f>_xll.BDP("751140AH Muni","COUNTY_LOCATION_ISSUER")</f>
        <v>Marion, MO</v>
      </c>
      <c r="F567">
        <f>_xll.BDP("751140AH Muni","DUR_ADJ_MID")</f>
        <v>2.4127900347580531</v>
      </c>
      <c r="G567">
        <f>_xll.BDP("751140AH Muni","SPREAD_AT_ISSUANCE_TO_WORST")</f>
        <v>86.652339600808844</v>
      </c>
      <c r="H567" t="str">
        <f>_xll.BDP("751140AH Muni","ISSUE_DT")</f>
        <v>4/27/2017</v>
      </c>
      <c r="I567" t="str">
        <f>_xll.BDS("751140AH Muni","MUNI_PURPOSE_SCHED", "aggregate=y")</f>
        <v>WATER UTILITY IMPS. REFUNDING BONDS</v>
      </c>
      <c r="J567">
        <f>_xll.BDP("751140AH Muni","CPN")</f>
        <v>4</v>
      </c>
      <c r="K567" t="str">
        <f>_xll.BDP("751140AH Muni","MATURITY")</f>
        <v>3/1/2025</v>
      </c>
      <c r="L567">
        <v>510000</v>
      </c>
      <c r="M567">
        <f>_xll.BDP("751140AH Muni","YIELD_ON_ISSUE_DATE")</f>
        <v>2.65</v>
      </c>
      <c r="N567">
        <f>_xll.BDP("751140AH Muni","YTW_SPREAD_TO_MATURITY_AT_ISSU")</f>
        <v>86.652339600808844</v>
      </c>
      <c r="O567" t="str">
        <f>_xll.BDP("751140AH Muni","BVAL_MID_YTM")</f>
        <v>#N/A Authorization</v>
      </c>
      <c r="P567" t="str">
        <f>_xll.BDP("751140AH Muni","MUNI_TAX_PROV")</f>
        <v>FED &amp; ST TAX-EXEMPT</v>
      </c>
      <c r="Q567" t="str">
        <f>_xll.BDP("751140AH Muni","MUNI_FED_TAX")</f>
        <v>N</v>
      </c>
      <c r="R567" t="str">
        <f>_xll.BDP("751140AH Muni","MUNI_MSRB_VOLUME")</f>
        <v>#N/A N/A</v>
      </c>
      <c r="S567" t="str">
        <f>_xll.BDP("751140AH Muni","BB_COMPOSITE")</f>
        <v>#N/A N/A</v>
      </c>
      <c r="T567">
        <f>_xll.BDP("751140AH Muni","LQA_LIQUIDITY_SCORE")</f>
        <v>73</v>
      </c>
    </row>
    <row r="568" spans="1:20" x14ac:dyDescent="0.25">
      <c r="A568" t="str">
        <f>_xll.BDP("751140AK Muni","ID_CUSIP")</f>
        <v>751140AK0</v>
      </c>
      <c r="B568" t="s">
        <v>208</v>
      </c>
      <c r="C568" t="str">
        <f>_xll.BDP("751140AK Muni","INSURANCE_STATUS")</f>
        <v>N</v>
      </c>
      <c r="D568" t="str">
        <f>_xll.BDP("751140AK Muni","STATE_CODE")</f>
        <v>MO</v>
      </c>
      <c r="E568" t="str">
        <f>_xll.BDP("751140AK Muni","COUNTY_LOCATION_ISSUER")</f>
        <v>Marion, MO</v>
      </c>
      <c r="F568">
        <f>_xll.BDP("751140AK Muni","DUR_ADJ_MID")</f>
        <v>4.2122433355389708</v>
      </c>
      <c r="G568">
        <f>_xll.BDP("751140AK Muni","SPREAD_AT_ISSUANCE_TO_WORST")</f>
        <v>86.239307020155834</v>
      </c>
      <c r="H568" t="str">
        <f>_xll.BDP("751140AK Muni","ISSUE_DT")</f>
        <v>4/27/2017</v>
      </c>
      <c r="I568" t="str">
        <f>_xll.BDS("751140AK Muni","MUNI_PURPOSE_SCHED", "aggregate=y")</f>
        <v>WATER UTILITY IMPS. REFUNDING BONDS</v>
      </c>
      <c r="J568">
        <f>_xll.BDP("751140AK Muni","CPN")</f>
        <v>3</v>
      </c>
      <c r="K568" t="str">
        <f>_xll.BDP("751140AK Muni","MATURITY")</f>
        <v>3/1/2027</v>
      </c>
      <c r="L568">
        <v>555000</v>
      </c>
      <c r="M568">
        <f>_xll.BDP("751140AK Muni","YIELD_ON_ISSUE_DATE")</f>
        <v>2.91</v>
      </c>
      <c r="N568">
        <f>_xll.BDP("751140AK Muni","YTW_SPREAD_TO_MATURITY_AT_ISSU")</f>
        <v>86.239307020155834</v>
      </c>
      <c r="O568" t="str">
        <f>_xll.BDP("751140AK Muni","BVAL_MID_YTM")</f>
        <v>#N/A Authorization</v>
      </c>
      <c r="P568" t="str">
        <f>_xll.BDP("751140AK Muni","MUNI_TAX_PROV")</f>
        <v>FED &amp; ST TAX-EXEMPT</v>
      </c>
      <c r="Q568" t="str">
        <f>_xll.BDP("751140AK Muni","MUNI_FED_TAX")</f>
        <v>N</v>
      </c>
      <c r="R568" t="str">
        <f>_xll.BDP("751140AK Muni","MUNI_MSRB_VOLUME")</f>
        <v>#N/A N/A</v>
      </c>
      <c r="S568" t="str">
        <f>_xll.BDP("751140AK Muni","BB_COMPOSITE")</f>
        <v>#N/A N/A</v>
      </c>
      <c r="T568">
        <f>_xll.BDP("751140AK Muni","LQA_LIQUIDITY_SCORE")</f>
        <v>45</v>
      </c>
    </row>
    <row r="569" spans="1:20" x14ac:dyDescent="0.25">
      <c r="A569" t="str">
        <f>_xll.BDP("752111MN Muni","ID_CUSIP")</f>
        <v>752111MN1</v>
      </c>
      <c r="B569" t="s">
        <v>228</v>
      </c>
      <c r="C569" t="str">
        <f>_xll.BDP("752111MN Muni","INSURANCE_STATUS")</f>
        <v>N</v>
      </c>
      <c r="D569" t="str">
        <f>_xll.BDP("752111MN Muni","STATE_CODE")</f>
        <v>CA</v>
      </c>
      <c r="E569" t="str">
        <f>_xll.BDP("752111MN Muni","COUNTY_LOCATION_ISSUER")</f>
        <v>Riverside, CA</v>
      </c>
      <c r="F569">
        <f>_xll.BDP("752111MN Muni","DUR_ADJ_MID")</f>
        <v>0.9782963357805321</v>
      </c>
      <c r="G569">
        <f>_xll.BDP("752111MN Muni","SPREAD_AT_ISSUANCE_TO_WORST")</f>
        <v>-7.3145342465753327</v>
      </c>
      <c r="H569" t="str">
        <f>_xll.BDP("752111MN Muni","ISSUE_DT")</f>
        <v>12/1/2017</v>
      </c>
      <c r="I569" t="str">
        <f>_xll.BDS("752111MN Muni","MUNI_PURPOSE_SCHED", "aggregate=y")</f>
        <v>CURRENT REFUNDING SWAP TERMINATION WATER UTILITY IMPS.</v>
      </c>
      <c r="J569">
        <f>_xll.BDP("752111MN Muni","CPN")</f>
        <v>5</v>
      </c>
      <c r="K569" t="str">
        <f>_xll.BDP("752111MN Muni","MATURITY")</f>
        <v>8/1/2023</v>
      </c>
      <c r="L569">
        <v>1825000</v>
      </c>
      <c r="M569">
        <f>_xll.BDP("752111MN Muni","YIELD_ON_ISSUE_DATE")</f>
        <v>1.53</v>
      </c>
      <c r="N569">
        <f>_xll.BDP("752111MN Muni","YTW_SPREAD_TO_MATURITY_AT_ISSU")</f>
        <v>-7.3145342465753327</v>
      </c>
      <c r="O569" t="str">
        <f>_xll.BDP("752111MN Muni","BVAL_MID_YTM")</f>
        <v>#N/A Authorization</v>
      </c>
      <c r="P569" t="str">
        <f>_xll.BDP("752111MN Muni","MUNI_TAX_PROV")</f>
        <v>FED &amp; ST TAX-EXEMPT</v>
      </c>
      <c r="Q569" t="str">
        <f>_xll.BDP("752111MN Muni","MUNI_FED_TAX")</f>
        <v>N</v>
      </c>
      <c r="R569">
        <f>_xll.BDP("752111MN Muni","MUNI_MSRB_VOLUME")</f>
        <v>240000</v>
      </c>
      <c r="S569" t="str">
        <f>_xll.BDP("752111MN Muni","BB_COMPOSITE")</f>
        <v>AAA</v>
      </c>
      <c r="T569">
        <f>_xll.BDP("752111MN Muni","LQA_LIQUIDITY_SCORE")</f>
        <v>83</v>
      </c>
    </row>
    <row r="570" spans="1:20" x14ac:dyDescent="0.25">
      <c r="A570" t="str">
        <f>_xll.BDP("752111MQ Muni","ID_CUSIP")</f>
        <v>752111MQ4</v>
      </c>
      <c r="B570" t="s">
        <v>228</v>
      </c>
      <c r="C570" t="str">
        <f>_xll.BDP("752111MQ Muni","INSURANCE_STATUS")</f>
        <v>N</v>
      </c>
      <c r="D570" t="str">
        <f>_xll.BDP("752111MQ Muni","STATE_CODE")</f>
        <v>CA</v>
      </c>
      <c r="E570" t="str">
        <f>_xll.BDP("752111MQ Muni","COUNTY_LOCATION_ISSUER")</f>
        <v>Riverside, CA</v>
      </c>
      <c r="F570">
        <f>_xll.BDP("752111MQ Muni","DUR_ADJ_MID")</f>
        <v>2.8045875244023506</v>
      </c>
      <c r="G570">
        <f>_xll.BDP("752111MQ Muni","SPREAD_AT_ISSUANCE_TO_WORST")</f>
        <v>-12.263657534246587</v>
      </c>
      <c r="H570" t="str">
        <f>_xll.BDP("752111MQ Muni","ISSUE_DT")</f>
        <v>12/1/2017</v>
      </c>
      <c r="I570" t="str">
        <f>_xll.BDS("752111MQ Muni","MUNI_PURPOSE_SCHED", "aggregate=y")</f>
        <v>CURRENT REFUNDING SWAP TERMINATION WATER UTILITY IMPS.</v>
      </c>
      <c r="J570">
        <f>_xll.BDP("752111MQ Muni","CPN")</f>
        <v>5</v>
      </c>
      <c r="K570" t="str">
        <f>_xll.BDP("752111MQ Muni","MATURITY")</f>
        <v>8/1/2025</v>
      </c>
      <c r="L570">
        <v>2530000</v>
      </c>
      <c r="M570">
        <f>_xll.BDP("752111MQ Muni","YIELD_ON_ISSUE_DATE")</f>
        <v>1.69</v>
      </c>
      <c r="N570">
        <f>_xll.BDP("752111MQ Muni","YTW_SPREAD_TO_MATURITY_AT_ISSU")</f>
        <v>-12.263657534246587</v>
      </c>
      <c r="O570" t="str">
        <f>_xll.BDP("752111MQ Muni","BVAL_MID_YTM")</f>
        <v>#N/A Authorization</v>
      </c>
      <c r="P570" t="str">
        <f>_xll.BDP("752111MQ Muni","MUNI_TAX_PROV")</f>
        <v>FED &amp; ST TAX-EXEMPT</v>
      </c>
      <c r="Q570" t="str">
        <f>_xll.BDP("752111MQ Muni","MUNI_FED_TAX")</f>
        <v>N</v>
      </c>
      <c r="R570">
        <f>_xll.BDP("752111MQ Muni","MUNI_MSRB_VOLUME")</f>
        <v>25000</v>
      </c>
      <c r="S570" t="str">
        <f>_xll.BDP("752111MQ Muni","BB_COMPOSITE")</f>
        <v>AAA</v>
      </c>
      <c r="T570">
        <f>_xll.BDP("752111MQ Muni","LQA_LIQUIDITY_SCORE")</f>
        <v>65</v>
      </c>
    </row>
    <row r="571" spans="1:20" x14ac:dyDescent="0.25">
      <c r="A571" t="str">
        <f>_xll.BDP("752111MS Muni","ID_CUSIP")</f>
        <v>752111MS0</v>
      </c>
      <c r="B571" t="s">
        <v>228</v>
      </c>
      <c r="C571" t="str">
        <f>_xll.BDP("752111MS Muni","INSURANCE_STATUS")</f>
        <v>N</v>
      </c>
      <c r="D571" t="str">
        <f>_xll.BDP("752111MS Muni","STATE_CODE")</f>
        <v>CA</v>
      </c>
      <c r="E571" t="str">
        <f>_xll.BDP("752111MS Muni","COUNTY_LOCATION_ISSUER")</f>
        <v>Riverside, CA</v>
      </c>
      <c r="F571">
        <f>_xll.BDP("752111MS Muni","DUR_ADJ_MID")</f>
        <v>4.4802581489771658</v>
      </c>
      <c r="G571">
        <f>_xll.BDP("752111MS Muni","SPREAD_AT_ISSUANCE_TO_WORST")</f>
        <v>-9.0420602739726075</v>
      </c>
      <c r="H571" t="str">
        <f>_xll.BDP("752111MS Muni","ISSUE_DT")</f>
        <v>12/1/2017</v>
      </c>
      <c r="I571" t="str">
        <f>_xll.BDS("752111MS Muni","MUNI_PURPOSE_SCHED", "aggregate=y")</f>
        <v>CURRENT REFUNDING SWAP TERMINATION WATER UTILITY IMPS.</v>
      </c>
      <c r="J571">
        <f>_xll.BDP("752111MS Muni","CPN")</f>
        <v>5</v>
      </c>
      <c r="K571" t="str">
        <f>_xll.BDP("752111MS Muni","MATURITY")</f>
        <v>8/1/2027</v>
      </c>
      <c r="L571">
        <v>3035000</v>
      </c>
      <c r="M571">
        <f>_xll.BDP("752111MS Muni","YIELD_ON_ISSUE_DATE")</f>
        <v>1.8900000000000001</v>
      </c>
      <c r="N571">
        <f>_xll.BDP("752111MS Muni","YTW_SPREAD_TO_MATURITY_AT_ISSU")</f>
        <v>-9.0420602739726075</v>
      </c>
      <c r="O571" t="str">
        <f>_xll.BDP("752111MS Muni","BVAL_MID_YTM")</f>
        <v>#N/A Authorization</v>
      </c>
      <c r="P571" t="str">
        <f>_xll.BDP("752111MS Muni","MUNI_TAX_PROV")</f>
        <v>FED &amp; ST TAX-EXEMPT</v>
      </c>
      <c r="Q571" t="str">
        <f>_xll.BDP("752111MS Muni","MUNI_FED_TAX")</f>
        <v>N</v>
      </c>
      <c r="R571">
        <f>_xll.BDP("752111MS Muni","MUNI_MSRB_VOLUME")</f>
        <v>15000</v>
      </c>
      <c r="S571" t="str">
        <f>_xll.BDP("752111MS Muni","BB_COMPOSITE")</f>
        <v>AAA</v>
      </c>
      <c r="T571">
        <f>_xll.BDP("752111MS Muni","LQA_LIQUIDITY_SCORE")</f>
        <v>60</v>
      </c>
    </row>
    <row r="572" spans="1:20" x14ac:dyDescent="0.25">
      <c r="A572" t="str">
        <f>_xll.BDP("846694AE Muni","ID_CUSIP")</f>
        <v>846694AE7</v>
      </c>
      <c r="B572" t="s">
        <v>229</v>
      </c>
      <c r="C572" t="str">
        <f>_xll.BDP("846694AE Muni","INSURANCE_STATUS")</f>
        <v>N</v>
      </c>
      <c r="D572" t="str">
        <f>_xll.BDP("846694AE Muni","STATE_CODE")</f>
        <v>TN</v>
      </c>
      <c r="E572" t="str">
        <f>_xll.BDP("846694AE Muni","COUNTY_LOCATION_ISSUER")</f>
        <v>#N/A Field Not Applicable</v>
      </c>
      <c r="F572">
        <f>_xll.BDP("846694AE Muni","DUR_ADJ_MID")</f>
        <v>0.82000520401511889</v>
      </c>
      <c r="G572">
        <f>_xll.BDP("846694AE Muni","SPREAD_AT_ISSUANCE_TO_WORST")</f>
        <v>11.40413393886719</v>
      </c>
      <c r="H572" t="str">
        <f>_xll.BDP("846694AE Muni","ISSUE_DT")</f>
        <v>3/30/2017</v>
      </c>
      <c r="I572" t="str">
        <f>_xll.BDS("846694AE Muni","MUNI_PURPOSE_SCHED", "aggregate=y")</f>
        <v>WATER UTILITY IMPS. SEWER IMPS.</v>
      </c>
      <c r="J572">
        <f>_xll.BDP("846694AE Muni","CPN")</f>
        <v>1.9</v>
      </c>
      <c r="K572" t="str">
        <f>_xll.BDP("846694AE Muni","MATURITY")</f>
        <v>6/1/2023</v>
      </c>
      <c r="L572">
        <v>180000</v>
      </c>
      <c r="M572">
        <f>_xll.BDP("846694AE Muni","YIELD_ON_ISSUE_DATE")</f>
        <v>2</v>
      </c>
      <c r="N572">
        <f>_xll.BDP("846694AE Muni","YTW_SPREAD_TO_MATURITY_AT_ISSU")</f>
        <v>11.40413393886719</v>
      </c>
      <c r="O572" t="str">
        <f>_xll.BDP("846694AE Muni","BVAL_MID_YTM")</f>
        <v>#N/A Authorization</v>
      </c>
      <c r="P572" t="str">
        <f>_xll.BDP("846694AE Muni","MUNI_TAX_PROV")</f>
        <v>FED BQ/ST TAX-EXEMPT</v>
      </c>
      <c r="Q572" t="str">
        <f>_xll.BDP("846694AE Muni","MUNI_FED_TAX")</f>
        <v>N</v>
      </c>
      <c r="R572" t="str">
        <f>_xll.BDP("846694AE Muni","MUNI_MSRB_VOLUME")</f>
        <v>#N/A N/A</v>
      </c>
      <c r="S572" t="str">
        <f>_xll.BDP("846694AE Muni","BB_COMPOSITE")</f>
        <v>#N/A N/A</v>
      </c>
      <c r="T572">
        <f>_xll.BDP("846694AE Muni","LQA_LIQUIDITY_SCORE")</f>
        <v>82</v>
      </c>
    </row>
    <row r="573" spans="1:20" x14ac:dyDescent="0.25">
      <c r="A573" t="str">
        <f>_xll.BDP("846694AG Muni","ID_CUSIP")</f>
        <v>846694AG2</v>
      </c>
      <c r="B573" t="s">
        <v>229</v>
      </c>
      <c r="C573" t="str">
        <f>_xll.BDP("846694AG Muni","INSURANCE_STATUS")</f>
        <v>N</v>
      </c>
      <c r="D573" t="str">
        <f>_xll.BDP("846694AG Muni","STATE_CODE")</f>
        <v>TN</v>
      </c>
      <c r="E573" t="str">
        <f>_xll.BDP("846694AG Muni","COUNTY_LOCATION_ISSUER")</f>
        <v>#N/A Field Not Applicable</v>
      </c>
      <c r="F573">
        <f>_xll.BDP("846694AG Muni","DUR_ADJ_MID")</f>
        <v>2.7279753393734754</v>
      </c>
      <c r="G573">
        <f>_xll.BDP("846694AG Muni","SPREAD_AT_ISSUANCE_TO_WORST")</f>
        <v>-1.0047390402578404</v>
      </c>
      <c r="H573" t="str">
        <f>_xll.BDP("846694AG Muni","ISSUE_DT")</f>
        <v>3/30/2017</v>
      </c>
      <c r="I573" t="str">
        <f>_xll.BDS("846694AG Muni","MUNI_PURPOSE_SCHED", "aggregate=y")</f>
        <v>WATER UTILITY IMPS. SEWER IMPS.</v>
      </c>
      <c r="J573">
        <f>_xll.BDP("846694AG Muni","CPN")</f>
        <v>2.1</v>
      </c>
      <c r="K573" t="str">
        <f>_xll.BDP("846694AG Muni","MATURITY")</f>
        <v>6/1/2025</v>
      </c>
      <c r="L573">
        <v>185000</v>
      </c>
      <c r="M573">
        <f>_xll.BDP("846694AG Muni","YIELD_ON_ISSUE_DATE")</f>
        <v>2.2000000000000002</v>
      </c>
      <c r="N573">
        <f>_xll.BDP("846694AG Muni","YTW_SPREAD_TO_MATURITY_AT_ISSU")</f>
        <v>-1.0047390402578404</v>
      </c>
      <c r="O573" t="str">
        <f>_xll.BDP("846694AG Muni","BVAL_MID_YTM")</f>
        <v>#N/A Authorization</v>
      </c>
      <c r="P573" t="str">
        <f>_xll.BDP("846694AG Muni","MUNI_TAX_PROV")</f>
        <v>FED BQ/ST TAX-EXEMPT</v>
      </c>
      <c r="Q573" t="str">
        <f>_xll.BDP("846694AG Muni","MUNI_FED_TAX")</f>
        <v>N</v>
      </c>
      <c r="R573" t="str">
        <f>_xll.BDP("846694AG Muni","MUNI_MSRB_VOLUME")</f>
        <v>#N/A N/A</v>
      </c>
      <c r="S573" t="str">
        <f>_xll.BDP("846694AG Muni","BB_COMPOSITE")</f>
        <v>#N/A N/A</v>
      </c>
      <c r="T573">
        <f>_xll.BDP("846694AG Muni","LQA_LIQUIDITY_SCORE")</f>
        <v>49</v>
      </c>
    </row>
    <row r="574" spans="1:20" x14ac:dyDescent="0.25">
      <c r="A574" t="str">
        <f>_xll.BDP("752274AG Muni","ID_CUSIP")</f>
        <v>752274AG5</v>
      </c>
      <c r="B574" t="s">
        <v>230</v>
      </c>
      <c r="C574" t="str">
        <f>_xll.BDP("752274AG Muni","INSURANCE_STATUS")</f>
        <v>N</v>
      </c>
      <c r="D574" t="str">
        <f>_xll.BDP("752274AG Muni","STATE_CODE")</f>
        <v>SD</v>
      </c>
      <c r="E574" t="str">
        <f>_xll.BDP("752274AG Muni","COUNTY_LOCATION_ISSUER")</f>
        <v>Charles Mix, SD</v>
      </c>
      <c r="F574">
        <f>_xll.BDP("752274AG Muni","DUR_ADJ_MID")</f>
        <v>1.3022441321490459</v>
      </c>
      <c r="G574">
        <f>_xll.BDP("752274AG Muni","SPREAD_AT_ISSUANCE_TO_WORST")</f>
        <v>36.34507487995635</v>
      </c>
      <c r="H574" t="str">
        <f>_xll.BDP("752274AG Muni","ISSUE_DT")</f>
        <v>9/28/2017</v>
      </c>
      <c r="I574" t="str">
        <f>_xll.BDS("752274AG Muni","MUNI_PURPOSE_SCHED", "aggregate=y")</f>
        <v>WATER UTILITY IMPS.</v>
      </c>
      <c r="J574">
        <f>_xll.BDP("752274AG Muni","CPN")</f>
        <v>2</v>
      </c>
      <c r="K574" t="str">
        <f>_xll.BDP("752274AG Muni","MATURITY")</f>
        <v>12/1/2023</v>
      </c>
      <c r="L574">
        <v>320000</v>
      </c>
      <c r="M574">
        <f>_xll.BDP("752274AG Muni","YIELD_ON_ISSUE_DATE")</f>
        <v>1.75</v>
      </c>
      <c r="N574">
        <f>_xll.BDP("752274AG Muni","YTW_SPREAD_TO_MATURITY_AT_ISSU")</f>
        <v>36.34507487995635</v>
      </c>
      <c r="O574" t="str">
        <f>_xll.BDP("752274AG Muni","BVAL_MID_YTM")</f>
        <v>#N/A Authorization</v>
      </c>
      <c r="P574" t="str">
        <f>_xll.BDP("752274AG Muni","MUNI_TAX_PROV")</f>
        <v>FED BQ/ST TAX-EXEMPT</v>
      </c>
      <c r="Q574" t="str">
        <f>_xll.BDP("752274AG Muni","MUNI_FED_TAX")</f>
        <v>N</v>
      </c>
      <c r="R574" t="str">
        <f>_xll.BDP("752274AG Muni","MUNI_MSRB_VOLUME")</f>
        <v>#N/A N/A</v>
      </c>
      <c r="S574" t="str">
        <f>_xll.BDP("752274AG Muni","BB_COMPOSITE")</f>
        <v>#N/A N/A</v>
      </c>
      <c r="T574">
        <f>_xll.BDP("752274AG Muni","LQA_LIQUIDITY_SCORE")</f>
        <v>81</v>
      </c>
    </row>
    <row r="575" spans="1:20" x14ac:dyDescent="0.25">
      <c r="A575" t="str">
        <f>_xll.BDP("752274AJ Muni","ID_CUSIP")</f>
        <v>752274AJ9</v>
      </c>
      <c r="B575" t="s">
        <v>230</v>
      </c>
      <c r="C575" t="str">
        <f>_xll.BDP("752274AJ Muni","INSURANCE_STATUS")</f>
        <v>N</v>
      </c>
      <c r="D575" t="str">
        <f>_xll.BDP("752274AJ Muni","STATE_CODE")</f>
        <v>SD</v>
      </c>
      <c r="E575" t="str">
        <f>_xll.BDP("752274AJ Muni","COUNTY_LOCATION_ISSUER")</f>
        <v>Charles Mix, SD</v>
      </c>
      <c r="F575">
        <f>_xll.BDP("752274AJ Muni","DUR_ADJ_MID")</f>
        <v>3.1439067616720067</v>
      </c>
      <c r="G575">
        <f>_xll.BDP("752274AJ Muni","SPREAD_AT_ISSUANCE_TO_WORST")</f>
        <v>42.321146427454103</v>
      </c>
      <c r="H575" t="str">
        <f>_xll.BDP("752274AJ Muni","ISSUE_DT")</f>
        <v>9/28/2017</v>
      </c>
      <c r="I575" t="str">
        <f>_xll.BDS("752274AJ Muni","MUNI_PURPOSE_SCHED", "aggregate=y")</f>
        <v>WATER UTILITY IMPS.</v>
      </c>
      <c r="J575">
        <f>_xll.BDP("752274AJ Muni","CPN")</f>
        <v>3</v>
      </c>
      <c r="K575" t="str">
        <f>_xll.BDP("752274AJ Muni","MATURITY")</f>
        <v>12/1/2025</v>
      </c>
      <c r="L575">
        <v>335000</v>
      </c>
      <c r="M575">
        <f>_xll.BDP("752274AJ Muni","YIELD_ON_ISSUE_DATE")</f>
        <v>2.1</v>
      </c>
      <c r="N575">
        <f>_xll.BDP("752274AJ Muni","YTW_SPREAD_TO_MATURITY_AT_ISSU")</f>
        <v>42.321146427454103</v>
      </c>
      <c r="O575" t="str">
        <f>_xll.BDP("752274AJ Muni","BVAL_MID_YTM")</f>
        <v>#N/A Authorization</v>
      </c>
      <c r="P575" t="str">
        <f>_xll.BDP("752274AJ Muni","MUNI_TAX_PROV")</f>
        <v>FED BQ/ST TAX-EXEMPT</v>
      </c>
      <c r="Q575" t="str">
        <f>_xll.BDP("752274AJ Muni","MUNI_FED_TAX")</f>
        <v>N</v>
      </c>
      <c r="R575" t="str">
        <f>_xll.BDP("752274AJ Muni","MUNI_MSRB_VOLUME")</f>
        <v>#N/A N/A</v>
      </c>
      <c r="S575" t="str">
        <f>_xll.BDP("752274AJ Muni","BB_COMPOSITE")</f>
        <v>#N/A N/A</v>
      </c>
      <c r="T575">
        <f>_xll.BDP("752274AJ Muni","LQA_LIQUIDITY_SCORE")</f>
        <v>68</v>
      </c>
    </row>
    <row r="576" spans="1:20" x14ac:dyDescent="0.25">
      <c r="A576" t="str">
        <f>_xll.BDP("847184UK Muni","ID_CUSIP")</f>
        <v>847184UK2</v>
      </c>
      <c r="B576" t="s">
        <v>231</v>
      </c>
      <c r="C576" t="str">
        <f>_xll.BDP("847184UK Muni","INSURANCE_STATUS")</f>
        <v>N</v>
      </c>
      <c r="D576" t="str">
        <f>_xll.BDP("847184UK Muni","STATE_CODE")</f>
        <v>SC</v>
      </c>
      <c r="E576" t="str">
        <f>_xll.BDP("847184UK Muni","COUNTY_LOCATION_ISSUER")</f>
        <v>Spartanburg, SC</v>
      </c>
      <c r="F576">
        <f>_xll.BDP("847184UK Muni","DUR_ADJ_MID")</f>
        <v>0.81605145267245294</v>
      </c>
      <c r="G576">
        <f>_xll.BDP("847184UK Muni","SPREAD_AT_ISSUANCE_TO_WORST")</f>
        <v>11.238282132461652</v>
      </c>
      <c r="H576" t="str">
        <f>_xll.BDP("847184UK Muni","ISSUE_DT")</f>
        <v>8/24/2017</v>
      </c>
      <c r="I576" t="str">
        <f>_xll.BDS("847184UK Muni","MUNI_PURPOSE_SCHED", "aggregate=y")</f>
        <v>WATER UTILITY IMPS. ADVANCE REFUNDING CURRENT REFUNDING</v>
      </c>
      <c r="J576">
        <f>_xll.BDP("847184UK Muni","CPN")</f>
        <v>4</v>
      </c>
      <c r="K576" t="str">
        <f>_xll.BDP("847184UK Muni","MATURITY")</f>
        <v>6/1/2023</v>
      </c>
      <c r="L576">
        <v>340000</v>
      </c>
      <c r="M576">
        <f>_xll.BDP("847184UK Muni","YIELD_ON_ISSUE_DATE")</f>
        <v>1.44</v>
      </c>
      <c r="N576">
        <f>_xll.BDP("847184UK Muni","YTW_SPREAD_TO_MATURITY_AT_ISSU")</f>
        <v>11.238282132461652</v>
      </c>
      <c r="O576" t="str">
        <f>_xll.BDP("847184UK Muni","BVAL_MID_YTM")</f>
        <v>#N/A Authorization</v>
      </c>
      <c r="P576" t="str">
        <f>_xll.BDP("847184UK Muni","MUNI_TAX_PROV")</f>
        <v>FED &amp; ST TAX-EXEMPT</v>
      </c>
      <c r="Q576" t="str">
        <f>_xll.BDP("847184UK Muni","MUNI_FED_TAX")</f>
        <v>N</v>
      </c>
      <c r="R576" t="str">
        <f>_xll.BDP("847184UK Muni","MUNI_MSRB_VOLUME")</f>
        <v>#N/A N/A</v>
      </c>
      <c r="S576" t="str">
        <f>_xll.BDP("847184UK Muni","BB_COMPOSITE")</f>
        <v>AA</v>
      </c>
      <c r="T576">
        <f>_xll.BDP("847184UK Muni","LQA_LIQUIDITY_SCORE")</f>
        <v>90</v>
      </c>
    </row>
    <row r="577" spans="1:20" x14ac:dyDescent="0.25">
      <c r="A577" t="str">
        <f>_xll.BDP("847184UL Muni","ID_CUSIP")</f>
        <v>847184UL0</v>
      </c>
      <c r="B577" t="s">
        <v>231</v>
      </c>
      <c r="C577" t="str">
        <f>_xll.BDP("847184UL Muni","INSURANCE_STATUS")</f>
        <v>N</v>
      </c>
      <c r="D577" t="str">
        <f>_xll.BDP("847184UL Muni","STATE_CODE")</f>
        <v>SC</v>
      </c>
      <c r="E577" t="str">
        <f>_xll.BDP("847184UL Muni","COUNTY_LOCATION_ISSUER")</f>
        <v>Spartanburg, SC</v>
      </c>
      <c r="F577">
        <f>_xll.BDP("847184UL Muni","DUR_ADJ_MID")</f>
        <v>1.7606625563782208</v>
      </c>
      <c r="G577">
        <f>_xll.BDP("847184UL Muni","SPREAD_AT_ISSUANCE_TO_WORST")</f>
        <v>12.885623676931468</v>
      </c>
      <c r="H577" t="str">
        <f>_xll.BDP("847184UL Muni","ISSUE_DT")</f>
        <v>8/24/2017</v>
      </c>
      <c r="I577" t="str">
        <f>_xll.BDS("847184UL Muni","MUNI_PURPOSE_SCHED", "aggregate=y")</f>
        <v>WATER UTILITY IMPS. ADVANCE REFUNDING CURRENT REFUNDING</v>
      </c>
      <c r="J577">
        <f>_xll.BDP("847184UL Muni","CPN")</f>
        <v>4</v>
      </c>
      <c r="K577" t="str">
        <f>_xll.BDP("847184UL Muni","MATURITY")</f>
        <v>6/1/2024</v>
      </c>
      <c r="L577">
        <v>350000</v>
      </c>
      <c r="M577">
        <f>_xll.BDP("847184UL Muni","YIELD_ON_ISSUE_DATE")</f>
        <v>1.6</v>
      </c>
      <c r="N577">
        <f>_xll.BDP("847184UL Muni","YTW_SPREAD_TO_MATURITY_AT_ISSU")</f>
        <v>12.885623676931468</v>
      </c>
      <c r="O577" t="str">
        <f>_xll.BDP("847184UL Muni","BVAL_MID_YTM")</f>
        <v>#N/A Authorization</v>
      </c>
      <c r="P577" t="str">
        <f>_xll.BDP("847184UL Muni","MUNI_TAX_PROV")</f>
        <v>FED &amp; ST TAX-EXEMPT</v>
      </c>
      <c r="Q577" t="str">
        <f>_xll.BDP("847184UL Muni","MUNI_FED_TAX")</f>
        <v>N</v>
      </c>
      <c r="R577" t="str">
        <f>_xll.BDP("847184UL Muni","MUNI_MSRB_VOLUME")</f>
        <v>#N/A N/A</v>
      </c>
      <c r="S577" t="str">
        <f>_xll.BDP("847184UL Muni","BB_COMPOSITE")</f>
        <v>AA</v>
      </c>
      <c r="T577">
        <f>_xll.BDP("847184UL Muni","LQA_LIQUIDITY_SCORE")</f>
        <v>81</v>
      </c>
    </row>
    <row r="578" spans="1:20" x14ac:dyDescent="0.25">
      <c r="A578" t="str">
        <f>_xll.BDP("847184UN Muni","ID_CUSIP")</f>
        <v>847184UN6</v>
      </c>
      <c r="B578" t="s">
        <v>231</v>
      </c>
      <c r="C578" t="str">
        <f>_xll.BDP("847184UN Muni","INSURANCE_STATUS")</f>
        <v>N</v>
      </c>
      <c r="D578" t="str">
        <f>_xll.BDP("847184UN Muni","STATE_CODE")</f>
        <v>SC</v>
      </c>
      <c r="E578" t="str">
        <f>_xll.BDP("847184UN Muni","COUNTY_LOCATION_ISSUER")</f>
        <v>Spartanburg, SC</v>
      </c>
      <c r="F578">
        <f>_xll.BDP("847184UN Muni","DUR_ADJ_MID")</f>
        <v>3.5490345604905666</v>
      </c>
      <c r="G578">
        <f>_xll.BDP("847184UN Muni","SPREAD_AT_ISSUANCE_TO_WORST")</f>
        <v>19.101685837958993</v>
      </c>
      <c r="H578" t="str">
        <f>_xll.BDP("847184UN Muni","ISSUE_DT")</f>
        <v>8/24/2017</v>
      </c>
      <c r="I578" t="str">
        <f>_xll.BDS("847184UN Muni","MUNI_PURPOSE_SCHED", "aggregate=y")</f>
        <v>WATER UTILITY IMPS. ADVANCE REFUNDING CURRENT REFUNDING</v>
      </c>
      <c r="J578">
        <f>_xll.BDP("847184UN Muni","CPN")</f>
        <v>4</v>
      </c>
      <c r="K578" t="str">
        <f>_xll.BDP("847184UN Muni","MATURITY")</f>
        <v>6/1/2026</v>
      </c>
      <c r="L578">
        <v>380000</v>
      </c>
      <c r="M578">
        <f>_xll.BDP("847184UN Muni","YIELD_ON_ISSUE_DATE")</f>
        <v>1.94</v>
      </c>
      <c r="N578">
        <f>_xll.BDP("847184UN Muni","YTW_SPREAD_TO_MATURITY_AT_ISSU")</f>
        <v>19.101685837958993</v>
      </c>
      <c r="O578" t="str">
        <f>_xll.BDP("847184UN Muni","BVAL_MID_YTM")</f>
        <v>#N/A Authorization</v>
      </c>
      <c r="P578" t="str">
        <f>_xll.BDP("847184UN Muni","MUNI_TAX_PROV")</f>
        <v>FED &amp; ST TAX-EXEMPT</v>
      </c>
      <c r="Q578" t="str">
        <f>_xll.BDP("847184UN Muni","MUNI_FED_TAX")</f>
        <v>N</v>
      </c>
      <c r="R578" t="str">
        <f>_xll.BDP("847184UN Muni","MUNI_MSRB_VOLUME")</f>
        <v>#N/A N/A</v>
      </c>
      <c r="S578" t="str">
        <f>_xll.BDP("847184UN Muni","BB_COMPOSITE")</f>
        <v>AA</v>
      </c>
      <c r="T578">
        <f>_xll.BDP("847184UN Muni","LQA_LIQUIDITY_SCORE")</f>
        <v>76</v>
      </c>
    </row>
    <row r="579" spans="1:20" x14ac:dyDescent="0.25">
      <c r="A579" t="str">
        <f>_xll.BDP("847184UP Muni","ID_CUSIP")</f>
        <v>847184UP1</v>
      </c>
      <c r="B579" t="s">
        <v>231</v>
      </c>
      <c r="C579" t="str">
        <f>_xll.BDP("847184UP Muni","INSURANCE_STATUS")</f>
        <v>N</v>
      </c>
      <c r="D579" t="str">
        <f>_xll.BDP("847184UP Muni","STATE_CODE")</f>
        <v>SC</v>
      </c>
      <c r="E579" t="str">
        <f>_xll.BDP("847184UP Muni","COUNTY_LOCATION_ISSUER")</f>
        <v>Spartanburg, SC</v>
      </c>
      <c r="F579">
        <f>_xll.BDP("847184UP Muni","DUR_ADJ_MID")</f>
        <v>4.3964261247610503</v>
      </c>
      <c r="G579">
        <f>_xll.BDP("847184UP Muni","SPREAD_AT_ISSUANCE_TO_WORST")</f>
        <v>23.366415343970502</v>
      </c>
      <c r="H579" t="str">
        <f>_xll.BDP("847184UP Muni","ISSUE_DT")</f>
        <v>8/24/2017</v>
      </c>
      <c r="I579" t="str">
        <f>_xll.BDS("847184UP Muni","MUNI_PURPOSE_SCHED", "aggregate=y")</f>
        <v>WATER UTILITY IMPS. ADVANCE REFUNDING CURRENT REFUNDING</v>
      </c>
      <c r="J579">
        <f>_xll.BDP("847184UP Muni","CPN")</f>
        <v>4</v>
      </c>
      <c r="K579" t="str">
        <f>_xll.BDP("847184UP Muni","MATURITY")</f>
        <v>6/1/2027</v>
      </c>
      <c r="L579">
        <v>395000</v>
      </c>
      <c r="M579">
        <f>_xll.BDP("847184UP Muni","YIELD_ON_ISSUE_DATE")</f>
        <v>2.09</v>
      </c>
      <c r="N579">
        <f>_xll.BDP("847184UP Muni","YTW_SPREAD_TO_MATURITY_AT_ISSU")</f>
        <v>23.366415343970502</v>
      </c>
      <c r="O579" t="str">
        <f>_xll.BDP("847184UP Muni","BVAL_MID_YTM")</f>
        <v>#N/A Authorization</v>
      </c>
      <c r="P579" t="str">
        <f>_xll.BDP("847184UP Muni","MUNI_TAX_PROV")</f>
        <v>FED &amp; ST TAX-EXEMPT</v>
      </c>
      <c r="Q579" t="str">
        <f>_xll.BDP("847184UP Muni","MUNI_FED_TAX")</f>
        <v>N</v>
      </c>
      <c r="R579" t="str">
        <f>_xll.BDP("847184UP Muni","MUNI_MSRB_VOLUME")</f>
        <v>#N/A N/A</v>
      </c>
      <c r="S579" t="str">
        <f>_xll.BDP("847184UP Muni","BB_COMPOSITE")</f>
        <v>AA</v>
      </c>
      <c r="T579">
        <f>_xll.BDP("847184UP Muni","LQA_LIQUIDITY_SCORE")</f>
        <v>72</v>
      </c>
    </row>
    <row r="580" spans="1:20" x14ac:dyDescent="0.25">
      <c r="A580" t="str">
        <f>_xll.BDP("755417A3 Muni","ID_CUSIP")</f>
        <v>755417A36</v>
      </c>
      <c r="B580" t="s">
        <v>74</v>
      </c>
      <c r="C580" t="str">
        <f>_xll.BDP("755417A3 Muni","INSURANCE_STATUS")</f>
        <v>N</v>
      </c>
      <c r="D580" t="str">
        <f>_xll.BDP("755417A3 Muni","STATE_CODE")</f>
        <v>MA</v>
      </c>
      <c r="E580" t="str">
        <f>_xll.BDP("755417A3 Muni","COUNTY_LOCATION_ISSUER")</f>
        <v>Middlesex, MA</v>
      </c>
      <c r="F580">
        <f>_xll.BDP("755417A3 Muni","DUR_ADJ_MID")</f>
        <v>3.5871947911821045</v>
      </c>
      <c r="G580">
        <f>_xll.BDP("755417A3 Muni","SPREAD_AT_ISSUANCE_TO_WORST")</f>
        <v>-1.9564738269440385</v>
      </c>
      <c r="H580" t="str">
        <f>_xll.BDP("755417A3 Muni","ISSUE_DT")</f>
        <v>6/30/2017</v>
      </c>
      <c r="I580" t="str">
        <f>_xll.BDS("755417A3 Muni","MUNI_PURPOSE_SCHED", "aggregate=y")</f>
        <v>WATER UTILITY IMPS. SEWER IMPS. PUBLIC IMPS.</v>
      </c>
      <c r="J580">
        <f>_xll.BDP("755417A3 Muni","CPN")</f>
        <v>4</v>
      </c>
      <c r="K580" t="str">
        <f>_xll.BDP("755417A3 Muni","MATURITY")</f>
        <v>6/15/2026</v>
      </c>
      <c r="L580">
        <v>445000</v>
      </c>
      <c r="M580">
        <f>_xll.BDP("755417A3 Muni","YIELD_ON_ISSUE_DATE")</f>
        <v>1.76</v>
      </c>
      <c r="N580">
        <f>_xll.BDP("755417A3 Muni","YTW_SPREAD_TO_MATURITY_AT_ISSU")</f>
        <v>-1.9564738269440385</v>
      </c>
      <c r="O580" t="str">
        <f>_xll.BDP("755417A3 Muni","BVAL_MID_YTM")</f>
        <v>#N/A Authorization</v>
      </c>
      <c r="P580" t="str">
        <f>_xll.BDP("755417A3 Muni","MUNI_TAX_PROV")</f>
        <v>FED BQ/ST TAX-EXEMPT</v>
      </c>
      <c r="Q580" t="str">
        <f>_xll.BDP("755417A3 Muni","MUNI_FED_TAX")</f>
        <v>N</v>
      </c>
      <c r="R580" t="str">
        <f>_xll.BDP("755417A3 Muni","MUNI_MSRB_VOLUME")</f>
        <v>#N/A N/A</v>
      </c>
      <c r="S580" t="str">
        <f>_xll.BDP("755417A3 Muni","BB_COMPOSITE")</f>
        <v>#N/A N/A</v>
      </c>
      <c r="T580">
        <f>_xll.BDP("755417A3 Muni","LQA_LIQUIDITY_SCORE")</f>
        <v>73</v>
      </c>
    </row>
    <row r="581" spans="1:20" x14ac:dyDescent="0.25">
      <c r="A581" t="str">
        <f>_xll.BDP("728857MM Muni","ID_CUSIP")</f>
        <v>728857MM2</v>
      </c>
      <c r="B581" t="s">
        <v>207</v>
      </c>
      <c r="C581" t="str">
        <f>_xll.BDP("728857MM Muni","INSURANCE_STATUS")</f>
        <v>N</v>
      </c>
      <c r="D581" t="str">
        <f>_xll.BDP("728857MM Muni","STATE_CODE")</f>
        <v>TX</v>
      </c>
      <c r="E581" t="str">
        <f>_xll.BDP("728857MM Muni","COUNTY_LOCATION_ISSUER")</f>
        <v>Atascosa, TX</v>
      </c>
      <c r="F581">
        <f>_xll.BDP("728857MM Muni","DUR_ADJ_MID")</f>
        <v>3.703111451925567</v>
      </c>
      <c r="G581">
        <f>_xll.BDP("728857MM Muni","SPREAD_AT_ISSUANCE_TO_WORST")</f>
        <v>31.341334246575347</v>
      </c>
      <c r="H581" t="str">
        <f>_xll.BDP("728857MM Muni","ISSUE_DT")</f>
        <v>9/1/2017</v>
      </c>
      <c r="I581" t="str">
        <f>_xll.BDS("728857MM Muni","MUNI_PURPOSE_SCHED", "aggregate=y")</f>
        <v>PUBLIC IMPS. WATER UTILITY IMPS. SEWER IMPS.</v>
      </c>
      <c r="J581">
        <f>_xll.BDP("728857MM Muni","CPN")</f>
        <v>4</v>
      </c>
      <c r="K581" t="str">
        <f>_xll.BDP("728857MM Muni","MATURITY")</f>
        <v>8/1/2026</v>
      </c>
      <c r="L581">
        <v>90000</v>
      </c>
      <c r="M581">
        <f>_xll.BDP("728857MM Muni","YIELD_ON_ISSUE_DATE")</f>
        <v>2.1</v>
      </c>
      <c r="N581">
        <f>_xll.BDP("728857MM Muni","YTW_SPREAD_TO_MATURITY_AT_ISSU")</f>
        <v>31.341334246575347</v>
      </c>
      <c r="O581" t="str">
        <f>_xll.BDP("728857MM Muni","BVAL_MID_YTM")</f>
        <v>#N/A Authorization</v>
      </c>
      <c r="P581" t="str">
        <f>_xll.BDP("728857MM Muni","MUNI_TAX_PROV")</f>
        <v>FED BQ</v>
      </c>
      <c r="Q581" t="str">
        <f>_xll.BDP("728857MM Muni","MUNI_FED_TAX")</f>
        <v>N</v>
      </c>
      <c r="R581" t="str">
        <f>_xll.BDP("728857MM Muni","MUNI_MSRB_VOLUME")</f>
        <v>#N/A N/A</v>
      </c>
      <c r="S581" t="str">
        <f>_xll.BDP("728857MM Muni","BB_COMPOSITE")</f>
        <v>#N/A N/A</v>
      </c>
      <c r="T581">
        <f>_xll.BDP("728857MM Muni","LQA_LIQUIDITY_SCORE")</f>
        <v>61</v>
      </c>
    </row>
    <row r="582" spans="1:20" x14ac:dyDescent="0.25">
      <c r="A582" t="str">
        <f>_xll.BDP("728857MN Muni","ID_CUSIP")</f>
        <v>728857MN0</v>
      </c>
      <c r="B582" t="s">
        <v>207</v>
      </c>
      <c r="C582" t="str">
        <f>_xll.BDP("728857MN Muni","INSURANCE_STATUS")</f>
        <v>N</v>
      </c>
      <c r="D582" t="str">
        <f>_xll.BDP("728857MN Muni","STATE_CODE")</f>
        <v>TX</v>
      </c>
      <c r="E582" t="str">
        <f>_xll.BDP("728857MN Muni","COUNTY_LOCATION_ISSUER")</f>
        <v>Atascosa, TX</v>
      </c>
      <c r="F582">
        <f>_xll.BDP("728857MN Muni","DUR_ADJ_MID")</f>
        <v>4.5465834341033151</v>
      </c>
      <c r="G582">
        <f>_xll.BDP("728857MN Muni","SPREAD_AT_ISSUANCE_TO_WORST")</f>
        <v>30.780553424657555</v>
      </c>
      <c r="H582" t="str">
        <f>_xll.BDP("728857MN Muni","ISSUE_DT")</f>
        <v>9/1/2017</v>
      </c>
      <c r="I582" t="str">
        <f>_xll.BDS("728857MN Muni","MUNI_PURPOSE_SCHED", "aggregate=y")</f>
        <v>PUBLIC IMPS. WATER UTILITY IMPS. SEWER IMPS.</v>
      </c>
      <c r="J582">
        <f>_xll.BDP("728857MN Muni","CPN")</f>
        <v>4</v>
      </c>
      <c r="K582" t="str">
        <f>_xll.BDP("728857MN Muni","MATURITY")</f>
        <v>8/1/2027</v>
      </c>
      <c r="L582">
        <v>95000</v>
      </c>
      <c r="M582">
        <f>_xll.BDP("728857MN Muni","YIELD_ON_ISSUE_DATE")</f>
        <v>2.2000000000000002</v>
      </c>
      <c r="N582">
        <f>_xll.BDP("728857MN Muni","YTW_SPREAD_TO_MATURITY_AT_ISSU")</f>
        <v>30.780553424657555</v>
      </c>
      <c r="O582" t="str">
        <f>_xll.BDP("728857MN Muni","BVAL_MID_YTM")</f>
        <v>#N/A Authorization</v>
      </c>
      <c r="P582" t="str">
        <f>_xll.BDP("728857MN Muni","MUNI_TAX_PROV")</f>
        <v>FED BQ</v>
      </c>
      <c r="Q582" t="str">
        <f>_xll.BDP("728857MN Muni","MUNI_FED_TAX")</f>
        <v>N</v>
      </c>
      <c r="R582" t="str">
        <f>_xll.BDP("728857MN Muni","MUNI_MSRB_VOLUME")</f>
        <v>#N/A N/A</v>
      </c>
      <c r="S582" t="str">
        <f>_xll.BDP("728857MN Muni","BB_COMPOSITE")</f>
        <v>#N/A N/A</v>
      </c>
      <c r="T582">
        <f>_xll.BDP("728857MN Muni","LQA_LIQUIDITY_SCORE")</f>
        <v>54</v>
      </c>
    </row>
    <row r="583" spans="1:20" x14ac:dyDescent="0.25">
      <c r="A583" t="str">
        <f>_xll.BDP("729654TH Muni","ID_CUSIP")</f>
        <v>729654TH6</v>
      </c>
      <c r="B583" t="s">
        <v>69</v>
      </c>
      <c r="C583" t="str">
        <f>_xll.BDP("729654TH Muni","INSURANCE_STATUS")</f>
        <v>N</v>
      </c>
      <c r="D583" t="str">
        <f>_xll.BDP("729654TH Muni","STATE_CODE")</f>
        <v>MA</v>
      </c>
      <c r="E583" t="str">
        <f>_xll.BDP("729654TH Muni","COUNTY_LOCATION_ISSUER")</f>
        <v>Plymouth, MA</v>
      </c>
      <c r="F583">
        <f>_xll.BDP("729654TH Muni","DUR_ADJ_MID")</f>
        <v>1.6649014451259743</v>
      </c>
      <c r="G583">
        <f>_xll.BDP("729654TH Muni","SPREAD_AT_ISSUANCE_TO_WORST")</f>
        <v>15.228518856148131</v>
      </c>
      <c r="H583" t="str">
        <f>_xll.BDP("729654TH Muni","ISSUE_DT")</f>
        <v>5/4/2017</v>
      </c>
      <c r="I583" t="str">
        <f>_xll.BDS("729654TH Muni","MUNI_PURPOSE_SCHED", "aggregate=y")</f>
        <v>REFUNDING NOTES WATER UTILITY IMPS. PUBLIC IMPS.</v>
      </c>
      <c r="J583">
        <f>_xll.BDP("729654TH Muni","CPN")</f>
        <v>5</v>
      </c>
      <c r="K583" t="str">
        <f>_xll.BDP("729654TH Muni","MATURITY")</f>
        <v>5/1/2024</v>
      </c>
      <c r="L583">
        <v>2860000</v>
      </c>
      <c r="M583">
        <f>_xll.BDP("729654TH Muni","YIELD_ON_ISSUE_DATE")</f>
        <v>1.84</v>
      </c>
      <c r="N583">
        <f>_xll.BDP("729654TH Muni","YTW_SPREAD_TO_MATURITY_AT_ISSU")</f>
        <v>15.228518856148131</v>
      </c>
      <c r="O583" t="str">
        <f>_xll.BDP("729654TH Muni","BVAL_MID_YTM")</f>
        <v>#N/A Authorization</v>
      </c>
      <c r="P583" t="str">
        <f>_xll.BDP("729654TH Muni","MUNI_TAX_PROV")</f>
        <v>FED &amp; ST TAX-EXEMPT</v>
      </c>
      <c r="Q583" t="str">
        <f>_xll.BDP("729654TH Muni","MUNI_FED_TAX")</f>
        <v>N</v>
      </c>
      <c r="R583">
        <f>_xll.BDP("729654TH Muni","MUNI_MSRB_VOLUME")</f>
        <v>40000</v>
      </c>
      <c r="S583" t="str">
        <f>_xll.BDP("729654TH Muni","BB_COMPOSITE")</f>
        <v>AA</v>
      </c>
      <c r="T583">
        <f>_xll.BDP("729654TH Muni","LQA_LIQUIDITY_SCORE")</f>
        <v>85</v>
      </c>
    </row>
    <row r="584" spans="1:20" x14ac:dyDescent="0.25">
      <c r="A584" t="str">
        <f>_xll.BDP("724428EM Muni","ID_CUSIP")</f>
        <v>724428EM5</v>
      </c>
      <c r="B584" t="s">
        <v>232</v>
      </c>
      <c r="C584" t="str">
        <f>_xll.BDP("724428EM Muni","INSURANCE_STATUS")</f>
        <v>N</v>
      </c>
      <c r="D584" t="str">
        <f>_xll.BDP("724428EM Muni","STATE_CODE")</f>
        <v>NJ</v>
      </c>
      <c r="E584" t="str">
        <f>_xll.BDP("724428EM Muni","COUNTY_LOCATION_ISSUER")</f>
        <v>Gloucester, NJ</v>
      </c>
      <c r="F584">
        <f>_xll.BDP("724428EM Muni","DUR_ADJ_MID")</f>
        <v>1.8654949694805376</v>
      </c>
      <c r="G584">
        <f>_xll.BDP("724428EM Muni","SPREAD_AT_ISSUANCE_TO_WORST")</f>
        <v>48.721983596249665</v>
      </c>
      <c r="H584" t="str">
        <f>_xll.BDP("724428EM Muni","ISSUE_DT")</f>
        <v>7/12/2017</v>
      </c>
      <c r="I584" t="str">
        <f>_xll.BDS("724428EM Muni","MUNI_PURPOSE_SCHED", "aggregate=y")</f>
        <v>REFUNDING NOTES WATER UTILITY IMPS. PUBLIC IMPS.</v>
      </c>
      <c r="J584">
        <f>_xll.BDP("724428EM Muni","CPN")</f>
        <v>2</v>
      </c>
      <c r="K584" t="str">
        <f>_xll.BDP("724428EM Muni","MATURITY")</f>
        <v>7/1/2024</v>
      </c>
      <c r="L584">
        <v>305000</v>
      </c>
      <c r="M584">
        <f>_xll.BDP("724428EM Muni","YIELD_ON_ISSUE_DATE")</f>
        <v>2</v>
      </c>
      <c r="N584">
        <f>_xll.BDP("724428EM Muni","YTW_SPREAD_TO_MATURITY_AT_ISSU")</f>
        <v>48.721983596249665</v>
      </c>
      <c r="O584" t="str">
        <f>_xll.BDP("724428EM Muni","BVAL_MID_YTM")</f>
        <v>#N/A Authorization</v>
      </c>
      <c r="P584" t="str">
        <f>_xll.BDP("724428EM Muni","MUNI_TAX_PROV")</f>
        <v>FED BQ/ST TAX-EXEMPT</v>
      </c>
      <c r="Q584" t="str">
        <f>_xll.BDP("724428EM Muni","MUNI_FED_TAX")</f>
        <v>N</v>
      </c>
      <c r="R584" t="str">
        <f>_xll.BDP("724428EM Muni","MUNI_MSRB_VOLUME")</f>
        <v>#N/A N/A</v>
      </c>
      <c r="S584" t="str">
        <f>_xll.BDP("724428EM Muni","BB_COMPOSITE")</f>
        <v>#N/A N/A</v>
      </c>
      <c r="T584">
        <f>_xll.BDP("724428EM Muni","LQA_LIQUIDITY_SCORE")</f>
        <v>74</v>
      </c>
    </row>
    <row r="585" spans="1:20" x14ac:dyDescent="0.25">
      <c r="A585" t="str">
        <f>_xll.BDP("728041XM Muni","ID_CUSIP")</f>
        <v>728041XM1</v>
      </c>
      <c r="B585" t="s">
        <v>206</v>
      </c>
      <c r="C585" t="str">
        <f>_xll.BDP("728041XM Muni","INSURANCE_STATUS")</f>
        <v>Y</v>
      </c>
      <c r="D585" t="str">
        <f>_xll.BDP("728041XM Muni","STATE_CODE")</f>
        <v>NY</v>
      </c>
      <c r="E585" t="str">
        <f>_xll.BDP("728041XM Muni","COUNTY_LOCATION_ISSUER")</f>
        <v>Clinton, NY</v>
      </c>
      <c r="F585">
        <f>_xll.BDP("728041XM Muni","DUR_ADJ_MID")</f>
        <v>3.0645840152384851</v>
      </c>
      <c r="G585">
        <f>_xll.BDP("728041XM Muni","SPREAD_AT_ISSUANCE_TO_WORST")</f>
        <v>36.409268493150712</v>
      </c>
      <c r="H585" t="str">
        <f>_xll.BDP("728041XM Muni","ISSUE_DT")</f>
        <v>11/2/2017</v>
      </c>
      <c r="I585" t="str">
        <f>_xll.BDS("728041XM Muni","MUNI_PURPOSE_SCHED", "aggregate=y")</f>
        <v>REFUNDING BONDS WATER UTILITY IMPS. PUBLIC IMPS.</v>
      </c>
      <c r="J585">
        <f>_xll.BDP("728041XM Muni","CPN")</f>
        <v>3</v>
      </c>
      <c r="K585" t="str">
        <f>_xll.BDP("728041XM Muni","MATURITY")</f>
        <v>11/1/2025</v>
      </c>
      <c r="L585">
        <v>900000</v>
      </c>
      <c r="M585">
        <f>_xll.BDP("728041XM Muni","YIELD_ON_ISSUE_DATE")</f>
        <v>2.12</v>
      </c>
      <c r="N585">
        <f>_xll.BDP("728041XM Muni","YTW_SPREAD_TO_MATURITY_AT_ISSU")</f>
        <v>36.409268493150712</v>
      </c>
      <c r="O585" t="str">
        <f>_xll.BDP("728041XM Muni","BVAL_MID_YTM")</f>
        <v>#N/A Authorization</v>
      </c>
      <c r="P585" t="str">
        <f>_xll.BDP("728041XM Muni","MUNI_TAX_PROV")</f>
        <v>FED BQ/ST TAX-EXEMPT</v>
      </c>
      <c r="Q585" t="str">
        <f>_xll.BDP("728041XM Muni","MUNI_FED_TAX")</f>
        <v>N</v>
      </c>
      <c r="R585" t="str">
        <f>_xll.BDP("728041XM Muni","MUNI_MSRB_VOLUME")</f>
        <v>#N/A N/A</v>
      </c>
      <c r="S585" t="str">
        <f>_xll.BDP("728041XM Muni","BB_COMPOSITE")</f>
        <v>A</v>
      </c>
      <c r="T585">
        <f>_xll.BDP("728041XM Muni","LQA_LIQUIDITY_SCORE")</f>
        <v>60</v>
      </c>
    </row>
    <row r="586" spans="1:20" x14ac:dyDescent="0.25">
      <c r="A586" t="str">
        <f>_xll.BDP("728857MH Muni","ID_CUSIP")</f>
        <v>728857MH3</v>
      </c>
      <c r="B586" t="s">
        <v>207</v>
      </c>
      <c r="C586" t="str">
        <f>_xll.BDP("728857MH Muni","INSURANCE_STATUS")</f>
        <v>N</v>
      </c>
      <c r="D586" t="str">
        <f>_xll.BDP("728857MH Muni","STATE_CODE")</f>
        <v>TX</v>
      </c>
      <c r="E586" t="str">
        <f>_xll.BDP("728857MH Muni","COUNTY_LOCATION_ISSUER")</f>
        <v>Atascosa, TX</v>
      </c>
      <c r="F586">
        <f>_xll.BDP("728857MH Muni","DUR_ADJ_MID")</f>
        <v>5.5551933954145882E-3</v>
      </c>
      <c r="G586">
        <f>_xll.BDP("728857MH Muni","SPREAD_AT_ISSUANCE_TO_WORST")</f>
        <v>27.129838356164381</v>
      </c>
      <c r="H586" t="str">
        <f>_xll.BDP("728857MH Muni","ISSUE_DT")</f>
        <v>9/1/2017</v>
      </c>
      <c r="I586" t="str">
        <f>_xll.BDS("728857MH Muni","MUNI_PURPOSE_SCHED", "aggregate=y")</f>
        <v>PUBLIC IMPS. WATER UTILITY IMPS. SEWER IMPS.</v>
      </c>
      <c r="J586">
        <f>_xll.BDP("728857MH Muni","CPN")</f>
        <v>3</v>
      </c>
      <c r="K586" t="str">
        <f>_xll.BDP("728857MH Muni","MATURITY")</f>
        <v>8/1/2022</v>
      </c>
      <c r="L586">
        <v>80000</v>
      </c>
      <c r="M586">
        <f>_xll.BDP("728857MH Muni","YIELD_ON_ISSUE_DATE")</f>
        <v>1.5</v>
      </c>
      <c r="N586">
        <f>_xll.BDP("728857MH Muni","YTW_SPREAD_TO_MATURITY_AT_ISSU")</f>
        <v>27.129838356164381</v>
      </c>
      <c r="O586" t="str">
        <f>_xll.BDP("728857MH Muni","BVAL_MID_YTM")</f>
        <v>#N/A Authorization</v>
      </c>
      <c r="P586" t="str">
        <f>_xll.BDP("728857MH Muni","MUNI_TAX_PROV")</f>
        <v>FED BQ</v>
      </c>
      <c r="Q586" t="str">
        <f>_xll.BDP("728857MH Muni","MUNI_FED_TAX")</f>
        <v>N</v>
      </c>
      <c r="R586" t="str">
        <f>_xll.BDP("728857MH Muni","MUNI_MSRB_VOLUME")</f>
        <v>#N/A N/A</v>
      </c>
      <c r="S586" t="str">
        <f>_xll.BDP("728857MH Muni","BB_COMPOSITE")</f>
        <v>#N/A N/A</v>
      </c>
      <c r="T586">
        <f>_xll.BDP("728857MH Muni","LQA_LIQUIDITY_SCORE")</f>
        <v>98</v>
      </c>
    </row>
    <row r="587" spans="1:20" x14ac:dyDescent="0.25">
      <c r="A587" t="str">
        <f>_xll.BDP("728857MK Muni","ID_CUSIP")</f>
        <v>728857MK6</v>
      </c>
      <c r="B587" t="s">
        <v>207</v>
      </c>
      <c r="C587" t="str">
        <f>_xll.BDP("728857MK Muni","INSURANCE_STATUS")</f>
        <v>N</v>
      </c>
      <c r="D587" t="str">
        <f>_xll.BDP("728857MK Muni","STATE_CODE")</f>
        <v>TX</v>
      </c>
      <c r="E587" t="str">
        <f>_xll.BDP("728857MK Muni","COUNTY_LOCATION_ISSUER")</f>
        <v>Atascosa, TX</v>
      </c>
      <c r="F587">
        <f>_xll.BDP("728857MK Muni","DUR_ADJ_MID")</f>
        <v>1.9343328036805636</v>
      </c>
      <c r="G587">
        <f>_xll.BDP("728857MK Muni","SPREAD_AT_ISSUANCE_TO_WORST")</f>
        <v>28.878726027397271</v>
      </c>
      <c r="H587" t="str">
        <f>_xll.BDP("728857MK Muni","ISSUE_DT")</f>
        <v>9/1/2017</v>
      </c>
      <c r="I587" t="str">
        <f>_xll.BDS("728857MK Muni","MUNI_PURPOSE_SCHED", "aggregate=y")</f>
        <v>PUBLIC IMPS. WATER UTILITY IMPS. SEWER IMPS.</v>
      </c>
      <c r="J587">
        <f>_xll.BDP("728857MK Muni","CPN")</f>
        <v>3</v>
      </c>
      <c r="K587" t="str">
        <f>_xll.BDP("728857MK Muni","MATURITY")</f>
        <v>8/1/2024</v>
      </c>
      <c r="L587">
        <v>85000</v>
      </c>
      <c r="M587">
        <f>_xll.BDP("728857MK Muni","YIELD_ON_ISSUE_DATE")</f>
        <v>1.8</v>
      </c>
      <c r="N587">
        <f>_xll.BDP("728857MK Muni","YTW_SPREAD_TO_MATURITY_AT_ISSU")</f>
        <v>28.878726027397271</v>
      </c>
      <c r="O587" t="str">
        <f>_xll.BDP("728857MK Muni","BVAL_MID_YTM")</f>
        <v>#N/A Authorization</v>
      </c>
      <c r="P587" t="str">
        <f>_xll.BDP("728857MK Muni","MUNI_TAX_PROV")</f>
        <v>FED BQ</v>
      </c>
      <c r="Q587" t="str">
        <f>_xll.BDP("728857MK Muni","MUNI_FED_TAX")</f>
        <v>N</v>
      </c>
      <c r="R587" t="str">
        <f>_xll.BDP("728857MK Muni","MUNI_MSRB_VOLUME")</f>
        <v>#N/A N/A</v>
      </c>
      <c r="S587" t="str">
        <f>_xll.BDP("728857MK Muni","BB_COMPOSITE")</f>
        <v>#N/A N/A</v>
      </c>
      <c r="T587">
        <f>_xll.BDP("728857MK Muni","LQA_LIQUIDITY_SCORE")</f>
        <v>70</v>
      </c>
    </row>
    <row r="588" spans="1:20" x14ac:dyDescent="0.25">
      <c r="A588" t="str">
        <f>_xll.BDP("728857ML Muni","ID_CUSIP")</f>
        <v>728857ML4</v>
      </c>
      <c r="B588" t="s">
        <v>207</v>
      </c>
      <c r="C588" t="str">
        <f>_xll.BDP("728857ML Muni","INSURANCE_STATUS")</f>
        <v>N</v>
      </c>
      <c r="D588" t="str">
        <f>_xll.BDP("728857ML Muni","STATE_CODE")</f>
        <v>TX</v>
      </c>
      <c r="E588" t="str">
        <f>_xll.BDP("728857ML Muni","COUNTY_LOCATION_ISSUER")</f>
        <v>Atascosa, TX</v>
      </c>
      <c r="F588">
        <f>_xll.BDP("728857ML Muni","DUR_ADJ_MID")</f>
        <v>2.8599492556798709</v>
      </c>
      <c r="G588">
        <f>_xll.BDP("728857ML Muni","SPREAD_AT_ISSUANCE_TO_WORST")</f>
        <v>34.432063013698631</v>
      </c>
      <c r="H588" t="str">
        <f>_xll.BDP("728857ML Muni","ISSUE_DT")</f>
        <v>9/1/2017</v>
      </c>
      <c r="I588" t="str">
        <f>_xll.BDS("728857ML Muni","MUNI_PURPOSE_SCHED", "aggregate=y")</f>
        <v>PUBLIC IMPS. WATER UTILITY IMPS. SEWER IMPS.</v>
      </c>
      <c r="J588">
        <f>_xll.BDP("728857ML Muni","CPN")</f>
        <v>3</v>
      </c>
      <c r="K588" t="str">
        <f>_xll.BDP("728857ML Muni","MATURITY")</f>
        <v>8/1/2025</v>
      </c>
      <c r="L588">
        <v>90000</v>
      </c>
      <c r="M588">
        <f>_xll.BDP("728857ML Muni","YIELD_ON_ISSUE_DATE")</f>
        <v>2</v>
      </c>
      <c r="N588">
        <f>_xll.BDP("728857ML Muni","YTW_SPREAD_TO_MATURITY_AT_ISSU")</f>
        <v>34.432063013698631</v>
      </c>
      <c r="O588" t="str">
        <f>_xll.BDP("728857ML Muni","BVAL_MID_YTM")</f>
        <v>#N/A Authorization</v>
      </c>
      <c r="P588" t="str">
        <f>_xll.BDP("728857ML Muni","MUNI_TAX_PROV")</f>
        <v>FED BQ</v>
      </c>
      <c r="Q588" t="str">
        <f>_xll.BDP("728857ML Muni","MUNI_FED_TAX")</f>
        <v>N</v>
      </c>
      <c r="R588" t="str">
        <f>_xll.BDP("728857ML Muni","MUNI_MSRB_VOLUME")</f>
        <v>#N/A N/A</v>
      </c>
      <c r="S588" t="str">
        <f>_xll.BDP("728857ML Muni","BB_COMPOSITE")</f>
        <v>#N/A N/A</v>
      </c>
      <c r="T588">
        <f>_xll.BDP("728857ML Muni","LQA_LIQUIDITY_SCORE")</f>
        <v>58</v>
      </c>
    </row>
    <row r="589" spans="1:20" x14ac:dyDescent="0.25">
      <c r="A589" t="str">
        <f>_xll.BDP("728041XJ Muni","ID_CUSIP")</f>
        <v>728041XJ8</v>
      </c>
      <c r="B589" t="s">
        <v>206</v>
      </c>
      <c r="C589" t="str">
        <f>_xll.BDP("728041XJ Muni","INSURANCE_STATUS")</f>
        <v>Y</v>
      </c>
      <c r="D589" t="str">
        <f>_xll.BDP("728041XJ Muni","STATE_CODE")</f>
        <v>NY</v>
      </c>
      <c r="E589" t="str">
        <f>_xll.BDP("728041XJ Muni","COUNTY_LOCATION_ISSUER")</f>
        <v>Clinton, NY</v>
      </c>
      <c r="F589">
        <f>_xll.BDP("728041XJ Muni","DUR_ADJ_MID")</f>
        <v>0.24646460391441094</v>
      </c>
      <c r="G589">
        <f>_xll.BDP("728041XJ Muni","SPREAD_AT_ISSUANCE_TO_WORST")</f>
        <v>37.200575342465768</v>
      </c>
      <c r="H589" t="str">
        <f>_xll.BDP("728041XJ Muni","ISSUE_DT")</f>
        <v>11/2/2017</v>
      </c>
      <c r="I589" t="str">
        <f>_xll.BDS("728041XJ Muni","MUNI_PURPOSE_SCHED", "aggregate=y")</f>
        <v>REFUNDING BONDS WATER UTILITY IMPS. PUBLIC IMPS.</v>
      </c>
      <c r="J589">
        <f>_xll.BDP("728041XJ Muni","CPN")</f>
        <v>2.25</v>
      </c>
      <c r="K589" t="str">
        <f>_xll.BDP("728041XJ Muni","MATURITY")</f>
        <v>11/1/2022</v>
      </c>
      <c r="L589">
        <v>850000</v>
      </c>
      <c r="M589">
        <f>_xll.BDP("728041XJ Muni","YIELD_ON_ISSUE_DATE")</f>
        <v>1.75</v>
      </c>
      <c r="N589">
        <f>_xll.BDP("728041XJ Muni","YTW_SPREAD_TO_MATURITY_AT_ISSU")</f>
        <v>37.200575342465768</v>
      </c>
      <c r="O589" t="str">
        <f>_xll.BDP("728041XJ Muni","BVAL_MID_YTM")</f>
        <v>#N/A Authorization</v>
      </c>
      <c r="P589" t="str">
        <f>_xll.BDP("728041XJ Muni","MUNI_TAX_PROV")</f>
        <v>FED BQ/ST TAX-EXEMPT</v>
      </c>
      <c r="Q589" t="str">
        <f>_xll.BDP("728041XJ Muni","MUNI_FED_TAX")</f>
        <v>N</v>
      </c>
      <c r="R589" t="str">
        <f>_xll.BDP("728041XJ Muni","MUNI_MSRB_VOLUME")</f>
        <v>#N/A N/A</v>
      </c>
      <c r="S589" t="str">
        <f>_xll.BDP("728041XJ Muni","BB_COMPOSITE")</f>
        <v>A</v>
      </c>
      <c r="T589">
        <f>_xll.BDP("728041XJ Muni","LQA_LIQUIDITY_SCORE")</f>
        <v>92</v>
      </c>
    </row>
    <row r="590" spans="1:20" x14ac:dyDescent="0.25">
      <c r="A590" t="str">
        <f>_xll.BDP("728041XL Muni","ID_CUSIP")</f>
        <v>728041XL3</v>
      </c>
      <c r="B590" t="s">
        <v>206</v>
      </c>
      <c r="C590" t="str">
        <f>_xll.BDP("728041XL Muni","INSURANCE_STATUS")</f>
        <v>Y</v>
      </c>
      <c r="D590" t="str">
        <f>_xll.BDP("728041XL Muni","STATE_CODE")</f>
        <v>NY</v>
      </c>
      <c r="E590" t="str">
        <f>_xll.BDP("728041XL Muni","COUNTY_LOCATION_ISSUER")</f>
        <v>Clinton, NY</v>
      </c>
      <c r="F590">
        <f>_xll.BDP("728041XL Muni","DUR_ADJ_MID")</f>
        <v>2.1528632919886843</v>
      </c>
      <c r="G590">
        <f>_xll.BDP("728041XL Muni","SPREAD_AT_ISSUANCE_TO_WORST")</f>
        <v>37.131090410958898</v>
      </c>
      <c r="H590" t="str">
        <f>_xll.BDP("728041XL Muni","ISSUE_DT")</f>
        <v>11/2/2017</v>
      </c>
      <c r="I590" t="str">
        <f>_xll.BDS("728041XL Muni","MUNI_PURPOSE_SCHED", "aggregate=y")</f>
        <v>REFUNDING BONDS WATER UTILITY IMPS. PUBLIC IMPS.</v>
      </c>
      <c r="J590">
        <f>_xll.BDP("728041XL Muni","CPN")</f>
        <v>3</v>
      </c>
      <c r="K590" t="str">
        <f>_xll.BDP("728041XL Muni","MATURITY")</f>
        <v>11/1/2024</v>
      </c>
      <c r="L590">
        <v>875000</v>
      </c>
      <c r="M590">
        <f>_xll.BDP("728041XL Muni","YIELD_ON_ISSUE_DATE")</f>
        <v>2</v>
      </c>
      <c r="N590">
        <f>_xll.BDP("728041XL Muni","YTW_SPREAD_TO_MATURITY_AT_ISSU")</f>
        <v>37.131090410958898</v>
      </c>
      <c r="O590" t="str">
        <f>_xll.BDP("728041XL Muni","BVAL_MID_YTM")</f>
        <v>#N/A Authorization</v>
      </c>
      <c r="P590" t="str">
        <f>_xll.BDP("728041XL Muni","MUNI_TAX_PROV")</f>
        <v>FED BQ/ST TAX-EXEMPT</v>
      </c>
      <c r="Q590" t="str">
        <f>_xll.BDP("728041XL Muni","MUNI_FED_TAX")</f>
        <v>N</v>
      </c>
      <c r="R590" t="str">
        <f>_xll.BDP("728041XL Muni","MUNI_MSRB_VOLUME")</f>
        <v>#N/A N/A</v>
      </c>
      <c r="S590" t="str">
        <f>_xll.BDP("728041XL Muni","BB_COMPOSITE")</f>
        <v>A</v>
      </c>
      <c r="T590">
        <f>_xll.BDP("728041XL Muni","LQA_LIQUIDITY_SCORE")</f>
        <v>71</v>
      </c>
    </row>
    <row r="591" spans="1:20" x14ac:dyDescent="0.25">
      <c r="A591" t="str">
        <f>_xll.BDP("739545MP Muni","ID_CUSIP")</f>
        <v>739545MP3</v>
      </c>
      <c r="B591" t="s">
        <v>233</v>
      </c>
      <c r="C591" t="str">
        <f>_xll.BDP("739545MP Muni","INSURANCE_STATUS")</f>
        <v>N</v>
      </c>
      <c r="D591" t="str">
        <f>_xll.BDP("739545MP Muni","STATE_CODE")</f>
        <v>WI</v>
      </c>
      <c r="E591" t="str">
        <f>_xll.BDP("739545MP Muni","COUNTY_LOCATION_ISSUER")</f>
        <v>Sauk, WI</v>
      </c>
      <c r="F591">
        <f>_xll.BDP("739545MP Muni","DUR_ADJ_MID")</f>
        <v>0.57137200921665232</v>
      </c>
      <c r="G591">
        <f>_xll.BDP("739545MP Muni","SPREAD_AT_ISSUANCE_TO_WORST")</f>
        <v>14.726999774920401</v>
      </c>
      <c r="H591" t="str">
        <f>_xll.BDP("739545MP Muni","ISSUE_DT")</f>
        <v>3/23/2017</v>
      </c>
      <c r="I591" t="str">
        <f>_xll.BDS("739545MP Muni","MUNI_PURPOSE_SCHED", "aggregate=y")</f>
        <v>PUBLIC IMPS. WATER UTILITY IMPS. SEWER IMPS.</v>
      </c>
      <c r="J591">
        <f>_xll.BDP("739545MP Muni","CPN")</f>
        <v>2.25</v>
      </c>
      <c r="K591" t="str">
        <f>_xll.BDP("739545MP Muni","MATURITY")</f>
        <v>3/1/2023</v>
      </c>
      <c r="L591">
        <v>125000</v>
      </c>
      <c r="M591">
        <f>_xll.BDP("739545MP Muni","YIELD_ON_ISSUE_DATE")</f>
        <v>1.85</v>
      </c>
      <c r="N591">
        <f>_xll.BDP("739545MP Muni","YTW_SPREAD_TO_MATURITY_AT_ISSU")</f>
        <v>14.726999774920401</v>
      </c>
      <c r="O591" t="str">
        <f>_xll.BDP("739545MP Muni","BVAL_MID_YTM")</f>
        <v>#N/A Authorization</v>
      </c>
      <c r="P591" t="str">
        <f>_xll.BDP("739545MP Muni","MUNI_TAX_PROV")</f>
        <v>FED BQ/ST TAXABLE</v>
      </c>
      <c r="Q591" t="str">
        <f>_xll.BDP("739545MP Muni","MUNI_FED_TAX")</f>
        <v>N</v>
      </c>
      <c r="R591" t="str">
        <f>_xll.BDP("739545MP Muni","MUNI_MSRB_VOLUME")</f>
        <v>#N/A N/A</v>
      </c>
      <c r="S591" t="str">
        <f>_xll.BDP("739545MP Muni","BB_COMPOSITE")</f>
        <v>#N/A N/A</v>
      </c>
      <c r="T591">
        <f>_xll.BDP("739545MP Muni","LQA_LIQUIDITY_SCORE")</f>
        <v>88</v>
      </c>
    </row>
    <row r="592" spans="1:20" x14ac:dyDescent="0.25">
      <c r="A592" t="str">
        <f>_xll.BDP("764279AR Muni","ID_CUSIP")</f>
        <v>764279AR6</v>
      </c>
      <c r="B592" t="s">
        <v>82</v>
      </c>
      <c r="C592" t="str">
        <f>_xll.BDP("764279AR Muni","INSURANCE_STATUS")</f>
        <v>N</v>
      </c>
      <c r="D592" t="str">
        <f>_xll.BDP("764279AR Muni","STATE_CODE")</f>
        <v>WA</v>
      </c>
      <c r="E592" t="str">
        <f>_xll.BDP("764279AR Muni","COUNTY_LOCATION_ISSUER")</f>
        <v>Benton, WA</v>
      </c>
      <c r="F592">
        <f>_xll.BDP("764279AR Muni","DUR_ADJ_MID")</f>
        <v>0.24671202715353693</v>
      </c>
      <c r="G592">
        <f>_xll.BDP("764279AR Muni","SPREAD_AT_ISSUANCE_TO_WORST")</f>
        <v>23.797751327037563</v>
      </c>
      <c r="H592" t="str">
        <f>_xll.BDP("764279AR Muni","ISSUE_DT")</f>
        <v>6/22/2017</v>
      </c>
      <c r="I592" t="str">
        <f>_xll.BDS("764279AR Muni","MUNI_PURPOSE_SCHED", "aggregate=y")</f>
        <v>WATER UTILITY IMPS. ADVANCE REFUNDING REFUNDING NOTES</v>
      </c>
      <c r="J592">
        <f>_xll.BDP("764279AR Muni","CPN")</f>
        <v>3</v>
      </c>
      <c r="K592" t="str">
        <f>_xll.BDP("764279AR Muni","MATURITY")</f>
        <v>11/1/2022</v>
      </c>
      <c r="L592">
        <v>265000</v>
      </c>
      <c r="M592">
        <f>_xll.BDP("764279AR Muni","YIELD_ON_ISSUE_DATE")</f>
        <v>1.43</v>
      </c>
      <c r="N592">
        <f>_xll.BDP("764279AR Muni","YTW_SPREAD_TO_MATURITY_AT_ISSU")</f>
        <v>23.797751327037563</v>
      </c>
      <c r="O592" t="str">
        <f>_xll.BDP("764279AR Muni","BVAL_MID_YTM")</f>
        <v>#N/A Authorization</v>
      </c>
      <c r="P592" t="str">
        <f>_xll.BDP("764279AR Muni","MUNI_TAX_PROV")</f>
        <v>FED TAX-EXEMPT</v>
      </c>
      <c r="Q592" t="str">
        <f>_xll.BDP("764279AR Muni","MUNI_FED_TAX")</f>
        <v>N</v>
      </c>
      <c r="R592" t="str">
        <f>_xll.BDP("764279AR Muni","MUNI_MSRB_VOLUME")</f>
        <v>#N/A N/A</v>
      </c>
      <c r="S592" t="str">
        <f>_xll.BDP("764279AR Muni","BB_COMPOSITE")</f>
        <v>#N/A N/A</v>
      </c>
      <c r="T592">
        <f>_xll.BDP("764279AR Muni","LQA_LIQUIDITY_SCORE")</f>
        <v>95</v>
      </c>
    </row>
    <row r="593" spans="1:20" x14ac:dyDescent="0.25">
      <c r="A593" t="str">
        <f>_xll.BDP("764279AS Muni","ID_CUSIP")</f>
        <v>764279AS4</v>
      </c>
      <c r="B593" t="s">
        <v>82</v>
      </c>
      <c r="C593" t="str">
        <f>_xll.BDP("764279AS Muni","INSURANCE_STATUS")</f>
        <v>N</v>
      </c>
      <c r="D593" t="str">
        <f>_xll.BDP("764279AS Muni","STATE_CODE")</f>
        <v>WA</v>
      </c>
      <c r="E593" t="str">
        <f>_xll.BDP("764279AS Muni","COUNTY_LOCATION_ISSUER")</f>
        <v>Benton, WA</v>
      </c>
      <c r="F593">
        <f>_xll.BDP("764279AS Muni","DUR_ADJ_MID")</f>
        <v>1.209754369041482</v>
      </c>
      <c r="G593">
        <f>_xll.BDP("764279AS Muni","SPREAD_AT_ISSUANCE_TO_WORST")</f>
        <v>23.610136617689868</v>
      </c>
      <c r="H593" t="str">
        <f>_xll.BDP("764279AS Muni","ISSUE_DT")</f>
        <v>6/22/2017</v>
      </c>
      <c r="I593" t="str">
        <f>_xll.BDS("764279AS Muni","MUNI_PURPOSE_SCHED", "aggregate=y")</f>
        <v>WATER UTILITY IMPS. ADVANCE REFUNDING REFUNDING NOTES</v>
      </c>
      <c r="J593">
        <f>_xll.BDP("764279AS Muni","CPN")</f>
        <v>4</v>
      </c>
      <c r="K593" t="str">
        <f>_xll.BDP("764279AS Muni","MATURITY")</f>
        <v>11/1/2023</v>
      </c>
      <c r="L593">
        <v>280000</v>
      </c>
      <c r="M593">
        <f>_xll.BDP("764279AS Muni","YIELD_ON_ISSUE_DATE")</f>
        <v>1.58</v>
      </c>
      <c r="N593">
        <f>_xll.BDP("764279AS Muni","YTW_SPREAD_TO_MATURITY_AT_ISSU")</f>
        <v>23.610136617689868</v>
      </c>
      <c r="O593" t="str">
        <f>_xll.BDP("764279AS Muni","BVAL_MID_YTM")</f>
        <v>#N/A Authorization</v>
      </c>
      <c r="P593" t="str">
        <f>_xll.BDP("764279AS Muni","MUNI_TAX_PROV")</f>
        <v>FED TAX-EXEMPT</v>
      </c>
      <c r="Q593" t="str">
        <f>_xll.BDP("764279AS Muni","MUNI_FED_TAX")</f>
        <v>N</v>
      </c>
      <c r="R593" t="str">
        <f>_xll.BDP("764279AS Muni","MUNI_MSRB_VOLUME")</f>
        <v>#N/A N/A</v>
      </c>
      <c r="S593" t="str">
        <f>_xll.BDP("764279AS Muni","BB_COMPOSITE")</f>
        <v>#N/A N/A</v>
      </c>
      <c r="T593">
        <f>_xll.BDP("764279AS Muni","LQA_LIQUIDITY_SCORE")</f>
        <v>83</v>
      </c>
    </row>
    <row r="594" spans="1:20" x14ac:dyDescent="0.25">
      <c r="A594" t="str">
        <f>_xll.BDP("764279AT Muni","ID_CUSIP")</f>
        <v>764279AT2</v>
      </c>
      <c r="B594" t="s">
        <v>82</v>
      </c>
      <c r="C594" t="str">
        <f>_xll.BDP("764279AT Muni","INSURANCE_STATUS")</f>
        <v>N</v>
      </c>
      <c r="D594" t="str">
        <f>_xll.BDP("764279AT Muni","STATE_CODE")</f>
        <v>WA</v>
      </c>
      <c r="E594" t="str">
        <f>_xll.BDP("764279AT Muni","COUNTY_LOCATION_ISSUER")</f>
        <v>Benton, WA</v>
      </c>
      <c r="F594">
        <f>_xll.BDP("764279AT Muni","DUR_ADJ_MID")</f>
        <v>2.1365548479800305</v>
      </c>
      <c r="G594">
        <f>_xll.BDP("764279AT Muni","SPREAD_AT_ISSUANCE_TO_WORST")</f>
        <v>22.324761971873762</v>
      </c>
      <c r="H594" t="str">
        <f>_xll.BDP("764279AT Muni","ISSUE_DT")</f>
        <v>6/22/2017</v>
      </c>
      <c r="I594" t="str">
        <f>_xll.BDS("764279AT Muni","MUNI_PURPOSE_SCHED", "aggregate=y")</f>
        <v>WATER UTILITY IMPS. ADVANCE REFUNDING REFUNDING NOTES</v>
      </c>
      <c r="J594">
        <f>_xll.BDP("764279AT Muni","CPN")</f>
        <v>4</v>
      </c>
      <c r="K594" t="str">
        <f>_xll.BDP("764279AT Muni","MATURITY")</f>
        <v>11/1/2024</v>
      </c>
      <c r="L594">
        <v>510000</v>
      </c>
      <c r="M594">
        <f>_xll.BDP("764279AT Muni","YIELD_ON_ISSUE_DATE")</f>
        <v>1.72</v>
      </c>
      <c r="N594">
        <f>_xll.BDP("764279AT Muni","YTW_SPREAD_TO_MATURITY_AT_ISSU")</f>
        <v>22.324761971873762</v>
      </c>
      <c r="O594" t="str">
        <f>_xll.BDP("764279AT Muni","BVAL_MID_YTM")</f>
        <v>#N/A Authorization</v>
      </c>
      <c r="P594" t="str">
        <f>_xll.BDP("764279AT Muni","MUNI_TAX_PROV")</f>
        <v>FED TAX-EXEMPT</v>
      </c>
      <c r="Q594" t="str">
        <f>_xll.BDP("764279AT Muni","MUNI_FED_TAX")</f>
        <v>N</v>
      </c>
      <c r="R594" t="str">
        <f>_xll.BDP("764279AT Muni","MUNI_MSRB_VOLUME")</f>
        <v>#N/A N/A</v>
      </c>
      <c r="S594" t="str">
        <f>_xll.BDP("764279AT Muni","BB_COMPOSITE")</f>
        <v>#N/A N/A</v>
      </c>
      <c r="T594">
        <f>_xll.BDP("764279AT Muni","LQA_LIQUIDITY_SCORE")</f>
        <v>74</v>
      </c>
    </row>
    <row r="595" spans="1:20" x14ac:dyDescent="0.25">
      <c r="A595" t="str">
        <f>_xll.BDP("765378PA Muni","ID_CUSIP")</f>
        <v>765378PA6</v>
      </c>
      <c r="B595" t="s">
        <v>234</v>
      </c>
      <c r="C595" t="str">
        <f>_xll.BDP("765378PA Muni","INSURANCE_STATUS")</f>
        <v>N</v>
      </c>
      <c r="D595" t="str">
        <f>_xll.BDP("765378PA Muni","STATE_CODE")</f>
        <v>TX</v>
      </c>
      <c r="E595" t="str">
        <f>_xll.BDP("765378PA Muni","COUNTY_LOCATION_ISSUER")</f>
        <v>Fort Bend, TX</v>
      </c>
      <c r="F595">
        <f>_xll.BDP("765378PA Muni","DUR_ADJ_MID")</f>
        <v>0.56928532678794286</v>
      </c>
      <c r="G595">
        <f>_xll.BDP("765378PA Muni","SPREAD_AT_ISSUANCE_TO_WORST")</f>
        <v>17.052890410958899</v>
      </c>
      <c r="H595" t="str">
        <f>_xll.BDP("765378PA Muni","ISSUE_DT")</f>
        <v>12/1/2017</v>
      </c>
      <c r="I595" t="str">
        <f>_xll.BDS("765378PA Muni","MUNI_PURPOSE_SCHED", "aggregate=y")</f>
        <v>WATER UTILITY IMPS. SEWER IMPS.</v>
      </c>
      <c r="J595">
        <f>_xll.BDP("765378PA Muni","CPN")</f>
        <v>3</v>
      </c>
      <c r="K595" t="str">
        <f>_xll.BDP("765378PA Muni","MATURITY")</f>
        <v>3/1/2023</v>
      </c>
      <c r="L595">
        <v>255000</v>
      </c>
      <c r="M595">
        <f>_xll.BDP("765378PA Muni","YIELD_ON_ISSUE_DATE")</f>
        <v>1.7000000000000002</v>
      </c>
      <c r="N595">
        <f>_xll.BDP("765378PA Muni","YTW_SPREAD_TO_MATURITY_AT_ISSU")</f>
        <v>17.052890410958899</v>
      </c>
      <c r="O595" t="str">
        <f>_xll.BDP("765378PA Muni","BVAL_MID_YTM")</f>
        <v>#N/A Authorization</v>
      </c>
      <c r="P595" t="str">
        <f>_xll.BDP("765378PA Muni","MUNI_TAX_PROV")</f>
        <v>FED BQ</v>
      </c>
      <c r="Q595" t="str">
        <f>_xll.BDP("765378PA Muni","MUNI_FED_TAX")</f>
        <v>N</v>
      </c>
      <c r="R595" t="str">
        <f>_xll.BDP("765378PA Muni","MUNI_MSRB_VOLUME")</f>
        <v>#N/A N/A</v>
      </c>
      <c r="S595" t="str">
        <f>_xll.BDP("765378PA Muni","BB_COMPOSITE")</f>
        <v>#N/A N/A</v>
      </c>
      <c r="T595">
        <f>_xll.BDP("765378PA Muni","LQA_LIQUIDITY_SCORE")</f>
        <v>89</v>
      </c>
    </row>
    <row r="596" spans="1:20" x14ac:dyDescent="0.25">
      <c r="A596" t="str">
        <f>_xll.BDP("765378PB Muni","ID_CUSIP")</f>
        <v>765378PB4</v>
      </c>
      <c r="B596" t="s">
        <v>234</v>
      </c>
      <c r="C596" t="str">
        <f>_xll.BDP("765378PB Muni","INSURANCE_STATUS")</f>
        <v>N</v>
      </c>
      <c r="D596" t="str">
        <f>_xll.BDP("765378PB Muni","STATE_CODE")</f>
        <v>TX</v>
      </c>
      <c r="E596" t="str">
        <f>_xll.BDP("765378PB Muni","COUNTY_LOCATION_ISSUER")</f>
        <v>Fort Bend, TX</v>
      </c>
      <c r="F596">
        <f>_xll.BDP("765378PB Muni","DUR_ADJ_MID")</f>
        <v>1.5226554693695156</v>
      </c>
      <c r="G596">
        <f>_xll.BDP("765378PB Muni","SPREAD_AT_ISSUANCE_TO_WORST")</f>
        <v>26.393024657534237</v>
      </c>
      <c r="H596" t="str">
        <f>_xll.BDP("765378PB Muni","ISSUE_DT")</f>
        <v>12/1/2017</v>
      </c>
      <c r="I596" t="str">
        <f>_xll.BDS("765378PB Muni","MUNI_PURPOSE_SCHED", "aggregate=y")</f>
        <v>WATER UTILITY IMPS. SEWER IMPS.</v>
      </c>
      <c r="J596">
        <f>_xll.BDP("765378PB Muni","CPN")</f>
        <v>3</v>
      </c>
      <c r="K596" t="str">
        <f>_xll.BDP("765378PB Muni","MATURITY")</f>
        <v>3/1/2024</v>
      </c>
      <c r="L596">
        <v>265000</v>
      </c>
      <c r="M596">
        <f>_xll.BDP("765378PB Muni","YIELD_ON_ISSUE_DATE")</f>
        <v>1.9000000000000001</v>
      </c>
      <c r="N596">
        <f>_xll.BDP("765378PB Muni","YTW_SPREAD_TO_MATURITY_AT_ISSU")</f>
        <v>26.393024657534237</v>
      </c>
      <c r="O596" t="str">
        <f>_xll.BDP("765378PB Muni","BVAL_MID_YTM")</f>
        <v>#N/A Authorization</v>
      </c>
      <c r="P596" t="str">
        <f>_xll.BDP("765378PB Muni","MUNI_TAX_PROV")</f>
        <v>FED BQ</v>
      </c>
      <c r="Q596" t="str">
        <f>_xll.BDP("765378PB Muni","MUNI_FED_TAX")</f>
        <v>N</v>
      </c>
      <c r="R596" t="str">
        <f>_xll.BDP("765378PB Muni","MUNI_MSRB_VOLUME")</f>
        <v>#N/A N/A</v>
      </c>
      <c r="S596" t="str">
        <f>_xll.BDP("765378PB Muni","BB_COMPOSITE")</f>
        <v>#N/A N/A</v>
      </c>
      <c r="T596">
        <f>_xll.BDP("765378PB Muni","LQA_LIQUIDITY_SCORE")</f>
        <v>79</v>
      </c>
    </row>
    <row r="597" spans="1:20" x14ac:dyDescent="0.25">
      <c r="A597" t="str">
        <f>_xll.BDP("765378PC Muni","ID_CUSIP")</f>
        <v>765378PC2</v>
      </c>
      <c r="B597" t="s">
        <v>234</v>
      </c>
      <c r="C597" t="str">
        <f>_xll.BDP("765378PC Muni","INSURANCE_STATUS")</f>
        <v>N</v>
      </c>
      <c r="D597" t="str">
        <f>_xll.BDP("765378PC Muni","STATE_CODE")</f>
        <v>TX</v>
      </c>
      <c r="E597" t="str">
        <f>_xll.BDP("765378PC Muni","COUNTY_LOCATION_ISSUER")</f>
        <v>Fort Bend, TX</v>
      </c>
      <c r="F597">
        <f>_xll.BDP("765378PC Muni","DUR_ADJ_MID")</f>
        <v>2.4482265430462875</v>
      </c>
      <c r="G597">
        <f>_xll.BDP("765378PC Muni","SPREAD_AT_ISSUANCE_TO_WORST")</f>
        <v>25.854764383561644</v>
      </c>
      <c r="H597" t="str">
        <f>_xll.BDP("765378PC Muni","ISSUE_DT")</f>
        <v>12/1/2017</v>
      </c>
      <c r="I597" t="str">
        <f>_xll.BDS("765378PC Muni","MUNI_PURPOSE_SCHED", "aggregate=y")</f>
        <v>WATER UTILITY IMPS. SEWER IMPS.</v>
      </c>
      <c r="J597">
        <f>_xll.BDP("765378PC Muni","CPN")</f>
        <v>3</v>
      </c>
      <c r="K597" t="str">
        <f>_xll.BDP("765378PC Muni","MATURITY")</f>
        <v>3/1/2025</v>
      </c>
      <c r="L597">
        <v>275000</v>
      </c>
      <c r="M597">
        <f>_xll.BDP("765378PC Muni","YIELD_ON_ISSUE_DATE")</f>
        <v>2</v>
      </c>
      <c r="N597">
        <f>_xll.BDP("765378PC Muni","YTW_SPREAD_TO_MATURITY_AT_ISSU")</f>
        <v>25.854764383561644</v>
      </c>
      <c r="O597" t="str">
        <f>_xll.BDP("765378PC Muni","BVAL_MID_YTM")</f>
        <v>#N/A Authorization</v>
      </c>
      <c r="P597" t="str">
        <f>_xll.BDP("765378PC Muni","MUNI_TAX_PROV")</f>
        <v>FED BQ</v>
      </c>
      <c r="Q597" t="str">
        <f>_xll.BDP("765378PC Muni","MUNI_FED_TAX")</f>
        <v>N</v>
      </c>
      <c r="R597" t="str">
        <f>_xll.BDP("765378PC Muni","MUNI_MSRB_VOLUME")</f>
        <v>#N/A N/A</v>
      </c>
      <c r="S597" t="str">
        <f>_xll.BDP("765378PC Muni","BB_COMPOSITE")</f>
        <v>#N/A N/A</v>
      </c>
      <c r="T597">
        <f>_xll.BDP("765378PC Muni","LQA_LIQUIDITY_SCORE")</f>
        <v>70</v>
      </c>
    </row>
    <row r="598" spans="1:20" x14ac:dyDescent="0.25">
      <c r="A598" t="str">
        <f>_xll.BDP("765378PD Muni","ID_CUSIP")</f>
        <v>765378PD0</v>
      </c>
      <c r="B598" t="s">
        <v>234</v>
      </c>
      <c r="C598" t="str">
        <f>_xll.BDP("765378PD Muni","INSURANCE_STATUS")</f>
        <v>N</v>
      </c>
      <c r="D598" t="str">
        <f>_xll.BDP("765378PD Muni","STATE_CODE")</f>
        <v>TX</v>
      </c>
      <c r="E598" t="str">
        <f>_xll.BDP("765378PD Muni","COUNTY_LOCATION_ISSUER")</f>
        <v>Fort Bend, TX</v>
      </c>
      <c r="F598">
        <f>_xll.BDP("765378PD Muni","DUR_ADJ_MID")</f>
        <v>3.347379090718833</v>
      </c>
      <c r="G598">
        <f>_xll.BDP("765378PD Muni","SPREAD_AT_ISSUANCE_TO_WORST")</f>
        <v>25.093230136986321</v>
      </c>
      <c r="H598" t="str">
        <f>_xll.BDP("765378PD Muni","ISSUE_DT")</f>
        <v>12/1/2017</v>
      </c>
      <c r="I598" t="str">
        <f>_xll.BDS("765378PD Muni","MUNI_PURPOSE_SCHED", "aggregate=y")</f>
        <v>WATER UTILITY IMPS. SEWER IMPS.</v>
      </c>
      <c r="J598">
        <f>_xll.BDP("765378PD Muni","CPN")</f>
        <v>3</v>
      </c>
      <c r="K598" t="str">
        <f>_xll.BDP("765378PD Muni","MATURITY")</f>
        <v>3/1/2026</v>
      </c>
      <c r="L598">
        <v>280000</v>
      </c>
      <c r="M598">
        <f>_xll.BDP("765378PD Muni","YIELD_ON_ISSUE_DATE")</f>
        <v>2.1</v>
      </c>
      <c r="N598">
        <f>_xll.BDP("765378PD Muni","YTW_SPREAD_TO_MATURITY_AT_ISSU")</f>
        <v>25.093230136986321</v>
      </c>
      <c r="O598" t="str">
        <f>_xll.BDP("765378PD Muni","BVAL_MID_YTM")</f>
        <v>#N/A Authorization</v>
      </c>
      <c r="P598" t="str">
        <f>_xll.BDP("765378PD Muni","MUNI_TAX_PROV")</f>
        <v>FED BQ</v>
      </c>
      <c r="Q598" t="str">
        <f>_xll.BDP("765378PD Muni","MUNI_FED_TAX")</f>
        <v>N</v>
      </c>
      <c r="R598">
        <f>_xll.BDP("765378PD Muni","MUNI_MSRB_VOLUME")</f>
        <v>70000</v>
      </c>
      <c r="S598" t="str">
        <f>_xll.BDP("765378PD Muni","BB_COMPOSITE")</f>
        <v>#N/A N/A</v>
      </c>
      <c r="T598">
        <f>_xll.BDP("765378PD Muni","LQA_LIQUIDITY_SCORE")</f>
        <v>62</v>
      </c>
    </row>
    <row r="599" spans="1:20" x14ac:dyDescent="0.25">
      <c r="A599" t="str">
        <f>_xll.BDP("765531EY Muni","ID_CUSIP")</f>
        <v>765531EY0</v>
      </c>
      <c r="B599" t="s">
        <v>112</v>
      </c>
      <c r="C599" t="str">
        <f>_xll.BDP("765531EY Muni","INSURANCE_STATUS")</f>
        <v>Y</v>
      </c>
      <c r="D599" t="str">
        <f>_xll.BDP("765531EY Muni","STATE_CODE")</f>
        <v>IL</v>
      </c>
      <c r="E599" t="str">
        <f>_xll.BDP("765531EY Muni","COUNTY_LOCATION_ISSUER")</f>
        <v>Cook, IL</v>
      </c>
      <c r="F599">
        <f>_xll.BDP("765531EY Muni","DUR_ADJ_MID")</f>
        <v>0.32857733574658071</v>
      </c>
      <c r="G599">
        <f>_xll.BDP("765531EY Muni","SPREAD_AT_ISSUANCE_TO_WORST")</f>
        <v>107.62224995664984</v>
      </c>
      <c r="H599" t="str">
        <f>_xll.BDP("765531EY Muni","ISSUE_DT")</f>
        <v>9/28/2017</v>
      </c>
      <c r="I599" t="str">
        <f>_xll.BDS("765531EY Muni","MUNI_PURPOSE_SCHED", "aggregate=y")</f>
        <v>WATER UTILITY IMPS. SEWER IMPS. CURRENT REFUNDING</v>
      </c>
      <c r="J599">
        <f>_xll.BDP("765531EY Muni","CPN")</f>
        <v>4</v>
      </c>
      <c r="K599" t="str">
        <f>_xll.BDP("765531EY Muni","MATURITY")</f>
        <v>12/1/2022</v>
      </c>
      <c r="L599">
        <v>235000</v>
      </c>
      <c r="M599">
        <f>_xll.BDP("765531EY Muni","YIELD_ON_ISSUE_DATE")</f>
        <v>2.3199999999999998</v>
      </c>
      <c r="N599">
        <f>_xll.BDP("765531EY Muni","YTW_SPREAD_TO_MATURITY_AT_ISSU")</f>
        <v>107.62224995664984</v>
      </c>
      <c r="O599" t="str">
        <f>_xll.BDP("765531EY Muni","BVAL_MID_YTM")</f>
        <v>#N/A Authorization</v>
      </c>
      <c r="P599" t="str">
        <f>_xll.BDP("765531EY Muni","MUNI_TAX_PROV")</f>
        <v>FED BQ/ST TAXABLE</v>
      </c>
      <c r="Q599" t="str">
        <f>_xll.BDP("765531EY Muni","MUNI_FED_TAX")</f>
        <v>N</v>
      </c>
      <c r="R599" t="str">
        <f>_xll.BDP("765531EY Muni","MUNI_MSRB_VOLUME")</f>
        <v>#N/A N/A</v>
      </c>
      <c r="S599" t="str">
        <f>_xll.BDP("765531EY Muni","BB_COMPOSITE")</f>
        <v>#N/A N/A</v>
      </c>
      <c r="T599">
        <f>_xll.BDP("765531EY Muni","LQA_LIQUIDITY_SCORE")</f>
        <v>96</v>
      </c>
    </row>
    <row r="600" spans="1:20" x14ac:dyDescent="0.25">
      <c r="A600" t="str">
        <f>_xll.BDP("917572WK Muni","ID_CUSIP")</f>
        <v>917572WK1</v>
      </c>
      <c r="B600" t="s">
        <v>26</v>
      </c>
      <c r="C600" t="str">
        <f>_xll.BDP("917572WK Muni","INSURANCE_STATUS")</f>
        <v>N</v>
      </c>
      <c r="D600" t="str">
        <f>_xll.BDP("917572WK Muni","STATE_CODE")</f>
        <v>UT</v>
      </c>
      <c r="E600" t="str">
        <f>_xll.BDP("917572WK Muni","COUNTY_LOCATION_ISSUER")</f>
        <v>Salt Lake, UT</v>
      </c>
      <c r="F600">
        <f>_xll.BDP("917572WK Muni","DUR_ADJ_MID")</f>
        <v>3.2444485209911904</v>
      </c>
      <c r="G600">
        <f>_xll.BDP("917572WK Muni","SPREAD_AT_ISSUANCE_TO_WORST")</f>
        <v>20.506770800032914</v>
      </c>
      <c r="H600" t="str">
        <f>_xll.BDP("917572WK Muni","ISSUE_DT")</f>
        <v>7/20/2017</v>
      </c>
      <c r="I600" t="str">
        <f>_xll.BDS("917572WK Muni","MUNI_PURPOSE_SCHED", "aggregate=y")</f>
        <v>WATER UTILITY IMPS. SEWER IMPS.</v>
      </c>
      <c r="J600">
        <f>_xll.BDP("917572WK Muni","CPN")</f>
        <v>5</v>
      </c>
      <c r="K600" t="str">
        <f>_xll.BDP("917572WK Muni","MATURITY")</f>
        <v>3/1/2026</v>
      </c>
      <c r="L600">
        <v>3655000</v>
      </c>
      <c r="M600">
        <f>_xll.BDP("917572WK Muni","YIELD_ON_ISSUE_DATE")</f>
        <v>1.94</v>
      </c>
      <c r="N600">
        <f>_xll.BDP("917572WK Muni","YTW_SPREAD_TO_MATURITY_AT_ISSU")</f>
        <v>20.506770800032914</v>
      </c>
      <c r="O600" t="str">
        <f>_xll.BDP("917572WK Muni","BVAL_MID_YTM")</f>
        <v>#N/A Authorization</v>
      </c>
      <c r="P600" t="str">
        <f>_xll.BDP("917572WK Muni","MUNI_TAX_PROV")</f>
        <v>FED &amp; ST TAX-EXEMPT</v>
      </c>
      <c r="Q600" t="str">
        <f>_xll.BDP("917572WK Muni","MUNI_FED_TAX")</f>
        <v>N</v>
      </c>
      <c r="R600">
        <f>_xll.BDP("917572WK Muni","MUNI_MSRB_VOLUME")</f>
        <v>95000</v>
      </c>
      <c r="S600" t="str">
        <f>_xll.BDP("917572WK Muni","BB_COMPOSITE")</f>
        <v>AA</v>
      </c>
      <c r="T600">
        <f>_xll.BDP("917572WK Muni","LQA_LIQUIDITY_SCORE")</f>
        <v>72</v>
      </c>
    </row>
    <row r="601" spans="1:20" x14ac:dyDescent="0.25">
      <c r="A601" t="str">
        <f>_xll.BDP("92006TJD Muni","ID_CUSIP")</f>
        <v>92006TJD0</v>
      </c>
      <c r="B601" t="s">
        <v>235</v>
      </c>
      <c r="C601" t="str">
        <f>_xll.BDP("92006TJD Muni","INSURANCE_STATUS")</f>
        <v>Y</v>
      </c>
      <c r="D601" t="str">
        <f>_xll.BDP("92006TJD Muni","STATE_CODE")</f>
        <v>TX</v>
      </c>
      <c r="E601" t="str">
        <f>_xll.BDP("92006TJD Muni","COUNTY_LOCATION_ISSUER")</f>
        <v>Montgomery, TX</v>
      </c>
      <c r="F601">
        <f>_xll.BDP("92006TJD Muni","DUR_ADJ_MID")</f>
        <v>1.0340938968823667</v>
      </c>
      <c r="G601">
        <f>_xll.BDP("92006TJD Muni","SPREAD_AT_ISSUANCE_TO_WORST")</f>
        <v>57.085336667261302</v>
      </c>
      <c r="H601" t="str">
        <f>_xll.BDP("92006TJD Muni","ISSUE_DT")</f>
        <v>5/1/2017</v>
      </c>
      <c r="I601" t="str">
        <f>_xll.BDS("92006TJD Muni","MUNI_PURPOSE_SCHED", "aggregate=y")</f>
        <v>PUBLIC IMPS. WATER UTILITY IMPS. SEWER IMPS.</v>
      </c>
      <c r="J601">
        <f>_xll.BDP("92006TJD Muni","CPN")</f>
        <v>5</v>
      </c>
      <c r="K601" t="str">
        <f>_xll.BDP("92006TJD Muni","MATURITY")</f>
        <v>9/1/2023</v>
      </c>
      <c r="L601">
        <v>95000</v>
      </c>
      <c r="M601">
        <f>_xll.BDP("92006TJD Muni","YIELD_ON_ISSUE_DATE")</f>
        <v>2.15</v>
      </c>
      <c r="N601">
        <f>_xll.BDP("92006TJD Muni","YTW_SPREAD_TO_MATURITY_AT_ISSU")</f>
        <v>57.085336667261302</v>
      </c>
      <c r="O601" t="str">
        <f>_xll.BDP("92006TJD Muni","BVAL_MID_YTM")</f>
        <v>#N/A Authorization</v>
      </c>
      <c r="P601" t="str">
        <f>_xll.BDP("92006TJD Muni","MUNI_TAX_PROV")</f>
        <v>FED BQ</v>
      </c>
      <c r="Q601" t="str">
        <f>_xll.BDP("92006TJD Muni","MUNI_FED_TAX")</f>
        <v>N</v>
      </c>
      <c r="R601" t="str">
        <f>_xll.BDP("92006TJD Muni","MUNI_MSRB_VOLUME")</f>
        <v>#N/A N/A</v>
      </c>
      <c r="S601" t="str">
        <f>_xll.BDP("92006TJD Muni","BB_COMPOSITE")</f>
        <v>AA-</v>
      </c>
      <c r="T601">
        <f>_xll.BDP("92006TJD Muni","LQA_LIQUIDITY_SCORE")</f>
        <v>88</v>
      </c>
    </row>
    <row r="602" spans="1:20" x14ac:dyDescent="0.25">
      <c r="A602" t="str">
        <f>_xll.BDP("695283CY Muni","ID_CUSIP")</f>
        <v>695283CY5</v>
      </c>
      <c r="B602" t="s">
        <v>34</v>
      </c>
      <c r="C602" t="str">
        <f>_xll.BDP("695283CY Muni","INSURANCE_STATUS")</f>
        <v>N</v>
      </c>
      <c r="D602" t="str">
        <f>_xll.BDP("695283CY Muni","STATE_CODE")</f>
        <v>CA</v>
      </c>
      <c r="E602" t="str">
        <f>_xll.BDP("695283CY Muni","COUNTY_LOCATION_ISSUER")</f>
        <v>San Diego, CA</v>
      </c>
      <c r="F602">
        <f>_xll.BDP("695283CY Muni","DUR_ADJ_MID")</f>
        <v>2.02942326796768</v>
      </c>
      <c r="G602">
        <f>_xll.BDP("695283CY Muni","SPREAD_AT_ISSUANCE_TO_WORST")</f>
        <v>1.7692823799361213</v>
      </c>
      <c r="H602" t="str">
        <f>_xll.BDP("695283CY Muni","ISSUE_DT")</f>
        <v>6/15/2017</v>
      </c>
      <c r="I602" t="str">
        <f>_xll.BDS("695283CY Muni","MUNI_PURPOSE_SCHED", "aggregate=y")</f>
        <v>ADVANCE REFUNDING WATER UTILITY IMPS.</v>
      </c>
      <c r="J602">
        <f>_xll.BDP("695283CY Muni","CPN")</f>
        <v>5</v>
      </c>
      <c r="K602" t="str">
        <f>_xll.BDP("695283CY Muni","MATURITY")</f>
        <v>10/1/2024</v>
      </c>
      <c r="L602">
        <v>1775000</v>
      </c>
      <c r="M602">
        <f>_xll.BDP("695283CY Muni","YIELD_ON_ISSUE_DATE")</f>
        <v>1.56</v>
      </c>
      <c r="N602">
        <f>_xll.BDP("695283CY Muni","YTW_SPREAD_TO_MATURITY_AT_ISSU")</f>
        <v>1.7692823799361213</v>
      </c>
      <c r="O602" t="str">
        <f>_xll.BDP("695283CY Muni","BVAL_MID_YTM")</f>
        <v>#N/A Authorization</v>
      </c>
      <c r="P602" t="str">
        <f>_xll.BDP("695283CY Muni","MUNI_TAX_PROV")</f>
        <v>FED &amp; ST TAX-EXEMPT</v>
      </c>
      <c r="Q602" t="str">
        <f>_xll.BDP("695283CY Muni","MUNI_FED_TAX")</f>
        <v>N</v>
      </c>
      <c r="R602">
        <f>_xll.BDP("695283CY Muni","MUNI_MSRB_VOLUME")</f>
        <v>15000</v>
      </c>
      <c r="S602" t="str">
        <f>_xll.BDP("695283CY Muni","BB_COMPOSITE")</f>
        <v>AA+</v>
      </c>
      <c r="T602">
        <f>_xll.BDP("695283CY Muni","LQA_LIQUIDITY_SCORE")</f>
        <v>62</v>
      </c>
    </row>
    <row r="603" spans="1:20" x14ac:dyDescent="0.25">
      <c r="A603" t="str">
        <f>_xll.BDP("695283CZ Muni","ID_CUSIP")</f>
        <v>695283CZ2</v>
      </c>
      <c r="B603" t="s">
        <v>34</v>
      </c>
      <c r="C603" t="str">
        <f>_xll.BDP("695283CZ Muni","INSURANCE_STATUS")</f>
        <v>N</v>
      </c>
      <c r="D603" t="str">
        <f>_xll.BDP("695283CZ Muni","STATE_CODE")</f>
        <v>CA</v>
      </c>
      <c r="E603" t="str">
        <f>_xll.BDP("695283CZ Muni","COUNTY_LOCATION_ISSUER")</f>
        <v>San Diego, CA</v>
      </c>
      <c r="F603">
        <f>_xll.BDP("695283CZ Muni","DUR_ADJ_MID")</f>
        <v>2.9071727540724615</v>
      </c>
      <c r="G603">
        <f>_xll.BDP("695283CZ Muni","SPREAD_AT_ISSUANCE_TO_WORST")</f>
        <v>3.4947954309279661</v>
      </c>
      <c r="H603" t="str">
        <f>_xll.BDP("695283CZ Muni","ISSUE_DT")</f>
        <v>6/15/2017</v>
      </c>
      <c r="I603" t="str">
        <f>_xll.BDS("695283CZ Muni","MUNI_PURPOSE_SCHED", "aggregate=y")</f>
        <v>ADVANCE REFUNDING WATER UTILITY IMPS.</v>
      </c>
      <c r="J603">
        <f>_xll.BDP("695283CZ Muni","CPN")</f>
        <v>5</v>
      </c>
      <c r="K603" t="str">
        <f>_xll.BDP("695283CZ Muni","MATURITY")</f>
        <v>10/1/2025</v>
      </c>
      <c r="L603">
        <v>1870000</v>
      </c>
      <c r="M603">
        <f>_xll.BDP("695283CZ Muni","YIELD_ON_ISSUE_DATE")</f>
        <v>1.73</v>
      </c>
      <c r="N603">
        <f>_xll.BDP("695283CZ Muni","YTW_SPREAD_TO_MATURITY_AT_ISSU")</f>
        <v>3.4947954309279661</v>
      </c>
      <c r="O603" t="str">
        <f>_xll.BDP("695283CZ Muni","BVAL_MID_YTM")</f>
        <v>#N/A Authorization</v>
      </c>
      <c r="P603" t="str">
        <f>_xll.BDP("695283CZ Muni","MUNI_TAX_PROV")</f>
        <v>FED &amp; ST TAX-EXEMPT</v>
      </c>
      <c r="Q603" t="str">
        <f>_xll.BDP("695283CZ Muni","MUNI_FED_TAX")</f>
        <v>N</v>
      </c>
      <c r="R603">
        <f>_xll.BDP("695283CZ Muni","MUNI_MSRB_VOLUME")</f>
        <v>90000</v>
      </c>
      <c r="S603" t="str">
        <f>_xll.BDP("695283CZ Muni","BB_COMPOSITE")</f>
        <v>AA+</v>
      </c>
      <c r="T603">
        <f>_xll.BDP("695283CZ Muni","LQA_LIQUIDITY_SCORE")</f>
        <v>59</v>
      </c>
    </row>
    <row r="604" spans="1:20" x14ac:dyDescent="0.25">
      <c r="A604" t="str">
        <f>_xll.BDP("695283DB Muni","ID_CUSIP")</f>
        <v>695283DB4</v>
      </c>
      <c r="B604" t="s">
        <v>34</v>
      </c>
      <c r="C604" t="str">
        <f>_xll.BDP("695283DB Muni","INSURANCE_STATUS")</f>
        <v>N</v>
      </c>
      <c r="D604" t="str">
        <f>_xll.BDP("695283DB Muni","STATE_CODE")</f>
        <v>CA</v>
      </c>
      <c r="E604" t="str">
        <f>_xll.BDP("695283DB Muni","COUNTY_LOCATION_ISSUER")</f>
        <v>San Diego, CA</v>
      </c>
      <c r="F604">
        <f>_xll.BDP("695283DB Muni","DUR_ADJ_MID")</f>
        <v>4.5529255487022633</v>
      </c>
      <c r="G604">
        <f>_xll.BDP("695283DB Muni","SPREAD_AT_ISSUANCE_TO_WORST")</f>
        <v>22.356656273243768</v>
      </c>
      <c r="H604" t="str">
        <f>_xll.BDP("695283DB Muni","ISSUE_DT")</f>
        <v>6/15/2017</v>
      </c>
      <c r="I604" t="str">
        <f>_xll.BDS("695283DB Muni","MUNI_PURPOSE_SCHED", "aggregate=y")</f>
        <v>ADVANCE REFUNDING WATER UTILITY IMPS.</v>
      </c>
      <c r="J604">
        <f>_xll.BDP("695283DB Muni","CPN")</f>
        <v>5</v>
      </c>
      <c r="K604" t="str">
        <f>_xll.BDP("695283DB Muni","MATURITY")</f>
        <v>10/1/2027</v>
      </c>
      <c r="L604">
        <v>2065000</v>
      </c>
      <c r="M604">
        <f>_xll.BDP("695283DB Muni","YIELD_ON_ISSUE_DATE")</f>
        <v>2.17</v>
      </c>
      <c r="N604">
        <f>_xll.BDP("695283DB Muni","YTW_SPREAD_TO_MATURITY_AT_ISSU")</f>
        <v>22.356656273243768</v>
      </c>
      <c r="O604" t="str">
        <f>_xll.BDP("695283DB Muni","BVAL_MID_YTM")</f>
        <v>#N/A Authorization</v>
      </c>
      <c r="P604" t="str">
        <f>_xll.BDP("695283DB Muni","MUNI_TAX_PROV")</f>
        <v>FED &amp; ST TAX-EXEMPT</v>
      </c>
      <c r="Q604" t="str">
        <f>_xll.BDP("695283DB Muni","MUNI_FED_TAX")</f>
        <v>N</v>
      </c>
      <c r="R604" t="str">
        <f>_xll.BDP("695283DB Muni","MUNI_MSRB_VOLUME")</f>
        <v>#N/A N/A</v>
      </c>
      <c r="S604" t="str">
        <f>_xll.BDP("695283DB Muni","BB_COMPOSITE")</f>
        <v>AA+</v>
      </c>
      <c r="T604">
        <f>_xll.BDP("695283DB Muni","LQA_LIQUIDITY_SCORE")</f>
        <v>59</v>
      </c>
    </row>
    <row r="605" spans="1:20" x14ac:dyDescent="0.25">
      <c r="A605" t="str">
        <f>_xll.BDP("69704PAD Muni","ID_CUSIP")</f>
        <v>69704PAD0</v>
      </c>
      <c r="B605" t="s">
        <v>236</v>
      </c>
      <c r="C605" t="str">
        <f>_xll.BDP("69704PAD Muni","INSURANCE_STATUS")</f>
        <v>N</v>
      </c>
      <c r="D605" t="str">
        <f>_xll.BDP("69704PAD Muni","STATE_CODE")</f>
        <v>TX</v>
      </c>
      <c r="E605" t="str">
        <f>_xll.BDP("69704PAD Muni","COUNTY_LOCATION_ISSUER")</f>
        <v>Williamson, TX</v>
      </c>
      <c r="F605">
        <f>_xll.BDP("69704PAD Muni","DUR_ADJ_MID")</f>
        <v>3.6091104725966022E-2</v>
      </c>
      <c r="G605">
        <f>_xll.BDP("69704PAD Muni","SPREAD_AT_ISSUANCE_TO_WORST")</f>
        <v>123.82196200459177</v>
      </c>
      <c r="H605" t="str">
        <f>_xll.BDP("69704PAD Muni","ISSUE_DT")</f>
        <v>1/1/2017</v>
      </c>
      <c r="I605" t="str">
        <f>_xll.BDS("69704PAD Muni","MUNI_PURPOSE_SCHED", "aggregate=y")</f>
        <v>WATER UTILITY IMPS. SEWER IMPS. PUBLIC IMPS.</v>
      </c>
      <c r="J605">
        <f>_xll.BDP("69704PAD Muni","CPN")</f>
        <v>3</v>
      </c>
      <c r="K605" t="str">
        <f>_xll.BDP("69704PAD Muni","MATURITY")</f>
        <v>8/15/2022</v>
      </c>
      <c r="L605">
        <v>60000</v>
      </c>
      <c r="M605">
        <f>_xll.BDP("69704PAD Muni","YIELD_ON_ISSUE_DATE")</f>
        <v>3</v>
      </c>
      <c r="N605">
        <f>_xll.BDP("69704PAD Muni","YTW_SPREAD_TO_MATURITY_AT_ISSU")</f>
        <v>123.82196200459177</v>
      </c>
      <c r="O605" t="str">
        <f>_xll.BDP("69704PAD Muni","BVAL_MID_YTM")</f>
        <v>#N/A Authorization</v>
      </c>
      <c r="P605" t="str">
        <f>_xll.BDP("69704PAD Muni","MUNI_TAX_PROV")</f>
        <v>FED BQ</v>
      </c>
      <c r="Q605" t="str">
        <f>_xll.BDP("69704PAD Muni","MUNI_FED_TAX")</f>
        <v>N</v>
      </c>
      <c r="R605" t="str">
        <f>_xll.BDP("69704PAD Muni","MUNI_MSRB_VOLUME")</f>
        <v>#N/A N/A</v>
      </c>
      <c r="S605" t="str">
        <f>_xll.BDP("69704PAD Muni","BB_COMPOSITE")</f>
        <v>#N/A N/A</v>
      </c>
      <c r="T605">
        <f>_xll.BDP("69704PAD Muni","LQA_LIQUIDITY_SCORE")</f>
        <v>99</v>
      </c>
    </row>
    <row r="606" spans="1:20" x14ac:dyDescent="0.25">
      <c r="A606" t="str">
        <f>_xll.BDP("69704PAF Muni","ID_CUSIP")</f>
        <v>69704PAF5</v>
      </c>
      <c r="B606" t="s">
        <v>236</v>
      </c>
      <c r="C606" t="str">
        <f>_xll.BDP("69704PAF Muni","INSURANCE_STATUS")</f>
        <v>N</v>
      </c>
      <c r="D606" t="str">
        <f>_xll.BDP("69704PAF Muni","STATE_CODE")</f>
        <v>TX</v>
      </c>
      <c r="E606" t="str">
        <f>_xll.BDP("69704PAF Muni","COUNTY_LOCATION_ISSUER")</f>
        <v>Williamson, TX</v>
      </c>
      <c r="F606">
        <f>_xll.BDP("69704PAF Muni","DUR_ADJ_MID")</f>
        <v>1.9343197232359743</v>
      </c>
      <c r="G606">
        <f>_xll.BDP("69704PAF Muni","SPREAD_AT_ISSUANCE_TO_WORST")</f>
        <v>128.08168131713677</v>
      </c>
      <c r="H606" t="str">
        <f>_xll.BDP("69704PAF Muni","ISSUE_DT")</f>
        <v>1/1/2017</v>
      </c>
      <c r="I606" t="str">
        <f>_xll.BDS("69704PAF Muni","MUNI_PURPOSE_SCHED", "aggregate=y")</f>
        <v>WATER UTILITY IMPS. SEWER IMPS. PUBLIC IMPS.</v>
      </c>
      <c r="J606">
        <f>_xll.BDP("69704PAF Muni","CPN")</f>
        <v>3.3</v>
      </c>
      <c r="K606" t="str">
        <f>_xll.BDP("69704PAF Muni","MATURITY")</f>
        <v>8/15/2024</v>
      </c>
      <c r="L606">
        <v>65000</v>
      </c>
      <c r="M606">
        <f>_xll.BDP("69704PAF Muni","YIELD_ON_ISSUE_DATE")</f>
        <v>3.3000000000000003</v>
      </c>
      <c r="N606">
        <f>_xll.BDP("69704PAF Muni","YTW_SPREAD_TO_MATURITY_AT_ISSU")</f>
        <v>128.08168131713677</v>
      </c>
      <c r="O606" t="str">
        <f>_xll.BDP("69704PAF Muni","BVAL_MID_YTM")</f>
        <v>#N/A Authorization</v>
      </c>
      <c r="P606" t="str">
        <f>_xll.BDP("69704PAF Muni","MUNI_TAX_PROV")</f>
        <v>FED BQ</v>
      </c>
      <c r="Q606" t="str">
        <f>_xll.BDP("69704PAF Muni","MUNI_FED_TAX")</f>
        <v>N</v>
      </c>
      <c r="R606" t="str">
        <f>_xll.BDP("69704PAF Muni","MUNI_MSRB_VOLUME")</f>
        <v>#N/A N/A</v>
      </c>
      <c r="S606" t="str">
        <f>_xll.BDP("69704PAF Muni","BB_COMPOSITE")</f>
        <v>#N/A N/A</v>
      </c>
      <c r="T606">
        <f>_xll.BDP("69704PAF Muni","LQA_LIQUIDITY_SCORE")</f>
        <v>71</v>
      </c>
    </row>
    <row r="607" spans="1:20" x14ac:dyDescent="0.25">
      <c r="A607" t="str">
        <f>_xll.BDP("69704PBC Muni","ID_CUSIP")</f>
        <v>69704PBC1</v>
      </c>
      <c r="B607" t="s">
        <v>236</v>
      </c>
      <c r="C607" t="str">
        <f>_xll.BDP("69704PBC Muni","INSURANCE_STATUS")</f>
        <v>N</v>
      </c>
      <c r="D607" t="str">
        <f>_xll.BDP("69704PBC Muni","STATE_CODE")</f>
        <v>TX</v>
      </c>
      <c r="E607" t="str">
        <f>_xll.BDP("69704PBC Muni","COUNTY_LOCATION_ISSUER")</f>
        <v>Williamson, TX</v>
      </c>
      <c r="F607">
        <f>_xll.BDP("69704PBC Muni","DUR_ADJ_MID")</f>
        <v>1.0035358550135671</v>
      </c>
      <c r="G607">
        <f>_xll.BDP("69704PBC Muni","SPREAD_AT_ISSUANCE_TO_WORST")</f>
        <v>101.39000547945204</v>
      </c>
      <c r="H607" t="str">
        <f>_xll.BDP("69704PBC Muni","ISSUE_DT")</f>
        <v>10/26/2017</v>
      </c>
      <c r="I607" t="str">
        <f>_xll.BDS("69704PBC Muni","MUNI_PURPOSE_SCHED", "aggregate=y")</f>
        <v>WATER UTILITY IMPS. SEWER IMPS.</v>
      </c>
      <c r="J607">
        <f>_xll.BDP("69704PBC Muni","CPN")</f>
        <v>3</v>
      </c>
      <c r="K607" t="str">
        <f>_xll.BDP("69704PBC Muni","MATURITY")</f>
        <v>8/15/2023</v>
      </c>
      <c r="L607">
        <v>80000</v>
      </c>
      <c r="M607">
        <f>_xll.BDP("69704PBC Muni","YIELD_ON_ISSUE_DATE")</f>
        <v>2.4000000000000004</v>
      </c>
      <c r="N607">
        <f>_xll.BDP("69704PBC Muni","YTW_SPREAD_TO_MATURITY_AT_ISSU")</f>
        <v>101.39000547945204</v>
      </c>
      <c r="O607" t="str">
        <f>_xll.BDP("69704PBC Muni","BVAL_MID_YTM")</f>
        <v>#N/A Authorization</v>
      </c>
      <c r="P607" t="str">
        <f>_xll.BDP("69704PBC Muni","MUNI_TAX_PROV")</f>
        <v>FED BQ</v>
      </c>
      <c r="Q607" t="str">
        <f>_xll.BDP("69704PBC Muni","MUNI_FED_TAX")</f>
        <v>N</v>
      </c>
      <c r="R607" t="str">
        <f>_xll.BDP("69704PBC Muni","MUNI_MSRB_VOLUME")</f>
        <v>#N/A N/A</v>
      </c>
      <c r="S607" t="str">
        <f>_xll.BDP("69704PBC Muni","BB_COMPOSITE")</f>
        <v>#N/A N/A</v>
      </c>
      <c r="T607">
        <f>_xll.BDP("69704PBC Muni","LQA_LIQUIDITY_SCORE")</f>
        <v>84</v>
      </c>
    </row>
    <row r="608" spans="1:20" x14ac:dyDescent="0.25">
      <c r="A608" t="str">
        <f>_xll.BDP("69704PBD Muni","ID_CUSIP")</f>
        <v>69704PBD9</v>
      </c>
      <c r="B608" t="s">
        <v>236</v>
      </c>
      <c r="C608" t="str">
        <f>_xll.BDP("69704PBD Muni","INSURANCE_STATUS")</f>
        <v>N</v>
      </c>
      <c r="D608" t="str">
        <f>_xll.BDP("69704PBD Muni","STATE_CODE")</f>
        <v>TX</v>
      </c>
      <c r="E608" t="str">
        <f>_xll.BDP("69704PBD Muni","COUNTY_LOCATION_ISSUER")</f>
        <v>Williamson, TX</v>
      </c>
      <c r="F608">
        <f>_xll.BDP("69704PBD Muni","DUR_ADJ_MID")</f>
        <v>1.9408977518962571</v>
      </c>
      <c r="G608">
        <f>_xll.BDP("69704PBD Muni","SPREAD_AT_ISSUANCE_TO_WORST")</f>
        <v>107.20146301369864</v>
      </c>
      <c r="H608" t="str">
        <f>_xll.BDP("69704PBD Muni","ISSUE_DT")</f>
        <v>10/26/2017</v>
      </c>
      <c r="I608" t="str">
        <f>_xll.BDS("69704PBD Muni","MUNI_PURPOSE_SCHED", "aggregate=y")</f>
        <v>WATER UTILITY IMPS. SEWER IMPS.</v>
      </c>
      <c r="J608">
        <f>_xll.BDP("69704PBD Muni","CPN")</f>
        <v>3</v>
      </c>
      <c r="K608" t="str">
        <f>_xll.BDP("69704PBD Muni","MATURITY")</f>
        <v>8/15/2024</v>
      </c>
      <c r="L608">
        <v>85000</v>
      </c>
      <c r="M608">
        <f>_xll.BDP("69704PBD Muni","YIELD_ON_ISSUE_DATE")</f>
        <v>2.6</v>
      </c>
      <c r="N608">
        <f>_xll.BDP("69704PBD Muni","YTW_SPREAD_TO_MATURITY_AT_ISSU")</f>
        <v>107.20146301369864</v>
      </c>
      <c r="O608" t="str">
        <f>_xll.BDP("69704PBD Muni","BVAL_MID_YTM")</f>
        <v>#N/A Authorization</v>
      </c>
      <c r="P608" t="str">
        <f>_xll.BDP("69704PBD Muni","MUNI_TAX_PROV")</f>
        <v>FED BQ</v>
      </c>
      <c r="Q608" t="str">
        <f>_xll.BDP("69704PBD Muni","MUNI_FED_TAX")</f>
        <v>N</v>
      </c>
      <c r="R608" t="str">
        <f>_xll.BDP("69704PBD Muni","MUNI_MSRB_VOLUME")</f>
        <v>#N/A N/A</v>
      </c>
      <c r="S608" t="str">
        <f>_xll.BDP("69704PBD Muni","BB_COMPOSITE")</f>
        <v>#N/A N/A</v>
      </c>
      <c r="T608">
        <f>_xll.BDP("69704PBD Muni","LQA_LIQUIDITY_SCORE")</f>
        <v>69</v>
      </c>
    </row>
    <row r="609" spans="1:20" x14ac:dyDescent="0.25">
      <c r="A609" t="str">
        <f>_xll.BDP("80465PJD Muni","ID_CUSIP")</f>
        <v>80465PJD7</v>
      </c>
      <c r="B609" t="s">
        <v>132</v>
      </c>
      <c r="C609" t="str">
        <f>_xll.BDP("80465PJD Muni","INSURANCE_STATUS")</f>
        <v>N</v>
      </c>
      <c r="D609" t="str">
        <f>_xll.BDP("80465PJD Muni","STATE_CODE")</f>
        <v>MN</v>
      </c>
      <c r="E609" t="str">
        <f>_xll.BDP("80465PJD Muni","COUNTY_LOCATION_ISSUER")</f>
        <v>Scott, MN</v>
      </c>
      <c r="F609">
        <f>_xll.BDP("80465PJD Muni","DUR_ADJ_MID")</f>
        <v>1.4631804601865444</v>
      </c>
      <c r="G609">
        <f>_xll.BDP("80465PJD Muni","SPREAD_AT_ISSUANCE_TO_WORST")</f>
        <v>22.279087257068774</v>
      </c>
      <c r="H609" t="str">
        <f>_xll.BDP("80465PJD Muni","ISSUE_DT")</f>
        <v>7/12/2017</v>
      </c>
      <c r="I609" t="str">
        <f>_xll.BDS("80465PJD Muni","MUNI_PURPOSE_SCHED", "aggregate=y")</f>
        <v>PUBLIC IMPS. WATER UTILITY IMPS.</v>
      </c>
      <c r="J609">
        <f>_xll.BDP("80465PJD Muni","CPN")</f>
        <v>3</v>
      </c>
      <c r="K609" t="str">
        <f>_xll.BDP("80465PJD Muni","MATURITY")</f>
        <v>2/1/2024</v>
      </c>
      <c r="L609">
        <v>310000</v>
      </c>
      <c r="M609">
        <f>_xll.BDP("80465PJD Muni","YIELD_ON_ISSUE_DATE")</f>
        <v>1.6500000000000001</v>
      </c>
      <c r="N609">
        <f>_xll.BDP("80465PJD Muni","YTW_SPREAD_TO_MATURITY_AT_ISSU")</f>
        <v>22.279087257068774</v>
      </c>
      <c r="O609" t="str">
        <f>_xll.BDP("80465PJD Muni","BVAL_MID_YTM")</f>
        <v>#N/A Authorization</v>
      </c>
      <c r="P609" t="str">
        <f>_xll.BDP("80465PJD Muni","MUNI_TAX_PROV")</f>
        <v>FED BQ/ST TAX-EXEMPT</v>
      </c>
      <c r="Q609" t="str">
        <f>_xll.BDP("80465PJD Muni","MUNI_FED_TAX")</f>
        <v>N</v>
      </c>
      <c r="R609" t="str">
        <f>_xll.BDP("80465PJD Muni","MUNI_MSRB_VOLUME")</f>
        <v>#N/A N/A</v>
      </c>
      <c r="S609" t="str">
        <f>_xll.BDP("80465PJD Muni","BB_COMPOSITE")</f>
        <v>#N/A N/A</v>
      </c>
      <c r="T609">
        <f>_xll.BDP("80465PJD Muni","LQA_LIQUIDITY_SCORE")</f>
        <v>74</v>
      </c>
    </row>
    <row r="610" spans="1:20" x14ac:dyDescent="0.25">
      <c r="A610" t="str">
        <f>_xll.BDP("80465PJF Muni","ID_CUSIP")</f>
        <v>80465PJF2</v>
      </c>
      <c r="B610" t="s">
        <v>132</v>
      </c>
      <c r="C610" t="str">
        <f>_xll.BDP("80465PJF Muni","INSURANCE_STATUS")</f>
        <v>N</v>
      </c>
      <c r="D610" t="str">
        <f>_xll.BDP("80465PJF Muni","STATE_CODE")</f>
        <v>MN</v>
      </c>
      <c r="E610" t="str">
        <f>_xll.BDP("80465PJF Muni","COUNTY_LOCATION_ISSUER")</f>
        <v>Scott, MN</v>
      </c>
      <c r="F610">
        <f>_xll.BDP("80465PJF Muni","DUR_ADJ_MID")</f>
        <v>3.317537993992282</v>
      </c>
      <c r="G610">
        <f>_xll.BDP("80465PJF Muni","SPREAD_AT_ISSUANCE_TO_WORST")</f>
        <v>18.832691137232494</v>
      </c>
      <c r="H610" t="str">
        <f>_xll.BDP("80465PJF Muni","ISSUE_DT")</f>
        <v>7/12/2017</v>
      </c>
      <c r="I610" t="str">
        <f>_xll.BDS("80465PJF Muni","MUNI_PURPOSE_SCHED", "aggregate=y")</f>
        <v>PUBLIC IMPS. WATER UTILITY IMPS.</v>
      </c>
      <c r="J610">
        <f>_xll.BDP("80465PJF Muni","CPN")</f>
        <v>3</v>
      </c>
      <c r="K610" t="str">
        <f>_xll.BDP("80465PJF Muni","MATURITY")</f>
        <v>2/1/2026</v>
      </c>
      <c r="L610">
        <v>320000</v>
      </c>
      <c r="M610">
        <f>_xll.BDP("80465PJF Muni","YIELD_ON_ISSUE_DATE")</f>
        <v>1.9000000000000001</v>
      </c>
      <c r="N610">
        <f>_xll.BDP("80465PJF Muni","YTW_SPREAD_TO_MATURITY_AT_ISSU")</f>
        <v>18.832691137232494</v>
      </c>
      <c r="O610" t="str">
        <f>_xll.BDP("80465PJF Muni","BVAL_MID_YTM")</f>
        <v>#N/A Authorization</v>
      </c>
      <c r="P610" t="str">
        <f>_xll.BDP("80465PJF Muni","MUNI_TAX_PROV")</f>
        <v>FED BQ/ST TAX-EXEMPT</v>
      </c>
      <c r="Q610" t="str">
        <f>_xll.BDP("80465PJF Muni","MUNI_FED_TAX")</f>
        <v>N</v>
      </c>
      <c r="R610">
        <f>_xll.BDP("80465PJF Muni","MUNI_MSRB_VOLUME")</f>
        <v>20000</v>
      </c>
      <c r="S610" t="str">
        <f>_xll.BDP("80465PJF Muni","BB_COMPOSITE")</f>
        <v>#N/A N/A</v>
      </c>
      <c r="T610">
        <f>_xll.BDP("80465PJF Muni","LQA_LIQUIDITY_SCORE")</f>
        <v>54</v>
      </c>
    </row>
    <row r="611" spans="1:20" x14ac:dyDescent="0.25">
      <c r="A611" t="str">
        <f>_xll.BDP("805788VK Muni","ID_CUSIP")</f>
        <v>805788VK9</v>
      </c>
      <c r="B611" t="s">
        <v>237</v>
      </c>
      <c r="C611" t="str">
        <f>_xll.BDP("805788VK Muni","INSURANCE_STATUS")</f>
        <v>N</v>
      </c>
      <c r="D611" t="str">
        <f>_xll.BDP("805788VK Muni","STATE_CODE")</f>
        <v>NJ</v>
      </c>
      <c r="E611" t="str">
        <f>_xll.BDP("805788VK Muni","COUNTY_LOCATION_ISSUER")</f>
        <v>Middlesex, NJ</v>
      </c>
      <c r="F611">
        <f>_xll.BDP("805788VK Muni","DUR_ADJ_MID")</f>
        <v>0.11930756953710998</v>
      </c>
      <c r="G611">
        <f>_xll.BDP("805788VK Muni","SPREAD_AT_ISSUANCE_TO_WORST")</f>
        <v>19.533512182924937</v>
      </c>
      <c r="H611" t="str">
        <f>_xll.BDP("805788VK Muni","ISSUE_DT")</f>
        <v>9/27/2017</v>
      </c>
      <c r="I611" t="str">
        <f>_xll.BDS("805788VK Muni","MUNI_PURPOSE_SCHED", "aggregate=y")</f>
        <v>PUBLIC IMPS. WATER UTILITY IMPS. RECREATIONAL FAC. IMPS.</v>
      </c>
      <c r="J611">
        <f>_xll.BDP("805788VK Muni","CPN")</f>
        <v>2</v>
      </c>
      <c r="K611" t="str">
        <f>_xll.BDP("805788VK Muni","MATURITY")</f>
        <v>9/15/2022</v>
      </c>
      <c r="L611">
        <v>750000</v>
      </c>
      <c r="M611">
        <f>_xll.BDP("805788VK Muni","YIELD_ON_ISSUE_DATE")</f>
        <v>1.3</v>
      </c>
      <c r="N611">
        <f>_xll.BDP("805788VK Muni","YTW_SPREAD_TO_MATURITY_AT_ISSU")</f>
        <v>19.533512182924937</v>
      </c>
      <c r="O611" t="str">
        <f>_xll.BDP("805788VK Muni","BVAL_MID_YTM")</f>
        <v>#N/A Authorization</v>
      </c>
      <c r="P611" t="str">
        <f>_xll.BDP("805788VK Muni","MUNI_TAX_PROV")</f>
        <v>FED BQ/ST TAX-EXEMPT</v>
      </c>
      <c r="Q611" t="str">
        <f>_xll.BDP("805788VK Muni","MUNI_FED_TAX")</f>
        <v>N</v>
      </c>
      <c r="R611" t="str">
        <f>_xll.BDP("805788VK Muni","MUNI_MSRB_VOLUME")</f>
        <v>#N/A N/A</v>
      </c>
      <c r="S611" t="str">
        <f>_xll.BDP("805788VK Muni","BB_COMPOSITE")</f>
        <v>#N/A N/A</v>
      </c>
      <c r="T611">
        <f>_xll.BDP("805788VK Muni","LQA_LIQUIDITY_SCORE")</f>
        <v>94</v>
      </c>
    </row>
    <row r="612" spans="1:20" x14ac:dyDescent="0.25">
      <c r="A612" t="str">
        <f>_xll.BDP("805788VM Muni","ID_CUSIP")</f>
        <v>805788VM5</v>
      </c>
      <c r="B612" t="s">
        <v>237</v>
      </c>
      <c r="C612" t="str">
        <f>_xll.BDP("805788VM Muni","INSURANCE_STATUS")</f>
        <v>N</v>
      </c>
      <c r="D612" t="str">
        <f>_xll.BDP("805788VM Muni","STATE_CODE")</f>
        <v>NJ</v>
      </c>
      <c r="E612" t="str">
        <f>_xll.BDP("805788VM Muni","COUNTY_LOCATION_ISSUER")</f>
        <v>Middlesex, NJ</v>
      </c>
      <c r="F612">
        <f>_xll.BDP("805788VM Muni","DUR_ADJ_MID")</f>
        <v>2.0520698690786565</v>
      </c>
      <c r="G612">
        <f>_xll.BDP("805788VM Muni","SPREAD_AT_ISSUANCE_TO_WORST")</f>
        <v>20.188689043214314</v>
      </c>
      <c r="H612" t="str">
        <f>_xll.BDP("805788VM Muni","ISSUE_DT")</f>
        <v>9/27/2017</v>
      </c>
      <c r="I612" t="str">
        <f>_xll.BDS("805788VM Muni","MUNI_PURPOSE_SCHED", "aggregate=y")</f>
        <v>PUBLIC IMPS. WATER UTILITY IMPS. RECREATIONAL FAC. IMPS.</v>
      </c>
      <c r="J612">
        <f>_xll.BDP("805788VM Muni","CPN")</f>
        <v>2</v>
      </c>
      <c r="K612" t="str">
        <f>_xll.BDP("805788VM Muni","MATURITY")</f>
        <v>9/15/2024</v>
      </c>
      <c r="L612">
        <v>750000</v>
      </c>
      <c r="M612">
        <f>_xll.BDP("805788VM Muni","YIELD_ON_ISSUE_DATE")</f>
        <v>1.6</v>
      </c>
      <c r="N612">
        <f>_xll.BDP("805788VM Muni","YTW_SPREAD_TO_MATURITY_AT_ISSU")</f>
        <v>20.188689043214314</v>
      </c>
      <c r="O612" t="str">
        <f>_xll.BDP("805788VM Muni","BVAL_MID_YTM")</f>
        <v>#N/A Authorization</v>
      </c>
      <c r="P612" t="str">
        <f>_xll.BDP("805788VM Muni","MUNI_TAX_PROV")</f>
        <v>FED BQ/ST TAX-EXEMPT</v>
      </c>
      <c r="Q612" t="str">
        <f>_xll.BDP("805788VM Muni","MUNI_FED_TAX")</f>
        <v>N</v>
      </c>
      <c r="R612" t="str">
        <f>_xll.BDP("805788VM Muni","MUNI_MSRB_VOLUME")</f>
        <v>#N/A N/A</v>
      </c>
      <c r="S612" t="str">
        <f>_xll.BDP("805788VM Muni","BB_COMPOSITE")</f>
        <v>#N/A N/A</v>
      </c>
      <c r="T612">
        <f>_xll.BDP("805788VM Muni","LQA_LIQUIDITY_SCORE")</f>
        <v>61</v>
      </c>
    </row>
    <row r="613" spans="1:20" x14ac:dyDescent="0.25">
      <c r="A613" t="str">
        <f>_xll.BDP("70146RGP Muni","ID_CUSIP")</f>
        <v>70146RGP7</v>
      </c>
      <c r="B613" t="s">
        <v>238</v>
      </c>
      <c r="C613" t="str">
        <f>_xll.BDP("70146RGP Muni","INSURANCE_STATUS")</f>
        <v>Y</v>
      </c>
      <c r="D613" t="str">
        <f>_xll.BDP("70146RGP Muni","STATE_CODE")</f>
        <v>TX</v>
      </c>
      <c r="E613" t="str">
        <f>_xll.BDP("70146RGP Muni","COUNTY_LOCATION_ISSUER")</f>
        <v>Williamson, TX</v>
      </c>
      <c r="F613">
        <f>_xll.BDP("70146RGP Muni","DUR_ADJ_MID")</f>
        <v>1.0513492303242422</v>
      </c>
      <c r="G613">
        <f>_xll.BDP("70146RGP Muni","SPREAD_AT_ISSUANCE_TO_WORST")</f>
        <v>33.038940974255993</v>
      </c>
      <c r="H613" t="str">
        <f>_xll.BDP("70146RGP Muni","ISSUE_DT")</f>
        <v>5/11/2017</v>
      </c>
      <c r="I613" t="str">
        <f>_xll.BDS("70146RGP Muni","MUNI_PURPOSE_SCHED", "aggregate=y")</f>
        <v>WATER UTILITY IMPS. SEWER IMPS.</v>
      </c>
      <c r="J613">
        <f>_xll.BDP("70146RGP Muni","CPN")</f>
        <v>2.5</v>
      </c>
      <c r="K613" t="str">
        <f>_xll.BDP("70146RGP Muni","MATURITY")</f>
        <v>9/1/2023</v>
      </c>
      <c r="L613">
        <v>70000</v>
      </c>
      <c r="M613">
        <f>_xll.BDP("70146RGP Muni","YIELD_ON_ISSUE_DATE")</f>
        <v>2</v>
      </c>
      <c r="N613">
        <f>_xll.BDP("70146RGP Muni","YTW_SPREAD_TO_MATURITY_AT_ISSU")</f>
        <v>33.038940974255993</v>
      </c>
      <c r="O613" t="str">
        <f>_xll.BDP("70146RGP Muni","BVAL_MID_YTM")</f>
        <v>#N/A Authorization</v>
      </c>
      <c r="P613" t="str">
        <f>_xll.BDP("70146RGP Muni","MUNI_TAX_PROV")</f>
        <v>FED BQ</v>
      </c>
      <c r="Q613" t="str">
        <f>_xll.BDP("70146RGP Muni","MUNI_FED_TAX")</f>
        <v>N</v>
      </c>
      <c r="R613" t="str">
        <f>_xll.BDP("70146RGP Muni","MUNI_MSRB_VOLUME")</f>
        <v>#N/A N/A</v>
      </c>
      <c r="S613" t="str">
        <f>_xll.BDP("70146RGP Muni","BB_COMPOSITE")</f>
        <v>#N/A N/A</v>
      </c>
      <c r="T613">
        <f>_xll.BDP("70146RGP Muni","LQA_LIQUIDITY_SCORE")</f>
        <v>65</v>
      </c>
    </row>
    <row r="614" spans="1:20" x14ac:dyDescent="0.25">
      <c r="A614" t="str">
        <f>_xll.BDP("810489SW Muni","ID_CUSIP")</f>
        <v>810489SW5</v>
      </c>
      <c r="B614" t="s">
        <v>144</v>
      </c>
      <c r="C614" t="str">
        <f>_xll.BDP("810489SW Muni","INSURANCE_STATUS")</f>
        <v>N</v>
      </c>
      <c r="D614" t="str">
        <f>_xll.BDP("810489SW Muni","STATE_CODE")</f>
        <v>AZ</v>
      </c>
      <c r="E614" t="str">
        <f>_xll.BDP("810489SW Muni","COUNTY_LOCATION_ISSUER")</f>
        <v>Maricopa, AZ</v>
      </c>
      <c r="F614">
        <f>_xll.BDP("810489SW Muni","DUR_ADJ_MID")</f>
        <v>2.720137957426485</v>
      </c>
      <c r="G614">
        <f>_xll.BDP("810489SW Muni","SPREAD_AT_ISSUANCE_TO_WORST")</f>
        <v>11.423242891068286</v>
      </c>
      <c r="H614" t="str">
        <f>_xll.BDP("810489SW Muni","ISSUE_DT")</f>
        <v>5/24/2017</v>
      </c>
      <c r="I614" t="str">
        <f>_xll.BDS("810489SW Muni","MUNI_PURPOSE_SCHED", "aggregate=y")</f>
        <v>WATER UTILITY IMPS. SEWER IMPS.</v>
      </c>
      <c r="J614">
        <f>_xll.BDP("810489SW Muni","CPN")</f>
        <v>5</v>
      </c>
      <c r="K614" t="str">
        <f>_xll.BDP("810489SW Muni","MATURITY")</f>
        <v>7/1/2025</v>
      </c>
      <c r="L614">
        <v>1740000</v>
      </c>
      <c r="M614">
        <f>_xll.BDP("810489SW Muni","YIELD_ON_ISSUE_DATE")</f>
        <v>2</v>
      </c>
      <c r="N614">
        <f>_xll.BDP("810489SW Muni","YTW_SPREAD_TO_MATURITY_AT_ISSU")</f>
        <v>11.423242891068286</v>
      </c>
      <c r="O614" t="str">
        <f>_xll.BDP("810489SW Muni","BVAL_MID_YTM")</f>
        <v>#N/A Authorization</v>
      </c>
      <c r="P614" t="str">
        <f>_xll.BDP("810489SW Muni","MUNI_TAX_PROV")</f>
        <v>FED &amp; ST TAX-EXEMPT</v>
      </c>
      <c r="Q614" t="str">
        <f>_xll.BDP("810489SW Muni","MUNI_FED_TAX")</f>
        <v>N</v>
      </c>
      <c r="R614">
        <f>_xll.BDP("810489SW Muni","MUNI_MSRB_VOLUME")</f>
        <v>50000</v>
      </c>
      <c r="S614" t="str">
        <f>_xll.BDP("810489SW Muni","BB_COMPOSITE")</f>
        <v>AA+</v>
      </c>
      <c r="T614">
        <f>_xll.BDP("810489SW Muni","LQA_LIQUIDITY_SCORE")</f>
        <v>76</v>
      </c>
    </row>
    <row r="615" spans="1:20" x14ac:dyDescent="0.25">
      <c r="A615" t="str">
        <f>_xll.BDP("69704PAE Muni","ID_CUSIP")</f>
        <v>69704PAE8</v>
      </c>
      <c r="B615" t="s">
        <v>236</v>
      </c>
      <c r="C615" t="str">
        <f>_xll.BDP("69704PAE Muni","INSURANCE_STATUS")</f>
        <v>N</v>
      </c>
      <c r="D615" t="str">
        <f>_xll.BDP("69704PAE Muni","STATE_CODE")</f>
        <v>TX</v>
      </c>
      <c r="E615" t="str">
        <f>_xll.BDP("69704PAE Muni","COUNTY_LOCATION_ISSUER")</f>
        <v>Williamson, TX</v>
      </c>
      <c r="F615">
        <f>_xll.BDP("69704PAE Muni","DUR_ADJ_MID")</f>
        <v>1.00250162034823</v>
      </c>
      <c r="G615">
        <f>_xll.BDP("69704PAE Muni","SPREAD_AT_ISSUANCE_TO_WORST")</f>
        <v>125.93114896207472</v>
      </c>
      <c r="H615" t="str">
        <f>_xll.BDP("69704PAE Muni","ISSUE_DT")</f>
        <v>1/1/2017</v>
      </c>
      <c r="I615" t="str">
        <f>_xll.BDS("69704PAE Muni","MUNI_PURPOSE_SCHED", "aggregate=y")</f>
        <v>WATER UTILITY IMPS. SEWER IMPS. PUBLIC IMPS.</v>
      </c>
      <c r="J615">
        <f>_xll.BDP("69704PAE Muni","CPN")</f>
        <v>3.15</v>
      </c>
      <c r="K615" t="str">
        <f>_xll.BDP("69704PAE Muni","MATURITY")</f>
        <v>8/15/2023</v>
      </c>
      <c r="L615">
        <v>65000</v>
      </c>
      <c r="M615">
        <f>_xll.BDP("69704PAE Muni","YIELD_ON_ISSUE_DATE")</f>
        <v>3.15</v>
      </c>
      <c r="N615">
        <f>_xll.BDP("69704PAE Muni","YTW_SPREAD_TO_MATURITY_AT_ISSU")</f>
        <v>125.93114896207472</v>
      </c>
      <c r="O615" t="str">
        <f>_xll.BDP("69704PAE Muni","BVAL_MID_YTM")</f>
        <v>#N/A Authorization</v>
      </c>
      <c r="P615" t="str">
        <f>_xll.BDP("69704PAE Muni","MUNI_TAX_PROV")</f>
        <v>FED BQ</v>
      </c>
      <c r="Q615" t="str">
        <f>_xll.BDP("69704PAE Muni","MUNI_FED_TAX")</f>
        <v>N</v>
      </c>
      <c r="R615" t="str">
        <f>_xll.BDP("69704PAE Muni","MUNI_MSRB_VOLUME")</f>
        <v>#N/A N/A</v>
      </c>
      <c r="S615" t="str">
        <f>_xll.BDP("69704PAE Muni","BB_COMPOSITE")</f>
        <v>#N/A N/A</v>
      </c>
      <c r="T615">
        <f>_xll.BDP("69704PAE Muni","LQA_LIQUIDITY_SCORE")</f>
        <v>84</v>
      </c>
    </row>
    <row r="616" spans="1:20" x14ac:dyDescent="0.25">
      <c r="A616" t="str">
        <f>_xll.BDP("69704PBB Muni","ID_CUSIP")</f>
        <v>69704PBB3</v>
      </c>
      <c r="B616" t="s">
        <v>236</v>
      </c>
      <c r="C616" t="str">
        <f>_xll.BDP("69704PBB Muni","INSURANCE_STATUS")</f>
        <v>N</v>
      </c>
      <c r="D616" t="str">
        <f>_xll.BDP("69704PBB Muni","STATE_CODE")</f>
        <v>TX</v>
      </c>
      <c r="E616" t="str">
        <f>_xll.BDP("69704PBB Muni","COUNTY_LOCATION_ISSUER")</f>
        <v>Williamson, TX</v>
      </c>
      <c r="F616">
        <f>_xll.BDP("69704PBB Muni","DUR_ADJ_MID")</f>
        <v>3.6091104725966022E-2</v>
      </c>
      <c r="G616">
        <f>_xll.BDP("69704PBB Muni","SPREAD_AT_ISSUANCE_TO_WORST")</f>
        <v>95.125013698630156</v>
      </c>
      <c r="H616" t="str">
        <f>_xll.BDP("69704PBB Muni","ISSUE_DT")</f>
        <v>10/26/2017</v>
      </c>
      <c r="I616" t="str">
        <f>_xll.BDS("69704PBB Muni","MUNI_PURPOSE_SCHED", "aggregate=y")</f>
        <v>WATER UTILITY IMPS. SEWER IMPS.</v>
      </c>
      <c r="J616">
        <f>_xll.BDP("69704PBB Muni","CPN")</f>
        <v>3</v>
      </c>
      <c r="K616" t="str">
        <f>_xll.BDP("69704PBB Muni","MATURITY")</f>
        <v>8/15/2022</v>
      </c>
      <c r="L616">
        <v>75000</v>
      </c>
      <c r="M616">
        <f>_xll.BDP("69704PBB Muni","YIELD_ON_ISSUE_DATE")</f>
        <v>2.2000000000000002</v>
      </c>
      <c r="N616">
        <f>_xll.BDP("69704PBB Muni","YTW_SPREAD_TO_MATURITY_AT_ISSU")</f>
        <v>95.125013698630156</v>
      </c>
      <c r="O616" t="str">
        <f>_xll.BDP("69704PBB Muni","BVAL_MID_YTM")</f>
        <v>#N/A Authorization</v>
      </c>
      <c r="P616" t="str">
        <f>_xll.BDP("69704PBB Muni","MUNI_TAX_PROV")</f>
        <v>FED BQ</v>
      </c>
      <c r="Q616" t="str">
        <f>_xll.BDP("69704PBB Muni","MUNI_FED_TAX")</f>
        <v>N</v>
      </c>
      <c r="R616" t="str">
        <f>_xll.BDP("69704PBB Muni","MUNI_MSRB_VOLUME")</f>
        <v>#N/A N/A</v>
      </c>
      <c r="S616" t="str">
        <f>_xll.BDP("69704PBB Muni","BB_COMPOSITE")</f>
        <v>#N/A N/A</v>
      </c>
      <c r="T616">
        <f>_xll.BDP("69704PBB Muni","LQA_LIQUIDITY_SCORE")</f>
        <v>99</v>
      </c>
    </row>
    <row r="617" spans="1:20" x14ac:dyDescent="0.25">
      <c r="A617" t="str">
        <f>_xll.BDP("80465PJE Muni","ID_CUSIP")</f>
        <v>80465PJE5</v>
      </c>
      <c r="B617" t="s">
        <v>132</v>
      </c>
      <c r="C617" t="str">
        <f>_xll.BDP("80465PJE Muni","INSURANCE_STATUS")</f>
        <v>N</v>
      </c>
      <c r="D617" t="str">
        <f>_xll.BDP("80465PJE Muni","STATE_CODE")</f>
        <v>MN</v>
      </c>
      <c r="E617" t="str">
        <f>_xll.BDP("80465PJE Muni","COUNTY_LOCATION_ISSUER")</f>
        <v>Scott, MN</v>
      </c>
      <c r="F617">
        <f>_xll.BDP("80465PJE Muni","DUR_ADJ_MID")</f>
        <v>2.4036365390303041</v>
      </c>
      <c r="G617">
        <f>_xll.BDP("80465PJE Muni","SPREAD_AT_ISSUANCE_TO_WORST")</f>
        <v>17.693446058269281</v>
      </c>
      <c r="H617" t="str">
        <f>_xll.BDP("80465PJE Muni","ISSUE_DT")</f>
        <v>7/12/2017</v>
      </c>
      <c r="I617" t="str">
        <f>_xll.BDS("80465PJE Muni","MUNI_PURPOSE_SCHED", "aggregate=y")</f>
        <v>PUBLIC IMPS. WATER UTILITY IMPS.</v>
      </c>
      <c r="J617">
        <f>_xll.BDP("80465PJE Muni","CPN")</f>
        <v>3</v>
      </c>
      <c r="K617" t="str">
        <f>_xll.BDP("80465PJE Muni","MATURITY")</f>
        <v>2/1/2025</v>
      </c>
      <c r="L617">
        <v>315000</v>
      </c>
      <c r="M617">
        <f>_xll.BDP("80465PJE Muni","YIELD_ON_ISSUE_DATE")</f>
        <v>1.75</v>
      </c>
      <c r="N617">
        <f>_xll.BDP("80465PJE Muni","YTW_SPREAD_TO_MATURITY_AT_ISSU")</f>
        <v>17.693446058269281</v>
      </c>
      <c r="O617" t="str">
        <f>_xll.BDP("80465PJE Muni","BVAL_MID_YTM")</f>
        <v>#N/A Authorization</v>
      </c>
      <c r="P617" t="str">
        <f>_xll.BDP("80465PJE Muni","MUNI_TAX_PROV")</f>
        <v>FED BQ/ST TAX-EXEMPT</v>
      </c>
      <c r="Q617" t="str">
        <f>_xll.BDP("80465PJE Muni","MUNI_FED_TAX")</f>
        <v>N</v>
      </c>
      <c r="R617" t="str">
        <f>_xll.BDP("80465PJE Muni","MUNI_MSRB_VOLUME")</f>
        <v>#N/A N/A</v>
      </c>
      <c r="S617" t="str">
        <f>_xll.BDP("80465PJE Muni","BB_COMPOSITE")</f>
        <v>#N/A N/A</v>
      </c>
      <c r="T617">
        <f>_xll.BDP("80465PJE Muni","LQA_LIQUIDITY_SCORE")</f>
        <v>64</v>
      </c>
    </row>
    <row r="618" spans="1:20" x14ac:dyDescent="0.25">
      <c r="A618" t="str">
        <f>_xll.BDP("805788VL Muni","ID_CUSIP")</f>
        <v>805788VL7</v>
      </c>
      <c r="B618" t="s">
        <v>237</v>
      </c>
      <c r="C618" t="str">
        <f>_xll.BDP("805788VL Muni","INSURANCE_STATUS")</f>
        <v>N</v>
      </c>
      <c r="D618" t="str">
        <f>_xll.BDP("805788VL Muni","STATE_CODE")</f>
        <v>NJ</v>
      </c>
      <c r="E618" t="str">
        <f>_xll.BDP("805788VL Muni","COUNTY_LOCATION_ISSUER")</f>
        <v>Middlesex, NJ</v>
      </c>
      <c r="F618">
        <f>_xll.BDP("805788VL Muni","DUR_ADJ_MID")</f>
        <v>1.0960930600341661</v>
      </c>
      <c r="G618">
        <f>_xll.BDP("805788VL Muni","SPREAD_AT_ISSUANCE_TO_WORST")</f>
        <v>20.080449603840258</v>
      </c>
      <c r="H618" t="str">
        <f>_xll.BDP("805788VL Muni","ISSUE_DT")</f>
        <v>9/27/2017</v>
      </c>
      <c r="I618" t="str">
        <f>_xll.BDS("805788VL Muni","MUNI_PURPOSE_SCHED", "aggregate=y")</f>
        <v>PUBLIC IMPS. WATER UTILITY IMPS. RECREATIONAL FAC. IMPS.</v>
      </c>
      <c r="J618">
        <f>_xll.BDP("805788VL Muni","CPN")</f>
        <v>2</v>
      </c>
      <c r="K618" t="str">
        <f>_xll.BDP("805788VL Muni","MATURITY")</f>
        <v>9/15/2023</v>
      </c>
      <c r="L618">
        <v>750000</v>
      </c>
      <c r="M618">
        <f>_xll.BDP("805788VL Muni","YIELD_ON_ISSUE_DATE")</f>
        <v>1.45</v>
      </c>
      <c r="N618">
        <f>_xll.BDP("805788VL Muni","YTW_SPREAD_TO_MATURITY_AT_ISSU")</f>
        <v>20.080449603840258</v>
      </c>
      <c r="O618" t="str">
        <f>_xll.BDP("805788VL Muni","BVAL_MID_YTM")</f>
        <v>#N/A Authorization</v>
      </c>
      <c r="P618" t="str">
        <f>_xll.BDP("805788VL Muni","MUNI_TAX_PROV")</f>
        <v>FED BQ/ST TAX-EXEMPT</v>
      </c>
      <c r="Q618" t="str">
        <f>_xll.BDP("805788VL Muni","MUNI_FED_TAX")</f>
        <v>N</v>
      </c>
      <c r="R618" t="str">
        <f>_xll.BDP("805788VL Muni","MUNI_MSRB_VOLUME")</f>
        <v>#N/A N/A</v>
      </c>
      <c r="S618" t="str">
        <f>_xll.BDP("805788VL Muni","BB_COMPOSITE")</f>
        <v>#N/A N/A</v>
      </c>
      <c r="T618">
        <f>_xll.BDP("805788VL Muni","LQA_LIQUIDITY_SCORE")</f>
        <v>72</v>
      </c>
    </row>
    <row r="619" spans="1:20" x14ac:dyDescent="0.25">
      <c r="A619" t="str">
        <f>_xll.BDP("805788VN Muni","ID_CUSIP")</f>
        <v>805788VN3</v>
      </c>
      <c r="B619" t="s">
        <v>237</v>
      </c>
      <c r="C619" t="str">
        <f>_xll.BDP("805788VN Muni","INSURANCE_STATUS")</f>
        <v>N</v>
      </c>
      <c r="D619" t="str">
        <f>_xll.BDP("805788VN Muni","STATE_CODE")</f>
        <v>NJ</v>
      </c>
      <c r="E619" t="str">
        <f>_xll.BDP("805788VN Muni","COUNTY_LOCATION_ISSUER")</f>
        <v>Middlesex, NJ</v>
      </c>
      <c r="F619">
        <f>_xll.BDP("805788VN Muni","DUR_ADJ_MID")</f>
        <v>2.9889763768249518</v>
      </c>
      <c r="G619">
        <f>_xll.BDP("805788VN Muni","SPREAD_AT_ISSUANCE_TO_WORST")</f>
        <v>25.250926084237424</v>
      </c>
      <c r="H619" t="str">
        <f>_xll.BDP("805788VN Muni","ISSUE_DT")</f>
        <v>9/27/2017</v>
      </c>
      <c r="I619" t="str">
        <f>_xll.BDS("805788VN Muni","MUNI_PURPOSE_SCHED", "aggregate=y")</f>
        <v>PUBLIC IMPS. WATER UTILITY IMPS. RECREATIONAL FAC. IMPS.</v>
      </c>
      <c r="J619">
        <f>_xll.BDP("805788VN Muni","CPN")</f>
        <v>2</v>
      </c>
      <c r="K619" t="str">
        <f>_xll.BDP("805788VN Muni","MATURITY")</f>
        <v>9/15/2025</v>
      </c>
      <c r="L619">
        <v>750000</v>
      </c>
      <c r="M619">
        <f>_xll.BDP("805788VN Muni","YIELD_ON_ISSUE_DATE")</f>
        <v>1.8</v>
      </c>
      <c r="N619">
        <f>_xll.BDP("805788VN Muni","YTW_SPREAD_TO_MATURITY_AT_ISSU")</f>
        <v>25.250926084237424</v>
      </c>
      <c r="O619" t="str">
        <f>_xll.BDP("805788VN Muni","BVAL_MID_YTM")</f>
        <v>#N/A Authorization</v>
      </c>
      <c r="P619" t="str">
        <f>_xll.BDP("805788VN Muni","MUNI_TAX_PROV")</f>
        <v>FED BQ/ST TAX-EXEMPT</v>
      </c>
      <c r="Q619" t="str">
        <f>_xll.BDP("805788VN Muni","MUNI_FED_TAX")</f>
        <v>N</v>
      </c>
      <c r="R619" t="str">
        <f>_xll.BDP("805788VN Muni","MUNI_MSRB_VOLUME")</f>
        <v>#N/A N/A</v>
      </c>
      <c r="S619" t="str">
        <f>_xll.BDP("805788VN Muni","BB_COMPOSITE")</f>
        <v>#N/A N/A</v>
      </c>
      <c r="T619">
        <f>_xll.BDP("805788VN Muni","LQA_LIQUIDITY_SCORE")</f>
        <v>48</v>
      </c>
    </row>
    <row r="620" spans="1:20" x14ac:dyDescent="0.25">
      <c r="A620" t="str">
        <f>_xll.BDP("70146RGN Muni","ID_CUSIP")</f>
        <v>70146RGN2</v>
      </c>
      <c r="B620" t="s">
        <v>238</v>
      </c>
      <c r="C620" t="str">
        <f>_xll.BDP("70146RGN Muni","INSURANCE_STATUS")</f>
        <v>Y</v>
      </c>
      <c r="D620" t="str">
        <f>_xll.BDP("70146RGN Muni","STATE_CODE")</f>
        <v>TX</v>
      </c>
      <c r="E620" t="str">
        <f>_xll.BDP("70146RGN Muni","COUNTY_LOCATION_ISSUER")</f>
        <v>Williamson, TX</v>
      </c>
      <c r="F620">
        <f>_xll.BDP("70146RGN Muni","DUR_ADJ_MID")</f>
        <v>8.046076741843064E-2</v>
      </c>
      <c r="G620">
        <f>_xll.BDP("70146RGN Muni","SPREAD_AT_ISSUANCE_TO_WORST")</f>
        <v>34.917286884838596</v>
      </c>
      <c r="H620" t="str">
        <f>_xll.BDP("70146RGN Muni","ISSUE_DT")</f>
        <v>5/11/2017</v>
      </c>
      <c r="I620" t="str">
        <f>_xll.BDS("70146RGN Muni","MUNI_PURPOSE_SCHED", "aggregate=y")</f>
        <v>WATER UTILITY IMPS. SEWER IMPS.</v>
      </c>
      <c r="J620">
        <f>_xll.BDP("70146RGN Muni","CPN")</f>
        <v>2.5</v>
      </c>
      <c r="K620" t="str">
        <f>_xll.BDP("70146RGN Muni","MATURITY")</f>
        <v>9/1/2022</v>
      </c>
      <c r="L620">
        <v>65000</v>
      </c>
      <c r="M620">
        <f>_xll.BDP("70146RGN Muni","YIELD_ON_ISSUE_DATE")</f>
        <v>1.85</v>
      </c>
      <c r="N620">
        <f>_xll.BDP("70146RGN Muni","YTW_SPREAD_TO_MATURITY_AT_ISSU")</f>
        <v>34.917286884838596</v>
      </c>
      <c r="O620" t="str">
        <f>_xll.BDP("70146RGN Muni","BVAL_MID_YTM")</f>
        <v>#N/A Authorization</v>
      </c>
      <c r="P620" t="str">
        <f>_xll.BDP("70146RGN Muni","MUNI_TAX_PROV")</f>
        <v>FED BQ</v>
      </c>
      <c r="Q620" t="str">
        <f>_xll.BDP("70146RGN Muni","MUNI_FED_TAX")</f>
        <v>N</v>
      </c>
      <c r="R620" t="str">
        <f>_xll.BDP("70146RGN Muni","MUNI_MSRB_VOLUME")</f>
        <v>#N/A N/A</v>
      </c>
      <c r="S620" t="str">
        <f>_xll.BDP("70146RGN Muni","BB_COMPOSITE")</f>
        <v>#N/A N/A</v>
      </c>
      <c r="T620">
        <f>_xll.BDP("70146RGN Muni","LQA_LIQUIDITY_SCORE")</f>
        <v>92</v>
      </c>
    </row>
    <row r="621" spans="1:20" x14ac:dyDescent="0.25">
      <c r="A621" t="str">
        <f>_xll.BDP("70146RGQ Muni","ID_CUSIP")</f>
        <v>70146RGQ5</v>
      </c>
      <c r="B621" t="s">
        <v>238</v>
      </c>
      <c r="C621" t="str">
        <f>_xll.BDP("70146RGQ Muni","INSURANCE_STATUS")</f>
        <v>Y</v>
      </c>
      <c r="D621" t="str">
        <f>_xll.BDP("70146RGQ Muni","STATE_CODE")</f>
        <v>TX</v>
      </c>
      <c r="E621" t="str">
        <f>_xll.BDP("70146RGQ Muni","COUNTY_LOCATION_ISSUER")</f>
        <v>Williamson, TX</v>
      </c>
      <c r="F621">
        <f>_xll.BDP("70146RGQ Muni","DUR_ADJ_MID")</f>
        <v>1.9967707745367644</v>
      </c>
      <c r="G621">
        <f>_xll.BDP("70146RGQ Muni","SPREAD_AT_ISSUANCE_TO_WORST")</f>
        <v>36.405707062074086</v>
      </c>
      <c r="H621" t="str">
        <f>_xll.BDP("70146RGQ Muni","ISSUE_DT")</f>
        <v>5/11/2017</v>
      </c>
      <c r="I621" t="str">
        <f>_xll.BDS("70146RGQ Muni","MUNI_PURPOSE_SCHED", "aggregate=y")</f>
        <v>WATER UTILITY IMPS. SEWER IMPS.</v>
      </c>
      <c r="J621">
        <f>_xll.BDP("70146RGQ Muni","CPN")</f>
        <v>2.5</v>
      </c>
      <c r="K621" t="str">
        <f>_xll.BDP("70146RGQ Muni","MATURITY")</f>
        <v>9/1/2024</v>
      </c>
      <c r="L621">
        <v>70000</v>
      </c>
      <c r="M621">
        <f>_xll.BDP("70146RGQ Muni","YIELD_ON_ISSUE_DATE")</f>
        <v>2.2000000000000002</v>
      </c>
      <c r="N621">
        <f>_xll.BDP("70146RGQ Muni","YTW_SPREAD_TO_MATURITY_AT_ISSU")</f>
        <v>36.405707062074086</v>
      </c>
      <c r="O621" t="str">
        <f>_xll.BDP("70146RGQ Muni","BVAL_MID_YTM")</f>
        <v>#N/A Authorization</v>
      </c>
      <c r="P621" t="str">
        <f>_xll.BDP("70146RGQ Muni","MUNI_TAX_PROV")</f>
        <v>FED BQ</v>
      </c>
      <c r="Q621" t="str">
        <f>_xll.BDP("70146RGQ Muni","MUNI_FED_TAX")</f>
        <v>N</v>
      </c>
      <c r="R621" t="str">
        <f>_xll.BDP("70146RGQ Muni","MUNI_MSRB_VOLUME")</f>
        <v>#N/A N/A</v>
      </c>
      <c r="S621" t="str">
        <f>_xll.BDP("70146RGQ Muni","BB_COMPOSITE")</f>
        <v>#N/A N/A</v>
      </c>
      <c r="T621">
        <f>_xll.BDP("70146RGQ Muni","LQA_LIQUIDITY_SCORE")</f>
        <v>48</v>
      </c>
    </row>
    <row r="622" spans="1:20" x14ac:dyDescent="0.25">
      <c r="A622" t="str">
        <f>_xll.BDP("917572WG Muni","ID_CUSIP")</f>
        <v>917572WG0</v>
      </c>
      <c r="B622" t="s">
        <v>26</v>
      </c>
      <c r="C622" t="str">
        <f>_xll.BDP("917572WG Muni","INSURANCE_STATUS")</f>
        <v>N</v>
      </c>
      <c r="D622" t="str">
        <f>_xll.BDP("917572WG Muni","STATE_CODE")</f>
        <v>UT</v>
      </c>
      <c r="E622" t="str">
        <f>_xll.BDP("917572WG Muni","COUNTY_LOCATION_ISSUER")</f>
        <v>Salt Lake, UT</v>
      </c>
      <c r="F622">
        <f>_xll.BDP("917572WG Muni","DUR_ADJ_MID")</f>
        <v>0.56517662689591941</v>
      </c>
      <c r="G622">
        <f>_xll.BDP("917572WG Muni","SPREAD_AT_ISSUANCE_TO_WORST")</f>
        <v>22.138743673863548</v>
      </c>
      <c r="H622" t="str">
        <f>_xll.BDP("917572WG Muni","ISSUE_DT")</f>
        <v>7/20/2017</v>
      </c>
      <c r="I622" t="str">
        <f>_xll.BDS("917572WG Muni","MUNI_PURPOSE_SCHED", "aggregate=y")</f>
        <v>WATER UTILITY IMPS. SEWER IMPS.</v>
      </c>
      <c r="J622">
        <f>_xll.BDP("917572WG Muni","CPN")</f>
        <v>5</v>
      </c>
      <c r="K622" t="str">
        <f>_xll.BDP("917572WG Muni","MATURITY")</f>
        <v>3/1/2023</v>
      </c>
      <c r="L622">
        <v>3140000</v>
      </c>
      <c r="M622">
        <f>_xll.BDP("917572WG Muni","YIELD_ON_ISSUE_DATE")</f>
        <v>1.53</v>
      </c>
      <c r="N622">
        <f>_xll.BDP("917572WG Muni","YTW_SPREAD_TO_MATURITY_AT_ISSU")</f>
        <v>22.138743673863548</v>
      </c>
      <c r="O622" t="str">
        <f>_xll.BDP("917572WG Muni","BVAL_MID_YTM")</f>
        <v>#N/A Authorization</v>
      </c>
      <c r="P622" t="str">
        <f>_xll.BDP("917572WG Muni","MUNI_TAX_PROV")</f>
        <v>FED &amp; ST TAX-EXEMPT</v>
      </c>
      <c r="Q622" t="str">
        <f>_xll.BDP("917572WG Muni","MUNI_FED_TAX")</f>
        <v>N</v>
      </c>
      <c r="R622">
        <f>_xll.BDP("917572WG Muni","MUNI_MSRB_VOLUME")</f>
        <v>150000</v>
      </c>
      <c r="S622" t="str">
        <f>_xll.BDP("917572WG Muni","BB_COMPOSITE")</f>
        <v>AA</v>
      </c>
      <c r="T622">
        <f>_xll.BDP("917572WG Muni","LQA_LIQUIDITY_SCORE")</f>
        <v>90</v>
      </c>
    </row>
    <row r="623" spans="1:20" x14ac:dyDescent="0.25">
      <c r="A623" t="str">
        <f>_xll.BDP("92006TJC Muni","ID_CUSIP")</f>
        <v>92006TJC2</v>
      </c>
      <c r="B623" t="s">
        <v>235</v>
      </c>
      <c r="C623" t="str">
        <f>_xll.BDP("92006TJC Muni","INSURANCE_STATUS")</f>
        <v>Y</v>
      </c>
      <c r="D623" t="str">
        <f>_xll.BDP("92006TJC Muni","STATE_CODE")</f>
        <v>TX</v>
      </c>
      <c r="E623" t="str">
        <f>_xll.BDP("92006TJC Muni","COUNTY_LOCATION_ISSUER")</f>
        <v>Montgomery, TX</v>
      </c>
      <c r="F623">
        <f>_xll.BDP("92006TJC Muni","DUR_ADJ_MID")</f>
        <v>8.0456627225147972E-2</v>
      </c>
      <c r="G623">
        <f>_xll.BDP("92006TJC Muni","SPREAD_AT_ISSUANCE_TO_WORST")</f>
        <v>58.406840260122905</v>
      </c>
      <c r="H623" t="str">
        <f>_xll.BDP("92006TJC Muni","ISSUE_DT")</f>
        <v>5/1/2017</v>
      </c>
      <c r="I623" t="str">
        <f>_xll.BDS("92006TJC Muni","MUNI_PURPOSE_SCHED", "aggregate=y")</f>
        <v>PUBLIC IMPS. WATER UTILITY IMPS. SEWER IMPS.</v>
      </c>
      <c r="J623">
        <f>_xll.BDP("92006TJC Muni","CPN")</f>
        <v>5</v>
      </c>
      <c r="K623" t="str">
        <f>_xll.BDP("92006TJC Muni","MATURITY")</f>
        <v>9/1/2022</v>
      </c>
      <c r="L623">
        <v>95000</v>
      </c>
      <c r="M623">
        <f>_xll.BDP("92006TJC Muni","YIELD_ON_ISSUE_DATE")</f>
        <v>2</v>
      </c>
      <c r="N623">
        <f>_xll.BDP("92006TJC Muni","YTW_SPREAD_TO_MATURITY_AT_ISSU")</f>
        <v>58.406840260122905</v>
      </c>
      <c r="O623" t="str">
        <f>_xll.BDP("92006TJC Muni","BVAL_MID_YTM")</f>
        <v>#N/A Authorization</v>
      </c>
      <c r="P623" t="str">
        <f>_xll.BDP("92006TJC Muni","MUNI_TAX_PROV")</f>
        <v>FED BQ</v>
      </c>
      <c r="Q623" t="str">
        <f>_xll.BDP("92006TJC Muni","MUNI_FED_TAX")</f>
        <v>N</v>
      </c>
      <c r="R623" t="str">
        <f>_xll.BDP("92006TJC Muni","MUNI_MSRB_VOLUME")</f>
        <v>#N/A N/A</v>
      </c>
      <c r="S623" t="str">
        <f>_xll.BDP("92006TJC Muni","BB_COMPOSITE")</f>
        <v>AA-</v>
      </c>
      <c r="T623">
        <f>_xll.BDP("92006TJC Muni","LQA_LIQUIDITY_SCORE")</f>
        <v>95</v>
      </c>
    </row>
    <row r="624" spans="1:20" x14ac:dyDescent="0.25">
      <c r="A624" t="str">
        <f>_xll.BDP("92006TJE Muni","ID_CUSIP")</f>
        <v>92006TJE8</v>
      </c>
      <c r="B624" t="s">
        <v>235</v>
      </c>
      <c r="C624" t="str">
        <f>_xll.BDP("92006TJE Muni","INSURANCE_STATUS")</f>
        <v>Y</v>
      </c>
      <c r="D624" t="str">
        <f>_xll.BDP("92006TJE Muni","STATE_CODE")</f>
        <v>TX</v>
      </c>
      <c r="E624" t="str">
        <f>_xll.BDP("92006TJE Muni","COUNTY_LOCATION_ISSUER")</f>
        <v>Montgomery, TX</v>
      </c>
      <c r="F624">
        <f>_xll.BDP("92006TJE Muni","DUR_ADJ_MID")</f>
        <v>1.9428970109302235</v>
      </c>
      <c r="G624">
        <f>_xll.BDP("92006TJE Muni","SPREAD_AT_ISSUANCE_TO_WORST")</f>
        <v>50.754016460982918</v>
      </c>
      <c r="H624" t="str">
        <f>_xll.BDP("92006TJE Muni","ISSUE_DT")</f>
        <v>5/1/2017</v>
      </c>
      <c r="I624" t="str">
        <f>_xll.BDS("92006TJE Muni","MUNI_PURPOSE_SCHED", "aggregate=y")</f>
        <v>PUBLIC IMPS. WATER UTILITY IMPS. SEWER IMPS.</v>
      </c>
      <c r="J624">
        <f>_xll.BDP("92006TJE Muni","CPN")</f>
        <v>5</v>
      </c>
      <c r="K624" t="str">
        <f>_xll.BDP("92006TJE Muni","MATURITY")</f>
        <v>9/1/2024</v>
      </c>
      <c r="L624">
        <v>100000</v>
      </c>
      <c r="M624">
        <f>_xll.BDP("92006TJE Muni","YIELD_ON_ISSUE_DATE")</f>
        <v>2.25</v>
      </c>
      <c r="N624">
        <f>_xll.BDP("92006TJE Muni","YTW_SPREAD_TO_MATURITY_AT_ISSU")</f>
        <v>50.754016460982918</v>
      </c>
      <c r="O624" t="str">
        <f>_xll.BDP("92006TJE Muni","BVAL_MID_YTM")</f>
        <v>#N/A Authorization</v>
      </c>
      <c r="P624" t="str">
        <f>_xll.BDP("92006TJE Muni","MUNI_TAX_PROV")</f>
        <v>FED BQ</v>
      </c>
      <c r="Q624" t="str">
        <f>_xll.BDP("92006TJE Muni","MUNI_FED_TAX")</f>
        <v>N</v>
      </c>
      <c r="R624" t="str">
        <f>_xll.BDP("92006TJE Muni","MUNI_MSRB_VOLUME")</f>
        <v>#N/A N/A</v>
      </c>
      <c r="S624" t="str">
        <f>_xll.BDP("92006TJE Muni","BB_COMPOSITE")</f>
        <v>AA-</v>
      </c>
      <c r="T624">
        <f>_xll.BDP("92006TJE Muni","LQA_LIQUIDITY_SCORE")</f>
        <v>76</v>
      </c>
    </row>
    <row r="625" spans="1:20" x14ac:dyDescent="0.25">
      <c r="A625" t="str">
        <f>_xll.BDP("810489SU Muni","ID_CUSIP")</f>
        <v>810489SU9</v>
      </c>
      <c r="B625" t="s">
        <v>144</v>
      </c>
      <c r="C625" t="str">
        <f>_xll.BDP("810489SU Muni","INSURANCE_STATUS")</f>
        <v>N</v>
      </c>
      <c r="D625" t="str">
        <f>_xll.BDP("810489SU Muni","STATE_CODE")</f>
        <v>AZ</v>
      </c>
      <c r="E625" t="str">
        <f>_xll.BDP("810489SU Muni","COUNTY_LOCATION_ISSUER")</f>
        <v>Maricopa, AZ</v>
      </c>
      <c r="F625">
        <f>_xll.BDP("810489SU Muni","DUR_ADJ_MID")</f>
        <v>0.8953059603739485</v>
      </c>
      <c r="G625">
        <f>_xll.BDP("810489SU Muni","SPREAD_AT_ISSUANCE_TO_WORST")</f>
        <v>6.6869538069388668</v>
      </c>
      <c r="H625" t="str">
        <f>_xll.BDP("810489SU Muni","ISSUE_DT")</f>
        <v>5/24/2017</v>
      </c>
      <c r="I625" t="str">
        <f>_xll.BDS("810489SU Muni","MUNI_PURPOSE_SCHED", "aggregate=y")</f>
        <v>WATER UTILITY IMPS. SEWER IMPS.</v>
      </c>
      <c r="J625">
        <f>_xll.BDP("810489SU Muni","CPN")</f>
        <v>5</v>
      </c>
      <c r="K625" t="str">
        <f>_xll.BDP("810489SU Muni","MATURITY")</f>
        <v>7/1/2023</v>
      </c>
      <c r="L625">
        <v>1580000</v>
      </c>
      <c r="M625">
        <f>_xll.BDP("810489SU Muni","YIELD_ON_ISSUE_DATE")</f>
        <v>1.6300000000000001</v>
      </c>
      <c r="N625">
        <f>_xll.BDP("810489SU Muni","YTW_SPREAD_TO_MATURITY_AT_ISSU")</f>
        <v>6.6869538069388668</v>
      </c>
      <c r="O625" t="str">
        <f>_xll.BDP("810489SU Muni","BVAL_MID_YTM")</f>
        <v>#N/A Authorization</v>
      </c>
      <c r="P625" t="str">
        <f>_xll.BDP("810489SU Muni","MUNI_TAX_PROV")</f>
        <v>FED &amp; ST TAX-EXEMPT</v>
      </c>
      <c r="Q625" t="str">
        <f>_xll.BDP("810489SU Muni","MUNI_FED_TAX")</f>
        <v>N</v>
      </c>
      <c r="R625" t="str">
        <f>_xll.BDP("810489SU Muni","MUNI_MSRB_VOLUME")</f>
        <v>#N/A N/A</v>
      </c>
      <c r="S625" t="str">
        <f>_xll.BDP("810489SU Muni","BB_COMPOSITE")</f>
        <v>AA+</v>
      </c>
      <c r="T625">
        <f>_xll.BDP("810489SU Muni","LQA_LIQUIDITY_SCORE")</f>
        <v>88</v>
      </c>
    </row>
    <row r="626" spans="1:20" x14ac:dyDescent="0.25">
      <c r="A626" t="str">
        <f>_xll.BDP("810489SV Muni","ID_CUSIP")</f>
        <v>810489SV7</v>
      </c>
      <c r="B626" t="s">
        <v>144</v>
      </c>
      <c r="C626" t="str">
        <f>_xll.BDP("810489SV Muni","INSURANCE_STATUS")</f>
        <v>N</v>
      </c>
      <c r="D626" t="str">
        <f>_xll.BDP("810489SV Muni","STATE_CODE")</f>
        <v>AZ</v>
      </c>
      <c r="E626" t="str">
        <f>_xll.BDP("810489SV Muni","COUNTY_LOCATION_ISSUER")</f>
        <v>Maricopa, AZ</v>
      </c>
      <c r="F626">
        <f>_xll.BDP("810489SV Muni","DUR_ADJ_MID")</f>
        <v>1.8282472826585545</v>
      </c>
      <c r="G626">
        <f>_xll.BDP("810489SV Muni","SPREAD_AT_ISSUANCE_TO_WORST")</f>
        <v>8.400082687275523</v>
      </c>
      <c r="H626" t="str">
        <f>_xll.BDP("810489SV Muni","ISSUE_DT")</f>
        <v>5/24/2017</v>
      </c>
      <c r="I626" t="str">
        <f>_xll.BDS("810489SV Muni","MUNI_PURPOSE_SCHED", "aggregate=y")</f>
        <v>WATER UTILITY IMPS. SEWER IMPS.</v>
      </c>
      <c r="J626">
        <f>_xll.BDP("810489SV Muni","CPN")</f>
        <v>5</v>
      </c>
      <c r="K626" t="str">
        <f>_xll.BDP("810489SV Muni","MATURITY")</f>
        <v>7/1/2024</v>
      </c>
      <c r="L626">
        <v>1655000</v>
      </c>
      <c r="M626">
        <f>_xll.BDP("810489SV Muni","YIELD_ON_ISSUE_DATE")</f>
        <v>1.81</v>
      </c>
      <c r="N626">
        <f>_xll.BDP("810489SV Muni","YTW_SPREAD_TO_MATURITY_AT_ISSU")</f>
        <v>8.400082687275523</v>
      </c>
      <c r="O626" t="str">
        <f>_xll.BDP("810489SV Muni","BVAL_MID_YTM")</f>
        <v>#N/A Authorization</v>
      </c>
      <c r="P626" t="str">
        <f>_xll.BDP("810489SV Muni","MUNI_TAX_PROV")</f>
        <v>FED &amp; ST TAX-EXEMPT</v>
      </c>
      <c r="Q626" t="str">
        <f>_xll.BDP("810489SV Muni","MUNI_FED_TAX")</f>
        <v>N</v>
      </c>
      <c r="R626">
        <f>_xll.BDP("810489SV Muni","MUNI_MSRB_VOLUME")</f>
        <v>665000</v>
      </c>
      <c r="S626" t="str">
        <f>_xll.BDP("810489SV Muni","BB_COMPOSITE")</f>
        <v>AA+</v>
      </c>
      <c r="T626">
        <f>_xll.BDP("810489SV Muni","LQA_LIQUIDITY_SCORE")</f>
        <v>81</v>
      </c>
    </row>
    <row r="627" spans="1:20" x14ac:dyDescent="0.25">
      <c r="A627" t="str">
        <f>_xll.BDP("810489SX Muni","ID_CUSIP")</f>
        <v>810489SX3</v>
      </c>
      <c r="B627" t="s">
        <v>144</v>
      </c>
      <c r="C627" t="str">
        <f>_xll.BDP("810489SX Muni","INSURANCE_STATUS")</f>
        <v>N</v>
      </c>
      <c r="D627" t="str">
        <f>_xll.BDP("810489SX Muni","STATE_CODE")</f>
        <v>AZ</v>
      </c>
      <c r="E627" t="str">
        <f>_xll.BDP("810489SX Muni","COUNTY_LOCATION_ISSUER")</f>
        <v>Maricopa, AZ</v>
      </c>
      <c r="F627">
        <f>_xll.BDP("810489SX Muni","DUR_ADJ_MID")</f>
        <v>3.5742770109111066</v>
      </c>
      <c r="G627">
        <f>_xll.BDP("810489SX Muni","SPREAD_AT_ISSUANCE_TO_WORST")</f>
        <v>15.199841933811431</v>
      </c>
      <c r="H627" t="str">
        <f>_xll.BDP("810489SX Muni","ISSUE_DT")</f>
        <v>5/24/2017</v>
      </c>
      <c r="I627" t="str">
        <f>_xll.BDS("810489SX Muni","MUNI_PURPOSE_SCHED", "aggregate=y")</f>
        <v>WATER UTILITY IMPS. SEWER IMPS.</v>
      </c>
      <c r="J627">
        <f>_xll.BDP("810489SX Muni","CPN")</f>
        <v>5</v>
      </c>
      <c r="K627" t="str">
        <f>_xll.BDP("810489SX Muni","MATURITY")</f>
        <v>7/1/2026</v>
      </c>
      <c r="L627">
        <v>1825000</v>
      </c>
      <c r="M627">
        <f>_xll.BDP("810489SX Muni","YIELD_ON_ISSUE_DATE")</f>
        <v>2.1800000000000002</v>
      </c>
      <c r="N627">
        <f>_xll.BDP("810489SX Muni","YTW_SPREAD_TO_MATURITY_AT_ISSU")</f>
        <v>15.199841933811431</v>
      </c>
      <c r="O627" t="str">
        <f>_xll.BDP("810489SX Muni","BVAL_MID_YTM")</f>
        <v>#N/A Authorization</v>
      </c>
      <c r="P627" t="str">
        <f>_xll.BDP("810489SX Muni","MUNI_TAX_PROV")</f>
        <v>FED &amp; ST TAX-EXEMPT</v>
      </c>
      <c r="Q627" t="str">
        <f>_xll.BDP("810489SX Muni","MUNI_FED_TAX")</f>
        <v>N</v>
      </c>
      <c r="R627">
        <f>_xll.BDP("810489SX Muni","MUNI_MSRB_VOLUME")</f>
        <v>50000</v>
      </c>
      <c r="S627" t="str">
        <f>_xll.BDP("810489SX Muni","BB_COMPOSITE")</f>
        <v>AA+</v>
      </c>
      <c r="T627">
        <f>_xll.BDP("810489SX Muni","LQA_LIQUIDITY_SCORE")</f>
        <v>71</v>
      </c>
    </row>
    <row r="628" spans="1:20" x14ac:dyDescent="0.25">
      <c r="A628" t="str">
        <f>_xll.BDP("724428EL Muni","ID_CUSIP")</f>
        <v>724428EL7</v>
      </c>
      <c r="B628" t="s">
        <v>232</v>
      </c>
      <c r="C628" t="str">
        <f>_xll.BDP("724428EL Muni","INSURANCE_STATUS")</f>
        <v>N</v>
      </c>
      <c r="D628" t="str">
        <f>_xll.BDP("724428EL Muni","STATE_CODE")</f>
        <v>NJ</v>
      </c>
      <c r="E628" t="str">
        <f>_xll.BDP("724428EL Muni","COUNTY_LOCATION_ISSUER")</f>
        <v>Gloucester, NJ</v>
      </c>
      <c r="F628">
        <f>_xll.BDP("724428EL Muni","DUR_ADJ_MID")</f>
        <v>0.9011380811035935</v>
      </c>
      <c r="G628">
        <f>_xll.BDP("724428EL Muni","SPREAD_AT_ISSUANCE_TO_WORST")</f>
        <v>43.155131189875242</v>
      </c>
      <c r="H628" t="str">
        <f>_xll.BDP("724428EL Muni","ISSUE_DT")</f>
        <v>7/12/2017</v>
      </c>
      <c r="I628" t="str">
        <f>_xll.BDS("724428EL Muni","MUNI_PURPOSE_SCHED", "aggregate=y")</f>
        <v>REFUNDING NOTES WATER UTILITY IMPS. PUBLIC IMPS.</v>
      </c>
      <c r="J628">
        <f>_xll.BDP("724428EL Muni","CPN")</f>
        <v>2</v>
      </c>
      <c r="K628" t="str">
        <f>_xll.BDP("724428EL Muni","MATURITY")</f>
        <v>7/1/2023</v>
      </c>
      <c r="L628">
        <v>305000</v>
      </c>
      <c r="M628">
        <f>_xll.BDP("724428EL Muni","YIELD_ON_ISSUE_DATE")</f>
        <v>1.8</v>
      </c>
      <c r="N628">
        <f>_xll.BDP("724428EL Muni","YTW_SPREAD_TO_MATURITY_AT_ISSU")</f>
        <v>43.155131189875242</v>
      </c>
      <c r="O628" t="str">
        <f>_xll.BDP("724428EL Muni","BVAL_MID_YTM")</f>
        <v>#N/A Authorization</v>
      </c>
      <c r="P628" t="str">
        <f>_xll.BDP("724428EL Muni","MUNI_TAX_PROV")</f>
        <v>FED BQ/ST TAX-EXEMPT</v>
      </c>
      <c r="Q628" t="str">
        <f>_xll.BDP("724428EL Muni","MUNI_FED_TAX")</f>
        <v>N</v>
      </c>
      <c r="R628" t="str">
        <f>_xll.BDP("724428EL Muni","MUNI_MSRB_VOLUME")</f>
        <v>#N/A N/A</v>
      </c>
      <c r="S628" t="str">
        <f>_xll.BDP("724428EL Muni","BB_COMPOSITE")</f>
        <v>#N/A N/A</v>
      </c>
      <c r="T628">
        <f>_xll.BDP("724428EL Muni","LQA_LIQUIDITY_SCORE")</f>
        <v>84</v>
      </c>
    </row>
    <row r="629" spans="1:20" x14ac:dyDescent="0.25">
      <c r="A629" t="str">
        <f>_xll.BDP("724428EN Muni","ID_CUSIP")</f>
        <v>724428EN3</v>
      </c>
      <c r="B629" t="s">
        <v>232</v>
      </c>
      <c r="C629" t="str">
        <f>_xll.BDP("724428EN Muni","INSURANCE_STATUS")</f>
        <v>N</v>
      </c>
      <c r="D629" t="str">
        <f>_xll.BDP("724428EN Muni","STATE_CODE")</f>
        <v>NJ</v>
      </c>
      <c r="E629" t="str">
        <f>_xll.BDP("724428EN Muni","COUNTY_LOCATION_ISSUER")</f>
        <v>Gloucester, NJ</v>
      </c>
      <c r="F629">
        <f>_xll.BDP("724428EN Muni","DUR_ADJ_MID")</f>
        <v>2.8027287305146853</v>
      </c>
      <c r="G629">
        <f>_xll.BDP("724428EN Muni","SPREAD_AT_ISSUANCE_TO_WORST")</f>
        <v>49.074325310941312</v>
      </c>
      <c r="H629" t="str">
        <f>_xll.BDP("724428EN Muni","ISSUE_DT")</f>
        <v>7/12/2017</v>
      </c>
      <c r="I629" t="str">
        <f>_xll.BDS("724428EN Muni","MUNI_PURPOSE_SCHED", "aggregate=y")</f>
        <v>REFUNDING NOTES WATER UTILITY IMPS. PUBLIC IMPS.</v>
      </c>
      <c r="J629">
        <f>_xll.BDP("724428EN Muni","CPN")</f>
        <v>2.25</v>
      </c>
      <c r="K629" t="str">
        <f>_xll.BDP("724428EN Muni","MATURITY")</f>
        <v>7/1/2025</v>
      </c>
      <c r="L629">
        <v>315000</v>
      </c>
      <c r="M629">
        <f>_xll.BDP("724428EN Muni","YIELD_ON_ISSUE_DATE")</f>
        <v>2.15</v>
      </c>
      <c r="N629">
        <f>_xll.BDP("724428EN Muni","YTW_SPREAD_TO_MATURITY_AT_ISSU")</f>
        <v>49.074325310941312</v>
      </c>
      <c r="O629" t="str">
        <f>_xll.BDP("724428EN Muni","BVAL_MID_YTM")</f>
        <v>#N/A Authorization</v>
      </c>
      <c r="P629" t="str">
        <f>_xll.BDP("724428EN Muni","MUNI_TAX_PROV")</f>
        <v>FED BQ/ST TAX-EXEMPT</v>
      </c>
      <c r="Q629" t="str">
        <f>_xll.BDP("724428EN Muni","MUNI_FED_TAX")</f>
        <v>N</v>
      </c>
      <c r="R629">
        <f>_xll.BDP("724428EN Muni","MUNI_MSRB_VOLUME")</f>
        <v>45000</v>
      </c>
      <c r="S629" t="str">
        <f>_xll.BDP("724428EN Muni","BB_COMPOSITE")</f>
        <v>#N/A N/A</v>
      </c>
      <c r="T629">
        <f>_xll.BDP("724428EN Muni","LQA_LIQUIDITY_SCORE")</f>
        <v>69</v>
      </c>
    </row>
    <row r="630" spans="1:20" x14ac:dyDescent="0.25">
      <c r="A630" t="str">
        <f>_xll.BDP("717087F2 Muni","ID_CUSIP")</f>
        <v>717087F21</v>
      </c>
      <c r="B630" t="s">
        <v>239</v>
      </c>
      <c r="C630" t="str">
        <f>_xll.BDP("717087F2 Muni","INSURANCE_STATUS")</f>
        <v>N</v>
      </c>
      <c r="D630" t="str">
        <f>_xll.BDP("717087F2 Muni","STATE_CODE")</f>
        <v>TX</v>
      </c>
      <c r="E630" t="str">
        <f>_xll.BDP("717087F2 Muni","COUNTY_LOCATION_ISSUER")</f>
        <v>Travis, TX</v>
      </c>
      <c r="F630">
        <f>_xll.BDP("717087F2 Muni","DUR_ADJ_MID")</f>
        <v>0.97831064795450096</v>
      </c>
      <c r="G630">
        <f>_xll.BDP("717087F2 Muni","SPREAD_AT_ISSUANCE_TO_WORST")</f>
        <v>20.519093150684942</v>
      </c>
      <c r="H630" t="str">
        <f>_xll.BDP("717087F2 Muni","ISSUE_DT")</f>
        <v>12/1/2017</v>
      </c>
      <c r="I630" t="str">
        <f>_xll.BDS("717087F2 Muni","MUNI_PURPOSE_SCHED", "aggregate=y")</f>
        <v>SEWER IMPS. WATER UTILITY IMPS.</v>
      </c>
      <c r="J630">
        <f>_xll.BDP("717087F2 Muni","CPN")</f>
        <v>5</v>
      </c>
      <c r="K630" t="str">
        <f>_xll.BDP("717087F2 Muni","MATURITY")</f>
        <v>8/1/2023</v>
      </c>
      <c r="L630">
        <v>365000</v>
      </c>
      <c r="M630">
        <f>_xll.BDP("717087F2 Muni","YIELD_ON_ISSUE_DATE")</f>
        <v>1.81</v>
      </c>
      <c r="N630">
        <f>_xll.BDP("717087F2 Muni","YTW_SPREAD_TO_MATURITY_AT_ISSU")</f>
        <v>20.519093150684942</v>
      </c>
      <c r="O630" t="str">
        <f>_xll.BDP("717087F2 Muni","BVAL_MID_YTM")</f>
        <v>#N/A Authorization</v>
      </c>
      <c r="P630" t="str">
        <f>_xll.BDP("717087F2 Muni","MUNI_TAX_PROV")</f>
        <v>FED TAX-EXEMPT</v>
      </c>
      <c r="Q630" t="str">
        <f>_xll.BDP("717087F2 Muni","MUNI_FED_TAX")</f>
        <v>N</v>
      </c>
      <c r="R630">
        <f>_xll.BDP("717087F2 Muni","MUNI_MSRB_VOLUME")</f>
        <v>20000</v>
      </c>
      <c r="S630" t="str">
        <f>_xll.BDP("717087F2 Muni","BB_COMPOSITE")</f>
        <v>AA</v>
      </c>
      <c r="T630">
        <f>_xll.BDP("717087F2 Muni","LQA_LIQUIDITY_SCORE")</f>
        <v>89</v>
      </c>
    </row>
    <row r="631" spans="1:20" x14ac:dyDescent="0.25">
      <c r="A631" t="str">
        <f>_xll.BDP("717087J8 Muni","ID_CUSIP")</f>
        <v>717087J84</v>
      </c>
      <c r="B631" t="s">
        <v>239</v>
      </c>
      <c r="C631" t="str">
        <f>_xll.BDP("717087J8 Muni","INSURANCE_STATUS")</f>
        <v>N</v>
      </c>
      <c r="D631" t="str">
        <f>_xll.BDP("717087J8 Muni","STATE_CODE")</f>
        <v>TX</v>
      </c>
      <c r="E631" t="str">
        <f>_xll.BDP("717087J8 Muni","COUNTY_LOCATION_ISSUER")</f>
        <v>Travis, TX</v>
      </c>
      <c r="F631">
        <f>_xll.BDP("717087J8 Muni","DUR_ADJ_MID")</f>
        <v>0.98293401096670563</v>
      </c>
      <c r="G631">
        <f>_xll.BDP("717087J8 Muni","SPREAD_AT_ISSUANCE_TO_WORST")</f>
        <v>20.519093150684942</v>
      </c>
      <c r="H631" t="str">
        <f>_xll.BDP("717087J8 Muni","ISSUE_DT")</f>
        <v>12/1/2017</v>
      </c>
      <c r="I631" t="str">
        <f>_xll.BDS("717087J8 Muni","MUNI_PURPOSE_SCHED", "aggregate=y")</f>
        <v>PUBLIC IMPS. SEWER IMPS. WATER UTILITY IMPS.</v>
      </c>
      <c r="J631">
        <f>_xll.BDP("717087J8 Muni","CPN")</f>
        <v>3</v>
      </c>
      <c r="K631" t="str">
        <f>_xll.BDP("717087J8 Muni","MATURITY")</f>
        <v>8/1/2023</v>
      </c>
      <c r="L631">
        <v>40000</v>
      </c>
      <c r="M631">
        <f>_xll.BDP("717087J8 Muni","YIELD_ON_ISSUE_DATE")</f>
        <v>1.81</v>
      </c>
      <c r="N631">
        <f>_xll.BDP("717087J8 Muni","YTW_SPREAD_TO_MATURITY_AT_ISSU")</f>
        <v>20.519093150684942</v>
      </c>
      <c r="O631" t="str">
        <f>_xll.BDP("717087J8 Muni","BVAL_MID_YTM")</f>
        <v>#N/A Authorization</v>
      </c>
      <c r="P631" t="str">
        <f>_xll.BDP("717087J8 Muni","MUNI_TAX_PROV")</f>
        <v>FED TAX-EXEMPT</v>
      </c>
      <c r="Q631" t="str">
        <f>_xll.BDP("717087J8 Muni","MUNI_FED_TAX")</f>
        <v>N</v>
      </c>
      <c r="R631" t="str">
        <f>_xll.BDP("717087J8 Muni","MUNI_MSRB_VOLUME")</f>
        <v>#N/A N/A</v>
      </c>
      <c r="S631" t="str">
        <f>_xll.BDP("717087J8 Muni","BB_COMPOSITE")</f>
        <v>AA</v>
      </c>
      <c r="T631">
        <f>_xll.BDP("717087J8 Muni","LQA_LIQUIDITY_SCORE")</f>
        <v>81</v>
      </c>
    </row>
    <row r="632" spans="1:20" x14ac:dyDescent="0.25">
      <c r="A632" t="str">
        <f>_xll.BDP("717087K2 Muni","ID_CUSIP")</f>
        <v>717087K25</v>
      </c>
      <c r="B632" t="s">
        <v>239</v>
      </c>
      <c r="C632" t="str">
        <f>_xll.BDP("717087K2 Muni","INSURANCE_STATUS")</f>
        <v>N</v>
      </c>
      <c r="D632" t="str">
        <f>_xll.BDP("717087K2 Muni","STATE_CODE")</f>
        <v>TX</v>
      </c>
      <c r="E632" t="str">
        <f>_xll.BDP("717087K2 Muni","COUNTY_LOCATION_ISSUER")</f>
        <v>Travis, TX</v>
      </c>
      <c r="F632">
        <f>_xll.BDP("717087K2 Muni","DUR_ADJ_MID")</f>
        <v>2.8654035596666541</v>
      </c>
      <c r="G632">
        <f>_xll.BDP("717087K2 Muni","SPREAD_AT_ISSUANCE_TO_WORST")</f>
        <v>21.113098630136975</v>
      </c>
      <c r="H632" t="str">
        <f>_xll.BDP("717087K2 Muni","ISSUE_DT")</f>
        <v>12/1/2017</v>
      </c>
      <c r="I632" t="str">
        <f>_xll.BDS("717087K2 Muni","MUNI_PURPOSE_SCHED", "aggregate=y")</f>
        <v>PUBLIC IMPS. SEWER IMPS. WATER UTILITY IMPS.</v>
      </c>
      <c r="J632">
        <f>_xll.BDP("717087K2 Muni","CPN")</f>
        <v>3</v>
      </c>
      <c r="K632" t="str">
        <f>_xll.BDP("717087K2 Muni","MATURITY")</f>
        <v>8/1/2025</v>
      </c>
      <c r="L632">
        <v>70000</v>
      </c>
      <c r="M632">
        <f>_xll.BDP("717087K2 Muni","YIELD_ON_ISSUE_DATE")</f>
        <v>2.0300000000000002</v>
      </c>
      <c r="N632">
        <f>_xll.BDP("717087K2 Muni","YTW_SPREAD_TO_MATURITY_AT_ISSU")</f>
        <v>21.113098630136975</v>
      </c>
      <c r="O632" t="str">
        <f>_xll.BDP("717087K2 Muni","BVAL_MID_YTM")</f>
        <v>#N/A Authorization</v>
      </c>
      <c r="P632" t="str">
        <f>_xll.BDP("717087K2 Muni","MUNI_TAX_PROV")</f>
        <v>FED TAX-EXEMPT</v>
      </c>
      <c r="Q632" t="str">
        <f>_xll.BDP("717087K2 Muni","MUNI_FED_TAX")</f>
        <v>N</v>
      </c>
      <c r="R632" t="str">
        <f>_xll.BDP("717087K2 Muni","MUNI_MSRB_VOLUME")</f>
        <v>#N/A N/A</v>
      </c>
      <c r="S632" t="str">
        <f>_xll.BDP("717087K2 Muni","BB_COMPOSITE")</f>
        <v>AA</v>
      </c>
      <c r="T632">
        <f>_xll.BDP("717087K2 Muni","LQA_LIQUIDITY_SCORE")</f>
        <v>60</v>
      </c>
    </row>
    <row r="633" spans="1:20" x14ac:dyDescent="0.25">
      <c r="A633" t="str">
        <f>_xll.BDP("717087K4 Muni","ID_CUSIP")</f>
        <v>717087K41</v>
      </c>
      <c r="B633" t="s">
        <v>239</v>
      </c>
      <c r="C633" t="str">
        <f>_xll.BDP("717087K4 Muni","INSURANCE_STATUS")</f>
        <v>N</v>
      </c>
      <c r="D633" t="str">
        <f>_xll.BDP("717087K4 Muni","STATE_CODE")</f>
        <v>TX</v>
      </c>
      <c r="E633" t="str">
        <f>_xll.BDP("717087K4 Muni","COUNTY_LOCATION_ISSUER")</f>
        <v>Travis, TX</v>
      </c>
      <c r="F633">
        <f>_xll.BDP("717087K4 Muni","DUR_ADJ_MID")</f>
        <v>4.5569508109891865</v>
      </c>
      <c r="G633">
        <f>_xll.BDP("717087K4 Muni","SPREAD_AT_ISSUANCE_TO_WORST")</f>
        <v>27.893786301369872</v>
      </c>
      <c r="H633" t="str">
        <f>_xll.BDP("717087K4 Muni","ISSUE_DT")</f>
        <v>12/1/2017</v>
      </c>
      <c r="I633" t="str">
        <f>_xll.BDS("717087K4 Muni","MUNI_PURPOSE_SCHED", "aggregate=y")</f>
        <v>PUBLIC IMPS. SEWER IMPS. WATER UTILITY IMPS.</v>
      </c>
      <c r="J633">
        <f>_xll.BDP("717087K4 Muni","CPN")</f>
        <v>4</v>
      </c>
      <c r="K633" t="str">
        <f>_xll.BDP("717087K4 Muni","MATURITY")</f>
        <v>8/1/2027</v>
      </c>
      <c r="L633">
        <v>65000</v>
      </c>
      <c r="M633">
        <f>_xll.BDP("717087K4 Muni","YIELD_ON_ISSUE_DATE")</f>
        <v>2.27</v>
      </c>
      <c r="N633">
        <f>_xll.BDP("717087K4 Muni","YTW_SPREAD_TO_MATURITY_AT_ISSU")</f>
        <v>27.893786301369872</v>
      </c>
      <c r="O633" t="str">
        <f>_xll.BDP("717087K4 Muni","BVAL_MID_YTM")</f>
        <v>#N/A Authorization</v>
      </c>
      <c r="P633" t="str">
        <f>_xll.BDP("717087K4 Muni","MUNI_TAX_PROV")</f>
        <v>FED TAX-EXEMPT</v>
      </c>
      <c r="Q633" t="str">
        <f>_xll.BDP("717087K4 Muni","MUNI_FED_TAX")</f>
        <v>N</v>
      </c>
      <c r="R633" t="str">
        <f>_xll.BDP("717087K4 Muni","MUNI_MSRB_VOLUME")</f>
        <v>#N/A N/A</v>
      </c>
      <c r="S633" t="str">
        <f>_xll.BDP("717087K4 Muni","BB_COMPOSITE")</f>
        <v>AA</v>
      </c>
      <c r="T633">
        <f>_xll.BDP("717087K4 Muni","LQA_LIQUIDITY_SCORE")</f>
        <v>54</v>
      </c>
    </row>
    <row r="634" spans="1:20" x14ac:dyDescent="0.25">
      <c r="A634" t="str">
        <f>_xll.BDP("265705FH Muni","ID_CUSIP")</f>
        <v>265705FH1</v>
      </c>
      <c r="B634" t="s">
        <v>240</v>
      </c>
      <c r="C634" t="str">
        <f>_xll.BDP("265705FH Muni","INSURANCE_STATUS")</f>
        <v>N</v>
      </c>
      <c r="D634" t="str">
        <f>_xll.BDP("265705FH Muni","STATE_CODE")</f>
        <v>TN</v>
      </c>
      <c r="E634" t="str">
        <f>_xll.BDP("265705FH Muni","COUNTY_LOCATION_ISSUER")</f>
        <v>Davidson, TN</v>
      </c>
      <c r="F634">
        <f>_xll.BDP("265705FH Muni","DUR_ADJ_MID")</f>
        <v>0.56260197531715761</v>
      </c>
      <c r="G634">
        <f>_xll.BDP("265705FH Muni","SPREAD_AT_ISSUANCE_TO_WORST")</f>
        <v>67.332912968536249</v>
      </c>
      <c r="H634" t="str">
        <f>_xll.BDP("265705FH Muni","ISSUE_DT")</f>
        <v>10/5/2017</v>
      </c>
      <c r="I634" t="str">
        <f>_xll.BDS("265705FH Muni","MUNI_PURPOSE_SCHED", "aggregate=y")</f>
        <v>PUBLIC IMPS. WATER UTILITY IMPS. SEWER IMPS.</v>
      </c>
      <c r="J634">
        <f>_xll.BDP("265705FH Muni","CPN")</f>
        <v>4</v>
      </c>
      <c r="K634" t="str">
        <f>_xll.BDP("265705FH Muni","MATURITY")</f>
        <v>3/1/2023</v>
      </c>
      <c r="L634">
        <v>75000</v>
      </c>
      <c r="M634">
        <f>_xll.BDP("265705FH Muni","YIELD_ON_ISSUE_DATE")</f>
        <v>2.5</v>
      </c>
      <c r="N634">
        <f>_xll.BDP("265705FH Muni","YTW_SPREAD_TO_MATURITY_AT_ISSU")</f>
        <v>67.332912968536249</v>
      </c>
      <c r="O634" t="str">
        <f>_xll.BDP("265705FH Muni","BVAL_MID_YTM")</f>
        <v>#N/A Authorization</v>
      </c>
      <c r="P634" t="str">
        <f>_xll.BDP("265705FH Muni","MUNI_TAX_PROV")</f>
        <v>FED TAXABLE/ST TAX-EXEMPT</v>
      </c>
      <c r="Q634" t="str">
        <f>_xll.BDP("265705FH Muni","MUNI_FED_TAX")</f>
        <v>Y</v>
      </c>
      <c r="R634" t="str">
        <f>_xll.BDP("265705FH Muni","MUNI_MSRB_VOLUME")</f>
        <v>#N/A N/A</v>
      </c>
      <c r="S634" t="str">
        <f>_xll.BDP("265705FH Muni","BB_COMPOSITE")</f>
        <v>AA-</v>
      </c>
      <c r="T634">
        <f>_xll.BDP("265705FH Muni","LQA_LIQUIDITY_SCORE")</f>
        <v>88</v>
      </c>
    </row>
    <row r="635" spans="1:20" x14ac:dyDescent="0.25">
      <c r="A635" t="str">
        <f>_xll.BDP("295120AG Muni","ID_CUSIP")</f>
        <v>295120AG4</v>
      </c>
      <c r="B635" t="s">
        <v>241</v>
      </c>
      <c r="C635" t="str">
        <f>_xll.BDP("295120AG Muni","INSURANCE_STATUS")</f>
        <v>N</v>
      </c>
      <c r="D635" t="str">
        <f>_xll.BDP("295120AG Muni","STATE_CODE")</f>
        <v>OH</v>
      </c>
      <c r="E635" t="str">
        <f>_xll.BDP("295120AG Muni","COUNTY_LOCATION_ISSUER")</f>
        <v>Erie, OH</v>
      </c>
      <c r="F635">
        <f>_xll.BDP("295120AG Muni","DUR_ADJ_MID")</f>
        <v>1.1203103467559414</v>
      </c>
      <c r="G635">
        <f>_xll.BDP("295120AG Muni","SPREAD_AT_ISSUANCE_TO_WORST")</f>
        <v>10.957945205479458</v>
      </c>
      <c r="H635" t="str">
        <f>_xll.BDP("295120AG Muni","ISSUE_DT")</f>
        <v>10/11/2017</v>
      </c>
      <c r="I635" t="str">
        <f>_xll.BDS("295120AG Muni","MUNI_PURPOSE_SCHED", "aggregate=y")</f>
        <v>CURRENT REFUNDING WATER UTILITY IMPS.</v>
      </c>
      <c r="J635">
        <f>_xll.BDP("295120AG Muni","CPN")</f>
        <v>5</v>
      </c>
      <c r="K635" t="str">
        <f>_xll.BDP("295120AG Muni","MATURITY")</f>
        <v>10/1/2023</v>
      </c>
      <c r="L635">
        <v>705000</v>
      </c>
      <c r="M635">
        <f>_xll.BDP("295120AG Muni","YIELD_ON_ISSUE_DATE")</f>
        <v>1.52</v>
      </c>
      <c r="N635">
        <f>_xll.BDP("295120AG Muni","YTW_SPREAD_TO_MATURITY_AT_ISSU")</f>
        <v>10.957945205479458</v>
      </c>
      <c r="O635" t="str">
        <f>_xll.BDP("295120AG Muni","BVAL_MID_YTM")</f>
        <v>#N/A Authorization</v>
      </c>
      <c r="P635" t="str">
        <f>_xll.BDP("295120AG Muni","MUNI_TAX_PROV")</f>
        <v>FED &amp; ST TAX-EXEMPT</v>
      </c>
      <c r="Q635" t="str">
        <f>_xll.BDP("295120AG Muni","MUNI_FED_TAX")</f>
        <v>N</v>
      </c>
      <c r="R635" t="str">
        <f>_xll.BDP("295120AG Muni","MUNI_MSRB_VOLUME")</f>
        <v>#N/A N/A</v>
      </c>
      <c r="S635" t="str">
        <f>_xll.BDP("295120AG Muni","BB_COMPOSITE")</f>
        <v>#N/A N/A</v>
      </c>
      <c r="T635">
        <f>_xll.BDP("295120AG Muni","LQA_LIQUIDITY_SCORE")</f>
        <v>84</v>
      </c>
    </row>
    <row r="636" spans="1:20" x14ac:dyDescent="0.25">
      <c r="A636" t="str">
        <f>_xll.BDP("79765RW6 Muni","ID_CUSIP")</f>
        <v>79765RW62</v>
      </c>
      <c r="B636" t="s">
        <v>37</v>
      </c>
      <c r="C636" t="str">
        <f>_xll.BDP("79765RW6 Muni","INSURANCE_STATUS")</f>
        <v>N</v>
      </c>
      <c r="D636" t="str">
        <f>_xll.BDP("79765RW6 Muni","STATE_CODE")</f>
        <v>CA</v>
      </c>
      <c r="E636" t="str">
        <f>_xll.BDP("79765RW6 Muni","COUNTY_LOCATION_ISSUER")</f>
        <v>San Francisco, CA</v>
      </c>
      <c r="F636">
        <f>_xll.BDP("79765RW6 Muni","DUR_ADJ_MID")</f>
        <v>0.24673932836467258</v>
      </c>
      <c r="G636">
        <f>_xll.BDP("79765RW6 Muni","SPREAD_AT_ISSUANCE_TO_WORST")</f>
        <v>-6.7639863013698509</v>
      </c>
      <c r="H636" t="str">
        <f>_xll.BDP("79765RW6 Muni","ISSUE_DT")</f>
        <v>12/13/2017</v>
      </c>
      <c r="I636" t="str">
        <f>_xll.BDS("79765RW6 Muni","MUNI_PURPOSE_SCHED", "aggregate=y")</f>
        <v>WATER UTILITY IMPS. REFUNDING NOTES</v>
      </c>
      <c r="J636">
        <f>_xll.BDP("79765RW6 Muni","CPN")</f>
        <v>5</v>
      </c>
      <c r="K636" t="str">
        <f>_xll.BDP("79765RW6 Muni","MATURITY")</f>
        <v>11/1/2022</v>
      </c>
      <c r="L636">
        <v>1355000</v>
      </c>
      <c r="M636">
        <f>_xll.BDP("79765RW6 Muni","YIELD_ON_ISSUE_DATE")</f>
        <v>1.71</v>
      </c>
      <c r="N636">
        <f>_xll.BDP("79765RW6 Muni","YTW_SPREAD_TO_MATURITY_AT_ISSU")</f>
        <v>-6.7639863013698509</v>
      </c>
      <c r="O636" t="str">
        <f>_xll.BDP("79765RW6 Muni","BVAL_MID_YTM")</f>
        <v>#N/A Authorization</v>
      </c>
      <c r="P636" t="str">
        <f>_xll.BDP("79765RW6 Muni","MUNI_TAX_PROV")</f>
        <v>FED &amp; ST TAX-EXEMPT</v>
      </c>
      <c r="Q636" t="str">
        <f>_xll.BDP("79765RW6 Muni","MUNI_FED_TAX")</f>
        <v>N</v>
      </c>
      <c r="R636">
        <f>_xll.BDP("79765RW6 Muni","MUNI_MSRB_VOLUME")</f>
        <v>50000</v>
      </c>
      <c r="S636" t="str">
        <f>_xll.BDP("79765RW6 Muni","BB_COMPOSITE")</f>
        <v>AA-</v>
      </c>
      <c r="T636">
        <f>_xll.BDP("79765RW6 Muni","LQA_LIQUIDITY_SCORE")</f>
        <v>96</v>
      </c>
    </row>
    <row r="637" spans="1:20" x14ac:dyDescent="0.25">
      <c r="A637" t="str">
        <f>_xll.BDP("79765RQ7 Muni","ID_CUSIP")</f>
        <v>79765RQ77</v>
      </c>
      <c r="B637" t="s">
        <v>37</v>
      </c>
      <c r="C637" t="str">
        <f>_xll.BDP("79765RQ7 Muni","INSURANCE_STATUS")</f>
        <v>N</v>
      </c>
      <c r="D637" t="str">
        <f>_xll.BDP("79765RQ7 Muni","STATE_CODE")</f>
        <v>CA</v>
      </c>
      <c r="E637" t="str">
        <f>_xll.BDP("79765RQ7 Muni","COUNTY_LOCATION_ISSUER")</f>
        <v>San Francisco, CA</v>
      </c>
      <c r="F637">
        <f>_xll.BDP("79765RQ7 Muni","DUR_ADJ_MID")</f>
        <v>1.2033886544718126</v>
      </c>
      <c r="G637">
        <f>_xll.BDP("79765RQ7 Muni","SPREAD_AT_ISSUANCE_TO_WORST")</f>
        <v>-6.976958904109587</v>
      </c>
      <c r="H637" t="str">
        <f>_xll.BDP("79765RQ7 Muni","ISSUE_DT")</f>
        <v>12/13/2017</v>
      </c>
      <c r="I637" t="str">
        <f>_xll.BDS("79765RQ7 Muni","MUNI_PURPOSE_SCHED", "aggregate=y")</f>
        <v>GREEN PURPOSE WATER UTILITY IMPS. REFUNDING NOTES</v>
      </c>
      <c r="J637">
        <f>_xll.BDP("79765RQ7 Muni","CPN")</f>
        <v>5</v>
      </c>
      <c r="K637" t="str">
        <f>_xll.BDP("79765RQ7 Muni","MATURITY")</f>
        <v>11/1/2023</v>
      </c>
      <c r="L637">
        <v>2445000</v>
      </c>
      <c r="M637">
        <f>_xll.BDP("79765RQ7 Muni","YIELD_ON_ISSUE_DATE")</f>
        <v>1.8</v>
      </c>
      <c r="N637">
        <f>_xll.BDP("79765RQ7 Muni","YTW_SPREAD_TO_MATURITY_AT_ISSU")</f>
        <v>-6.976958904109587</v>
      </c>
      <c r="O637" t="str">
        <f>_xll.BDP("79765RQ7 Muni","BVAL_MID_YTM")</f>
        <v>#N/A Authorization</v>
      </c>
      <c r="P637" t="str">
        <f>_xll.BDP("79765RQ7 Muni","MUNI_TAX_PROV")</f>
        <v>FED &amp; ST TAX-EXEMPT</v>
      </c>
      <c r="Q637" t="str">
        <f>_xll.BDP("79765RQ7 Muni","MUNI_FED_TAX")</f>
        <v>N</v>
      </c>
      <c r="R637" t="str">
        <f>_xll.BDP("79765RQ7 Muni","MUNI_MSRB_VOLUME")</f>
        <v>#N/A N/A</v>
      </c>
      <c r="S637" t="str">
        <f>_xll.BDP("79765RQ7 Muni","BB_COMPOSITE")</f>
        <v>AA-</v>
      </c>
      <c r="T637">
        <f>_xll.BDP("79765RQ7 Muni","LQA_LIQUIDITY_SCORE")</f>
        <v>90</v>
      </c>
    </row>
    <row r="638" spans="1:20" x14ac:dyDescent="0.25">
      <c r="A638" t="str">
        <f>_xll.BDP("79765RQ6 Muni","ID_CUSIP")</f>
        <v>79765RQ69</v>
      </c>
      <c r="B638" t="s">
        <v>37</v>
      </c>
      <c r="C638" t="str">
        <f>_xll.BDP("79765RQ6 Muni","INSURANCE_STATUS")</f>
        <v>N</v>
      </c>
      <c r="D638" t="str">
        <f>_xll.BDP("79765RQ6 Muni","STATE_CODE")</f>
        <v>CA</v>
      </c>
      <c r="E638" t="str">
        <f>_xll.BDP("79765RQ6 Muni","COUNTY_LOCATION_ISSUER")</f>
        <v>San Francisco, CA</v>
      </c>
      <c r="F638">
        <f>_xll.BDP("79765RQ6 Muni","DUR_ADJ_MID")</f>
        <v>0.24673932836467258</v>
      </c>
      <c r="G638">
        <f>_xll.BDP("79765RQ6 Muni","SPREAD_AT_ISSUANCE_TO_WORST")</f>
        <v>-5.76398630136985</v>
      </c>
      <c r="H638" t="str">
        <f>_xll.BDP("79765RQ6 Muni","ISSUE_DT")</f>
        <v>12/13/2017</v>
      </c>
      <c r="I638" t="str">
        <f>_xll.BDS("79765RQ6 Muni","MUNI_PURPOSE_SCHED", "aggregate=y")</f>
        <v>GREEN PURPOSE WATER UTILITY IMPS. REFUNDING NOTES</v>
      </c>
      <c r="J638">
        <f>_xll.BDP("79765RQ6 Muni","CPN")</f>
        <v>5</v>
      </c>
      <c r="K638" t="str">
        <f>_xll.BDP("79765RQ6 Muni","MATURITY")</f>
        <v>11/1/2022</v>
      </c>
      <c r="L638">
        <v>2325000</v>
      </c>
      <c r="M638">
        <f>_xll.BDP("79765RQ6 Muni","YIELD_ON_ISSUE_DATE")</f>
        <v>1.72</v>
      </c>
      <c r="N638">
        <f>_xll.BDP("79765RQ6 Muni","YTW_SPREAD_TO_MATURITY_AT_ISSU")</f>
        <v>-5.76398630136985</v>
      </c>
      <c r="O638" t="str">
        <f>_xll.BDP("79765RQ6 Muni","BVAL_MID_YTM")</f>
        <v>#N/A Authorization</v>
      </c>
      <c r="P638" t="str">
        <f>_xll.BDP("79765RQ6 Muni","MUNI_TAX_PROV")</f>
        <v>FED &amp; ST TAX-EXEMPT</v>
      </c>
      <c r="Q638" t="str">
        <f>_xll.BDP("79765RQ6 Muni","MUNI_FED_TAX")</f>
        <v>N</v>
      </c>
      <c r="R638">
        <f>_xll.BDP("79765RQ6 Muni","MUNI_MSRB_VOLUME")</f>
        <v>10000</v>
      </c>
      <c r="S638" t="str">
        <f>_xll.BDP("79765RQ6 Muni","BB_COMPOSITE")</f>
        <v>AA-</v>
      </c>
      <c r="T638">
        <f>_xll.BDP("79765RQ6 Muni","LQA_LIQUIDITY_SCORE")</f>
        <v>97</v>
      </c>
    </row>
    <row r="639" spans="1:20" x14ac:dyDescent="0.25">
      <c r="A639" t="str">
        <f>_xll.BDP("79765RT6 Muni","ID_CUSIP")</f>
        <v>79765RT66</v>
      </c>
      <c r="B639" t="s">
        <v>37</v>
      </c>
      <c r="C639" t="str">
        <f>_xll.BDP("79765RT6 Muni","INSURANCE_STATUS")</f>
        <v>N</v>
      </c>
      <c r="D639" t="str">
        <f>_xll.BDP("79765RT6 Muni","STATE_CODE")</f>
        <v>CA</v>
      </c>
      <c r="E639" t="str">
        <f>_xll.BDP("79765RT6 Muni","COUNTY_LOCATION_ISSUER")</f>
        <v>San Francisco, CA</v>
      </c>
      <c r="F639">
        <f>_xll.BDP("79765RT6 Muni","DUR_ADJ_MID")</f>
        <v>1.2033886544718126</v>
      </c>
      <c r="G639">
        <f>_xll.BDP("79765RT6 Muni","SPREAD_AT_ISSUANCE_TO_WORST")</f>
        <v>-7.9769589041095879</v>
      </c>
      <c r="H639" t="str">
        <f>_xll.BDP("79765RT6 Muni","ISSUE_DT")</f>
        <v>12/13/2017</v>
      </c>
      <c r="I639" t="str">
        <f>_xll.BDS("79765RT6 Muni","MUNI_PURPOSE_SCHED", "aggregate=y")</f>
        <v>WATER UTILITY IMPS.</v>
      </c>
      <c r="J639">
        <f>_xll.BDP("79765RT6 Muni","CPN")</f>
        <v>5</v>
      </c>
      <c r="K639" t="str">
        <f>_xll.BDP("79765RT6 Muni","MATURITY")</f>
        <v>11/1/2023</v>
      </c>
      <c r="L639">
        <v>2985000</v>
      </c>
      <c r="M639">
        <f>_xll.BDP("79765RT6 Muni","YIELD_ON_ISSUE_DATE")</f>
        <v>1.79</v>
      </c>
      <c r="N639">
        <f>_xll.BDP("79765RT6 Muni","YTW_SPREAD_TO_MATURITY_AT_ISSU")</f>
        <v>-7.9769589041095879</v>
      </c>
      <c r="O639" t="str">
        <f>_xll.BDP("79765RT6 Muni","BVAL_MID_YTM")</f>
        <v>#N/A Authorization</v>
      </c>
      <c r="P639" t="str">
        <f>_xll.BDP("79765RT6 Muni","MUNI_TAX_PROV")</f>
        <v>FED &amp; ST TAX-EXEMPT</v>
      </c>
      <c r="Q639" t="str">
        <f>_xll.BDP("79765RT6 Muni","MUNI_FED_TAX")</f>
        <v>N</v>
      </c>
      <c r="R639">
        <f>_xll.BDP("79765RT6 Muni","MUNI_MSRB_VOLUME")</f>
        <v>150000</v>
      </c>
      <c r="S639" t="str">
        <f>_xll.BDP("79765RT6 Muni","BB_COMPOSITE")</f>
        <v>AA-</v>
      </c>
      <c r="T639">
        <f>_xll.BDP("79765RT6 Muni","LQA_LIQUIDITY_SCORE")</f>
        <v>90</v>
      </c>
    </row>
    <row r="640" spans="1:20" x14ac:dyDescent="0.25">
      <c r="A640" t="str">
        <f>_xll.BDP("79765RW7 Muni","ID_CUSIP")</f>
        <v>79765RW70</v>
      </c>
      <c r="B640" t="s">
        <v>37</v>
      </c>
      <c r="C640" t="str">
        <f>_xll.BDP("79765RW7 Muni","INSURANCE_STATUS")</f>
        <v>N</v>
      </c>
      <c r="D640" t="str">
        <f>_xll.BDP("79765RW7 Muni","STATE_CODE")</f>
        <v>CA</v>
      </c>
      <c r="E640" t="str">
        <f>_xll.BDP("79765RW7 Muni","COUNTY_LOCATION_ISSUER")</f>
        <v>San Francisco, CA</v>
      </c>
      <c r="F640">
        <f>_xll.BDP("79765RW7 Muni","DUR_ADJ_MID")</f>
        <v>1.2033886544718126</v>
      </c>
      <c r="G640">
        <f>_xll.BDP("79765RW7 Muni","SPREAD_AT_ISSUANCE_TO_WORST")</f>
        <v>-7.9769589041095879</v>
      </c>
      <c r="H640" t="str">
        <f>_xll.BDP("79765RW7 Muni","ISSUE_DT")</f>
        <v>12/13/2017</v>
      </c>
      <c r="I640" t="str">
        <f>_xll.BDS("79765RW7 Muni","MUNI_PURPOSE_SCHED", "aggregate=y")</f>
        <v>WATER UTILITY IMPS. REFUNDING NOTES</v>
      </c>
      <c r="J640">
        <f>_xll.BDP("79765RW7 Muni","CPN")</f>
        <v>5</v>
      </c>
      <c r="K640" t="str">
        <f>_xll.BDP("79765RW7 Muni","MATURITY")</f>
        <v>11/1/2023</v>
      </c>
      <c r="L640">
        <v>1425000</v>
      </c>
      <c r="M640">
        <f>_xll.BDP("79765RW7 Muni","YIELD_ON_ISSUE_DATE")</f>
        <v>1.79</v>
      </c>
      <c r="N640">
        <f>_xll.BDP("79765RW7 Muni","YTW_SPREAD_TO_MATURITY_AT_ISSU")</f>
        <v>-7.9769589041095879</v>
      </c>
      <c r="O640" t="str">
        <f>_xll.BDP("79765RW7 Muni","BVAL_MID_YTM")</f>
        <v>#N/A Authorization</v>
      </c>
      <c r="P640" t="str">
        <f>_xll.BDP("79765RW7 Muni","MUNI_TAX_PROV")</f>
        <v>FED &amp; ST TAX-EXEMPT</v>
      </c>
      <c r="Q640" t="str">
        <f>_xll.BDP("79765RW7 Muni","MUNI_FED_TAX")</f>
        <v>N</v>
      </c>
      <c r="R640" t="str">
        <f>_xll.BDP("79765RW7 Muni","MUNI_MSRB_VOLUME")</f>
        <v>#N/A N/A</v>
      </c>
      <c r="S640" t="str">
        <f>_xll.BDP("79765RW7 Muni","BB_COMPOSITE")</f>
        <v>AA-</v>
      </c>
      <c r="T640">
        <f>_xll.BDP("79765RW7 Muni","LQA_LIQUIDITY_SCORE")</f>
        <v>89</v>
      </c>
    </row>
    <row r="641" spans="1:20" x14ac:dyDescent="0.25">
      <c r="A641" t="str">
        <f>_xll.BDP("79765RT7 Muni","ID_CUSIP")</f>
        <v>79765RT74</v>
      </c>
      <c r="B641" t="s">
        <v>37</v>
      </c>
      <c r="C641" t="str">
        <f>_xll.BDP("79765RT7 Muni","INSURANCE_STATUS")</f>
        <v>N</v>
      </c>
      <c r="D641" t="str">
        <f>_xll.BDP("79765RT7 Muni","STATE_CODE")</f>
        <v>CA</v>
      </c>
      <c r="E641" t="str">
        <f>_xll.BDP("79765RT7 Muni","COUNTY_LOCATION_ISSUER")</f>
        <v>San Francisco, CA</v>
      </c>
      <c r="F641">
        <f>_xll.BDP("79765RT7 Muni","DUR_ADJ_MID")</f>
        <v>2.1163468953311835</v>
      </c>
      <c r="G641">
        <f>_xll.BDP("79765RT7 Muni","SPREAD_AT_ISSUANCE_TO_WORST")</f>
        <v>-8.8150027397260402</v>
      </c>
      <c r="H641" t="str">
        <f>_xll.BDP("79765RT7 Muni","ISSUE_DT")</f>
        <v>12/13/2017</v>
      </c>
      <c r="I641" t="str">
        <f>_xll.BDS("79765RT7 Muni","MUNI_PURPOSE_SCHED", "aggregate=y")</f>
        <v>WATER UTILITY IMPS.</v>
      </c>
      <c r="J641">
        <f>_xll.BDP("79765RT7 Muni","CPN")</f>
        <v>5</v>
      </c>
      <c r="K641" t="str">
        <f>_xll.BDP("79765RT7 Muni","MATURITY")</f>
        <v>11/1/2024</v>
      </c>
      <c r="L641">
        <v>3135000</v>
      </c>
      <c r="M641">
        <f>_xll.BDP("79765RT7 Muni","YIELD_ON_ISSUE_DATE")</f>
        <v>1.8800000000000001</v>
      </c>
      <c r="N641">
        <f>_xll.BDP("79765RT7 Muni","YTW_SPREAD_TO_MATURITY_AT_ISSU")</f>
        <v>-8.8150027397260402</v>
      </c>
      <c r="O641" t="str">
        <f>_xll.BDP("79765RT7 Muni","BVAL_MID_YTM")</f>
        <v>#N/A Authorization</v>
      </c>
      <c r="P641" t="str">
        <f>_xll.BDP("79765RT7 Muni","MUNI_TAX_PROV")</f>
        <v>FED &amp; ST TAX-EXEMPT</v>
      </c>
      <c r="Q641" t="str">
        <f>_xll.BDP("79765RT7 Muni","MUNI_FED_TAX")</f>
        <v>N</v>
      </c>
      <c r="R641" t="str">
        <f>_xll.BDP("79765RT7 Muni","MUNI_MSRB_VOLUME")</f>
        <v>#N/A N/A</v>
      </c>
      <c r="S641" t="str">
        <f>_xll.BDP("79765RT7 Muni","BB_COMPOSITE")</f>
        <v>AA-</v>
      </c>
      <c r="T641">
        <f>_xll.BDP("79765RT7 Muni","LQA_LIQUIDITY_SCORE")</f>
        <v>82</v>
      </c>
    </row>
    <row r="642" spans="1:20" x14ac:dyDescent="0.25">
      <c r="A642" t="str">
        <f>_xll.BDP("79765RW8 Muni","ID_CUSIP")</f>
        <v>79765RW88</v>
      </c>
      <c r="B642" t="s">
        <v>37</v>
      </c>
      <c r="C642" t="str">
        <f>_xll.BDP("79765RW8 Muni","INSURANCE_STATUS")</f>
        <v>N</v>
      </c>
      <c r="D642" t="str">
        <f>_xll.BDP("79765RW8 Muni","STATE_CODE")</f>
        <v>CA</v>
      </c>
      <c r="E642" t="str">
        <f>_xll.BDP("79765RW8 Muni","COUNTY_LOCATION_ISSUER")</f>
        <v>San Francisco, CA</v>
      </c>
      <c r="F642">
        <f>_xll.BDP("79765RW8 Muni","DUR_ADJ_MID")</f>
        <v>2.1163468953311835</v>
      </c>
      <c r="G642">
        <f>_xll.BDP("79765RW8 Muni","SPREAD_AT_ISSUANCE_TO_WORST")</f>
        <v>-8.8150027397260402</v>
      </c>
      <c r="H642" t="str">
        <f>_xll.BDP("79765RW8 Muni","ISSUE_DT")</f>
        <v>12/13/2017</v>
      </c>
      <c r="I642" t="str">
        <f>_xll.BDS("79765RW8 Muni","MUNI_PURPOSE_SCHED", "aggregate=y")</f>
        <v>WATER UTILITY IMPS. REFUNDING NOTES</v>
      </c>
      <c r="J642">
        <f>_xll.BDP("79765RW8 Muni","CPN")</f>
        <v>5</v>
      </c>
      <c r="K642" t="str">
        <f>_xll.BDP("79765RW8 Muni","MATURITY")</f>
        <v>11/1/2024</v>
      </c>
      <c r="L642">
        <v>1500000</v>
      </c>
      <c r="M642">
        <f>_xll.BDP("79765RW8 Muni","YIELD_ON_ISSUE_DATE")</f>
        <v>1.8800000000000001</v>
      </c>
      <c r="N642">
        <f>_xll.BDP("79765RW8 Muni","YTW_SPREAD_TO_MATURITY_AT_ISSU")</f>
        <v>-8.8150027397260402</v>
      </c>
      <c r="O642" t="str">
        <f>_xll.BDP("79765RW8 Muni","BVAL_MID_YTM")</f>
        <v>#N/A Authorization</v>
      </c>
      <c r="P642" t="str">
        <f>_xll.BDP("79765RW8 Muni","MUNI_TAX_PROV")</f>
        <v>FED &amp; ST TAX-EXEMPT</v>
      </c>
      <c r="Q642" t="str">
        <f>_xll.BDP("79765RW8 Muni","MUNI_FED_TAX")</f>
        <v>N</v>
      </c>
      <c r="R642">
        <f>_xll.BDP("79765RW8 Muni","MUNI_MSRB_VOLUME")</f>
        <v>20000</v>
      </c>
      <c r="S642" t="str">
        <f>_xll.BDP("79765RW8 Muni","BB_COMPOSITE")</f>
        <v>AA-</v>
      </c>
      <c r="T642">
        <f>_xll.BDP("79765RW8 Muni","LQA_LIQUIDITY_SCORE")</f>
        <v>81</v>
      </c>
    </row>
    <row r="643" spans="1:20" x14ac:dyDescent="0.25">
      <c r="A643" t="str">
        <f>_xll.BDP("79689TAG Muni","ID_CUSIP")</f>
        <v>79689TAG3</v>
      </c>
      <c r="B643" t="s">
        <v>205</v>
      </c>
      <c r="C643" t="str">
        <f>_xll.BDP("79689TAG Muni","INSURANCE_STATUS")</f>
        <v>N</v>
      </c>
      <c r="D643" t="str">
        <f>_xll.BDP("79689TAG Muni","STATE_CODE")</f>
        <v>CA</v>
      </c>
      <c r="E643" t="str">
        <f>_xll.BDP("79689TAG Muni","COUNTY_LOCATION_ISSUER")</f>
        <v>San Mateo, CA</v>
      </c>
      <c r="F643">
        <f>_xll.BDP("79689TAG Muni","DUR_ADJ_MID")</f>
        <v>1.8290501740912872</v>
      </c>
      <c r="G643">
        <f>_xll.BDP("79689TAG Muni","SPREAD_AT_ISSUANCE_TO_WORST")</f>
        <v>-1.4378136986301193</v>
      </c>
      <c r="H643" t="str">
        <f>_xll.BDP("79689TAG Muni","ISSUE_DT")</f>
        <v>12/6/2017</v>
      </c>
      <c r="I643" t="str">
        <f>_xll.BDS("79689TAG Muni","MUNI_PURPOSE_SCHED", "aggregate=y")</f>
        <v>WATER UTILITY IMPS.</v>
      </c>
      <c r="J643">
        <f>_xll.BDP("79689TAG Muni","CPN")</f>
        <v>5</v>
      </c>
      <c r="K643" t="str">
        <f>_xll.BDP("79689TAG Muni","MATURITY")</f>
        <v>7/1/2024</v>
      </c>
      <c r="L643">
        <v>250000</v>
      </c>
      <c r="M643">
        <f>_xll.BDP("79689TAG Muni","YIELD_ON_ISSUE_DATE")</f>
        <v>1.62</v>
      </c>
      <c r="N643">
        <f>_xll.BDP("79689TAG Muni","YTW_SPREAD_TO_MATURITY_AT_ISSU")</f>
        <v>-1.4378136986301193</v>
      </c>
      <c r="O643" t="str">
        <f>_xll.BDP("79689TAG Muni","BVAL_MID_YTM")</f>
        <v>#N/A Authorization</v>
      </c>
      <c r="P643" t="str">
        <f>_xll.BDP("79689TAG Muni","MUNI_TAX_PROV")</f>
        <v>FED &amp; ST TAX-EXEMPT</v>
      </c>
      <c r="Q643" t="str">
        <f>_xll.BDP("79689TAG Muni","MUNI_FED_TAX")</f>
        <v>N</v>
      </c>
      <c r="R643" t="str">
        <f>_xll.BDP("79689TAG Muni","MUNI_MSRB_VOLUME")</f>
        <v>#N/A N/A</v>
      </c>
      <c r="S643" t="str">
        <f>_xll.BDP("79689TAG Muni","BB_COMPOSITE")</f>
        <v>#N/A N/A</v>
      </c>
      <c r="T643">
        <f>_xll.BDP("79689TAG Muni","LQA_LIQUIDITY_SCORE")</f>
        <v>67</v>
      </c>
    </row>
    <row r="644" spans="1:20" x14ac:dyDescent="0.25">
      <c r="A644" t="str">
        <f>_xll.BDP("79689TAK Muni","ID_CUSIP")</f>
        <v>79689TAK4</v>
      </c>
      <c r="B644" t="s">
        <v>205</v>
      </c>
      <c r="C644" t="str">
        <f>_xll.BDP("79689TAK Muni","INSURANCE_STATUS")</f>
        <v>N</v>
      </c>
      <c r="D644" t="str">
        <f>_xll.BDP("79689TAK Muni","STATE_CODE")</f>
        <v>CA</v>
      </c>
      <c r="E644" t="str">
        <f>_xll.BDP("79689TAK Muni","COUNTY_LOCATION_ISSUER")</f>
        <v>San Mateo, CA</v>
      </c>
      <c r="F644">
        <f>_xll.BDP("79689TAK Muni","DUR_ADJ_MID")</f>
        <v>4.4010105908639909</v>
      </c>
      <c r="G644">
        <f>_xll.BDP("79689TAK Muni","SPREAD_AT_ISSUANCE_TO_WORST")</f>
        <v>1.730334246575338</v>
      </c>
      <c r="H644" t="str">
        <f>_xll.BDP("79689TAK Muni","ISSUE_DT")</f>
        <v>12/6/2017</v>
      </c>
      <c r="I644" t="str">
        <f>_xll.BDS("79689TAK Muni","MUNI_PURPOSE_SCHED", "aggregate=y")</f>
        <v>WATER UTILITY IMPS.</v>
      </c>
      <c r="J644">
        <f>_xll.BDP("79689TAK Muni","CPN")</f>
        <v>5</v>
      </c>
      <c r="K644" t="str">
        <f>_xll.BDP("79689TAK Muni","MATURITY")</f>
        <v>7/1/2027</v>
      </c>
      <c r="L644">
        <v>290000</v>
      </c>
      <c r="M644">
        <f>_xll.BDP("79689TAK Muni","YIELD_ON_ISSUE_DATE")</f>
        <v>1.93</v>
      </c>
      <c r="N644">
        <f>_xll.BDP("79689TAK Muni","YTW_SPREAD_TO_MATURITY_AT_ISSU")</f>
        <v>1.730334246575338</v>
      </c>
      <c r="O644" t="str">
        <f>_xll.BDP("79689TAK Muni","BVAL_MID_YTM")</f>
        <v>#N/A Authorization</v>
      </c>
      <c r="P644" t="str">
        <f>_xll.BDP("79689TAK Muni","MUNI_TAX_PROV")</f>
        <v>FED &amp; ST TAX-EXEMPT</v>
      </c>
      <c r="Q644" t="str">
        <f>_xll.BDP("79689TAK Muni","MUNI_FED_TAX")</f>
        <v>N</v>
      </c>
      <c r="R644">
        <f>_xll.BDP("79689TAK Muni","MUNI_MSRB_VOLUME")</f>
        <v>45000</v>
      </c>
      <c r="S644" t="str">
        <f>_xll.BDP("79689TAK Muni","BB_COMPOSITE")</f>
        <v>#N/A N/A</v>
      </c>
      <c r="T644">
        <f>_xll.BDP("79689TAK Muni","LQA_LIQUIDITY_SCORE")</f>
        <v>62</v>
      </c>
    </row>
    <row r="645" spans="1:20" x14ac:dyDescent="0.25">
      <c r="A645" t="str">
        <f>_xll.BDP("706235BG Muni","ID_CUSIP")</f>
        <v>706235BG2</v>
      </c>
      <c r="B645" t="s">
        <v>242</v>
      </c>
      <c r="C645" t="str">
        <f>_xll.BDP("706235BG Muni","INSURANCE_STATUS")</f>
        <v>Y</v>
      </c>
      <c r="D645" t="str">
        <f>_xll.BDP("706235BG Muni","STATE_CODE")</f>
        <v>NJ</v>
      </c>
      <c r="E645" t="str">
        <f>_xll.BDP("706235BG Muni","COUNTY_LOCATION_ISSUER")</f>
        <v>Burlington, NJ</v>
      </c>
      <c r="F645">
        <f>_xll.BDP("706235BG Muni","DUR_ADJ_MID")</f>
        <v>0.24650776710644462</v>
      </c>
      <c r="G645">
        <f>_xll.BDP("706235BG Muni","SPREAD_AT_ISSUANCE_TO_WORST")</f>
        <v>26.248084931506831</v>
      </c>
      <c r="H645" t="str">
        <f>_xll.BDP("706235BG Muni","ISSUE_DT")</f>
        <v>11/7/2017</v>
      </c>
      <c r="I645" t="str">
        <f>_xll.BDS("706235BG Muni","MUNI_PURPOSE_SCHED", "aggregate=y")</f>
        <v>REFUNDING NOTES PUBLIC IMPS. WATER UTILITY IMPS.</v>
      </c>
      <c r="J645">
        <f>_xll.BDP("706235BG Muni","CPN")</f>
        <v>2.5</v>
      </c>
      <c r="K645" t="str">
        <f>_xll.BDP("706235BG Muni","MATURITY")</f>
        <v>11/1/2022</v>
      </c>
      <c r="L645">
        <v>150000</v>
      </c>
      <c r="M645">
        <f>_xll.BDP("706235BG Muni","YIELD_ON_ISSUE_DATE")</f>
        <v>1.6500000000000001</v>
      </c>
      <c r="N645">
        <f>_xll.BDP("706235BG Muni","YTW_SPREAD_TO_MATURITY_AT_ISSU")</f>
        <v>26.248084931506831</v>
      </c>
      <c r="O645" t="str">
        <f>_xll.BDP("706235BG Muni","BVAL_MID_YTM")</f>
        <v>#N/A Authorization</v>
      </c>
      <c r="P645" t="str">
        <f>_xll.BDP("706235BG Muni","MUNI_TAX_PROV")</f>
        <v>FED BQ/ST TAX-EXEMPT</v>
      </c>
      <c r="Q645" t="str">
        <f>_xll.BDP("706235BG Muni","MUNI_FED_TAX")</f>
        <v>N</v>
      </c>
      <c r="R645" t="str">
        <f>_xll.BDP("706235BG Muni","MUNI_MSRB_VOLUME")</f>
        <v>#N/A N/A</v>
      </c>
      <c r="S645" t="str">
        <f>_xll.BDP("706235BG Muni","BB_COMPOSITE")</f>
        <v>AA-</v>
      </c>
      <c r="T645">
        <f>_xll.BDP("706235BG Muni","LQA_LIQUIDITY_SCORE")</f>
        <v>99</v>
      </c>
    </row>
    <row r="646" spans="1:20" x14ac:dyDescent="0.25">
      <c r="A646" t="str">
        <f>_xll.BDP("706235BH Muni","ID_CUSIP")</f>
        <v>706235BH0</v>
      </c>
      <c r="B646" t="s">
        <v>242</v>
      </c>
      <c r="C646" t="str">
        <f>_xll.BDP("706235BH Muni","INSURANCE_STATUS")</f>
        <v>Y</v>
      </c>
      <c r="D646" t="str">
        <f>_xll.BDP("706235BH Muni","STATE_CODE")</f>
        <v>NJ</v>
      </c>
      <c r="E646" t="str">
        <f>_xll.BDP("706235BH Muni","COUNTY_LOCATION_ISSUER")</f>
        <v>Burlington, NJ</v>
      </c>
      <c r="F646">
        <f>_xll.BDP("706235BH Muni","DUR_ADJ_MID")</f>
        <v>1.2179065068819404</v>
      </c>
      <c r="G646">
        <f>_xll.BDP("706235BH Muni","SPREAD_AT_ISSUANCE_TO_WORST")</f>
        <v>28.872468493150684</v>
      </c>
      <c r="H646" t="str">
        <f>_xll.BDP("706235BH Muni","ISSUE_DT")</f>
        <v>11/7/2017</v>
      </c>
      <c r="I646" t="str">
        <f>_xll.BDS("706235BH Muni","MUNI_PURPOSE_SCHED", "aggregate=y")</f>
        <v>REFUNDING NOTES PUBLIC IMPS. WATER UTILITY IMPS.</v>
      </c>
      <c r="J646">
        <f>_xll.BDP("706235BH Muni","CPN")</f>
        <v>2.5</v>
      </c>
      <c r="K646" t="str">
        <f>_xll.BDP("706235BH Muni","MATURITY")</f>
        <v>11/1/2023</v>
      </c>
      <c r="L646">
        <v>150000</v>
      </c>
      <c r="M646">
        <f>_xll.BDP("706235BH Muni","YIELD_ON_ISSUE_DATE")</f>
        <v>1.8</v>
      </c>
      <c r="N646">
        <f>_xll.BDP("706235BH Muni","YTW_SPREAD_TO_MATURITY_AT_ISSU")</f>
        <v>28.872468493150684</v>
      </c>
      <c r="O646" t="str">
        <f>_xll.BDP("706235BH Muni","BVAL_MID_YTM")</f>
        <v>#N/A Authorization</v>
      </c>
      <c r="P646" t="str">
        <f>_xll.BDP("706235BH Muni","MUNI_TAX_PROV")</f>
        <v>FED BQ/ST TAX-EXEMPT</v>
      </c>
      <c r="Q646" t="str">
        <f>_xll.BDP("706235BH Muni","MUNI_FED_TAX")</f>
        <v>N</v>
      </c>
      <c r="R646" t="str">
        <f>_xll.BDP("706235BH Muni","MUNI_MSRB_VOLUME")</f>
        <v>#N/A N/A</v>
      </c>
      <c r="S646" t="str">
        <f>_xll.BDP("706235BH Muni","BB_COMPOSITE")</f>
        <v>AA-</v>
      </c>
      <c r="T646">
        <f>_xll.BDP("706235BH Muni","LQA_LIQUIDITY_SCORE")</f>
        <v>80</v>
      </c>
    </row>
    <row r="647" spans="1:20" x14ac:dyDescent="0.25">
      <c r="A647" t="str">
        <f>_xll.BDP("706235BJ Muni","ID_CUSIP")</f>
        <v>706235BJ6</v>
      </c>
      <c r="B647" t="s">
        <v>242</v>
      </c>
      <c r="C647" t="str">
        <f>_xll.BDP("706235BJ Muni","INSURANCE_STATUS")</f>
        <v>Y</v>
      </c>
      <c r="D647" t="str">
        <f>_xll.BDP("706235BJ Muni","STATE_CODE")</f>
        <v>NJ</v>
      </c>
      <c r="E647" t="str">
        <f>_xll.BDP("706235BJ Muni","COUNTY_LOCATION_ISSUER")</f>
        <v>Burlington, NJ</v>
      </c>
      <c r="F647">
        <f>_xll.BDP("706235BJ Muni","DUR_ADJ_MID")</f>
        <v>2.1648538463382931</v>
      </c>
      <c r="G647">
        <f>_xll.BDP("706235BJ Muni","SPREAD_AT_ISSUANCE_TO_WORST")</f>
        <v>36.079712328767123</v>
      </c>
      <c r="H647" t="str">
        <f>_xll.BDP("706235BJ Muni","ISSUE_DT")</f>
        <v>11/7/2017</v>
      </c>
      <c r="I647" t="str">
        <f>_xll.BDS("706235BJ Muni","MUNI_PURPOSE_SCHED", "aggregate=y")</f>
        <v>REFUNDING NOTES PUBLIC IMPS. WATER UTILITY IMPS.</v>
      </c>
      <c r="J647">
        <f>_xll.BDP("706235BJ Muni","CPN")</f>
        <v>2.5</v>
      </c>
      <c r="K647" t="str">
        <f>_xll.BDP("706235BJ Muni","MATURITY")</f>
        <v>11/1/2024</v>
      </c>
      <c r="L647">
        <v>150000</v>
      </c>
      <c r="M647">
        <f>_xll.BDP("706235BJ Muni","YIELD_ON_ISSUE_DATE")</f>
        <v>2</v>
      </c>
      <c r="N647">
        <f>_xll.BDP("706235BJ Muni","YTW_SPREAD_TO_MATURITY_AT_ISSU")</f>
        <v>36.079712328767123</v>
      </c>
      <c r="O647" t="str">
        <f>_xll.BDP("706235BJ Muni","BVAL_MID_YTM")</f>
        <v>#N/A Authorization</v>
      </c>
      <c r="P647" t="str">
        <f>_xll.BDP("706235BJ Muni","MUNI_TAX_PROV")</f>
        <v>FED BQ/ST TAX-EXEMPT</v>
      </c>
      <c r="Q647" t="str">
        <f>_xll.BDP("706235BJ Muni","MUNI_FED_TAX")</f>
        <v>N</v>
      </c>
      <c r="R647" t="str">
        <f>_xll.BDP("706235BJ Muni","MUNI_MSRB_VOLUME")</f>
        <v>#N/A N/A</v>
      </c>
      <c r="S647" t="str">
        <f>_xll.BDP("706235BJ Muni","BB_COMPOSITE")</f>
        <v>AA-</v>
      </c>
      <c r="T647">
        <f>_xll.BDP("706235BJ Muni","LQA_LIQUIDITY_SCORE")</f>
        <v>67</v>
      </c>
    </row>
    <row r="648" spans="1:20" x14ac:dyDescent="0.25">
      <c r="A648" t="str">
        <f>_xll.BDP("706235BK Muni","ID_CUSIP")</f>
        <v>706235BK3</v>
      </c>
      <c r="B648" t="s">
        <v>242</v>
      </c>
      <c r="C648" t="str">
        <f>_xll.BDP("706235BK Muni","INSURANCE_STATUS")</f>
        <v>Y</v>
      </c>
      <c r="D648" t="str">
        <f>_xll.BDP("706235BK Muni","STATE_CODE")</f>
        <v>NJ</v>
      </c>
      <c r="E648" t="str">
        <f>_xll.BDP("706235BK Muni","COUNTY_LOCATION_ISSUER")</f>
        <v>Burlington, NJ</v>
      </c>
      <c r="F648">
        <f>_xll.BDP("706235BK Muni","DUR_ADJ_MID")</f>
        <v>3.088443489924134</v>
      </c>
      <c r="G648">
        <f>_xll.BDP("706235BK Muni","SPREAD_AT_ISSUANCE_TO_WORST")</f>
        <v>43.303328767123304</v>
      </c>
      <c r="H648" t="str">
        <f>_xll.BDP("706235BK Muni","ISSUE_DT")</f>
        <v>11/7/2017</v>
      </c>
      <c r="I648" t="str">
        <f>_xll.BDS("706235BK Muni","MUNI_PURPOSE_SCHED", "aggregate=y")</f>
        <v>REFUNDING NOTES PUBLIC IMPS. WATER UTILITY IMPS.</v>
      </c>
      <c r="J648">
        <f>_xll.BDP("706235BK Muni","CPN")</f>
        <v>2.5</v>
      </c>
      <c r="K648" t="str">
        <f>_xll.BDP("706235BK Muni","MATURITY")</f>
        <v>11/1/2025</v>
      </c>
      <c r="L648">
        <v>160000</v>
      </c>
      <c r="M648">
        <f>_xll.BDP("706235BK Muni","YIELD_ON_ISSUE_DATE")</f>
        <v>2.2000000000000002</v>
      </c>
      <c r="N648">
        <f>_xll.BDP("706235BK Muni","YTW_SPREAD_TO_MATURITY_AT_ISSU")</f>
        <v>43.303328767123304</v>
      </c>
      <c r="O648" t="str">
        <f>_xll.BDP("706235BK Muni","BVAL_MID_YTM")</f>
        <v>#N/A Authorization</v>
      </c>
      <c r="P648" t="str">
        <f>_xll.BDP("706235BK Muni","MUNI_TAX_PROV")</f>
        <v>FED BQ/ST TAX-EXEMPT</v>
      </c>
      <c r="Q648" t="str">
        <f>_xll.BDP("706235BK Muni","MUNI_FED_TAX")</f>
        <v>N</v>
      </c>
      <c r="R648" t="str">
        <f>_xll.BDP("706235BK Muni","MUNI_MSRB_VOLUME")</f>
        <v>#N/A N/A</v>
      </c>
      <c r="S648" t="str">
        <f>_xll.BDP("706235BK Muni","BB_COMPOSITE")</f>
        <v>AA-</v>
      </c>
      <c r="T648">
        <f>_xll.BDP("706235BK Muni","LQA_LIQUIDITY_SCORE")</f>
        <v>55</v>
      </c>
    </row>
    <row r="649" spans="1:20" x14ac:dyDescent="0.25">
      <c r="A649" t="str">
        <f>_xll.BDP("706235BL Muni","ID_CUSIP")</f>
        <v>706235BL1</v>
      </c>
      <c r="B649" t="s">
        <v>242</v>
      </c>
      <c r="C649" t="str">
        <f>_xll.BDP("706235BL Muni","INSURANCE_STATUS")</f>
        <v>Y</v>
      </c>
      <c r="D649" t="str">
        <f>_xll.BDP("706235BL Muni","STATE_CODE")</f>
        <v>NJ</v>
      </c>
      <c r="E649" t="str">
        <f>_xll.BDP("706235BL Muni","COUNTY_LOCATION_ISSUER")</f>
        <v>Burlington, NJ</v>
      </c>
      <c r="F649">
        <f>_xll.BDP("706235BL Muni","DUR_ADJ_MID")</f>
        <v>3.9699438333750217</v>
      </c>
      <c r="G649">
        <f>_xll.BDP("706235BL Muni","SPREAD_AT_ISSUANCE_TO_WORST")</f>
        <v>52.214219178082175</v>
      </c>
      <c r="H649" t="str">
        <f>_xll.BDP("706235BL Muni","ISSUE_DT")</f>
        <v>11/7/2017</v>
      </c>
      <c r="I649" t="str">
        <f>_xll.BDS("706235BL Muni","MUNI_PURPOSE_SCHED", "aggregate=y")</f>
        <v>REFUNDING NOTES PUBLIC IMPS. WATER UTILITY IMPS.</v>
      </c>
      <c r="J649">
        <f>_xll.BDP("706235BL Muni","CPN")</f>
        <v>2.75</v>
      </c>
      <c r="K649" t="str">
        <f>_xll.BDP("706235BL Muni","MATURITY")</f>
        <v>11/1/2026</v>
      </c>
      <c r="L649">
        <v>160000</v>
      </c>
      <c r="M649">
        <f>_xll.BDP("706235BL Muni","YIELD_ON_ISSUE_DATE")</f>
        <v>2.4000000000000004</v>
      </c>
      <c r="N649">
        <f>_xll.BDP("706235BL Muni","YTW_SPREAD_TO_MATURITY_AT_ISSU")</f>
        <v>52.214219178082175</v>
      </c>
      <c r="O649" t="str">
        <f>_xll.BDP("706235BL Muni","BVAL_MID_YTM")</f>
        <v>#N/A Authorization</v>
      </c>
      <c r="P649" t="str">
        <f>_xll.BDP("706235BL Muni","MUNI_TAX_PROV")</f>
        <v>FED BQ/ST TAX-EXEMPT</v>
      </c>
      <c r="Q649" t="str">
        <f>_xll.BDP("706235BL Muni","MUNI_FED_TAX")</f>
        <v>N</v>
      </c>
      <c r="R649" t="str">
        <f>_xll.BDP("706235BL Muni","MUNI_MSRB_VOLUME")</f>
        <v>#N/A N/A</v>
      </c>
      <c r="S649" t="str">
        <f>_xll.BDP("706235BL Muni","BB_COMPOSITE")</f>
        <v>AA-</v>
      </c>
      <c r="T649">
        <f>_xll.BDP("706235BL Muni","LQA_LIQUIDITY_SCORE")</f>
        <v>50</v>
      </c>
    </row>
    <row r="650" spans="1:20" x14ac:dyDescent="0.25">
      <c r="A650" t="str">
        <f>_xll.BDP("706235BM Muni","ID_CUSIP")</f>
        <v>706235BM9</v>
      </c>
      <c r="B650" t="s">
        <v>242</v>
      </c>
      <c r="C650" t="str">
        <f>_xll.BDP("706235BM Muni","INSURANCE_STATUS")</f>
        <v>Y</v>
      </c>
      <c r="D650" t="str">
        <f>_xll.BDP("706235BM Muni","STATE_CODE")</f>
        <v>NJ</v>
      </c>
      <c r="E650" t="str">
        <f>_xll.BDP("706235BM Muni","COUNTY_LOCATION_ISSUER")</f>
        <v>Burlington, NJ</v>
      </c>
      <c r="F650">
        <f>_xll.BDP("706235BM Muni","DUR_ADJ_MID")</f>
        <v>4.8112145682063527</v>
      </c>
      <c r="G650">
        <f>_xll.BDP("706235BM Muni","SPREAD_AT_ISSUANCE_TO_WORST")</f>
        <v>53.483575342465748</v>
      </c>
      <c r="H650" t="str">
        <f>_xll.BDP("706235BM Muni","ISSUE_DT")</f>
        <v>11/7/2017</v>
      </c>
      <c r="I650" t="str">
        <f>_xll.BDS("706235BM Muni","MUNI_PURPOSE_SCHED", "aggregate=y")</f>
        <v>REFUNDING NOTES PUBLIC IMPS. WATER UTILITY IMPS.</v>
      </c>
      <c r="J650">
        <f>_xll.BDP("706235BM Muni","CPN")</f>
        <v>3</v>
      </c>
      <c r="K650" t="str">
        <f>_xll.BDP("706235BM Muni","MATURITY")</f>
        <v>11/1/2027</v>
      </c>
      <c r="L650">
        <v>60000</v>
      </c>
      <c r="M650">
        <f>_xll.BDP("706235BM Muni","YIELD_ON_ISSUE_DATE")</f>
        <v>2.5</v>
      </c>
      <c r="N650">
        <f>_xll.BDP("706235BM Muni","YTW_SPREAD_TO_MATURITY_AT_ISSU")</f>
        <v>53.483575342465748</v>
      </c>
      <c r="O650" t="str">
        <f>_xll.BDP("706235BM Muni","BVAL_MID_YTM")</f>
        <v>#N/A Authorization</v>
      </c>
      <c r="P650" t="str">
        <f>_xll.BDP("706235BM Muni","MUNI_TAX_PROV")</f>
        <v>FED BQ/ST TAX-EXEMPT</v>
      </c>
      <c r="Q650" t="str">
        <f>_xll.BDP("706235BM Muni","MUNI_FED_TAX")</f>
        <v>N</v>
      </c>
      <c r="R650" t="str">
        <f>_xll.BDP("706235BM Muni","MUNI_MSRB_VOLUME")</f>
        <v>#N/A N/A</v>
      </c>
      <c r="S650" t="str">
        <f>_xll.BDP("706235BM Muni","BB_COMPOSITE")</f>
        <v>AA-</v>
      </c>
      <c r="T650">
        <f>_xll.BDP("706235BM Muni","LQA_LIQUIDITY_SCORE")</f>
        <v>44</v>
      </c>
    </row>
    <row r="651" spans="1:20" x14ac:dyDescent="0.25">
      <c r="A651" t="str">
        <f>_xll.BDP("706235BN Muni","ID_CUSIP")</f>
        <v>706235BN7</v>
      </c>
      <c r="B651" t="s">
        <v>242</v>
      </c>
      <c r="C651" t="str">
        <f>_xll.BDP("706235BN Muni","INSURANCE_STATUS")</f>
        <v>Y</v>
      </c>
      <c r="D651" t="str">
        <f>_xll.BDP("706235BN Muni","STATE_CODE")</f>
        <v>NJ</v>
      </c>
      <c r="E651" t="str">
        <f>_xll.BDP("706235BN Muni","COUNTY_LOCATION_ISSUER")</f>
        <v>Burlington, NJ</v>
      </c>
      <c r="F651">
        <f>_xll.BDP("706235BN Muni","DUR_ADJ_MID")</f>
        <v>5.644255214039049</v>
      </c>
      <c r="G651">
        <f>_xll.BDP("706235BN Muni","SPREAD_AT_ISSUANCE_TO_WORST")</f>
        <v>52.93327671232877</v>
      </c>
      <c r="H651" t="str">
        <f>_xll.BDP("706235BN Muni","ISSUE_DT")</f>
        <v>11/7/2017</v>
      </c>
      <c r="I651" t="str">
        <f>_xll.BDS("706235BN Muni","MUNI_PURPOSE_SCHED", "aggregate=y")</f>
        <v>REFUNDING NOTES PUBLIC IMPS. WATER UTILITY IMPS.</v>
      </c>
      <c r="J651">
        <f>_xll.BDP("706235BN Muni","CPN")</f>
        <v>3</v>
      </c>
      <c r="K651" t="str">
        <f>_xll.BDP("706235BN Muni","MATURITY")</f>
        <v>11/1/2028</v>
      </c>
      <c r="L651">
        <v>65000</v>
      </c>
      <c r="M651">
        <f>_xll.BDP("706235BN Muni","YIELD_ON_ISSUE_DATE")</f>
        <v>2.6</v>
      </c>
      <c r="N651">
        <f>_xll.BDP("706235BN Muni","YTW_SPREAD_TO_MATURITY_AT_ISSU")</f>
        <v>52.93327671232877</v>
      </c>
      <c r="O651" t="str">
        <f>_xll.BDP("706235BN Muni","BVAL_MID_YTM")</f>
        <v>#N/A Authorization</v>
      </c>
      <c r="P651" t="str">
        <f>_xll.BDP("706235BN Muni","MUNI_TAX_PROV")</f>
        <v>FED BQ/ST TAX-EXEMPT</v>
      </c>
      <c r="Q651" t="str">
        <f>_xll.BDP("706235BN Muni","MUNI_FED_TAX")</f>
        <v>N</v>
      </c>
      <c r="R651" t="str">
        <f>_xll.BDP("706235BN Muni","MUNI_MSRB_VOLUME")</f>
        <v>#N/A N/A</v>
      </c>
      <c r="S651" t="str">
        <f>_xll.BDP("706235BN Muni","BB_COMPOSITE")</f>
        <v>AA-</v>
      </c>
      <c r="T651">
        <f>_xll.BDP("706235BN Muni","LQA_LIQUIDITY_SCORE")</f>
        <v>38</v>
      </c>
    </row>
    <row r="652" spans="1:20" x14ac:dyDescent="0.25">
      <c r="A652" t="str">
        <f>_xll.BDP("706235BP Muni","ID_CUSIP")</f>
        <v>706235BP2</v>
      </c>
      <c r="B652" t="s">
        <v>242</v>
      </c>
      <c r="C652" t="str">
        <f>_xll.BDP("706235BP Muni","INSURANCE_STATUS")</f>
        <v>Y</v>
      </c>
      <c r="D652" t="str">
        <f>_xll.BDP("706235BP Muni","STATE_CODE")</f>
        <v>NJ</v>
      </c>
      <c r="E652" t="str">
        <f>_xll.BDP("706235BP Muni","COUNTY_LOCATION_ISSUER")</f>
        <v>Burlington, NJ</v>
      </c>
      <c r="F652">
        <f>_xll.BDP("706235BP Muni","DUR_ADJ_MID")</f>
        <v>6.4447267010065818</v>
      </c>
      <c r="G652">
        <f>_xll.BDP("706235BP Muni","SPREAD_AT_ISSUANCE_TO_WORST")</f>
        <v>53.831260273972603</v>
      </c>
      <c r="H652" t="str">
        <f>_xll.BDP("706235BP Muni","ISSUE_DT")</f>
        <v>11/7/2017</v>
      </c>
      <c r="I652" t="str">
        <f>_xll.BDS("706235BP Muni","MUNI_PURPOSE_SCHED", "aggregate=y")</f>
        <v>REFUNDING NOTES PUBLIC IMPS. WATER UTILITY IMPS.</v>
      </c>
      <c r="J652">
        <f>_xll.BDP("706235BP Muni","CPN")</f>
        <v>3</v>
      </c>
      <c r="K652" t="str">
        <f>_xll.BDP("706235BP Muni","MATURITY")</f>
        <v>11/1/2029</v>
      </c>
      <c r="L652">
        <v>65000</v>
      </c>
      <c r="M652">
        <f>_xll.BDP("706235BP Muni","YIELD_ON_ISSUE_DATE")</f>
        <v>2.7</v>
      </c>
      <c r="N652">
        <f>_xll.BDP("706235BP Muni","YTW_SPREAD_TO_MATURITY_AT_ISSU")</f>
        <v>53.831260273972603</v>
      </c>
      <c r="O652" t="str">
        <f>_xll.BDP("706235BP Muni","BVAL_MID_YTM")</f>
        <v>#N/A Authorization</v>
      </c>
      <c r="P652" t="str">
        <f>_xll.BDP("706235BP Muni","MUNI_TAX_PROV")</f>
        <v>FED BQ/ST TAX-EXEMPT</v>
      </c>
      <c r="Q652" t="str">
        <f>_xll.BDP("706235BP Muni","MUNI_FED_TAX")</f>
        <v>N</v>
      </c>
      <c r="R652">
        <f>_xll.BDP("706235BP Muni","MUNI_MSRB_VOLUME")</f>
        <v>50000</v>
      </c>
      <c r="S652" t="str">
        <f>_xll.BDP("706235BP Muni","BB_COMPOSITE")</f>
        <v>AA-</v>
      </c>
      <c r="T652">
        <f>_xll.BDP("706235BP Muni","LQA_LIQUIDITY_SCORE")</f>
        <v>33</v>
      </c>
    </row>
    <row r="653" spans="1:20" x14ac:dyDescent="0.25">
      <c r="A653" t="str">
        <f>_xll.BDP("706235BQ Muni","ID_CUSIP")</f>
        <v>706235BQ0</v>
      </c>
      <c r="B653" t="s">
        <v>242</v>
      </c>
      <c r="C653" t="str">
        <f>_xll.BDP("706235BQ Muni","INSURANCE_STATUS")</f>
        <v>Y</v>
      </c>
      <c r="D653" t="str">
        <f>_xll.BDP("706235BQ Muni","STATE_CODE")</f>
        <v>NJ</v>
      </c>
      <c r="E653" t="str">
        <f>_xll.BDP("706235BQ Muni","COUNTY_LOCATION_ISSUER")</f>
        <v>Burlington, NJ</v>
      </c>
      <c r="F653">
        <f>_xll.BDP("706235BQ Muni","DUR_ADJ_MID")</f>
        <v>7.2309086943599405</v>
      </c>
      <c r="G653">
        <f>_xll.BDP("706235BQ Muni","SPREAD_AT_ISSUANCE_TO_WORST")</f>
        <v>51.276399999999981</v>
      </c>
      <c r="H653" t="str">
        <f>_xll.BDP("706235BQ Muni","ISSUE_DT")</f>
        <v>11/7/2017</v>
      </c>
      <c r="I653" t="str">
        <f>_xll.BDS("706235BQ Muni","MUNI_PURPOSE_SCHED", "aggregate=y")</f>
        <v>REFUNDING NOTES PUBLIC IMPS. WATER UTILITY IMPS.</v>
      </c>
      <c r="J653">
        <f>_xll.BDP("706235BQ Muni","CPN")</f>
        <v>3</v>
      </c>
      <c r="K653" t="str">
        <f>_xll.BDP("706235BQ Muni","MATURITY")</f>
        <v>11/1/2030</v>
      </c>
      <c r="L653">
        <v>65000</v>
      </c>
      <c r="M653">
        <f>_xll.BDP("706235BQ Muni","YIELD_ON_ISSUE_DATE")</f>
        <v>2.75</v>
      </c>
      <c r="N653">
        <f>_xll.BDP("706235BQ Muni","YTW_SPREAD_TO_MATURITY_AT_ISSU")</f>
        <v>51.276399999999981</v>
      </c>
      <c r="O653" t="str">
        <f>_xll.BDP("706235BQ Muni","BVAL_MID_YTM")</f>
        <v>#N/A Authorization</v>
      </c>
      <c r="P653" t="str">
        <f>_xll.BDP("706235BQ Muni","MUNI_TAX_PROV")</f>
        <v>FED BQ/ST TAX-EXEMPT</v>
      </c>
      <c r="Q653" t="str">
        <f>_xll.BDP("706235BQ Muni","MUNI_FED_TAX")</f>
        <v>N</v>
      </c>
      <c r="R653" t="str">
        <f>_xll.BDP("706235BQ Muni","MUNI_MSRB_VOLUME")</f>
        <v>#N/A N/A</v>
      </c>
      <c r="S653" t="str">
        <f>_xll.BDP("706235BQ Muni","BB_COMPOSITE")</f>
        <v>AA-</v>
      </c>
      <c r="T653">
        <f>_xll.BDP("706235BQ Muni","LQA_LIQUIDITY_SCORE")</f>
        <v>29</v>
      </c>
    </row>
    <row r="654" spans="1:20" x14ac:dyDescent="0.25">
      <c r="A654" t="str">
        <f>_xll.BDP("706235BR Muni","ID_CUSIP")</f>
        <v>706235BR8</v>
      </c>
      <c r="B654" t="s">
        <v>242</v>
      </c>
      <c r="C654" t="str">
        <f>_xll.BDP("706235BR Muni","INSURANCE_STATUS")</f>
        <v>Y</v>
      </c>
      <c r="D654" t="str">
        <f>_xll.BDP("706235BR Muni","STATE_CODE")</f>
        <v>NJ</v>
      </c>
      <c r="E654" t="str">
        <f>_xll.BDP("706235BR Muni","COUNTY_LOCATION_ISSUER")</f>
        <v>Burlington, NJ</v>
      </c>
      <c r="F654">
        <f>_xll.BDP("706235BR Muni","DUR_ADJ_MID")</f>
        <v>7.9873349124843847</v>
      </c>
      <c r="G654">
        <f>_xll.BDP("706235BR Muni","SPREAD_AT_ISSUANCE_TO_WORST")</f>
        <v>54.878498630136988</v>
      </c>
      <c r="H654" t="str">
        <f>_xll.BDP("706235BR Muni","ISSUE_DT")</f>
        <v>11/7/2017</v>
      </c>
      <c r="I654" t="str">
        <f>_xll.BDS("706235BR Muni","MUNI_PURPOSE_SCHED", "aggregate=y")</f>
        <v>REFUNDING NOTES PUBLIC IMPS. WATER UTILITY IMPS.</v>
      </c>
      <c r="J654">
        <f>_xll.BDP("706235BR Muni","CPN")</f>
        <v>3</v>
      </c>
      <c r="K654" t="str">
        <f>_xll.BDP("706235BR Muni","MATURITY")</f>
        <v>11/1/2031</v>
      </c>
      <c r="L654">
        <v>70000</v>
      </c>
      <c r="M654">
        <f>_xll.BDP("706235BR Muni","YIELD_ON_ISSUE_DATE")</f>
        <v>2.85</v>
      </c>
      <c r="N654">
        <f>_xll.BDP("706235BR Muni","YTW_SPREAD_TO_MATURITY_AT_ISSU")</f>
        <v>54.878498630136988</v>
      </c>
      <c r="O654" t="str">
        <f>_xll.BDP("706235BR Muni","BVAL_MID_YTM")</f>
        <v>#N/A Authorization</v>
      </c>
      <c r="P654" t="str">
        <f>_xll.BDP("706235BR Muni","MUNI_TAX_PROV")</f>
        <v>FED BQ/ST TAX-EXEMPT</v>
      </c>
      <c r="Q654" t="str">
        <f>_xll.BDP("706235BR Muni","MUNI_FED_TAX")</f>
        <v>N</v>
      </c>
      <c r="R654" t="str">
        <f>_xll.BDP("706235BR Muni","MUNI_MSRB_VOLUME")</f>
        <v>#N/A N/A</v>
      </c>
      <c r="S654" t="str">
        <f>_xll.BDP("706235BR Muni","BB_COMPOSITE")</f>
        <v>AA-</v>
      </c>
      <c r="T654">
        <f>_xll.BDP("706235BR Muni","LQA_LIQUIDITY_SCORE")</f>
        <v>26</v>
      </c>
    </row>
    <row r="655" spans="1:20" x14ac:dyDescent="0.25">
      <c r="A655" t="str">
        <f>_xll.BDP("706235BS Muni","ID_CUSIP")</f>
        <v>706235BS6</v>
      </c>
      <c r="B655" t="s">
        <v>242</v>
      </c>
      <c r="C655" t="str">
        <f>_xll.BDP("706235BS Muni","INSURANCE_STATUS")</f>
        <v>Y</v>
      </c>
      <c r="D655" t="str">
        <f>_xll.BDP("706235BS Muni","STATE_CODE")</f>
        <v>NJ</v>
      </c>
      <c r="E655" t="str">
        <f>_xll.BDP("706235BS Muni","COUNTY_LOCATION_ISSUER")</f>
        <v>Burlington, NJ</v>
      </c>
      <c r="F655">
        <f>_xll.BDP("706235BS Muni","DUR_ADJ_MID")</f>
        <v>8.7179937132643666</v>
      </c>
      <c r="G655">
        <f>_xll.BDP("706235BS Muni","SPREAD_AT_ISSUANCE_TO_WORST")</f>
        <v>54.266410958904117</v>
      </c>
      <c r="H655" t="str">
        <f>_xll.BDP("706235BS Muni","ISSUE_DT")</f>
        <v>11/7/2017</v>
      </c>
      <c r="I655" t="str">
        <f>_xll.BDS("706235BS Muni","MUNI_PURPOSE_SCHED", "aggregate=y")</f>
        <v>REFUNDING NOTES PUBLIC IMPS. WATER UTILITY IMPS.</v>
      </c>
      <c r="J655">
        <f>_xll.BDP("706235BS Muni","CPN")</f>
        <v>3</v>
      </c>
      <c r="K655" t="str">
        <f>_xll.BDP("706235BS Muni","MATURITY")</f>
        <v>11/1/2032</v>
      </c>
      <c r="L655">
        <v>70000</v>
      </c>
      <c r="M655">
        <f>_xll.BDP("706235BS Muni","YIELD_ON_ISSUE_DATE")</f>
        <v>2.9000000000000004</v>
      </c>
      <c r="N655">
        <f>_xll.BDP("706235BS Muni","YTW_SPREAD_TO_MATURITY_AT_ISSU")</f>
        <v>54.266410958904117</v>
      </c>
      <c r="O655" t="str">
        <f>_xll.BDP("706235BS Muni","BVAL_MID_YTM")</f>
        <v>#N/A Authorization</v>
      </c>
      <c r="P655" t="str">
        <f>_xll.BDP("706235BS Muni","MUNI_TAX_PROV")</f>
        <v>FED BQ/ST TAX-EXEMPT</v>
      </c>
      <c r="Q655" t="str">
        <f>_xll.BDP("706235BS Muni","MUNI_FED_TAX")</f>
        <v>N</v>
      </c>
      <c r="R655" t="str">
        <f>_xll.BDP("706235BS Muni","MUNI_MSRB_VOLUME")</f>
        <v>#N/A N/A</v>
      </c>
      <c r="S655" t="str">
        <f>_xll.BDP("706235BS Muni","BB_COMPOSITE")</f>
        <v>AA-</v>
      </c>
      <c r="T655">
        <f>_xll.BDP("706235BS Muni","LQA_LIQUIDITY_SCORE")</f>
        <v>24</v>
      </c>
    </row>
    <row r="656" spans="1:20" x14ac:dyDescent="0.25">
      <c r="A656" t="str">
        <f>_xll.BDP("70718PBY Muni","ID_CUSIP")</f>
        <v>70718PBY5</v>
      </c>
      <c r="B656" t="s">
        <v>243</v>
      </c>
      <c r="C656" t="str">
        <f>_xll.BDP("70718PBY Muni","INSURANCE_STATUS")</f>
        <v>N</v>
      </c>
      <c r="D656" t="str">
        <f>_xll.BDP("70718PBY Muni","STATE_CODE")</f>
        <v>MI</v>
      </c>
      <c r="E656" t="str">
        <f>_xll.BDP("70718PBY Muni","COUNTY_LOCATION_ISSUER")</f>
        <v>Grand Traverse, MI</v>
      </c>
      <c r="F656">
        <f>_xll.BDP("70718PBY Muni","DUR_ADJ_MID")</f>
        <v>0.65436792299999824</v>
      </c>
      <c r="G656">
        <f>_xll.BDP("70718PBY Muni","SPREAD_AT_ISSUANCE_TO_WORST")</f>
        <v>35.850267741241204</v>
      </c>
      <c r="H656" t="str">
        <f>_xll.BDP("70718PBY Muni","ISSUE_DT")</f>
        <v>5/23/2017</v>
      </c>
      <c r="I656" t="str">
        <f>_xll.BDS("70718PBY Muni","MUNI_PURPOSE_SCHED", "aggregate=y")</f>
        <v>PUBLIC IMPS. WATER UTILITY IMPS. SEWER IMPS.</v>
      </c>
      <c r="J656">
        <f>_xll.BDP("70718PBY Muni","CPN")</f>
        <v>2</v>
      </c>
      <c r="K656" t="str">
        <f>_xll.BDP("70718PBY Muni","MATURITY")</f>
        <v>4/1/2023</v>
      </c>
      <c r="L656">
        <v>55000</v>
      </c>
      <c r="M656">
        <f>_xll.BDP("70718PBY Muni","YIELD_ON_ISSUE_DATE")</f>
        <v>1.9000000000000001</v>
      </c>
      <c r="N656">
        <f>_xll.BDP("70718PBY Muni","YTW_SPREAD_TO_MATURITY_AT_ISSU")</f>
        <v>35.850267741241204</v>
      </c>
      <c r="O656" t="str">
        <f>_xll.BDP("70718PBY Muni","BVAL_MID_YTM")</f>
        <v>#N/A Authorization</v>
      </c>
      <c r="P656" t="str">
        <f>_xll.BDP("70718PBY Muni","MUNI_TAX_PROV")</f>
        <v>FED BQ/ST TAX-EXEMPT</v>
      </c>
      <c r="Q656" t="str">
        <f>_xll.BDP("70718PBY Muni","MUNI_FED_TAX")</f>
        <v>N</v>
      </c>
      <c r="R656" t="str">
        <f>_xll.BDP("70718PBY Muni","MUNI_MSRB_VOLUME")</f>
        <v>#N/A N/A</v>
      </c>
      <c r="S656" t="str">
        <f>_xll.BDP("70718PBY Muni","BB_COMPOSITE")</f>
        <v>#N/A N/A</v>
      </c>
      <c r="T656">
        <f>_xll.BDP("70718PBY Muni","LQA_LIQUIDITY_SCORE")</f>
        <v>88</v>
      </c>
    </row>
    <row r="657" spans="1:20" x14ac:dyDescent="0.25">
      <c r="A657" t="str">
        <f>_xll.BDP("70718PBZ Muni","ID_CUSIP")</f>
        <v>70718PBZ2</v>
      </c>
      <c r="B657" t="s">
        <v>243</v>
      </c>
      <c r="C657" t="str">
        <f>_xll.BDP("70718PBZ Muni","INSURANCE_STATUS")</f>
        <v>N</v>
      </c>
      <c r="D657" t="str">
        <f>_xll.BDP("70718PBZ Muni","STATE_CODE")</f>
        <v>MI</v>
      </c>
      <c r="E657" t="str">
        <f>_xll.BDP("70718PBZ Muni","COUNTY_LOCATION_ISSUER")</f>
        <v>Grand Traverse, MI</v>
      </c>
      <c r="F657">
        <f>_xll.BDP("70718PBZ Muni","DUR_ADJ_MID")</f>
        <v>1.6056777484273563</v>
      </c>
      <c r="G657">
        <f>_xll.BDP("70718PBZ Muni","SPREAD_AT_ISSUANCE_TO_WORST")</f>
        <v>39.639249760276641</v>
      </c>
      <c r="H657" t="str">
        <f>_xll.BDP("70718PBZ Muni","ISSUE_DT")</f>
        <v>5/23/2017</v>
      </c>
      <c r="I657" t="str">
        <f>_xll.BDS("70718PBZ Muni","MUNI_PURPOSE_SCHED", "aggregate=y")</f>
        <v>PUBLIC IMPS. WATER UTILITY IMPS. SEWER IMPS.</v>
      </c>
      <c r="J657">
        <f>_xll.BDP("70718PBZ Muni","CPN")</f>
        <v>3</v>
      </c>
      <c r="K657" t="str">
        <f>_xll.BDP("70718PBZ Muni","MATURITY")</f>
        <v>4/1/2024</v>
      </c>
      <c r="L657">
        <v>45000</v>
      </c>
      <c r="M657">
        <f>_xll.BDP("70718PBZ Muni","YIELD_ON_ISSUE_DATE")</f>
        <v>2.1</v>
      </c>
      <c r="N657">
        <f>_xll.BDP("70718PBZ Muni","YTW_SPREAD_TO_MATURITY_AT_ISSU")</f>
        <v>39.639249760276641</v>
      </c>
      <c r="O657" t="str">
        <f>_xll.BDP("70718PBZ Muni","BVAL_MID_YTM")</f>
        <v>#N/A Authorization</v>
      </c>
      <c r="P657" t="str">
        <f>_xll.BDP("70718PBZ Muni","MUNI_TAX_PROV")</f>
        <v>FED BQ/ST TAX-EXEMPT</v>
      </c>
      <c r="Q657" t="str">
        <f>_xll.BDP("70718PBZ Muni","MUNI_FED_TAX")</f>
        <v>N</v>
      </c>
      <c r="R657" t="str">
        <f>_xll.BDP("70718PBZ Muni","MUNI_MSRB_VOLUME")</f>
        <v>#N/A N/A</v>
      </c>
      <c r="S657" t="str">
        <f>_xll.BDP("70718PBZ Muni","BB_COMPOSITE")</f>
        <v>#N/A N/A</v>
      </c>
      <c r="T657">
        <f>_xll.BDP("70718PBZ Muni","LQA_LIQUIDITY_SCORE")</f>
        <v>84</v>
      </c>
    </row>
    <row r="658" spans="1:20" x14ac:dyDescent="0.25">
      <c r="A658" t="str">
        <f>_xll.BDP("70718PCA Muni","ID_CUSIP")</f>
        <v>70718PCA6</v>
      </c>
      <c r="B658" t="s">
        <v>243</v>
      </c>
      <c r="C658" t="str">
        <f>_xll.BDP("70718PCA Muni","INSURANCE_STATUS")</f>
        <v>N</v>
      </c>
      <c r="D658" t="str">
        <f>_xll.BDP("70718PCA Muni","STATE_CODE")</f>
        <v>MI</v>
      </c>
      <c r="E658" t="str">
        <f>_xll.BDP("70718PCA Muni","COUNTY_LOCATION_ISSUER")</f>
        <v>Grand Traverse, MI</v>
      </c>
      <c r="F658">
        <f>_xll.BDP("70718PCA Muni","DUR_ADJ_MID")</f>
        <v>2.5317867201334066</v>
      </c>
      <c r="G658">
        <f>_xll.BDP("70718PCA Muni","SPREAD_AT_ISSUANCE_TO_WORST")</f>
        <v>43.455722206517947</v>
      </c>
      <c r="H658" t="str">
        <f>_xll.BDP("70718PCA Muni","ISSUE_DT")</f>
        <v>5/23/2017</v>
      </c>
      <c r="I658" t="str">
        <f>_xll.BDS("70718PCA Muni","MUNI_PURPOSE_SCHED", "aggregate=y")</f>
        <v>PUBLIC IMPS. WATER UTILITY IMPS. SEWER IMPS.</v>
      </c>
      <c r="J658">
        <f>_xll.BDP("70718PCA Muni","CPN")</f>
        <v>3</v>
      </c>
      <c r="K658" t="str">
        <f>_xll.BDP("70718PCA Muni","MATURITY")</f>
        <v>4/1/2025</v>
      </c>
      <c r="L658">
        <v>45000</v>
      </c>
      <c r="M658">
        <f>_xll.BDP("70718PCA Muni","YIELD_ON_ISSUE_DATE")</f>
        <v>2.3000000000000003</v>
      </c>
      <c r="N658">
        <f>_xll.BDP("70718PCA Muni","YTW_SPREAD_TO_MATURITY_AT_ISSU")</f>
        <v>43.455722206517947</v>
      </c>
      <c r="O658" t="str">
        <f>_xll.BDP("70718PCA Muni","BVAL_MID_YTM")</f>
        <v>#N/A Authorization</v>
      </c>
      <c r="P658" t="str">
        <f>_xll.BDP("70718PCA Muni","MUNI_TAX_PROV")</f>
        <v>FED BQ/ST TAX-EXEMPT</v>
      </c>
      <c r="Q658" t="str">
        <f>_xll.BDP("70718PCA Muni","MUNI_FED_TAX")</f>
        <v>N</v>
      </c>
      <c r="R658" t="str">
        <f>_xll.BDP("70718PCA Muni","MUNI_MSRB_VOLUME")</f>
        <v>#N/A N/A</v>
      </c>
      <c r="S658" t="str">
        <f>_xll.BDP("70718PCA Muni","BB_COMPOSITE")</f>
        <v>#N/A N/A</v>
      </c>
      <c r="T658">
        <f>_xll.BDP("70718PCA Muni","LQA_LIQUIDITY_SCORE")</f>
        <v>73</v>
      </c>
    </row>
    <row r="659" spans="1:20" x14ac:dyDescent="0.25">
      <c r="A659" t="str">
        <f>_xll.BDP("70718PCB Muni","ID_CUSIP")</f>
        <v>70718PCB4</v>
      </c>
      <c r="B659" t="s">
        <v>243</v>
      </c>
      <c r="C659" t="str">
        <f>_xll.BDP("70718PCB Muni","INSURANCE_STATUS")</f>
        <v>N</v>
      </c>
      <c r="D659" t="str">
        <f>_xll.BDP("70718PCB Muni","STATE_CODE")</f>
        <v>MI</v>
      </c>
      <c r="E659" t="str">
        <f>_xll.BDP("70718PCB Muni","COUNTY_LOCATION_ISSUER")</f>
        <v>Grand Traverse, MI</v>
      </c>
      <c r="F659">
        <f>_xll.BDP("70718PCB Muni","DUR_ADJ_MID")</f>
        <v>3.4309478228883075</v>
      </c>
      <c r="G659">
        <f>_xll.BDP("70718PCB Muni","SPREAD_AT_ISSUANCE_TO_WORST")</f>
        <v>43.719773227146597</v>
      </c>
      <c r="H659" t="str">
        <f>_xll.BDP("70718PCB Muni","ISSUE_DT")</f>
        <v>5/23/2017</v>
      </c>
      <c r="I659" t="str">
        <f>_xll.BDS("70718PCB Muni","MUNI_PURPOSE_SCHED", "aggregate=y")</f>
        <v>PUBLIC IMPS. WATER UTILITY IMPS. SEWER IMPS.</v>
      </c>
      <c r="J659">
        <f>_xll.BDP("70718PCB Muni","CPN")</f>
        <v>3</v>
      </c>
      <c r="K659" t="str">
        <f>_xll.BDP("70718PCB Muni","MATURITY")</f>
        <v>4/1/2026</v>
      </c>
      <c r="L659">
        <v>40000</v>
      </c>
      <c r="M659">
        <f>_xll.BDP("70718PCB Muni","YIELD_ON_ISSUE_DATE")</f>
        <v>2.4500000000000002</v>
      </c>
      <c r="N659">
        <f>_xll.BDP("70718PCB Muni","YTW_SPREAD_TO_MATURITY_AT_ISSU")</f>
        <v>43.719773227146597</v>
      </c>
      <c r="O659" t="str">
        <f>_xll.BDP("70718PCB Muni","BVAL_MID_YTM")</f>
        <v>#N/A Authorization</v>
      </c>
      <c r="P659" t="str">
        <f>_xll.BDP("70718PCB Muni","MUNI_TAX_PROV")</f>
        <v>FED BQ/ST TAX-EXEMPT</v>
      </c>
      <c r="Q659" t="str">
        <f>_xll.BDP("70718PCB Muni","MUNI_FED_TAX")</f>
        <v>N</v>
      </c>
      <c r="R659" t="str">
        <f>_xll.BDP("70718PCB Muni","MUNI_MSRB_VOLUME")</f>
        <v>#N/A N/A</v>
      </c>
      <c r="S659" t="str">
        <f>_xll.BDP("70718PCB Muni","BB_COMPOSITE")</f>
        <v>#N/A N/A</v>
      </c>
      <c r="T659">
        <f>_xll.BDP("70718PCB Muni","LQA_LIQUIDITY_SCORE")</f>
        <v>63</v>
      </c>
    </row>
    <row r="660" spans="1:20" x14ac:dyDescent="0.25">
      <c r="A660" t="str">
        <f>_xll.BDP("70718PCC Muni","ID_CUSIP")</f>
        <v>70718PCC2</v>
      </c>
      <c r="B660" t="s">
        <v>243</v>
      </c>
      <c r="C660" t="str">
        <f>_xll.BDP("70718PCC Muni","INSURANCE_STATUS")</f>
        <v>N</v>
      </c>
      <c r="D660" t="str">
        <f>_xll.BDP("70718PCC Muni","STATE_CODE")</f>
        <v>MI</v>
      </c>
      <c r="E660" t="str">
        <f>_xll.BDP("70718PCC Muni","COUNTY_LOCATION_ISSUER")</f>
        <v>Grand Traverse, MI</v>
      </c>
      <c r="F660">
        <f>_xll.BDP("70718PCC Muni","DUR_ADJ_MID")</f>
        <v>4.3032631572709441</v>
      </c>
      <c r="G660">
        <f>_xll.BDP("70718PCC Muni","SPREAD_AT_ISSUANCE_TO_WORST")</f>
        <v>46.751478413349055</v>
      </c>
      <c r="H660" t="str">
        <f>_xll.BDP("70718PCC Muni","ISSUE_DT")</f>
        <v>5/23/2017</v>
      </c>
      <c r="I660" t="str">
        <f>_xll.BDS("70718PCC Muni","MUNI_PURPOSE_SCHED", "aggregate=y")</f>
        <v>PUBLIC IMPS. WATER UTILITY IMPS. SEWER IMPS.</v>
      </c>
      <c r="J660">
        <f>_xll.BDP("70718PCC Muni","CPN")</f>
        <v>3</v>
      </c>
      <c r="K660" t="str">
        <f>_xll.BDP("70718PCC Muni","MATURITY")</f>
        <v>4/1/2027</v>
      </c>
      <c r="L660">
        <v>35000</v>
      </c>
      <c r="M660">
        <f>_xll.BDP("70718PCC Muni","YIELD_ON_ISSUE_DATE")</f>
        <v>2.6</v>
      </c>
      <c r="N660">
        <f>_xll.BDP("70718PCC Muni","YTW_SPREAD_TO_MATURITY_AT_ISSU")</f>
        <v>46.751478413349055</v>
      </c>
      <c r="O660" t="str">
        <f>_xll.BDP("70718PCC Muni","BVAL_MID_YTM")</f>
        <v>#N/A Authorization</v>
      </c>
      <c r="P660" t="str">
        <f>_xll.BDP("70718PCC Muni","MUNI_TAX_PROV")</f>
        <v>FED BQ/ST TAX-EXEMPT</v>
      </c>
      <c r="Q660" t="str">
        <f>_xll.BDP("70718PCC Muni","MUNI_FED_TAX")</f>
        <v>N</v>
      </c>
      <c r="R660" t="str">
        <f>_xll.BDP("70718PCC Muni","MUNI_MSRB_VOLUME")</f>
        <v>#N/A N/A</v>
      </c>
      <c r="S660" t="str">
        <f>_xll.BDP("70718PCC Muni","BB_COMPOSITE")</f>
        <v>#N/A N/A</v>
      </c>
      <c r="T660">
        <f>_xll.BDP("70718PCC Muni","LQA_LIQUIDITY_SCORE")</f>
        <v>54</v>
      </c>
    </row>
    <row r="661" spans="1:20" x14ac:dyDescent="0.25">
      <c r="A661" t="str">
        <f>_xll.BDP("15870QAF Muni","ID_CUSIP")</f>
        <v>15870QAF4</v>
      </c>
      <c r="B661" t="s">
        <v>244</v>
      </c>
      <c r="C661" t="str">
        <f>_xll.BDP("15870QAF Muni","INSURANCE_STATUS")</f>
        <v>Y</v>
      </c>
      <c r="D661" t="str">
        <f>_xll.BDP("15870QAF Muni","STATE_CODE")</f>
        <v>TX</v>
      </c>
      <c r="E661" t="str">
        <f>_xll.BDP("15870QAF Muni","COUNTY_LOCATION_ISSUER")</f>
        <v>Harris, TX</v>
      </c>
      <c r="F661">
        <f>_xll.BDP("15870QAF Muni","DUR_ADJ_MID")</f>
        <v>0.56894874822678365</v>
      </c>
      <c r="G661">
        <f>_xll.BDP("15870QAF Muni","SPREAD_AT_ISSUANCE_TO_WORST")</f>
        <v>36.098092021238749</v>
      </c>
      <c r="H661" t="str">
        <f>_xll.BDP("15870QAF Muni","ISSUE_DT")</f>
        <v>3/1/2017</v>
      </c>
      <c r="I661" t="str">
        <f>_xll.BDS("15870QAF Muni","MUNI_PURPOSE_SCHED", "aggregate=y")</f>
        <v>WATER UTILITY IMPS. SEWER IMPS.</v>
      </c>
      <c r="J661">
        <f>_xll.BDP("15870QAF Muni","CPN")</f>
        <v>3</v>
      </c>
      <c r="K661" t="str">
        <f>_xll.BDP("15870QAF Muni","MATURITY")</f>
        <v>3/1/2023</v>
      </c>
      <c r="L661">
        <v>125000</v>
      </c>
      <c r="M661">
        <f>_xll.BDP("15870QAF Muni","YIELD_ON_ISSUE_DATE")</f>
        <v>2.1</v>
      </c>
      <c r="N661">
        <f>_xll.BDP("15870QAF Muni","YTW_SPREAD_TO_MATURITY_AT_ISSU")</f>
        <v>36.098092021238749</v>
      </c>
      <c r="O661" t="str">
        <f>_xll.BDP("15870QAF Muni","BVAL_MID_YTM")</f>
        <v>#N/A Authorization</v>
      </c>
      <c r="P661" t="str">
        <f>_xll.BDP("15870QAF Muni","MUNI_TAX_PROV")</f>
        <v>FED BQ</v>
      </c>
      <c r="Q661" t="str">
        <f>_xll.BDP("15870QAF Muni","MUNI_FED_TAX")</f>
        <v>N</v>
      </c>
      <c r="R661" t="str">
        <f>_xll.BDP("15870QAF Muni","MUNI_MSRB_VOLUME")</f>
        <v>#N/A N/A</v>
      </c>
      <c r="S661" t="str">
        <f>_xll.BDP("15870QAF Muni","BB_COMPOSITE")</f>
        <v>A+</v>
      </c>
      <c r="T661">
        <f>_xll.BDP("15870QAF Muni","LQA_LIQUIDITY_SCORE")</f>
        <v>98</v>
      </c>
    </row>
    <row r="662" spans="1:20" x14ac:dyDescent="0.25">
      <c r="A662" t="str">
        <f>_xll.BDP("15870QAG Muni","ID_CUSIP")</f>
        <v>15870QAG2</v>
      </c>
      <c r="B662" t="s">
        <v>244</v>
      </c>
      <c r="C662" t="str">
        <f>_xll.BDP("15870QAG Muni","INSURANCE_STATUS")</f>
        <v>Y</v>
      </c>
      <c r="D662" t="str">
        <f>_xll.BDP("15870QAG Muni","STATE_CODE")</f>
        <v>TX</v>
      </c>
      <c r="E662" t="str">
        <f>_xll.BDP("15870QAG Muni","COUNTY_LOCATION_ISSUER")</f>
        <v>Harris, TX</v>
      </c>
      <c r="F662">
        <f>_xll.BDP("15870QAG Muni","DUR_ADJ_MID")</f>
        <v>1.5217195674238355</v>
      </c>
      <c r="G662">
        <f>_xll.BDP("15870QAG Muni","SPREAD_AT_ISSUANCE_TO_WORST")</f>
        <v>35.587205618494465</v>
      </c>
      <c r="H662" t="str">
        <f>_xll.BDP("15870QAG Muni","ISSUE_DT")</f>
        <v>3/1/2017</v>
      </c>
      <c r="I662" t="str">
        <f>_xll.BDS("15870QAG Muni","MUNI_PURPOSE_SCHED", "aggregate=y")</f>
        <v>WATER UTILITY IMPS. SEWER IMPS.</v>
      </c>
      <c r="J662">
        <f>_xll.BDP("15870QAG Muni","CPN")</f>
        <v>3</v>
      </c>
      <c r="K662" t="str">
        <f>_xll.BDP("15870QAG Muni","MATURITY")</f>
        <v>3/1/2024</v>
      </c>
      <c r="L662">
        <v>130000</v>
      </c>
      <c r="M662">
        <f>_xll.BDP("15870QAG Muni","YIELD_ON_ISSUE_DATE")</f>
        <v>2.25</v>
      </c>
      <c r="N662">
        <f>_xll.BDP("15870QAG Muni","YTW_SPREAD_TO_MATURITY_AT_ISSU")</f>
        <v>35.587205618494465</v>
      </c>
      <c r="O662" t="str">
        <f>_xll.BDP("15870QAG Muni","BVAL_MID_YTM")</f>
        <v>#N/A Authorization</v>
      </c>
      <c r="P662" t="str">
        <f>_xll.BDP("15870QAG Muni","MUNI_TAX_PROV")</f>
        <v>FED BQ</v>
      </c>
      <c r="Q662" t="str">
        <f>_xll.BDP("15870QAG Muni","MUNI_FED_TAX")</f>
        <v>N</v>
      </c>
      <c r="R662" t="str">
        <f>_xll.BDP("15870QAG Muni","MUNI_MSRB_VOLUME")</f>
        <v>#N/A N/A</v>
      </c>
      <c r="S662" t="str">
        <f>_xll.BDP("15870QAG Muni","BB_COMPOSITE")</f>
        <v>A+</v>
      </c>
      <c r="T662">
        <f>_xll.BDP("15870QAG Muni","LQA_LIQUIDITY_SCORE")</f>
        <v>86</v>
      </c>
    </row>
    <row r="663" spans="1:20" x14ac:dyDescent="0.25">
      <c r="A663" t="str">
        <f>_xll.BDP("158855DT Muni","ID_CUSIP")</f>
        <v>158855DT0</v>
      </c>
      <c r="B663" t="s">
        <v>66</v>
      </c>
      <c r="C663" t="str">
        <f>_xll.BDP("158855DT Muni","INSURANCE_STATUS")</f>
        <v>N</v>
      </c>
      <c r="D663" t="str">
        <f>_xll.BDP("158855DT Muni","STATE_CODE")</f>
        <v>AZ</v>
      </c>
      <c r="E663" t="str">
        <f>_xll.BDP("158855DT Muni","COUNTY_LOCATION_ISSUER")</f>
        <v>Maricopa, AZ</v>
      </c>
      <c r="F663">
        <f>_xll.BDP("158855DT Muni","DUR_ADJ_MID")</f>
        <v>1.8298383041645743</v>
      </c>
      <c r="G663">
        <f>_xll.BDP("158855DT Muni","SPREAD_AT_ISSUANCE_TO_WORST")</f>
        <v>1.0083726027397377</v>
      </c>
      <c r="H663" t="str">
        <f>_xll.BDP("158855DT Muni","ISSUE_DT")</f>
        <v>12/19/2017</v>
      </c>
      <c r="I663" t="str">
        <f>_xll.BDS("158855DT Muni","MUNI_PURPOSE_SCHED", "aggregate=y")</f>
        <v>WATER UTILITY IMPS. SEWER IMPS.</v>
      </c>
      <c r="J663">
        <f>_xll.BDP("158855DT Muni","CPN")</f>
        <v>5</v>
      </c>
      <c r="K663" t="str">
        <f>_xll.BDP("158855DT Muni","MATURITY")</f>
        <v>7/1/2024</v>
      </c>
      <c r="L663">
        <v>1245000</v>
      </c>
      <c r="M663">
        <f>_xll.BDP("158855DT Muni","YIELD_ON_ISSUE_DATE")</f>
        <v>1.84</v>
      </c>
      <c r="N663">
        <f>_xll.BDP("158855DT Muni","YTW_SPREAD_TO_MATURITY_AT_ISSU")</f>
        <v>1.0083726027397377</v>
      </c>
      <c r="O663" t="str">
        <f>_xll.BDP("158855DT Muni","BVAL_MID_YTM")</f>
        <v>#N/A Authorization</v>
      </c>
      <c r="P663" t="str">
        <f>_xll.BDP("158855DT Muni","MUNI_TAX_PROV")</f>
        <v>FED &amp; ST TAX-EXEMPT</v>
      </c>
      <c r="Q663" t="str">
        <f>_xll.BDP("158855DT Muni","MUNI_FED_TAX")</f>
        <v>N</v>
      </c>
      <c r="R663" t="str">
        <f>_xll.BDP("158855DT Muni","MUNI_MSRB_VOLUME")</f>
        <v>#N/A N/A</v>
      </c>
      <c r="S663" t="str">
        <f>_xll.BDP("158855DT Muni","BB_COMPOSITE")</f>
        <v>AA+</v>
      </c>
      <c r="T663">
        <f>_xll.BDP("158855DT Muni","LQA_LIQUIDITY_SCORE")</f>
        <v>86</v>
      </c>
    </row>
    <row r="664" spans="1:20" x14ac:dyDescent="0.25">
      <c r="A664" t="str">
        <f>_xll.BDP("158855DU Muni","ID_CUSIP")</f>
        <v>158855DU7</v>
      </c>
      <c r="B664" t="s">
        <v>66</v>
      </c>
      <c r="C664" t="str">
        <f>_xll.BDP("158855DU Muni","INSURANCE_STATUS")</f>
        <v>N</v>
      </c>
      <c r="D664" t="str">
        <f>_xll.BDP("158855DU Muni","STATE_CODE")</f>
        <v>AZ</v>
      </c>
      <c r="E664" t="str">
        <f>_xll.BDP("158855DU Muni","COUNTY_LOCATION_ISSUER")</f>
        <v>Maricopa, AZ</v>
      </c>
      <c r="F664">
        <f>_xll.BDP("158855DU Muni","DUR_ADJ_MID")</f>
        <v>2.7227670846427778</v>
      </c>
      <c r="G664">
        <f>_xll.BDP("158855DU Muni","SPREAD_AT_ISSUANCE_TO_WORST")</f>
        <v>-1.6964356164383521</v>
      </c>
      <c r="H664" t="str">
        <f>_xll.BDP("158855DU Muni","ISSUE_DT")</f>
        <v>12/19/2017</v>
      </c>
      <c r="I664" t="str">
        <f>_xll.BDS("158855DU Muni","MUNI_PURPOSE_SCHED", "aggregate=y")</f>
        <v>WATER UTILITY IMPS. SEWER IMPS.</v>
      </c>
      <c r="J664">
        <f>_xll.BDP("158855DU Muni","CPN")</f>
        <v>5</v>
      </c>
      <c r="K664" t="str">
        <f>_xll.BDP("158855DU Muni","MATURITY")</f>
        <v>7/1/2025</v>
      </c>
      <c r="L664">
        <v>1305000</v>
      </c>
      <c r="M664">
        <f>_xll.BDP("158855DU Muni","YIELD_ON_ISSUE_DATE")</f>
        <v>1.9000000000000001</v>
      </c>
      <c r="N664">
        <f>_xll.BDP("158855DU Muni","YTW_SPREAD_TO_MATURITY_AT_ISSU")</f>
        <v>-1.6964356164383521</v>
      </c>
      <c r="O664" t="str">
        <f>_xll.BDP("158855DU Muni","BVAL_MID_YTM")</f>
        <v>#N/A Authorization</v>
      </c>
      <c r="P664" t="str">
        <f>_xll.BDP("158855DU Muni","MUNI_TAX_PROV")</f>
        <v>FED &amp; ST TAX-EXEMPT</v>
      </c>
      <c r="Q664" t="str">
        <f>_xll.BDP("158855DU Muni","MUNI_FED_TAX")</f>
        <v>N</v>
      </c>
      <c r="R664">
        <f>_xll.BDP("158855DU Muni","MUNI_MSRB_VOLUME")</f>
        <v>400000</v>
      </c>
      <c r="S664" t="str">
        <f>_xll.BDP("158855DU Muni","BB_COMPOSITE")</f>
        <v>AA+</v>
      </c>
      <c r="T664">
        <f>_xll.BDP("158855DU Muni","LQA_LIQUIDITY_SCORE")</f>
        <v>80</v>
      </c>
    </row>
    <row r="665" spans="1:20" x14ac:dyDescent="0.25">
      <c r="A665" t="str">
        <f>_xll.BDP("158855DV Muni","ID_CUSIP")</f>
        <v>158855DV5</v>
      </c>
      <c r="B665" t="s">
        <v>66</v>
      </c>
      <c r="C665" t="str">
        <f>_xll.BDP("158855DV Muni","INSURANCE_STATUS")</f>
        <v>N</v>
      </c>
      <c r="D665" t="str">
        <f>_xll.BDP("158855DV Muni","STATE_CODE")</f>
        <v>AZ</v>
      </c>
      <c r="E665" t="str">
        <f>_xll.BDP("158855DV Muni","COUNTY_LOCATION_ISSUER")</f>
        <v>Maricopa, AZ</v>
      </c>
      <c r="F665">
        <f>_xll.BDP("158855DV Muni","DUR_ADJ_MID")</f>
        <v>3.5779596083614513</v>
      </c>
      <c r="G665">
        <f>_xll.BDP("158855DV Muni","SPREAD_AT_ISSUANCE_TO_WORST")</f>
        <v>-3.2152109589041133</v>
      </c>
      <c r="H665" t="str">
        <f>_xll.BDP("158855DV Muni","ISSUE_DT")</f>
        <v>12/19/2017</v>
      </c>
      <c r="I665" t="str">
        <f>_xll.BDS("158855DV Muni","MUNI_PURPOSE_SCHED", "aggregate=y")</f>
        <v>WATER UTILITY IMPS. SEWER IMPS.</v>
      </c>
      <c r="J665">
        <f>_xll.BDP("158855DV Muni","CPN")</f>
        <v>5</v>
      </c>
      <c r="K665" t="str">
        <f>_xll.BDP("158855DV Muni","MATURITY")</f>
        <v>7/1/2026</v>
      </c>
      <c r="L665">
        <v>1300000</v>
      </c>
      <c r="M665">
        <f>_xll.BDP("158855DV Muni","YIELD_ON_ISSUE_DATE")</f>
        <v>1.97</v>
      </c>
      <c r="N665">
        <f>_xll.BDP("158855DV Muni","YTW_SPREAD_TO_MATURITY_AT_ISSU")</f>
        <v>-3.2152109589041133</v>
      </c>
      <c r="O665" t="str">
        <f>_xll.BDP("158855DV Muni","BVAL_MID_YTM")</f>
        <v>#N/A Authorization</v>
      </c>
      <c r="P665" t="str">
        <f>_xll.BDP("158855DV Muni","MUNI_TAX_PROV")</f>
        <v>FED &amp; ST TAX-EXEMPT</v>
      </c>
      <c r="Q665" t="str">
        <f>_xll.BDP("158855DV Muni","MUNI_FED_TAX")</f>
        <v>N</v>
      </c>
      <c r="R665" t="str">
        <f>_xll.BDP("158855DV Muni","MUNI_MSRB_VOLUME")</f>
        <v>#N/A N/A</v>
      </c>
      <c r="S665" t="str">
        <f>_xll.BDP("158855DV Muni","BB_COMPOSITE")</f>
        <v>AA+</v>
      </c>
      <c r="T665">
        <f>_xll.BDP("158855DV Muni","LQA_LIQUIDITY_SCORE")</f>
        <v>77</v>
      </c>
    </row>
    <row r="666" spans="1:20" x14ac:dyDescent="0.25">
      <c r="A666" t="str">
        <f>_xll.BDP("158855DW Muni","ID_CUSIP")</f>
        <v>158855DW3</v>
      </c>
      <c r="B666" t="s">
        <v>66</v>
      </c>
      <c r="C666" t="str">
        <f>_xll.BDP("158855DW Muni","INSURANCE_STATUS")</f>
        <v>N</v>
      </c>
      <c r="D666" t="str">
        <f>_xll.BDP("158855DW Muni","STATE_CODE")</f>
        <v>AZ</v>
      </c>
      <c r="E666" t="str">
        <f>_xll.BDP("158855DW Muni","COUNTY_LOCATION_ISSUER")</f>
        <v>Maricopa, AZ</v>
      </c>
      <c r="F666">
        <f>_xll.BDP("158855DW Muni","DUR_ADJ_MID")</f>
        <v>4.3923371108237683</v>
      </c>
      <c r="G666">
        <f>_xll.BDP("158855DW Muni","SPREAD_AT_ISSUANCE_TO_WORST")</f>
        <v>-2.0689479452054904</v>
      </c>
      <c r="H666" t="str">
        <f>_xll.BDP("158855DW Muni","ISSUE_DT")</f>
        <v>12/19/2017</v>
      </c>
      <c r="I666" t="str">
        <f>_xll.BDS("158855DW Muni","MUNI_PURPOSE_SCHED", "aggregate=y")</f>
        <v>WATER UTILITY IMPS. SEWER IMPS.</v>
      </c>
      <c r="J666">
        <f>_xll.BDP("158855DW Muni","CPN")</f>
        <v>5</v>
      </c>
      <c r="K666" t="str">
        <f>_xll.BDP("158855DW Muni","MATURITY")</f>
        <v>7/1/2027</v>
      </c>
      <c r="L666">
        <v>4045000</v>
      </c>
      <c r="M666">
        <f>_xll.BDP("158855DW Muni","YIELD_ON_ISSUE_DATE")</f>
        <v>2.0499999999999998</v>
      </c>
      <c r="N666">
        <f>_xll.BDP("158855DW Muni","YTW_SPREAD_TO_MATURITY_AT_ISSU")</f>
        <v>-2.0689479452054904</v>
      </c>
      <c r="O666" t="str">
        <f>_xll.BDP("158855DW Muni","BVAL_MID_YTM")</f>
        <v>#N/A Authorization</v>
      </c>
      <c r="P666" t="str">
        <f>_xll.BDP("158855DW Muni","MUNI_TAX_PROV")</f>
        <v>FED &amp; ST TAX-EXEMPT</v>
      </c>
      <c r="Q666" t="str">
        <f>_xll.BDP("158855DW Muni","MUNI_FED_TAX")</f>
        <v>N</v>
      </c>
      <c r="R666">
        <f>_xll.BDP("158855DW Muni","MUNI_MSRB_VOLUME")</f>
        <v>20000</v>
      </c>
      <c r="S666" t="str">
        <f>_xll.BDP("158855DW Muni","BB_COMPOSITE")</f>
        <v>AA+</v>
      </c>
      <c r="T666">
        <f>_xll.BDP("158855DW Muni","LQA_LIQUIDITY_SCORE")</f>
        <v>74</v>
      </c>
    </row>
    <row r="667" spans="1:20" x14ac:dyDescent="0.25">
      <c r="A667" t="str">
        <f>_xll.BDP("159095AW Muni","ID_CUSIP")</f>
        <v>159095AW8</v>
      </c>
      <c r="B667" t="s">
        <v>245</v>
      </c>
      <c r="C667" t="str">
        <f>_xll.BDP("159095AW Muni","INSURANCE_STATUS")</f>
        <v>Y</v>
      </c>
      <c r="D667" t="str">
        <f>_xll.BDP("159095AW Muni","STATE_CODE")</f>
        <v>TX</v>
      </c>
      <c r="E667" t="str">
        <f>_xll.BDP("159095AW Muni","COUNTY_LOCATION_ISSUER")</f>
        <v>Henderson, TX</v>
      </c>
      <c r="F667">
        <f>_xll.BDP("159095AW Muni","DUR_ADJ_MID")</f>
        <v>0.20229234317729505</v>
      </c>
      <c r="G667">
        <f>_xll.BDP("159095AW Muni","SPREAD_AT_ISSUANCE_TO_WORST")</f>
        <v>47.031898363978478</v>
      </c>
      <c r="H667" t="str">
        <f>_xll.BDP("159095AW Muni","ISSUE_DT")</f>
        <v>3/15/2017</v>
      </c>
      <c r="I667" t="str">
        <f>_xll.BDS("159095AW Muni","MUNI_PURPOSE_SCHED", "aggregate=y")</f>
        <v>PUBLIC IMPS. WATER UTILITY IMPS. SEWER IMPS.</v>
      </c>
      <c r="J667">
        <f>_xll.BDP("159095AW Muni","CPN")</f>
        <v>3</v>
      </c>
      <c r="K667" t="str">
        <f>_xll.BDP("159095AW Muni","MATURITY")</f>
        <v>10/15/2022</v>
      </c>
      <c r="L667">
        <v>65000</v>
      </c>
      <c r="M667">
        <f>_xll.BDP("159095AW Muni","YIELD_ON_ISSUE_DATE")</f>
        <v>2.3000000000000003</v>
      </c>
      <c r="N667">
        <f>_xll.BDP("159095AW Muni","YTW_SPREAD_TO_MATURITY_AT_ISSU")</f>
        <v>47.031898363978478</v>
      </c>
      <c r="O667" t="str">
        <f>_xll.BDP("159095AW Muni","BVAL_MID_YTM")</f>
        <v>#N/A Authorization</v>
      </c>
      <c r="P667" t="str">
        <f>_xll.BDP("159095AW Muni","MUNI_TAX_PROV")</f>
        <v>FED BQ</v>
      </c>
      <c r="Q667" t="str">
        <f>_xll.BDP("159095AW Muni","MUNI_FED_TAX")</f>
        <v>N</v>
      </c>
      <c r="R667" t="str">
        <f>_xll.BDP("159095AW Muni","MUNI_MSRB_VOLUME")</f>
        <v>#N/A N/A</v>
      </c>
      <c r="S667" t="str">
        <f>_xll.BDP("159095AW Muni","BB_COMPOSITE")</f>
        <v>#N/A N/A</v>
      </c>
      <c r="T667">
        <f>_xll.BDP("159095AW Muni","LQA_LIQUIDITY_SCORE")</f>
        <v>92</v>
      </c>
    </row>
    <row r="668" spans="1:20" x14ac:dyDescent="0.25">
      <c r="A668" t="str">
        <f>_xll.BDP("159095AX Muni","ID_CUSIP")</f>
        <v>159095AX6</v>
      </c>
      <c r="B668" t="s">
        <v>245</v>
      </c>
      <c r="C668" t="str">
        <f>_xll.BDP("159095AX Muni","INSURANCE_STATUS")</f>
        <v>Y</v>
      </c>
      <c r="D668" t="str">
        <f>_xll.BDP("159095AX Muni","STATE_CODE")</f>
        <v>TX</v>
      </c>
      <c r="E668" t="str">
        <f>_xll.BDP("159095AX Muni","COUNTY_LOCATION_ISSUER")</f>
        <v>Henderson, TX</v>
      </c>
      <c r="F668">
        <f>_xll.BDP("159095AX Muni","DUR_ADJ_MID")</f>
        <v>1.1703571449775452</v>
      </c>
      <c r="G668">
        <f>_xll.BDP("159095AX Muni","SPREAD_AT_ISSUANCE_TO_WORST")</f>
        <v>60.436743010568406</v>
      </c>
      <c r="H668" t="str">
        <f>_xll.BDP("159095AX Muni","ISSUE_DT")</f>
        <v>3/15/2017</v>
      </c>
      <c r="I668" t="str">
        <f>_xll.BDS("159095AX Muni","MUNI_PURPOSE_SCHED", "aggregate=y")</f>
        <v>PUBLIC IMPS. WATER UTILITY IMPS. SEWER IMPS.</v>
      </c>
      <c r="J668">
        <f>_xll.BDP("159095AX Muni","CPN")</f>
        <v>3</v>
      </c>
      <c r="K668" t="str">
        <f>_xll.BDP("159095AX Muni","MATURITY")</f>
        <v>10/15/2023</v>
      </c>
      <c r="L668">
        <v>65000</v>
      </c>
      <c r="M668">
        <f>_xll.BDP("159095AX Muni","YIELD_ON_ISSUE_DATE")</f>
        <v>2.6</v>
      </c>
      <c r="N668">
        <f>_xll.BDP("159095AX Muni","YTW_SPREAD_TO_MATURITY_AT_ISSU")</f>
        <v>60.436743010568406</v>
      </c>
      <c r="O668" t="str">
        <f>_xll.BDP("159095AX Muni","BVAL_MID_YTM")</f>
        <v>#N/A Authorization</v>
      </c>
      <c r="P668" t="str">
        <f>_xll.BDP("159095AX Muni","MUNI_TAX_PROV")</f>
        <v>FED BQ</v>
      </c>
      <c r="Q668" t="str">
        <f>_xll.BDP("159095AX Muni","MUNI_FED_TAX")</f>
        <v>N</v>
      </c>
      <c r="R668" t="str">
        <f>_xll.BDP("159095AX Muni","MUNI_MSRB_VOLUME")</f>
        <v>#N/A N/A</v>
      </c>
      <c r="S668" t="str">
        <f>_xll.BDP("159095AX Muni","BB_COMPOSITE")</f>
        <v>#N/A N/A</v>
      </c>
      <c r="T668">
        <f>_xll.BDP("159095AX Muni","LQA_LIQUIDITY_SCORE")</f>
        <v>74</v>
      </c>
    </row>
    <row r="669" spans="1:20" x14ac:dyDescent="0.25">
      <c r="A669" t="str">
        <f>_xll.BDP("076221M3 Muni","ID_CUSIP")</f>
        <v>076221M31</v>
      </c>
      <c r="B669" t="s">
        <v>246</v>
      </c>
      <c r="C669" t="str">
        <f>_xll.BDP("076221M3 Muni","INSURANCE_STATUS")</f>
        <v>N</v>
      </c>
      <c r="D669" t="str">
        <f>_xll.BDP("076221M3 Muni","STATE_CODE")</f>
        <v>MA</v>
      </c>
      <c r="E669" t="str">
        <f>_xll.BDP("076221M3 Muni","COUNTY_LOCATION_ISSUER")</f>
        <v>Middlesex, MA</v>
      </c>
      <c r="F669">
        <f>_xll.BDP("076221M3 Muni","DUR_ADJ_MID")</f>
        <v>0.52630882961453995</v>
      </c>
      <c r="G669">
        <f>_xll.BDP("076221M3 Muni","SPREAD_AT_ISSUANCE_TO_WORST")</f>
        <v>-1.3812618217231121</v>
      </c>
      <c r="H669" t="str">
        <f>_xll.BDP("076221M3 Muni","ISSUE_DT")</f>
        <v>2/23/2017</v>
      </c>
      <c r="I669" t="str">
        <f>_xll.BDS("076221M3 Muni","MUNI_PURPOSE_SCHED", "aggregate=y")</f>
        <v>SCHOOL IMPS. WATER UTILITY IMPS. SEWER IMPS.</v>
      </c>
      <c r="J669">
        <f>_xll.BDP("076221M3 Muni","CPN")</f>
        <v>3</v>
      </c>
      <c r="K669" t="str">
        <f>_xll.BDP("076221M3 Muni","MATURITY")</f>
        <v>2/15/2023</v>
      </c>
      <c r="L669">
        <v>380000</v>
      </c>
      <c r="M669">
        <f>_xll.BDP("076221M3 Muni","YIELD_ON_ISSUE_DATE")</f>
        <v>1.75</v>
      </c>
      <c r="N669">
        <f>_xll.BDP("076221M3 Muni","YTW_SPREAD_TO_MATURITY_AT_ISSU")</f>
        <v>-1.3812618217231121</v>
      </c>
      <c r="O669" t="str">
        <f>_xll.BDP("076221M3 Muni","BVAL_MID_YTM")</f>
        <v>#N/A Authorization</v>
      </c>
      <c r="P669" t="str">
        <f>_xll.BDP("076221M3 Muni","MUNI_TAX_PROV")</f>
        <v>FED BQ/ST TAX-EXEMPT</v>
      </c>
      <c r="Q669" t="str">
        <f>_xll.BDP("076221M3 Muni","MUNI_FED_TAX")</f>
        <v>N</v>
      </c>
      <c r="R669" t="str">
        <f>_xll.BDP("076221M3 Muni","MUNI_MSRB_VOLUME")</f>
        <v>#N/A N/A</v>
      </c>
      <c r="S669" t="str">
        <f>_xll.BDP("076221M3 Muni","BB_COMPOSITE")</f>
        <v>#N/A N/A</v>
      </c>
      <c r="T669">
        <f>_xll.BDP("076221M3 Muni","LQA_LIQUIDITY_SCORE")</f>
        <v>96</v>
      </c>
    </row>
    <row r="670" spans="1:20" x14ac:dyDescent="0.25">
      <c r="A670" t="str">
        <f>_xll.BDP("076221M4 Muni","ID_CUSIP")</f>
        <v>076221M49</v>
      </c>
      <c r="B670" t="s">
        <v>246</v>
      </c>
      <c r="C670" t="str">
        <f>_xll.BDP("076221M4 Muni","INSURANCE_STATUS")</f>
        <v>N</v>
      </c>
      <c r="D670" t="str">
        <f>_xll.BDP("076221M4 Muni","STATE_CODE")</f>
        <v>MA</v>
      </c>
      <c r="E670" t="str">
        <f>_xll.BDP("076221M4 Muni","COUNTY_LOCATION_ISSUER")</f>
        <v>Middlesex, MA</v>
      </c>
      <c r="F670">
        <f>_xll.BDP("076221M4 Muni","DUR_ADJ_MID")</f>
        <v>1.4819376315962449</v>
      </c>
      <c r="G670">
        <f>_xll.BDP("076221M4 Muni","SPREAD_AT_ISSUANCE_TO_WORST")</f>
        <v>-1.6270178253099399</v>
      </c>
      <c r="H670" t="str">
        <f>_xll.BDP("076221M4 Muni","ISSUE_DT")</f>
        <v>2/23/2017</v>
      </c>
      <c r="I670" t="str">
        <f>_xll.BDS("076221M4 Muni","MUNI_PURPOSE_SCHED", "aggregate=y")</f>
        <v>SCHOOL IMPS. WATER UTILITY IMPS. SEWER IMPS.</v>
      </c>
      <c r="J670">
        <f>_xll.BDP("076221M4 Muni","CPN")</f>
        <v>3</v>
      </c>
      <c r="K670" t="str">
        <f>_xll.BDP("076221M4 Muni","MATURITY")</f>
        <v>2/15/2024</v>
      </c>
      <c r="L670">
        <v>380000</v>
      </c>
      <c r="M670">
        <f>_xll.BDP("076221M4 Muni","YIELD_ON_ISSUE_DATE")</f>
        <v>1.9000000000000001</v>
      </c>
      <c r="N670">
        <f>_xll.BDP("076221M4 Muni","YTW_SPREAD_TO_MATURITY_AT_ISSU")</f>
        <v>-1.6270178253099399</v>
      </c>
      <c r="O670" t="str">
        <f>_xll.BDP("076221M4 Muni","BVAL_MID_YTM")</f>
        <v>#N/A Authorization</v>
      </c>
      <c r="P670" t="str">
        <f>_xll.BDP("076221M4 Muni","MUNI_TAX_PROV")</f>
        <v>FED BQ/ST TAX-EXEMPT</v>
      </c>
      <c r="Q670" t="str">
        <f>_xll.BDP("076221M4 Muni","MUNI_FED_TAX")</f>
        <v>N</v>
      </c>
      <c r="R670" t="str">
        <f>_xll.BDP("076221M4 Muni","MUNI_MSRB_VOLUME")</f>
        <v>#N/A N/A</v>
      </c>
      <c r="S670" t="str">
        <f>_xll.BDP("076221M4 Muni","BB_COMPOSITE")</f>
        <v>#N/A N/A</v>
      </c>
      <c r="T670">
        <f>_xll.BDP("076221M4 Muni","LQA_LIQUIDITY_SCORE")</f>
        <v>86</v>
      </c>
    </row>
    <row r="671" spans="1:20" x14ac:dyDescent="0.25">
      <c r="A671" t="str">
        <f>_xll.BDP("076221M5 Muni","ID_CUSIP")</f>
        <v>076221M56</v>
      </c>
      <c r="B671" t="s">
        <v>246</v>
      </c>
      <c r="C671" t="str">
        <f>_xll.BDP("076221M5 Muni","INSURANCE_STATUS")</f>
        <v>N</v>
      </c>
      <c r="D671" t="str">
        <f>_xll.BDP("076221M5 Muni","STATE_CODE")</f>
        <v>MA</v>
      </c>
      <c r="E671" t="str">
        <f>_xll.BDP("076221M5 Muni","COUNTY_LOCATION_ISSUER")</f>
        <v>Middlesex, MA</v>
      </c>
      <c r="F671">
        <f>_xll.BDP("076221M5 Muni","DUR_ADJ_MID")</f>
        <v>2.410182607103458</v>
      </c>
      <c r="G671">
        <f>_xll.BDP("076221M5 Muni","SPREAD_AT_ISSUANCE_TO_WORST")</f>
        <v>-6.5402330168059741</v>
      </c>
      <c r="H671" t="str">
        <f>_xll.BDP("076221M5 Muni","ISSUE_DT")</f>
        <v>2/23/2017</v>
      </c>
      <c r="I671" t="str">
        <f>_xll.BDS("076221M5 Muni","MUNI_PURPOSE_SCHED", "aggregate=y")</f>
        <v>SCHOOL IMPS. WATER UTILITY IMPS. SEWER IMPS.</v>
      </c>
      <c r="J671">
        <f>_xll.BDP("076221M5 Muni","CPN")</f>
        <v>3</v>
      </c>
      <c r="K671" t="str">
        <f>_xll.BDP("076221M5 Muni","MATURITY")</f>
        <v>2/15/2025</v>
      </c>
      <c r="L671">
        <v>380000</v>
      </c>
      <c r="M671">
        <f>_xll.BDP("076221M5 Muni","YIELD_ON_ISSUE_DATE")</f>
        <v>2</v>
      </c>
      <c r="N671">
        <f>_xll.BDP("076221M5 Muni","YTW_SPREAD_TO_MATURITY_AT_ISSU")</f>
        <v>-6.5402330168059741</v>
      </c>
      <c r="O671" t="str">
        <f>_xll.BDP("076221M5 Muni","BVAL_MID_YTM")</f>
        <v>#N/A Authorization</v>
      </c>
      <c r="P671" t="str">
        <f>_xll.BDP("076221M5 Muni","MUNI_TAX_PROV")</f>
        <v>FED BQ/ST TAX-EXEMPT</v>
      </c>
      <c r="Q671" t="str">
        <f>_xll.BDP("076221M5 Muni","MUNI_FED_TAX")</f>
        <v>N</v>
      </c>
      <c r="R671" t="str">
        <f>_xll.BDP("076221M5 Muni","MUNI_MSRB_VOLUME")</f>
        <v>#N/A N/A</v>
      </c>
      <c r="S671" t="str">
        <f>_xll.BDP("076221M5 Muni","BB_COMPOSITE")</f>
        <v>#N/A N/A</v>
      </c>
      <c r="T671">
        <f>_xll.BDP("076221M5 Muni","LQA_LIQUIDITY_SCORE")</f>
        <v>76</v>
      </c>
    </row>
    <row r="672" spans="1:20" x14ac:dyDescent="0.25">
      <c r="A672" t="str">
        <f>_xll.BDP("076221M6 Muni","ID_CUSIP")</f>
        <v>076221M64</v>
      </c>
      <c r="B672" t="s">
        <v>246</v>
      </c>
      <c r="C672" t="str">
        <f>_xll.BDP("076221M6 Muni","INSURANCE_STATUS")</f>
        <v>N</v>
      </c>
      <c r="D672" t="str">
        <f>_xll.BDP("076221M6 Muni","STATE_CODE")</f>
        <v>MA</v>
      </c>
      <c r="E672" t="str">
        <f>_xll.BDP("076221M6 Muni","COUNTY_LOCATION_ISSUER")</f>
        <v>Middlesex, MA</v>
      </c>
      <c r="F672">
        <f>_xll.BDP("076221M6 Muni","DUR_ADJ_MID")</f>
        <v>3.3126049294359903</v>
      </c>
      <c r="G672">
        <f>_xll.BDP("076221M6 Muni","SPREAD_AT_ISSUANCE_TO_WORST")</f>
        <v>-12.69045862485334</v>
      </c>
      <c r="H672" t="str">
        <f>_xll.BDP("076221M6 Muni","ISSUE_DT")</f>
        <v>2/23/2017</v>
      </c>
      <c r="I672" t="str">
        <f>_xll.BDS("076221M6 Muni","MUNI_PURPOSE_SCHED", "aggregate=y")</f>
        <v>SCHOOL IMPS. WATER UTILITY IMPS. SEWER IMPS.</v>
      </c>
      <c r="J672">
        <f>_xll.BDP("076221M6 Muni","CPN")</f>
        <v>3</v>
      </c>
      <c r="K672" t="str">
        <f>_xll.BDP("076221M6 Muni","MATURITY")</f>
        <v>2/15/2026</v>
      </c>
      <c r="L672">
        <v>380000</v>
      </c>
      <c r="M672">
        <f>_xll.BDP("076221M6 Muni","YIELD_ON_ISSUE_DATE")</f>
        <v>2.0699999999999998</v>
      </c>
      <c r="N672">
        <f>_xll.BDP("076221M6 Muni","YTW_SPREAD_TO_MATURITY_AT_ISSU")</f>
        <v>-12.69045862485334</v>
      </c>
      <c r="O672" t="str">
        <f>_xll.BDP("076221M6 Muni","BVAL_MID_YTM")</f>
        <v>#N/A Authorization</v>
      </c>
      <c r="P672" t="str">
        <f>_xll.BDP("076221M6 Muni","MUNI_TAX_PROV")</f>
        <v>FED BQ/ST TAX-EXEMPT</v>
      </c>
      <c r="Q672" t="str">
        <f>_xll.BDP("076221M6 Muni","MUNI_FED_TAX")</f>
        <v>N</v>
      </c>
      <c r="R672" t="str">
        <f>_xll.BDP("076221M6 Muni","MUNI_MSRB_VOLUME")</f>
        <v>#N/A N/A</v>
      </c>
      <c r="S672" t="str">
        <f>_xll.BDP("076221M6 Muni","BB_COMPOSITE")</f>
        <v>#N/A N/A</v>
      </c>
      <c r="T672">
        <f>_xll.BDP("076221M6 Muni","LQA_LIQUIDITY_SCORE")</f>
        <v>65</v>
      </c>
    </row>
    <row r="673" spans="1:20" x14ac:dyDescent="0.25">
      <c r="A673" t="str">
        <f>_xll.BDP("076221M7 Muni","ID_CUSIP")</f>
        <v>076221M72</v>
      </c>
      <c r="B673" t="s">
        <v>246</v>
      </c>
      <c r="C673" t="str">
        <f>_xll.BDP("076221M7 Muni","INSURANCE_STATUS")</f>
        <v>N</v>
      </c>
      <c r="D673" t="str">
        <f>_xll.BDP("076221M7 Muni","STATE_CODE")</f>
        <v>MA</v>
      </c>
      <c r="E673" t="str">
        <f>_xll.BDP("076221M7 Muni","COUNTY_LOCATION_ISSUER")</f>
        <v>Middlesex, MA</v>
      </c>
      <c r="F673">
        <f>_xll.BDP("076221M7 Muni","DUR_ADJ_MID")</f>
        <v>4.2345644982668942</v>
      </c>
      <c r="G673">
        <f>_xll.BDP("076221M7 Muni","SPREAD_AT_ISSUANCE_TO_WORST")</f>
        <v>-4.0208648523598178</v>
      </c>
      <c r="H673" t="str">
        <f>_xll.BDP("076221M7 Muni","ISSUE_DT")</f>
        <v>2/23/2017</v>
      </c>
      <c r="I673" t="str">
        <f>_xll.BDS("076221M7 Muni","MUNI_PURPOSE_SCHED", "aggregate=y")</f>
        <v>SCHOOL IMPS. WATER UTILITY IMPS. SEWER IMPS.</v>
      </c>
      <c r="J673">
        <f>_xll.BDP("076221M7 Muni","CPN")</f>
        <v>2.5</v>
      </c>
      <c r="K673" t="str">
        <f>_xll.BDP("076221M7 Muni","MATURITY")</f>
        <v>2/15/2027</v>
      </c>
      <c r="L673">
        <v>380000</v>
      </c>
      <c r="M673">
        <f>_xll.BDP("076221M7 Muni","YIELD_ON_ISSUE_DATE")</f>
        <v>2.2600000000000002</v>
      </c>
      <c r="N673">
        <f>_xll.BDP("076221M7 Muni","YTW_SPREAD_TO_MATURITY_AT_ISSU")</f>
        <v>-4.0208648523598178</v>
      </c>
      <c r="O673" t="str">
        <f>_xll.BDP("076221M7 Muni","BVAL_MID_YTM")</f>
        <v>#N/A Authorization</v>
      </c>
      <c r="P673" t="str">
        <f>_xll.BDP("076221M7 Muni","MUNI_TAX_PROV")</f>
        <v>FED BQ/ST TAX-EXEMPT</v>
      </c>
      <c r="Q673" t="str">
        <f>_xll.BDP("076221M7 Muni","MUNI_FED_TAX")</f>
        <v>N</v>
      </c>
      <c r="R673" t="str">
        <f>_xll.BDP("076221M7 Muni","MUNI_MSRB_VOLUME")</f>
        <v>#N/A N/A</v>
      </c>
      <c r="S673" t="str">
        <f>_xll.BDP("076221M7 Muni","BB_COMPOSITE")</f>
        <v>#N/A N/A</v>
      </c>
      <c r="T673">
        <f>_xll.BDP("076221M7 Muni","LQA_LIQUIDITY_SCORE")</f>
        <v>47</v>
      </c>
    </row>
    <row r="674" spans="1:20" x14ac:dyDescent="0.25">
      <c r="A674" t="str">
        <f>_xll.BDP("0782753N Muni","ID_CUSIP")</f>
        <v>0782753N2</v>
      </c>
      <c r="B674" t="s">
        <v>247</v>
      </c>
      <c r="C674" t="str">
        <f>_xll.BDP("0782753N Muni","INSURANCE_STATUS")</f>
        <v>N</v>
      </c>
      <c r="D674" t="str">
        <f>_xll.BDP("0782753N Muni","STATE_CODE")</f>
        <v>TX</v>
      </c>
      <c r="E674" t="str">
        <f>_xll.BDP("0782753N Muni","COUNTY_LOCATION_ISSUER")</f>
        <v>Harris, TX</v>
      </c>
      <c r="F674">
        <f>_xll.BDP("0782753N Muni","DUR_ADJ_MID")</f>
        <v>0.52148127279565315</v>
      </c>
      <c r="G674">
        <f>_xll.BDP("0782753N Muni","SPREAD_AT_ISSUANCE_TO_WORST")</f>
        <v>20.582761855656063</v>
      </c>
      <c r="H674" t="str">
        <f>_xll.BDP("0782753N Muni","ISSUE_DT")</f>
        <v>2/1/2017</v>
      </c>
      <c r="I674" t="str">
        <f>_xll.BDS("0782753N Muni","MUNI_PURPOSE_SCHED", "aggregate=y")</f>
        <v>PUBLIC IMPS. WATER UTILITY IMPS. SEWER IMPS.</v>
      </c>
      <c r="J674">
        <f>_xll.BDP("0782753N Muni","CPN")</f>
        <v>5</v>
      </c>
      <c r="K674" t="str">
        <f>_xll.BDP("0782753N Muni","MATURITY")</f>
        <v>2/15/2023</v>
      </c>
      <c r="L674">
        <v>980000</v>
      </c>
      <c r="M674">
        <f>_xll.BDP("0782753N Muni","YIELD_ON_ISSUE_DATE")</f>
        <v>2.0499999999999998</v>
      </c>
      <c r="N674">
        <f>_xll.BDP("0782753N Muni","YTW_SPREAD_TO_MATURITY_AT_ISSU")</f>
        <v>20.582761855656063</v>
      </c>
      <c r="O674" t="str">
        <f>_xll.BDP("0782753N Muni","BVAL_MID_YTM")</f>
        <v>#N/A Authorization</v>
      </c>
      <c r="P674" t="str">
        <f>_xll.BDP("0782753N Muni","MUNI_TAX_PROV")</f>
        <v>FED TAX-EXEMPT</v>
      </c>
      <c r="Q674" t="str">
        <f>_xll.BDP("0782753N Muni","MUNI_FED_TAX")</f>
        <v>N</v>
      </c>
      <c r="R674" t="str">
        <f>_xll.BDP("0782753N Muni","MUNI_MSRB_VOLUME")</f>
        <v>#N/A N/A</v>
      </c>
      <c r="S674" t="str">
        <f>_xll.BDP("0782753N Muni","BB_COMPOSITE")</f>
        <v>#N/A N/A</v>
      </c>
      <c r="T674">
        <f>_xll.BDP("0782753N Muni","LQA_LIQUIDITY_SCORE")</f>
        <v>85</v>
      </c>
    </row>
    <row r="675" spans="1:20" x14ac:dyDescent="0.25">
      <c r="A675" t="str">
        <f>_xll.BDP("0782753P Muni","ID_CUSIP")</f>
        <v>0782753P7</v>
      </c>
      <c r="B675" t="s">
        <v>247</v>
      </c>
      <c r="C675" t="str">
        <f>_xll.BDP("0782753P Muni","INSURANCE_STATUS")</f>
        <v>N</v>
      </c>
      <c r="D675" t="str">
        <f>_xll.BDP("0782753P Muni","STATE_CODE")</f>
        <v>TX</v>
      </c>
      <c r="E675" t="str">
        <f>_xll.BDP("0782753P Muni","COUNTY_LOCATION_ISSUER")</f>
        <v>Harris, TX</v>
      </c>
      <c r="F675">
        <f>_xll.BDP("0782753P Muni","DUR_ADJ_MID")</f>
        <v>1.4555166707441221</v>
      </c>
      <c r="G675">
        <f>_xll.BDP("0782753P Muni","SPREAD_AT_ISSUANCE_TO_WORST")</f>
        <v>26.983765937470984</v>
      </c>
      <c r="H675" t="str">
        <f>_xll.BDP("0782753P Muni","ISSUE_DT")</f>
        <v>2/1/2017</v>
      </c>
      <c r="I675" t="str">
        <f>_xll.BDS("0782753P Muni","MUNI_PURPOSE_SCHED", "aggregate=y")</f>
        <v>PUBLIC IMPS. WATER UTILITY IMPS. SEWER IMPS.</v>
      </c>
      <c r="J675">
        <f>_xll.BDP("0782753P Muni","CPN")</f>
        <v>5</v>
      </c>
      <c r="K675" t="str">
        <f>_xll.BDP("0782753P Muni","MATURITY")</f>
        <v>2/15/2024</v>
      </c>
      <c r="L675">
        <v>1030000</v>
      </c>
      <c r="M675">
        <f>_xll.BDP("0782753P Muni","YIELD_ON_ISSUE_DATE")</f>
        <v>2.25</v>
      </c>
      <c r="N675">
        <f>_xll.BDP("0782753P Muni","YTW_SPREAD_TO_MATURITY_AT_ISSU")</f>
        <v>26.983765937470984</v>
      </c>
      <c r="O675" t="str">
        <f>_xll.BDP("0782753P Muni","BVAL_MID_YTM")</f>
        <v>#N/A Authorization</v>
      </c>
      <c r="P675" t="str">
        <f>_xll.BDP("0782753P Muni","MUNI_TAX_PROV")</f>
        <v>FED TAX-EXEMPT</v>
      </c>
      <c r="Q675" t="str">
        <f>_xll.BDP("0782753P Muni","MUNI_FED_TAX")</f>
        <v>N</v>
      </c>
      <c r="R675">
        <f>_xll.BDP("0782753P Muni","MUNI_MSRB_VOLUME")</f>
        <v>15000</v>
      </c>
      <c r="S675" t="str">
        <f>_xll.BDP("0782753P Muni","BB_COMPOSITE")</f>
        <v>#N/A N/A</v>
      </c>
      <c r="T675">
        <f>_xll.BDP("0782753P Muni","LQA_LIQUIDITY_SCORE")</f>
        <v>71</v>
      </c>
    </row>
    <row r="676" spans="1:20" x14ac:dyDescent="0.25">
      <c r="A676" t="str">
        <f>_xll.BDP("0782753Q Muni","ID_CUSIP")</f>
        <v>0782753Q5</v>
      </c>
      <c r="B676" t="s">
        <v>247</v>
      </c>
      <c r="C676" t="str">
        <f>_xll.BDP("0782753Q Muni","INSURANCE_STATUS")</f>
        <v>N</v>
      </c>
      <c r="D676" t="str">
        <f>_xll.BDP("0782753Q Muni","STATE_CODE")</f>
        <v>TX</v>
      </c>
      <c r="E676" t="str">
        <f>_xll.BDP("0782753Q Muni","COUNTY_LOCATION_ISSUER")</f>
        <v>Harris, TX</v>
      </c>
      <c r="F676">
        <f>_xll.BDP("0782753Q Muni","DUR_ADJ_MID")</f>
        <v>2.3484015155827649</v>
      </c>
      <c r="G676">
        <f>_xll.BDP("0782753Q Muni","SPREAD_AT_ISSUANCE_TO_WORST")</f>
        <v>25.605344531797503</v>
      </c>
      <c r="H676" t="str">
        <f>_xll.BDP("0782753Q Muni","ISSUE_DT")</f>
        <v>2/1/2017</v>
      </c>
      <c r="I676" t="str">
        <f>_xll.BDS("0782753Q Muni","MUNI_PURPOSE_SCHED", "aggregate=y")</f>
        <v>PUBLIC IMPS. WATER UTILITY IMPS. SEWER IMPS.</v>
      </c>
      <c r="J676">
        <f>_xll.BDP("0782753Q Muni","CPN")</f>
        <v>5</v>
      </c>
      <c r="K676" t="str">
        <f>_xll.BDP("0782753Q Muni","MATURITY")</f>
        <v>2/15/2025</v>
      </c>
      <c r="L676">
        <v>1085000</v>
      </c>
      <c r="M676">
        <f>_xll.BDP("0782753Q Muni","YIELD_ON_ISSUE_DATE")</f>
        <v>2.37</v>
      </c>
      <c r="N676">
        <f>_xll.BDP("0782753Q Muni","YTW_SPREAD_TO_MATURITY_AT_ISSU")</f>
        <v>25.605344531797503</v>
      </c>
      <c r="O676" t="str">
        <f>_xll.BDP("0782753Q Muni","BVAL_MID_YTM")</f>
        <v>#N/A Authorization</v>
      </c>
      <c r="P676" t="str">
        <f>_xll.BDP("0782753Q Muni","MUNI_TAX_PROV")</f>
        <v>FED TAX-EXEMPT</v>
      </c>
      <c r="Q676" t="str">
        <f>_xll.BDP("0782753Q Muni","MUNI_FED_TAX")</f>
        <v>N</v>
      </c>
      <c r="R676">
        <f>_xll.BDP("0782753Q Muni","MUNI_MSRB_VOLUME")</f>
        <v>100000</v>
      </c>
      <c r="S676" t="str">
        <f>_xll.BDP("0782753Q Muni","BB_COMPOSITE")</f>
        <v>#N/A N/A</v>
      </c>
      <c r="T676">
        <f>_xll.BDP("0782753Q Muni","LQA_LIQUIDITY_SCORE")</f>
        <v>59</v>
      </c>
    </row>
    <row r="677" spans="1:20" x14ac:dyDescent="0.25">
      <c r="A677" t="str">
        <f>_xll.BDP("0782753R Muni","ID_CUSIP")</f>
        <v>0782753R3</v>
      </c>
      <c r="B677" t="s">
        <v>247</v>
      </c>
      <c r="C677" t="str">
        <f>_xll.BDP("0782753R Muni","INSURANCE_STATUS")</f>
        <v>N</v>
      </c>
      <c r="D677" t="str">
        <f>_xll.BDP("0782753R Muni","STATE_CODE")</f>
        <v>TX</v>
      </c>
      <c r="E677" t="str">
        <f>_xll.BDP("0782753R Muni","COUNTY_LOCATION_ISSUER")</f>
        <v>Harris, TX</v>
      </c>
      <c r="F677">
        <f>_xll.BDP("0782753R Muni","DUR_ADJ_MID")</f>
        <v>3.20393765663494</v>
      </c>
      <c r="G677">
        <f>_xll.BDP("0782753R Muni","SPREAD_AT_ISSUANCE_TO_WORST")</f>
        <v>26.763767312808984</v>
      </c>
      <c r="H677" t="str">
        <f>_xll.BDP("0782753R Muni","ISSUE_DT")</f>
        <v>2/1/2017</v>
      </c>
      <c r="I677" t="str">
        <f>_xll.BDS("0782753R Muni","MUNI_PURPOSE_SCHED", "aggregate=y")</f>
        <v>PUBLIC IMPS. WATER UTILITY IMPS. SEWER IMPS.</v>
      </c>
      <c r="J677">
        <f>_xll.BDP("0782753R Muni","CPN")</f>
        <v>5</v>
      </c>
      <c r="K677" t="str">
        <f>_xll.BDP("0782753R Muni","MATURITY")</f>
        <v>2/15/2026</v>
      </c>
      <c r="L677">
        <v>1140000</v>
      </c>
      <c r="M677">
        <f>_xll.BDP("0782753R Muni","YIELD_ON_ISSUE_DATE")</f>
        <v>2.5</v>
      </c>
      <c r="N677">
        <f>_xll.BDP("0782753R Muni","YTW_SPREAD_TO_MATURITY_AT_ISSU")</f>
        <v>26.763767312808984</v>
      </c>
      <c r="O677" t="str">
        <f>_xll.BDP("0782753R Muni","BVAL_MID_YTM")</f>
        <v>#N/A Authorization</v>
      </c>
      <c r="P677" t="str">
        <f>_xll.BDP("0782753R Muni","MUNI_TAX_PROV")</f>
        <v>FED TAX-EXEMPT</v>
      </c>
      <c r="Q677" t="str">
        <f>_xll.BDP("0782753R Muni","MUNI_FED_TAX")</f>
        <v>N</v>
      </c>
      <c r="R677" t="str">
        <f>_xll.BDP("0782753R Muni","MUNI_MSRB_VOLUME")</f>
        <v>#N/A N/A</v>
      </c>
      <c r="S677" t="str">
        <f>_xll.BDP("0782753R Muni","BB_COMPOSITE")</f>
        <v>#N/A N/A</v>
      </c>
      <c r="T677">
        <f>_xll.BDP("0782753R Muni","LQA_LIQUIDITY_SCORE")</f>
        <v>49</v>
      </c>
    </row>
    <row r="678" spans="1:20" x14ac:dyDescent="0.25">
      <c r="A678" t="str">
        <f>_xll.BDP("0782754N Muni","ID_CUSIP")</f>
        <v>0782754N1</v>
      </c>
      <c r="B678" t="s">
        <v>247</v>
      </c>
      <c r="C678" t="str">
        <f>_xll.BDP("0782754N Muni","INSURANCE_STATUS")</f>
        <v>N</v>
      </c>
      <c r="D678" t="str">
        <f>_xll.BDP("0782754N Muni","STATE_CODE")</f>
        <v>TX</v>
      </c>
      <c r="E678" t="str">
        <f>_xll.BDP("0782754N Muni","COUNTY_LOCATION_ISSUER")</f>
        <v>Harris, TX</v>
      </c>
      <c r="F678">
        <f>_xll.BDP("0782754N Muni","DUR_ADJ_MID")</f>
        <v>0.52377064093767012</v>
      </c>
      <c r="G678">
        <f>_xll.BDP("0782754N Muni","SPREAD_AT_ISSUANCE_TO_WORST")</f>
        <v>10.404775204743189</v>
      </c>
      <c r="H678" t="str">
        <f>_xll.BDP("0782754N Muni","ISSUE_DT")</f>
        <v>9/1/2017</v>
      </c>
      <c r="I678" t="str">
        <f>_xll.BDS("0782754N Muni","MUNI_PURPOSE_SCHED", "aggregate=y")</f>
        <v>PUBLIC IMPS. WATER UTILITY IMPS. SEWER IMPS.</v>
      </c>
      <c r="J678">
        <f>_xll.BDP("0782754N Muni","CPN")</f>
        <v>4</v>
      </c>
      <c r="K678" t="str">
        <f>_xll.BDP("0782754N Muni","MATURITY")</f>
        <v>2/15/2023</v>
      </c>
      <c r="L678">
        <v>370000</v>
      </c>
      <c r="M678">
        <f>_xll.BDP("0782754N Muni","YIELD_ON_ISSUE_DATE")</f>
        <v>1.35</v>
      </c>
      <c r="N678">
        <f>_xll.BDP("0782754N Muni","YTW_SPREAD_TO_MATURITY_AT_ISSU")</f>
        <v>10.404775204743189</v>
      </c>
      <c r="O678" t="str">
        <f>_xll.BDP("0782754N Muni","BVAL_MID_YTM")</f>
        <v>#N/A Authorization</v>
      </c>
      <c r="P678" t="str">
        <f>_xll.BDP("0782754N Muni","MUNI_TAX_PROV")</f>
        <v>FED TAX-EXEMPT</v>
      </c>
      <c r="Q678" t="str">
        <f>_xll.BDP("0782754N Muni","MUNI_FED_TAX")</f>
        <v>N</v>
      </c>
      <c r="R678">
        <f>_xll.BDP("0782754N Muni","MUNI_MSRB_VOLUME")</f>
        <v>700000</v>
      </c>
      <c r="S678" t="str">
        <f>_xll.BDP("0782754N Muni","BB_COMPOSITE")</f>
        <v>#N/A N/A</v>
      </c>
      <c r="T678">
        <f>_xll.BDP("0782754N Muni","LQA_LIQUIDITY_SCORE")</f>
        <v>82</v>
      </c>
    </row>
    <row r="679" spans="1:20" x14ac:dyDescent="0.25">
      <c r="A679" t="str">
        <f>_xll.BDP("0782754P Muni","ID_CUSIP")</f>
        <v>0782754P6</v>
      </c>
      <c r="B679" t="s">
        <v>247</v>
      </c>
      <c r="C679" t="str">
        <f>_xll.BDP("0782754P Muni","INSURANCE_STATUS")</f>
        <v>N</v>
      </c>
      <c r="D679" t="str">
        <f>_xll.BDP("0782754P Muni","STATE_CODE")</f>
        <v>TX</v>
      </c>
      <c r="E679" t="str">
        <f>_xll.BDP("0782754P Muni","COUNTY_LOCATION_ISSUER")</f>
        <v>Harris, TX</v>
      </c>
      <c r="F679">
        <f>_xll.BDP("0782754P Muni","DUR_ADJ_MID")</f>
        <v>1.4682505717813958</v>
      </c>
      <c r="G679">
        <f>_xll.BDP("0782754P Muni","SPREAD_AT_ISSUANCE_TO_WORST")</f>
        <v>10.631827512445957</v>
      </c>
      <c r="H679" t="str">
        <f>_xll.BDP("0782754P Muni","ISSUE_DT")</f>
        <v>9/1/2017</v>
      </c>
      <c r="I679" t="str">
        <f>_xll.BDS("0782754P Muni","MUNI_PURPOSE_SCHED", "aggregate=y")</f>
        <v>PUBLIC IMPS. WATER UTILITY IMPS. SEWER IMPS.</v>
      </c>
      <c r="J679">
        <f>_xll.BDP("0782754P Muni","CPN")</f>
        <v>4</v>
      </c>
      <c r="K679" t="str">
        <f>_xll.BDP("0782754P Muni","MATURITY")</f>
        <v>2/15/2024</v>
      </c>
      <c r="L679">
        <v>385000</v>
      </c>
      <c r="M679">
        <f>_xll.BDP("0782754P Muni","YIELD_ON_ISSUE_DATE")</f>
        <v>1.5</v>
      </c>
      <c r="N679">
        <f>_xll.BDP("0782754P Muni","YTW_SPREAD_TO_MATURITY_AT_ISSU")</f>
        <v>10.631827512445957</v>
      </c>
      <c r="O679" t="str">
        <f>_xll.BDP("0782754P Muni","BVAL_MID_YTM")</f>
        <v>#N/A Authorization</v>
      </c>
      <c r="P679" t="str">
        <f>_xll.BDP("0782754P Muni","MUNI_TAX_PROV")</f>
        <v>FED TAX-EXEMPT</v>
      </c>
      <c r="Q679" t="str">
        <f>_xll.BDP("0782754P Muni","MUNI_FED_TAX")</f>
        <v>N</v>
      </c>
      <c r="R679" t="str">
        <f>_xll.BDP("0782754P Muni","MUNI_MSRB_VOLUME")</f>
        <v>#N/A N/A</v>
      </c>
      <c r="S679" t="str">
        <f>_xll.BDP("0782754P Muni","BB_COMPOSITE")</f>
        <v>#N/A N/A</v>
      </c>
      <c r="T679">
        <f>_xll.BDP("0782754P Muni","LQA_LIQUIDITY_SCORE")</f>
        <v>65</v>
      </c>
    </row>
    <row r="680" spans="1:20" x14ac:dyDescent="0.25">
      <c r="A680" t="str">
        <f>_xll.BDP("0782754Q Muni","ID_CUSIP")</f>
        <v>0782754Q4</v>
      </c>
      <c r="B680" t="s">
        <v>247</v>
      </c>
      <c r="C680" t="str">
        <f>_xll.BDP("0782754Q Muni","INSURANCE_STATUS")</f>
        <v>N</v>
      </c>
      <c r="D680" t="str">
        <f>_xll.BDP("0782754Q Muni","STATE_CODE")</f>
        <v>TX</v>
      </c>
      <c r="E680" t="str">
        <f>_xll.BDP("0782754Q Muni","COUNTY_LOCATION_ISSUER")</f>
        <v>Harris, TX</v>
      </c>
      <c r="F680">
        <f>_xll.BDP("0782754Q Muni","DUR_ADJ_MID")</f>
        <v>2.378035029798343</v>
      </c>
      <c r="G680">
        <f>_xll.BDP("0782754Q Muni","SPREAD_AT_ISSUANCE_TO_WORST")</f>
        <v>10.549500456261196</v>
      </c>
      <c r="H680" t="str">
        <f>_xll.BDP("0782754Q Muni","ISSUE_DT")</f>
        <v>9/1/2017</v>
      </c>
      <c r="I680" t="str">
        <f>_xll.BDS("0782754Q Muni","MUNI_PURPOSE_SCHED", "aggregate=y")</f>
        <v>PUBLIC IMPS. WATER UTILITY IMPS. SEWER IMPS.</v>
      </c>
      <c r="J680">
        <f>_xll.BDP("0782754Q Muni","CPN")</f>
        <v>4</v>
      </c>
      <c r="K680" t="str">
        <f>_xll.BDP("0782754Q Muni","MATURITY")</f>
        <v>2/15/2025</v>
      </c>
      <c r="L680">
        <v>405000</v>
      </c>
      <c r="M680">
        <f>_xll.BDP("0782754Q Muni","YIELD_ON_ISSUE_DATE")</f>
        <v>1.6500000000000001</v>
      </c>
      <c r="N680">
        <f>_xll.BDP("0782754Q Muni","YTW_SPREAD_TO_MATURITY_AT_ISSU")</f>
        <v>10.549500456261196</v>
      </c>
      <c r="O680" t="str">
        <f>_xll.BDP("0782754Q Muni","BVAL_MID_YTM")</f>
        <v>#N/A Authorization</v>
      </c>
      <c r="P680" t="str">
        <f>_xll.BDP("0782754Q Muni","MUNI_TAX_PROV")</f>
        <v>FED TAX-EXEMPT</v>
      </c>
      <c r="Q680" t="str">
        <f>_xll.BDP("0782754Q Muni","MUNI_FED_TAX")</f>
        <v>N</v>
      </c>
      <c r="R680" t="str">
        <f>_xll.BDP("0782754Q Muni","MUNI_MSRB_VOLUME")</f>
        <v>#N/A N/A</v>
      </c>
      <c r="S680" t="str">
        <f>_xll.BDP("0782754Q Muni","BB_COMPOSITE")</f>
        <v>#N/A N/A</v>
      </c>
      <c r="T680">
        <f>_xll.BDP("0782754Q Muni","LQA_LIQUIDITY_SCORE")</f>
        <v>52</v>
      </c>
    </row>
    <row r="681" spans="1:20" x14ac:dyDescent="0.25">
      <c r="A681" t="str">
        <f>_xll.BDP("0782754R Muni","ID_CUSIP")</f>
        <v>0782754R2</v>
      </c>
      <c r="B681" t="s">
        <v>247</v>
      </c>
      <c r="C681" t="str">
        <f>_xll.BDP("0782754R Muni","INSURANCE_STATUS")</f>
        <v>N</v>
      </c>
      <c r="D681" t="str">
        <f>_xll.BDP("0782754R Muni","STATE_CODE")</f>
        <v>TX</v>
      </c>
      <c r="E681" t="str">
        <f>_xll.BDP("0782754R Muni","COUNTY_LOCATION_ISSUER")</f>
        <v>Harris, TX</v>
      </c>
      <c r="F681">
        <f>_xll.BDP("0782754R Muni","DUR_ADJ_MID")</f>
        <v>3.2555629286417078</v>
      </c>
      <c r="G681">
        <f>_xll.BDP("0782754R Muni","SPREAD_AT_ISSUANCE_TO_WORST")</f>
        <v>11.192643081841425</v>
      </c>
      <c r="H681" t="str">
        <f>_xll.BDP("0782754R Muni","ISSUE_DT")</f>
        <v>9/1/2017</v>
      </c>
      <c r="I681" t="str">
        <f>_xll.BDS("0782754R Muni","MUNI_PURPOSE_SCHED", "aggregate=y")</f>
        <v>PUBLIC IMPS. WATER UTILITY IMPS. SEWER IMPS.</v>
      </c>
      <c r="J681">
        <f>_xll.BDP("0782754R Muni","CPN")</f>
        <v>4</v>
      </c>
      <c r="K681" t="str">
        <f>_xll.BDP("0782754R Muni","MATURITY")</f>
        <v>2/15/2026</v>
      </c>
      <c r="L681">
        <v>420000</v>
      </c>
      <c r="M681">
        <f>_xll.BDP("0782754R Muni","YIELD_ON_ISSUE_DATE")</f>
        <v>1.8</v>
      </c>
      <c r="N681">
        <f>_xll.BDP("0782754R Muni","YTW_SPREAD_TO_MATURITY_AT_ISSU")</f>
        <v>11.192643081841425</v>
      </c>
      <c r="O681" t="str">
        <f>_xll.BDP("0782754R Muni","BVAL_MID_YTM")</f>
        <v>#N/A Authorization</v>
      </c>
      <c r="P681" t="str">
        <f>_xll.BDP("0782754R Muni","MUNI_TAX_PROV")</f>
        <v>FED TAX-EXEMPT</v>
      </c>
      <c r="Q681" t="str">
        <f>_xll.BDP("0782754R Muni","MUNI_FED_TAX")</f>
        <v>N</v>
      </c>
      <c r="R681" t="str">
        <f>_xll.BDP("0782754R Muni","MUNI_MSRB_VOLUME")</f>
        <v>#N/A N/A</v>
      </c>
      <c r="S681" t="str">
        <f>_xll.BDP("0782754R Muni","BB_COMPOSITE")</f>
        <v>#N/A N/A</v>
      </c>
      <c r="T681">
        <f>_xll.BDP("0782754R Muni","LQA_LIQUIDITY_SCORE")</f>
        <v>41</v>
      </c>
    </row>
    <row r="682" spans="1:20" x14ac:dyDescent="0.25">
      <c r="A682" t="str">
        <f>_xll.BDP("150591GX Muni","ID_CUSIP")</f>
        <v>150591GX7</v>
      </c>
      <c r="B682" t="s">
        <v>248</v>
      </c>
      <c r="C682" t="str">
        <f>_xll.BDP("150591GX Muni","INSURANCE_STATUS")</f>
        <v>N</v>
      </c>
      <c r="D682" t="str">
        <f>_xll.BDP("150591GX Muni","STATE_CODE")</f>
        <v>IA</v>
      </c>
      <c r="E682" t="str">
        <f>_xll.BDP("150591GX Muni","COUNTY_LOCATION_ISSUER")</f>
        <v>Linn, IA</v>
      </c>
      <c r="F682">
        <f>_xll.BDP("150591GX Muni","DUR_ADJ_MID")</f>
        <v>0.81263920979079352</v>
      </c>
      <c r="G682">
        <f>_xll.BDP("150591GX Muni","SPREAD_AT_ISSUANCE_TO_WORST")</f>
        <v>17.022354646530189</v>
      </c>
      <c r="H682" t="str">
        <f>_xll.BDP("150591GX Muni","ISSUE_DT")</f>
        <v>6/15/2017</v>
      </c>
      <c r="I682" t="str">
        <f>_xll.BDS("150591GX Muni","MUNI_PURPOSE_SCHED", "aggregate=y")</f>
        <v>WATER UTILITY IMPS. CURRENT REFUNDING</v>
      </c>
      <c r="J682">
        <f>_xll.BDP("150591GX Muni","CPN")</f>
        <v>5</v>
      </c>
      <c r="K682" t="str">
        <f>_xll.BDP("150591GX Muni","MATURITY")</f>
        <v>6/1/2023</v>
      </c>
      <c r="L682">
        <v>675000</v>
      </c>
      <c r="M682">
        <f>_xll.BDP("150591GX Muni","YIELD_ON_ISSUE_DATE")</f>
        <v>1.72</v>
      </c>
      <c r="N682">
        <f>_xll.BDP("150591GX Muni","YTW_SPREAD_TO_MATURITY_AT_ISSU")</f>
        <v>17.022354646530189</v>
      </c>
      <c r="O682" t="str">
        <f>_xll.BDP("150591GX Muni","BVAL_MID_YTM")</f>
        <v>#N/A Authorization</v>
      </c>
      <c r="P682" t="str">
        <f>_xll.BDP("150591GX Muni","MUNI_TAX_PROV")</f>
        <v>FED TAX-EXEMPT/ST TAXABLE</v>
      </c>
      <c r="Q682" t="str">
        <f>_xll.BDP("150591GX Muni","MUNI_FED_TAX")</f>
        <v>N</v>
      </c>
      <c r="R682">
        <f>_xll.BDP("150591GX Muni","MUNI_MSRB_VOLUME")</f>
        <v>100000</v>
      </c>
      <c r="S682" t="str">
        <f>_xll.BDP("150591GX Muni","BB_COMPOSITE")</f>
        <v>#N/A N/A</v>
      </c>
      <c r="T682">
        <f>_xll.BDP("150591GX Muni","LQA_LIQUIDITY_SCORE")</f>
        <v>94</v>
      </c>
    </row>
    <row r="683" spans="1:20" x14ac:dyDescent="0.25">
      <c r="A683" t="str">
        <f>_xll.BDP("150591GY Muni","ID_CUSIP")</f>
        <v>150591GY5</v>
      </c>
      <c r="B683" t="s">
        <v>248</v>
      </c>
      <c r="C683" t="str">
        <f>_xll.BDP("150591GY Muni","INSURANCE_STATUS")</f>
        <v>N</v>
      </c>
      <c r="D683" t="str">
        <f>_xll.BDP("150591GY Muni","STATE_CODE")</f>
        <v>IA</v>
      </c>
      <c r="E683" t="str">
        <f>_xll.BDP("150591GY Muni","COUNTY_LOCATION_ISSUER")</f>
        <v>Linn, IA</v>
      </c>
      <c r="F683">
        <f>_xll.BDP("150591GY Muni","DUR_ADJ_MID")</f>
        <v>1.7452714054222707</v>
      </c>
      <c r="G683">
        <f>_xll.BDP("150591GY Muni","SPREAD_AT_ISSUANCE_TO_WORST")</f>
        <v>16.732794710786123</v>
      </c>
      <c r="H683" t="str">
        <f>_xll.BDP("150591GY Muni","ISSUE_DT")</f>
        <v>6/15/2017</v>
      </c>
      <c r="I683" t="str">
        <f>_xll.BDS("150591GY Muni","MUNI_PURPOSE_SCHED", "aggregate=y")</f>
        <v>WATER UTILITY IMPS. CURRENT REFUNDING</v>
      </c>
      <c r="J683">
        <f>_xll.BDP("150591GY Muni","CPN")</f>
        <v>5</v>
      </c>
      <c r="K683" t="str">
        <f>_xll.BDP("150591GY Muni","MATURITY")</f>
        <v>6/1/2024</v>
      </c>
      <c r="L683">
        <v>715000</v>
      </c>
      <c r="M683">
        <f>_xll.BDP("150591GY Muni","YIELD_ON_ISSUE_DATE")</f>
        <v>1.8800000000000001</v>
      </c>
      <c r="N683">
        <f>_xll.BDP("150591GY Muni","YTW_SPREAD_TO_MATURITY_AT_ISSU")</f>
        <v>16.732794710786123</v>
      </c>
      <c r="O683" t="str">
        <f>_xll.BDP("150591GY Muni","BVAL_MID_YTM")</f>
        <v>#N/A Authorization</v>
      </c>
      <c r="P683" t="str">
        <f>_xll.BDP("150591GY Muni","MUNI_TAX_PROV")</f>
        <v>FED TAX-EXEMPT/ST TAXABLE</v>
      </c>
      <c r="Q683" t="str">
        <f>_xll.BDP("150591GY Muni","MUNI_FED_TAX")</f>
        <v>N</v>
      </c>
      <c r="R683" t="str">
        <f>_xll.BDP("150591GY Muni","MUNI_MSRB_VOLUME")</f>
        <v>#N/A N/A</v>
      </c>
      <c r="S683" t="str">
        <f>_xll.BDP("150591GY Muni","BB_COMPOSITE")</f>
        <v>#N/A N/A</v>
      </c>
      <c r="T683">
        <f>_xll.BDP("150591GY Muni","LQA_LIQUIDITY_SCORE")</f>
        <v>88</v>
      </c>
    </row>
    <row r="684" spans="1:20" x14ac:dyDescent="0.25">
      <c r="A684" t="str">
        <f>_xll.BDP("150591GZ Muni","ID_CUSIP")</f>
        <v>150591GZ2</v>
      </c>
      <c r="B684" t="s">
        <v>248</v>
      </c>
      <c r="C684" t="str">
        <f>_xll.BDP("150591GZ Muni","INSURANCE_STATUS")</f>
        <v>N</v>
      </c>
      <c r="D684" t="str">
        <f>_xll.BDP("150591GZ Muni","STATE_CODE")</f>
        <v>IA</v>
      </c>
      <c r="E684" t="str">
        <f>_xll.BDP("150591GZ Muni","COUNTY_LOCATION_ISSUER")</f>
        <v>Linn, IA</v>
      </c>
      <c r="F684">
        <f>_xll.BDP("150591GZ Muni","DUR_ADJ_MID")</f>
        <v>2.6367812709606473</v>
      </c>
      <c r="G684">
        <f>_xll.BDP("150591GZ Muni","SPREAD_AT_ISSUANCE_TO_WORST")</f>
        <v>24.628549652165411</v>
      </c>
      <c r="H684" t="str">
        <f>_xll.BDP("150591GZ Muni","ISSUE_DT")</f>
        <v>6/15/2017</v>
      </c>
      <c r="I684" t="str">
        <f>_xll.BDS("150591GZ Muni","MUNI_PURPOSE_SCHED", "aggregate=y")</f>
        <v>WATER UTILITY IMPS. CURRENT REFUNDING</v>
      </c>
      <c r="J684">
        <f>_xll.BDP("150591GZ Muni","CPN")</f>
        <v>5</v>
      </c>
      <c r="K684" t="str">
        <f>_xll.BDP("150591GZ Muni","MATURITY")</f>
        <v>6/1/2025</v>
      </c>
      <c r="L684">
        <v>755000</v>
      </c>
      <c r="M684">
        <f>_xll.BDP("150591GZ Muni","YIELD_ON_ISSUE_DATE")</f>
        <v>2.12</v>
      </c>
      <c r="N684">
        <f>_xll.BDP("150591GZ Muni","YTW_SPREAD_TO_MATURITY_AT_ISSU")</f>
        <v>24.628549652165411</v>
      </c>
      <c r="O684" t="str">
        <f>_xll.BDP("150591GZ Muni","BVAL_MID_YTM")</f>
        <v>#N/A Authorization</v>
      </c>
      <c r="P684" t="str">
        <f>_xll.BDP("150591GZ Muni","MUNI_TAX_PROV")</f>
        <v>FED TAX-EXEMPT/ST TAXABLE</v>
      </c>
      <c r="Q684" t="str">
        <f>_xll.BDP("150591GZ Muni","MUNI_FED_TAX")</f>
        <v>N</v>
      </c>
      <c r="R684">
        <f>_xll.BDP("150591GZ Muni","MUNI_MSRB_VOLUME")</f>
        <v>100000</v>
      </c>
      <c r="S684" t="str">
        <f>_xll.BDP("150591GZ Muni","BB_COMPOSITE")</f>
        <v>#N/A N/A</v>
      </c>
      <c r="T684">
        <f>_xll.BDP("150591GZ Muni","LQA_LIQUIDITY_SCORE")</f>
        <v>80</v>
      </c>
    </row>
    <row r="685" spans="1:20" x14ac:dyDescent="0.25">
      <c r="A685" t="str">
        <f>_xll.BDP("080375DG Muni","ID_CUSIP")</f>
        <v>080375DG0</v>
      </c>
      <c r="B685" t="s">
        <v>158</v>
      </c>
      <c r="C685" t="str">
        <f>_xll.BDP("080375DG Muni","INSURANCE_STATUS")</f>
        <v>Y</v>
      </c>
      <c r="D685" t="str">
        <f>_xll.BDP("080375DG Muni","STATE_CODE")</f>
        <v>TX</v>
      </c>
      <c r="E685" t="str">
        <f>_xll.BDP("080375DG Muni","COUNTY_LOCATION_ISSUER")</f>
        <v>Dallas, TX</v>
      </c>
      <c r="F685">
        <f>_xll.BDP("080375DG Muni","DUR_ADJ_MID")</f>
        <v>2.4157137074382469</v>
      </c>
      <c r="G685">
        <f>_xll.BDP("080375DG Muni","SPREAD_AT_ISSUANCE_TO_WORST")</f>
        <v>63.331235508619763</v>
      </c>
      <c r="H685" t="str">
        <f>_xll.BDP("080375DG Muni","ISSUE_DT")</f>
        <v>9/1/2017</v>
      </c>
      <c r="I685" t="str">
        <f>_xll.BDS("080375DG Muni","MUNI_PURPOSE_SCHED", "aggregate=y")</f>
        <v>REFUNDING NOTES WATER UTILITY IMPS. SEWER IMPS.</v>
      </c>
      <c r="J685">
        <f>_xll.BDP("080375DG Muni","CPN")</f>
        <v>4</v>
      </c>
      <c r="K685" t="str">
        <f>_xll.BDP("080375DG Muni","MATURITY")</f>
        <v>3/1/2025</v>
      </c>
      <c r="L685">
        <v>185000</v>
      </c>
      <c r="M685">
        <f>_xll.BDP("080375DG Muni","YIELD_ON_ISSUE_DATE")</f>
        <v>2.15</v>
      </c>
      <c r="N685">
        <f>_xll.BDP("080375DG Muni","YTW_SPREAD_TO_MATURITY_AT_ISSU")</f>
        <v>63.331235508619763</v>
      </c>
      <c r="O685" t="str">
        <f>_xll.BDP("080375DG Muni","BVAL_MID_YTM")</f>
        <v>#N/A Authorization</v>
      </c>
      <c r="P685" t="str">
        <f>_xll.BDP("080375DG Muni","MUNI_TAX_PROV")</f>
        <v>FED TAX-EXEMPT</v>
      </c>
      <c r="Q685" t="str">
        <f>_xll.BDP("080375DG Muni","MUNI_FED_TAX")</f>
        <v>N</v>
      </c>
      <c r="R685" t="str">
        <f>_xll.BDP("080375DG Muni","MUNI_MSRB_VOLUME")</f>
        <v>#N/A N/A</v>
      </c>
      <c r="S685" t="str">
        <f>_xll.BDP("080375DG Muni","BB_COMPOSITE")</f>
        <v>A+</v>
      </c>
      <c r="T685">
        <f>_xll.BDP("080375DG Muni","LQA_LIQUIDITY_SCORE")</f>
        <v>63</v>
      </c>
    </row>
    <row r="686" spans="1:20" x14ac:dyDescent="0.25">
      <c r="A686" t="str">
        <f>_xll.BDP("03672VAG Muni","ID_CUSIP")</f>
        <v>03672VAG7</v>
      </c>
      <c r="B686" t="s">
        <v>249</v>
      </c>
      <c r="C686" t="str">
        <f>_xll.BDP("03672VAG Muni","INSURANCE_STATUS")</f>
        <v>N</v>
      </c>
      <c r="D686" t="str">
        <f>_xll.BDP("03672VAG Muni","STATE_CODE")</f>
        <v>CA</v>
      </c>
      <c r="E686" t="str">
        <f>_xll.BDP("03672VAG Muni","COUNTY_LOCATION_ISSUER")</f>
        <v>#N/A Field Not Applicable</v>
      </c>
      <c r="F686">
        <f>_xll.BDP("03672VAG Muni","DUR_ADJ_MID")</f>
        <v>1.7553658034425585</v>
      </c>
      <c r="G686">
        <f>_xll.BDP("03672VAG Muni","SPREAD_AT_ISSUANCE_TO_WORST")</f>
        <v>96.313815371428561</v>
      </c>
      <c r="H686" t="str">
        <f>_xll.BDP("03672VAG Muni","ISSUE_DT")</f>
        <v>1/26/2017</v>
      </c>
      <c r="I686" t="str">
        <f>_xll.BDS("03672VAG Muni","MUNI_PURPOSE_SCHED", "aggregate=y")</f>
        <v>WATER UTILITY IMPS. GREEN PURPOSE</v>
      </c>
      <c r="J686">
        <f>_xll.BDP("03672VAG Muni","CPN")</f>
        <v>3.1760000000000002</v>
      </c>
      <c r="K686" t="str">
        <f>_xll.BDP("03672VAG Muni","MATURITY")</f>
        <v>6/1/2024</v>
      </c>
      <c r="L686">
        <v>695000</v>
      </c>
      <c r="M686">
        <f>_xll.BDP("03672VAG Muni","YIELD_ON_ISSUE_DATE")</f>
        <v>3.1760000000000002</v>
      </c>
      <c r="N686">
        <f>_xll.BDP("03672VAG Muni","YTW_SPREAD_TO_MATURITY_AT_ISSU")</f>
        <v>96.313815371428561</v>
      </c>
      <c r="O686" t="str">
        <f>_xll.BDP("03672VAG Muni","BVAL_MID_YTM")</f>
        <v>#N/A Authorization</v>
      </c>
      <c r="P686" t="str">
        <f>_xll.BDP("03672VAG Muni","MUNI_TAX_PROV")</f>
        <v>FED TAXABLE/ST TAX-EXEMPT</v>
      </c>
      <c r="Q686" t="str">
        <f>_xll.BDP("03672VAG Muni","MUNI_FED_TAX")</f>
        <v>Y</v>
      </c>
      <c r="R686" t="str">
        <f>_xll.BDP("03672VAG Muni","MUNI_MSRB_VOLUME")</f>
        <v>#N/A N/A</v>
      </c>
      <c r="S686" t="str">
        <f>_xll.BDP("03672VAG Muni","BB_COMPOSITE")</f>
        <v>AA-</v>
      </c>
      <c r="T686">
        <f>_xll.BDP("03672VAG Muni","LQA_LIQUIDITY_SCORE")</f>
        <v>71</v>
      </c>
    </row>
    <row r="687" spans="1:20" x14ac:dyDescent="0.25">
      <c r="A687" t="str">
        <f>_xll.BDP("03672VAH Muni","ID_CUSIP")</f>
        <v>03672VAH5</v>
      </c>
      <c r="B687" t="s">
        <v>249</v>
      </c>
      <c r="C687" t="str">
        <f>_xll.BDP("03672VAH Muni","INSURANCE_STATUS")</f>
        <v>N</v>
      </c>
      <c r="D687" t="str">
        <f>_xll.BDP("03672VAH Muni","STATE_CODE")</f>
        <v>CA</v>
      </c>
      <c r="E687" t="str">
        <f>_xll.BDP("03672VAH Muni","COUNTY_LOCATION_ISSUER")</f>
        <v>#N/A Field Not Applicable</v>
      </c>
      <c r="F687">
        <f>_xll.BDP("03672VAH Muni","DUR_ADJ_MID")</f>
        <v>2.6665204179249478</v>
      </c>
      <c r="G687">
        <f>_xll.BDP("03672VAH Muni","SPREAD_AT_ISSUANCE_TO_WORST")</f>
        <v>103.79565579999999</v>
      </c>
      <c r="H687" t="str">
        <f>_xll.BDP("03672VAH Muni","ISSUE_DT")</f>
        <v>1/26/2017</v>
      </c>
      <c r="I687" t="str">
        <f>_xll.BDS("03672VAH Muni","MUNI_PURPOSE_SCHED", "aggregate=y")</f>
        <v>WATER UTILITY IMPS. GREEN PURPOSE</v>
      </c>
      <c r="J687">
        <f>_xll.BDP("03672VAH Muni","CPN")</f>
        <v>3.3159999999999998</v>
      </c>
      <c r="K687" t="str">
        <f>_xll.BDP("03672VAH Muni","MATURITY")</f>
        <v>6/1/2025</v>
      </c>
      <c r="L687">
        <v>715000</v>
      </c>
      <c r="M687">
        <f>_xll.BDP("03672VAH Muni","YIELD_ON_ISSUE_DATE")</f>
        <v>3.3160000000000003</v>
      </c>
      <c r="N687">
        <f>_xll.BDP("03672VAH Muni","YTW_SPREAD_TO_MATURITY_AT_ISSU")</f>
        <v>103.79565579999999</v>
      </c>
      <c r="O687" t="str">
        <f>_xll.BDP("03672VAH Muni","BVAL_MID_YTM")</f>
        <v>#N/A Authorization</v>
      </c>
      <c r="P687" t="str">
        <f>_xll.BDP("03672VAH Muni","MUNI_TAX_PROV")</f>
        <v>FED TAXABLE/ST TAX-EXEMPT</v>
      </c>
      <c r="Q687" t="str">
        <f>_xll.BDP("03672VAH Muni","MUNI_FED_TAX")</f>
        <v>Y</v>
      </c>
      <c r="R687" t="str">
        <f>_xll.BDP("03672VAH Muni","MUNI_MSRB_VOLUME")</f>
        <v>#N/A N/A</v>
      </c>
      <c r="S687" t="str">
        <f>_xll.BDP("03672VAH Muni","BB_COMPOSITE")</f>
        <v>AA-</v>
      </c>
      <c r="T687">
        <f>_xll.BDP("03672VAH Muni","LQA_LIQUIDITY_SCORE")</f>
        <v>60</v>
      </c>
    </row>
    <row r="688" spans="1:20" x14ac:dyDescent="0.25">
      <c r="A688" t="str">
        <f>_xll.BDP("041042C8 Muni","ID_CUSIP")</f>
        <v>041042C83</v>
      </c>
      <c r="B688" t="s">
        <v>119</v>
      </c>
      <c r="C688" t="str">
        <f>_xll.BDP("041042C8 Muni","INSURANCE_STATUS")</f>
        <v>N</v>
      </c>
      <c r="D688" t="str">
        <f>_xll.BDP("041042C8 Muni","STATE_CODE")</f>
        <v>AR</v>
      </c>
      <c r="E688" t="str">
        <f>_xll.BDP("041042C8 Muni","COUNTY_LOCATION_ISSUER")</f>
        <v>Pulaski, AR</v>
      </c>
      <c r="F688">
        <f>_xll.BDP("041042C8 Muni","DUR_ADJ_MID")</f>
        <v>3.6747657229528294</v>
      </c>
      <c r="G688">
        <f>_xll.BDP("041042C8 Muni","SPREAD_AT_ISSUANCE_TO_WORST")</f>
        <v>44.993310567567548</v>
      </c>
      <c r="H688" t="str">
        <f>_xll.BDP("041042C8 Muni","ISSUE_DT")</f>
        <v>6/8/2017</v>
      </c>
      <c r="I688" t="str">
        <f>_xll.BDS("041042C8 Muni","MUNI_PURPOSE_SCHED", "aggregate=y")</f>
        <v>GREEN PURPOSE WATER UTILITY IMPS. SEWER IMPS.</v>
      </c>
      <c r="J688">
        <f>_xll.BDP("041042C8 Muni","CPN")</f>
        <v>2.65</v>
      </c>
      <c r="K688" t="str">
        <f>_xll.BDP("041042C8 Muni","MATURITY")</f>
        <v>7/1/2026</v>
      </c>
      <c r="L688">
        <v>2160000</v>
      </c>
      <c r="M688">
        <f>_xll.BDP("041042C8 Muni","YIELD_ON_ISSUE_DATE")</f>
        <v>2.65</v>
      </c>
      <c r="N688">
        <f>_xll.BDP("041042C8 Muni","YTW_SPREAD_TO_MATURITY_AT_ISSU")</f>
        <v>44.993310567567548</v>
      </c>
      <c r="O688" t="str">
        <f>_xll.BDP("041042C8 Muni","BVAL_MID_YTM")</f>
        <v>#N/A Authorization</v>
      </c>
      <c r="P688" t="str">
        <f>_xll.BDP("041042C8 Muni","MUNI_TAX_PROV")</f>
        <v>FED TAXABLE/ST TAX-EXEMPT</v>
      </c>
      <c r="Q688" t="str">
        <f>_xll.BDP("041042C8 Muni","MUNI_FED_TAX")</f>
        <v>Y</v>
      </c>
      <c r="R688" t="str">
        <f>_xll.BDP("041042C8 Muni","MUNI_MSRB_VOLUME")</f>
        <v>#N/A N/A</v>
      </c>
      <c r="S688" t="str">
        <f>_xll.BDP("041042C8 Muni","BB_COMPOSITE")</f>
        <v>AA</v>
      </c>
      <c r="T688">
        <f>_xll.BDP("041042C8 Muni","LQA_LIQUIDITY_SCORE")</f>
        <v>59</v>
      </c>
    </row>
    <row r="689" spans="1:20" x14ac:dyDescent="0.25">
      <c r="A689" t="str">
        <f>_xll.BDP("085667AF Muni","ID_CUSIP")</f>
        <v>085667AF0</v>
      </c>
      <c r="B689" t="s">
        <v>250</v>
      </c>
      <c r="C689" t="str">
        <f>_xll.BDP("085667AF Muni","INSURANCE_STATUS")</f>
        <v>N</v>
      </c>
      <c r="D689" t="str">
        <f>_xll.BDP("085667AF Muni","STATE_CODE")</f>
        <v>MI</v>
      </c>
      <c r="E689" t="str">
        <f>_xll.BDP("085667AF Muni","COUNTY_LOCATION_ISSUER")</f>
        <v>Berrien, MI</v>
      </c>
      <c r="F689">
        <f>_xll.BDP("085667AF Muni","DUR_ADJ_MID")</f>
        <v>0.57183283669432194</v>
      </c>
      <c r="G689">
        <f>_xll.BDP("085667AF Muni","SPREAD_AT_ISSUANCE_TO_WORST")</f>
        <v>39.544840136754168</v>
      </c>
      <c r="H689" t="str">
        <f>_xll.BDP("085667AF Muni","ISSUE_DT")</f>
        <v>5/1/2017</v>
      </c>
      <c r="I689" t="str">
        <f>_xll.BDS("085667AF Muni","MUNI_PURPOSE_SCHED", "aggregate=y")</f>
        <v>WATER UTILITY IMPS.</v>
      </c>
      <c r="J689">
        <f>_xll.BDP("085667AF Muni","CPN")</f>
        <v>2</v>
      </c>
      <c r="K689" t="str">
        <f>_xll.BDP("085667AF Muni","MATURITY")</f>
        <v>3/1/2023</v>
      </c>
      <c r="L689">
        <v>175000</v>
      </c>
      <c r="M689">
        <f>_xll.BDP("085667AF Muni","YIELD_ON_ISSUE_DATE")</f>
        <v>1.9000000000000001</v>
      </c>
      <c r="N689">
        <f>_xll.BDP("085667AF Muni","YTW_SPREAD_TO_MATURITY_AT_ISSU")</f>
        <v>39.544840136754168</v>
      </c>
      <c r="O689" t="str">
        <f>_xll.BDP("085667AF Muni","BVAL_MID_YTM")</f>
        <v>#N/A Authorization</v>
      </c>
      <c r="P689" t="str">
        <f>_xll.BDP("085667AF Muni","MUNI_TAX_PROV")</f>
        <v>FED BQ/ST TAX-EXEMPT</v>
      </c>
      <c r="Q689" t="str">
        <f>_xll.BDP("085667AF Muni","MUNI_FED_TAX")</f>
        <v>N</v>
      </c>
      <c r="R689" t="str">
        <f>_xll.BDP("085667AF Muni","MUNI_MSRB_VOLUME")</f>
        <v>#N/A N/A</v>
      </c>
      <c r="S689" t="str">
        <f>_xll.BDP("085667AF Muni","BB_COMPOSITE")</f>
        <v>#N/A N/A</v>
      </c>
      <c r="T689">
        <f>_xll.BDP("085667AF Muni","LQA_LIQUIDITY_SCORE")</f>
        <v>90</v>
      </c>
    </row>
    <row r="690" spans="1:20" x14ac:dyDescent="0.25">
      <c r="A690" t="str">
        <f>_xll.BDP("085667AG Muni","ID_CUSIP")</f>
        <v>085667AG8</v>
      </c>
      <c r="B690" t="s">
        <v>250</v>
      </c>
      <c r="C690" t="str">
        <f>_xll.BDP("085667AG Muni","INSURANCE_STATUS")</f>
        <v>N</v>
      </c>
      <c r="D690" t="str">
        <f>_xll.BDP("085667AG Muni","STATE_CODE")</f>
        <v>MI</v>
      </c>
      <c r="E690" t="str">
        <f>_xll.BDP("085667AG Muni","COUNTY_LOCATION_ISSUER")</f>
        <v>Berrien, MI</v>
      </c>
      <c r="F690">
        <f>_xll.BDP("085667AG Muni","DUR_ADJ_MID")</f>
        <v>1.53702450643265</v>
      </c>
      <c r="G690">
        <f>_xll.BDP("085667AG Muni","SPREAD_AT_ISSUANCE_TO_WORST")</f>
        <v>33.178502560406727</v>
      </c>
      <c r="H690" t="str">
        <f>_xll.BDP("085667AG Muni","ISSUE_DT")</f>
        <v>5/1/2017</v>
      </c>
      <c r="I690" t="str">
        <f>_xll.BDS("085667AG Muni","MUNI_PURPOSE_SCHED", "aggregate=y")</f>
        <v>WATER UTILITY IMPS.</v>
      </c>
      <c r="J690">
        <f>_xll.BDP("085667AG Muni","CPN")</f>
        <v>2</v>
      </c>
      <c r="K690" t="str">
        <f>_xll.BDP("085667AG Muni","MATURITY")</f>
        <v>3/1/2024</v>
      </c>
      <c r="L690">
        <v>180000</v>
      </c>
      <c r="M690">
        <f>_xll.BDP("085667AG Muni","YIELD_ON_ISSUE_DATE")</f>
        <v>2</v>
      </c>
      <c r="N690">
        <f>_xll.BDP("085667AG Muni","YTW_SPREAD_TO_MATURITY_AT_ISSU")</f>
        <v>33.178502560406727</v>
      </c>
      <c r="O690" t="str">
        <f>_xll.BDP("085667AG Muni","BVAL_MID_YTM")</f>
        <v>#N/A Authorization</v>
      </c>
      <c r="P690" t="str">
        <f>_xll.BDP("085667AG Muni","MUNI_TAX_PROV")</f>
        <v>FED BQ/ST TAX-EXEMPT</v>
      </c>
      <c r="Q690" t="str">
        <f>_xll.BDP("085667AG Muni","MUNI_FED_TAX")</f>
        <v>N</v>
      </c>
      <c r="R690" t="str">
        <f>_xll.BDP("085667AG Muni","MUNI_MSRB_VOLUME")</f>
        <v>#N/A N/A</v>
      </c>
      <c r="S690" t="str">
        <f>_xll.BDP("085667AG Muni","BB_COMPOSITE")</f>
        <v>#N/A N/A</v>
      </c>
      <c r="T690">
        <f>_xll.BDP("085667AG Muni","LQA_LIQUIDITY_SCORE")</f>
        <v>78</v>
      </c>
    </row>
    <row r="691" spans="1:20" x14ac:dyDescent="0.25">
      <c r="A691" t="str">
        <f>_xll.BDP("085667AH Muni","ID_CUSIP")</f>
        <v>085667AH6</v>
      </c>
      <c r="B691" t="s">
        <v>250</v>
      </c>
      <c r="C691" t="str">
        <f>_xll.BDP("085667AH Muni","INSURANCE_STATUS")</f>
        <v>N</v>
      </c>
      <c r="D691" t="str">
        <f>_xll.BDP("085667AH Muni","STATE_CODE")</f>
        <v>MI</v>
      </c>
      <c r="E691" t="str">
        <f>_xll.BDP("085667AH Muni","COUNTY_LOCATION_ISSUER")</f>
        <v>Berrien, MI</v>
      </c>
      <c r="F691">
        <f>_xll.BDP("085667AH Muni","DUR_ADJ_MID")</f>
        <v>2.4657677846777433</v>
      </c>
      <c r="G691">
        <f>_xll.BDP("085667AH Muni","SPREAD_AT_ISSUANCE_TO_WORST")</f>
        <v>26.862234830867713</v>
      </c>
      <c r="H691" t="str">
        <f>_xll.BDP("085667AH Muni","ISSUE_DT")</f>
        <v>5/1/2017</v>
      </c>
      <c r="I691" t="str">
        <f>_xll.BDS("085667AH Muni","MUNI_PURPOSE_SCHED", "aggregate=y")</f>
        <v>WATER UTILITY IMPS.</v>
      </c>
      <c r="J691">
        <f>_xll.BDP("085667AH Muni","CPN")</f>
        <v>2.5</v>
      </c>
      <c r="K691" t="str">
        <f>_xll.BDP("085667AH Muni","MATURITY")</f>
        <v>3/1/2025</v>
      </c>
      <c r="L691">
        <v>185000</v>
      </c>
      <c r="M691">
        <f>_xll.BDP("085667AH Muni","YIELD_ON_ISSUE_DATE")</f>
        <v>2.1</v>
      </c>
      <c r="N691">
        <f>_xll.BDP("085667AH Muni","YTW_SPREAD_TO_MATURITY_AT_ISSU")</f>
        <v>26.862234830867713</v>
      </c>
      <c r="O691" t="str">
        <f>_xll.BDP("085667AH Muni","BVAL_MID_YTM")</f>
        <v>#N/A Authorization</v>
      </c>
      <c r="P691" t="str">
        <f>_xll.BDP("085667AH Muni","MUNI_TAX_PROV")</f>
        <v>FED BQ/ST TAX-EXEMPT</v>
      </c>
      <c r="Q691" t="str">
        <f>_xll.BDP("085667AH Muni","MUNI_FED_TAX")</f>
        <v>N</v>
      </c>
      <c r="R691" t="str">
        <f>_xll.BDP("085667AH Muni","MUNI_MSRB_VOLUME")</f>
        <v>#N/A N/A</v>
      </c>
      <c r="S691" t="str">
        <f>_xll.BDP("085667AH Muni","BB_COMPOSITE")</f>
        <v>#N/A N/A</v>
      </c>
      <c r="T691">
        <f>_xll.BDP("085667AH Muni","LQA_LIQUIDITY_SCORE")</f>
        <v>71</v>
      </c>
    </row>
    <row r="692" spans="1:20" x14ac:dyDescent="0.25">
      <c r="A692" t="str">
        <f>_xll.BDP("085667AJ Muni","ID_CUSIP")</f>
        <v>085667AJ2</v>
      </c>
      <c r="B692" t="s">
        <v>250</v>
      </c>
      <c r="C692" t="str">
        <f>_xll.BDP("085667AJ Muni","INSURANCE_STATUS")</f>
        <v>N</v>
      </c>
      <c r="D692" t="str">
        <f>_xll.BDP("085667AJ Muni","STATE_CODE")</f>
        <v>MI</v>
      </c>
      <c r="E692" t="str">
        <f>_xll.BDP("085667AJ Muni","COUNTY_LOCATION_ISSUER")</f>
        <v>Berrien, MI</v>
      </c>
      <c r="F692">
        <f>_xll.BDP("085667AJ Muni","DUR_ADJ_MID")</f>
        <v>3.3780915063915207</v>
      </c>
      <c r="G692">
        <f>_xll.BDP("085667AJ Muni","SPREAD_AT_ISSUANCE_TO_WORST")</f>
        <v>21.841722259996878</v>
      </c>
      <c r="H692" t="str">
        <f>_xll.BDP("085667AJ Muni","ISSUE_DT")</f>
        <v>5/1/2017</v>
      </c>
      <c r="I692" t="str">
        <f>_xll.BDS("085667AJ Muni","MUNI_PURPOSE_SCHED", "aggregate=y")</f>
        <v>WATER UTILITY IMPS.</v>
      </c>
      <c r="J692">
        <f>_xll.BDP("085667AJ Muni","CPN")</f>
        <v>2.5</v>
      </c>
      <c r="K692" t="str">
        <f>_xll.BDP("085667AJ Muni","MATURITY")</f>
        <v>3/1/2026</v>
      </c>
      <c r="L692">
        <v>190000</v>
      </c>
      <c r="M692">
        <f>_xll.BDP("085667AJ Muni","YIELD_ON_ISSUE_DATE")</f>
        <v>2.2000000000000002</v>
      </c>
      <c r="N692">
        <f>_xll.BDP("085667AJ Muni","YTW_SPREAD_TO_MATURITY_AT_ISSU")</f>
        <v>21.841722259996878</v>
      </c>
      <c r="O692" t="str">
        <f>_xll.BDP("085667AJ Muni","BVAL_MID_YTM")</f>
        <v>#N/A Authorization</v>
      </c>
      <c r="P692" t="str">
        <f>_xll.BDP("085667AJ Muni","MUNI_TAX_PROV")</f>
        <v>FED BQ/ST TAX-EXEMPT</v>
      </c>
      <c r="Q692" t="str">
        <f>_xll.BDP("085667AJ Muni","MUNI_FED_TAX")</f>
        <v>N</v>
      </c>
      <c r="R692" t="str">
        <f>_xll.BDP("085667AJ Muni","MUNI_MSRB_VOLUME")</f>
        <v>#N/A N/A</v>
      </c>
      <c r="S692" t="str">
        <f>_xll.BDP("085667AJ Muni","BB_COMPOSITE")</f>
        <v>#N/A N/A</v>
      </c>
      <c r="T692">
        <f>_xll.BDP("085667AJ Muni","LQA_LIQUIDITY_SCORE")</f>
        <v>59</v>
      </c>
    </row>
    <row r="693" spans="1:20" x14ac:dyDescent="0.25">
      <c r="A693" t="str">
        <f>_xll.BDP("085667AK Muni","ID_CUSIP")</f>
        <v>085667AK9</v>
      </c>
      <c r="B693" t="s">
        <v>250</v>
      </c>
      <c r="C693" t="str">
        <f>_xll.BDP("085667AK Muni","INSURANCE_STATUS")</f>
        <v>N</v>
      </c>
      <c r="D693" t="str">
        <f>_xll.BDP("085667AK Muni","STATE_CODE")</f>
        <v>MI</v>
      </c>
      <c r="E693" t="str">
        <f>_xll.BDP("085667AK Muni","COUNTY_LOCATION_ISSUER")</f>
        <v>Berrien, MI</v>
      </c>
      <c r="F693">
        <f>_xll.BDP("085667AK Muni","DUR_ADJ_MID")</f>
        <v>4.2667145846726688</v>
      </c>
      <c r="G693">
        <f>_xll.BDP("085667AK Muni","SPREAD_AT_ISSUANCE_TO_WORST")</f>
        <v>29.464381607114511</v>
      </c>
      <c r="H693" t="str">
        <f>_xll.BDP("085667AK Muni","ISSUE_DT")</f>
        <v>5/1/2017</v>
      </c>
      <c r="I693" t="str">
        <f>_xll.BDS("085667AK Muni","MUNI_PURPOSE_SCHED", "aggregate=y")</f>
        <v>WATER UTILITY IMPS.</v>
      </c>
      <c r="J693">
        <f>_xll.BDP("085667AK Muni","CPN")</f>
        <v>2.5</v>
      </c>
      <c r="K693" t="str">
        <f>_xll.BDP("085667AK Muni","MATURITY")</f>
        <v>3/1/2027</v>
      </c>
      <c r="L693">
        <v>195000</v>
      </c>
      <c r="M693">
        <f>_xll.BDP("085667AK Muni","YIELD_ON_ISSUE_DATE")</f>
        <v>2.4000000000000004</v>
      </c>
      <c r="N693">
        <f>_xll.BDP("085667AK Muni","YTW_SPREAD_TO_MATURITY_AT_ISSU")</f>
        <v>29.464381607114511</v>
      </c>
      <c r="O693" t="str">
        <f>_xll.BDP("085667AK Muni","BVAL_MID_YTM")</f>
        <v>#N/A Authorization</v>
      </c>
      <c r="P693" t="str">
        <f>_xll.BDP("085667AK Muni","MUNI_TAX_PROV")</f>
        <v>FED BQ/ST TAX-EXEMPT</v>
      </c>
      <c r="Q693" t="str">
        <f>_xll.BDP("085667AK Muni","MUNI_FED_TAX")</f>
        <v>N</v>
      </c>
      <c r="R693" t="str">
        <f>_xll.BDP("085667AK Muni","MUNI_MSRB_VOLUME")</f>
        <v>#N/A N/A</v>
      </c>
      <c r="S693" t="str">
        <f>_xll.BDP("085667AK Muni","BB_COMPOSITE")</f>
        <v>#N/A N/A</v>
      </c>
      <c r="T693">
        <f>_xll.BDP("085667AK Muni","LQA_LIQUIDITY_SCORE")</f>
        <v>50</v>
      </c>
    </row>
    <row r="694" spans="1:20" x14ac:dyDescent="0.25">
      <c r="A694" t="str">
        <f>_xll.BDP("094743MJ Muni","ID_CUSIP")</f>
        <v>094743MJ7</v>
      </c>
      <c r="B694" t="s">
        <v>115</v>
      </c>
      <c r="C694" t="str">
        <f>_xll.BDP("094743MJ Muni","INSURANCE_STATUS")</f>
        <v>Y</v>
      </c>
      <c r="D694" t="str">
        <f>_xll.BDP("094743MJ Muni","STATE_CODE")</f>
        <v>IN</v>
      </c>
      <c r="E694" t="str">
        <f>_xll.BDP("094743MJ Muni","COUNTY_LOCATION_ISSUER")</f>
        <v>Monroe, IN</v>
      </c>
      <c r="F694">
        <f>_xll.BDP("094743MJ Muni","DUR_ADJ_MID")</f>
        <v>0.90206085973554273</v>
      </c>
      <c r="G694">
        <f>_xll.BDP("094743MJ Muni","SPREAD_AT_ISSUANCE_TO_WORST")</f>
        <v>35.21307892910486</v>
      </c>
      <c r="H694" t="str">
        <f>_xll.BDP("094743MJ Muni","ISSUE_DT")</f>
        <v>7/25/2017</v>
      </c>
      <c r="I694" t="str">
        <f>_xll.BDS("094743MJ Muni","MUNI_PURPOSE_SCHED", "aggregate=y")</f>
        <v>WATER UTILITY IMPS.</v>
      </c>
      <c r="J694">
        <f>_xll.BDP("094743MJ Muni","CPN")</f>
        <v>2</v>
      </c>
      <c r="K694" t="str">
        <f>_xll.BDP("094743MJ Muni","MATURITY")</f>
        <v>7/1/2023</v>
      </c>
      <c r="L694">
        <v>95000</v>
      </c>
      <c r="M694">
        <f>_xll.BDP("094743MJ Muni","YIELD_ON_ISSUE_DATE")</f>
        <v>1.85</v>
      </c>
      <c r="N694">
        <f>_xll.BDP("094743MJ Muni","YTW_SPREAD_TO_MATURITY_AT_ISSU")</f>
        <v>35.21307892910486</v>
      </c>
      <c r="O694" t="str">
        <f>_xll.BDP("094743MJ Muni","BVAL_MID_YTM")</f>
        <v>#N/A Authorization</v>
      </c>
      <c r="P694" t="str">
        <f>_xll.BDP("094743MJ Muni","MUNI_TAX_PROV")</f>
        <v>FED &amp; ST TAX-EXEMPT</v>
      </c>
      <c r="Q694" t="str">
        <f>_xll.BDP("094743MJ Muni","MUNI_FED_TAX")</f>
        <v>N</v>
      </c>
      <c r="R694" t="str">
        <f>_xll.BDP("094743MJ Muni","MUNI_MSRB_VOLUME")</f>
        <v>#N/A N/A</v>
      </c>
      <c r="S694" t="str">
        <f>_xll.BDP("094743MJ Muni","BB_COMPOSITE")</f>
        <v>#N/A N/A</v>
      </c>
      <c r="T694">
        <f>_xll.BDP("094743MJ Muni","LQA_LIQUIDITY_SCORE")</f>
        <v>83</v>
      </c>
    </row>
    <row r="695" spans="1:20" x14ac:dyDescent="0.25">
      <c r="A695" t="str">
        <f>_xll.BDP("094743ML Muni","ID_CUSIP")</f>
        <v>094743ML2</v>
      </c>
      <c r="B695" t="s">
        <v>115</v>
      </c>
      <c r="C695" t="str">
        <f>_xll.BDP("094743ML Muni","INSURANCE_STATUS")</f>
        <v>Y</v>
      </c>
      <c r="D695" t="str">
        <f>_xll.BDP("094743ML Muni","STATE_CODE")</f>
        <v>IN</v>
      </c>
      <c r="E695" t="str">
        <f>_xll.BDP("094743ML Muni","COUNTY_LOCATION_ISSUER")</f>
        <v>Monroe, IN</v>
      </c>
      <c r="F695">
        <f>_xll.BDP("094743ML Muni","DUR_ADJ_MID")</f>
        <v>1.8672614297604746</v>
      </c>
      <c r="G695">
        <f>_xll.BDP("094743ML Muni","SPREAD_AT_ISSUANCE_TO_WORST")</f>
        <v>35.472814772243908</v>
      </c>
      <c r="H695" t="str">
        <f>_xll.BDP("094743ML Muni","ISSUE_DT")</f>
        <v>7/25/2017</v>
      </c>
      <c r="I695" t="str">
        <f>_xll.BDS("094743ML Muni","MUNI_PURPOSE_SCHED", "aggregate=y")</f>
        <v>WATER UTILITY IMPS.</v>
      </c>
      <c r="J695">
        <f>_xll.BDP("094743ML Muni","CPN")</f>
        <v>2</v>
      </c>
      <c r="K695" t="str">
        <f>_xll.BDP("094743ML Muni","MATURITY")</f>
        <v>7/1/2024</v>
      </c>
      <c r="L695">
        <v>95000</v>
      </c>
      <c r="M695">
        <f>_xll.BDP("094743ML Muni","YIELD_ON_ISSUE_DATE")</f>
        <v>2</v>
      </c>
      <c r="N695">
        <f>_xll.BDP("094743ML Muni","YTW_SPREAD_TO_MATURITY_AT_ISSU")</f>
        <v>35.472814772243908</v>
      </c>
      <c r="O695" t="str">
        <f>_xll.BDP("094743ML Muni","BVAL_MID_YTM")</f>
        <v>#N/A Authorization</v>
      </c>
      <c r="P695" t="str">
        <f>_xll.BDP("094743ML Muni","MUNI_TAX_PROV")</f>
        <v>FED &amp; ST TAX-EXEMPT</v>
      </c>
      <c r="Q695" t="str">
        <f>_xll.BDP("094743ML Muni","MUNI_FED_TAX")</f>
        <v>N</v>
      </c>
      <c r="R695" t="str">
        <f>_xll.BDP("094743ML Muni","MUNI_MSRB_VOLUME")</f>
        <v>#N/A N/A</v>
      </c>
      <c r="S695" t="str">
        <f>_xll.BDP("094743ML Muni","BB_COMPOSITE")</f>
        <v>#N/A N/A</v>
      </c>
      <c r="T695">
        <f>_xll.BDP("094743ML Muni","LQA_LIQUIDITY_SCORE")</f>
        <v>68</v>
      </c>
    </row>
    <row r="696" spans="1:20" x14ac:dyDescent="0.25">
      <c r="A696" t="str">
        <f>_xll.BDP("094743MP Muni","ID_CUSIP")</f>
        <v>094743MP3</v>
      </c>
      <c r="B696" t="s">
        <v>115</v>
      </c>
      <c r="C696" t="str">
        <f>_xll.BDP("094743MP Muni","INSURANCE_STATUS")</f>
        <v>Y</v>
      </c>
      <c r="D696" t="str">
        <f>_xll.BDP("094743MP Muni","STATE_CODE")</f>
        <v>IN</v>
      </c>
      <c r="E696" t="str">
        <f>_xll.BDP("094743MP Muni","COUNTY_LOCATION_ISSUER")</f>
        <v>Monroe, IN</v>
      </c>
      <c r="F696">
        <f>_xll.BDP("094743MP Muni","DUR_ADJ_MID")</f>
        <v>3.2323649082949157</v>
      </c>
      <c r="G696">
        <f>_xll.BDP("094743MP Muni","SPREAD_AT_ISSUANCE_TO_WORST")</f>
        <v>38.756466784009433</v>
      </c>
      <c r="H696" t="str">
        <f>_xll.BDP("094743MP Muni","ISSUE_DT")</f>
        <v>7/25/2017</v>
      </c>
      <c r="I696" t="str">
        <f>_xll.BDS("094743MP Muni","MUNI_PURPOSE_SCHED", "aggregate=y")</f>
        <v>WATER UTILITY IMPS.</v>
      </c>
      <c r="J696">
        <f>_xll.BDP("094743MP Muni","CPN")</f>
        <v>3</v>
      </c>
      <c r="K696" t="str">
        <f>_xll.BDP("094743MP Muni","MATURITY")</f>
        <v>1/1/2026</v>
      </c>
      <c r="L696">
        <v>100000</v>
      </c>
      <c r="M696">
        <f>_xll.BDP("094743MP Muni","YIELD_ON_ISSUE_DATE")</f>
        <v>2.25</v>
      </c>
      <c r="N696">
        <f>_xll.BDP("094743MP Muni","YTW_SPREAD_TO_MATURITY_AT_ISSU")</f>
        <v>38.756466784009433</v>
      </c>
      <c r="O696" t="str">
        <f>_xll.BDP("094743MP Muni","BVAL_MID_YTM")</f>
        <v>#N/A Authorization</v>
      </c>
      <c r="P696" t="str">
        <f>_xll.BDP("094743MP Muni","MUNI_TAX_PROV")</f>
        <v>FED &amp; ST TAX-EXEMPT</v>
      </c>
      <c r="Q696" t="str">
        <f>_xll.BDP("094743MP Muni","MUNI_FED_TAX")</f>
        <v>N</v>
      </c>
      <c r="R696" t="str">
        <f>_xll.BDP("094743MP Muni","MUNI_MSRB_VOLUME")</f>
        <v>#N/A N/A</v>
      </c>
      <c r="S696" t="str">
        <f>_xll.BDP("094743MP Muni","BB_COMPOSITE")</f>
        <v>#N/A N/A</v>
      </c>
      <c r="T696">
        <f>_xll.BDP("094743MP Muni","LQA_LIQUIDITY_SCORE")</f>
        <v>57</v>
      </c>
    </row>
    <row r="697" spans="1:20" x14ac:dyDescent="0.25">
      <c r="A697" t="str">
        <f>_xll.BDP("109025ZE Muni","ID_CUSIP")</f>
        <v>109025ZE9</v>
      </c>
      <c r="B697" t="s">
        <v>251</v>
      </c>
      <c r="C697" t="str">
        <f>_xll.BDP("109025ZE Muni","INSURANCE_STATUS")</f>
        <v>N</v>
      </c>
      <c r="D697" t="str">
        <f>_xll.BDP("109025ZE Muni","STATE_CODE")</f>
        <v>NJ</v>
      </c>
      <c r="E697" t="str">
        <f>_xll.BDP("109025ZE Muni","COUNTY_LOCATION_ISSUER")</f>
        <v>Atlantic, NJ</v>
      </c>
      <c r="F697">
        <f>_xll.BDP("109025ZE Muni","DUR_ADJ_MID")</f>
        <v>0.20238313431166563</v>
      </c>
      <c r="G697">
        <f>_xll.BDP("109025ZE Muni","SPREAD_AT_ISSUANCE_TO_WORST")</f>
        <v>12.989876712328762</v>
      </c>
      <c r="H697" t="str">
        <f>_xll.BDP("109025ZE Muni","ISSUE_DT")</f>
        <v>10/31/2017</v>
      </c>
      <c r="I697" t="str">
        <f>_xll.BDS("109025ZE Muni","MUNI_PURPOSE_SCHED", "aggregate=y")</f>
        <v>WATER UTILITY IMPS. SEWER IMPS. PUBLIC IMPS.</v>
      </c>
      <c r="J697">
        <f>_xll.BDP("109025ZE Muni","CPN")</f>
        <v>4</v>
      </c>
      <c r="K697" t="str">
        <f>_xll.BDP("109025ZE Muni","MATURITY")</f>
        <v>10/15/2022</v>
      </c>
      <c r="L697">
        <v>680000</v>
      </c>
      <c r="M697">
        <f>_xll.BDP("109025ZE Muni","YIELD_ON_ISSUE_DATE")</f>
        <v>1.51</v>
      </c>
      <c r="N697">
        <f>_xll.BDP("109025ZE Muni","YTW_SPREAD_TO_MATURITY_AT_ISSU")</f>
        <v>12.989876712328762</v>
      </c>
      <c r="O697" t="str">
        <f>_xll.BDP("109025ZE Muni","BVAL_MID_YTM")</f>
        <v>#N/A Authorization</v>
      </c>
      <c r="P697" t="str">
        <f>_xll.BDP("109025ZE Muni","MUNI_TAX_PROV")</f>
        <v>FED BQ/ST TAX-EXEMPT</v>
      </c>
      <c r="Q697" t="str">
        <f>_xll.BDP("109025ZE Muni","MUNI_FED_TAX")</f>
        <v>N</v>
      </c>
      <c r="R697">
        <f>_xll.BDP("109025ZE Muni","MUNI_MSRB_VOLUME")</f>
        <v>100000</v>
      </c>
      <c r="S697" t="str">
        <f>_xll.BDP("109025ZE Muni","BB_COMPOSITE")</f>
        <v>#N/A N/A</v>
      </c>
      <c r="T697">
        <f>_xll.BDP("109025ZE Muni","LQA_LIQUIDITY_SCORE")</f>
        <v>98</v>
      </c>
    </row>
    <row r="698" spans="1:20" x14ac:dyDescent="0.25">
      <c r="A698" t="str">
        <f>_xll.BDP("109025ZG Muni","ID_CUSIP")</f>
        <v>109025ZG4</v>
      </c>
      <c r="B698" t="s">
        <v>251</v>
      </c>
      <c r="C698" t="str">
        <f>_xll.BDP("109025ZG Muni","INSURANCE_STATUS")</f>
        <v>N</v>
      </c>
      <c r="D698" t="str">
        <f>_xll.BDP("109025ZG Muni","STATE_CODE")</f>
        <v>NJ</v>
      </c>
      <c r="E698" t="str">
        <f>_xll.BDP("109025ZG Muni","COUNTY_LOCATION_ISSUER")</f>
        <v>Atlantic, NJ</v>
      </c>
      <c r="F698">
        <f>_xll.BDP("109025ZG Muni","DUR_ADJ_MID")</f>
        <v>2.1345652812678191</v>
      </c>
      <c r="G698">
        <f>_xll.BDP("109025ZG Muni","SPREAD_AT_ISSUANCE_TO_WORST")</f>
        <v>17.894534246575368</v>
      </c>
      <c r="H698" t="str">
        <f>_xll.BDP("109025ZG Muni","ISSUE_DT")</f>
        <v>10/31/2017</v>
      </c>
      <c r="I698" t="str">
        <f>_xll.BDS("109025ZG Muni","MUNI_PURPOSE_SCHED", "aggregate=y")</f>
        <v>WATER UTILITY IMPS. SEWER IMPS. PUBLIC IMPS.</v>
      </c>
      <c r="J698">
        <f>_xll.BDP("109025ZG Muni","CPN")</f>
        <v>2</v>
      </c>
      <c r="K698" t="str">
        <f>_xll.BDP("109025ZG Muni","MATURITY")</f>
        <v>10/15/2024</v>
      </c>
      <c r="L698">
        <v>740000</v>
      </c>
      <c r="M698">
        <f>_xll.BDP("109025ZG Muni","YIELD_ON_ISSUE_DATE")</f>
        <v>1.83</v>
      </c>
      <c r="N698">
        <f>_xll.BDP("109025ZG Muni","YTW_SPREAD_TO_MATURITY_AT_ISSU")</f>
        <v>17.894534246575368</v>
      </c>
      <c r="O698" t="str">
        <f>_xll.BDP("109025ZG Muni","BVAL_MID_YTM")</f>
        <v>#N/A Authorization</v>
      </c>
      <c r="P698" t="str">
        <f>_xll.BDP("109025ZG Muni","MUNI_TAX_PROV")</f>
        <v>FED BQ/ST TAX-EXEMPT</v>
      </c>
      <c r="Q698" t="str">
        <f>_xll.BDP("109025ZG Muni","MUNI_FED_TAX")</f>
        <v>N</v>
      </c>
      <c r="R698">
        <f>_xll.BDP("109025ZG Muni","MUNI_MSRB_VOLUME")</f>
        <v>100000</v>
      </c>
      <c r="S698" t="str">
        <f>_xll.BDP("109025ZG Muni","BB_COMPOSITE")</f>
        <v>#N/A N/A</v>
      </c>
      <c r="T698">
        <f>_xll.BDP("109025ZG Muni","LQA_LIQUIDITY_SCORE")</f>
        <v>72</v>
      </c>
    </row>
    <row r="699" spans="1:20" x14ac:dyDescent="0.25">
      <c r="A699" t="str">
        <f>_xll.BDP("107115NX Muni","ID_CUSIP")</f>
        <v>107115NX1</v>
      </c>
      <c r="B699" t="s">
        <v>252</v>
      </c>
      <c r="C699" t="str">
        <f>_xll.BDP("107115NX Muni","INSURANCE_STATUS")</f>
        <v>N</v>
      </c>
      <c r="D699" t="str">
        <f>_xll.BDP("107115NX Muni","STATE_CODE")</f>
        <v>TX</v>
      </c>
      <c r="E699" t="str">
        <f>_xll.BDP("107115NX Muni","COUNTY_LOCATION_ISSUER")</f>
        <v>Washington, TX</v>
      </c>
      <c r="F699">
        <f>_xll.BDP("107115NX Muni","DUR_ADJ_MID")</f>
        <v>3.6095712750481936E-2</v>
      </c>
      <c r="G699">
        <f>_xll.BDP("107115NX Muni","SPREAD_AT_ISSUANCE_TO_WORST")</f>
        <v>15.741972602739729</v>
      </c>
      <c r="H699" t="str">
        <f>_xll.BDP("107115NX Muni","ISSUE_DT")</f>
        <v>12/21/2017</v>
      </c>
      <c r="I699" t="str">
        <f>_xll.BDS("107115NX Muni","MUNI_PURPOSE_SCHED", "aggregate=y")</f>
        <v>WATER UTILITY IMPS. SEWER IMPS. PUBLIC IMPS.</v>
      </c>
      <c r="J699">
        <f>_xll.BDP("107115NX Muni","CPN")</f>
        <v>4</v>
      </c>
      <c r="K699" t="str">
        <f>_xll.BDP("107115NX Muni","MATURITY")</f>
        <v>8/15/2022</v>
      </c>
      <c r="L699">
        <v>155000</v>
      </c>
      <c r="M699">
        <f>_xll.BDP("107115NX Muni","YIELD_ON_ISSUE_DATE")</f>
        <v>1.75</v>
      </c>
      <c r="N699">
        <f>_xll.BDP("107115NX Muni","YTW_SPREAD_TO_MATURITY_AT_ISSU")</f>
        <v>15.741972602739729</v>
      </c>
      <c r="O699" t="str">
        <f>_xll.BDP("107115NX Muni","BVAL_MID_YTM")</f>
        <v>#N/A Authorization</v>
      </c>
      <c r="P699" t="str">
        <f>_xll.BDP("107115NX Muni","MUNI_TAX_PROV")</f>
        <v>FED BQ</v>
      </c>
      <c r="Q699" t="str">
        <f>_xll.BDP("107115NX Muni","MUNI_FED_TAX")</f>
        <v>N</v>
      </c>
      <c r="R699" t="str">
        <f>_xll.BDP("107115NX Muni","MUNI_MSRB_VOLUME")</f>
        <v>#N/A N/A</v>
      </c>
      <c r="S699" t="str">
        <f>_xll.BDP("107115NX Muni","BB_COMPOSITE")</f>
        <v>#N/A N/A</v>
      </c>
      <c r="T699">
        <f>_xll.BDP("107115NX Muni","LQA_LIQUIDITY_SCORE")</f>
        <v>99</v>
      </c>
    </row>
    <row r="700" spans="1:20" x14ac:dyDescent="0.25">
      <c r="A700" t="str">
        <f>_xll.BDP("080375DF Muni","ID_CUSIP")</f>
        <v>080375DF2</v>
      </c>
      <c r="B700" t="s">
        <v>158</v>
      </c>
      <c r="C700" t="str">
        <f>_xll.BDP("080375DF Muni","INSURANCE_STATUS")</f>
        <v>Y</v>
      </c>
      <c r="D700" t="str">
        <f>_xll.BDP("080375DF Muni","STATE_CODE")</f>
        <v>TX</v>
      </c>
      <c r="E700" t="str">
        <f>_xll.BDP("080375DF Muni","COUNTY_LOCATION_ISSUER")</f>
        <v>Dallas, TX</v>
      </c>
      <c r="F700">
        <f>_xll.BDP("080375DF Muni","DUR_ADJ_MID")</f>
        <v>1.5088107242056206</v>
      </c>
      <c r="G700">
        <f>_xll.BDP("080375DF Muni","SPREAD_AT_ISSUANCE_TO_WORST")</f>
        <v>63.701946770319836</v>
      </c>
      <c r="H700" t="str">
        <f>_xll.BDP("080375DF Muni","ISSUE_DT")</f>
        <v>9/1/2017</v>
      </c>
      <c r="I700" t="str">
        <f>_xll.BDS("080375DF Muni","MUNI_PURPOSE_SCHED", "aggregate=y")</f>
        <v>REFUNDING NOTES WATER UTILITY IMPS. SEWER IMPS.</v>
      </c>
      <c r="J700">
        <f>_xll.BDP("080375DF Muni","CPN")</f>
        <v>4</v>
      </c>
      <c r="K700" t="str">
        <f>_xll.BDP("080375DF Muni","MATURITY")</f>
        <v>3/1/2024</v>
      </c>
      <c r="L700">
        <v>175000</v>
      </c>
      <c r="M700">
        <f>_xll.BDP("080375DF Muni","YIELD_ON_ISSUE_DATE")</f>
        <v>2</v>
      </c>
      <c r="N700">
        <f>_xll.BDP("080375DF Muni","YTW_SPREAD_TO_MATURITY_AT_ISSU")</f>
        <v>63.701946770319836</v>
      </c>
      <c r="O700" t="str">
        <f>_xll.BDP("080375DF Muni","BVAL_MID_YTM")</f>
        <v>#N/A Authorization</v>
      </c>
      <c r="P700" t="str">
        <f>_xll.BDP("080375DF Muni","MUNI_TAX_PROV")</f>
        <v>FED TAX-EXEMPT</v>
      </c>
      <c r="Q700" t="str">
        <f>_xll.BDP("080375DF Muni","MUNI_FED_TAX")</f>
        <v>N</v>
      </c>
      <c r="R700" t="str">
        <f>_xll.BDP("080375DF Muni","MUNI_MSRB_VOLUME")</f>
        <v>#N/A N/A</v>
      </c>
      <c r="S700" t="str">
        <f>_xll.BDP("080375DF Muni","BB_COMPOSITE")</f>
        <v>A+</v>
      </c>
      <c r="T700">
        <f>_xll.BDP("080375DF Muni","LQA_LIQUIDITY_SCORE")</f>
        <v>73</v>
      </c>
    </row>
    <row r="701" spans="1:20" x14ac:dyDescent="0.25">
      <c r="A701" t="str">
        <f>_xll.BDP("03672VAF Muni","ID_CUSIP")</f>
        <v>03672VAF9</v>
      </c>
      <c r="B701" t="s">
        <v>249</v>
      </c>
      <c r="C701" t="str">
        <f>_xll.BDP("03672VAF Muni","INSURANCE_STATUS")</f>
        <v>N</v>
      </c>
      <c r="D701" t="str">
        <f>_xll.BDP("03672VAF Muni","STATE_CODE")</f>
        <v>CA</v>
      </c>
      <c r="E701" t="str">
        <f>_xll.BDP("03672VAF Muni","COUNTY_LOCATION_ISSUER")</f>
        <v>#N/A Field Not Applicable</v>
      </c>
      <c r="F701">
        <f>_xll.BDP("03672VAF Muni","DUR_ADJ_MID")</f>
        <v>0.81028011052482651</v>
      </c>
      <c r="G701">
        <f>_xll.BDP("03672VAF Muni","SPREAD_AT_ISSUANCE_TO_WORST")</f>
        <v>87.818087342465745</v>
      </c>
      <c r="H701" t="str">
        <f>_xll.BDP("03672VAF Muni","ISSUE_DT")</f>
        <v>1/26/2017</v>
      </c>
      <c r="I701" t="str">
        <f>_xll.BDS("03672VAF Muni","MUNI_PURPOSE_SCHED", "aggregate=y")</f>
        <v>WATER UTILITY IMPS. GREEN PURPOSE</v>
      </c>
      <c r="J701">
        <f>_xll.BDP("03672VAF Muni","CPN")</f>
        <v>2.976</v>
      </c>
      <c r="K701" t="str">
        <f>_xll.BDP("03672VAF Muni","MATURITY")</f>
        <v>6/1/2023</v>
      </c>
      <c r="L701">
        <v>675000</v>
      </c>
      <c r="M701">
        <f>_xll.BDP("03672VAF Muni","YIELD_ON_ISSUE_DATE")</f>
        <v>2.976</v>
      </c>
      <c r="N701">
        <f>_xll.BDP("03672VAF Muni","YTW_SPREAD_TO_MATURITY_AT_ISSU")</f>
        <v>87.818087342465745</v>
      </c>
      <c r="O701" t="str">
        <f>_xll.BDP("03672VAF Muni","BVAL_MID_YTM")</f>
        <v>#N/A Authorization</v>
      </c>
      <c r="P701" t="str">
        <f>_xll.BDP("03672VAF Muni","MUNI_TAX_PROV")</f>
        <v>FED TAXABLE/ST TAX-EXEMPT</v>
      </c>
      <c r="Q701" t="str">
        <f>_xll.BDP("03672VAF Muni","MUNI_FED_TAX")</f>
        <v>Y</v>
      </c>
      <c r="R701" t="str">
        <f>_xll.BDP("03672VAF Muni","MUNI_MSRB_VOLUME")</f>
        <v>#N/A N/A</v>
      </c>
      <c r="S701" t="str">
        <f>_xll.BDP("03672VAF Muni","BB_COMPOSITE")</f>
        <v>AA-</v>
      </c>
      <c r="T701">
        <f>_xll.BDP("03672VAF Muni","LQA_LIQUIDITY_SCORE")</f>
        <v>84</v>
      </c>
    </row>
    <row r="702" spans="1:20" x14ac:dyDescent="0.25">
      <c r="A702" t="str">
        <f>_xll.BDP("03672VAJ Muni","ID_CUSIP")</f>
        <v>03672VAJ1</v>
      </c>
      <c r="B702" t="s">
        <v>249</v>
      </c>
      <c r="C702" t="str">
        <f>_xll.BDP("03672VAJ Muni","INSURANCE_STATUS")</f>
        <v>N</v>
      </c>
      <c r="D702" t="str">
        <f>_xll.BDP("03672VAJ Muni","STATE_CODE")</f>
        <v>CA</v>
      </c>
      <c r="E702" t="str">
        <f>_xll.BDP("03672VAJ Muni","COUNTY_LOCATION_ISSUER")</f>
        <v>#N/A Field Not Applicable</v>
      </c>
      <c r="F702">
        <f>_xll.BDP("03672VAJ Muni","DUR_ADJ_MID")</f>
        <v>3.5404563584571158</v>
      </c>
      <c r="G702">
        <f>_xll.BDP("03672VAJ Muni","SPREAD_AT_ISSUANCE_TO_WORST")</f>
        <v>112.27749622857144</v>
      </c>
      <c r="H702" t="str">
        <f>_xll.BDP("03672VAJ Muni","ISSUE_DT")</f>
        <v>1/26/2017</v>
      </c>
      <c r="I702" t="str">
        <f>_xll.BDS("03672VAJ Muni","MUNI_PURPOSE_SCHED", "aggregate=y")</f>
        <v>WATER UTILITY IMPS. GREEN PURPOSE</v>
      </c>
      <c r="J702">
        <f>_xll.BDP("03672VAJ Muni","CPN")</f>
        <v>3.4660000000000002</v>
      </c>
      <c r="K702" t="str">
        <f>_xll.BDP("03672VAJ Muni","MATURITY")</f>
        <v>6/1/2026</v>
      </c>
      <c r="L702">
        <v>740000</v>
      </c>
      <c r="M702">
        <f>_xll.BDP("03672VAJ Muni","YIELD_ON_ISSUE_DATE")</f>
        <v>3.4660000000000002</v>
      </c>
      <c r="N702">
        <f>_xll.BDP("03672VAJ Muni","YTW_SPREAD_TO_MATURITY_AT_ISSU")</f>
        <v>112.27749622857144</v>
      </c>
      <c r="O702" t="str">
        <f>_xll.BDP("03672VAJ Muni","BVAL_MID_YTM")</f>
        <v>#N/A Authorization</v>
      </c>
      <c r="P702" t="str">
        <f>_xll.BDP("03672VAJ Muni","MUNI_TAX_PROV")</f>
        <v>FED TAXABLE/ST TAX-EXEMPT</v>
      </c>
      <c r="Q702" t="str">
        <f>_xll.BDP("03672VAJ Muni","MUNI_FED_TAX")</f>
        <v>Y</v>
      </c>
      <c r="R702">
        <f>_xll.BDP("03672VAJ Muni","MUNI_MSRB_VOLUME")</f>
        <v>10000</v>
      </c>
      <c r="S702" t="str">
        <f>_xll.BDP("03672VAJ Muni","BB_COMPOSITE")</f>
        <v>AA-</v>
      </c>
      <c r="T702">
        <f>_xll.BDP("03672VAJ Muni","LQA_LIQUIDITY_SCORE")</f>
        <v>52</v>
      </c>
    </row>
    <row r="703" spans="1:20" x14ac:dyDescent="0.25">
      <c r="A703" t="str">
        <f>_xll.BDP("105025Y7 Muni","ID_CUSIP")</f>
        <v>105025Y79</v>
      </c>
      <c r="B703" t="s">
        <v>253</v>
      </c>
      <c r="C703" t="str">
        <f>_xll.BDP("105025Y7 Muni","INSURANCE_STATUS")</f>
        <v>N</v>
      </c>
      <c r="D703" t="str">
        <f>_xll.BDP("105025Y7 Muni","STATE_CODE")</f>
        <v>MA</v>
      </c>
      <c r="E703" t="str">
        <f>_xll.BDP("105025Y7 Muni","COUNTY_LOCATION_ISSUER")</f>
        <v>Norfolk, MA</v>
      </c>
      <c r="F703">
        <f>_xll.BDP("105025Y7 Muni","DUR_ADJ_MID")</f>
        <v>1.7159927473036369</v>
      </c>
      <c r="G703">
        <f>_xll.BDP("105025Y7 Muni","SPREAD_AT_ISSUANCE_TO_WORST")</f>
        <v>-0.57156779089535537</v>
      </c>
      <c r="H703" t="str">
        <f>_xll.BDP("105025Y7 Muni","ISSUE_DT")</f>
        <v>5/25/2017</v>
      </c>
      <c r="I703" t="str">
        <f>_xll.BDS("105025Y7 Muni","MUNI_PURPOSE_SCHED", "aggregate=y")</f>
        <v>PUBLIC IMPS. WATER UTILITY IMPS. SCHOOL IMPS.</v>
      </c>
      <c r="J703">
        <f>_xll.BDP("105025Y7 Muni","CPN")</f>
        <v>4</v>
      </c>
      <c r="K703" t="str">
        <f>_xll.BDP("105025Y7 Muni","MATURITY")</f>
        <v>5/15/2024</v>
      </c>
      <c r="L703">
        <v>435000</v>
      </c>
      <c r="M703">
        <f>_xll.BDP("105025Y7 Muni","YIELD_ON_ISSUE_DATE")</f>
        <v>1.6500000000000001</v>
      </c>
      <c r="N703">
        <f>_xll.BDP("105025Y7 Muni","YTW_SPREAD_TO_MATURITY_AT_ISSU")</f>
        <v>-0.57156779089535537</v>
      </c>
      <c r="O703" t="str">
        <f>_xll.BDP("105025Y7 Muni","BVAL_MID_YTM")</f>
        <v>#N/A Authorization</v>
      </c>
      <c r="P703" t="str">
        <f>_xll.BDP("105025Y7 Muni","MUNI_TAX_PROV")</f>
        <v>FED BQ/ST TAX-EXEMPT</v>
      </c>
      <c r="Q703" t="str">
        <f>_xll.BDP("105025Y7 Muni","MUNI_FED_TAX")</f>
        <v>N</v>
      </c>
      <c r="R703">
        <f>_xll.BDP("105025Y7 Muni","MUNI_MSRB_VOLUME")</f>
        <v>60000</v>
      </c>
      <c r="S703" t="str">
        <f>_xll.BDP("105025Y7 Muni","BB_COMPOSITE")</f>
        <v>#N/A N/A</v>
      </c>
      <c r="T703">
        <f>_xll.BDP("105025Y7 Muni","LQA_LIQUIDITY_SCORE")</f>
        <v>87</v>
      </c>
    </row>
    <row r="704" spans="1:20" x14ac:dyDescent="0.25">
      <c r="A704" t="str">
        <f>_xll.BDP("105025Y9 Muni","ID_CUSIP")</f>
        <v>105025Y95</v>
      </c>
      <c r="B704" t="s">
        <v>253</v>
      </c>
      <c r="C704" t="str">
        <f>_xll.BDP("105025Y9 Muni","INSURANCE_STATUS")</f>
        <v>N</v>
      </c>
      <c r="D704" t="str">
        <f>_xll.BDP("105025Y9 Muni","STATE_CODE")</f>
        <v>MA</v>
      </c>
      <c r="E704" t="str">
        <f>_xll.BDP("105025Y9 Muni","COUNTY_LOCATION_ISSUER")</f>
        <v>Norfolk, MA</v>
      </c>
      <c r="F704">
        <f>_xll.BDP("105025Y9 Muni","DUR_ADJ_MID")</f>
        <v>3.5035755101583774</v>
      </c>
      <c r="G704">
        <f>_xll.BDP("105025Y9 Muni","SPREAD_AT_ISSUANCE_TO_WORST")</f>
        <v>3.5820434093571718</v>
      </c>
      <c r="H704" t="str">
        <f>_xll.BDP("105025Y9 Muni","ISSUE_DT")</f>
        <v>5/25/2017</v>
      </c>
      <c r="I704" t="str">
        <f>_xll.BDS("105025Y9 Muni","MUNI_PURPOSE_SCHED", "aggregate=y")</f>
        <v>PUBLIC IMPS. WATER UTILITY IMPS. SCHOOL IMPS.</v>
      </c>
      <c r="J704">
        <f>_xll.BDP("105025Y9 Muni","CPN")</f>
        <v>4</v>
      </c>
      <c r="K704" t="str">
        <f>_xll.BDP("105025Y9 Muni","MATURITY")</f>
        <v>5/15/2026</v>
      </c>
      <c r="L704">
        <v>425000</v>
      </c>
      <c r="M704">
        <f>_xll.BDP("105025Y9 Muni","YIELD_ON_ISSUE_DATE")</f>
        <v>2</v>
      </c>
      <c r="N704">
        <f>_xll.BDP("105025Y9 Muni","YTW_SPREAD_TO_MATURITY_AT_ISSU")</f>
        <v>3.5820434093571718</v>
      </c>
      <c r="O704" t="str">
        <f>_xll.BDP("105025Y9 Muni","BVAL_MID_YTM")</f>
        <v>#N/A Authorization</v>
      </c>
      <c r="P704" t="str">
        <f>_xll.BDP("105025Y9 Muni","MUNI_TAX_PROV")</f>
        <v>FED BQ/ST TAX-EXEMPT</v>
      </c>
      <c r="Q704" t="str">
        <f>_xll.BDP("105025Y9 Muni","MUNI_FED_TAX")</f>
        <v>N</v>
      </c>
      <c r="R704">
        <f>_xll.BDP("105025Y9 Muni","MUNI_MSRB_VOLUME")</f>
        <v>20000</v>
      </c>
      <c r="S704" t="str">
        <f>_xll.BDP("105025Y9 Muni","BB_COMPOSITE")</f>
        <v>#N/A N/A</v>
      </c>
      <c r="T704">
        <f>_xll.BDP("105025Y9 Muni","LQA_LIQUIDITY_SCORE")</f>
        <v>69</v>
      </c>
    </row>
    <row r="705" spans="1:20" x14ac:dyDescent="0.25">
      <c r="A705" t="str">
        <f>_xll.BDP("10606RKL Muni","ID_CUSIP")</f>
        <v>10606RKL0</v>
      </c>
      <c r="B705" t="s">
        <v>254</v>
      </c>
      <c r="C705" t="str">
        <f>_xll.BDP("10606RKL Muni","INSURANCE_STATUS")</f>
        <v>Y</v>
      </c>
      <c r="D705" t="str">
        <f>_xll.BDP("10606RKL Muni","STATE_CODE")</f>
        <v>TX</v>
      </c>
      <c r="E705" t="str">
        <f>_xll.BDP("10606RKL Muni","COUNTY_LOCATION_ISSUER")</f>
        <v>Harris, TX</v>
      </c>
      <c r="F705">
        <f>_xll.BDP("10606RKL Muni","DUR_ADJ_MID")</f>
        <v>1.0559939414974253</v>
      </c>
      <c r="G705">
        <f>_xll.BDP("10606RKL Muni","SPREAD_AT_ISSUANCE_TO_WORST")</f>
        <v>37.118186301369846</v>
      </c>
      <c r="H705" t="str">
        <f>_xll.BDP("10606RKL Muni","ISSUE_DT")</f>
        <v>12/1/2017</v>
      </c>
      <c r="I705" t="str">
        <f>_xll.BDS("10606RKL Muni","MUNI_PURPOSE_SCHED", "aggregate=y")</f>
        <v>WATER UTILITY IMPS. SEWER IMPS.</v>
      </c>
      <c r="J705">
        <f>_xll.BDP("10606RKL Muni","CPN")</f>
        <v>2</v>
      </c>
      <c r="K705" t="str">
        <f>_xll.BDP("10606RKL Muni","MATURITY")</f>
        <v>9/1/2023</v>
      </c>
      <c r="L705">
        <v>240000</v>
      </c>
      <c r="M705">
        <f>_xll.BDP("10606RKL Muni","YIELD_ON_ISSUE_DATE")</f>
        <v>1.9000000000000001</v>
      </c>
      <c r="N705">
        <f>_xll.BDP("10606RKL Muni","YTW_SPREAD_TO_MATURITY_AT_ISSU")</f>
        <v>37.118186301369846</v>
      </c>
      <c r="O705" t="str">
        <f>_xll.BDP("10606RKL Muni","BVAL_MID_YTM")</f>
        <v>#N/A Authorization</v>
      </c>
      <c r="P705" t="str">
        <f>_xll.BDP("10606RKL Muni","MUNI_TAX_PROV")</f>
        <v>FED BQ</v>
      </c>
      <c r="Q705" t="str">
        <f>_xll.BDP("10606RKL Muni","MUNI_FED_TAX")</f>
        <v>N</v>
      </c>
      <c r="R705" t="str">
        <f>_xll.BDP("10606RKL Muni","MUNI_MSRB_VOLUME")</f>
        <v>#N/A N/A</v>
      </c>
      <c r="S705" t="str">
        <f>_xll.BDP("10606RKL Muni","BB_COMPOSITE")</f>
        <v>AA-</v>
      </c>
      <c r="T705">
        <f>_xll.BDP("10606RKL Muni","LQA_LIQUIDITY_SCORE")</f>
        <v>87</v>
      </c>
    </row>
    <row r="706" spans="1:20" x14ac:dyDescent="0.25">
      <c r="A706" t="str">
        <f>_xll.BDP("10606RKM Muni","ID_CUSIP")</f>
        <v>10606RKM8</v>
      </c>
      <c r="B706" t="s">
        <v>254</v>
      </c>
      <c r="C706" t="str">
        <f>_xll.BDP("10606RKM Muni","INSURANCE_STATUS")</f>
        <v>Y</v>
      </c>
      <c r="D706" t="str">
        <f>_xll.BDP("10606RKM Muni","STATE_CODE")</f>
        <v>TX</v>
      </c>
      <c r="E706" t="str">
        <f>_xll.BDP("10606RKM Muni","COUNTY_LOCATION_ISSUER")</f>
        <v>Harris, TX</v>
      </c>
      <c r="F706">
        <f>_xll.BDP("10606RKM Muni","DUR_ADJ_MID")</f>
        <v>2.0105419804928699</v>
      </c>
      <c r="G706">
        <f>_xll.BDP("10606RKM Muni","SPREAD_AT_ISSUANCE_TO_WORST")</f>
        <v>36.847726027397258</v>
      </c>
      <c r="H706" t="str">
        <f>_xll.BDP("10606RKM Muni","ISSUE_DT")</f>
        <v>12/1/2017</v>
      </c>
      <c r="I706" t="str">
        <f>_xll.BDS("10606RKM Muni","MUNI_PURPOSE_SCHED", "aggregate=y")</f>
        <v>WATER UTILITY IMPS. SEWER IMPS.</v>
      </c>
      <c r="J706">
        <f>_xll.BDP("10606RKM Muni","CPN")</f>
        <v>2</v>
      </c>
      <c r="K706" t="str">
        <f>_xll.BDP("10606RKM Muni","MATURITY")</f>
        <v>9/1/2024</v>
      </c>
      <c r="L706">
        <v>245000</v>
      </c>
      <c r="M706">
        <f>_xll.BDP("10606RKM Muni","YIELD_ON_ISSUE_DATE")</f>
        <v>2</v>
      </c>
      <c r="N706">
        <f>_xll.BDP("10606RKM Muni","YTW_SPREAD_TO_MATURITY_AT_ISSU")</f>
        <v>36.847726027397258</v>
      </c>
      <c r="O706" t="str">
        <f>_xll.BDP("10606RKM Muni","BVAL_MID_YTM")</f>
        <v>#N/A Authorization</v>
      </c>
      <c r="P706" t="str">
        <f>_xll.BDP("10606RKM Muni","MUNI_TAX_PROV")</f>
        <v>FED BQ</v>
      </c>
      <c r="Q706" t="str">
        <f>_xll.BDP("10606RKM Muni","MUNI_FED_TAX")</f>
        <v>N</v>
      </c>
      <c r="R706" t="str">
        <f>_xll.BDP("10606RKM Muni","MUNI_MSRB_VOLUME")</f>
        <v>#N/A N/A</v>
      </c>
      <c r="S706" t="str">
        <f>_xll.BDP("10606RKM Muni","BB_COMPOSITE")</f>
        <v>AA-</v>
      </c>
      <c r="T706">
        <f>_xll.BDP("10606RKM Muni","LQA_LIQUIDITY_SCORE")</f>
        <v>75</v>
      </c>
    </row>
    <row r="707" spans="1:20" x14ac:dyDescent="0.25">
      <c r="A707" t="str">
        <f>_xll.BDP("10606TFN Muni","ID_CUSIP")</f>
        <v>10606TFN8</v>
      </c>
      <c r="B707" t="s">
        <v>255</v>
      </c>
      <c r="C707" t="str">
        <f>_xll.BDP("10606TFN Muni","INSURANCE_STATUS")</f>
        <v>Y</v>
      </c>
      <c r="D707" t="str">
        <f>_xll.BDP("10606TFN Muni","STATE_CODE")</f>
        <v>TX</v>
      </c>
      <c r="E707" t="str">
        <f>_xll.BDP("10606TFN Muni","COUNTY_LOCATION_ISSUER")</f>
        <v>Brazoria, TX</v>
      </c>
      <c r="F707">
        <f>_xll.BDP("10606TFN Muni","DUR_ADJ_MID")</f>
        <v>1.5374257568187584</v>
      </c>
      <c r="G707">
        <f>_xll.BDP("10606TFN Muni","SPREAD_AT_ISSUANCE_TO_WORST")</f>
        <v>63.701946770319836</v>
      </c>
      <c r="H707" t="str">
        <f>_xll.BDP("10606TFN Muni","ISSUE_DT")</f>
        <v>9/1/2017</v>
      </c>
      <c r="I707" t="str">
        <f>_xll.BDS("10606TFN Muni","MUNI_PURPOSE_SCHED", "aggregate=y")</f>
        <v>WATER UTILITY IMPS. SEWER IMPS.</v>
      </c>
      <c r="J707">
        <f>_xll.BDP("10606TFN Muni","CPN")</f>
        <v>2</v>
      </c>
      <c r="K707" t="str">
        <f>_xll.BDP("10606TFN Muni","MATURITY")</f>
        <v>3/1/2024</v>
      </c>
      <c r="L707">
        <v>225000</v>
      </c>
      <c r="M707">
        <f>_xll.BDP("10606TFN Muni","YIELD_ON_ISSUE_DATE")</f>
        <v>2</v>
      </c>
      <c r="N707">
        <f>_xll.BDP("10606TFN Muni","YTW_SPREAD_TO_MATURITY_AT_ISSU")</f>
        <v>63.701946770319836</v>
      </c>
      <c r="O707" t="str">
        <f>_xll.BDP("10606TFN Muni","BVAL_MID_YTM")</f>
        <v>#N/A Authorization</v>
      </c>
      <c r="P707" t="str">
        <f>_xll.BDP("10606TFN Muni","MUNI_TAX_PROV")</f>
        <v>FED TAX-EXEMPT</v>
      </c>
      <c r="Q707" t="str">
        <f>_xll.BDP("10606TFN Muni","MUNI_FED_TAX")</f>
        <v>N</v>
      </c>
      <c r="R707">
        <f>_xll.BDP("10606TFN Muni","MUNI_MSRB_VOLUME")</f>
        <v>160000</v>
      </c>
      <c r="S707" t="str">
        <f>_xll.BDP("10606TFN Muni","BB_COMPOSITE")</f>
        <v>A+</v>
      </c>
      <c r="T707">
        <f>_xll.BDP("10606TFN Muni","LQA_LIQUIDITY_SCORE")</f>
        <v>76</v>
      </c>
    </row>
    <row r="708" spans="1:20" x14ac:dyDescent="0.25">
      <c r="A708" t="str">
        <f>_xll.BDP("10607FBE Muni","ID_CUSIP")</f>
        <v>10607FBE1</v>
      </c>
      <c r="B708" t="s">
        <v>256</v>
      </c>
      <c r="C708" t="str">
        <f>_xll.BDP("10607FBE Muni","INSURANCE_STATUS")</f>
        <v>N</v>
      </c>
      <c r="D708" t="str">
        <f>_xll.BDP("10607FBE Muni","STATE_CODE")</f>
        <v>TX</v>
      </c>
      <c r="E708" t="str">
        <f>_xll.BDP("10607FBE Muni","COUNTY_LOCATION_ISSUER")</f>
        <v>Brazoria, TX</v>
      </c>
      <c r="F708">
        <f>_xll.BDP("10607FBE Muni","DUR_ADJ_MID")</f>
        <v>1.0477482866223664</v>
      </c>
      <c r="G708">
        <f>_xll.BDP("10607FBE Muni","SPREAD_AT_ISSUANCE_TO_WORST")</f>
        <v>103.66061459052365</v>
      </c>
      <c r="H708" t="str">
        <f>_xll.BDP("10607FBE Muni","ISSUE_DT")</f>
        <v>8/1/2017</v>
      </c>
      <c r="I708" t="str">
        <f>_xll.BDS("10607FBE Muni","MUNI_PURPOSE_SCHED", "aggregate=y")</f>
        <v>WATER UTILITY IMPS. SEWER IMPS. REFUNDING NOTES</v>
      </c>
      <c r="J708">
        <f>_xll.BDP("10607FBE Muni","CPN")</f>
        <v>3</v>
      </c>
      <c r="K708" t="str">
        <f>_xll.BDP("10607FBE Muni","MATURITY")</f>
        <v>9/1/2023</v>
      </c>
      <c r="L708">
        <v>60000</v>
      </c>
      <c r="M708">
        <f>_xll.BDP("10607FBE Muni","YIELD_ON_ISSUE_DATE")</f>
        <v>2.4000000000000004</v>
      </c>
      <c r="N708">
        <f>_xll.BDP("10607FBE Muni","YTW_SPREAD_TO_MATURITY_AT_ISSU")</f>
        <v>103.66061459052365</v>
      </c>
      <c r="O708" t="str">
        <f>_xll.BDP("10607FBE Muni","BVAL_MID_YTM")</f>
        <v>#N/A Authorization</v>
      </c>
      <c r="P708" t="str">
        <f>_xll.BDP("10607FBE Muni","MUNI_TAX_PROV")</f>
        <v>FED BQ</v>
      </c>
      <c r="Q708" t="str">
        <f>_xll.BDP("10607FBE Muni","MUNI_FED_TAX")</f>
        <v>N</v>
      </c>
      <c r="R708" t="str">
        <f>_xll.BDP("10607FBE Muni","MUNI_MSRB_VOLUME")</f>
        <v>#N/A N/A</v>
      </c>
      <c r="S708" t="str">
        <f>_xll.BDP("10607FBE Muni","BB_COMPOSITE")</f>
        <v>#N/A N/A</v>
      </c>
      <c r="T708">
        <f>_xll.BDP("10607FBE Muni","LQA_LIQUIDITY_SCORE")</f>
        <v>80</v>
      </c>
    </row>
    <row r="709" spans="1:20" x14ac:dyDescent="0.25">
      <c r="A709" t="str">
        <f>_xll.BDP("10607FBG Muni","ID_CUSIP")</f>
        <v>10607FBG6</v>
      </c>
      <c r="B709" t="s">
        <v>256</v>
      </c>
      <c r="C709" t="str">
        <f>_xll.BDP("10607FBG Muni","INSURANCE_STATUS")</f>
        <v>N</v>
      </c>
      <c r="D709" t="str">
        <f>_xll.BDP("10607FBG Muni","STATE_CODE")</f>
        <v>TX</v>
      </c>
      <c r="E709" t="str">
        <f>_xll.BDP("10607FBG Muni","COUNTY_LOCATION_ISSUER")</f>
        <v>Brazoria, TX</v>
      </c>
      <c r="F709">
        <f>_xll.BDP("10607FBG Muni","DUR_ADJ_MID")</f>
        <v>2.8948372110435909</v>
      </c>
      <c r="G709">
        <f>_xll.BDP("10607FBG Muni","SPREAD_AT_ISSUANCE_TO_WORST")</f>
        <v>114.90173672920821</v>
      </c>
      <c r="H709" t="str">
        <f>_xll.BDP("10607FBG Muni","ISSUE_DT")</f>
        <v>8/1/2017</v>
      </c>
      <c r="I709" t="str">
        <f>_xll.BDS("10607FBG Muni","MUNI_PURPOSE_SCHED", "aggregate=y")</f>
        <v>WATER UTILITY IMPS. SEWER IMPS. REFUNDING NOTES</v>
      </c>
      <c r="J709">
        <f>_xll.BDP("10607FBG Muni","CPN")</f>
        <v>3</v>
      </c>
      <c r="K709" t="str">
        <f>_xll.BDP("10607FBG Muni","MATURITY")</f>
        <v>9/1/2025</v>
      </c>
      <c r="L709">
        <v>65000</v>
      </c>
      <c r="M709">
        <f>_xll.BDP("10607FBG Muni","YIELD_ON_ISSUE_DATE")</f>
        <v>2.8000000000000003</v>
      </c>
      <c r="N709">
        <f>_xll.BDP("10607FBG Muni","YTW_SPREAD_TO_MATURITY_AT_ISSU")</f>
        <v>114.90173672920821</v>
      </c>
      <c r="O709" t="str">
        <f>_xll.BDP("10607FBG Muni","BVAL_MID_YTM")</f>
        <v>#N/A Authorization</v>
      </c>
      <c r="P709" t="str">
        <f>_xll.BDP("10607FBG Muni","MUNI_TAX_PROV")</f>
        <v>FED BQ</v>
      </c>
      <c r="Q709" t="str">
        <f>_xll.BDP("10607FBG Muni","MUNI_FED_TAX")</f>
        <v>N</v>
      </c>
      <c r="R709" t="str">
        <f>_xll.BDP("10607FBG Muni","MUNI_MSRB_VOLUME")</f>
        <v>#N/A N/A</v>
      </c>
      <c r="S709" t="str">
        <f>_xll.BDP("10607FBG Muni","BB_COMPOSITE")</f>
        <v>#N/A N/A</v>
      </c>
      <c r="T709">
        <f>_xll.BDP("10607FBG Muni","LQA_LIQUIDITY_SCORE")</f>
        <v>50</v>
      </c>
    </row>
    <row r="710" spans="1:20" x14ac:dyDescent="0.25">
      <c r="A710" t="str">
        <f>_xll.BDP("10608MBF Muni","ID_CUSIP")</f>
        <v>10608MBF2</v>
      </c>
      <c r="B710" t="s">
        <v>257</v>
      </c>
      <c r="C710" t="str">
        <f>_xll.BDP("10608MBF Muni","INSURANCE_STATUS")</f>
        <v>N</v>
      </c>
      <c r="D710" t="str">
        <f>_xll.BDP("10608MBF Muni","STATE_CODE")</f>
        <v>TX</v>
      </c>
      <c r="E710" t="str">
        <f>_xll.BDP("10608MBF Muni","COUNTY_LOCATION_ISSUER")</f>
        <v>Harris, TX</v>
      </c>
      <c r="F710">
        <f>_xll.BDP("10608MBF Muni","DUR_ADJ_MID")</f>
        <v>1.9933929434925106</v>
      </c>
      <c r="G710">
        <f>_xll.BDP("10608MBF Muni","SPREAD_AT_ISSUANCE_TO_WORST")</f>
        <v>114.30467669777182</v>
      </c>
      <c r="H710" t="str">
        <f>_xll.BDP("10608MBF Muni","ISSUE_DT")</f>
        <v>9/1/2017</v>
      </c>
      <c r="I710" t="str">
        <f>_xll.BDS("10608MBF Muni","MUNI_PURPOSE_SCHED", "aggregate=y")</f>
        <v>WATER UTILITY IMPS. SEWER IMPS. PROPERTY ACQUISITION</v>
      </c>
      <c r="J710">
        <f>_xll.BDP("10608MBF Muni","CPN")</f>
        <v>2.65</v>
      </c>
      <c r="K710" t="str">
        <f>_xll.BDP("10608MBF Muni","MATURITY")</f>
        <v>9/1/2024</v>
      </c>
      <c r="L710">
        <v>160000</v>
      </c>
      <c r="M710">
        <f>_xll.BDP("10608MBF Muni","YIELD_ON_ISSUE_DATE")</f>
        <v>2.6</v>
      </c>
      <c r="N710">
        <f>_xll.BDP("10608MBF Muni","YTW_SPREAD_TO_MATURITY_AT_ISSU")</f>
        <v>114.30467669777182</v>
      </c>
      <c r="O710" t="str">
        <f>_xll.BDP("10608MBF Muni","BVAL_MID_YTM")</f>
        <v>#N/A Authorization</v>
      </c>
      <c r="P710" t="str">
        <f>_xll.BDP("10608MBF Muni","MUNI_TAX_PROV")</f>
        <v>FED BQ</v>
      </c>
      <c r="Q710" t="str">
        <f>_xll.BDP("10608MBF Muni","MUNI_FED_TAX")</f>
        <v>N</v>
      </c>
      <c r="R710" t="str">
        <f>_xll.BDP("10608MBF Muni","MUNI_MSRB_VOLUME")</f>
        <v>#N/A N/A</v>
      </c>
      <c r="S710" t="str">
        <f>_xll.BDP("10608MBF Muni","BB_COMPOSITE")</f>
        <v>#N/A N/A</v>
      </c>
      <c r="T710">
        <f>_xll.BDP("10608MBF Muni","LQA_LIQUIDITY_SCORE")</f>
        <v>48</v>
      </c>
    </row>
    <row r="711" spans="1:20" x14ac:dyDescent="0.25">
      <c r="A711" t="str">
        <f>_xll.BDP("094743MH Muni","ID_CUSIP")</f>
        <v>094743MH1</v>
      </c>
      <c r="B711" t="s">
        <v>115</v>
      </c>
      <c r="C711" t="str">
        <f>_xll.BDP("094743MH Muni","INSURANCE_STATUS")</f>
        <v>Y</v>
      </c>
      <c r="D711" t="str">
        <f>_xll.BDP("094743MH Muni","STATE_CODE")</f>
        <v>IN</v>
      </c>
      <c r="E711" t="str">
        <f>_xll.BDP("094743MH Muni","COUNTY_LOCATION_ISSUER")</f>
        <v>Monroe, IN</v>
      </c>
      <c r="F711">
        <f>_xll.BDP("094743MH Muni","DUR_ADJ_MID")</f>
        <v>0.41200250787965415</v>
      </c>
      <c r="G711">
        <f>_xll.BDP("094743MH Muni","SPREAD_AT_ISSUANCE_TO_WORST")</f>
        <v>37.36525580890504</v>
      </c>
      <c r="H711" t="str">
        <f>_xll.BDP("094743MH Muni","ISSUE_DT")</f>
        <v>7/25/2017</v>
      </c>
      <c r="I711" t="str">
        <f>_xll.BDS("094743MH Muni","MUNI_PURPOSE_SCHED", "aggregate=y")</f>
        <v>WATER UTILITY IMPS.</v>
      </c>
      <c r="J711">
        <f>_xll.BDP("094743MH Muni","CPN")</f>
        <v>2</v>
      </c>
      <c r="K711" t="str">
        <f>_xll.BDP("094743MH Muni","MATURITY")</f>
        <v>1/1/2023</v>
      </c>
      <c r="L711">
        <v>95000</v>
      </c>
      <c r="M711">
        <f>_xll.BDP("094743MH Muni","YIELD_ON_ISSUE_DATE")</f>
        <v>1.8</v>
      </c>
      <c r="N711">
        <f>_xll.BDP("094743MH Muni","YTW_SPREAD_TO_MATURITY_AT_ISSU")</f>
        <v>37.36525580890504</v>
      </c>
      <c r="O711" t="str">
        <f>_xll.BDP("094743MH Muni","BVAL_MID_YTM")</f>
        <v>#N/A Authorization</v>
      </c>
      <c r="P711" t="str">
        <f>_xll.BDP("094743MH Muni","MUNI_TAX_PROV")</f>
        <v>FED &amp; ST TAX-EXEMPT</v>
      </c>
      <c r="Q711" t="str">
        <f>_xll.BDP("094743MH Muni","MUNI_FED_TAX")</f>
        <v>N</v>
      </c>
      <c r="R711" t="str">
        <f>_xll.BDP("094743MH Muni","MUNI_MSRB_VOLUME")</f>
        <v>#N/A N/A</v>
      </c>
      <c r="S711" t="str">
        <f>_xll.BDP("094743MH Muni","BB_COMPOSITE")</f>
        <v>#N/A N/A</v>
      </c>
      <c r="T711">
        <f>_xll.BDP("094743MH Muni","LQA_LIQUIDITY_SCORE")</f>
        <v>95</v>
      </c>
    </row>
    <row r="712" spans="1:20" x14ac:dyDescent="0.25">
      <c r="A712" t="str">
        <f>_xll.BDP("094743MK Muni","ID_CUSIP")</f>
        <v>094743MK4</v>
      </c>
      <c r="B712" t="s">
        <v>115</v>
      </c>
      <c r="C712" t="str">
        <f>_xll.BDP("094743MK Muni","INSURANCE_STATUS")</f>
        <v>Y</v>
      </c>
      <c r="D712" t="str">
        <f>_xll.BDP("094743MK Muni","STATE_CODE")</f>
        <v>IN</v>
      </c>
      <c r="E712" t="str">
        <f>_xll.BDP("094743MK Muni","COUNTY_LOCATION_ISSUER")</f>
        <v>Monroe, IN</v>
      </c>
      <c r="F712">
        <f>_xll.BDP("094743MK Muni","DUR_ADJ_MID")</f>
        <v>1.3872659235127831</v>
      </c>
      <c r="G712">
        <f>_xll.BDP("094743MK Muni","SPREAD_AT_ISSUANCE_TO_WORST")</f>
        <v>37.806553985324754</v>
      </c>
      <c r="H712" t="str">
        <f>_xll.BDP("094743MK Muni","ISSUE_DT")</f>
        <v>7/25/2017</v>
      </c>
      <c r="I712" t="str">
        <f>_xll.BDS("094743MK Muni","MUNI_PURPOSE_SCHED", "aggregate=y")</f>
        <v>WATER UTILITY IMPS.</v>
      </c>
      <c r="J712">
        <f>_xll.BDP("094743MK Muni","CPN")</f>
        <v>2</v>
      </c>
      <c r="K712" t="str">
        <f>_xll.BDP("094743MK Muni","MATURITY")</f>
        <v>1/1/2024</v>
      </c>
      <c r="L712">
        <v>95000</v>
      </c>
      <c r="M712">
        <f>_xll.BDP("094743MK Muni","YIELD_ON_ISSUE_DATE")</f>
        <v>1.95</v>
      </c>
      <c r="N712">
        <f>_xll.BDP("094743MK Muni","YTW_SPREAD_TO_MATURITY_AT_ISSU")</f>
        <v>37.806553985324754</v>
      </c>
      <c r="O712" t="str">
        <f>_xll.BDP("094743MK Muni","BVAL_MID_YTM")</f>
        <v>#N/A Authorization</v>
      </c>
      <c r="P712" t="str">
        <f>_xll.BDP("094743MK Muni","MUNI_TAX_PROV")</f>
        <v>FED &amp; ST TAX-EXEMPT</v>
      </c>
      <c r="Q712" t="str">
        <f>_xll.BDP("094743MK Muni","MUNI_FED_TAX")</f>
        <v>N</v>
      </c>
      <c r="R712" t="str">
        <f>_xll.BDP("094743MK Muni","MUNI_MSRB_VOLUME")</f>
        <v>#N/A N/A</v>
      </c>
      <c r="S712" t="str">
        <f>_xll.BDP("094743MK Muni","BB_COMPOSITE")</f>
        <v>#N/A N/A</v>
      </c>
      <c r="T712">
        <f>_xll.BDP("094743MK Muni","LQA_LIQUIDITY_SCORE")</f>
        <v>76</v>
      </c>
    </row>
    <row r="713" spans="1:20" x14ac:dyDescent="0.25">
      <c r="A713" t="str">
        <f>_xll.BDP("094743MN Muni","ID_CUSIP")</f>
        <v>094743MN8</v>
      </c>
      <c r="B713" t="s">
        <v>115</v>
      </c>
      <c r="C713" t="str">
        <f>_xll.BDP("094743MN Muni","INSURANCE_STATUS")</f>
        <v>Y</v>
      </c>
      <c r="D713" t="str">
        <f>_xll.BDP("094743MN Muni","STATE_CODE")</f>
        <v>IN</v>
      </c>
      <c r="E713" t="str">
        <f>_xll.BDP("094743MN Muni","COUNTY_LOCATION_ISSUER")</f>
        <v>Monroe, IN</v>
      </c>
      <c r="F713">
        <f>_xll.BDP("094743MN Muni","DUR_ADJ_MID")</f>
        <v>2.7795771896261781</v>
      </c>
      <c r="G713">
        <f>_xll.BDP("094743MN Muni","SPREAD_AT_ISSUANCE_TO_WORST")</f>
        <v>35.603381739213802</v>
      </c>
      <c r="H713" t="str">
        <f>_xll.BDP("094743MN Muni","ISSUE_DT")</f>
        <v>7/25/2017</v>
      </c>
      <c r="I713" t="str">
        <f>_xll.BDS("094743MN Muni","MUNI_PURPOSE_SCHED", "aggregate=y")</f>
        <v>WATER UTILITY IMPS.</v>
      </c>
      <c r="J713">
        <f>_xll.BDP("094743MN Muni","CPN")</f>
        <v>3</v>
      </c>
      <c r="K713" t="str">
        <f>_xll.BDP("094743MN Muni","MATURITY")</f>
        <v>7/1/2025</v>
      </c>
      <c r="L713">
        <v>100000</v>
      </c>
      <c r="M713">
        <f>_xll.BDP("094743MN Muni","YIELD_ON_ISSUE_DATE")</f>
        <v>2.15</v>
      </c>
      <c r="N713">
        <f>_xll.BDP("094743MN Muni","YTW_SPREAD_TO_MATURITY_AT_ISSU")</f>
        <v>35.603381739213802</v>
      </c>
      <c r="O713" t="str">
        <f>_xll.BDP("094743MN Muni","BVAL_MID_YTM")</f>
        <v>#N/A Authorization</v>
      </c>
      <c r="P713" t="str">
        <f>_xll.BDP("094743MN Muni","MUNI_TAX_PROV")</f>
        <v>FED &amp; ST TAX-EXEMPT</v>
      </c>
      <c r="Q713" t="str">
        <f>_xll.BDP("094743MN Muni","MUNI_FED_TAX")</f>
        <v>N</v>
      </c>
      <c r="R713" t="str">
        <f>_xll.BDP("094743MN Muni","MUNI_MSRB_VOLUME")</f>
        <v>#N/A N/A</v>
      </c>
      <c r="S713" t="str">
        <f>_xll.BDP("094743MN Muni","BB_COMPOSITE")</f>
        <v>#N/A N/A</v>
      </c>
      <c r="T713">
        <f>_xll.BDP("094743MN Muni","LQA_LIQUIDITY_SCORE")</f>
        <v>61</v>
      </c>
    </row>
    <row r="714" spans="1:20" x14ac:dyDescent="0.25">
      <c r="A714" t="str">
        <f>_xll.BDP("109025ZF Muni","ID_CUSIP")</f>
        <v>109025ZF6</v>
      </c>
      <c r="B714" t="s">
        <v>251</v>
      </c>
      <c r="C714" t="str">
        <f>_xll.BDP("109025ZF Muni","INSURANCE_STATUS")</f>
        <v>N</v>
      </c>
      <c r="D714" t="str">
        <f>_xll.BDP("109025ZF Muni","STATE_CODE")</f>
        <v>NJ</v>
      </c>
      <c r="E714" t="str">
        <f>_xll.BDP("109025ZF Muni","COUNTY_LOCATION_ISSUER")</f>
        <v>Atlantic, NJ</v>
      </c>
      <c r="F714">
        <f>_xll.BDP("109025ZF Muni","DUR_ADJ_MID")</f>
        <v>1.1648488526278391</v>
      </c>
      <c r="G714">
        <f>_xll.BDP("109025ZF Muni","SPREAD_AT_ISSUANCE_TO_WORST")</f>
        <v>17.653465753424658</v>
      </c>
      <c r="H714" t="str">
        <f>_xll.BDP("109025ZF Muni","ISSUE_DT")</f>
        <v>10/31/2017</v>
      </c>
      <c r="I714" t="str">
        <f>_xll.BDS("109025ZF Muni","MUNI_PURPOSE_SCHED", "aggregate=y")</f>
        <v>WATER UTILITY IMPS. SEWER IMPS. PUBLIC IMPS.</v>
      </c>
      <c r="J714">
        <f>_xll.BDP("109025ZF Muni","CPN")</f>
        <v>4</v>
      </c>
      <c r="K714" t="str">
        <f>_xll.BDP("109025ZF Muni","MATURITY")</f>
        <v>10/15/2023</v>
      </c>
      <c r="L714">
        <v>690000</v>
      </c>
      <c r="M714">
        <f>_xll.BDP("109025ZF Muni","YIELD_ON_ISSUE_DATE")</f>
        <v>1.69</v>
      </c>
      <c r="N714">
        <f>_xll.BDP("109025ZF Muni","YTW_SPREAD_TO_MATURITY_AT_ISSU")</f>
        <v>17.653465753424658</v>
      </c>
      <c r="O714" t="str">
        <f>_xll.BDP("109025ZF Muni","BVAL_MID_YTM")</f>
        <v>#N/A Authorization</v>
      </c>
      <c r="P714" t="str">
        <f>_xll.BDP("109025ZF Muni","MUNI_TAX_PROV")</f>
        <v>FED BQ/ST TAX-EXEMPT</v>
      </c>
      <c r="Q714" t="str">
        <f>_xll.BDP("109025ZF Muni","MUNI_FED_TAX")</f>
        <v>N</v>
      </c>
      <c r="R714" t="str">
        <f>_xll.BDP("109025ZF Muni","MUNI_MSRB_VOLUME")</f>
        <v>#N/A N/A</v>
      </c>
      <c r="S714" t="str">
        <f>_xll.BDP("109025ZF Muni","BB_COMPOSITE")</f>
        <v>#N/A N/A</v>
      </c>
      <c r="T714">
        <f>_xll.BDP("109025ZF Muni","LQA_LIQUIDITY_SCORE")</f>
        <v>89</v>
      </c>
    </row>
    <row r="715" spans="1:20" x14ac:dyDescent="0.25">
      <c r="A715" t="str">
        <f>_xll.BDP("109025ZH Muni","ID_CUSIP")</f>
        <v>109025ZH2</v>
      </c>
      <c r="B715" t="s">
        <v>251</v>
      </c>
      <c r="C715" t="str">
        <f>_xll.BDP("109025ZH Muni","INSURANCE_STATUS")</f>
        <v>N</v>
      </c>
      <c r="D715" t="str">
        <f>_xll.BDP("109025ZH Muni","STATE_CODE")</f>
        <v>NJ</v>
      </c>
      <c r="E715" t="str">
        <f>_xll.BDP("109025ZH Muni","COUNTY_LOCATION_ISSUER")</f>
        <v>Atlantic, NJ</v>
      </c>
      <c r="F715">
        <f>_xll.BDP("109025ZH Muni","DUR_ADJ_MID")</f>
        <v>3.0713970134016204</v>
      </c>
      <c r="G715">
        <f>_xll.BDP("109025ZH Muni","SPREAD_AT_ISSUANCE_TO_WORST")</f>
        <v>21.136561643835616</v>
      </c>
      <c r="H715" t="str">
        <f>_xll.BDP("109025ZH Muni","ISSUE_DT")</f>
        <v>10/31/2017</v>
      </c>
      <c r="I715" t="str">
        <f>_xll.BDS("109025ZH Muni","MUNI_PURPOSE_SCHED", "aggregate=y")</f>
        <v>WATER UTILITY IMPS. SEWER IMPS. PUBLIC IMPS.</v>
      </c>
      <c r="J715">
        <f>_xll.BDP("109025ZH Muni","CPN")</f>
        <v>2</v>
      </c>
      <c r="K715" t="str">
        <f>_xll.BDP("109025ZH Muni","MATURITY")</f>
        <v>10/15/2025</v>
      </c>
      <c r="L715">
        <v>780000</v>
      </c>
      <c r="M715">
        <f>_xll.BDP("109025ZH Muni","YIELD_ON_ISSUE_DATE")</f>
        <v>2</v>
      </c>
      <c r="N715">
        <f>_xll.BDP("109025ZH Muni","YTW_SPREAD_TO_MATURITY_AT_ISSU")</f>
        <v>21.136561643835616</v>
      </c>
      <c r="O715" t="str">
        <f>_xll.BDP("109025ZH Muni","BVAL_MID_YTM")</f>
        <v>#N/A Authorization</v>
      </c>
      <c r="P715" t="str">
        <f>_xll.BDP("109025ZH Muni","MUNI_TAX_PROV")</f>
        <v>FED BQ/ST TAX-EXEMPT</v>
      </c>
      <c r="Q715" t="str">
        <f>_xll.BDP("109025ZH Muni","MUNI_FED_TAX")</f>
        <v>N</v>
      </c>
      <c r="R715" t="str">
        <f>_xll.BDP("109025ZH Muni","MUNI_MSRB_VOLUME")</f>
        <v>#N/A N/A</v>
      </c>
      <c r="S715" t="str">
        <f>_xll.BDP("109025ZH Muni","BB_COMPOSITE")</f>
        <v>#N/A N/A</v>
      </c>
      <c r="T715">
        <f>_xll.BDP("109025ZH Muni","LQA_LIQUIDITY_SCORE")</f>
        <v>63</v>
      </c>
    </row>
    <row r="716" spans="1:20" x14ac:dyDescent="0.25">
      <c r="A716" t="str">
        <f>_xll.BDP("10607FBD Muni","ID_CUSIP")</f>
        <v>10607FBD3</v>
      </c>
      <c r="B716" t="s">
        <v>256</v>
      </c>
      <c r="C716" t="str">
        <f>_xll.BDP("10607FBD Muni","INSURANCE_STATUS")</f>
        <v>N</v>
      </c>
      <c r="D716" t="str">
        <f>_xll.BDP("10607FBD Muni","STATE_CODE")</f>
        <v>TX</v>
      </c>
      <c r="E716" t="str">
        <f>_xll.BDP("10607FBD Muni","COUNTY_LOCATION_ISSUER")</f>
        <v>Brazoria, TX</v>
      </c>
      <c r="F716">
        <f>_xll.BDP("10607FBD Muni","DUR_ADJ_MID")</f>
        <v>8.0459470903986502E-2</v>
      </c>
      <c r="G716">
        <f>_xll.BDP("10607FBD Muni","SPREAD_AT_ISSUANCE_TO_WORST")</f>
        <v>97.762832012839169</v>
      </c>
      <c r="H716" t="str">
        <f>_xll.BDP("10607FBD Muni","ISSUE_DT")</f>
        <v>8/1/2017</v>
      </c>
      <c r="I716" t="str">
        <f>_xll.BDS("10607FBD Muni","MUNI_PURPOSE_SCHED", "aggregate=y")</f>
        <v>WATER UTILITY IMPS. SEWER IMPS. REFUNDING NOTES</v>
      </c>
      <c r="J716">
        <f>_xll.BDP("10607FBD Muni","CPN")</f>
        <v>3</v>
      </c>
      <c r="K716" t="str">
        <f>_xll.BDP("10607FBD Muni","MATURITY")</f>
        <v>9/1/2022</v>
      </c>
      <c r="L716">
        <v>60000</v>
      </c>
      <c r="M716">
        <f>_xll.BDP("10607FBD Muni","YIELD_ON_ISSUE_DATE")</f>
        <v>2.2000000000000002</v>
      </c>
      <c r="N716">
        <f>_xll.BDP("10607FBD Muni","YTW_SPREAD_TO_MATURITY_AT_ISSU")</f>
        <v>97.762832012839169</v>
      </c>
      <c r="O716" t="str">
        <f>_xll.BDP("10607FBD Muni","BVAL_MID_YTM")</f>
        <v>#N/A Authorization</v>
      </c>
      <c r="P716" t="str">
        <f>_xll.BDP("10607FBD Muni","MUNI_TAX_PROV")</f>
        <v>FED BQ</v>
      </c>
      <c r="Q716" t="str">
        <f>_xll.BDP("10607FBD Muni","MUNI_FED_TAX")</f>
        <v>N</v>
      </c>
      <c r="R716" t="str">
        <f>_xll.BDP("10607FBD Muni","MUNI_MSRB_VOLUME")</f>
        <v>#N/A N/A</v>
      </c>
      <c r="S716" t="str">
        <f>_xll.BDP("10607FBD Muni","BB_COMPOSITE")</f>
        <v>#N/A N/A</v>
      </c>
      <c r="T716">
        <f>_xll.BDP("10607FBD Muni","LQA_LIQUIDITY_SCORE")</f>
        <v>97</v>
      </c>
    </row>
    <row r="717" spans="1:20" x14ac:dyDescent="0.25">
      <c r="A717" t="str">
        <f>_xll.BDP("10608MBE Muni","ID_CUSIP")</f>
        <v>10608MBE5</v>
      </c>
      <c r="B717" t="s">
        <v>257</v>
      </c>
      <c r="C717" t="str">
        <f>_xll.BDP("10608MBE Muni","INSURANCE_STATUS")</f>
        <v>N</v>
      </c>
      <c r="D717" t="str">
        <f>_xll.BDP("10608MBE Muni","STATE_CODE")</f>
        <v>TX</v>
      </c>
      <c r="E717" t="str">
        <f>_xll.BDP("10608MBE Muni","COUNTY_LOCATION_ISSUER")</f>
        <v>Harris, TX</v>
      </c>
      <c r="F717">
        <f>_xll.BDP("10608MBE Muni","DUR_ADJ_MID")</f>
        <v>1.0516997137507991</v>
      </c>
      <c r="G717">
        <f>_xll.BDP("10608MBE Muni","SPREAD_AT_ISSUANCE_TO_WORST")</f>
        <v>109.47187973787578</v>
      </c>
      <c r="H717" t="str">
        <f>_xll.BDP("10608MBE Muni","ISSUE_DT")</f>
        <v>9/1/2017</v>
      </c>
      <c r="I717" t="str">
        <f>_xll.BDS("10608MBE Muni","MUNI_PURPOSE_SCHED", "aggregate=y")</f>
        <v>WATER UTILITY IMPS. SEWER IMPS. PROPERTY ACQUISITION</v>
      </c>
      <c r="J717">
        <f>_xll.BDP("10608MBE Muni","CPN")</f>
        <v>2.4500000000000002</v>
      </c>
      <c r="K717" t="str">
        <f>_xll.BDP("10608MBE Muni","MATURITY")</f>
        <v>9/1/2023</v>
      </c>
      <c r="L717">
        <v>155000</v>
      </c>
      <c r="M717">
        <f>_xll.BDP("10608MBE Muni","YIELD_ON_ISSUE_DATE")</f>
        <v>2.4000000000000004</v>
      </c>
      <c r="N717">
        <f>_xll.BDP("10608MBE Muni","YTW_SPREAD_TO_MATURITY_AT_ISSU")</f>
        <v>109.47187973787578</v>
      </c>
      <c r="O717" t="str">
        <f>_xll.BDP("10608MBE Muni","BVAL_MID_YTM")</f>
        <v>#N/A Authorization</v>
      </c>
      <c r="P717" t="str">
        <f>_xll.BDP("10608MBE Muni","MUNI_TAX_PROV")</f>
        <v>FED BQ</v>
      </c>
      <c r="Q717" t="str">
        <f>_xll.BDP("10608MBE Muni","MUNI_FED_TAX")</f>
        <v>N</v>
      </c>
      <c r="R717" t="str">
        <f>_xll.BDP("10608MBE Muni","MUNI_MSRB_VOLUME")</f>
        <v>#N/A N/A</v>
      </c>
      <c r="S717" t="str">
        <f>_xll.BDP("10608MBE Muni","BB_COMPOSITE")</f>
        <v>#N/A N/A</v>
      </c>
      <c r="T717">
        <f>_xll.BDP("10608MBE Muni","LQA_LIQUIDITY_SCORE")</f>
        <v>64</v>
      </c>
    </row>
    <row r="718" spans="1:20" x14ac:dyDescent="0.25">
      <c r="A718" t="str">
        <f>_xll.BDP("106147HS Muni","ID_CUSIP")</f>
        <v>106147HS3</v>
      </c>
      <c r="B718" t="s">
        <v>258</v>
      </c>
      <c r="C718" t="str">
        <f>_xll.BDP("106147HS Muni","INSURANCE_STATUS")</f>
        <v>N</v>
      </c>
      <c r="D718" t="str">
        <f>_xll.BDP("106147HS Muni","STATE_CODE")</f>
        <v>TX</v>
      </c>
      <c r="E718" t="str">
        <f>_xll.BDP("106147HS Muni","COUNTY_LOCATION_ISSUER")</f>
        <v>Brazoria, TX</v>
      </c>
      <c r="F718">
        <f>_xll.BDP("106147HS Muni","DUR_ADJ_MID")</f>
        <v>8.0491540922899021E-2</v>
      </c>
      <c r="G718">
        <f>_xll.BDP("106147HS Muni","SPREAD_AT_ISSUANCE_TO_WORST")</f>
        <v>40.994861426825913</v>
      </c>
      <c r="H718" t="str">
        <f>_xll.BDP("106147HS Muni","ISSUE_DT")</f>
        <v>6/1/2017</v>
      </c>
      <c r="I718" t="str">
        <f>_xll.BDS("106147HS Muni","MUNI_PURPOSE_SCHED", "aggregate=y")</f>
        <v>PUBLIC IMPS. WATER UTILITY IMPS. SEWER IMPS.</v>
      </c>
      <c r="J718">
        <f>_xll.BDP("106147HS Muni","CPN")</f>
        <v>2</v>
      </c>
      <c r="K718" t="str">
        <f>_xll.BDP("106147HS Muni","MATURITY")</f>
        <v>9/1/2022</v>
      </c>
      <c r="L718">
        <v>2500000</v>
      </c>
      <c r="M718">
        <f>_xll.BDP("106147HS Muni","YIELD_ON_ISSUE_DATE")</f>
        <v>1.85</v>
      </c>
      <c r="N718">
        <f>_xll.BDP("106147HS Muni","YTW_SPREAD_TO_MATURITY_AT_ISSU")</f>
        <v>40.994861426825913</v>
      </c>
      <c r="O718" t="str">
        <f>_xll.BDP("106147HS Muni","BVAL_MID_YTM")</f>
        <v>#N/A Authorization</v>
      </c>
      <c r="P718" t="str">
        <f>_xll.BDP("106147HS Muni","MUNI_TAX_PROV")</f>
        <v>FED TAX-EXEMPT</v>
      </c>
      <c r="Q718" t="str">
        <f>_xll.BDP("106147HS Muni","MUNI_FED_TAX")</f>
        <v>N</v>
      </c>
      <c r="R718">
        <f>_xll.BDP("106147HS Muni","MUNI_MSRB_VOLUME")</f>
        <v>75000</v>
      </c>
      <c r="S718" t="str">
        <f>_xll.BDP("106147HS Muni","BB_COMPOSITE")</f>
        <v>#N/A N/A</v>
      </c>
      <c r="T718">
        <f>_xll.BDP("106147HS Muni","LQA_LIQUIDITY_SCORE")</f>
        <v>98</v>
      </c>
    </row>
    <row r="719" spans="1:20" x14ac:dyDescent="0.25">
      <c r="A719" t="str">
        <f>_xll.BDP("0902213K Muni","ID_CUSIP")</f>
        <v>0902213K6</v>
      </c>
      <c r="B719" t="s">
        <v>259</v>
      </c>
      <c r="C719" t="str">
        <f>_xll.BDP("0902213K Muni","INSURANCE_STATUS")</f>
        <v>N</v>
      </c>
      <c r="D719" t="str">
        <f>_xll.BDP("0902213K Muni","STATE_CODE")</f>
        <v>MS</v>
      </c>
      <c r="E719" t="str">
        <f>_xll.BDP("0902213K Muni","COUNTY_LOCATION_ISSUER")</f>
        <v>Harrison, MS</v>
      </c>
      <c r="F719">
        <f>_xll.BDP("0902213K Muni","DUR_ADJ_MID")</f>
        <v>2.4521615148753866</v>
      </c>
      <c r="G719">
        <f>_xll.BDP("0902213K Muni","SPREAD_AT_ISSUANCE_TO_WORST")</f>
        <v>34.204179510530878</v>
      </c>
      <c r="H719" t="str">
        <f>_xll.BDP("0902213K Muni","ISSUE_DT")</f>
        <v>3/1/2017</v>
      </c>
      <c r="I719" t="str">
        <f>_xll.BDS("0902213K Muni","MUNI_PURPOSE_SCHED", "aggregate=y")</f>
        <v>PUBLIC IMPS. WATER UTILITY IMPS.</v>
      </c>
      <c r="J719">
        <f>_xll.BDP("0902213K Muni","CPN")</f>
        <v>3</v>
      </c>
      <c r="K719" t="str">
        <f>_xll.BDP("0902213K Muni","MATURITY")</f>
        <v>3/1/2025</v>
      </c>
      <c r="L719">
        <v>460000</v>
      </c>
      <c r="M719">
        <f>_xll.BDP("0902213K Muni","YIELD_ON_ISSUE_DATE")</f>
        <v>2.4000000000000004</v>
      </c>
      <c r="N719">
        <f>_xll.BDP("0902213K Muni","YTW_SPREAD_TO_MATURITY_AT_ISSU")</f>
        <v>34.204179510530878</v>
      </c>
      <c r="O719" t="str">
        <f>_xll.BDP("0902213K Muni","BVAL_MID_YTM")</f>
        <v>#N/A Authorization</v>
      </c>
      <c r="P719" t="str">
        <f>_xll.BDP("0902213K Muni","MUNI_TAX_PROV")</f>
        <v>FED &amp; ST TAX-EXEMPT</v>
      </c>
      <c r="Q719" t="str">
        <f>_xll.BDP("0902213K Muni","MUNI_FED_TAX")</f>
        <v>N</v>
      </c>
      <c r="R719" t="str">
        <f>_xll.BDP("0902213K Muni","MUNI_MSRB_VOLUME")</f>
        <v>#N/A N/A</v>
      </c>
      <c r="S719" t="str">
        <f>_xll.BDP("0902213K Muni","BB_COMPOSITE")</f>
        <v>#N/A N/A</v>
      </c>
      <c r="T719">
        <f>_xll.BDP("0902213K Muni","LQA_LIQUIDITY_SCORE")</f>
        <v>70</v>
      </c>
    </row>
    <row r="720" spans="1:20" x14ac:dyDescent="0.25">
      <c r="A720" t="str">
        <f>_xll.BDP("107115NY Muni","ID_CUSIP")</f>
        <v>107115NY9</v>
      </c>
      <c r="B720" t="s">
        <v>252</v>
      </c>
      <c r="C720" t="str">
        <f>_xll.BDP("107115NY Muni","INSURANCE_STATUS")</f>
        <v>N</v>
      </c>
      <c r="D720" t="str">
        <f>_xll.BDP("107115NY Muni","STATE_CODE")</f>
        <v>TX</v>
      </c>
      <c r="E720" t="str">
        <f>_xll.BDP("107115NY Muni","COUNTY_LOCATION_ISSUER")</f>
        <v>Washington, TX</v>
      </c>
      <c r="F720">
        <f>_xll.BDP("107115NY Muni","DUR_ADJ_MID")</f>
        <v>0.99856416877133269</v>
      </c>
      <c r="G720">
        <f>_xll.BDP("107115NY Muni","SPREAD_AT_ISSUANCE_TO_WORST")</f>
        <v>15.119273972602754</v>
      </c>
      <c r="H720" t="str">
        <f>_xll.BDP("107115NY Muni","ISSUE_DT")</f>
        <v>12/21/2017</v>
      </c>
      <c r="I720" t="str">
        <f>_xll.BDS("107115NY Muni","MUNI_PURPOSE_SCHED", "aggregate=y")</f>
        <v>WATER UTILITY IMPS. SEWER IMPS. PUBLIC IMPS.</v>
      </c>
      <c r="J720">
        <f>_xll.BDP("107115NY Muni","CPN")</f>
        <v>4</v>
      </c>
      <c r="K720" t="str">
        <f>_xll.BDP("107115NY Muni","MATURITY")</f>
        <v>8/15/2023</v>
      </c>
      <c r="L720">
        <v>160000</v>
      </c>
      <c r="M720">
        <f>_xll.BDP("107115NY Muni","YIELD_ON_ISSUE_DATE")</f>
        <v>1.8</v>
      </c>
      <c r="N720">
        <f>_xll.BDP("107115NY Muni","YTW_SPREAD_TO_MATURITY_AT_ISSU")</f>
        <v>15.119273972602754</v>
      </c>
      <c r="O720" t="str">
        <f>_xll.BDP("107115NY Muni","BVAL_MID_YTM")</f>
        <v>#N/A Authorization</v>
      </c>
      <c r="P720" t="str">
        <f>_xll.BDP("107115NY Muni","MUNI_TAX_PROV")</f>
        <v>FED BQ</v>
      </c>
      <c r="Q720" t="str">
        <f>_xll.BDP("107115NY Muni","MUNI_FED_TAX")</f>
        <v>N</v>
      </c>
      <c r="R720" t="str">
        <f>_xll.BDP("107115NY Muni","MUNI_MSRB_VOLUME")</f>
        <v>#N/A N/A</v>
      </c>
      <c r="S720" t="str">
        <f>_xll.BDP("107115NY Muni","BB_COMPOSITE")</f>
        <v>#N/A N/A</v>
      </c>
      <c r="T720">
        <f>_xll.BDP("107115NY Muni","LQA_LIQUIDITY_SCORE")</f>
        <v>91</v>
      </c>
    </row>
    <row r="721" spans="1:20" x14ac:dyDescent="0.25">
      <c r="A721" t="str">
        <f>_xll.BDP("107115NZ Muni","ID_CUSIP")</f>
        <v>107115NZ6</v>
      </c>
      <c r="B721" t="s">
        <v>252</v>
      </c>
      <c r="C721" t="str">
        <f>_xll.BDP("107115NZ Muni","INSURANCE_STATUS")</f>
        <v>N</v>
      </c>
      <c r="D721" t="str">
        <f>_xll.BDP("107115NZ Muni","STATE_CODE")</f>
        <v>TX</v>
      </c>
      <c r="E721" t="str">
        <f>_xll.BDP("107115NZ Muni","COUNTY_LOCATION_ISSUER")</f>
        <v>Washington, TX</v>
      </c>
      <c r="F721">
        <f>_xll.BDP("107115NZ Muni","DUR_ADJ_MID")</f>
        <v>1.923194769464545</v>
      </c>
      <c r="G721">
        <f>_xll.BDP("107115NZ Muni","SPREAD_AT_ISSUANCE_TO_WORST")</f>
        <v>19.218873972602736</v>
      </c>
      <c r="H721" t="str">
        <f>_xll.BDP("107115NZ Muni","ISSUE_DT")</f>
        <v>12/21/2017</v>
      </c>
      <c r="I721" t="str">
        <f>_xll.BDS("107115NZ Muni","MUNI_PURPOSE_SCHED", "aggregate=y")</f>
        <v>WATER UTILITY IMPS. SEWER IMPS. PUBLIC IMPS.</v>
      </c>
      <c r="J721">
        <f>_xll.BDP("107115NZ Muni","CPN")</f>
        <v>4</v>
      </c>
      <c r="K721" t="str">
        <f>_xll.BDP("107115NZ Muni","MATURITY")</f>
        <v>8/15/2024</v>
      </c>
      <c r="L721">
        <v>170000</v>
      </c>
      <c r="M721">
        <f>_xll.BDP("107115NZ Muni","YIELD_ON_ISSUE_DATE")</f>
        <v>1.9000000000000001</v>
      </c>
      <c r="N721">
        <f>_xll.BDP("107115NZ Muni","YTW_SPREAD_TO_MATURITY_AT_ISSU")</f>
        <v>19.218873972602736</v>
      </c>
      <c r="O721" t="str">
        <f>_xll.BDP("107115NZ Muni","BVAL_MID_YTM")</f>
        <v>#N/A Authorization</v>
      </c>
      <c r="P721" t="str">
        <f>_xll.BDP("107115NZ Muni","MUNI_TAX_PROV")</f>
        <v>FED BQ</v>
      </c>
      <c r="Q721" t="str">
        <f>_xll.BDP("107115NZ Muni","MUNI_FED_TAX")</f>
        <v>N</v>
      </c>
      <c r="R721" t="str">
        <f>_xll.BDP("107115NZ Muni","MUNI_MSRB_VOLUME")</f>
        <v>#N/A N/A</v>
      </c>
      <c r="S721" t="str">
        <f>_xll.BDP("107115NZ Muni","BB_COMPOSITE")</f>
        <v>#N/A N/A</v>
      </c>
      <c r="T721">
        <f>_xll.BDP("107115NZ Muni","LQA_LIQUIDITY_SCORE")</f>
        <v>85</v>
      </c>
    </row>
    <row r="722" spans="1:20" x14ac:dyDescent="0.25">
      <c r="A722" t="str">
        <f>_xll.BDP("107115PA Muni","ID_CUSIP")</f>
        <v>107115PA9</v>
      </c>
      <c r="B722" t="s">
        <v>252</v>
      </c>
      <c r="C722" t="str">
        <f>_xll.BDP("107115PA Muni","INSURANCE_STATUS")</f>
        <v>N</v>
      </c>
      <c r="D722" t="str">
        <f>_xll.BDP("107115PA Muni","STATE_CODE")</f>
        <v>TX</v>
      </c>
      <c r="E722" t="str">
        <f>_xll.BDP("107115PA Muni","COUNTY_LOCATION_ISSUER")</f>
        <v>Washington, TX</v>
      </c>
      <c r="F722">
        <f>_xll.BDP("107115PA Muni","DUR_ADJ_MID")</f>
        <v>2.8142434417334057</v>
      </c>
      <c r="G722">
        <f>_xll.BDP("107115PA Muni","SPREAD_AT_ISSUANCE_TO_WORST")</f>
        <v>16.896504109589028</v>
      </c>
      <c r="H722" t="str">
        <f>_xll.BDP("107115PA Muni","ISSUE_DT")</f>
        <v>12/21/2017</v>
      </c>
      <c r="I722" t="str">
        <f>_xll.BDS("107115PA Muni","MUNI_PURPOSE_SCHED", "aggregate=y")</f>
        <v>WATER UTILITY IMPS. SEWER IMPS. PUBLIC IMPS.</v>
      </c>
      <c r="J722">
        <f>_xll.BDP("107115PA Muni","CPN")</f>
        <v>4</v>
      </c>
      <c r="K722" t="str">
        <f>_xll.BDP("107115PA Muni","MATURITY")</f>
        <v>8/15/2025</v>
      </c>
      <c r="L722">
        <v>175000</v>
      </c>
      <c r="M722">
        <f>_xll.BDP("107115PA Muni","YIELD_ON_ISSUE_DATE")</f>
        <v>1.95</v>
      </c>
      <c r="N722">
        <f>_xll.BDP("107115PA Muni","YTW_SPREAD_TO_MATURITY_AT_ISSU")</f>
        <v>16.896504109589028</v>
      </c>
      <c r="O722" t="str">
        <f>_xll.BDP("107115PA Muni","BVAL_MID_YTM")</f>
        <v>#N/A Authorization</v>
      </c>
      <c r="P722" t="str">
        <f>_xll.BDP("107115PA Muni","MUNI_TAX_PROV")</f>
        <v>FED BQ</v>
      </c>
      <c r="Q722" t="str">
        <f>_xll.BDP("107115PA Muni","MUNI_FED_TAX")</f>
        <v>N</v>
      </c>
      <c r="R722">
        <f>_xll.BDP("107115PA Muni","MUNI_MSRB_VOLUME")</f>
        <v>10000</v>
      </c>
      <c r="S722" t="str">
        <f>_xll.BDP("107115PA Muni","BB_COMPOSITE")</f>
        <v>#N/A N/A</v>
      </c>
      <c r="T722">
        <f>_xll.BDP("107115PA Muni","LQA_LIQUIDITY_SCORE")</f>
        <v>79</v>
      </c>
    </row>
    <row r="723" spans="1:20" x14ac:dyDescent="0.25">
      <c r="A723" t="str">
        <f>_xll.BDP("107115PB Muni","ID_CUSIP")</f>
        <v>107115PB7</v>
      </c>
      <c r="B723" t="s">
        <v>252</v>
      </c>
      <c r="C723" t="str">
        <f>_xll.BDP("107115PB Muni","INSURANCE_STATUS")</f>
        <v>N</v>
      </c>
      <c r="D723" t="str">
        <f>_xll.BDP("107115PB Muni","STATE_CODE")</f>
        <v>TX</v>
      </c>
      <c r="E723" t="str">
        <f>_xll.BDP("107115PB Muni","COUNTY_LOCATION_ISSUER")</f>
        <v>Washington, TX</v>
      </c>
      <c r="F723">
        <f>_xll.BDP("107115PB Muni","DUR_ADJ_MID")</f>
        <v>3.6734472594847496</v>
      </c>
      <c r="G723">
        <f>_xll.BDP("107115PB Muni","SPREAD_AT_ISSUANCE_TO_WORST")</f>
        <v>15.174895890410966</v>
      </c>
      <c r="H723" t="str">
        <f>_xll.BDP("107115PB Muni","ISSUE_DT")</f>
        <v>12/21/2017</v>
      </c>
      <c r="I723" t="str">
        <f>_xll.BDS("107115PB Muni","MUNI_PURPOSE_SCHED", "aggregate=y")</f>
        <v>WATER UTILITY IMPS. SEWER IMPS. PUBLIC IMPS.</v>
      </c>
      <c r="J723">
        <f>_xll.BDP("107115PB Muni","CPN")</f>
        <v>4</v>
      </c>
      <c r="K723" t="str">
        <f>_xll.BDP("107115PB Muni","MATURITY")</f>
        <v>8/15/2026</v>
      </c>
      <c r="L723">
        <v>180000</v>
      </c>
      <c r="M723">
        <f>_xll.BDP("107115PB Muni","YIELD_ON_ISSUE_DATE")</f>
        <v>2</v>
      </c>
      <c r="N723">
        <f>_xll.BDP("107115PB Muni","YTW_SPREAD_TO_MATURITY_AT_ISSU")</f>
        <v>15.174895890410966</v>
      </c>
      <c r="O723" t="str">
        <f>_xll.BDP("107115PB Muni","BVAL_MID_YTM")</f>
        <v>#N/A Authorization</v>
      </c>
      <c r="P723" t="str">
        <f>_xll.BDP("107115PB Muni","MUNI_TAX_PROV")</f>
        <v>FED BQ</v>
      </c>
      <c r="Q723" t="str">
        <f>_xll.BDP("107115PB Muni","MUNI_FED_TAX")</f>
        <v>N</v>
      </c>
      <c r="R723" t="str">
        <f>_xll.BDP("107115PB Muni","MUNI_MSRB_VOLUME")</f>
        <v>#N/A N/A</v>
      </c>
      <c r="S723" t="str">
        <f>_xll.BDP("107115PB Muni","BB_COMPOSITE")</f>
        <v>#N/A N/A</v>
      </c>
      <c r="T723">
        <f>_xll.BDP("107115PB Muni","LQA_LIQUIDITY_SCORE")</f>
        <v>73</v>
      </c>
    </row>
    <row r="724" spans="1:20" x14ac:dyDescent="0.25">
      <c r="A724" t="str">
        <f>_xll.BDP("105025Y6 Muni","ID_CUSIP")</f>
        <v>105025Y61</v>
      </c>
      <c r="B724" t="s">
        <v>253</v>
      </c>
      <c r="C724" t="str">
        <f>_xll.BDP("105025Y6 Muni","INSURANCE_STATUS")</f>
        <v>N</v>
      </c>
      <c r="D724" t="str">
        <f>_xll.BDP("105025Y6 Muni","STATE_CODE")</f>
        <v>MA</v>
      </c>
      <c r="E724" t="str">
        <f>_xll.BDP("105025Y6 Muni","COUNTY_LOCATION_ISSUER")</f>
        <v>Norfolk, MA</v>
      </c>
      <c r="F724">
        <f>_xll.BDP("105025Y6 Muni","DUR_ADJ_MID")</f>
        <v>0.77181327229256969</v>
      </c>
      <c r="G724">
        <f>_xll.BDP("105025Y6 Muni","SPREAD_AT_ISSUANCE_TO_WORST")</f>
        <v>0.79061955516193105</v>
      </c>
      <c r="H724" t="str">
        <f>_xll.BDP("105025Y6 Muni","ISSUE_DT")</f>
        <v>5/25/2017</v>
      </c>
      <c r="I724" t="str">
        <f>_xll.BDS("105025Y6 Muni","MUNI_PURPOSE_SCHED", "aggregate=y")</f>
        <v>PUBLIC IMPS. WATER UTILITY IMPS. SCHOOL IMPS.</v>
      </c>
      <c r="J724">
        <f>_xll.BDP("105025Y6 Muni","CPN")</f>
        <v>4</v>
      </c>
      <c r="K724" t="str">
        <f>_xll.BDP("105025Y6 Muni","MATURITY")</f>
        <v>5/15/2023</v>
      </c>
      <c r="L724">
        <v>440000</v>
      </c>
      <c r="M724">
        <f>_xll.BDP("105025Y6 Muni","YIELD_ON_ISSUE_DATE")</f>
        <v>1.5</v>
      </c>
      <c r="N724">
        <f>_xll.BDP("105025Y6 Muni","YTW_SPREAD_TO_MATURITY_AT_ISSU")</f>
        <v>0.79061955516193105</v>
      </c>
      <c r="O724" t="str">
        <f>_xll.BDP("105025Y6 Muni","BVAL_MID_YTM")</f>
        <v>#N/A Authorization</v>
      </c>
      <c r="P724" t="str">
        <f>_xll.BDP("105025Y6 Muni","MUNI_TAX_PROV")</f>
        <v>FED BQ/ST TAX-EXEMPT</v>
      </c>
      <c r="Q724" t="str">
        <f>_xll.BDP("105025Y6 Muni","MUNI_FED_TAX")</f>
        <v>N</v>
      </c>
      <c r="R724" t="str">
        <f>_xll.BDP("105025Y6 Muni","MUNI_MSRB_VOLUME")</f>
        <v>#N/A N/A</v>
      </c>
      <c r="S724" t="str">
        <f>_xll.BDP("105025Y6 Muni","BB_COMPOSITE")</f>
        <v>#N/A N/A</v>
      </c>
      <c r="T724">
        <f>_xll.BDP("105025Y6 Muni","LQA_LIQUIDITY_SCORE")</f>
        <v>95</v>
      </c>
    </row>
    <row r="725" spans="1:20" x14ac:dyDescent="0.25">
      <c r="A725" t="str">
        <f>_xll.BDP("105025Y8 Muni","ID_CUSIP")</f>
        <v>105025Y87</v>
      </c>
      <c r="B725" t="s">
        <v>253</v>
      </c>
      <c r="C725" t="str">
        <f>_xll.BDP("105025Y8 Muni","INSURANCE_STATUS")</f>
        <v>N</v>
      </c>
      <c r="D725" t="str">
        <f>_xll.BDP("105025Y8 Muni","STATE_CODE")</f>
        <v>MA</v>
      </c>
      <c r="E725" t="str">
        <f>_xll.BDP("105025Y8 Muni","COUNTY_LOCATION_ISSUER")</f>
        <v>Norfolk, MA</v>
      </c>
      <c r="F725">
        <f>_xll.BDP("105025Y8 Muni","DUR_ADJ_MID")</f>
        <v>2.6258592723156964</v>
      </c>
      <c r="G725">
        <f>_xll.BDP("105025Y8 Muni","SPREAD_AT_ISSUANCE_TO_WORST")</f>
        <v>3.1979562293604546</v>
      </c>
      <c r="H725" t="str">
        <f>_xll.BDP("105025Y8 Muni","ISSUE_DT")</f>
        <v>5/25/2017</v>
      </c>
      <c r="I725" t="str">
        <f>_xll.BDS("105025Y8 Muni","MUNI_PURPOSE_SCHED", "aggregate=y")</f>
        <v>PUBLIC IMPS. WATER UTILITY IMPS. SCHOOL IMPS.</v>
      </c>
      <c r="J725">
        <f>_xll.BDP("105025Y8 Muni","CPN")</f>
        <v>4</v>
      </c>
      <c r="K725" t="str">
        <f>_xll.BDP("105025Y8 Muni","MATURITY")</f>
        <v>5/15/2025</v>
      </c>
      <c r="L725">
        <v>425000</v>
      </c>
      <c r="M725">
        <f>_xll.BDP("105025Y8 Muni","YIELD_ON_ISSUE_DATE")</f>
        <v>1.85</v>
      </c>
      <c r="N725">
        <f>_xll.BDP("105025Y8 Muni","YTW_SPREAD_TO_MATURITY_AT_ISSU")</f>
        <v>3.1979562293604546</v>
      </c>
      <c r="O725" t="str">
        <f>_xll.BDP("105025Y8 Muni","BVAL_MID_YTM")</f>
        <v>#N/A Authorization</v>
      </c>
      <c r="P725" t="str">
        <f>_xll.BDP("105025Y8 Muni","MUNI_TAX_PROV")</f>
        <v>FED BQ/ST TAX-EXEMPT</v>
      </c>
      <c r="Q725" t="str">
        <f>_xll.BDP("105025Y8 Muni","MUNI_FED_TAX")</f>
        <v>N</v>
      </c>
      <c r="R725" t="str">
        <f>_xll.BDP("105025Y8 Muni","MUNI_MSRB_VOLUME")</f>
        <v>#N/A N/A</v>
      </c>
      <c r="S725" t="str">
        <f>_xll.BDP("105025Y8 Muni","BB_COMPOSITE")</f>
        <v>#N/A N/A</v>
      </c>
      <c r="T725">
        <f>_xll.BDP("105025Y8 Muni","LQA_LIQUIDITY_SCORE")</f>
        <v>78</v>
      </c>
    </row>
    <row r="726" spans="1:20" x14ac:dyDescent="0.25">
      <c r="A726" t="str">
        <f>_xll.BDP("105025Z2 Muni","ID_CUSIP")</f>
        <v>105025Z29</v>
      </c>
      <c r="B726" t="s">
        <v>253</v>
      </c>
      <c r="C726" t="str">
        <f>_xll.BDP("105025Z2 Muni","INSURANCE_STATUS")</f>
        <v>N</v>
      </c>
      <c r="D726" t="str">
        <f>_xll.BDP("105025Z2 Muni","STATE_CODE")</f>
        <v>MA</v>
      </c>
      <c r="E726" t="str">
        <f>_xll.BDP("105025Z2 Muni","COUNTY_LOCATION_ISSUER")</f>
        <v>Norfolk, MA</v>
      </c>
      <c r="F726">
        <f>_xll.BDP("105025Z2 Muni","DUR_ADJ_MID")</f>
        <v>4.3507769122003674</v>
      </c>
      <c r="G726">
        <f>_xll.BDP("105025Z2 Muni","SPREAD_AT_ISSUANCE_TO_WORST")</f>
        <v>1.8448478071608765</v>
      </c>
      <c r="H726" t="str">
        <f>_xll.BDP("105025Z2 Muni","ISSUE_DT")</f>
        <v>5/25/2017</v>
      </c>
      <c r="I726" t="str">
        <f>_xll.BDS("105025Z2 Muni","MUNI_PURPOSE_SCHED", "aggregate=y")</f>
        <v>PUBLIC IMPS. WATER UTILITY IMPS. SCHOOL IMPS.</v>
      </c>
      <c r="J726">
        <f>_xll.BDP("105025Z2 Muni","CPN")</f>
        <v>4</v>
      </c>
      <c r="K726" t="str">
        <f>_xll.BDP("105025Z2 Muni","MATURITY")</f>
        <v>5/15/2027</v>
      </c>
      <c r="L726">
        <v>420000</v>
      </c>
      <c r="M726">
        <f>_xll.BDP("105025Z2 Muni","YIELD_ON_ISSUE_DATE")</f>
        <v>2.1</v>
      </c>
      <c r="N726">
        <f>_xll.BDP("105025Z2 Muni","YTW_SPREAD_TO_MATURITY_AT_ISSU")</f>
        <v>1.8448478071608765</v>
      </c>
      <c r="O726" t="str">
        <f>_xll.BDP("105025Z2 Muni","BVAL_MID_YTM")</f>
        <v>#N/A Authorization</v>
      </c>
      <c r="P726" t="str">
        <f>_xll.BDP("105025Z2 Muni","MUNI_TAX_PROV")</f>
        <v>FED BQ/ST TAX-EXEMPT</v>
      </c>
      <c r="Q726" t="str">
        <f>_xll.BDP("105025Z2 Muni","MUNI_FED_TAX")</f>
        <v>N</v>
      </c>
      <c r="R726" t="str">
        <f>_xll.BDP("105025Z2 Muni","MUNI_MSRB_VOLUME")</f>
        <v>#N/A N/A</v>
      </c>
      <c r="S726" t="str">
        <f>_xll.BDP("105025Z2 Muni","BB_COMPOSITE")</f>
        <v>#N/A N/A</v>
      </c>
      <c r="T726">
        <f>_xll.BDP("105025Z2 Muni","LQA_LIQUIDITY_SCORE")</f>
        <v>59</v>
      </c>
    </row>
    <row r="727" spans="1:20" x14ac:dyDescent="0.25">
      <c r="A727" t="str">
        <f>_xll.BDP("10605QBE Muni","ID_CUSIP")</f>
        <v>10605QBE9</v>
      </c>
      <c r="B727" t="s">
        <v>260</v>
      </c>
      <c r="C727" t="str">
        <f>_xll.BDP("10605QBE Muni","INSURANCE_STATUS")</f>
        <v>Y</v>
      </c>
      <c r="D727" t="str">
        <f>_xll.BDP("10605QBE Muni","STATE_CODE")</f>
        <v>TX</v>
      </c>
      <c r="E727" t="str">
        <f>_xll.BDP("10605QBE Muni","COUNTY_LOCATION_ISSUER")</f>
        <v>Brazoria, TX</v>
      </c>
      <c r="F727">
        <f>_xll.BDP("10605QBE Muni","DUR_ADJ_MID")</f>
        <v>8.0456694408011079E-2</v>
      </c>
      <c r="G727">
        <f>_xll.BDP("10605QBE Muni","SPREAD_AT_ISSUANCE_TO_WORST")</f>
        <v>52.4075911745431</v>
      </c>
      <c r="H727" t="str">
        <f>_xll.BDP("10605QBE Muni","ISSUE_DT")</f>
        <v>5/1/2017</v>
      </c>
      <c r="I727" t="str">
        <f>_xll.BDS("10605QBE Muni","MUNI_PURPOSE_SCHED", "aggregate=y")</f>
        <v>REFUNDING NOTES WATER UTILITY IMPS. SEWER IMPS.</v>
      </c>
      <c r="J727">
        <f>_xll.BDP("10605QBE Muni","CPN")</f>
        <v>4.75</v>
      </c>
      <c r="K727" t="str">
        <f>_xll.BDP("10605QBE Muni","MATURITY")</f>
        <v>9/1/2022</v>
      </c>
      <c r="L727">
        <v>150000</v>
      </c>
      <c r="M727">
        <f>_xll.BDP("10605QBE Muni","YIELD_ON_ISSUE_DATE")</f>
        <v>1.95</v>
      </c>
      <c r="N727">
        <f>_xll.BDP("10605QBE Muni","YTW_SPREAD_TO_MATURITY_AT_ISSU")</f>
        <v>52.4075911745431</v>
      </c>
      <c r="O727" t="str">
        <f>_xll.BDP("10605QBE Muni","BVAL_MID_YTM")</f>
        <v>#N/A Authorization</v>
      </c>
      <c r="P727" t="str">
        <f>_xll.BDP("10605QBE Muni","MUNI_TAX_PROV")</f>
        <v>FED BQ</v>
      </c>
      <c r="Q727" t="str">
        <f>_xll.BDP("10605QBE Muni","MUNI_FED_TAX")</f>
        <v>N</v>
      </c>
      <c r="R727" t="str">
        <f>_xll.BDP("10605QBE Muni","MUNI_MSRB_VOLUME")</f>
        <v>#N/A N/A</v>
      </c>
      <c r="S727" t="str">
        <f>_xll.BDP("10605QBE Muni","BB_COMPOSITE")</f>
        <v>#N/A N/A</v>
      </c>
      <c r="T727">
        <f>_xll.BDP("10605QBE Muni","LQA_LIQUIDITY_SCORE")</f>
        <v>95</v>
      </c>
    </row>
    <row r="728" spans="1:20" x14ac:dyDescent="0.25">
      <c r="A728" t="str">
        <f>_xll.BDP("10605QBF Muni","ID_CUSIP")</f>
        <v>10605QBF6</v>
      </c>
      <c r="B728" t="s">
        <v>260</v>
      </c>
      <c r="C728" t="str">
        <f>_xll.BDP("10605QBF Muni","INSURANCE_STATUS")</f>
        <v>Y</v>
      </c>
      <c r="D728" t="str">
        <f>_xll.BDP("10605QBF Muni","STATE_CODE")</f>
        <v>TX</v>
      </c>
      <c r="E728" t="str">
        <f>_xll.BDP("10605QBF Muni","COUNTY_LOCATION_ISSUER")</f>
        <v>Brazoria, TX</v>
      </c>
      <c r="F728">
        <f>_xll.BDP("10605QBF Muni","DUR_ADJ_MID")</f>
        <v>1.0357336100936443</v>
      </c>
      <c r="G728">
        <f>_xll.BDP("10605QBF Muni","SPREAD_AT_ISSUANCE_TO_WORST")</f>
        <v>55.992577034513722</v>
      </c>
      <c r="H728" t="str">
        <f>_xll.BDP("10605QBF Muni","ISSUE_DT")</f>
        <v>5/1/2017</v>
      </c>
      <c r="I728" t="str">
        <f>_xll.BDS("10605QBF Muni","MUNI_PURPOSE_SCHED", "aggregate=y")</f>
        <v>REFUNDING NOTES WATER UTILITY IMPS. SEWER IMPS.</v>
      </c>
      <c r="J728">
        <f>_xll.BDP("10605QBF Muni","CPN")</f>
        <v>4.75</v>
      </c>
      <c r="K728" t="str">
        <f>_xll.BDP("10605QBF Muni","MATURITY")</f>
        <v>9/1/2023</v>
      </c>
      <c r="L728">
        <v>155000</v>
      </c>
      <c r="M728">
        <f>_xll.BDP("10605QBF Muni","YIELD_ON_ISSUE_DATE")</f>
        <v>2.15</v>
      </c>
      <c r="N728">
        <f>_xll.BDP("10605QBF Muni","YTW_SPREAD_TO_MATURITY_AT_ISSU")</f>
        <v>55.992577034513722</v>
      </c>
      <c r="O728" t="str">
        <f>_xll.BDP("10605QBF Muni","BVAL_MID_YTM")</f>
        <v>#N/A Authorization</v>
      </c>
      <c r="P728" t="str">
        <f>_xll.BDP("10605QBF Muni","MUNI_TAX_PROV")</f>
        <v>FED BQ</v>
      </c>
      <c r="Q728" t="str">
        <f>_xll.BDP("10605QBF Muni","MUNI_FED_TAX")</f>
        <v>N</v>
      </c>
      <c r="R728" t="str">
        <f>_xll.BDP("10605QBF Muni","MUNI_MSRB_VOLUME")</f>
        <v>#N/A N/A</v>
      </c>
      <c r="S728" t="str">
        <f>_xll.BDP("10605QBF Muni","BB_COMPOSITE")</f>
        <v>#N/A N/A</v>
      </c>
      <c r="T728">
        <f>_xll.BDP("10605QBF Muni","LQA_LIQUIDITY_SCORE")</f>
        <v>87</v>
      </c>
    </row>
    <row r="729" spans="1:20" x14ac:dyDescent="0.25">
      <c r="A729" t="str">
        <f>_xll.BDP("10605QBG Muni","ID_CUSIP")</f>
        <v>10605QBG4</v>
      </c>
      <c r="B729" t="s">
        <v>260</v>
      </c>
      <c r="C729" t="str">
        <f>_xll.BDP("10605QBG Muni","INSURANCE_STATUS")</f>
        <v>Y</v>
      </c>
      <c r="D729" t="str">
        <f>_xll.BDP("10605QBG Muni","STATE_CODE")</f>
        <v>TX</v>
      </c>
      <c r="E729" t="str">
        <f>_xll.BDP("10605QBG Muni","COUNTY_LOCATION_ISSUER")</f>
        <v>Brazoria, TX</v>
      </c>
      <c r="F729">
        <f>_xll.BDP("10605QBG Muni","DUR_ADJ_MID")</f>
        <v>2.0019138891419503</v>
      </c>
      <c r="G729">
        <f>_xll.BDP("10605QBG Muni","SPREAD_AT_ISSUANCE_TO_WORST")</f>
        <v>59.739828696939099</v>
      </c>
      <c r="H729" t="str">
        <f>_xll.BDP("10605QBG Muni","ISSUE_DT")</f>
        <v>5/1/2017</v>
      </c>
      <c r="I729" t="str">
        <f>_xll.BDS("10605QBG Muni","MUNI_PURPOSE_SCHED", "aggregate=y")</f>
        <v>REFUNDING NOTES WATER UTILITY IMPS. SEWER IMPS.</v>
      </c>
      <c r="J729">
        <f>_xll.BDP("10605QBG Muni","CPN")</f>
        <v>2.25</v>
      </c>
      <c r="K729" t="str">
        <f>_xll.BDP("10605QBG Muni","MATURITY")</f>
        <v>9/1/2024</v>
      </c>
      <c r="L729">
        <v>160000</v>
      </c>
      <c r="M729">
        <f>_xll.BDP("10605QBG Muni","YIELD_ON_ISSUE_DATE")</f>
        <v>2.35</v>
      </c>
      <c r="N729">
        <f>_xll.BDP("10605QBG Muni","YTW_SPREAD_TO_MATURITY_AT_ISSU")</f>
        <v>59.739828696939099</v>
      </c>
      <c r="O729" t="str">
        <f>_xll.BDP("10605QBG Muni","BVAL_MID_YTM")</f>
        <v>#N/A Authorization</v>
      </c>
      <c r="P729" t="str">
        <f>_xll.BDP("10605QBG Muni","MUNI_TAX_PROV")</f>
        <v>FED BQ</v>
      </c>
      <c r="Q729" t="str">
        <f>_xll.BDP("10605QBG Muni","MUNI_FED_TAX")</f>
        <v>N</v>
      </c>
      <c r="R729" t="str">
        <f>_xll.BDP("10605QBG Muni","MUNI_MSRB_VOLUME")</f>
        <v>#N/A N/A</v>
      </c>
      <c r="S729" t="str">
        <f>_xll.BDP("10605QBG Muni","BB_COMPOSITE")</f>
        <v>#N/A N/A</v>
      </c>
      <c r="T729">
        <f>_xll.BDP("10605QBG Muni","LQA_LIQUIDITY_SCORE")</f>
        <v>68</v>
      </c>
    </row>
    <row r="730" spans="1:20" x14ac:dyDescent="0.25">
      <c r="A730" t="str">
        <f>_xll.BDP("10605QBH Muni","ID_CUSIP")</f>
        <v>10605QBH2</v>
      </c>
      <c r="B730" t="s">
        <v>260</v>
      </c>
      <c r="C730" t="str">
        <f>_xll.BDP("10605QBH Muni","INSURANCE_STATUS")</f>
        <v>Y</v>
      </c>
      <c r="D730" t="str">
        <f>_xll.BDP("10605QBH Muni","STATE_CODE")</f>
        <v>TX</v>
      </c>
      <c r="E730" t="str">
        <f>_xll.BDP("10605QBH Muni","COUNTY_LOCATION_ISSUER")</f>
        <v>Brazoria, TX</v>
      </c>
      <c r="F730">
        <f>_xll.BDP("10605QBH Muni","DUR_ADJ_MID")</f>
        <v>2.9178221053855595</v>
      </c>
      <c r="G730">
        <f>_xll.BDP("10605QBH Muni","SPREAD_AT_ISSUANCE_TO_WORST")</f>
        <v>74.344340973043586</v>
      </c>
      <c r="H730" t="str">
        <f>_xll.BDP("10605QBH Muni","ISSUE_DT")</f>
        <v>5/1/2017</v>
      </c>
      <c r="I730" t="str">
        <f>_xll.BDS("10605QBH Muni","MUNI_PURPOSE_SCHED", "aggregate=y")</f>
        <v>REFUNDING NOTES WATER UTILITY IMPS. SEWER IMPS.</v>
      </c>
      <c r="J730">
        <f>_xll.BDP("10605QBH Muni","CPN")</f>
        <v>2.5</v>
      </c>
      <c r="K730" t="str">
        <f>_xll.BDP("10605QBH Muni","MATURITY")</f>
        <v>9/1/2025</v>
      </c>
      <c r="L730">
        <v>170000</v>
      </c>
      <c r="M730">
        <f>_xll.BDP("10605QBH Muni","YIELD_ON_ISSUE_DATE")</f>
        <v>2.65</v>
      </c>
      <c r="N730">
        <f>_xll.BDP("10605QBH Muni","YTW_SPREAD_TO_MATURITY_AT_ISSU")</f>
        <v>74.344340973043586</v>
      </c>
      <c r="O730" t="str">
        <f>_xll.BDP("10605QBH Muni","BVAL_MID_YTM")</f>
        <v>#N/A Authorization</v>
      </c>
      <c r="P730" t="str">
        <f>_xll.BDP("10605QBH Muni","MUNI_TAX_PROV")</f>
        <v>FED BQ</v>
      </c>
      <c r="Q730" t="str">
        <f>_xll.BDP("10605QBH Muni","MUNI_FED_TAX")</f>
        <v>N</v>
      </c>
      <c r="R730" t="str">
        <f>_xll.BDP("10605QBH Muni","MUNI_MSRB_VOLUME")</f>
        <v>#N/A N/A</v>
      </c>
      <c r="S730" t="str">
        <f>_xll.BDP("10605QBH Muni","BB_COMPOSITE")</f>
        <v>#N/A N/A</v>
      </c>
      <c r="T730">
        <f>_xll.BDP("10605QBH Muni","LQA_LIQUIDITY_SCORE")</f>
        <v>56</v>
      </c>
    </row>
    <row r="731" spans="1:20" x14ac:dyDescent="0.25">
      <c r="A731" t="str">
        <f>_xll.BDP("10606KFZ Muni","ID_CUSIP")</f>
        <v>10606KFZ0</v>
      </c>
      <c r="B731" t="s">
        <v>261</v>
      </c>
      <c r="C731" t="str">
        <f>_xll.BDP("10606KFZ Muni","INSURANCE_STATUS")</f>
        <v>Y</v>
      </c>
      <c r="D731" t="str">
        <f>_xll.BDP("10606KFZ Muni","STATE_CODE")</f>
        <v>TX</v>
      </c>
      <c r="E731" t="str">
        <f>_xll.BDP("10606KFZ Muni","COUNTY_LOCATION_ISSUER")</f>
        <v>Brazoria, TX</v>
      </c>
      <c r="F731">
        <f>_xll.BDP("10606KFZ Muni","DUR_ADJ_MID")</f>
        <v>8.044804233238162E-2</v>
      </c>
      <c r="G731">
        <f>_xll.BDP("10606KFZ Muni","SPREAD_AT_ISSUANCE_TO_WORST")</f>
        <v>79.331750068278041</v>
      </c>
      <c r="H731" t="str">
        <f>_xll.BDP("10606KFZ Muni","ISSUE_DT")</f>
        <v>1/1/2017</v>
      </c>
      <c r="I731" t="str">
        <f>_xll.BDS("10606KFZ Muni","MUNI_PURPOSE_SCHED", "aggregate=y")</f>
        <v>WATER UTILITY IMPS. SEWER IMPS. PUBLIC IMPS.</v>
      </c>
      <c r="J731">
        <f>_xll.BDP("10606KFZ Muni","CPN")</f>
        <v>3</v>
      </c>
      <c r="K731" t="str">
        <f>_xll.BDP("10606KFZ Muni","MATURITY")</f>
        <v>9/1/2022</v>
      </c>
      <c r="L731">
        <v>125000</v>
      </c>
      <c r="M731">
        <f>_xll.BDP("10606KFZ Muni","YIELD_ON_ISSUE_DATE")</f>
        <v>2.75</v>
      </c>
      <c r="N731">
        <f>_xll.BDP("10606KFZ Muni","YTW_SPREAD_TO_MATURITY_AT_ISSU")</f>
        <v>79.331750068278041</v>
      </c>
      <c r="O731" t="str">
        <f>_xll.BDP("10606KFZ Muni","BVAL_MID_YTM")</f>
        <v>#N/A Authorization</v>
      </c>
      <c r="P731" t="str">
        <f>_xll.BDP("10606KFZ Muni","MUNI_TAX_PROV")</f>
        <v>FED BQ</v>
      </c>
      <c r="Q731" t="str">
        <f>_xll.BDP("10606KFZ Muni","MUNI_FED_TAX")</f>
        <v>N</v>
      </c>
      <c r="R731" t="str">
        <f>_xll.BDP("10606KFZ Muni","MUNI_MSRB_VOLUME")</f>
        <v>#N/A N/A</v>
      </c>
      <c r="S731" t="str">
        <f>_xll.BDP("10606KFZ Muni","BB_COMPOSITE")</f>
        <v>#N/A N/A</v>
      </c>
      <c r="T731">
        <f>_xll.BDP("10606KFZ Muni","LQA_LIQUIDITY_SCORE")</f>
        <v>99</v>
      </c>
    </row>
    <row r="732" spans="1:20" x14ac:dyDescent="0.25">
      <c r="A732" t="str">
        <f>_xll.BDP("10606PHE Muni","ID_CUSIP")</f>
        <v>10606PHE4</v>
      </c>
      <c r="B732" t="s">
        <v>159</v>
      </c>
      <c r="C732" t="str">
        <f>_xll.BDP("10606PHE Muni","INSURANCE_STATUS")</f>
        <v>Y</v>
      </c>
      <c r="D732" t="str">
        <f>_xll.BDP("10606PHE Muni","STATE_CODE")</f>
        <v>TX</v>
      </c>
      <c r="E732" t="str">
        <f>_xll.BDP("10606PHE Muni","COUNTY_LOCATION_ISSUER")</f>
        <v>Brazoria, TX</v>
      </c>
      <c r="F732">
        <f>_xll.BDP("10606PHE Muni","DUR_ADJ_MID")</f>
        <v>8.0490264554993959E-2</v>
      </c>
      <c r="G732">
        <f>_xll.BDP("10606PHE Muni","SPREAD_AT_ISSUANCE_TO_WORST")</f>
        <v>52.755756968035669</v>
      </c>
      <c r="H732" t="str">
        <f>_xll.BDP("10606PHE Muni","ISSUE_DT")</f>
        <v>7/1/2017</v>
      </c>
      <c r="I732" t="str">
        <f>_xll.BDS("10606PHE Muni","MUNI_PURPOSE_SCHED", "aggregate=y")</f>
        <v>PROPERTY ACQUISITION SEWER IMPS. WATER UTILITY IMPS.</v>
      </c>
      <c r="J732">
        <f>_xll.BDP("10606PHE Muni","CPN")</f>
        <v>3</v>
      </c>
      <c r="K732" t="str">
        <f>_xll.BDP("10606PHE Muni","MATURITY")</f>
        <v>9/1/2022</v>
      </c>
      <c r="L732">
        <v>900000</v>
      </c>
      <c r="M732">
        <f>_xll.BDP("10606PHE Muni","YIELD_ON_ISSUE_DATE")</f>
        <v>1.82</v>
      </c>
      <c r="N732">
        <f>_xll.BDP("10606PHE Muni","YTW_SPREAD_TO_MATURITY_AT_ISSU")</f>
        <v>52.755756968035669</v>
      </c>
      <c r="O732" t="str">
        <f>_xll.BDP("10606PHE Muni","BVAL_MID_YTM")</f>
        <v>#N/A Authorization</v>
      </c>
      <c r="P732" t="str">
        <f>_xll.BDP("10606PHE Muni","MUNI_TAX_PROV")</f>
        <v>FED TAX-EXEMPT</v>
      </c>
      <c r="Q732" t="str">
        <f>_xll.BDP("10606PHE Muni","MUNI_FED_TAX")</f>
        <v>N</v>
      </c>
      <c r="R732" t="str">
        <f>_xll.BDP("10606PHE Muni","MUNI_MSRB_VOLUME")</f>
        <v>#N/A N/A</v>
      </c>
      <c r="S732" t="str">
        <f>_xll.BDP("10606PHE Muni","BB_COMPOSITE")</f>
        <v>AA-</v>
      </c>
      <c r="T732">
        <f>_xll.BDP("10606PHE Muni","LQA_LIQUIDITY_SCORE")</f>
        <v>93</v>
      </c>
    </row>
    <row r="733" spans="1:20" x14ac:dyDescent="0.25">
      <c r="A733" t="str">
        <f>_xll.BDP("10606PHG Muni","ID_CUSIP")</f>
        <v>10606PHG9</v>
      </c>
      <c r="B733" t="s">
        <v>159</v>
      </c>
      <c r="C733" t="str">
        <f>_xll.BDP("10606PHG Muni","INSURANCE_STATUS")</f>
        <v>Y</v>
      </c>
      <c r="D733" t="str">
        <f>_xll.BDP("10606PHG Muni","STATE_CODE")</f>
        <v>TX</v>
      </c>
      <c r="E733" t="str">
        <f>_xll.BDP("10606PHG Muni","COUNTY_LOCATION_ISSUER")</f>
        <v>Brazoria, TX</v>
      </c>
      <c r="F733">
        <f>_xll.BDP("10606PHG Muni","DUR_ADJ_MID")</f>
        <v>1.9903342018637848</v>
      </c>
      <c r="G733">
        <f>_xll.BDP("10606PHG Muni","SPREAD_AT_ISSUANCE_TO_WORST")</f>
        <v>57.474228207684817</v>
      </c>
      <c r="H733" t="str">
        <f>_xll.BDP("10606PHG Muni","ISSUE_DT")</f>
        <v>7/1/2017</v>
      </c>
      <c r="I733" t="str">
        <f>_xll.BDS("10606PHG Muni","MUNI_PURPOSE_SCHED", "aggregate=y")</f>
        <v>PROPERTY ACQUISITION SEWER IMPS. WATER UTILITY IMPS.</v>
      </c>
      <c r="J733">
        <f>_xll.BDP("10606PHG Muni","CPN")</f>
        <v>3</v>
      </c>
      <c r="K733" t="str">
        <f>_xll.BDP("10606PHG Muni","MATURITY")</f>
        <v>9/1/2024</v>
      </c>
      <c r="L733">
        <v>950000</v>
      </c>
      <c r="M733">
        <f>_xll.BDP("10606PHG Muni","YIELD_ON_ISSUE_DATE")</f>
        <v>2.15</v>
      </c>
      <c r="N733">
        <f>_xll.BDP("10606PHG Muni","YTW_SPREAD_TO_MATURITY_AT_ISSU")</f>
        <v>57.474228207684817</v>
      </c>
      <c r="O733" t="str">
        <f>_xll.BDP("10606PHG Muni","BVAL_MID_YTM")</f>
        <v>#N/A Authorization</v>
      </c>
      <c r="P733" t="str">
        <f>_xll.BDP("10606PHG Muni","MUNI_TAX_PROV")</f>
        <v>FED TAX-EXEMPT</v>
      </c>
      <c r="Q733" t="str">
        <f>_xll.BDP("10606PHG Muni","MUNI_FED_TAX")</f>
        <v>N</v>
      </c>
      <c r="R733">
        <f>_xll.BDP("10606PHG Muni","MUNI_MSRB_VOLUME")</f>
        <v>200000</v>
      </c>
      <c r="S733" t="str">
        <f>_xll.BDP("10606PHG Muni","BB_COMPOSITE")</f>
        <v>AA-</v>
      </c>
      <c r="T733">
        <f>_xll.BDP("10606PHG Muni","LQA_LIQUIDITY_SCORE")</f>
        <v>81</v>
      </c>
    </row>
    <row r="734" spans="1:20" x14ac:dyDescent="0.25">
      <c r="A734" t="str">
        <f>_xll.BDP("10606RKK Muni","ID_CUSIP")</f>
        <v>10606RKK2</v>
      </c>
      <c r="B734" t="s">
        <v>254</v>
      </c>
      <c r="C734" t="str">
        <f>_xll.BDP("10606RKK Muni","INSURANCE_STATUS")</f>
        <v>Y</v>
      </c>
      <c r="D734" t="str">
        <f>_xll.BDP("10606RKK Muni","STATE_CODE")</f>
        <v>TX</v>
      </c>
      <c r="E734" t="str">
        <f>_xll.BDP("10606RKK Muni","COUNTY_LOCATION_ISSUER")</f>
        <v>Harris, TX</v>
      </c>
      <c r="F734">
        <f>_xll.BDP("10606RKK Muni","DUR_ADJ_MID")</f>
        <v>8.04742733213792E-2</v>
      </c>
      <c r="G734">
        <f>_xll.BDP("10606RKK Muni","SPREAD_AT_ISSUANCE_TO_WORST")</f>
        <v>33.063002739726024</v>
      </c>
      <c r="H734" t="str">
        <f>_xll.BDP("10606RKK Muni","ISSUE_DT")</f>
        <v>12/1/2017</v>
      </c>
      <c r="I734" t="str">
        <f>_xll.BDS("10606RKK Muni","MUNI_PURPOSE_SCHED", "aggregate=y")</f>
        <v>WATER UTILITY IMPS. SEWER IMPS.</v>
      </c>
      <c r="J734">
        <f>_xll.BDP("10606RKK Muni","CPN")</f>
        <v>2</v>
      </c>
      <c r="K734" t="str">
        <f>_xll.BDP("10606RKK Muni","MATURITY")</f>
        <v>9/1/2022</v>
      </c>
      <c r="L734">
        <v>250000</v>
      </c>
      <c r="M734">
        <f>_xll.BDP("10606RKK Muni","YIELD_ON_ISSUE_DATE")</f>
        <v>1.75</v>
      </c>
      <c r="N734">
        <f>_xll.BDP("10606RKK Muni","YTW_SPREAD_TO_MATURITY_AT_ISSU")</f>
        <v>33.063002739726024</v>
      </c>
      <c r="O734" t="str">
        <f>_xll.BDP("10606RKK Muni","BVAL_MID_YTM")</f>
        <v>#N/A Authorization</v>
      </c>
      <c r="P734" t="str">
        <f>_xll.BDP("10606RKK Muni","MUNI_TAX_PROV")</f>
        <v>FED BQ</v>
      </c>
      <c r="Q734" t="str">
        <f>_xll.BDP("10606RKK Muni","MUNI_FED_TAX")</f>
        <v>N</v>
      </c>
      <c r="R734" t="str">
        <f>_xll.BDP("10606RKK Muni","MUNI_MSRB_VOLUME")</f>
        <v>#N/A N/A</v>
      </c>
      <c r="S734" t="str">
        <f>_xll.BDP("10606RKK Muni","BB_COMPOSITE")</f>
        <v>AA-</v>
      </c>
      <c r="T734">
        <f>_xll.BDP("10606RKK Muni","LQA_LIQUIDITY_SCORE")</f>
        <v>98</v>
      </c>
    </row>
    <row r="735" spans="1:20" x14ac:dyDescent="0.25">
      <c r="A735" t="str">
        <f>_xll.BDP("10606TFM Muni","ID_CUSIP")</f>
        <v>10606TFM0</v>
      </c>
      <c r="B735" t="s">
        <v>255</v>
      </c>
      <c r="C735" t="str">
        <f>_xll.BDP("10606TFM Muni","INSURANCE_STATUS")</f>
        <v>Y</v>
      </c>
      <c r="D735" t="str">
        <f>_xll.BDP("10606TFM Muni","STATE_CODE")</f>
        <v>TX</v>
      </c>
      <c r="E735" t="str">
        <f>_xll.BDP("10606TFM Muni","COUNTY_LOCATION_ISSUER")</f>
        <v>Brazoria, TX</v>
      </c>
      <c r="F735">
        <f>_xll.BDP("10606TFM Muni","DUR_ADJ_MID")</f>
        <v>0.57201988536937687</v>
      </c>
      <c r="G735">
        <f>_xll.BDP("10606TFM Muni","SPREAD_AT_ISSUANCE_TO_WORST")</f>
        <v>57.912911263959963</v>
      </c>
      <c r="H735" t="str">
        <f>_xll.BDP("10606TFM Muni","ISSUE_DT")</f>
        <v>9/1/2017</v>
      </c>
      <c r="I735" t="str">
        <f>_xll.BDS("10606TFM Muni","MUNI_PURPOSE_SCHED", "aggregate=y")</f>
        <v>WATER UTILITY IMPS. SEWER IMPS.</v>
      </c>
      <c r="J735">
        <f>_xll.BDP("10606TFM Muni","CPN")</f>
        <v>2</v>
      </c>
      <c r="K735" t="str">
        <f>_xll.BDP("10606TFM Muni","MATURITY")</f>
        <v>3/1/2023</v>
      </c>
      <c r="L735">
        <v>215000</v>
      </c>
      <c r="M735">
        <f>_xll.BDP("10606TFM Muni","YIELD_ON_ISSUE_DATE")</f>
        <v>1.79</v>
      </c>
      <c r="N735">
        <f>_xll.BDP("10606TFM Muni","YTW_SPREAD_TO_MATURITY_AT_ISSU")</f>
        <v>57.912911263959963</v>
      </c>
      <c r="O735" t="str">
        <f>_xll.BDP("10606TFM Muni","BVAL_MID_YTM")</f>
        <v>#N/A Authorization</v>
      </c>
      <c r="P735" t="str">
        <f>_xll.BDP("10606TFM Muni","MUNI_TAX_PROV")</f>
        <v>FED TAX-EXEMPT</v>
      </c>
      <c r="Q735" t="str">
        <f>_xll.BDP("10606TFM Muni","MUNI_FED_TAX")</f>
        <v>N</v>
      </c>
      <c r="R735" t="str">
        <f>_xll.BDP("10606TFM Muni","MUNI_MSRB_VOLUME")</f>
        <v>#N/A N/A</v>
      </c>
      <c r="S735" t="str">
        <f>_xll.BDP("10606TFM Muni","BB_COMPOSITE")</f>
        <v>A+</v>
      </c>
      <c r="T735">
        <f>_xll.BDP("10606TFM Muni","LQA_LIQUIDITY_SCORE")</f>
        <v>90</v>
      </c>
    </row>
    <row r="736" spans="1:20" x14ac:dyDescent="0.25">
      <c r="A736" t="str">
        <f>_xll.BDP("10607FBF Muni","ID_CUSIP")</f>
        <v>10607FBF8</v>
      </c>
      <c r="B736" t="s">
        <v>256</v>
      </c>
      <c r="C736" t="str">
        <f>_xll.BDP("10607FBF Muni","INSURANCE_STATUS")</f>
        <v>N</v>
      </c>
      <c r="D736" t="str">
        <f>_xll.BDP("10607FBF Muni","STATE_CODE")</f>
        <v>TX</v>
      </c>
      <c r="E736" t="str">
        <f>_xll.BDP("10607FBF Muni","COUNTY_LOCATION_ISSUER")</f>
        <v>Brazoria, TX</v>
      </c>
      <c r="F736">
        <f>_xll.BDP("10607FBF Muni","DUR_ADJ_MID")</f>
        <v>1.985277408980713</v>
      </c>
      <c r="G736">
        <f>_xll.BDP("10607FBF Muni","SPREAD_AT_ISSUANCE_TO_WORST")</f>
        <v>109.25056011953096</v>
      </c>
      <c r="H736" t="str">
        <f>_xll.BDP("10607FBF Muni","ISSUE_DT")</f>
        <v>8/1/2017</v>
      </c>
      <c r="I736" t="str">
        <f>_xll.BDS("10607FBF Muni","MUNI_PURPOSE_SCHED", "aggregate=y")</f>
        <v>WATER UTILITY IMPS. SEWER IMPS. REFUNDING NOTES</v>
      </c>
      <c r="J736">
        <f>_xll.BDP("10607FBF Muni","CPN")</f>
        <v>3</v>
      </c>
      <c r="K736" t="str">
        <f>_xll.BDP("10607FBF Muni","MATURITY")</f>
        <v>9/1/2024</v>
      </c>
      <c r="L736">
        <v>65000</v>
      </c>
      <c r="M736">
        <f>_xll.BDP("10607FBF Muni","YIELD_ON_ISSUE_DATE")</f>
        <v>2.6</v>
      </c>
      <c r="N736">
        <f>_xll.BDP("10607FBF Muni","YTW_SPREAD_TO_MATURITY_AT_ISSU")</f>
        <v>109.25056011953096</v>
      </c>
      <c r="O736" t="str">
        <f>_xll.BDP("10607FBF Muni","BVAL_MID_YTM")</f>
        <v>#N/A Authorization</v>
      </c>
      <c r="P736" t="str">
        <f>_xll.BDP("10607FBF Muni","MUNI_TAX_PROV")</f>
        <v>FED BQ</v>
      </c>
      <c r="Q736" t="str">
        <f>_xll.BDP("10607FBF Muni","MUNI_FED_TAX")</f>
        <v>N</v>
      </c>
      <c r="R736" t="str">
        <f>_xll.BDP("10607FBF Muni","MUNI_MSRB_VOLUME")</f>
        <v>#N/A N/A</v>
      </c>
      <c r="S736" t="str">
        <f>_xll.BDP("10607FBF Muni","BB_COMPOSITE")</f>
        <v>#N/A N/A</v>
      </c>
      <c r="T736">
        <f>_xll.BDP("10607FBF Muni","LQA_LIQUIDITY_SCORE")</f>
        <v>65</v>
      </c>
    </row>
    <row r="737" spans="1:20" x14ac:dyDescent="0.25">
      <c r="A737" t="str">
        <f>_xll.BDP("10608MBD Muni","ID_CUSIP")</f>
        <v>10608MBD7</v>
      </c>
      <c r="B737" t="s">
        <v>257</v>
      </c>
      <c r="C737" t="str">
        <f>_xll.BDP("10608MBD Muni","INSURANCE_STATUS")</f>
        <v>N</v>
      </c>
      <c r="D737" t="str">
        <f>_xll.BDP("10608MBD Muni","STATE_CODE")</f>
        <v>TX</v>
      </c>
      <c r="E737" t="str">
        <f>_xll.BDP("10608MBD Muni","COUNTY_LOCATION_ISSUER")</f>
        <v>Harris, TX</v>
      </c>
      <c r="F737">
        <f>_xll.BDP("10608MBD Muni","DUR_ADJ_MID")</f>
        <v>8.0460762196249536E-2</v>
      </c>
      <c r="G737">
        <f>_xll.BDP("10608MBD Muni","SPREAD_AT_ISSUANCE_TO_WORST")</f>
        <v>104.28069814340736</v>
      </c>
      <c r="H737" t="str">
        <f>_xll.BDP("10608MBD Muni","ISSUE_DT")</f>
        <v>9/1/2017</v>
      </c>
      <c r="I737" t="str">
        <f>_xll.BDS("10608MBD Muni","MUNI_PURPOSE_SCHED", "aggregate=y")</f>
        <v>WATER UTILITY IMPS. SEWER IMPS. PROPERTY ACQUISITION</v>
      </c>
      <c r="J737">
        <f>_xll.BDP("10608MBD Muni","CPN")</f>
        <v>2.2999999999999998</v>
      </c>
      <c r="K737" t="str">
        <f>_xll.BDP("10608MBD Muni","MATURITY")</f>
        <v>9/1/2022</v>
      </c>
      <c r="L737">
        <v>150000</v>
      </c>
      <c r="M737">
        <f>_xll.BDP("10608MBD Muni","YIELD_ON_ISSUE_DATE")</f>
        <v>2.2000000000000002</v>
      </c>
      <c r="N737">
        <f>_xll.BDP("10608MBD Muni","YTW_SPREAD_TO_MATURITY_AT_ISSU")</f>
        <v>104.28069814340736</v>
      </c>
      <c r="O737" t="str">
        <f>_xll.BDP("10608MBD Muni","BVAL_MID_YTM")</f>
        <v>#N/A Authorization</v>
      </c>
      <c r="P737" t="str">
        <f>_xll.BDP("10608MBD Muni","MUNI_TAX_PROV")</f>
        <v>FED BQ</v>
      </c>
      <c r="Q737" t="str">
        <f>_xll.BDP("10608MBD Muni","MUNI_FED_TAX")</f>
        <v>N</v>
      </c>
      <c r="R737" t="str">
        <f>_xll.BDP("10608MBD Muni","MUNI_MSRB_VOLUME")</f>
        <v>#N/A N/A</v>
      </c>
      <c r="S737" t="str">
        <f>_xll.BDP("10608MBD Muni","BB_COMPOSITE")</f>
        <v>#N/A N/A</v>
      </c>
      <c r="T737">
        <f>_xll.BDP("10608MBD Muni","LQA_LIQUIDITY_SCORE")</f>
        <v>83</v>
      </c>
    </row>
    <row r="738" spans="1:20" x14ac:dyDescent="0.25">
      <c r="A738" t="str">
        <f>_xll.BDP("10608MBG Muni","ID_CUSIP")</f>
        <v>10608MBG0</v>
      </c>
      <c r="B738" t="s">
        <v>257</v>
      </c>
      <c r="C738" t="str">
        <f>_xll.BDP("10608MBG Muni","INSURANCE_STATUS")</f>
        <v>N</v>
      </c>
      <c r="D738" t="str">
        <f>_xll.BDP("10608MBG Muni","STATE_CODE")</f>
        <v>TX</v>
      </c>
      <c r="E738" t="str">
        <f>_xll.BDP("10608MBG Muni","COUNTY_LOCATION_ISSUER")</f>
        <v>Harris, TX</v>
      </c>
      <c r="F738">
        <f>_xll.BDP("10608MBG Muni","DUR_ADJ_MID")</f>
        <v>2.9046694100601536</v>
      </c>
      <c r="G738">
        <f>_xll.BDP("10608MBG Muni","SPREAD_AT_ISSUANCE_TO_WORST")</f>
        <v>114.12662783455841</v>
      </c>
      <c r="H738" t="str">
        <f>_xll.BDP("10608MBG Muni","ISSUE_DT")</f>
        <v>9/1/2017</v>
      </c>
      <c r="I738" t="str">
        <f>_xll.BDS("10608MBG Muni","MUNI_PURPOSE_SCHED", "aggregate=y")</f>
        <v>WATER UTILITY IMPS. SEWER IMPS. PROPERTY ACQUISITION</v>
      </c>
      <c r="J738">
        <f>_xll.BDP("10608MBG Muni","CPN")</f>
        <v>2.8</v>
      </c>
      <c r="K738" t="str">
        <f>_xll.BDP("10608MBG Muni","MATURITY")</f>
        <v>9/1/2025</v>
      </c>
      <c r="L738">
        <v>170000</v>
      </c>
      <c r="M738">
        <f>_xll.BDP("10608MBG Muni","YIELD_ON_ISSUE_DATE")</f>
        <v>2.75</v>
      </c>
      <c r="N738">
        <f>_xll.BDP("10608MBG Muni","YTW_SPREAD_TO_MATURITY_AT_ISSU")</f>
        <v>114.12662783455841</v>
      </c>
      <c r="O738" t="str">
        <f>_xll.BDP("10608MBG Muni","BVAL_MID_YTM")</f>
        <v>#N/A Authorization</v>
      </c>
      <c r="P738" t="str">
        <f>_xll.BDP("10608MBG Muni","MUNI_TAX_PROV")</f>
        <v>FED BQ</v>
      </c>
      <c r="Q738" t="str">
        <f>_xll.BDP("10608MBG Muni","MUNI_FED_TAX")</f>
        <v>N</v>
      </c>
      <c r="R738" t="str">
        <f>_xll.BDP("10608MBG Muni","MUNI_MSRB_VOLUME")</f>
        <v>#N/A N/A</v>
      </c>
      <c r="S738" t="str">
        <f>_xll.BDP("10608MBG Muni","BB_COMPOSITE")</f>
        <v>#N/A N/A</v>
      </c>
      <c r="T738">
        <f>_xll.BDP("10608MBG Muni","LQA_LIQUIDITY_SCORE")</f>
        <v>38</v>
      </c>
    </row>
    <row r="739" spans="1:20" x14ac:dyDescent="0.25">
      <c r="A739" t="str">
        <f>_xll.BDP("106147HT Muni","ID_CUSIP")</f>
        <v>106147HT1</v>
      </c>
      <c r="B739" t="s">
        <v>258</v>
      </c>
      <c r="C739" t="str">
        <f>_xll.BDP("106147HT Muni","INSURANCE_STATUS")</f>
        <v>N</v>
      </c>
      <c r="D739" t="str">
        <f>_xll.BDP("106147HT Muni","STATE_CODE")</f>
        <v>TX</v>
      </c>
      <c r="E739" t="str">
        <f>_xll.BDP("106147HT Muni","COUNTY_LOCATION_ISSUER")</f>
        <v>Brazoria, TX</v>
      </c>
      <c r="F739">
        <f>_xll.BDP("106147HT Muni","DUR_ADJ_MID")</f>
        <v>1.0574241272508882</v>
      </c>
      <c r="G739">
        <f>_xll.BDP("106147HT Muni","SPREAD_AT_ISSUANCE_TO_WORST")</f>
        <v>34.779707335623122</v>
      </c>
      <c r="H739" t="str">
        <f>_xll.BDP("106147HT Muni","ISSUE_DT")</f>
        <v>6/1/2017</v>
      </c>
      <c r="I739" t="str">
        <f>_xll.BDS("106147HT Muni","MUNI_PURPOSE_SCHED", "aggregate=y")</f>
        <v>PUBLIC IMPS. WATER UTILITY IMPS. SEWER IMPS.</v>
      </c>
      <c r="J739">
        <f>_xll.BDP("106147HT Muni","CPN")</f>
        <v>2</v>
      </c>
      <c r="K739" t="str">
        <f>_xll.BDP("106147HT Muni","MATURITY")</f>
        <v>9/1/2023</v>
      </c>
      <c r="L739">
        <v>3200000</v>
      </c>
      <c r="M739">
        <f>_xll.BDP("106147HT Muni","YIELD_ON_ISSUE_DATE")</f>
        <v>1.95</v>
      </c>
      <c r="N739">
        <f>_xll.BDP("106147HT Muni","YTW_SPREAD_TO_MATURITY_AT_ISSU")</f>
        <v>34.779707335623122</v>
      </c>
      <c r="O739" t="str">
        <f>_xll.BDP("106147HT Muni","BVAL_MID_YTM")</f>
        <v>#N/A Authorization</v>
      </c>
      <c r="P739" t="str">
        <f>_xll.BDP("106147HT Muni","MUNI_TAX_PROV")</f>
        <v>FED TAX-EXEMPT</v>
      </c>
      <c r="Q739" t="str">
        <f>_xll.BDP("106147HT Muni","MUNI_FED_TAX")</f>
        <v>N</v>
      </c>
      <c r="R739" t="str">
        <f>_xll.BDP("106147HT Muni","MUNI_MSRB_VOLUME")</f>
        <v>#N/A N/A</v>
      </c>
      <c r="S739" t="str">
        <f>_xll.BDP("106147HT Muni","BB_COMPOSITE")</f>
        <v>#N/A N/A</v>
      </c>
      <c r="T739">
        <f>_xll.BDP("106147HT Muni","LQA_LIQUIDITY_SCORE")</f>
        <v>77</v>
      </c>
    </row>
    <row r="740" spans="1:20" x14ac:dyDescent="0.25">
      <c r="A740" t="str">
        <f>_xll.BDP("0902213H Muni","ID_CUSIP")</f>
        <v>0902213H3</v>
      </c>
      <c r="B740" t="s">
        <v>259</v>
      </c>
      <c r="C740" t="str">
        <f>_xll.BDP("0902213H Muni","INSURANCE_STATUS")</f>
        <v>N</v>
      </c>
      <c r="D740" t="str">
        <f>_xll.BDP("0902213H Muni","STATE_CODE")</f>
        <v>MS</v>
      </c>
      <c r="E740" t="str">
        <f>_xll.BDP("0902213H Muni","COUNTY_LOCATION_ISSUER")</f>
        <v>Harrison, MS</v>
      </c>
      <c r="F740">
        <f>_xll.BDP("0902213H Muni","DUR_ADJ_MID")</f>
        <v>0.57005948676560914</v>
      </c>
      <c r="G740">
        <f>_xll.BDP("0902213H Muni","SPREAD_AT_ISSUANCE_TO_WORST")</f>
        <v>21.935884791678607</v>
      </c>
      <c r="H740" t="str">
        <f>_xll.BDP("0902213H Muni","ISSUE_DT")</f>
        <v>3/1/2017</v>
      </c>
      <c r="I740" t="str">
        <f>_xll.BDS("0902213H Muni","MUNI_PURPOSE_SCHED", "aggregate=y")</f>
        <v>PUBLIC IMPS. WATER UTILITY IMPS.</v>
      </c>
      <c r="J740">
        <f>_xll.BDP("0902213H Muni","CPN")</f>
        <v>3</v>
      </c>
      <c r="K740" t="str">
        <f>_xll.BDP("0902213H Muni","MATURITY")</f>
        <v>3/1/2023</v>
      </c>
      <c r="L740">
        <v>430000</v>
      </c>
      <c r="M740">
        <f>_xll.BDP("0902213H Muni","YIELD_ON_ISSUE_DATE")</f>
        <v>1.97</v>
      </c>
      <c r="N740">
        <f>_xll.BDP("0902213H Muni","YTW_SPREAD_TO_MATURITY_AT_ISSU")</f>
        <v>21.935884791678607</v>
      </c>
      <c r="O740" t="str">
        <f>_xll.BDP("0902213H Muni","BVAL_MID_YTM")</f>
        <v>#N/A Authorization</v>
      </c>
      <c r="P740" t="str">
        <f>_xll.BDP("0902213H Muni","MUNI_TAX_PROV")</f>
        <v>FED &amp; ST TAX-EXEMPT</v>
      </c>
      <c r="Q740" t="str">
        <f>_xll.BDP("0902213H Muni","MUNI_FED_TAX")</f>
        <v>N</v>
      </c>
      <c r="R740" t="str">
        <f>_xll.BDP("0902213H Muni","MUNI_MSRB_VOLUME")</f>
        <v>#N/A N/A</v>
      </c>
      <c r="S740" t="str">
        <f>_xll.BDP("0902213H Muni","BB_COMPOSITE")</f>
        <v>#N/A N/A</v>
      </c>
      <c r="T740">
        <f>_xll.BDP("0902213H Muni","LQA_LIQUIDITY_SCORE")</f>
        <v>88</v>
      </c>
    </row>
    <row r="741" spans="1:20" x14ac:dyDescent="0.25">
      <c r="A741" t="str">
        <f>_xll.BDP("0902213J Muni","ID_CUSIP")</f>
        <v>0902213J9</v>
      </c>
      <c r="B741" t="s">
        <v>259</v>
      </c>
      <c r="C741" t="str">
        <f>_xll.BDP("0902213J Muni","INSURANCE_STATUS")</f>
        <v>N</v>
      </c>
      <c r="D741" t="str">
        <f>_xll.BDP("0902213J Muni","STATE_CODE")</f>
        <v>MS</v>
      </c>
      <c r="E741" t="str">
        <f>_xll.BDP("0902213J Muni","COUNTY_LOCATION_ISSUER")</f>
        <v>Harrison, MS</v>
      </c>
      <c r="F741">
        <f>_xll.BDP("0902213J Muni","DUR_ADJ_MID")</f>
        <v>1.5248864397764028</v>
      </c>
      <c r="G741">
        <f>_xll.BDP("0902213J Muni","SPREAD_AT_ISSUANCE_TO_WORST")</f>
        <v>29.320116160446563</v>
      </c>
      <c r="H741" t="str">
        <f>_xll.BDP("0902213J Muni","ISSUE_DT")</f>
        <v>3/1/2017</v>
      </c>
      <c r="I741" t="str">
        <f>_xll.BDS("0902213J Muni","MUNI_PURPOSE_SCHED", "aggregate=y")</f>
        <v>PUBLIC IMPS. WATER UTILITY IMPS.</v>
      </c>
      <c r="J741">
        <f>_xll.BDP("0902213J Muni","CPN")</f>
        <v>3</v>
      </c>
      <c r="K741" t="str">
        <f>_xll.BDP("0902213J Muni","MATURITY")</f>
        <v>3/1/2024</v>
      </c>
      <c r="L741">
        <v>445000</v>
      </c>
      <c r="M741">
        <f>_xll.BDP("0902213J Muni","YIELD_ON_ISSUE_DATE")</f>
        <v>2.2000000000000002</v>
      </c>
      <c r="N741">
        <f>_xll.BDP("0902213J Muni","YTW_SPREAD_TO_MATURITY_AT_ISSU")</f>
        <v>29.320116160446563</v>
      </c>
      <c r="O741" t="str">
        <f>_xll.BDP("0902213J Muni","BVAL_MID_YTM")</f>
        <v>#N/A Authorization</v>
      </c>
      <c r="P741" t="str">
        <f>_xll.BDP("0902213J Muni","MUNI_TAX_PROV")</f>
        <v>FED &amp; ST TAX-EXEMPT</v>
      </c>
      <c r="Q741" t="str">
        <f>_xll.BDP("0902213J Muni","MUNI_FED_TAX")</f>
        <v>N</v>
      </c>
      <c r="R741">
        <f>_xll.BDP("0902213J Muni","MUNI_MSRB_VOLUME")</f>
        <v>50000</v>
      </c>
      <c r="S741" t="str">
        <f>_xll.BDP("0902213J Muni","BB_COMPOSITE")</f>
        <v>#N/A N/A</v>
      </c>
      <c r="T741">
        <f>_xll.BDP("0902213J Muni","LQA_LIQUIDITY_SCORE")</f>
        <v>78</v>
      </c>
    </row>
    <row r="742" spans="1:20" x14ac:dyDescent="0.25">
      <c r="A742" t="str">
        <f>_xll.BDP("118828HM Muni","ID_CUSIP")</f>
        <v>118828HM7</v>
      </c>
      <c r="B742" t="s">
        <v>94</v>
      </c>
      <c r="C742" t="str">
        <f>_xll.BDP("118828HM Muni","INSURANCE_STATUS")</f>
        <v>N</v>
      </c>
      <c r="D742" t="str">
        <f>_xll.BDP("118828HM Muni","STATE_CODE")</f>
        <v>TX</v>
      </c>
      <c r="E742" t="str">
        <f>_xll.BDP("118828HM Muni","COUNTY_LOCATION_ISSUER")</f>
        <v>Hays, TX</v>
      </c>
      <c r="F742">
        <f>_xll.BDP("118828HM Muni","DUR_ADJ_MID")</f>
        <v>3.609906037366882E-2</v>
      </c>
      <c r="G742">
        <f>_xll.BDP("118828HM Muni","SPREAD_AT_ISSUANCE_TO_WORST")</f>
        <v>6.5819287671232907</v>
      </c>
      <c r="H742" t="str">
        <f>_xll.BDP("118828HM Muni","ISSUE_DT")</f>
        <v>12/6/2017</v>
      </c>
      <c r="I742" t="str">
        <f>_xll.BDS("118828HM Muni","MUNI_PURPOSE_SCHED", "aggregate=y")</f>
        <v>WATER UTILITY IMPS. SEWER IMPS.</v>
      </c>
      <c r="J742">
        <f>_xll.BDP("118828HM Muni","CPN")</f>
        <v>5</v>
      </c>
      <c r="K742" t="str">
        <f>_xll.BDP("118828HM Muni","MATURITY")</f>
        <v>8/15/2022</v>
      </c>
      <c r="L742">
        <v>785000</v>
      </c>
      <c r="M742">
        <f>_xll.BDP("118828HM Muni","YIELD_ON_ISSUE_DATE")</f>
        <v>1.48</v>
      </c>
      <c r="N742">
        <f>_xll.BDP("118828HM Muni","YTW_SPREAD_TO_MATURITY_AT_ISSU")</f>
        <v>6.5819287671232907</v>
      </c>
      <c r="O742" t="str">
        <f>_xll.BDP("118828HM Muni","BVAL_MID_YTM")</f>
        <v>#N/A Authorization</v>
      </c>
      <c r="P742" t="str">
        <f>_xll.BDP("118828HM Muni","MUNI_TAX_PROV")</f>
        <v>FED TAX-EXEMPT</v>
      </c>
      <c r="Q742" t="str">
        <f>_xll.BDP("118828HM Muni","MUNI_FED_TAX")</f>
        <v>N</v>
      </c>
      <c r="R742" t="str">
        <f>_xll.BDP("118828HM Muni","MUNI_MSRB_VOLUME")</f>
        <v>#N/A N/A</v>
      </c>
      <c r="S742" t="str">
        <f>_xll.BDP("118828HM Muni","BB_COMPOSITE")</f>
        <v>#N/A N/A</v>
      </c>
      <c r="T742">
        <f>_xll.BDP("118828HM Muni","LQA_LIQUIDITY_SCORE")</f>
        <v>92</v>
      </c>
    </row>
    <row r="743" spans="1:20" x14ac:dyDescent="0.25">
      <c r="A743" t="str">
        <f>_xll.BDP("118828HN Muni","ID_CUSIP")</f>
        <v>118828HN5</v>
      </c>
      <c r="B743" t="s">
        <v>94</v>
      </c>
      <c r="C743" t="str">
        <f>_xll.BDP("118828HN Muni","INSURANCE_STATUS")</f>
        <v>N</v>
      </c>
      <c r="D743" t="str">
        <f>_xll.BDP("118828HN Muni","STATE_CODE")</f>
        <v>TX</v>
      </c>
      <c r="E743" t="str">
        <f>_xll.BDP("118828HN Muni","COUNTY_LOCATION_ISSUER")</f>
        <v>Hays, TX</v>
      </c>
      <c r="F743">
        <f>_xll.BDP("118828HN Muni","DUR_ADJ_MID")</f>
        <v>0.99331057730394035</v>
      </c>
      <c r="G743">
        <f>_xll.BDP("118828HN Muni","SPREAD_AT_ISSUANCE_TO_WORST")</f>
        <v>9.5891561643835601</v>
      </c>
      <c r="H743" t="str">
        <f>_xll.BDP("118828HN Muni","ISSUE_DT")</f>
        <v>12/6/2017</v>
      </c>
      <c r="I743" t="str">
        <f>_xll.BDS("118828HN Muni","MUNI_PURPOSE_SCHED", "aggregate=y")</f>
        <v>WATER UTILITY IMPS. SEWER IMPS.</v>
      </c>
      <c r="J743">
        <f>_xll.BDP("118828HN Muni","CPN")</f>
        <v>5</v>
      </c>
      <c r="K743" t="str">
        <f>_xll.BDP("118828HN Muni","MATURITY")</f>
        <v>8/15/2023</v>
      </c>
      <c r="L743">
        <v>830000</v>
      </c>
      <c r="M743">
        <f>_xll.BDP("118828HN Muni","YIELD_ON_ISSUE_DATE")</f>
        <v>1.62</v>
      </c>
      <c r="N743">
        <f>_xll.BDP("118828HN Muni","YTW_SPREAD_TO_MATURITY_AT_ISSU")</f>
        <v>9.5891561643835601</v>
      </c>
      <c r="O743" t="str">
        <f>_xll.BDP("118828HN Muni","BVAL_MID_YTM")</f>
        <v>#N/A Authorization</v>
      </c>
      <c r="P743" t="str">
        <f>_xll.BDP("118828HN Muni","MUNI_TAX_PROV")</f>
        <v>FED TAX-EXEMPT</v>
      </c>
      <c r="Q743" t="str">
        <f>_xll.BDP("118828HN Muni","MUNI_FED_TAX")</f>
        <v>N</v>
      </c>
      <c r="R743">
        <f>_xll.BDP("118828HN Muni","MUNI_MSRB_VOLUME")</f>
        <v>3320000</v>
      </c>
      <c r="S743" t="str">
        <f>_xll.BDP("118828HN Muni","BB_COMPOSITE")</f>
        <v>#N/A N/A</v>
      </c>
      <c r="T743">
        <f>_xll.BDP("118828HN Muni","LQA_LIQUIDITY_SCORE")</f>
        <v>90</v>
      </c>
    </row>
    <row r="744" spans="1:20" x14ac:dyDescent="0.25">
      <c r="A744" t="str">
        <f>_xll.BDP("118828HP Muni","ID_CUSIP")</f>
        <v>118828HP0</v>
      </c>
      <c r="B744" t="s">
        <v>94</v>
      </c>
      <c r="C744" t="str">
        <f>_xll.BDP("118828HP Muni","INSURANCE_STATUS")</f>
        <v>N</v>
      </c>
      <c r="D744" t="str">
        <f>_xll.BDP("118828HP Muni","STATE_CODE")</f>
        <v>TX</v>
      </c>
      <c r="E744" t="str">
        <f>_xll.BDP("118828HP Muni","COUNTY_LOCATION_ISSUER")</f>
        <v>Hays, TX</v>
      </c>
      <c r="F744">
        <f>_xll.BDP("118828HP Muni","DUR_ADJ_MID")</f>
        <v>1.9056311177942953</v>
      </c>
      <c r="G744">
        <f>_xll.BDP("118828HP Muni","SPREAD_AT_ISSUANCE_TO_WORST")</f>
        <v>10.516438356164382</v>
      </c>
      <c r="H744" t="str">
        <f>_xll.BDP("118828HP Muni","ISSUE_DT")</f>
        <v>12/6/2017</v>
      </c>
      <c r="I744" t="str">
        <f>_xll.BDS("118828HP Muni","MUNI_PURPOSE_SCHED", "aggregate=y")</f>
        <v>WATER UTILITY IMPS. SEWER IMPS.</v>
      </c>
      <c r="J744">
        <f>_xll.BDP("118828HP Muni","CPN")</f>
        <v>5</v>
      </c>
      <c r="K744" t="str">
        <f>_xll.BDP("118828HP Muni","MATURITY")</f>
        <v>8/15/2024</v>
      </c>
      <c r="L744">
        <v>865000</v>
      </c>
      <c r="M744">
        <f>_xll.BDP("118828HP Muni","YIELD_ON_ISSUE_DATE")</f>
        <v>1.74</v>
      </c>
      <c r="N744">
        <f>_xll.BDP("118828HP Muni","YTW_SPREAD_TO_MATURITY_AT_ISSU")</f>
        <v>10.516438356164382</v>
      </c>
      <c r="O744" t="str">
        <f>_xll.BDP("118828HP Muni","BVAL_MID_YTM")</f>
        <v>#N/A Authorization</v>
      </c>
      <c r="P744" t="str">
        <f>_xll.BDP("118828HP Muni","MUNI_TAX_PROV")</f>
        <v>FED TAX-EXEMPT</v>
      </c>
      <c r="Q744" t="str">
        <f>_xll.BDP("118828HP Muni","MUNI_FED_TAX")</f>
        <v>N</v>
      </c>
      <c r="R744">
        <f>_xll.BDP("118828HP Muni","MUNI_MSRB_VOLUME")</f>
        <v>50000</v>
      </c>
      <c r="S744" t="str">
        <f>_xll.BDP("118828HP Muni","BB_COMPOSITE")</f>
        <v>#N/A N/A</v>
      </c>
      <c r="T744">
        <f>_xll.BDP("118828HP Muni","LQA_LIQUIDITY_SCORE")</f>
        <v>83</v>
      </c>
    </row>
    <row r="745" spans="1:20" x14ac:dyDescent="0.25">
      <c r="A745" t="str">
        <f>_xll.BDP("118828HR Muni","ID_CUSIP")</f>
        <v>118828HR6</v>
      </c>
      <c r="B745" t="s">
        <v>94</v>
      </c>
      <c r="C745" t="str">
        <f>_xll.BDP("118828HR Muni","INSURANCE_STATUS")</f>
        <v>N</v>
      </c>
      <c r="D745" t="str">
        <f>_xll.BDP("118828HR Muni","STATE_CODE")</f>
        <v>TX</v>
      </c>
      <c r="E745" t="str">
        <f>_xll.BDP("118828HR Muni","COUNTY_LOCATION_ISSUER")</f>
        <v>Hays, TX</v>
      </c>
      <c r="F745">
        <f>_xll.BDP("118828HR Muni","DUR_ADJ_MID")</f>
        <v>3.6150036176422931</v>
      </c>
      <c r="G745">
        <f>_xll.BDP("118828HR Muni","SPREAD_AT_ISSUANCE_TO_WORST")</f>
        <v>15.422109589041089</v>
      </c>
      <c r="H745" t="str">
        <f>_xll.BDP("118828HR Muni","ISSUE_DT")</f>
        <v>12/6/2017</v>
      </c>
      <c r="I745" t="str">
        <f>_xll.BDS("118828HR Muni","MUNI_PURPOSE_SCHED", "aggregate=y")</f>
        <v>WATER UTILITY IMPS. SEWER IMPS.</v>
      </c>
      <c r="J745">
        <f>_xll.BDP("118828HR Muni","CPN")</f>
        <v>5</v>
      </c>
      <c r="K745" t="str">
        <f>_xll.BDP("118828HR Muni","MATURITY")</f>
        <v>8/15/2026</v>
      </c>
      <c r="L745">
        <v>955000</v>
      </c>
      <c r="M745">
        <f>_xll.BDP("118828HR Muni","YIELD_ON_ISSUE_DATE")</f>
        <v>2</v>
      </c>
      <c r="N745">
        <f>_xll.BDP("118828HR Muni","YTW_SPREAD_TO_MATURITY_AT_ISSU")</f>
        <v>15.422109589041089</v>
      </c>
      <c r="O745" t="str">
        <f>_xll.BDP("118828HR Muni","BVAL_MID_YTM")</f>
        <v>#N/A Authorization</v>
      </c>
      <c r="P745" t="str">
        <f>_xll.BDP("118828HR Muni","MUNI_TAX_PROV")</f>
        <v>FED TAX-EXEMPT</v>
      </c>
      <c r="Q745" t="str">
        <f>_xll.BDP("118828HR Muni","MUNI_FED_TAX")</f>
        <v>N</v>
      </c>
      <c r="R745" t="str">
        <f>_xll.BDP("118828HR Muni","MUNI_MSRB_VOLUME")</f>
        <v>#N/A N/A</v>
      </c>
      <c r="S745" t="str">
        <f>_xll.BDP("118828HR Muni","BB_COMPOSITE")</f>
        <v>#N/A N/A</v>
      </c>
      <c r="T745">
        <f>_xll.BDP("118828HR Muni","LQA_LIQUIDITY_SCORE")</f>
        <v>68</v>
      </c>
    </row>
    <row r="746" spans="1:20" x14ac:dyDescent="0.25">
      <c r="A746" t="str">
        <f>_xll.BDP("119638YF Muni","ID_CUSIP")</f>
        <v>119638YF5</v>
      </c>
      <c r="B746" t="s">
        <v>262</v>
      </c>
      <c r="C746" t="str">
        <f>_xll.BDP("119638YF Muni","INSURANCE_STATUS")</f>
        <v>N</v>
      </c>
      <c r="D746" t="str">
        <f>_xll.BDP("119638YF Muni","STATE_CODE")</f>
        <v>MN</v>
      </c>
      <c r="E746" t="str">
        <f>_xll.BDP("119638YF Muni","COUNTY_LOCATION_ISSUER")</f>
        <v>Wright, MN</v>
      </c>
      <c r="F746">
        <f>_xll.BDP("119638YF Muni","DUR_ADJ_MID")</f>
        <v>0.65481528965661184</v>
      </c>
      <c r="G746">
        <f>_xll.BDP("119638YF Muni","SPREAD_AT_ISSUANCE_TO_WORST")</f>
        <v>8.4609186242560419</v>
      </c>
      <c r="H746" t="str">
        <f>_xll.BDP("119638YF Muni","ISSUE_DT")</f>
        <v>10/12/2017</v>
      </c>
      <c r="I746" t="str">
        <f>_xll.BDS("119638YF Muni","MUNI_PURPOSE_SCHED", "aggregate=y")</f>
        <v>WATER UTILITY IMPS. SEWER IMPS.</v>
      </c>
      <c r="J746">
        <f>_xll.BDP("119638YF Muni","CPN")</f>
        <v>2</v>
      </c>
      <c r="K746" t="str">
        <f>_xll.BDP("119638YF Muni","MATURITY")</f>
        <v>4/1/2023</v>
      </c>
      <c r="L746">
        <v>200000</v>
      </c>
      <c r="M746">
        <f>_xll.BDP("119638YF Muni","YIELD_ON_ISSUE_DATE")</f>
        <v>1.35</v>
      </c>
      <c r="N746">
        <f>_xll.BDP("119638YF Muni","YTW_SPREAD_TO_MATURITY_AT_ISSU")</f>
        <v>8.4609186242560419</v>
      </c>
      <c r="O746" t="str">
        <f>_xll.BDP("119638YF Muni","BVAL_MID_YTM")</f>
        <v>#N/A Authorization</v>
      </c>
      <c r="P746" t="str">
        <f>_xll.BDP("119638YF Muni","MUNI_TAX_PROV")</f>
        <v>FED BQ/ST TAX-EXEMPT</v>
      </c>
      <c r="Q746" t="str">
        <f>_xll.BDP("119638YF Muni","MUNI_FED_TAX")</f>
        <v>N</v>
      </c>
      <c r="R746" t="str">
        <f>_xll.BDP("119638YF Muni","MUNI_MSRB_VOLUME")</f>
        <v>#N/A N/A</v>
      </c>
      <c r="S746" t="str">
        <f>_xll.BDP("119638YF Muni","BB_COMPOSITE")</f>
        <v>#N/A N/A</v>
      </c>
      <c r="T746">
        <f>_xll.BDP("119638YF Muni","LQA_LIQUIDITY_SCORE")</f>
        <v>86</v>
      </c>
    </row>
    <row r="747" spans="1:20" x14ac:dyDescent="0.25">
      <c r="A747" t="str">
        <f>_xll.BDP("119638YG Muni","ID_CUSIP")</f>
        <v>119638YG3</v>
      </c>
      <c r="B747" t="s">
        <v>262</v>
      </c>
      <c r="C747" t="str">
        <f>_xll.BDP("119638YG Muni","INSURANCE_STATUS")</f>
        <v>N</v>
      </c>
      <c r="D747" t="str">
        <f>_xll.BDP("119638YG Muni","STATE_CODE")</f>
        <v>MN</v>
      </c>
      <c r="E747" t="str">
        <f>_xll.BDP("119638YG Muni","COUNTY_LOCATION_ISSUER")</f>
        <v>Wright, MN</v>
      </c>
      <c r="F747">
        <f>_xll.BDP("119638YG Muni","DUR_ADJ_MID")</f>
        <v>1.6206229670085697</v>
      </c>
      <c r="G747">
        <f>_xll.BDP("119638YG Muni","SPREAD_AT_ISSUANCE_TO_WORST")</f>
        <v>8.7887230936710239</v>
      </c>
      <c r="H747" t="str">
        <f>_xll.BDP("119638YG Muni","ISSUE_DT")</f>
        <v>10/12/2017</v>
      </c>
      <c r="I747" t="str">
        <f>_xll.BDS("119638YG Muni","MUNI_PURPOSE_SCHED", "aggregate=y")</f>
        <v>WATER UTILITY IMPS. SEWER IMPS.</v>
      </c>
      <c r="J747">
        <f>_xll.BDP("119638YG Muni","CPN")</f>
        <v>2</v>
      </c>
      <c r="K747" t="str">
        <f>_xll.BDP("119638YG Muni","MATURITY")</f>
        <v>4/1/2024</v>
      </c>
      <c r="L747">
        <v>205000</v>
      </c>
      <c r="M747">
        <f>_xll.BDP("119638YG Muni","YIELD_ON_ISSUE_DATE")</f>
        <v>1.5</v>
      </c>
      <c r="N747">
        <f>_xll.BDP("119638YG Muni","YTW_SPREAD_TO_MATURITY_AT_ISSU")</f>
        <v>8.7887230936710239</v>
      </c>
      <c r="O747" t="str">
        <f>_xll.BDP("119638YG Muni","BVAL_MID_YTM")</f>
        <v>#N/A Authorization</v>
      </c>
      <c r="P747" t="str">
        <f>_xll.BDP("119638YG Muni","MUNI_TAX_PROV")</f>
        <v>FED BQ/ST TAX-EXEMPT</v>
      </c>
      <c r="Q747" t="str">
        <f>_xll.BDP("119638YG Muni","MUNI_FED_TAX")</f>
        <v>N</v>
      </c>
      <c r="R747" t="str">
        <f>_xll.BDP("119638YG Muni","MUNI_MSRB_VOLUME")</f>
        <v>#N/A N/A</v>
      </c>
      <c r="S747" t="str">
        <f>_xll.BDP("119638YG Muni","BB_COMPOSITE")</f>
        <v>#N/A N/A</v>
      </c>
      <c r="T747">
        <f>_xll.BDP("119638YG Muni","LQA_LIQUIDITY_SCORE")</f>
        <v>73</v>
      </c>
    </row>
    <row r="748" spans="1:20" x14ac:dyDescent="0.25">
      <c r="A748" t="str">
        <f>_xll.BDP("119638YH Muni","ID_CUSIP")</f>
        <v>119638YH1</v>
      </c>
      <c r="B748" t="s">
        <v>262</v>
      </c>
      <c r="C748" t="str">
        <f>_xll.BDP("119638YH Muni","INSURANCE_STATUS")</f>
        <v>N</v>
      </c>
      <c r="D748" t="str">
        <f>_xll.BDP("119638YH Muni","STATE_CODE")</f>
        <v>MN</v>
      </c>
      <c r="E748" t="str">
        <f>_xll.BDP("119638YH Muni","COUNTY_LOCATION_ISSUER")</f>
        <v>Wright, MN</v>
      </c>
      <c r="F748">
        <f>_xll.BDP("119638YH Muni","DUR_ADJ_MID")</f>
        <v>2.5672890508869228</v>
      </c>
      <c r="G748">
        <f>_xll.BDP("119638YH Muni","SPREAD_AT_ISSUANCE_TO_WORST")</f>
        <v>8.9284656959022648</v>
      </c>
      <c r="H748" t="str">
        <f>_xll.BDP("119638YH Muni","ISSUE_DT")</f>
        <v>10/12/2017</v>
      </c>
      <c r="I748" t="str">
        <f>_xll.BDS("119638YH Muni","MUNI_PURPOSE_SCHED", "aggregate=y")</f>
        <v>WATER UTILITY IMPS. SEWER IMPS.</v>
      </c>
      <c r="J748">
        <f>_xll.BDP("119638YH Muni","CPN")</f>
        <v>2</v>
      </c>
      <c r="K748" t="str">
        <f>_xll.BDP("119638YH Muni","MATURITY")</f>
        <v>4/1/2025</v>
      </c>
      <c r="L748">
        <v>205000</v>
      </c>
      <c r="M748">
        <f>_xll.BDP("119638YH Muni","YIELD_ON_ISSUE_DATE")</f>
        <v>1.6500000000000001</v>
      </c>
      <c r="N748">
        <f>_xll.BDP("119638YH Muni","YTW_SPREAD_TO_MATURITY_AT_ISSU")</f>
        <v>8.9284656959022648</v>
      </c>
      <c r="O748" t="str">
        <f>_xll.BDP("119638YH Muni","BVAL_MID_YTM")</f>
        <v>#N/A Authorization</v>
      </c>
      <c r="P748" t="str">
        <f>_xll.BDP("119638YH Muni","MUNI_TAX_PROV")</f>
        <v>FED BQ/ST TAX-EXEMPT</v>
      </c>
      <c r="Q748" t="str">
        <f>_xll.BDP("119638YH Muni","MUNI_FED_TAX")</f>
        <v>N</v>
      </c>
      <c r="R748" t="str">
        <f>_xll.BDP("119638YH Muni","MUNI_MSRB_VOLUME")</f>
        <v>#N/A N/A</v>
      </c>
      <c r="S748" t="str">
        <f>_xll.BDP("119638YH Muni","BB_COMPOSITE")</f>
        <v>#N/A N/A</v>
      </c>
      <c r="T748">
        <f>_xll.BDP("119638YH Muni","LQA_LIQUIDITY_SCORE")</f>
        <v>62</v>
      </c>
    </row>
    <row r="749" spans="1:20" x14ac:dyDescent="0.25">
      <c r="A749" t="str">
        <f>_xll.BDP("119638YJ Muni","ID_CUSIP")</f>
        <v>119638YJ7</v>
      </c>
      <c r="B749" t="s">
        <v>262</v>
      </c>
      <c r="C749" t="str">
        <f>_xll.BDP("119638YJ Muni","INSURANCE_STATUS")</f>
        <v>N</v>
      </c>
      <c r="D749" t="str">
        <f>_xll.BDP("119638YJ Muni","STATE_CODE")</f>
        <v>MN</v>
      </c>
      <c r="E749" t="str">
        <f>_xll.BDP("119638YJ Muni","COUNTY_LOCATION_ISSUER")</f>
        <v>Wright, MN</v>
      </c>
      <c r="F749">
        <f>_xll.BDP("119638YJ Muni","DUR_ADJ_MID")</f>
        <v>3.4949684733889446</v>
      </c>
      <c r="G749">
        <f>_xll.BDP("119638YJ Muni","SPREAD_AT_ISSUANCE_TO_WORST")</f>
        <v>14.930269127405316</v>
      </c>
      <c r="H749" t="str">
        <f>_xll.BDP("119638YJ Muni","ISSUE_DT")</f>
        <v>10/12/2017</v>
      </c>
      <c r="I749" t="str">
        <f>_xll.BDS("119638YJ Muni","MUNI_PURPOSE_SCHED", "aggregate=y")</f>
        <v>WATER UTILITY IMPS. SEWER IMPS.</v>
      </c>
      <c r="J749">
        <f>_xll.BDP("119638YJ Muni","CPN")</f>
        <v>2</v>
      </c>
      <c r="K749" t="str">
        <f>_xll.BDP("119638YJ Muni","MATURITY")</f>
        <v>4/1/2026</v>
      </c>
      <c r="L749">
        <v>210000</v>
      </c>
      <c r="M749">
        <f>_xll.BDP("119638YJ Muni","YIELD_ON_ISSUE_DATE")</f>
        <v>1.85</v>
      </c>
      <c r="N749">
        <f>_xll.BDP("119638YJ Muni","YTW_SPREAD_TO_MATURITY_AT_ISSU")</f>
        <v>14.930269127405316</v>
      </c>
      <c r="O749" t="str">
        <f>_xll.BDP("119638YJ Muni","BVAL_MID_YTM")</f>
        <v>#N/A Authorization</v>
      </c>
      <c r="P749" t="str">
        <f>_xll.BDP("119638YJ Muni","MUNI_TAX_PROV")</f>
        <v>FED BQ/ST TAX-EXEMPT</v>
      </c>
      <c r="Q749" t="str">
        <f>_xll.BDP("119638YJ Muni","MUNI_FED_TAX")</f>
        <v>N</v>
      </c>
      <c r="R749" t="str">
        <f>_xll.BDP("119638YJ Muni","MUNI_MSRB_VOLUME")</f>
        <v>#N/A N/A</v>
      </c>
      <c r="S749" t="str">
        <f>_xll.BDP("119638YJ Muni","BB_COMPOSITE")</f>
        <v>#N/A N/A</v>
      </c>
      <c r="T749">
        <f>_xll.BDP("119638YJ Muni","LQA_LIQUIDITY_SCORE")</f>
        <v>54</v>
      </c>
    </row>
    <row r="750" spans="1:20" x14ac:dyDescent="0.25">
      <c r="A750" t="str">
        <f>_xll.BDP("121385E8 Muni","ID_CUSIP")</f>
        <v>121385E87</v>
      </c>
      <c r="B750" t="s">
        <v>263</v>
      </c>
      <c r="C750" t="str">
        <f>_xll.BDP("121385E8 Muni","INSURANCE_STATUS")</f>
        <v>N</v>
      </c>
      <c r="D750" t="str">
        <f>_xll.BDP("121385E8 Muni","STATE_CODE")</f>
        <v>TX</v>
      </c>
      <c r="E750" t="str">
        <f>_xll.BDP("121385E8 Muni","COUNTY_LOCATION_ISSUER")</f>
        <v>Johnson, TX</v>
      </c>
      <c r="F750">
        <f>_xll.BDP("121385E8 Muni","DUR_ADJ_MID")</f>
        <v>0.5698688525631781</v>
      </c>
      <c r="G750">
        <f>_xll.BDP("121385E8 Muni","SPREAD_AT_ISSUANCE_TO_WORST")</f>
        <v>19.69524735669992</v>
      </c>
      <c r="H750" t="str">
        <f>_xll.BDP("121385E8 Muni","ISSUE_DT")</f>
        <v>8/16/2017</v>
      </c>
      <c r="I750" t="str">
        <f>_xll.BDS("121385E8 Muni","MUNI_PURPOSE_SCHED", "aggregate=y")</f>
        <v>WATER UTILITY IMPS. SEWER IMPS. PUBLIC IMPS.</v>
      </c>
      <c r="J750">
        <f>_xll.BDP("121385E8 Muni","CPN")</f>
        <v>3</v>
      </c>
      <c r="K750" t="str">
        <f>_xll.BDP("121385E8 Muni","MATURITY")</f>
        <v>3/1/2023</v>
      </c>
      <c r="L750">
        <v>430000</v>
      </c>
      <c r="M750">
        <f>_xll.BDP("121385E8 Muni","YIELD_ON_ISSUE_DATE")</f>
        <v>1.59</v>
      </c>
      <c r="N750">
        <f>_xll.BDP("121385E8 Muni","YTW_SPREAD_TO_MATURITY_AT_ISSU")</f>
        <v>19.69524735669992</v>
      </c>
      <c r="O750" t="str">
        <f>_xll.BDP("121385E8 Muni","BVAL_MID_YTM")</f>
        <v>#N/A Authorization</v>
      </c>
      <c r="P750" t="str">
        <f>_xll.BDP("121385E8 Muni","MUNI_TAX_PROV")</f>
        <v>FED TAX-EXEMPT</v>
      </c>
      <c r="Q750" t="str">
        <f>_xll.BDP("121385E8 Muni","MUNI_FED_TAX")</f>
        <v>N</v>
      </c>
      <c r="R750" t="str">
        <f>_xll.BDP("121385E8 Muni","MUNI_MSRB_VOLUME")</f>
        <v>#N/A N/A</v>
      </c>
      <c r="S750" t="str">
        <f>_xll.BDP("121385E8 Muni","BB_COMPOSITE")</f>
        <v>AA-</v>
      </c>
      <c r="T750">
        <f>_xll.BDP("121385E8 Muni","LQA_LIQUIDITY_SCORE")</f>
        <v>93</v>
      </c>
    </row>
    <row r="751" spans="1:20" x14ac:dyDescent="0.25">
      <c r="A751" t="str">
        <f>_xll.BDP("121385E9 Muni","ID_CUSIP")</f>
        <v>121385E95</v>
      </c>
      <c r="B751" t="s">
        <v>263</v>
      </c>
      <c r="C751" t="str">
        <f>_xll.BDP("121385E9 Muni","INSURANCE_STATUS")</f>
        <v>N</v>
      </c>
      <c r="D751" t="str">
        <f>_xll.BDP("121385E9 Muni","STATE_CODE")</f>
        <v>TX</v>
      </c>
      <c r="E751" t="str">
        <f>_xll.BDP("121385E9 Muni","COUNTY_LOCATION_ISSUER")</f>
        <v>Johnson, TX</v>
      </c>
      <c r="F751">
        <f>_xll.BDP("121385E9 Muni","DUR_ADJ_MID")</f>
        <v>1.5110378703871821</v>
      </c>
      <c r="G751">
        <f>_xll.BDP("121385E9 Muni","SPREAD_AT_ISSUANCE_TO_WORST")</f>
        <v>20.145762150676582</v>
      </c>
      <c r="H751" t="str">
        <f>_xll.BDP("121385E9 Muni","ISSUE_DT")</f>
        <v>8/16/2017</v>
      </c>
      <c r="I751" t="str">
        <f>_xll.BDS("121385E9 Muni","MUNI_PURPOSE_SCHED", "aggregate=y")</f>
        <v>WATER UTILITY IMPS. SEWER IMPS. PUBLIC IMPS.</v>
      </c>
      <c r="J751">
        <f>_xll.BDP("121385E9 Muni","CPN")</f>
        <v>4</v>
      </c>
      <c r="K751" t="str">
        <f>_xll.BDP("121385E9 Muni","MATURITY")</f>
        <v>3/1/2024</v>
      </c>
      <c r="L751">
        <v>440000</v>
      </c>
      <c r="M751">
        <f>_xll.BDP("121385E9 Muni","YIELD_ON_ISSUE_DATE")</f>
        <v>1.74</v>
      </c>
      <c r="N751">
        <f>_xll.BDP("121385E9 Muni","YTW_SPREAD_TO_MATURITY_AT_ISSU")</f>
        <v>20.145762150676582</v>
      </c>
      <c r="O751" t="str">
        <f>_xll.BDP("121385E9 Muni","BVAL_MID_YTM")</f>
        <v>#N/A Authorization</v>
      </c>
      <c r="P751" t="str">
        <f>_xll.BDP("121385E9 Muni","MUNI_TAX_PROV")</f>
        <v>FED TAX-EXEMPT</v>
      </c>
      <c r="Q751" t="str">
        <f>_xll.BDP("121385E9 Muni","MUNI_FED_TAX")</f>
        <v>N</v>
      </c>
      <c r="R751">
        <f>_xll.BDP("121385E9 Muni","MUNI_MSRB_VOLUME")</f>
        <v>150000</v>
      </c>
      <c r="S751" t="str">
        <f>_xll.BDP("121385E9 Muni","BB_COMPOSITE")</f>
        <v>AA-</v>
      </c>
      <c r="T751">
        <f>_xll.BDP("121385E9 Muni","LQA_LIQUIDITY_SCORE")</f>
        <v>84</v>
      </c>
    </row>
    <row r="752" spans="1:20" x14ac:dyDescent="0.25">
      <c r="A752" t="str">
        <f>_xll.BDP("121385F2 Muni","ID_CUSIP")</f>
        <v>121385F29</v>
      </c>
      <c r="B752" t="s">
        <v>263</v>
      </c>
      <c r="C752" t="str">
        <f>_xll.BDP("121385F2 Muni","INSURANCE_STATUS")</f>
        <v>N</v>
      </c>
      <c r="D752" t="str">
        <f>_xll.BDP("121385F2 Muni","STATE_CODE")</f>
        <v>TX</v>
      </c>
      <c r="E752" t="str">
        <f>_xll.BDP("121385F2 Muni","COUNTY_LOCATION_ISSUER")</f>
        <v>Johnson, TX</v>
      </c>
      <c r="F752">
        <f>_xll.BDP("121385F2 Muni","DUR_ADJ_MID")</f>
        <v>2.4137689533816378</v>
      </c>
      <c r="G752">
        <f>_xll.BDP("121385F2 Muni","SPREAD_AT_ISSUANCE_TO_WORST")</f>
        <v>21.384376853807495</v>
      </c>
      <c r="H752" t="str">
        <f>_xll.BDP("121385F2 Muni","ISSUE_DT")</f>
        <v>8/16/2017</v>
      </c>
      <c r="I752" t="str">
        <f>_xll.BDS("121385F2 Muni","MUNI_PURPOSE_SCHED", "aggregate=y")</f>
        <v>WATER UTILITY IMPS. SEWER IMPS. PUBLIC IMPS.</v>
      </c>
      <c r="J752">
        <f>_xll.BDP("121385F2 Muni","CPN")</f>
        <v>4</v>
      </c>
      <c r="K752" t="str">
        <f>_xll.BDP("121385F2 Muni","MATURITY")</f>
        <v>3/1/2025</v>
      </c>
      <c r="L752">
        <v>455000</v>
      </c>
      <c r="M752">
        <f>_xll.BDP("121385F2 Muni","YIELD_ON_ISSUE_DATE")</f>
        <v>1.9000000000000001</v>
      </c>
      <c r="N752">
        <f>_xll.BDP("121385F2 Muni","YTW_SPREAD_TO_MATURITY_AT_ISSU")</f>
        <v>21.384376853807495</v>
      </c>
      <c r="O752" t="str">
        <f>_xll.BDP("121385F2 Muni","BVAL_MID_YTM")</f>
        <v>#N/A Authorization</v>
      </c>
      <c r="P752" t="str">
        <f>_xll.BDP("121385F2 Muni","MUNI_TAX_PROV")</f>
        <v>FED TAX-EXEMPT</v>
      </c>
      <c r="Q752" t="str">
        <f>_xll.BDP("121385F2 Muni","MUNI_FED_TAX")</f>
        <v>N</v>
      </c>
      <c r="R752">
        <f>_xll.BDP("121385F2 Muni","MUNI_MSRB_VOLUME")</f>
        <v>20000</v>
      </c>
      <c r="S752" t="str">
        <f>_xll.BDP("121385F2 Muni","BB_COMPOSITE")</f>
        <v>AA-</v>
      </c>
      <c r="T752">
        <f>_xll.BDP("121385F2 Muni","LQA_LIQUIDITY_SCORE")</f>
        <v>74</v>
      </c>
    </row>
    <row r="753" spans="1:20" x14ac:dyDescent="0.25">
      <c r="A753" t="str">
        <f>_xll.BDP("121385F3 Muni","ID_CUSIP")</f>
        <v>121385F37</v>
      </c>
      <c r="B753" t="s">
        <v>263</v>
      </c>
      <c r="C753" t="str">
        <f>_xll.BDP("121385F3 Muni","INSURANCE_STATUS")</f>
        <v>N</v>
      </c>
      <c r="D753" t="str">
        <f>_xll.BDP("121385F3 Muni","STATE_CODE")</f>
        <v>TX</v>
      </c>
      <c r="E753" t="str">
        <f>_xll.BDP("121385F3 Muni","COUNTY_LOCATION_ISSUER")</f>
        <v>Johnson, TX</v>
      </c>
      <c r="F753">
        <f>_xll.BDP("121385F3 Muni","DUR_ADJ_MID")</f>
        <v>3.2952350851700634</v>
      </c>
      <c r="G753">
        <f>_xll.BDP("121385F3 Muni","SPREAD_AT_ISSUANCE_TO_WORST")</f>
        <v>25.38552205789739</v>
      </c>
      <c r="H753" t="str">
        <f>_xll.BDP("121385F3 Muni","ISSUE_DT")</f>
        <v>8/16/2017</v>
      </c>
      <c r="I753" t="str">
        <f>_xll.BDS("121385F3 Muni","MUNI_PURPOSE_SCHED", "aggregate=y")</f>
        <v>WATER UTILITY IMPS. SEWER IMPS. PUBLIC IMPS.</v>
      </c>
      <c r="J753">
        <f>_xll.BDP("121385F3 Muni","CPN")</f>
        <v>4</v>
      </c>
      <c r="K753" t="str">
        <f>_xll.BDP("121385F3 Muni","MATURITY")</f>
        <v>3/1/2026</v>
      </c>
      <c r="L753">
        <v>480000</v>
      </c>
      <c r="M753">
        <f>_xll.BDP("121385F3 Muni","YIELD_ON_ISSUE_DATE")</f>
        <v>2.08</v>
      </c>
      <c r="N753">
        <f>_xll.BDP("121385F3 Muni","YTW_SPREAD_TO_MATURITY_AT_ISSU")</f>
        <v>25.38552205789739</v>
      </c>
      <c r="O753" t="str">
        <f>_xll.BDP("121385F3 Muni","BVAL_MID_YTM")</f>
        <v>#N/A Authorization</v>
      </c>
      <c r="P753" t="str">
        <f>_xll.BDP("121385F3 Muni","MUNI_TAX_PROV")</f>
        <v>FED TAX-EXEMPT</v>
      </c>
      <c r="Q753" t="str">
        <f>_xll.BDP("121385F3 Muni","MUNI_FED_TAX")</f>
        <v>N</v>
      </c>
      <c r="R753" t="str">
        <f>_xll.BDP("121385F3 Muni","MUNI_MSRB_VOLUME")</f>
        <v>#N/A N/A</v>
      </c>
      <c r="S753" t="str">
        <f>_xll.BDP("121385F3 Muni","BB_COMPOSITE")</f>
        <v>AA-</v>
      </c>
      <c r="T753">
        <f>_xll.BDP("121385F3 Muni","LQA_LIQUIDITY_SCORE")</f>
        <v>65</v>
      </c>
    </row>
    <row r="754" spans="1:20" x14ac:dyDescent="0.25">
      <c r="A754" t="str">
        <f>_xll.BDP("121385F4 Muni","ID_CUSIP")</f>
        <v>121385F45</v>
      </c>
      <c r="B754" t="s">
        <v>263</v>
      </c>
      <c r="C754" t="str">
        <f>_xll.BDP("121385F4 Muni","INSURANCE_STATUS")</f>
        <v>N</v>
      </c>
      <c r="D754" t="str">
        <f>_xll.BDP("121385F4 Muni","STATE_CODE")</f>
        <v>TX</v>
      </c>
      <c r="E754" t="str">
        <f>_xll.BDP("121385F4 Muni","COUNTY_LOCATION_ISSUER")</f>
        <v>Johnson, TX</v>
      </c>
      <c r="F754">
        <f>_xll.BDP("121385F4 Muni","DUR_ADJ_MID")</f>
        <v>4.1396753065461933</v>
      </c>
      <c r="G754">
        <f>_xll.BDP("121385F4 Muni","SPREAD_AT_ISSUANCE_TO_WORST")</f>
        <v>33.661889069979289</v>
      </c>
      <c r="H754" t="str">
        <f>_xll.BDP("121385F4 Muni","ISSUE_DT")</f>
        <v>8/16/2017</v>
      </c>
      <c r="I754" t="str">
        <f>_xll.BDS("121385F4 Muni","MUNI_PURPOSE_SCHED", "aggregate=y")</f>
        <v>WATER UTILITY IMPS. SEWER IMPS. PUBLIC IMPS.</v>
      </c>
      <c r="J754">
        <f>_xll.BDP("121385F4 Muni","CPN")</f>
        <v>4</v>
      </c>
      <c r="K754" t="str">
        <f>_xll.BDP("121385F4 Muni","MATURITY")</f>
        <v>3/1/2027</v>
      </c>
      <c r="L754">
        <v>500000</v>
      </c>
      <c r="M754">
        <f>_xll.BDP("121385F4 Muni","YIELD_ON_ISSUE_DATE")</f>
        <v>2.2800000000000002</v>
      </c>
      <c r="N754">
        <f>_xll.BDP("121385F4 Muni","YTW_SPREAD_TO_MATURITY_AT_ISSU")</f>
        <v>33.661889069979289</v>
      </c>
      <c r="O754" t="str">
        <f>_xll.BDP("121385F4 Muni","BVAL_MID_YTM")</f>
        <v>#N/A Authorization</v>
      </c>
      <c r="P754" t="str">
        <f>_xll.BDP("121385F4 Muni","MUNI_TAX_PROV")</f>
        <v>FED TAX-EXEMPT</v>
      </c>
      <c r="Q754" t="str">
        <f>_xll.BDP("121385F4 Muni","MUNI_FED_TAX")</f>
        <v>N</v>
      </c>
      <c r="R754" t="str">
        <f>_xll.BDP("121385F4 Muni","MUNI_MSRB_VOLUME")</f>
        <v>#N/A N/A</v>
      </c>
      <c r="S754" t="str">
        <f>_xll.BDP("121385F4 Muni","BB_COMPOSITE")</f>
        <v>AA-</v>
      </c>
      <c r="T754">
        <f>_xll.BDP("121385F4 Muni","LQA_LIQUIDITY_SCORE")</f>
        <v>57</v>
      </c>
    </row>
    <row r="755" spans="1:20" x14ac:dyDescent="0.25">
      <c r="A755" t="str">
        <f>_xll.BDP("122106CN Muni","ID_CUSIP")</f>
        <v>122106CN5</v>
      </c>
      <c r="B755" t="s">
        <v>92</v>
      </c>
      <c r="C755" t="str">
        <f>_xll.BDP("122106CN Muni","INSURANCE_STATUS")</f>
        <v>N</v>
      </c>
      <c r="D755" t="str">
        <f>_xll.BDP("122106CN Muni","STATE_CODE")</f>
        <v>VT</v>
      </c>
      <c r="E755" t="str">
        <f>_xll.BDP("122106CN Muni","COUNTY_LOCATION_ISSUER")</f>
        <v>Chittenden, VT</v>
      </c>
      <c r="F755">
        <f>_xll.BDP("122106CN Muni","DUR_ADJ_MID")</f>
        <v>0.24672198786459434</v>
      </c>
      <c r="G755">
        <f>_xll.BDP("122106CN Muni","SPREAD_AT_ISSUANCE_TO_WORST")</f>
        <v>38.927832973346455</v>
      </c>
      <c r="H755" t="str">
        <f>_xll.BDP("122106CN Muni","ISSUE_DT")</f>
        <v>6/6/2017</v>
      </c>
      <c r="I755" t="str">
        <f>_xll.BDS("122106CN Muni","MUNI_PURPOSE_SCHED", "aggregate=y")</f>
        <v>WATER UTILITY IMPS.</v>
      </c>
      <c r="J755">
        <f>_xll.BDP("122106CN Muni","CPN")</f>
        <v>4</v>
      </c>
      <c r="K755" t="str">
        <f>_xll.BDP("122106CN Muni","MATURITY")</f>
        <v>11/1/2022</v>
      </c>
      <c r="L755">
        <v>130000</v>
      </c>
      <c r="M755">
        <f>_xll.BDP("122106CN Muni","YIELD_ON_ISSUE_DATE")</f>
        <v>1.7000000000000002</v>
      </c>
      <c r="N755">
        <f>_xll.BDP("122106CN Muni","YTW_SPREAD_TO_MATURITY_AT_ISSU")</f>
        <v>38.927832973346455</v>
      </c>
      <c r="O755" t="str">
        <f>_xll.BDP("122106CN Muni","BVAL_MID_YTM")</f>
        <v>#N/A Authorization</v>
      </c>
      <c r="P755" t="str">
        <f>_xll.BDP("122106CN Muni","MUNI_TAX_PROV")</f>
        <v>FED &amp; ST TAX-EXEMPT</v>
      </c>
      <c r="Q755" t="str">
        <f>_xll.BDP("122106CN Muni","MUNI_FED_TAX")</f>
        <v>N</v>
      </c>
      <c r="R755" t="str">
        <f>_xll.BDP("122106CN Muni","MUNI_MSRB_VOLUME")</f>
        <v>#N/A N/A</v>
      </c>
      <c r="S755" t="str">
        <f>_xll.BDP("122106CN Muni","BB_COMPOSITE")</f>
        <v>#N/A N/A</v>
      </c>
      <c r="T755">
        <f>_xll.BDP("122106CN Muni","LQA_LIQUIDITY_SCORE")</f>
        <v>94</v>
      </c>
    </row>
    <row r="756" spans="1:20" x14ac:dyDescent="0.25">
      <c r="A756" t="str">
        <f>_xll.BDP("122106CP Muni","ID_CUSIP")</f>
        <v>122106CP0</v>
      </c>
      <c r="B756" t="s">
        <v>92</v>
      </c>
      <c r="C756" t="str">
        <f>_xll.BDP("122106CP Muni","INSURANCE_STATUS")</f>
        <v>N</v>
      </c>
      <c r="D756" t="str">
        <f>_xll.BDP("122106CP Muni","STATE_CODE")</f>
        <v>VT</v>
      </c>
      <c r="E756" t="str">
        <f>_xll.BDP("122106CP Muni","COUNTY_LOCATION_ISSUER")</f>
        <v>Chittenden, VT</v>
      </c>
      <c r="F756">
        <f>_xll.BDP("122106CP Muni","DUR_ADJ_MID")</f>
        <v>1.2098176884254994</v>
      </c>
      <c r="G756">
        <f>_xll.BDP("122106CP Muni","SPREAD_AT_ISSUANCE_TO_WORST")</f>
        <v>41.958266296503787</v>
      </c>
      <c r="H756" t="str">
        <f>_xll.BDP("122106CP Muni","ISSUE_DT")</f>
        <v>6/6/2017</v>
      </c>
      <c r="I756" t="str">
        <f>_xll.BDS("122106CP Muni","MUNI_PURPOSE_SCHED", "aggregate=y")</f>
        <v>WATER UTILITY IMPS.</v>
      </c>
      <c r="J756">
        <f>_xll.BDP("122106CP Muni","CPN")</f>
        <v>4</v>
      </c>
      <c r="K756" t="str">
        <f>_xll.BDP("122106CP Muni","MATURITY")</f>
        <v>11/1/2023</v>
      </c>
      <c r="L756">
        <v>135000</v>
      </c>
      <c r="M756">
        <f>_xll.BDP("122106CP Muni","YIELD_ON_ISSUE_DATE")</f>
        <v>1.8900000000000001</v>
      </c>
      <c r="N756">
        <f>_xll.BDP("122106CP Muni","YTW_SPREAD_TO_MATURITY_AT_ISSU")</f>
        <v>41.958266296503787</v>
      </c>
      <c r="O756" t="str">
        <f>_xll.BDP("122106CP Muni","BVAL_MID_YTM")</f>
        <v>#N/A Authorization</v>
      </c>
      <c r="P756" t="str">
        <f>_xll.BDP("122106CP Muni","MUNI_TAX_PROV")</f>
        <v>FED &amp; ST TAX-EXEMPT</v>
      </c>
      <c r="Q756" t="str">
        <f>_xll.BDP("122106CP Muni","MUNI_FED_TAX")</f>
        <v>N</v>
      </c>
      <c r="R756">
        <f>_xll.BDP("122106CP Muni","MUNI_MSRB_VOLUME")</f>
        <v>85000</v>
      </c>
      <c r="S756" t="str">
        <f>_xll.BDP("122106CP Muni","BB_COMPOSITE")</f>
        <v>#N/A N/A</v>
      </c>
      <c r="T756">
        <f>_xll.BDP("122106CP Muni","LQA_LIQUIDITY_SCORE")</f>
        <v>78</v>
      </c>
    </row>
    <row r="757" spans="1:20" x14ac:dyDescent="0.25">
      <c r="A757" t="str">
        <f>_xll.BDP("122106CR Muni","ID_CUSIP")</f>
        <v>122106CR6</v>
      </c>
      <c r="B757" t="s">
        <v>92</v>
      </c>
      <c r="C757" t="str">
        <f>_xll.BDP("122106CR Muni","INSURANCE_STATUS")</f>
        <v>N</v>
      </c>
      <c r="D757" t="str">
        <f>_xll.BDP("122106CR Muni","STATE_CODE")</f>
        <v>VT</v>
      </c>
      <c r="E757" t="str">
        <f>_xll.BDP("122106CR Muni","COUNTY_LOCATION_ISSUER")</f>
        <v>Chittenden, VT</v>
      </c>
      <c r="F757">
        <f>_xll.BDP("122106CR Muni","DUR_ADJ_MID")</f>
        <v>2.9896638304112808</v>
      </c>
      <c r="G757">
        <f>_xll.BDP("122106CR Muni","SPREAD_AT_ISSUANCE_TO_WORST")</f>
        <v>44.711359359165655</v>
      </c>
      <c r="H757" t="str">
        <f>_xll.BDP("122106CR Muni","ISSUE_DT")</f>
        <v>6/6/2017</v>
      </c>
      <c r="I757" t="str">
        <f>_xll.BDS("122106CR Muni","MUNI_PURPOSE_SCHED", "aggregate=y")</f>
        <v>WATER UTILITY IMPS.</v>
      </c>
      <c r="J757">
        <f>_xll.BDP("122106CR Muni","CPN")</f>
        <v>5</v>
      </c>
      <c r="K757" t="str">
        <f>_xll.BDP("122106CR Muni","MATURITY")</f>
        <v>11/1/2025</v>
      </c>
      <c r="L757">
        <v>150000</v>
      </c>
      <c r="M757">
        <f>_xll.BDP("122106CR Muni","YIELD_ON_ISSUE_DATE")</f>
        <v>2.23</v>
      </c>
      <c r="N757">
        <f>_xll.BDP("122106CR Muni","YTW_SPREAD_TO_MATURITY_AT_ISSU")</f>
        <v>44.711359359165655</v>
      </c>
      <c r="O757" t="str">
        <f>_xll.BDP("122106CR Muni","BVAL_MID_YTM")</f>
        <v>#N/A Authorization</v>
      </c>
      <c r="P757" t="str">
        <f>_xll.BDP("122106CR Muni","MUNI_TAX_PROV")</f>
        <v>FED &amp; ST TAX-EXEMPT</v>
      </c>
      <c r="Q757" t="str">
        <f>_xll.BDP("122106CR Muni","MUNI_FED_TAX")</f>
        <v>N</v>
      </c>
      <c r="R757" t="str">
        <f>_xll.BDP("122106CR Muni","MUNI_MSRB_VOLUME")</f>
        <v>#N/A N/A</v>
      </c>
      <c r="S757" t="str">
        <f>_xll.BDP("122106CR Muni","BB_COMPOSITE")</f>
        <v>#N/A N/A</v>
      </c>
      <c r="T757">
        <f>_xll.BDP("122106CR Muni","LQA_LIQUIDITY_SCORE")</f>
        <v>69</v>
      </c>
    </row>
    <row r="758" spans="1:20" x14ac:dyDescent="0.25">
      <c r="A758" t="str">
        <f>_xll.BDP("122106CS Muni","ID_CUSIP")</f>
        <v>122106CS4</v>
      </c>
      <c r="B758" t="s">
        <v>92</v>
      </c>
      <c r="C758" t="str">
        <f>_xll.BDP("122106CS Muni","INSURANCE_STATUS")</f>
        <v>N</v>
      </c>
      <c r="D758" t="str">
        <f>_xll.BDP("122106CS Muni","STATE_CODE")</f>
        <v>VT</v>
      </c>
      <c r="E758" t="str">
        <f>_xll.BDP("122106CS Muni","COUNTY_LOCATION_ISSUER")</f>
        <v>Chittenden, VT</v>
      </c>
      <c r="F758">
        <f>_xll.BDP("122106CS Muni","DUR_ADJ_MID")</f>
        <v>3.8269669627385343</v>
      </c>
      <c r="G758">
        <f>_xll.BDP("122106CS Muni","SPREAD_AT_ISSUANCE_TO_WORST")</f>
        <v>46.648314623595198</v>
      </c>
      <c r="H758" t="str">
        <f>_xll.BDP("122106CS Muni","ISSUE_DT")</f>
        <v>6/6/2017</v>
      </c>
      <c r="I758" t="str">
        <f>_xll.BDS("122106CS Muni","MUNI_PURPOSE_SCHED", "aggregate=y")</f>
        <v>WATER UTILITY IMPS.</v>
      </c>
      <c r="J758">
        <f>_xll.BDP("122106CS Muni","CPN")</f>
        <v>5</v>
      </c>
      <c r="K758" t="str">
        <f>_xll.BDP("122106CS Muni","MATURITY")</f>
        <v>11/1/2026</v>
      </c>
      <c r="L758">
        <v>155000</v>
      </c>
      <c r="M758">
        <f>_xll.BDP("122106CS Muni","YIELD_ON_ISSUE_DATE")</f>
        <v>2.38</v>
      </c>
      <c r="N758">
        <f>_xll.BDP("122106CS Muni","YTW_SPREAD_TO_MATURITY_AT_ISSU")</f>
        <v>46.648314623595198</v>
      </c>
      <c r="O758" t="str">
        <f>_xll.BDP("122106CS Muni","BVAL_MID_YTM")</f>
        <v>#N/A Authorization</v>
      </c>
      <c r="P758" t="str">
        <f>_xll.BDP("122106CS Muni","MUNI_TAX_PROV")</f>
        <v>FED &amp; ST TAX-EXEMPT</v>
      </c>
      <c r="Q758" t="str">
        <f>_xll.BDP("122106CS Muni","MUNI_FED_TAX")</f>
        <v>N</v>
      </c>
      <c r="R758" t="str">
        <f>_xll.BDP("122106CS Muni","MUNI_MSRB_VOLUME")</f>
        <v>#N/A N/A</v>
      </c>
      <c r="S758" t="str">
        <f>_xll.BDP("122106CS Muni","BB_COMPOSITE")</f>
        <v>#N/A N/A</v>
      </c>
      <c r="T758">
        <f>_xll.BDP("122106CS Muni","LQA_LIQUIDITY_SCORE")</f>
        <v>63</v>
      </c>
    </row>
    <row r="759" spans="1:20" x14ac:dyDescent="0.25">
      <c r="A759" t="str">
        <f>_xll.BDP("034280K9 Muni","ID_CUSIP")</f>
        <v>034280K97</v>
      </c>
      <c r="B759" t="s">
        <v>264</v>
      </c>
      <c r="C759" t="str">
        <f>_xll.BDP("034280K9 Muni","INSURANCE_STATUS")</f>
        <v>N</v>
      </c>
      <c r="D759" t="str">
        <f>_xll.BDP("034280K9 Muni","STATE_CODE")</f>
        <v>KS</v>
      </c>
      <c r="E759" t="str">
        <f>_xll.BDP("034280K9 Muni","COUNTY_LOCATION_ISSUER")</f>
        <v>Butler, KS</v>
      </c>
      <c r="F759">
        <f>_xll.BDP("034280K9 Muni","DUR_ADJ_MID")</f>
        <v>0.16359489858916088</v>
      </c>
      <c r="G759">
        <f>_xll.BDP("034280K9 Muni","SPREAD_AT_ISSUANCE_TO_WORST")</f>
        <v>34.525972602739728</v>
      </c>
      <c r="H759" t="str">
        <f>_xll.BDP("034280K9 Muni","ISSUE_DT")</f>
        <v>12/14/2017</v>
      </c>
      <c r="I759" t="str">
        <f>_xll.BDS("034280K9 Muni","MUNI_PURPOSE_SCHED", "aggregate=y")</f>
        <v>WATER UTILITY IMPS. SEWER IMPS. PUBLIC IMPS.</v>
      </c>
      <c r="J759">
        <f>_xll.BDP("034280K9 Muni","CPN")</f>
        <v>2</v>
      </c>
      <c r="K759" t="str">
        <f>_xll.BDP("034280K9 Muni","MATURITY")</f>
        <v>10/1/2022</v>
      </c>
      <c r="L759">
        <v>145000</v>
      </c>
      <c r="M759">
        <f>_xll.BDP("034280K9 Muni","YIELD_ON_ISSUE_DATE")</f>
        <v>2</v>
      </c>
      <c r="N759">
        <f>_xll.BDP("034280K9 Muni","YTW_SPREAD_TO_MATURITY_AT_ISSU")</f>
        <v>34.525972602739728</v>
      </c>
      <c r="O759" t="str">
        <f>_xll.BDP("034280K9 Muni","BVAL_MID_YTM")</f>
        <v>#N/A Authorization</v>
      </c>
      <c r="P759" t="str">
        <f>_xll.BDP("034280K9 Muni","MUNI_TAX_PROV")</f>
        <v>FED BQ/ST TAX-EXEMPT</v>
      </c>
      <c r="Q759" t="str">
        <f>_xll.BDP("034280K9 Muni","MUNI_FED_TAX")</f>
        <v>N</v>
      </c>
      <c r="R759" t="str">
        <f>_xll.BDP("034280K9 Muni","MUNI_MSRB_VOLUME")</f>
        <v>#N/A N/A</v>
      </c>
      <c r="S759" t="str">
        <f>_xll.BDP("034280K9 Muni","BB_COMPOSITE")</f>
        <v>#N/A N/A</v>
      </c>
      <c r="T759">
        <f>_xll.BDP("034280K9 Muni","LQA_LIQUIDITY_SCORE")</f>
        <v>94</v>
      </c>
    </row>
    <row r="760" spans="1:20" x14ac:dyDescent="0.25">
      <c r="A760" t="str">
        <f>_xll.BDP("034280L2 Muni","ID_CUSIP")</f>
        <v>034280L21</v>
      </c>
      <c r="B760" t="s">
        <v>264</v>
      </c>
      <c r="C760" t="str">
        <f>_xll.BDP("034280L2 Muni","INSURANCE_STATUS")</f>
        <v>N</v>
      </c>
      <c r="D760" t="str">
        <f>_xll.BDP("034280L2 Muni","STATE_CODE")</f>
        <v>KS</v>
      </c>
      <c r="E760" t="str">
        <f>_xll.BDP("034280L2 Muni","COUNTY_LOCATION_ISSUER")</f>
        <v>Butler, KS</v>
      </c>
      <c r="F760">
        <f>_xll.BDP("034280L2 Muni","DUR_ADJ_MID")</f>
        <v>1.1390044584816366</v>
      </c>
      <c r="G760">
        <f>_xll.BDP("034280L2 Muni","SPREAD_AT_ISSUANCE_TO_WORST")</f>
        <v>29.044315068493141</v>
      </c>
      <c r="H760" t="str">
        <f>_xll.BDP("034280L2 Muni","ISSUE_DT")</f>
        <v>12/14/2017</v>
      </c>
      <c r="I760" t="str">
        <f>_xll.BDS("034280L2 Muni","MUNI_PURPOSE_SCHED", "aggregate=y")</f>
        <v>WATER UTILITY IMPS. SEWER IMPS. PUBLIC IMPS.</v>
      </c>
      <c r="J760">
        <f>_xll.BDP("034280L2 Muni","CPN")</f>
        <v>2.0499999999999998</v>
      </c>
      <c r="K760" t="str">
        <f>_xll.BDP("034280L2 Muni","MATURITY")</f>
        <v>10/1/2023</v>
      </c>
      <c r="L760">
        <v>150000</v>
      </c>
      <c r="M760">
        <f>_xll.BDP("034280L2 Muni","YIELD_ON_ISSUE_DATE")</f>
        <v>2.0499999999999998</v>
      </c>
      <c r="N760">
        <f>_xll.BDP("034280L2 Muni","YTW_SPREAD_TO_MATURITY_AT_ISSU")</f>
        <v>29.044315068493141</v>
      </c>
      <c r="O760" t="str">
        <f>_xll.BDP("034280L2 Muni","BVAL_MID_YTM")</f>
        <v>#N/A Authorization</v>
      </c>
      <c r="P760" t="str">
        <f>_xll.BDP("034280L2 Muni","MUNI_TAX_PROV")</f>
        <v>FED BQ/ST TAX-EXEMPT</v>
      </c>
      <c r="Q760" t="str">
        <f>_xll.BDP("034280L2 Muni","MUNI_FED_TAX")</f>
        <v>N</v>
      </c>
      <c r="R760" t="str">
        <f>_xll.BDP("034280L2 Muni","MUNI_MSRB_VOLUME")</f>
        <v>#N/A N/A</v>
      </c>
      <c r="S760" t="str">
        <f>_xll.BDP("034280L2 Muni","BB_COMPOSITE")</f>
        <v>#N/A N/A</v>
      </c>
      <c r="T760">
        <f>_xll.BDP("034280L2 Muni","LQA_LIQUIDITY_SCORE")</f>
        <v>76</v>
      </c>
    </row>
    <row r="761" spans="1:20" x14ac:dyDescent="0.25">
      <c r="A761" t="str">
        <f>_xll.BDP("161069S2 Muni","ID_CUSIP")</f>
        <v>161069S26</v>
      </c>
      <c r="B761" t="s">
        <v>71</v>
      </c>
      <c r="C761" t="str">
        <f>_xll.BDP("161069S2 Muni","INSURANCE_STATUS")</f>
        <v>N</v>
      </c>
      <c r="D761" t="str">
        <f>_xll.BDP("161069S2 Muni","STATE_CODE")</f>
        <v>VA</v>
      </c>
      <c r="E761" t="str">
        <f>_xll.BDP("161069S2 Muni","COUNTY_LOCATION_ISSUER")</f>
        <v>Charlottesville, VA</v>
      </c>
      <c r="F761">
        <f>_xll.BDP("161069S2 Muni","DUR_ADJ_MID")</f>
        <v>0.36815221037400248</v>
      </c>
      <c r="G761">
        <f>_xll.BDP("161069S2 Muni","SPREAD_AT_ISSUANCE_TO_WORST")</f>
        <v>8.9794260872411158E-2</v>
      </c>
      <c r="H761" t="str">
        <f>_xll.BDP("161069S2 Muni","ISSUE_DT")</f>
        <v>6/29/2017</v>
      </c>
      <c r="I761" t="str">
        <f>_xll.BDS("161069S2 Muni","MUNI_PURPOSE_SCHED", "aggregate=y")</f>
        <v>PUBLIC IMPS. SCHOOL IMPS. WATER UTILITY IMPS.</v>
      </c>
      <c r="J761">
        <f>_xll.BDP("161069S2 Muni","CPN")</f>
        <v>5</v>
      </c>
      <c r="K761" t="str">
        <f>_xll.BDP("161069S2 Muni","MATURITY")</f>
        <v>12/15/2022</v>
      </c>
      <c r="L761">
        <v>700000</v>
      </c>
      <c r="M761">
        <f>_xll.BDP("161069S2 Muni","YIELD_ON_ISSUE_DATE")</f>
        <v>1.28</v>
      </c>
      <c r="N761">
        <f>_xll.BDP("161069S2 Muni","YTW_SPREAD_TO_MATURITY_AT_ISSU")</f>
        <v>8.9794260872411158E-2</v>
      </c>
      <c r="O761" t="str">
        <f>_xll.BDP("161069S2 Muni","BVAL_MID_YTM")</f>
        <v>#N/A Authorization</v>
      </c>
      <c r="P761" t="str">
        <f>_xll.BDP("161069S2 Muni","MUNI_TAX_PROV")</f>
        <v>FED &amp; ST TAX-EXEMPT</v>
      </c>
      <c r="Q761" t="str">
        <f>_xll.BDP("161069S2 Muni","MUNI_FED_TAX")</f>
        <v>N</v>
      </c>
      <c r="R761" t="str">
        <f>_xll.BDP("161069S2 Muni","MUNI_MSRB_VOLUME")</f>
        <v>#N/A N/A</v>
      </c>
      <c r="S761" t="str">
        <f>_xll.BDP("161069S2 Muni","BB_COMPOSITE")</f>
        <v>AAA</v>
      </c>
      <c r="T761">
        <f>_xll.BDP("161069S2 Muni","LQA_LIQUIDITY_SCORE")</f>
        <v>95</v>
      </c>
    </row>
    <row r="762" spans="1:20" x14ac:dyDescent="0.25">
      <c r="A762" t="str">
        <f>_xll.BDP("161069S3 Muni","ID_CUSIP")</f>
        <v>161069S34</v>
      </c>
      <c r="B762" t="s">
        <v>71</v>
      </c>
      <c r="C762" t="str">
        <f>_xll.BDP("161069S3 Muni","INSURANCE_STATUS")</f>
        <v>N</v>
      </c>
      <c r="D762" t="str">
        <f>_xll.BDP("161069S3 Muni","STATE_CODE")</f>
        <v>VA</v>
      </c>
      <c r="E762" t="str">
        <f>_xll.BDP("161069S3 Muni","COUNTY_LOCATION_ISSUER")</f>
        <v>Charlottesville, VA</v>
      </c>
      <c r="F762">
        <f>_xll.BDP("161069S3 Muni","DUR_ADJ_MID")</f>
        <v>1.3241475372508109</v>
      </c>
      <c r="G762">
        <f>_xll.BDP("161069S3 Muni","SPREAD_AT_ISSUANCE_TO_WORST")</f>
        <v>-4.1919691875595966</v>
      </c>
      <c r="H762" t="str">
        <f>_xll.BDP("161069S3 Muni","ISSUE_DT")</f>
        <v>6/29/2017</v>
      </c>
      <c r="I762" t="str">
        <f>_xll.BDS("161069S3 Muni","MUNI_PURPOSE_SCHED", "aggregate=y")</f>
        <v>PUBLIC IMPS. SCHOOL IMPS. WATER UTILITY IMPS.</v>
      </c>
      <c r="J762">
        <f>_xll.BDP("161069S3 Muni","CPN")</f>
        <v>5</v>
      </c>
      <c r="K762" t="str">
        <f>_xll.BDP("161069S3 Muni","MATURITY")</f>
        <v>12/15/2023</v>
      </c>
      <c r="L762">
        <v>695000</v>
      </c>
      <c r="M762">
        <f>_xll.BDP("161069S3 Muni","YIELD_ON_ISSUE_DATE")</f>
        <v>1.3800000000000001</v>
      </c>
      <c r="N762">
        <f>_xll.BDP("161069S3 Muni","YTW_SPREAD_TO_MATURITY_AT_ISSU")</f>
        <v>-4.1919691875595966</v>
      </c>
      <c r="O762" t="str">
        <f>_xll.BDP("161069S3 Muni","BVAL_MID_YTM")</f>
        <v>#N/A Authorization</v>
      </c>
      <c r="P762" t="str">
        <f>_xll.BDP("161069S3 Muni","MUNI_TAX_PROV")</f>
        <v>FED &amp; ST TAX-EXEMPT</v>
      </c>
      <c r="Q762" t="str">
        <f>_xll.BDP("161069S3 Muni","MUNI_FED_TAX")</f>
        <v>N</v>
      </c>
      <c r="R762">
        <f>_xll.BDP("161069S3 Muni","MUNI_MSRB_VOLUME")</f>
        <v>75000</v>
      </c>
      <c r="S762" t="str">
        <f>_xll.BDP("161069S3 Muni","BB_COMPOSITE")</f>
        <v>AAA</v>
      </c>
      <c r="T762">
        <f>_xll.BDP("161069S3 Muni","LQA_LIQUIDITY_SCORE")</f>
        <v>89</v>
      </c>
    </row>
    <row r="763" spans="1:20" x14ac:dyDescent="0.25">
      <c r="A763" t="str">
        <f>_xll.BDP("161069S4 Muni","ID_CUSIP")</f>
        <v>161069S42</v>
      </c>
      <c r="B763" t="s">
        <v>71</v>
      </c>
      <c r="C763" t="str">
        <f>_xll.BDP("161069S4 Muni","INSURANCE_STATUS")</f>
        <v>N</v>
      </c>
      <c r="D763" t="str">
        <f>_xll.BDP("161069S4 Muni","STATE_CODE")</f>
        <v>VA</v>
      </c>
      <c r="E763" t="str">
        <f>_xll.BDP("161069S4 Muni","COUNTY_LOCATION_ISSUER")</f>
        <v>Charlottesville, VA</v>
      </c>
      <c r="F763">
        <f>_xll.BDP("161069S4 Muni","DUR_ADJ_MID")</f>
        <v>2.2374012755516519</v>
      </c>
      <c r="G763">
        <f>_xll.BDP("161069S4 Muni","SPREAD_AT_ISSUANCE_TO_WORST")</f>
        <v>-6.7487855519139606</v>
      </c>
      <c r="H763" t="str">
        <f>_xll.BDP("161069S4 Muni","ISSUE_DT")</f>
        <v>6/29/2017</v>
      </c>
      <c r="I763" t="str">
        <f>_xll.BDS("161069S4 Muni","MUNI_PURPOSE_SCHED", "aggregate=y")</f>
        <v>PUBLIC IMPS. SCHOOL IMPS. WATER UTILITY IMPS.</v>
      </c>
      <c r="J763">
        <f>_xll.BDP("161069S4 Muni","CPN")</f>
        <v>5</v>
      </c>
      <c r="K763" t="str">
        <f>_xll.BDP("161069S4 Muni","MATURITY")</f>
        <v>12/15/2024</v>
      </c>
      <c r="L763">
        <v>695000</v>
      </c>
      <c r="M763">
        <f>_xll.BDP("161069S4 Muni","YIELD_ON_ISSUE_DATE")</f>
        <v>1.5</v>
      </c>
      <c r="N763">
        <f>_xll.BDP("161069S4 Muni","YTW_SPREAD_TO_MATURITY_AT_ISSU")</f>
        <v>-6.7487855519139606</v>
      </c>
      <c r="O763" t="str">
        <f>_xll.BDP("161069S4 Muni","BVAL_MID_YTM")</f>
        <v>#N/A Authorization</v>
      </c>
      <c r="P763" t="str">
        <f>_xll.BDP("161069S4 Muni","MUNI_TAX_PROV")</f>
        <v>FED &amp; ST TAX-EXEMPT</v>
      </c>
      <c r="Q763" t="str">
        <f>_xll.BDP("161069S4 Muni","MUNI_FED_TAX")</f>
        <v>N</v>
      </c>
      <c r="R763" t="str">
        <f>_xll.BDP("161069S4 Muni","MUNI_MSRB_VOLUME")</f>
        <v>#N/A N/A</v>
      </c>
      <c r="S763" t="str">
        <f>_xll.BDP("161069S4 Muni","BB_COMPOSITE")</f>
        <v>AAA</v>
      </c>
      <c r="T763">
        <f>_xll.BDP("161069S4 Muni","LQA_LIQUIDITY_SCORE")</f>
        <v>86</v>
      </c>
    </row>
    <row r="764" spans="1:20" x14ac:dyDescent="0.25">
      <c r="A764" t="str">
        <f>_xll.BDP("161069S6 Muni","ID_CUSIP")</f>
        <v>161069S67</v>
      </c>
      <c r="B764" t="s">
        <v>71</v>
      </c>
      <c r="C764" t="str">
        <f>_xll.BDP("161069S6 Muni","INSURANCE_STATUS")</f>
        <v>N</v>
      </c>
      <c r="D764" t="str">
        <f>_xll.BDP("161069S6 Muni","STATE_CODE")</f>
        <v>VA</v>
      </c>
      <c r="E764" t="str">
        <f>_xll.BDP("161069S6 Muni","COUNTY_LOCATION_ISSUER")</f>
        <v>Charlottesville, VA</v>
      </c>
      <c r="F764">
        <f>_xll.BDP("161069S6 Muni","DUR_ADJ_MID")</f>
        <v>3.9511957780051281</v>
      </c>
      <c r="G764">
        <f>_xll.BDP("161069S6 Muni","SPREAD_AT_ISSUANCE_TO_WORST")</f>
        <v>-4.8060262455598801</v>
      </c>
      <c r="H764" t="str">
        <f>_xll.BDP("161069S6 Muni","ISSUE_DT")</f>
        <v>6/29/2017</v>
      </c>
      <c r="I764" t="str">
        <f>_xll.BDS("161069S6 Muni","MUNI_PURPOSE_SCHED", "aggregate=y")</f>
        <v>PUBLIC IMPS. SCHOOL IMPS. WATER UTILITY IMPS.</v>
      </c>
      <c r="J764">
        <f>_xll.BDP("161069S6 Muni","CPN")</f>
        <v>5</v>
      </c>
      <c r="K764" t="str">
        <f>_xll.BDP("161069S6 Muni","MATURITY")</f>
        <v>12/15/2026</v>
      </c>
      <c r="L764">
        <v>690000</v>
      </c>
      <c r="M764">
        <f>_xll.BDP("161069S6 Muni","YIELD_ON_ISSUE_DATE")</f>
        <v>1.78</v>
      </c>
      <c r="N764">
        <f>_xll.BDP("161069S6 Muni","YTW_SPREAD_TO_MATURITY_AT_ISSU")</f>
        <v>-4.8060262455598801</v>
      </c>
      <c r="O764" t="str">
        <f>_xll.BDP("161069S6 Muni","BVAL_MID_YTM")</f>
        <v>#N/A Authorization</v>
      </c>
      <c r="P764" t="str">
        <f>_xll.BDP("161069S6 Muni","MUNI_TAX_PROV")</f>
        <v>FED &amp; ST TAX-EXEMPT</v>
      </c>
      <c r="Q764" t="str">
        <f>_xll.BDP("161069S6 Muni","MUNI_FED_TAX")</f>
        <v>N</v>
      </c>
      <c r="R764" t="str">
        <f>_xll.BDP("161069S6 Muni","MUNI_MSRB_VOLUME")</f>
        <v>#N/A N/A</v>
      </c>
      <c r="S764" t="str">
        <f>_xll.BDP("161069S6 Muni","BB_COMPOSITE")</f>
        <v>AAA</v>
      </c>
      <c r="T764">
        <f>_xll.BDP("161069S6 Muni","LQA_LIQUIDITY_SCORE")</f>
        <v>69</v>
      </c>
    </row>
    <row r="765" spans="1:20" x14ac:dyDescent="0.25">
      <c r="A765" t="str">
        <f>_xll.BDP("161069S7 Muni","ID_CUSIP")</f>
        <v>161069S75</v>
      </c>
      <c r="B765" t="s">
        <v>71</v>
      </c>
      <c r="C765" t="str">
        <f>_xll.BDP("161069S7 Muni","INSURANCE_STATUS")</f>
        <v>N</v>
      </c>
      <c r="D765" t="str">
        <f>_xll.BDP("161069S7 Muni","STATE_CODE")</f>
        <v>VA</v>
      </c>
      <c r="E765" t="str">
        <f>_xll.BDP("161069S7 Muni","COUNTY_LOCATION_ISSUER")</f>
        <v>Charlottesville, VA</v>
      </c>
      <c r="F765">
        <f>_xll.BDP("161069S7 Muni","DUR_ADJ_MID")</f>
        <v>4.7567138128463</v>
      </c>
      <c r="G765">
        <f>_xll.BDP("161069S7 Muni","SPREAD_AT_ISSUANCE_TO_WORST")</f>
        <v>-5.9414767775493926</v>
      </c>
      <c r="H765" t="str">
        <f>_xll.BDP("161069S7 Muni","ISSUE_DT")</f>
        <v>6/29/2017</v>
      </c>
      <c r="I765" t="str">
        <f>_xll.BDS("161069S7 Muni","MUNI_PURPOSE_SCHED", "aggregate=y")</f>
        <v>PUBLIC IMPS. SCHOOL IMPS. WATER UTILITY IMPS.</v>
      </c>
      <c r="J765">
        <f>_xll.BDP("161069S7 Muni","CPN")</f>
        <v>5</v>
      </c>
      <c r="K765" t="str">
        <f>_xll.BDP("161069S7 Muni","MATURITY")</f>
        <v>12/15/2027</v>
      </c>
      <c r="L765">
        <v>685000</v>
      </c>
      <c r="M765">
        <f>_xll.BDP("161069S7 Muni","YIELD_ON_ISSUE_DATE")</f>
        <v>1.8800000000000001</v>
      </c>
      <c r="N765">
        <f>_xll.BDP("161069S7 Muni","YTW_SPREAD_TO_MATURITY_AT_ISSU")</f>
        <v>-5.9414767775493926</v>
      </c>
      <c r="O765" t="str">
        <f>_xll.BDP("161069S7 Muni","BVAL_MID_YTM")</f>
        <v>#N/A Authorization</v>
      </c>
      <c r="P765" t="str">
        <f>_xll.BDP("161069S7 Muni","MUNI_TAX_PROV")</f>
        <v>FED &amp; ST TAX-EXEMPT</v>
      </c>
      <c r="Q765" t="str">
        <f>_xll.BDP("161069S7 Muni","MUNI_FED_TAX")</f>
        <v>N</v>
      </c>
      <c r="R765" t="str">
        <f>_xll.BDP("161069S7 Muni","MUNI_MSRB_VOLUME")</f>
        <v>#N/A N/A</v>
      </c>
      <c r="S765" t="str">
        <f>_xll.BDP("161069S7 Muni","BB_COMPOSITE")</f>
        <v>AAA</v>
      </c>
      <c r="T765">
        <f>_xll.BDP("161069S7 Muni","LQA_LIQUIDITY_SCORE")</f>
        <v>61</v>
      </c>
    </row>
    <row r="766" spans="1:20" x14ac:dyDescent="0.25">
      <c r="A766" t="str">
        <f>_xll.BDP("161664GG Muni","ID_CUSIP")</f>
        <v>161664GG6</v>
      </c>
      <c r="B766" t="s">
        <v>265</v>
      </c>
      <c r="C766" t="str">
        <f>_xll.BDP("161664GG Muni","INSURANCE_STATUS")</f>
        <v>N</v>
      </c>
      <c r="D766" t="str">
        <f>_xll.BDP("161664GG Muni","STATE_CODE")</f>
        <v>MN</v>
      </c>
      <c r="E766" t="str">
        <f>_xll.BDP("161664GG Muni","COUNTY_LOCATION_ISSUER")</f>
        <v>Carver, MN</v>
      </c>
      <c r="F766">
        <f>_xll.BDP("161664GG Muni","DUR_ADJ_MID")</f>
        <v>0.49482458823369996</v>
      </c>
      <c r="G766">
        <f>_xll.BDP("161664GG Muni","SPREAD_AT_ISSUANCE_TO_WORST")</f>
        <v>3.7594876712328862</v>
      </c>
      <c r="H766" t="str">
        <f>_xll.BDP("161664GG Muni","ISSUE_DT")</f>
        <v>11/29/2017</v>
      </c>
      <c r="I766" t="str">
        <f>_xll.BDS("161664GG Muni","MUNI_PURPOSE_SCHED", "aggregate=y")</f>
        <v>PUBLIC IMPS. WATER UTILITY IMPS. SEWER IMPS.</v>
      </c>
      <c r="J766">
        <f>_xll.BDP("161664GG Muni","CPN")</f>
        <v>5</v>
      </c>
      <c r="K766" t="str">
        <f>_xll.BDP("161664GG Muni","MATURITY")</f>
        <v>2/1/2023</v>
      </c>
      <c r="L766">
        <v>430000</v>
      </c>
      <c r="M766">
        <f>_xll.BDP("161664GG Muni","YIELD_ON_ISSUE_DATE")</f>
        <v>1.52</v>
      </c>
      <c r="N766">
        <f>_xll.BDP("161664GG Muni","YTW_SPREAD_TO_MATURITY_AT_ISSU")</f>
        <v>3.7594876712328862</v>
      </c>
      <c r="O766" t="str">
        <f>_xll.BDP("161664GG Muni","BVAL_MID_YTM")</f>
        <v>#N/A Authorization</v>
      </c>
      <c r="P766" t="str">
        <f>_xll.BDP("161664GG Muni","MUNI_TAX_PROV")</f>
        <v>FED &amp; ST TAX-EXEMPT</v>
      </c>
      <c r="Q766" t="str">
        <f>_xll.BDP("161664GG Muni","MUNI_FED_TAX")</f>
        <v>N</v>
      </c>
      <c r="R766" t="str">
        <f>_xll.BDP("161664GG Muni","MUNI_MSRB_VOLUME")</f>
        <v>#N/A N/A</v>
      </c>
      <c r="S766" t="str">
        <f>_xll.BDP("161664GG Muni","BB_COMPOSITE")</f>
        <v>#N/A N/A</v>
      </c>
      <c r="T766">
        <f>_xll.BDP("161664GG Muni","LQA_LIQUIDITY_SCORE")</f>
        <v>96</v>
      </c>
    </row>
    <row r="767" spans="1:20" x14ac:dyDescent="0.25">
      <c r="A767" t="str">
        <f>_xll.BDP("161664GH Muni","ID_CUSIP")</f>
        <v>161664GH4</v>
      </c>
      <c r="B767" t="s">
        <v>265</v>
      </c>
      <c r="C767" t="str">
        <f>_xll.BDP("161664GH Muni","INSURANCE_STATUS")</f>
        <v>N</v>
      </c>
      <c r="D767" t="str">
        <f>_xll.BDP("161664GH Muni","STATE_CODE")</f>
        <v>MN</v>
      </c>
      <c r="E767" t="str">
        <f>_xll.BDP("161664GH Muni","COUNTY_LOCATION_ISSUER")</f>
        <v>Carver, MN</v>
      </c>
      <c r="F767">
        <f>_xll.BDP("161664GH Muni","DUR_ADJ_MID")</f>
        <v>1.450767563844561</v>
      </c>
      <c r="G767">
        <f>_xll.BDP("161664GH Muni","SPREAD_AT_ISSUANCE_TO_WORST")</f>
        <v>5.0010027397260126</v>
      </c>
      <c r="H767" t="str">
        <f>_xll.BDP("161664GH Muni","ISSUE_DT")</f>
        <v>11/29/2017</v>
      </c>
      <c r="I767" t="str">
        <f>_xll.BDS("161664GH Muni","MUNI_PURPOSE_SCHED", "aggregate=y")</f>
        <v>PUBLIC IMPS. WATER UTILITY IMPS. SEWER IMPS.</v>
      </c>
      <c r="J767">
        <f>_xll.BDP("161664GH Muni","CPN")</f>
        <v>5</v>
      </c>
      <c r="K767" t="str">
        <f>_xll.BDP("161664GH Muni","MATURITY")</f>
        <v>2/1/2024</v>
      </c>
      <c r="L767">
        <v>715000</v>
      </c>
      <c r="M767">
        <f>_xll.BDP("161664GH Muni","YIELD_ON_ISSUE_DATE")</f>
        <v>1.6500000000000001</v>
      </c>
      <c r="N767">
        <f>_xll.BDP("161664GH Muni","YTW_SPREAD_TO_MATURITY_AT_ISSU")</f>
        <v>5.0010027397260126</v>
      </c>
      <c r="O767" t="str">
        <f>_xll.BDP("161664GH Muni","BVAL_MID_YTM")</f>
        <v>#N/A Authorization</v>
      </c>
      <c r="P767" t="str">
        <f>_xll.BDP("161664GH Muni","MUNI_TAX_PROV")</f>
        <v>FED &amp; ST TAX-EXEMPT</v>
      </c>
      <c r="Q767" t="str">
        <f>_xll.BDP("161664GH Muni","MUNI_FED_TAX")</f>
        <v>N</v>
      </c>
      <c r="R767">
        <f>_xll.BDP("161664GH Muni","MUNI_MSRB_VOLUME")</f>
        <v>90000</v>
      </c>
      <c r="S767" t="str">
        <f>_xll.BDP("161664GH Muni","BB_COMPOSITE")</f>
        <v>#N/A N/A</v>
      </c>
      <c r="T767">
        <f>_xll.BDP("161664GH Muni","LQA_LIQUIDITY_SCORE")</f>
        <v>87</v>
      </c>
    </row>
    <row r="768" spans="1:20" x14ac:dyDescent="0.25">
      <c r="A768" t="str">
        <f>_xll.BDP("161664GJ Muni","ID_CUSIP")</f>
        <v>161664GJ0</v>
      </c>
      <c r="B768" t="s">
        <v>265</v>
      </c>
      <c r="C768" t="str">
        <f>_xll.BDP("161664GJ Muni","INSURANCE_STATUS")</f>
        <v>N</v>
      </c>
      <c r="D768" t="str">
        <f>_xll.BDP("161664GJ Muni","STATE_CODE")</f>
        <v>MN</v>
      </c>
      <c r="E768" t="str">
        <f>_xll.BDP("161664GJ Muni","COUNTY_LOCATION_ISSUER")</f>
        <v>Carver, MN</v>
      </c>
      <c r="F768">
        <f>_xll.BDP("161664GJ Muni","DUR_ADJ_MID")</f>
        <v>2.3632919819637732</v>
      </c>
      <c r="G768">
        <f>_xll.BDP("161664GJ Muni","SPREAD_AT_ISSUANCE_TO_WORST")</f>
        <v>5.9013479452054929</v>
      </c>
      <c r="H768" t="str">
        <f>_xll.BDP("161664GJ Muni","ISSUE_DT")</f>
        <v>11/29/2017</v>
      </c>
      <c r="I768" t="str">
        <f>_xll.BDS("161664GJ Muni","MUNI_PURPOSE_SCHED", "aggregate=y")</f>
        <v>PUBLIC IMPS. WATER UTILITY IMPS. SEWER IMPS.</v>
      </c>
      <c r="J768">
        <f>_xll.BDP("161664GJ Muni","CPN")</f>
        <v>5</v>
      </c>
      <c r="K768" t="str">
        <f>_xll.BDP("161664GJ Muni","MATURITY")</f>
        <v>2/1/2025</v>
      </c>
      <c r="L768">
        <v>750000</v>
      </c>
      <c r="M768">
        <f>_xll.BDP("161664GJ Muni","YIELD_ON_ISSUE_DATE")</f>
        <v>1.78</v>
      </c>
      <c r="N768">
        <f>_xll.BDP("161664GJ Muni","YTW_SPREAD_TO_MATURITY_AT_ISSU")</f>
        <v>5.9013479452054929</v>
      </c>
      <c r="O768" t="str">
        <f>_xll.BDP("161664GJ Muni","BVAL_MID_YTM")</f>
        <v>#N/A Authorization</v>
      </c>
      <c r="P768" t="str">
        <f>_xll.BDP("161664GJ Muni","MUNI_TAX_PROV")</f>
        <v>FED &amp; ST TAX-EXEMPT</v>
      </c>
      <c r="Q768" t="str">
        <f>_xll.BDP("161664GJ Muni","MUNI_FED_TAX")</f>
        <v>N</v>
      </c>
      <c r="R768" t="str">
        <f>_xll.BDP("161664GJ Muni","MUNI_MSRB_VOLUME")</f>
        <v>#N/A N/A</v>
      </c>
      <c r="S768" t="str">
        <f>_xll.BDP("161664GJ Muni","BB_COMPOSITE")</f>
        <v>#N/A N/A</v>
      </c>
      <c r="T768">
        <f>_xll.BDP("161664GJ Muni","LQA_LIQUIDITY_SCORE")</f>
        <v>80</v>
      </c>
    </row>
    <row r="769" spans="1:20" x14ac:dyDescent="0.25">
      <c r="A769" t="str">
        <f>_xll.BDP("161664GK Muni","ID_CUSIP")</f>
        <v>161664GK7</v>
      </c>
      <c r="B769" t="s">
        <v>265</v>
      </c>
      <c r="C769" t="str">
        <f>_xll.BDP("161664GK Muni","INSURANCE_STATUS")</f>
        <v>N</v>
      </c>
      <c r="D769" t="str">
        <f>_xll.BDP("161664GK Muni","STATE_CODE")</f>
        <v>MN</v>
      </c>
      <c r="E769" t="str">
        <f>_xll.BDP("161664GK Muni","COUNTY_LOCATION_ISSUER")</f>
        <v>Carver, MN</v>
      </c>
      <c r="F769">
        <f>_xll.BDP("161664GK Muni","DUR_ADJ_MID")</f>
        <v>3.2365800258073474</v>
      </c>
      <c r="G769">
        <f>_xll.BDP("161664GK Muni","SPREAD_AT_ISSUANCE_TO_WORST")</f>
        <v>6.2022712328766882</v>
      </c>
      <c r="H769" t="str">
        <f>_xll.BDP("161664GK Muni","ISSUE_DT")</f>
        <v>11/29/2017</v>
      </c>
      <c r="I769" t="str">
        <f>_xll.BDS("161664GK Muni","MUNI_PURPOSE_SCHED", "aggregate=y")</f>
        <v>PUBLIC IMPS. WATER UTILITY IMPS. SEWER IMPS.</v>
      </c>
      <c r="J769">
        <f>_xll.BDP("161664GK Muni","CPN")</f>
        <v>5</v>
      </c>
      <c r="K769" t="str">
        <f>_xll.BDP("161664GK Muni","MATURITY")</f>
        <v>2/1/2026</v>
      </c>
      <c r="L769">
        <v>795000</v>
      </c>
      <c r="M769">
        <f>_xll.BDP("161664GK Muni","YIELD_ON_ISSUE_DATE")</f>
        <v>1.9000000000000001</v>
      </c>
      <c r="N769">
        <f>_xll.BDP("161664GK Muni","YTW_SPREAD_TO_MATURITY_AT_ISSU")</f>
        <v>6.2022712328766882</v>
      </c>
      <c r="O769" t="str">
        <f>_xll.BDP("161664GK Muni","BVAL_MID_YTM")</f>
        <v>#N/A Authorization</v>
      </c>
      <c r="P769" t="str">
        <f>_xll.BDP("161664GK Muni","MUNI_TAX_PROV")</f>
        <v>FED &amp; ST TAX-EXEMPT</v>
      </c>
      <c r="Q769" t="str">
        <f>_xll.BDP("161664GK Muni","MUNI_FED_TAX")</f>
        <v>N</v>
      </c>
      <c r="R769">
        <f>_xll.BDP("161664GK Muni","MUNI_MSRB_VOLUME")</f>
        <v>70000</v>
      </c>
      <c r="S769" t="str">
        <f>_xll.BDP("161664GK Muni","BB_COMPOSITE")</f>
        <v>#N/A N/A</v>
      </c>
      <c r="T769">
        <f>_xll.BDP("161664GK Muni","LQA_LIQUIDITY_SCORE")</f>
        <v>73</v>
      </c>
    </row>
    <row r="770" spans="1:20" x14ac:dyDescent="0.25">
      <c r="A770" t="str">
        <f>_xll.BDP("161664GL Muni","ID_CUSIP")</f>
        <v>161664GL5</v>
      </c>
      <c r="B770" t="s">
        <v>265</v>
      </c>
      <c r="C770" t="str">
        <f>_xll.BDP("161664GL Muni","INSURANCE_STATUS")</f>
        <v>N</v>
      </c>
      <c r="D770" t="str">
        <f>_xll.BDP("161664GL Muni","STATE_CODE")</f>
        <v>MN</v>
      </c>
      <c r="E770" t="str">
        <f>_xll.BDP("161664GL Muni","COUNTY_LOCATION_ISSUER")</f>
        <v>Carver, MN</v>
      </c>
      <c r="F770">
        <f>_xll.BDP("161664GL Muni","DUR_ADJ_MID")</f>
        <v>4.0734133444214455</v>
      </c>
      <c r="G770">
        <f>_xll.BDP("161664GL Muni","SPREAD_AT_ISSUANCE_TO_WORST")</f>
        <v>8.3738630136986245</v>
      </c>
      <c r="H770" t="str">
        <f>_xll.BDP("161664GL Muni","ISSUE_DT")</f>
        <v>11/29/2017</v>
      </c>
      <c r="I770" t="str">
        <f>_xll.BDS("161664GL Muni","MUNI_PURPOSE_SCHED", "aggregate=y")</f>
        <v>PUBLIC IMPS. WATER UTILITY IMPS. SEWER IMPS.</v>
      </c>
      <c r="J770">
        <f>_xll.BDP("161664GL Muni","CPN")</f>
        <v>5</v>
      </c>
      <c r="K770" t="str">
        <f>_xll.BDP("161664GL Muni","MATURITY")</f>
        <v>2/1/2027</v>
      </c>
      <c r="L770">
        <v>830000</v>
      </c>
      <c r="M770">
        <f>_xll.BDP("161664GL Muni","YIELD_ON_ISSUE_DATE")</f>
        <v>2.02</v>
      </c>
      <c r="N770">
        <f>_xll.BDP("161664GL Muni","YTW_SPREAD_TO_MATURITY_AT_ISSU")</f>
        <v>8.3738630136986245</v>
      </c>
      <c r="O770" t="str">
        <f>_xll.BDP("161664GL Muni","BVAL_MID_YTM")</f>
        <v>#N/A Authorization</v>
      </c>
      <c r="P770" t="str">
        <f>_xll.BDP("161664GL Muni","MUNI_TAX_PROV")</f>
        <v>FED &amp; ST TAX-EXEMPT</v>
      </c>
      <c r="Q770" t="str">
        <f>_xll.BDP("161664GL Muni","MUNI_FED_TAX")</f>
        <v>N</v>
      </c>
      <c r="R770" t="str">
        <f>_xll.BDP("161664GL Muni","MUNI_MSRB_VOLUME")</f>
        <v>#N/A N/A</v>
      </c>
      <c r="S770" t="str">
        <f>_xll.BDP("161664GL Muni","BB_COMPOSITE")</f>
        <v>#N/A N/A</v>
      </c>
      <c r="T770">
        <f>_xll.BDP("161664GL Muni","LQA_LIQUIDITY_SCORE")</f>
        <v>66</v>
      </c>
    </row>
    <row r="771" spans="1:20" x14ac:dyDescent="0.25">
      <c r="A771" t="str">
        <f>_xll.BDP("161843FP Muni","ID_CUSIP")</f>
        <v>161843FP7</v>
      </c>
      <c r="B771" t="s">
        <v>266</v>
      </c>
      <c r="C771" t="str">
        <f>_xll.BDP("161843FP Muni","INSURANCE_STATUS")</f>
        <v>N</v>
      </c>
      <c r="D771" t="str">
        <f>_xll.BDP("161843FP Muni","STATE_CODE")</f>
        <v>NJ</v>
      </c>
      <c r="E771" t="str">
        <f>_xll.BDP("161843FP Muni","COUNTY_LOCATION_ISSUER")</f>
        <v>Morris, NJ</v>
      </c>
      <c r="F771">
        <f>_xll.BDP("161843FP Muni","DUR_ADJ_MID")</f>
        <v>0.65539068378171339</v>
      </c>
      <c r="G771">
        <f>_xll.BDP("161843FP Muni","SPREAD_AT_ISSUANCE_TO_WORST")</f>
        <v>11.325927425119907</v>
      </c>
      <c r="H771" t="str">
        <f>_xll.BDP("161843FP Muni","ISSUE_DT")</f>
        <v>4/1/2017</v>
      </c>
      <c r="I771" t="str">
        <f>_xll.BDS("161843FP Muni","MUNI_PURPOSE_SCHED", "aggregate=y")</f>
        <v>REFUNDING NOTES PUBLIC IMPS. WATER UTILITY IMPS.</v>
      </c>
      <c r="J771">
        <f>_xll.BDP("161843FP Muni","CPN")</f>
        <v>2</v>
      </c>
      <c r="K771" t="str">
        <f>_xll.BDP("161843FP Muni","MATURITY")</f>
        <v>4/1/2023</v>
      </c>
      <c r="L771">
        <v>615000</v>
      </c>
      <c r="M771">
        <f>_xll.BDP("161843FP Muni","YIELD_ON_ISSUE_DATE")</f>
        <v>1.8</v>
      </c>
      <c r="N771">
        <f>_xll.BDP("161843FP Muni","YTW_SPREAD_TO_MATURITY_AT_ISSU")</f>
        <v>11.325927425119907</v>
      </c>
      <c r="O771" t="str">
        <f>_xll.BDP("161843FP Muni","BVAL_MID_YTM")</f>
        <v>#N/A Authorization</v>
      </c>
      <c r="P771" t="str">
        <f>_xll.BDP("161843FP Muni","MUNI_TAX_PROV")</f>
        <v>FED BQ/ST TAX-EXEMPT</v>
      </c>
      <c r="Q771" t="str">
        <f>_xll.BDP("161843FP Muni","MUNI_FED_TAX")</f>
        <v>N</v>
      </c>
      <c r="R771">
        <f>_xll.BDP("161843FP Muni","MUNI_MSRB_VOLUME")</f>
        <v>30000</v>
      </c>
      <c r="S771" t="str">
        <f>_xll.BDP("161843FP Muni","BB_COMPOSITE")</f>
        <v>#N/A N/A</v>
      </c>
      <c r="T771">
        <f>_xll.BDP("161843FP Muni","LQA_LIQUIDITY_SCORE")</f>
        <v>95</v>
      </c>
    </row>
    <row r="772" spans="1:20" x14ac:dyDescent="0.25">
      <c r="A772" t="str">
        <f>_xll.BDP("161843FQ Muni","ID_CUSIP")</f>
        <v>161843FQ5</v>
      </c>
      <c r="B772" t="s">
        <v>266</v>
      </c>
      <c r="C772" t="str">
        <f>_xll.BDP("161843FQ Muni","INSURANCE_STATUS")</f>
        <v>N</v>
      </c>
      <c r="D772" t="str">
        <f>_xll.BDP("161843FQ Muni","STATE_CODE")</f>
        <v>NJ</v>
      </c>
      <c r="E772" t="str">
        <f>_xll.BDP("161843FQ Muni","COUNTY_LOCATION_ISSUER")</f>
        <v>Morris, NJ</v>
      </c>
      <c r="F772">
        <f>_xll.BDP("161843FQ Muni","DUR_ADJ_MID")</f>
        <v>1.6220056790322717</v>
      </c>
      <c r="G772">
        <f>_xll.BDP("161843FQ Muni","SPREAD_AT_ISSUANCE_TO_WORST")</f>
        <v>4.6622477793890615</v>
      </c>
      <c r="H772" t="str">
        <f>_xll.BDP("161843FQ Muni","ISSUE_DT")</f>
        <v>4/1/2017</v>
      </c>
      <c r="I772" t="str">
        <f>_xll.BDS("161843FQ Muni","MUNI_PURPOSE_SCHED", "aggregate=y")</f>
        <v>REFUNDING NOTES PUBLIC IMPS. WATER UTILITY IMPS.</v>
      </c>
      <c r="J772">
        <f>_xll.BDP("161843FQ Muni","CPN")</f>
        <v>2</v>
      </c>
      <c r="K772" t="str">
        <f>_xll.BDP("161843FQ Muni","MATURITY")</f>
        <v>4/1/2024</v>
      </c>
      <c r="L772">
        <v>540000</v>
      </c>
      <c r="M772">
        <f>_xll.BDP("161843FQ Muni","YIELD_ON_ISSUE_DATE")</f>
        <v>1.9000000000000001</v>
      </c>
      <c r="N772">
        <f>_xll.BDP("161843FQ Muni","YTW_SPREAD_TO_MATURITY_AT_ISSU")</f>
        <v>4.6622477793890615</v>
      </c>
      <c r="O772" t="str">
        <f>_xll.BDP("161843FQ Muni","BVAL_MID_YTM")</f>
        <v>#N/A Authorization</v>
      </c>
      <c r="P772" t="str">
        <f>_xll.BDP("161843FQ Muni","MUNI_TAX_PROV")</f>
        <v>FED BQ/ST TAX-EXEMPT</v>
      </c>
      <c r="Q772" t="str">
        <f>_xll.BDP("161843FQ Muni","MUNI_FED_TAX")</f>
        <v>N</v>
      </c>
      <c r="R772" t="str">
        <f>_xll.BDP("161843FQ Muni","MUNI_MSRB_VOLUME")</f>
        <v>#N/A N/A</v>
      </c>
      <c r="S772" t="str">
        <f>_xll.BDP("161843FQ Muni","BB_COMPOSITE")</f>
        <v>#N/A N/A</v>
      </c>
      <c r="T772">
        <f>_xll.BDP("161843FQ Muni","LQA_LIQUIDITY_SCORE")</f>
        <v>85</v>
      </c>
    </row>
    <row r="773" spans="1:20" x14ac:dyDescent="0.25">
      <c r="A773" t="str">
        <f>_xll.BDP("161843FR Muni","ID_CUSIP")</f>
        <v>161843FR3</v>
      </c>
      <c r="B773" t="s">
        <v>266</v>
      </c>
      <c r="C773" t="str">
        <f>_xll.BDP("161843FR Muni","INSURANCE_STATUS")</f>
        <v>N</v>
      </c>
      <c r="D773" t="str">
        <f>_xll.BDP("161843FR Muni","STATE_CODE")</f>
        <v>NJ</v>
      </c>
      <c r="E773" t="str">
        <f>_xll.BDP("161843FR Muni","COUNTY_LOCATION_ISSUER")</f>
        <v>Morris, NJ</v>
      </c>
      <c r="F773">
        <f>_xll.BDP("161843FR Muni","DUR_ADJ_MID")</f>
        <v>2.5695633815648633</v>
      </c>
      <c r="G773">
        <f>_xll.BDP("161843FR Muni","SPREAD_AT_ISSUANCE_TO_WORST")</f>
        <v>-1.5510903870984194</v>
      </c>
      <c r="H773" t="str">
        <f>_xll.BDP("161843FR Muni","ISSUE_DT")</f>
        <v>4/1/2017</v>
      </c>
      <c r="I773" t="str">
        <f>_xll.BDS("161843FR Muni","MUNI_PURPOSE_SCHED", "aggregate=y")</f>
        <v>REFUNDING NOTES PUBLIC IMPS. WATER UTILITY IMPS.</v>
      </c>
      <c r="J773">
        <f>_xll.BDP("161843FR Muni","CPN")</f>
        <v>2</v>
      </c>
      <c r="K773" t="str">
        <f>_xll.BDP("161843FR Muni","MATURITY")</f>
        <v>4/1/2025</v>
      </c>
      <c r="L773">
        <v>555000</v>
      </c>
      <c r="M773">
        <f>_xll.BDP("161843FR Muni","YIELD_ON_ISSUE_DATE")</f>
        <v>2</v>
      </c>
      <c r="N773">
        <f>_xll.BDP("161843FR Muni","YTW_SPREAD_TO_MATURITY_AT_ISSU")</f>
        <v>-1.5510903870984194</v>
      </c>
      <c r="O773" t="str">
        <f>_xll.BDP("161843FR Muni","BVAL_MID_YTM")</f>
        <v>#N/A Authorization</v>
      </c>
      <c r="P773" t="str">
        <f>_xll.BDP("161843FR Muni","MUNI_TAX_PROV")</f>
        <v>FED BQ/ST TAX-EXEMPT</v>
      </c>
      <c r="Q773" t="str">
        <f>_xll.BDP("161843FR Muni","MUNI_FED_TAX")</f>
        <v>N</v>
      </c>
      <c r="R773" t="str">
        <f>_xll.BDP("161843FR Muni","MUNI_MSRB_VOLUME")</f>
        <v>#N/A N/A</v>
      </c>
      <c r="S773" t="str">
        <f>_xll.BDP("161843FR Muni","BB_COMPOSITE")</f>
        <v>#N/A N/A</v>
      </c>
      <c r="T773">
        <f>_xll.BDP("161843FR Muni","LQA_LIQUIDITY_SCORE")</f>
        <v>75</v>
      </c>
    </row>
    <row r="774" spans="1:20" x14ac:dyDescent="0.25">
      <c r="A774" t="str">
        <f>_xll.BDP("161843FS Muni","ID_CUSIP")</f>
        <v>161843FS1</v>
      </c>
      <c r="B774" t="s">
        <v>266</v>
      </c>
      <c r="C774" t="str">
        <f>_xll.BDP("161843FS Muni","INSURANCE_STATUS")</f>
        <v>N</v>
      </c>
      <c r="D774" t="str">
        <f>_xll.BDP("161843FS Muni","STATE_CODE")</f>
        <v>NJ</v>
      </c>
      <c r="E774" t="str">
        <f>_xll.BDP("161843FS Muni","COUNTY_LOCATION_ISSUER")</f>
        <v>Morris, NJ</v>
      </c>
      <c r="F774">
        <f>_xll.BDP("161843FS Muni","DUR_ADJ_MID")</f>
        <v>3.4908647925473035</v>
      </c>
      <c r="G774">
        <f>_xll.BDP("161843FS Muni","SPREAD_AT_ISSUANCE_TO_WORST")</f>
        <v>-3.3265508581638681</v>
      </c>
      <c r="H774" t="str">
        <f>_xll.BDP("161843FS Muni","ISSUE_DT")</f>
        <v>4/1/2017</v>
      </c>
      <c r="I774" t="str">
        <f>_xll.BDS("161843FS Muni","MUNI_PURPOSE_SCHED", "aggregate=y")</f>
        <v>REFUNDING NOTES PUBLIC IMPS. WATER UTILITY IMPS.</v>
      </c>
      <c r="J774">
        <f>_xll.BDP("161843FS Muni","CPN")</f>
        <v>2.125</v>
      </c>
      <c r="K774" t="str">
        <f>_xll.BDP("161843FS Muni","MATURITY")</f>
        <v>4/1/2026</v>
      </c>
      <c r="L774">
        <v>580000</v>
      </c>
      <c r="M774">
        <f>_xll.BDP("161843FS Muni","YIELD_ON_ISSUE_DATE")</f>
        <v>2.125</v>
      </c>
      <c r="N774">
        <f>_xll.BDP("161843FS Muni","YTW_SPREAD_TO_MATURITY_AT_ISSU")</f>
        <v>-3.3265508581638681</v>
      </c>
      <c r="O774" t="str">
        <f>_xll.BDP("161843FS Muni","BVAL_MID_YTM")</f>
        <v>#N/A Authorization</v>
      </c>
      <c r="P774" t="str">
        <f>_xll.BDP("161843FS Muni","MUNI_TAX_PROV")</f>
        <v>FED BQ/ST TAX-EXEMPT</v>
      </c>
      <c r="Q774" t="str">
        <f>_xll.BDP("161843FS Muni","MUNI_FED_TAX")</f>
        <v>N</v>
      </c>
      <c r="R774" t="str">
        <f>_xll.BDP("161843FS Muni","MUNI_MSRB_VOLUME")</f>
        <v>#N/A N/A</v>
      </c>
      <c r="S774" t="str">
        <f>_xll.BDP("161843FS Muni","BB_COMPOSITE")</f>
        <v>#N/A N/A</v>
      </c>
      <c r="T774">
        <f>_xll.BDP("161843FS Muni","LQA_LIQUIDITY_SCORE")</f>
        <v>67</v>
      </c>
    </row>
    <row r="775" spans="1:20" x14ac:dyDescent="0.25">
      <c r="A775" t="str">
        <f>_xll.BDP("161843FT Muni","ID_CUSIP")</f>
        <v>161843FT9</v>
      </c>
      <c r="B775" t="s">
        <v>266</v>
      </c>
      <c r="C775" t="str">
        <f>_xll.BDP("161843FT Muni","INSURANCE_STATUS")</f>
        <v>N</v>
      </c>
      <c r="D775" t="str">
        <f>_xll.BDP("161843FT Muni","STATE_CODE")</f>
        <v>NJ</v>
      </c>
      <c r="E775" t="str">
        <f>_xll.BDP("161843FT Muni","COUNTY_LOCATION_ISSUER")</f>
        <v>Morris, NJ</v>
      </c>
      <c r="F775">
        <f>_xll.BDP("161843FT Muni","DUR_ADJ_MID")</f>
        <v>4.3846994764374365</v>
      </c>
      <c r="G775">
        <f>_xll.BDP("161843FT Muni","SPREAD_AT_ISSUANCE_TO_WORST")</f>
        <v>-2.0429708690566706</v>
      </c>
      <c r="H775" t="str">
        <f>_xll.BDP("161843FT Muni","ISSUE_DT")</f>
        <v>4/1/2017</v>
      </c>
      <c r="I775" t="str">
        <f>_xll.BDS("161843FT Muni","MUNI_PURPOSE_SCHED", "aggregate=y")</f>
        <v>REFUNDING NOTES PUBLIC IMPS. WATER UTILITY IMPS.</v>
      </c>
      <c r="J775">
        <f>_xll.BDP("161843FT Muni","CPN")</f>
        <v>2.25</v>
      </c>
      <c r="K775" t="str">
        <f>_xll.BDP("161843FT Muni","MATURITY")</f>
        <v>4/1/2027</v>
      </c>
      <c r="L775">
        <v>610000</v>
      </c>
      <c r="M775">
        <f>_xll.BDP("161843FT Muni","YIELD_ON_ISSUE_DATE")</f>
        <v>2.25</v>
      </c>
      <c r="N775">
        <f>_xll.BDP("161843FT Muni","YTW_SPREAD_TO_MATURITY_AT_ISSU")</f>
        <v>-2.0429708690566706</v>
      </c>
      <c r="O775" t="str">
        <f>_xll.BDP("161843FT Muni","BVAL_MID_YTM")</f>
        <v>#N/A Authorization</v>
      </c>
      <c r="P775" t="str">
        <f>_xll.BDP("161843FT Muni","MUNI_TAX_PROV")</f>
        <v>FED BQ/ST TAX-EXEMPT</v>
      </c>
      <c r="Q775" t="str">
        <f>_xll.BDP("161843FT Muni","MUNI_FED_TAX")</f>
        <v>N</v>
      </c>
      <c r="R775" t="str">
        <f>_xll.BDP("161843FT Muni","MUNI_MSRB_VOLUME")</f>
        <v>#N/A N/A</v>
      </c>
      <c r="S775" t="str">
        <f>_xll.BDP("161843FT Muni","BB_COMPOSITE")</f>
        <v>#N/A N/A</v>
      </c>
      <c r="T775">
        <f>_xll.BDP("161843FT Muni","LQA_LIQUIDITY_SCORE")</f>
        <v>60</v>
      </c>
    </row>
    <row r="776" spans="1:20" x14ac:dyDescent="0.25">
      <c r="A776" t="str">
        <f>_xll.BDP("161843FU Muni","ID_CUSIP")</f>
        <v>161843FU6</v>
      </c>
      <c r="B776" t="s">
        <v>266</v>
      </c>
      <c r="C776" t="str">
        <f>_xll.BDP("161843FU Muni","INSURANCE_STATUS")</f>
        <v>N</v>
      </c>
      <c r="D776" t="str">
        <f>_xll.BDP("161843FU Muni","STATE_CODE")</f>
        <v>NJ</v>
      </c>
      <c r="E776" t="str">
        <f>_xll.BDP("161843FU Muni","COUNTY_LOCATION_ISSUER")</f>
        <v>Morris, NJ</v>
      </c>
      <c r="F776">
        <f>_xll.BDP("161843FU Muni","DUR_ADJ_MID")</f>
        <v>5.2648659769510102</v>
      </c>
      <c r="G776">
        <f>_xll.BDP("161843FU Muni","SPREAD_AT_ISSUANCE_TO_WORST")</f>
        <v>-9.1178377380613185</v>
      </c>
      <c r="H776" t="str">
        <f>_xll.BDP("161843FU Muni","ISSUE_DT")</f>
        <v>4/1/2017</v>
      </c>
      <c r="I776" t="str">
        <f>_xll.BDS("161843FU Muni","MUNI_PURPOSE_SCHED", "aggregate=y")</f>
        <v>REFUNDING NOTES PUBLIC IMPS. WATER UTILITY IMPS.</v>
      </c>
      <c r="J776">
        <f>_xll.BDP("161843FU Muni","CPN")</f>
        <v>2.25</v>
      </c>
      <c r="K776" t="str">
        <f>_xll.BDP("161843FU Muni","MATURITY")</f>
        <v>4/1/2028</v>
      </c>
      <c r="L776">
        <v>625000</v>
      </c>
      <c r="M776">
        <f>_xll.BDP("161843FU Muni","YIELD_ON_ISSUE_DATE")</f>
        <v>2.3000000000000003</v>
      </c>
      <c r="N776">
        <f>_xll.BDP("161843FU Muni","YTW_SPREAD_TO_MATURITY_AT_ISSU")</f>
        <v>-9.1178377380613185</v>
      </c>
      <c r="O776" t="str">
        <f>_xll.BDP("161843FU Muni","BVAL_MID_YTM")</f>
        <v>#N/A Authorization</v>
      </c>
      <c r="P776" t="str">
        <f>_xll.BDP("161843FU Muni","MUNI_TAX_PROV")</f>
        <v>FED BQ/ST TAX-EXEMPT</v>
      </c>
      <c r="Q776" t="str">
        <f>_xll.BDP("161843FU Muni","MUNI_FED_TAX")</f>
        <v>N</v>
      </c>
      <c r="R776" t="str">
        <f>_xll.BDP("161843FU Muni","MUNI_MSRB_VOLUME")</f>
        <v>#N/A N/A</v>
      </c>
      <c r="S776" t="str">
        <f>_xll.BDP("161843FU Muni","BB_COMPOSITE")</f>
        <v>#N/A N/A</v>
      </c>
      <c r="T776">
        <f>_xll.BDP("161843FU Muni","LQA_LIQUIDITY_SCORE")</f>
        <v>44</v>
      </c>
    </row>
    <row r="777" spans="1:20" x14ac:dyDescent="0.25">
      <c r="A777" t="str">
        <f>_xll.BDP("161843FV Muni","ID_CUSIP")</f>
        <v>161843FV4</v>
      </c>
      <c r="B777" t="s">
        <v>266</v>
      </c>
      <c r="C777" t="str">
        <f>_xll.BDP("161843FV Muni","INSURANCE_STATUS")</f>
        <v>N</v>
      </c>
      <c r="D777" t="str">
        <f>_xll.BDP("161843FV Muni","STATE_CODE")</f>
        <v>NJ</v>
      </c>
      <c r="E777" t="str">
        <f>_xll.BDP("161843FV Muni","COUNTY_LOCATION_ISSUER")</f>
        <v>Morris, NJ</v>
      </c>
      <c r="F777">
        <f>_xll.BDP("161843FV Muni","DUR_ADJ_MID")</f>
        <v>5.9918612717570774</v>
      </c>
      <c r="G777">
        <f>_xll.BDP("161843FV Muni","SPREAD_AT_ISSUANCE_TO_WORST")</f>
        <v>-9.579663658635118</v>
      </c>
      <c r="H777" t="str">
        <f>_xll.BDP("161843FV Muni","ISSUE_DT")</f>
        <v>4/1/2017</v>
      </c>
      <c r="I777" t="str">
        <f>_xll.BDS("161843FV Muni","MUNI_PURPOSE_SCHED", "aggregate=y")</f>
        <v>REFUNDING NOTES PUBLIC IMPS. WATER UTILITY IMPS.</v>
      </c>
      <c r="J777">
        <f>_xll.BDP("161843FV Muni","CPN")</f>
        <v>3</v>
      </c>
      <c r="K777" t="str">
        <f>_xll.BDP("161843FV Muni","MATURITY")</f>
        <v>4/1/2029</v>
      </c>
      <c r="L777">
        <v>640000</v>
      </c>
      <c r="M777">
        <f>_xll.BDP("161843FV Muni","YIELD_ON_ISSUE_DATE")</f>
        <v>2.4000000000000004</v>
      </c>
      <c r="N777">
        <f>_xll.BDP("161843FV Muni","YTW_SPREAD_TO_MATURITY_AT_ISSU")</f>
        <v>-9.579663658635118</v>
      </c>
      <c r="O777" t="str">
        <f>_xll.BDP("161843FV Muni","BVAL_MID_YTM")</f>
        <v>#N/A Authorization</v>
      </c>
      <c r="P777" t="str">
        <f>_xll.BDP("161843FV Muni","MUNI_TAX_PROV")</f>
        <v>FED BQ/ST TAX-EXEMPT</v>
      </c>
      <c r="Q777" t="str">
        <f>_xll.BDP("161843FV Muni","MUNI_FED_TAX")</f>
        <v>N</v>
      </c>
      <c r="R777" t="str">
        <f>_xll.BDP("161843FV Muni","MUNI_MSRB_VOLUME")</f>
        <v>#N/A N/A</v>
      </c>
      <c r="S777" t="str">
        <f>_xll.BDP("161843FV Muni","BB_COMPOSITE")</f>
        <v>#N/A N/A</v>
      </c>
      <c r="T777">
        <f>_xll.BDP("161843FV Muni","LQA_LIQUIDITY_SCORE")</f>
        <v>51</v>
      </c>
    </row>
    <row r="778" spans="1:20" x14ac:dyDescent="0.25">
      <c r="A778" t="str">
        <f>_xll.BDP("164121AY Muni","ID_CUSIP")</f>
        <v>164121AY1</v>
      </c>
      <c r="B778" t="s">
        <v>267</v>
      </c>
      <c r="C778" t="str">
        <f>_xll.BDP("164121AY Muni","INSURANCE_STATUS")</f>
        <v>N</v>
      </c>
      <c r="D778" t="str">
        <f>_xll.BDP("164121AY Muni","STATE_CODE")</f>
        <v>IL</v>
      </c>
      <c r="E778" t="str">
        <f>_xll.BDP("164121AY Muni","COUNTY_LOCATION_ISSUER")</f>
        <v>McLean, IL</v>
      </c>
      <c r="F778">
        <f>_xll.BDP("164121AY Muni","DUR_ADJ_MID")</f>
        <v>0.32867074638674915</v>
      </c>
      <c r="G778">
        <f>_xll.BDP("164121AY Muni","SPREAD_AT_ISSUANCE_TO_WORST")</f>
        <v>130.27934305165721</v>
      </c>
      <c r="H778" t="str">
        <f>_xll.BDP("164121AY Muni","ISSUE_DT")</f>
        <v>1/26/2017</v>
      </c>
      <c r="I778" t="str">
        <f>_xll.BDS("164121AY Muni","MUNI_PURPOSE_SCHED", "aggregate=y")</f>
        <v>WATER UTILITY IMPS.</v>
      </c>
      <c r="J778">
        <f>_xll.BDP("164121AY Muni","CPN")</f>
        <v>4.25</v>
      </c>
      <c r="K778" t="str">
        <f>_xll.BDP("164121AY Muni","MATURITY")</f>
        <v>12/1/2022</v>
      </c>
      <c r="L778">
        <v>65000</v>
      </c>
      <c r="M778">
        <f>_xll.BDP("164121AY Muni","YIELD_ON_ISSUE_DATE")</f>
        <v>3</v>
      </c>
      <c r="N778">
        <f>_xll.BDP("164121AY Muni","YTW_SPREAD_TO_MATURITY_AT_ISSU")</f>
        <v>130.27934305165721</v>
      </c>
      <c r="O778" t="str">
        <f>_xll.BDP("164121AY Muni","BVAL_MID_YTM")</f>
        <v>#N/A Authorization</v>
      </c>
      <c r="P778" t="str">
        <f>_xll.BDP("164121AY Muni","MUNI_TAX_PROV")</f>
        <v>FED BQ/ST TAXABLE</v>
      </c>
      <c r="Q778" t="str">
        <f>_xll.BDP("164121AY Muni","MUNI_FED_TAX")</f>
        <v>N</v>
      </c>
      <c r="R778" t="str">
        <f>_xll.BDP("164121AY Muni","MUNI_MSRB_VOLUME")</f>
        <v>#N/A N/A</v>
      </c>
      <c r="S778" t="str">
        <f>_xll.BDP("164121AY Muni","BB_COMPOSITE")</f>
        <v>#N/A N/A</v>
      </c>
      <c r="T778">
        <f>_xll.BDP("164121AY Muni","LQA_LIQUIDITY_SCORE")</f>
        <v>98</v>
      </c>
    </row>
    <row r="779" spans="1:20" x14ac:dyDescent="0.25">
      <c r="A779" t="str">
        <f>_xll.BDP("164121AZ Muni","ID_CUSIP")</f>
        <v>164121AZ8</v>
      </c>
      <c r="B779" t="s">
        <v>267</v>
      </c>
      <c r="C779" t="str">
        <f>_xll.BDP("164121AZ Muni","INSURANCE_STATUS")</f>
        <v>N</v>
      </c>
      <c r="D779" t="str">
        <f>_xll.BDP("164121AZ Muni","STATE_CODE")</f>
        <v>IL</v>
      </c>
      <c r="E779" t="str">
        <f>_xll.BDP("164121AZ Muni","COUNTY_LOCATION_ISSUER")</f>
        <v>McLean, IL</v>
      </c>
      <c r="F779">
        <f>_xll.BDP("164121AZ Muni","DUR_ADJ_MID")</f>
        <v>1.2849225950180923</v>
      </c>
      <c r="G779">
        <f>_xll.BDP("164121AZ Muni","SPREAD_AT_ISSUANCE_TO_WORST")</f>
        <v>132.28536331677608</v>
      </c>
      <c r="H779" t="str">
        <f>_xll.BDP("164121AZ Muni","ISSUE_DT")</f>
        <v>1/26/2017</v>
      </c>
      <c r="I779" t="str">
        <f>_xll.BDS("164121AZ Muni","MUNI_PURPOSE_SCHED", "aggregate=y")</f>
        <v>WATER UTILITY IMPS.</v>
      </c>
      <c r="J779">
        <f>_xll.BDP("164121AZ Muni","CPN")</f>
        <v>4.25</v>
      </c>
      <c r="K779" t="str">
        <f>_xll.BDP("164121AZ Muni","MATURITY")</f>
        <v>12/1/2023</v>
      </c>
      <c r="L779">
        <v>70000</v>
      </c>
      <c r="M779">
        <f>_xll.BDP("164121AZ Muni","YIELD_ON_ISSUE_DATE")</f>
        <v>3.15</v>
      </c>
      <c r="N779">
        <f>_xll.BDP("164121AZ Muni","YTW_SPREAD_TO_MATURITY_AT_ISSU")</f>
        <v>132.28536331677608</v>
      </c>
      <c r="O779" t="str">
        <f>_xll.BDP("164121AZ Muni","BVAL_MID_YTM")</f>
        <v>#N/A Authorization</v>
      </c>
      <c r="P779" t="str">
        <f>_xll.BDP("164121AZ Muni","MUNI_TAX_PROV")</f>
        <v>FED BQ/ST TAXABLE</v>
      </c>
      <c r="Q779" t="str">
        <f>_xll.BDP("164121AZ Muni","MUNI_FED_TAX")</f>
        <v>N</v>
      </c>
      <c r="R779" t="str">
        <f>_xll.BDP("164121AZ Muni","MUNI_MSRB_VOLUME")</f>
        <v>#N/A N/A</v>
      </c>
      <c r="S779" t="str">
        <f>_xll.BDP("164121AZ Muni","BB_COMPOSITE")</f>
        <v>#N/A N/A</v>
      </c>
      <c r="T779">
        <f>_xll.BDP("164121AZ Muni","LQA_LIQUIDITY_SCORE")</f>
        <v>85</v>
      </c>
    </row>
    <row r="780" spans="1:20" x14ac:dyDescent="0.25">
      <c r="A780" t="str">
        <f>_xll.BDP("112857DY Muni","ID_CUSIP")</f>
        <v>112857DY0</v>
      </c>
      <c r="B780" t="s">
        <v>87</v>
      </c>
      <c r="C780" t="str">
        <f>_xll.BDP("112857DY Muni","INSURANCE_STATUS")</f>
        <v>N</v>
      </c>
      <c r="D780" t="str">
        <f>_xll.BDP("112857DY Muni","STATE_CODE")</f>
        <v>WI</v>
      </c>
      <c r="E780" t="str">
        <f>_xll.BDP("112857DY Muni","COUNTY_LOCATION_ISSUER")</f>
        <v>Waukesha, WI</v>
      </c>
      <c r="F780">
        <f>_xll.BDP("112857DY Muni","DUR_ADJ_MID")</f>
        <v>0.32933655502736264</v>
      </c>
      <c r="G780">
        <f>_xll.BDP("112857DY Muni","SPREAD_AT_ISSUANCE_TO_WORST")</f>
        <v>7.6177336931812389</v>
      </c>
      <c r="H780" t="str">
        <f>_xll.BDP("112857DY Muni","ISSUE_DT")</f>
        <v>6/5/2017</v>
      </c>
      <c r="I780" t="str">
        <f>_xll.BDS("112857DY Muni","MUNI_PURPOSE_SCHED", "aggregate=y")</f>
        <v>PUBLIC IMPS. RECREATIONAL FAC. IMPS. WATER UTILITY IMPS.</v>
      </c>
      <c r="J780">
        <f>_xll.BDP("112857DY Muni","CPN")</f>
        <v>2</v>
      </c>
      <c r="K780" t="str">
        <f>_xll.BDP("112857DY Muni","MATURITY")</f>
        <v>12/1/2022</v>
      </c>
      <c r="L780">
        <v>325000</v>
      </c>
      <c r="M780">
        <f>_xll.BDP("112857DY Muni","YIELD_ON_ISSUE_DATE")</f>
        <v>1.4000000000000001</v>
      </c>
      <c r="N780">
        <f>_xll.BDP("112857DY Muni","YTW_SPREAD_TO_MATURITY_AT_ISSU")</f>
        <v>7.6177336931812389</v>
      </c>
      <c r="O780" t="str">
        <f>_xll.BDP("112857DY Muni","BVAL_MID_YTM")</f>
        <v>#N/A Authorization</v>
      </c>
      <c r="P780" t="str">
        <f>_xll.BDP("112857DY Muni","MUNI_TAX_PROV")</f>
        <v>FED BQ/ST TAXABLE</v>
      </c>
      <c r="Q780" t="str">
        <f>_xll.BDP("112857DY Muni","MUNI_FED_TAX")</f>
        <v>N</v>
      </c>
      <c r="R780" t="str">
        <f>_xll.BDP("112857DY Muni","MUNI_MSRB_VOLUME")</f>
        <v>#N/A N/A</v>
      </c>
      <c r="S780" t="str">
        <f>_xll.BDP("112857DY Muni","BB_COMPOSITE")</f>
        <v>#N/A N/A</v>
      </c>
      <c r="T780">
        <f>_xll.BDP("112857DY Muni","LQA_LIQUIDITY_SCORE")</f>
        <v>96</v>
      </c>
    </row>
    <row r="781" spans="1:20" x14ac:dyDescent="0.25">
      <c r="A781" t="str">
        <f>_xll.BDP("112857DZ Muni","ID_CUSIP")</f>
        <v>112857DZ7</v>
      </c>
      <c r="B781" t="s">
        <v>87</v>
      </c>
      <c r="C781" t="str">
        <f>_xll.BDP("112857DZ Muni","INSURANCE_STATUS")</f>
        <v>N</v>
      </c>
      <c r="D781" t="str">
        <f>_xll.BDP("112857DZ Muni","STATE_CODE")</f>
        <v>WI</v>
      </c>
      <c r="E781" t="str">
        <f>_xll.BDP("112857DZ Muni","COUNTY_LOCATION_ISSUER")</f>
        <v>Waukesha, WI</v>
      </c>
      <c r="F781">
        <f>_xll.BDP("112857DZ Muni","DUR_ADJ_MID")</f>
        <v>1.3045816740636635</v>
      </c>
      <c r="G781">
        <f>_xll.BDP("112857DZ Muni","SPREAD_AT_ISSUANCE_TO_WORST")</f>
        <v>6.6426745587472746</v>
      </c>
      <c r="H781" t="str">
        <f>_xll.BDP("112857DZ Muni","ISSUE_DT")</f>
        <v>6/5/2017</v>
      </c>
      <c r="I781" t="str">
        <f>_xll.BDS("112857DZ Muni","MUNI_PURPOSE_SCHED", "aggregate=y")</f>
        <v>PUBLIC IMPS. RECREATIONAL FAC. IMPS. WATER UTILITY IMPS.</v>
      </c>
      <c r="J781">
        <f>_xll.BDP("112857DZ Muni","CPN")</f>
        <v>2</v>
      </c>
      <c r="K781" t="str">
        <f>_xll.BDP("112857DZ Muni","MATURITY")</f>
        <v>12/1/2023</v>
      </c>
      <c r="L781">
        <v>325000</v>
      </c>
      <c r="M781">
        <f>_xll.BDP("112857DZ Muni","YIELD_ON_ISSUE_DATE")</f>
        <v>1.55</v>
      </c>
      <c r="N781">
        <f>_xll.BDP("112857DZ Muni","YTW_SPREAD_TO_MATURITY_AT_ISSU")</f>
        <v>6.6426745587472746</v>
      </c>
      <c r="O781" t="str">
        <f>_xll.BDP("112857DZ Muni","BVAL_MID_YTM")</f>
        <v>#N/A Authorization</v>
      </c>
      <c r="P781" t="str">
        <f>_xll.BDP("112857DZ Muni","MUNI_TAX_PROV")</f>
        <v>FED BQ/ST TAXABLE</v>
      </c>
      <c r="Q781" t="str">
        <f>_xll.BDP("112857DZ Muni","MUNI_FED_TAX")</f>
        <v>N</v>
      </c>
      <c r="R781" t="str">
        <f>_xll.BDP("112857DZ Muni","MUNI_MSRB_VOLUME")</f>
        <v>#N/A N/A</v>
      </c>
      <c r="S781" t="str">
        <f>_xll.BDP("112857DZ Muni","BB_COMPOSITE")</f>
        <v>#N/A N/A</v>
      </c>
      <c r="T781">
        <f>_xll.BDP("112857DZ Muni","LQA_LIQUIDITY_SCORE")</f>
        <v>81</v>
      </c>
    </row>
    <row r="782" spans="1:20" x14ac:dyDescent="0.25">
      <c r="A782" t="str">
        <f>_xll.BDP("112857EA Muni","ID_CUSIP")</f>
        <v>112857EA1</v>
      </c>
      <c r="B782" t="s">
        <v>87</v>
      </c>
      <c r="C782" t="str">
        <f>_xll.BDP("112857EA Muni","INSURANCE_STATUS")</f>
        <v>N</v>
      </c>
      <c r="D782" t="str">
        <f>_xll.BDP("112857EA Muni","STATE_CODE")</f>
        <v>WI</v>
      </c>
      <c r="E782" t="str">
        <f>_xll.BDP("112857EA Muni","COUNTY_LOCATION_ISSUER")</f>
        <v>Waukesha, WI</v>
      </c>
      <c r="F782">
        <f>_xll.BDP("112857EA Muni","DUR_ADJ_MID")</f>
        <v>2.2603210108529135</v>
      </c>
      <c r="G782">
        <f>_xll.BDP("112857EA Muni","SPREAD_AT_ISSUANCE_TO_WORST")</f>
        <v>5.6262538439751264</v>
      </c>
      <c r="H782" t="str">
        <f>_xll.BDP("112857EA Muni","ISSUE_DT")</f>
        <v>6/5/2017</v>
      </c>
      <c r="I782" t="str">
        <f>_xll.BDS("112857EA Muni","MUNI_PURPOSE_SCHED", "aggregate=y")</f>
        <v>PUBLIC IMPS. RECREATIONAL FAC. IMPS. WATER UTILITY IMPS.</v>
      </c>
      <c r="J782">
        <f>_xll.BDP("112857EA Muni","CPN")</f>
        <v>2</v>
      </c>
      <c r="K782" t="str">
        <f>_xll.BDP("112857EA Muni","MATURITY")</f>
        <v>12/1/2024</v>
      </c>
      <c r="L782">
        <v>325000</v>
      </c>
      <c r="M782">
        <f>_xll.BDP("112857EA Muni","YIELD_ON_ISSUE_DATE")</f>
        <v>1.7000000000000002</v>
      </c>
      <c r="N782">
        <f>_xll.BDP("112857EA Muni","YTW_SPREAD_TO_MATURITY_AT_ISSU")</f>
        <v>5.6262538439751264</v>
      </c>
      <c r="O782" t="str">
        <f>_xll.BDP("112857EA Muni","BVAL_MID_YTM")</f>
        <v>#N/A Authorization</v>
      </c>
      <c r="P782" t="str">
        <f>_xll.BDP("112857EA Muni","MUNI_TAX_PROV")</f>
        <v>FED BQ/ST TAXABLE</v>
      </c>
      <c r="Q782" t="str">
        <f>_xll.BDP("112857EA Muni","MUNI_FED_TAX")</f>
        <v>N</v>
      </c>
      <c r="R782">
        <f>_xll.BDP("112857EA Muni","MUNI_MSRB_VOLUME")</f>
        <v>75000</v>
      </c>
      <c r="S782" t="str">
        <f>_xll.BDP("112857EA Muni","BB_COMPOSITE")</f>
        <v>#N/A N/A</v>
      </c>
      <c r="T782">
        <f>_xll.BDP("112857EA Muni","LQA_LIQUIDITY_SCORE")</f>
        <v>70</v>
      </c>
    </row>
    <row r="783" spans="1:20" x14ac:dyDescent="0.25">
      <c r="A783" t="str">
        <f>_xll.BDP("112857EC Muni","ID_CUSIP")</f>
        <v>112857EC7</v>
      </c>
      <c r="B783" t="s">
        <v>87</v>
      </c>
      <c r="C783" t="str">
        <f>_xll.BDP("112857EC Muni","INSURANCE_STATUS")</f>
        <v>N</v>
      </c>
      <c r="D783" t="str">
        <f>_xll.BDP("112857EC Muni","STATE_CODE")</f>
        <v>WI</v>
      </c>
      <c r="E783" t="str">
        <f>_xll.BDP("112857EC Muni","COUNTY_LOCATION_ISSUER")</f>
        <v>Waukesha, WI</v>
      </c>
      <c r="F783">
        <f>_xll.BDP("112857EC Muni","DUR_ADJ_MID")</f>
        <v>4.1144718096568633</v>
      </c>
      <c r="G783">
        <f>_xll.BDP("112857EC Muni","SPREAD_AT_ISSUANCE_TO_WORST")</f>
        <v>7.7033731530325111</v>
      </c>
      <c r="H783" t="str">
        <f>_xll.BDP("112857EC Muni","ISSUE_DT")</f>
        <v>6/5/2017</v>
      </c>
      <c r="I783" t="str">
        <f>_xll.BDS("112857EC Muni","MUNI_PURPOSE_SCHED", "aggregate=y")</f>
        <v>PUBLIC IMPS. RECREATIONAL FAC. IMPS. WATER UTILITY IMPS.</v>
      </c>
      <c r="J783">
        <f>_xll.BDP("112857EC Muni","CPN")</f>
        <v>2</v>
      </c>
      <c r="K783" t="str">
        <f>_xll.BDP("112857EC Muni","MATURITY")</f>
        <v>12/1/2026</v>
      </c>
      <c r="L783">
        <v>345000</v>
      </c>
      <c r="M783">
        <f>_xll.BDP("112857EC Muni","YIELD_ON_ISSUE_DATE")</f>
        <v>2</v>
      </c>
      <c r="N783">
        <f>_xll.BDP("112857EC Muni","YTW_SPREAD_TO_MATURITY_AT_ISSU")</f>
        <v>7.7033731530325111</v>
      </c>
      <c r="O783" t="str">
        <f>_xll.BDP("112857EC Muni","BVAL_MID_YTM")</f>
        <v>#N/A Authorization</v>
      </c>
      <c r="P783" t="str">
        <f>_xll.BDP("112857EC Muni","MUNI_TAX_PROV")</f>
        <v>FED BQ/ST TAXABLE</v>
      </c>
      <c r="Q783" t="str">
        <f>_xll.BDP("112857EC Muni","MUNI_FED_TAX")</f>
        <v>N</v>
      </c>
      <c r="R783" t="str">
        <f>_xll.BDP("112857EC Muni","MUNI_MSRB_VOLUME")</f>
        <v>#N/A N/A</v>
      </c>
      <c r="S783" t="str">
        <f>_xll.BDP("112857EC Muni","BB_COMPOSITE")</f>
        <v>#N/A N/A</v>
      </c>
      <c r="T783">
        <f>_xll.BDP("112857EC Muni","LQA_LIQUIDITY_SCORE")</f>
        <v>51</v>
      </c>
    </row>
    <row r="784" spans="1:20" x14ac:dyDescent="0.25">
      <c r="A784" t="str">
        <f>_xll.BDP("112857ED Muni","ID_CUSIP")</f>
        <v>112857ED5</v>
      </c>
      <c r="B784" t="s">
        <v>87</v>
      </c>
      <c r="C784" t="str">
        <f>_xll.BDP("112857ED Muni","INSURANCE_STATUS")</f>
        <v>N</v>
      </c>
      <c r="D784" t="str">
        <f>_xll.BDP("112857ED Muni","STATE_CODE")</f>
        <v>WI</v>
      </c>
      <c r="E784" t="str">
        <f>_xll.BDP("112857ED Muni","COUNTY_LOCATION_ISSUER")</f>
        <v>Waukesha, WI</v>
      </c>
      <c r="F784">
        <f>_xll.BDP("112857ED Muni","DUR_ADJ_MID")</f>
        <v>4.8999649476525375</v>
      </c>
      <c r="G784">
        <f>_xll.BDP("112857ED Muni","SPREAD_AT_ISSUANCE_TO_WORST")</f>
        <v>5.9111653663251662</v>
      </c>
      <c r="H784" t="str">
        <f>_xll.BDP("112857ED Muni","ISSUE_DT")</f>
        <v>6/5/2017</v>
      </c>
      <c r="I784" t="str">
        <f>_xll.BDS("112857ED Muni","MUNI_PURPOSE_SCHED", "aggregate=y")</f>
        <v>PUBLIC IMPS. RECREATIONAL FAC. IMPS. WATER UTILITY IMPS.</v>
      </c>
      <c r="J784">
        <f>_xll.BDP("112857ED Muni","CPN")</f>
        <v>3</v>
      </c>
      <c r="K784" t="str">
        <f>_xll.BDP("112857ED Muni","MATURITY")</f>
        <v>12/1/2027</v>
      </c>
      <c r="L784">
        <v>350000</v>
      </c>
      <c r="M784">
        <f>_xll.BDP("112857ED Muni","YIELD_ON_ISSUE_DATE")</f>
        <v>2.1</v>
      </c>
      <c r="N784">
        <f>_xll.BDP("112857ED Muni","YTW_SPREAD_TO_MATURITY_AT_ISSU")</f>
        <v>5.9111653663251662</v>
      </c>
      <c r="O784" t="str">
        <f>_xll.BDP("112857ED Muni","BVAL_MID_YTM")</f>
        <v>#N/A Authorization</v>
      </c>
      <c r="P784" t="str">
        <f>_xll.BDP("112857ED Muni","MUNI_TAX_PROV")</f>
        <v>FED BQ/ST TAXABLE</v>
      </c>
      <c r="Q784" t="str">
        <f>_xll.BDP("112857ED Muni","MUNI_FED_TAX")</f>
        <v>N</v>
      </c>
      <c r="R784" t="str">
        <f>_xll.BDP("112857ED Muni","MUNI_MSRB_VOLUME")</f>
        <v>#N/A N/A</v>
      </c>
      <c r="S784" t="str">
        <f>_xll.BDP("112857ED Muni","BB_COMPOSITE")</f>
        <v>#N/A N/A</v>
      </c>
      <c r="T784">
        <f>_xll.BDP("112857ED Muni","LQA_LIQUIDITY_SCORE")</f>
        <v>57</v>
      </c>
    </row>
    <row r="785" spans="1:20" x14ac:dyDescent="0.25">
      <c r="A785" t="str">
        <f>_xll.BDP("113835Q2 Muni","ID_CUSIP")</f>
        <v>113835Q21</v>
      </c>
      <c r="B785" t="s">
        <v>268</v>
      </c>
      <c r="C785" t="str">
        <f>_xll.BDP("113835Q2 Muni","INSURANCE_STATUS")</f>
        <v>N</v>
      </c>
      <c r="D785" t="str">
        <f>_xll.BDP("113835Q2 Muni","STATE_CODE")</f>
        <v>MN</v>
      </c>
      <c r="E785" t="str">
        <f>_xll.BDP("113835Q2 Muni","COUNTY_LOCATION_ISSUER")</f>
        <v>Hennepin, MN</v>
      </c>
      <c r="F785">
        <f>_xll.BDP("113835Q2 Muni","DUR_ADJ_MID")</f>
        <v>0.4945831899528218</v>
      </c>
      <c r="G785">
        <f>_xll.BDP("113835Q2 Muni","SPREAD_AT_ISSUANCE_TO_WORST")</f>
        <v>8.4261587701415444</v>
      </c>
      <c r="H785" t="str">
        <f>_xll.BDP("113835Q2 Muni","ISSUE_DT")</f>
        <v>6/8/2017</v>
      </c>
      <c r="I785" t="str">
        <f>_xll.BDS("113835Q2 Muni","MUNI_PURPOSE_SCHED", "aggregate=y")</f>
        <v>PUBLIC IMPS. WATER UTILITY IMPS. SEWER IMPS.</v>
      </c>
      <c r="J785">
        <f>_xll.BDP("113835Q2 Muni","CPN")</f>
        <v>3</v>
      </c>
      <c r="K785" t="str">
        <f>_xll.BDP("113835Q2 Muni","MATURITY")</f>
        <v>2/1/2023</v>
      </c>
      <c r="L785">
        <v>820000</v>
      </c>
      <c r="M785">
        <f>_xll.BDP("113835Q2 Muni","YIELD_ON_ISSUE_DATE")</f>
        <v>1.6</v>
      </c>
      <c r="N785">
        <f>_xll.BDP("113835Q2 Muni","YTW_SPREAD_TO_MATURITY_AT_ISSU")</f>
        <v>8.4261587701415444</v>
      </c>
      <c r="O785" t="str">
        <f>_xll.BDP("113835Q2 Muni","BVAL_MID_YTM")</f>
        <v>#N/A Authorization</v>
      </c>
      <c r="P785" t="str">
        <f>_xll.BDP("113835Q2 Muni","MUNI_TAX_PROV")</f>
        <v>FED BQ/ST TAX-EXEMPT</v>
      </c>
      <c r="Q785" t="str">
        <f>_xll.BDP("113835Q2 Muni","MUNI_FED_TAX")</f>
        <v>N</v>
      </c>
      <c r="R785" t="str">
        <f>_xll.BDP("113835Q2 Muni","MUNI_MSRB_VOLUME")</f>
        <v>#N/A N/A</v>
      </c>
      <c r="S785" t="str">
        <f>_xll.BDP("113835Q2 Muni","BB_COMPOSITE")</f>
        <v>#N/A N/A</v>
      </c>
      <c r="T785">
        <f>_xll.BDP("113835Q2 Muni","LQA_LIQUIDITY_SCORE")</f>
        <v>90</v>
      </c>
    </row>
    <row r="786" spans="1:20" x14ac:dyDescent="0.25">
      <c r="A786" t="str">
        <f>_xll.BDP("113835Q3 Muni","ID_CUSIP")</f>
        <v>113835Q39</v>
      </c>
      <c r="B786" t="s">
        <v>268</v>
      </c>
      <c r="C786" t="str">
        <f>_xll.BDP("113835Q3 Muni","INSURANCE_STATUS")</f>
        <v>N</v>
      </c>
      <c r="D786" t="str">
        <f>_xll.BDP("113835Q3 Muni","STATE_CODE")</f>
        <v>MN</v>
      </c>
      <c r="E786" t="str">
        <f>_xll.BDP("113835Q3 Muni","COUNTY_LOCATION_ISSUER")</f>
        <v>Hennepin, MN</v>
      </c>
      <c r="F786">
        <f>_xll.BDP("113835Q3 Muni","DUR_ADJ_MID")</f>
        <v>1.4633298402807833</v>
      </c>
      <c r="G786">
        <f>_xll.BDP("113835Q3 Muni","SPREAD_AT_ISSUANCE_TO_WORST")</f>
        <v>12.159921537039974</v>
      </c>
      <c r="H786" t="str">
        <f>_xll.BDP("113835Q3 Muni","ISSUE_DT")</f>
        <v>6/8/2017</v>
      </c>
      <c r="I786" t="str">
        <f>_xll.BDS("113835Q3 Muni","MUNI_PURPOSE_SCHED", "aggregate=y")</f>
        <v>PUBLIC IMPS. WATER UTILITY IMPS. SEWER IMPS.</v>
      </c>
      <c r="J786">
        <f>_xll.BDP("113835Q3 Muni","CPN")</f>
        <v>3</v>
      </c>
      <c r="K786" t="str">
        <f>_xll.BDP("113835Q3 Muni","MATURITY")</f>
        <v>2/1/2024</v>
      </c>
      <c r="L786">
        <v>845000</v>
      </c>
      <c r="M786">
        <f>_xll.BDP("113835Q3 Muni","YIELD_ON_ISSUE_DATE")</f>
        <v>1.8</v>
      </c>
      <c r="N786">
        <f>_xll.BDP("113835Q3 Muni","YTW_SPREAD_TO_MATURITY_AT_ISSU")</f>
        <v>12.159921537039974</v>
      </c>
      <c r="O786" t="str">
        <f>_xll.BDP("113835Q3 Muni","BVAL_MID_YTM")</f>
        <v>#N/A Authorization</v>
      </c>
      <c r="P786" t="str">
        <f>_xll.BDP("113835Q3 Muni","MUNI_TAX_PROV")</f>
        <v>FED BQ/ST TAX-EXEMPT</v>
      </c>
      <c r="Q786" t="str">
        <f>_xll.BDP("113835Q3 Muni","MUNI_FED_TAX")</f>
        <v>N</v>
      </c>
      <c r="R786" t="str">
        <f>_xll.BDP("113835Q3 Muni","MUNI_MSRB_VOLUME")</f>
        <v>#N/A N/A</v>
      </c>
      <c r="S786" t="str">
        <f>_xll.BDP("113835Q3 Muni","BB_COMPOSITE")</f>
        <v>#N/A N/A</v>
      </c>
      <c r="T786">
        <f>_xll.BDP("113835Q3 Muni","LQA_LIQUIDITY_SCORE")</f>
        <v>78</v>
      </c>
    </row>
    <row r="787" spans="1:20" x14ac:dyDescent="0.25">
      <c r="A787" t="str">
        <f>_xll.BDP("113835Q4 Muni","ID_CUSIP")</f>
        <v>113835Q47</v>
      </c>
      <c r="B787" t="s">
        <v>268</v>
      </c>
      <c r="C787" t="str">
        <f>_xll.BDP("113835Q4 Muni","INSURANCE_STATUS")</f>
        <v>N</v>
      </c>
      <c r="D787" t="str">
        <f>_xll.BDP("113835Q4 Muni","STATE_CODE")</f>
        <v>MN</v>
      </c>
      <c r="E787" t="str">
        <f>_xll.BDP("113835Q4 Muni","COUNTY_LOCATION_ISSUER")</f>
        <v>Hennepin, MN</v>
      </c>
      <c r="F787">
        <f>_xll.BDP("113835Q4 Muni","DUR_ADJ_MID")</f>
        <v>2.4036422862061566</v>
      </c>
      <c r="G787">
        <f>_xll.BDP("113835Q4 Muni","SPREAD_AT_ISSUANCE_TO_WORST")</f>
        <v>15.847075376453468</v>
      </c>
      <c r="H787" t="str">
        <f>_xll.BDP("113835Q4 Muni","ISSUE_DT")</f>
        <v>6/8/2017</v>
      </c>
      <c r="I787" t="str">
        <f>_xll.BDS("113835Q4 Muni","MUNI_PURPOSE_SCHED", "aggregate=y")</f>
        <v>PUBLIC IMPS. WATER UTILITY IMPS. SEWER IMPS.</v>
      </c>
      <c r="J787">
        <f>_xll.BDP("113835Q4 Muni","CPN")</f>
        <v>3</v>
      </c>
      <c r="K787" t="str">
        <f>_xll.BDP("113835Q4 Muni","MATURITY")</f>
        <v>2/1/2025</v>
      </c>
      <c r="L787">
        <v>870000</v>
      </c>
      <c r="M787">
        <f>_xll.BDP("113835Q4 Muni","YIELD_ON_ISSUE_DATE")</f>
        <v>2</v>
      </c>
      <c r="N787">
        <f>_xll.BDP("113835Q4 Muni","YTW_SPREAD_TO_MATURITY_AT_ISSU")</f>
        <v>15.847075376453468</v>
      </c>
      <c r="O787" t="str">
        <f>_xll.BDP("113835Q4 Muni","BVAL_MID_YTM")</f>
        <v>#N/A Authorization</v>
      </c>
      <c r="P787" t="str">
        <f>_xll.BDP("113835Q4 Muni","MUNI_TAX_PROV")</f>
        <v>FED BQ/ST TAX-EXEMPT</v>
      </c>
      <c r="Q787" t="str">
        <f>_xll.BDP("113835Q4 Muni","MUNI_FED_TAX")</f>
        <v>N</v>
      </c>
      <c r="R787" t="str">
        <f>_xll.BDP("113835Q4 Muni","MUNI_MSRB_VOLUME")</f>
        <v>#N/A N/A</v>
      </c>
      <c r="S787" t="str">
        <f>_xll.BDP("113835Q4 Muni","BB_COMPOSITE")</f>
        <v>#N/A N/A</v>
      </c>
      <c r="T787">
        <f>_xll.BDP("113835Q4 Muni","LQA_LIQUIDITY_SCORE")</f>
        <v>67</v>
      </c>
    </row>
    <row r="788" spans="1:20" x14ac:dyDescent="0.25">
      <c r="A788" t="str">
        <f>_xll.BDP("113835Q5 Muni","ID_CUSIP")</f>
        <v>113835Q54</v>
      </c>
      <c r="B788" t="s">
        <v>268</v>
      </c>
      <c r="C788" t="str">
        <f>_xll.BDP("113835Q5 Muni","INSURANCE_STATUS")</f>
        <v>N</v>
      </c>
      <c r="D788" t="str">
        <f>_xll.BDP("113835Q5 Muni","STATE_CODE")</f>
        <v>MN</v>
      </c>
      <c r="E788" t="str">
        <f>_xll.BDP("113835Q5 Muni","COUNTY_LOCATION_ISSUER")</f>
        <v>Hennepin, MN</v>
      </c>
      <c r="F788">
        <f>_xll.BDP("113835Q5 Muni","DUR_ADJ_MID")</f>
        <v>3.3171610165055916</v>
      </c>
      <c r="G788">
        <f>_xll.BDP("113835Q5 Muni","SPREAD_AT_ISSUANCE_TO_WORST")</f>
        <v>10.765862769605249</v>
      </c>
      <c r="H788" t="str">
        <f>_xll.BDP("113835Q5 Muni","ISSUE_DT")</f>
        <v>6/8/2017</v>
      </c>
      <c r="I788" t="str">
        <f>_xll.BDS("113835Q5 Muni","MUNI_PURPOSE_SCHED", "aggregate=y")</f>
        <v>PUBLIC IMPS. WATER UTILITY IMPS. SEWER IMPS.</v>
      </c>
      <c r="J788">
        <f>_xll.BDP("113835Q5 Muni","CPN")</f>
        <v>3</v>
      </c>
      <c r="K788" t="str">
        <f>_xll.BDP("113835Q5 Muni","MATURITY")</f>
        <v>2/1/2026</v>
      </c>
      <c r="L788">
        <v>890000</v>
      </c>
      <c r="M788">
        <f>_xll.BDP("113835Q5 Muni","YIELD_ON_ISSUE_DATE")</f>
        <v>2.1</v>
      </c>
      <c r="N788">
        <f>_xll.BDP("113835Q5 Muni","YTW_SPREAD_TO_MATURITY_AT_ISSU")</f>
        <v>10.765862769605249</v>
      </c>
      <c r="O788" t="str">
        <f>_xll.BDP("113835Q5 Muni","BVAL_MID_YTM")</f>
        <v>#N/A Authorization</v>
      </c>
      <c r="P788" t="str">
        <f>_xll.BDP("113835Q5 Muni","MUNI_TAX_PROV")</f>
        <v>FED BQ/ST TAX-EXEMPT</v>
      </c>
      <c r="Q788" t="str">
        <f>_xll.BDP("113835Q5 Muni","MUNI_FED_TAX")</f>
        <v>N</v>
      </c>
      <c r="R788" t="str">
        <f>_xll.BDP("113835Q5 Muni","MUNI_MSRB_VOLUME")</f>
        <v>#N/A N/A</v>
      </c>
      <c r="S788" t="str">
        <f>_xll.BDP("113835Q5 Muni","BB_COMPOSITE")</f>
        <v>#N/A N/A</v>
      </c>
      <c r="T788">
        <f>_xll.BDP("113835Q5 Muni","LQA_LIQUIDITY_SCORE")</f>
        <v>57</v>
      </c>
    </row>
    <row r="789" spans="1:20" x14ac:dyDescent="0.25">
      <c r="A789" t="str">
        <f>_xll.BDP("147019NY Muni","ID_CUSIP")</f>
        <v>147019NY5</v>
      </c>
      <c r="B789" t="s">
        <v>269</v>
      </c>
      <c r="C789" t="str">
        <f>_xll.BDP("147019NY Muni","INSURANCE_STATUS")</f>
        <v>N</v>
      </c>
      <c r="D789" t="str">
        <f>_xll.BDP("147019NY Muni","STATE_CODE")</f>
        <v>MN</v>
      </c>
      <c r="E789" t="str">
        <f>_xll.BDP("147019NY Muni","COUNTY_LOCATION_ISSUER")</f>
        <v>Carver, MN</v>
      </c>
      <c r="F789">
        <f>_xll.BDP("147019NY Muni","DUR_ADJ_MID")</f>
        <v>0.4945831899528218</v>
      </c>
      <c r="G789">
        <f>_xll.BDP("147019NY Muni","SPREAD_AT_ISSUANCE_TO_WORST")</f>
        <v>26.792314518487114</v>
      </c>
      <c r="H789" t="str">
        <f>_xll.BDP("147019NY Muni","ISSUE_DT")</f>
        <v>8/17/2017</v>
      </c>
      <c r="I789" t="str">
        <f>_xll.BDS("147019NY Muni","MUNI_PURPOSE_SCHED", "aggregate=y")</f>
        <v>PUBLIC IMPS. WATER UTILITY IMPS. SEWER IMPS.</v>
      </c>
      <c r="J789">
        <f>_xll.BDP("147019NY Muni","CPN")</f>
        <v>3</v>
      </c>
      <c r="K789" t="str">
        <f>_xll.BDP("147019NY Muni","MATURITY")</f>
        <v>2/1/2023</v>
      </c>
      <c r="L789">
        <v>145000</v>
      </c>
      <c r="M789">
        <f>_xll.BDP("147019NY Muni","YIELD_ON_ISSUE_DATE")</f>
        <v>1.6500000000000001</v>
      </c>
      <c r="N789">
        <f>_xll.BDP("147019NY Muni","YTW_SPREAD_TO_MATURITY_AT_ISSU")</f>
        <v>26.792314518487114</v>
      </c>
      <c r="O789" t="str">
        <f>_xll.BDP("147019NY Muni","BVAL_MID_YTM")</f>
        <v>#N/A Authorization</v>
      </c>
      <c r="P789" t="str">
        <f>_xll.BDP("147019NY Muni","MUNI_TAX_PROV")</f>
        <v>FED BQ/ST TAX-EXEMPT</v>
      </c>
      <c r="Q789" t="str">
        <f>_xll.BDP("147019NY Muni","MUNI_FED_TAX")</f>
        <v>N</v>
      </c>
      <c r="R789" t="str">
        <f>_xll.BDP("147019NY Muni","MUNI_MSRB_VOLUME")</f>
        <v>#N/A N/A</v>
      </c>
      <c r="S789" t="str">
        <f>_xll.BDP("147019NY Muni","BB_COMPOSITE")</f>
        <v>#N/A N/A</v>
      </c>
      <c r="T789">
        <f>_xll.BDP("147019NY Muni","LQA_LIQUIDITY_SCORE")</f>
        <v>92</v>
      </c>
    </row>
    <row r="790" spans="1:20" x14ac:dyDescent="0.25">
      <c r="A790" t="str">
        <f>_xll.BDP("147019NZ Muni","ID_CUSIP")</f>
        <v>147019NZ2</v>
      </c>
      <c r="B790" t="s">
        <v>269</v>
      </c>
      <c r="C790" t="str">
        <f>_xll.BDP("147019NZ Muni","INSURANCE_STATUS")</f>
        <v>N</v>
      </c>
      <c r="D790" t="str">
        <f>_xll.BDP("147019NZ Muni","STATE_CODE")</f>
        <v>MN</v>
      </c>
      <c r="E790" t="str">
        <f>_xll.BDP("147019NZ Muni","COUNTY_LOCATION_ISSUER")</f>
        <v>Carver, MN</v>
      </c>
      <c r="F790">
        <f>_xll.BDP("147019NZ Muni","DUR_ADJ_MID")</f>
        <v>1.4633298402807833</v>
      </c>
      <c r="G790">
        <f>_xll.BDP("147019NZ Muni","SPREAD_AT_ISSUANCE_TO_WORST")</f>
        <v>22.308166552860364</v>
      </c>
      <c r="H790" t="str">
        <f>_xll.BDP("147019NZ Muni","ISSUE_DT")</f>
        <v>8/17/2017</v>
      </c>
      <c r="I790" t="str">
        <f>_xll.BDS("147019NZ Muni","MUNI_PURPOSE_SCHED", "aggregate=y")</f>
        <v>PUBLIC IMPS. WATER UTILITY IMPS. SEWER IMPS.</v>
      </c>
      <c r="J790">
        <f>_xll.BDP("147019NZ Muni","CPN")</f>
        <v>3</v>
      </c>
      <c r="K790" t="str">
        <f>_xll.BDP("147019NZ Muni","MATURITY")</f>
        <v>2/1/2024</v>
      </c>
      <c r="L790">
        <v>150000</v>
      </c>
      <c r="M790">
        <f>_xll.BDP("147019NZ Muni","YIELD_ON_ISSUE_DATE")</f>
        <v>1.75</v>
      </c>
      <c r="N790">
        <f>_xll.BDP("147019NZ Muni","YTW_SPREAD_TO_MATURITY_AT_ISSU")</f>
        <v>22.308166552860364</v>
      </c>
      <c r="O790" t="str">
        <f>_xll.BDP("147019NZ Muni","BVAL_MID_YTM")</f>
        <v>#N/A Authorization</v>
      </c>
      <c r="P790" t="str">
        <f>_xll.BDP("147019NZ Muni","MUNI_TAX_PROV")</f>
        <v>FED BQ/ST TAX-EXEMPT</v>
      </c>
      <c r="Q790" t="str">
        <f>_xll.BDP("147019NZ Muni","MUNI_FED_TAX")</f>
        <v>N</v>
      </c>
      <c r="R790" t="str">
        <f>_xll.BDP("147019NZ Muni","MUNI_MSRB_VOLUME")</f>
        <v>#N/A N/A</v>
      </c>
      <c r="S790" t="str">
        <f>_xll.BDP("147019NZ Muni","BB_COMPOSITE")</f>
        <v>#N/A N/A</v>
      </c>
      <c r="T790">
        <f>_xll.BDP("147019NZ Muni","LQA_LIQUIDITY_SCORE")</f>
        <v>81</v>
      </c>
    </row>
    <row r="791" spans="1:20" x14ac:dyDescent="0.25">
      <c r="A791" t="str">
        <f>_xll.BDP("147019PA Muni","ID_CUSIP")</f>
        <v>147019PA5</v>
      </c>
      <c r="B791" t="s">
        <v>269</v>
      </c>
      <c r="C791" t="str">
        <f>_xll.BDP("147019PA Muni","INSURANCE_STATUS")</f>
        <v>N</v>
      </c>
      <c r="D791" t="str">
        <f>_xll.BDP("147019PA Muni","STATE_CODE")</f>
        <v>MN</v>
      </c>
      <c r="E791" t="str">
        <f>_xll.BDP("147019PA Muni","COUNTY_LOCATION_ISSUER")</f>
        <v>Carver, MN</v>
      </c>
      <c r="F791">
        <f>_xll.BDP("147019PA Muni","DUR_ADJ_MID")</f>
        <v>2.4036422862061566</v>
      </c>
      <c r="G791">
        <f>_xll.BDP("147019PA Muni","SPREAD_AT_ISSUANCE_TO_WORST")</f>
        <v>22.522523534444417</v>
      </c>
      <c r="H791" t="str">
        <f>_xll.BDP("147019PA Muni","ISSUE_DT")</f>
        <v>8/17/2017</v>
      </c>
      <c r="I791" t="str">
        <f>_xll.BDS("147019PA Muni","MUNI_PURPOSE_SCHED", "aggregate=y")</f>
        <v>PUBLIC IMPS. WATER UTILITY IMPS. SEWER IMPS.</v>
      </c>
      <c r="J791">
        <f>_xll.BDP("147019PA Muni","CPN")</f>
        <v>3</v>
      </c>
      <c r="K791" t="str">
        <f>_xll.BDP("147019PA Muni","MATURITY")</f>
        <v>2/1/2025</v>
      </c>
      <c r="L791">
        <v>155000</v>
      </c>
      <c r="M791">
        <f>_xll.BDP("147019PA Muni","YIELD_ON_ISSUE_DATE")</f>
        <v>1.9000000000000001</v>
      </c>
      <c r="N791">
        <f>_xll.BDP("147019PA Muni","YTW_SPREAD_TO_MATURITY_AT_ISSU")</f>
        <v>22.522523534444417</v>
      </c>
      <c r="O791" t="str">
        <f>_xll.BDP("147019PA Muni","BVAL_MID_YTM")</f>
        <v>#N/A Authorization</v>
      </c>
      <c r="P791" t="str">
        <f>_xll.BDP("147019PA Muni","MUNI_TAX_PROV")</f>
        <v>FED BQ/ST TAX-EXEMPT</v>
      </c>
      <c r="Q791" t="str">
        <f>_xll.BDP("147019PA Muni","MUNI_FED_TAX")</f>
        <v>N</v>
      </c>
      <c r="R791" t="str">
        <f>_xll.BDP("147019PA Muni","MUNI_MSRB_VOLUME")</f>
        <v>#N/A N/A</v>
      </c>
      <c r="S791" t="str">
        <f>_xll.BDP("147019PA Muni","BB_COMPOSITE")</f>
        <v>#N/A N/A</v>
      </c>
      <c r="T791">
        <f>_xll.BDP("147019PA Muni","LQA_LIQUIDITY_SCORE")</f>
        <v>71</v>
      </c>
    </row>
    <row r="792" spans="1:20" x14ac:dyDescent="0.25">
      <c r="A792" t="str">
        <f>_xll.BDP("147019PB Muni","ID_CUSIP")</f>
        <v>147019PB3</v>
      </c>
      <c r="B792" t="s">
        <v>269</v>
      </c>
      <c r="C792" t="str">
        <f>_xll.BDP("147019PB Muni","INSURANCE_STATUS")</f>
        <v>N</v>
      </c>
      <c r="D792" t="str">
        <f>_xll.BDP("147019PB Muni","STATE_CODE")</f>
        <v>MN</v>
      </c>
      <c r="E792" t="str">
        <f>_xll.BDP("147019PB Muni","COUNTY_LOCATION_ISSUER")</f>
        <v>Carver, MN</v>
      </c>
      <c r="F792">
        <f>_xll.BDP("147019PB Muni","DUR_ADJ_MID")</f>
        <v>3.3171610165055916</v>
      </c>
      <c r="G792">
        <f>_xll.BDP("147019PB Muni","SPREAD_AT_ISSUANCE_TO_WORST")</f>
        <v>18.422566996521404</v>
      </c>
      <c r="H792" t="str">
        <f>_xll.BDP("147019PB Muni","ISSUE_DT")</f>
        <v>8/17/2017</v>
      </c>
      <c r="I792" t="str">
        <f>_xll.BDS("147019PB Muni","MUNI_PURPOSE_SCHED", "aggregate=y")</f>
        <v>PUBLIC IMPS. WATER UTILITY IMPS. SEWER IMPS.</v>
      </c>
      <c r="J792">
        <f>_xll.BDP("147019PB Muni","CPN")</f>
        <v>3</v>
      </c>
      <c r="K792" t="str">
        <f>_xll.BDP("147019PB Muni","MATURITY")</f>
        <v>2/1/2026</v>
      </c>
      <c r="L792">
        <v>160000</v>
      </c>
      <c r="M792">
        <f>_xll.BDP("147019PB Muni","YIELD_ON_ISSUE_DATE")</f>
        <v>2</v>
      </c>
      <c r="N792">
        <f>_xll.BDP("147019PB Muni","YTW_SPREAD_TO_MATURITY_AT_ISSU")</f>
        <v>18.422566996521404</v>
      </c>
      <c r="O792" t="str">
        <f>_xll.BDP("147019PB Muni","BVAL_MID_YTM")</f>
        <v>#N/A Authorization</v>
      </c>
      <c r="P792" t="str">
        <f>_xll.BDP("147019PB Muni","MUNI_TAX_PROV")</f>
        <v>FED BQ/ST TAX-EXEMPT</v>
      </c>
      <c r="Q792" t="str">
        <f>_xll.BDP("147019PB Muni","MUNI_FED_TAX")</f>
        <v>N</v>
      </c>
      <c r="R792" t="str">
        <f>_xll.BDP("147019PB Muni","MUNI_MSRB_VOLUME")</f>
        <v>#N/A N/A</v>
      </c>
      <c r="S792" t="str">
        <f>_xll.BDP("147019PB Muni","BB_COMPOSITE")</f>
        <v>#N/A N/A</v>
      </c>
      <c r="T792">
        <f>_xll.BDP("147019PB Muni","LQA_LIQUIDITY_SCORE")</f>
        <v>61</v>
      </c>
    </row>
    <row r="793" spans="1:20" x14ac:dyDescent="0.25">
      <c r="A793" t="str">
        <f>_xll.BDP("147019PC Muni","ID_CUSIP")</f>
        <v>147019PC1</v>
      </c>
      <c r="B793" t="s">
        <v>269</v>
      </c>
      <c r="C793" t="str">
        <f>_xll.BDP("147019PC Muni","INSURANCE_STATUS")</f>
        <v>N</v>
      </c>
      <c r="D793" t="str">
        <f>_xll.BDP("147019PC Muni","STATE_CODE")</f>
        <v>MN</v>
      </c>
      <c r="E793" t="str">
        <f>_xll.BDP("147019PC Muni","COUNTY_LOCATION_ISSUER")</f>
        <v>Carver, MN</v>
      </c>
      <c r="F793">
        <f>_xll.BDP("147019PC Muni","DUR_ADJ_MID")</f>
        <v>4.2044988638768714</v>
      </c>
      <c r="G793">
        <f>_xll.BDP("147019PC Muni","SPREAD_AT_ISSUANCE_TO_WORST")</f>
        <v>16.482297461465144</v>
      </c>
      <c r="H793" t="str">
        <f>_xll.BDP("147019PC Muni","ISSUE_DT")</f>
        <v>8/17/2017</v>
      </c>
      <c r="I793" t="str">
        <f>_xll.BDS("147019PC Muni","MUNI_PURPOSE_SCHED", "aggregate=y")</f>
        <v>PUBLIC IMPS. WATER UTILITY IMPS. SEWER IMPS.</v>
      </c>
      <c r="J793">
        <f>_xll.BDP("147019PC Muni","CPN")</f>
        <v>3</v>
      </c>
      <c r="K793" t="str">
        <f>_xll.BDP("147019PC Muni","MATURITY")</f>
        <v>2/1/2027</v>
      </c>
      <c r="L793">
        <v>160000</v>
      </c>
      <c r="M793">
        <f>_xll.BDP("147019PC Muni","YIELD_ON_ISSUE_DATE")</f>
        <v>2.1</v>
      </c>
      <c r="N793">
        <f>_xll.BDP("147019PC Muni","YTW_SPREAD_TO_MATURITY_AT_ISSU")</f>
        <v>16.482297461465144</v>
      </c>
      <c r="O793" t="str">
        <f>_xll.BDP("147019PC Muni","BVAL_MID_YTM")</f>
        <v>#N/A Authorization</v>
      </c>
      <c r="P793" t="str">
        <f>_xll.BDP("147019PC Muni","MUNI_TAX_PROV")</f>
        <v>FED BQ/ST TAX-EXEMPT</v>
      </c>
      <c r="Q793" t="str">
        <f>_xll.BDP("147019PC Muni","MUNI_FED_TAX")</f>
        <v>N</v>
      </c>
      <c r="R793" t="str">
        <f>_xll.BDP("147019PC Muni","MUNI_MSRB_VOLUME")</f>
        <v>#N/A N/A</v>
      </c>
      <c r="S793" t="str">
        <f>_xll.BDP("147019PC Muni","BB_COMPOSITE")</f>
        <v>#N/A N/A</v>
      </c>
      <c r="T793">
        <f>_xll.BDP("147019PC Muni","LQA_LIQUIDITY_SCORE")</f>
        <v>53</v>
      </c>
    </row>
    <row r="794" spans="1:20" x14ac:dyDescent="0.25">
      <c r="A794" t="str">
        <f>_xll.BDP("147056FN Muni","ID_CUSIP")</f>
        <v>147056FN0</v>
      </c>
      <c r="B794" t="s">
        <v>93</v>
      </c>
      <c r="C794" t="str">
        <f>_xll.BDP("147056FN Muni","INSURANCE_STATUS")</f>
        <v>N</v>
      </c>
      <c r="D794" t="str">
        <f>_xll.BDP("147056FN Muni","STATE_CODE")</f>
        <v>NC</v>
      </c>
      <c r="E794" t="str">
        <f>_xll.BDP("147056FN Muni","COUNTY_LOCATION_ISSUER")</f>
        <v>Wake, NC</v>
      </c>
      <c r="F794">
        <f>_xll.BDP("147056FN Muni","DUR_ADJ_MID")</f>
        <v>0.32971891890866106</v>
      </c>
      <c r="G794">
        <f>_xll.BDP("147056FN Muni","SPREAD_AT_ISSUANCE_TO_WORST")</f>
        <v>3.9139398488130528</v>
      </c>
      <c r="H794" t="str">
        <f>_xll.BDP("147056FN Muni","ISSUE_DT")</f>
        <v>3/16/2017</v>
      </c>
      <c r="I794" t="str">
        <f>_xll.BDS("147056FN Muni","MUNI_PURPOSE_SCHED", "aggregate=y")</f>
        <v>WATER UTILITY IMPS. SEWER IMPS.</v>
      </c>
      <c r="J794">
        <f>_xll.BDP("147056FN Muni","CPN")</f>
        <v>5</v>
      </c>
      <c r="K794" t="str">
        <f>_xll.BDP("147056FN Muni","MATURITY")</f>
        <v>12/1/2022</v>
      </c>
      <c r="L794">
        <v>900000</v>
      </c>
      <c r="M794">
        <f>_xll.BDP("147056FN Muni","YIELD_ON_ISSUE_DATE")</f>
        <v>1.71</v>
      </c>
      <c r="N794">
        <f>_xll.BDP("147056FN Muni","YTW_SPREAD_TO_MATURITY_AT_ISSU")</f>
        <v>3.9139398488130528</v>
      </c>
      <c r="O794" t="str">
        <f>_xll.BDP("147056FN Muni","BVAL_MID_YTM")</f>
        <v>#N/A Authorization</v>
      </c>
      <c r="P794" t="str">
        <f>_xll.BDP("147056FN Muni","MUNI_TAX_PROV")</f>
        <v>FED &amp; ST TAX-EXEMPT</v>
      </c>
      <c r="Q794" t="str">
        <f>_xll.BDP("147056FN Muni","MUNI_FED_TAX")</f>
        <v>N</v>
      </c>
      <c r="R794">
        <f>_xll.BDP("147056FN Muni","MUNI_MSRB_VOLUME")</f>
        <v>25000</v>
      </c>
      <c r="S794" t="str">
        <f>_xll.BDP("147056FN Muni","BB_COMPOSITE")</f>
        <v>AAA</v>
      </c>
      <c r="T794">
        <f>_xll.BDP("147056FN Muni","LQA_LIQUIDITY_SCORE")</f>
        <v>96</v>
      </c>
    </row>
    <row r="795" spans="1:20" x14ac:dyDescent="0.25">
      <c r="A795" t="str">
        <f>_xll.BDP("147056FP Muni","ID_CUSIP")</f>
        <v>147056FP5</v>
      </c>
      <c r="B795" t="s">
        <v>93</v>
      </c>
      <c r="C795" t="str">
        <f>_xll.BDP("147056FP Muni","INSURANCE_STATUS")</f>
        <v>N</v>
      </c>
      <c r="D795" t="str">
        <f>_xll.BDP("147056FP Muni","STATE_CODE")</f>
        <v>NC</v>
      </c>
      <c r="E795" t="str">
        <f>_xll.BDP("147056FP Muni","COUNTY_LOCATION_ISSUER")</f>
        <v>Wake, NC</v>
      </c>
      <c r="F795">
        <f>_xll.BDP("147056FP Muni","DUR_ADJ_MID")</f>
        <v>1.2864179937003584</v>
      </c>
      <c r="G795">
        <f>_xll.BDP("147056FP Muni","SPREAD_AT_ISSUANCE_TO_WORST")</f>
        <v>10.761915519174647</v>
      </c>
      <c r="H795" t="str">
        <f>_xll.BDP("147056FP Muni","ISSUE_DT")</f>
        <v>3/16/2017</v>
      </c>
      <c r="I795" t="str">
        <f>_xll.BDS("147056FP Muni","MUNI_PURPOSE_SCHED", "aggregate=y")</f>
        <v>WATER UTILITY IMPS. SEWER IMPS.</v>
      </c>
      <c r="J795">
        <f>_xll.BDP("147056FP Muni","CPN")</f>
        <v>5</v>
      </c>
      <c r="K795" t="str">
        <f>_xll.BDP("147056FP Muni","MATURITY")</f>
        <v>12/1/2023</v>
      </c>
      <c r="L795">
        <v>945000</v>
      </c>
      <c r="M795">
        <f>_xll.BDP("147056FP Muni","YIELD_ON_ISSUE_DATE")</f>
        <v>1.94</v>
      </c>
      <c r="N795">
        <f>_xll.BDP("147056FP Muni","YTW_SPREAD_TO_MATURITY_AT_ISSU")</f>
        <v>10.761915519174647</v>
      </c>
      <c r="O795" t="str">
        <f>_xll.BDP("147056FP Muni","BVAL_MID_YTM")</f>
        <v>#N/A Authorization</v>
      </c>
      <c r="P795" t="str">
        <f>_xll.BDP("147056FP Muni","MUNI_TAX_PROV")</f>
        <v>FED &amp; ST TAX-EXEMPT</v>
      </c>
      <c r="Q795" t="str">
        <f>_xll.BDP("147056FP Muni","MUNI_FED_TAX")</f>
        <v>N</v>
      </c>
      <c r="R795">
        <f>_xll.BDP("147056FP Muni","MUNI_MSRB_VOLUME")</f>
        <v>50000</v>
      </c>
      <c r="S795" t="str">
        <f>_xll.BDP("147056FP Muni","BB_COMPOSITE")</f>
        <v>AAA</v>
      </c>
      <c r="T795">
        <f>_xll.BDP("147056FP Muni","LQA_LIQUIDITY_SCORE")</f>
        <v>91</v>
      </c>
    </row>
    <row r="796" spans="1:20" x14ac:dyDescent="0.25">
      <c r="A796" t="str">
        <f>_xll.BDP("147056FR Muni","ID_CUSIP")</f>
        <v>147056FR1</v>
      </c>
      <c r="B796" t="s">
        <v>93</v>
      </c>
      <c r="C796" t="str">
        <f>_xll.BDP("147056FR Muni","INSURANCE_STATUS")</f>
        <v>N</v>
      </c>
      <c r="D796" t="str">
        <f>_xll.BDP("147056FR Muni","STATE_CODE")</f>
        <v>NC</v>
      </c>
      <c r="E796" t="str">
        <f>_xll.BDP("147056FR Muni","COUNTY_LOCATION_ISSUER")</f>
        <v>Wake, NC</v>
      </c>
      <c r="F796">
        <f>_xll.BDP("147056FR Muni","DUR_ADJ_MID")</f>
        <v>3.0740759309745962</v>
      </c>
      <c r="G796">
        <f>_xll.BDP("147056FR Muni","SPREAD_AT_ISSUANCE_TO_WORST")</f>
        <v>14.700971694186205</v>
      </c>
      <c r="H796" t="str">
        <f>_xll.BDP("147056FR Muni","ISSUE_DT")</f>
        <v>3/16/2017</v>
      </c>
      <c r="I796" t="str">
        <f>_xll.BDS("147056FR Muni","MUNI_PURPOSE_SCHED", "aggregate=y")</f>
        <v>WATER UTILITY IMPS. SEWER IMPS.</v>
      </c>
      <c r="J796">
        <f>_xll.BDP("147056FR Muni","CPN")</f>
        <v>5</v>
      </c>
      <c r="K796" t="str">
        <f>_xll.BDP("147056FR Muni","MATURITY")</f>
        <v>12/1/2025</v>
      </c>
      <c r="L796">
        <v>1045000</v>
      </c>
      <c r="M796">
        <f>_xll.BDP("147056FR Muni","YIELD_ON_ISSUE_DATE")</f>
        <v>2.2800000000000002</v>
      </c>
      <c r="N796">
        <f>_xll.BDP("147056FR Muni","YTW_SPREAD_TO_MATURITY_AT_ISSU")</f>
        <v>14.700971694186205</v>
      </c>
      <c r="O796" t="str">
        <f>_xll.BDP("147056FR Muni","BVAL_MID_YTM")</f>
        <v>#N/A Authorization</v>
      </c>
      <c r="P796" t="str">
        <f>_xll.BDP("147056FR Muni","MUNI_TAX_PROV")</f>
        <v>FED &amp; ST TAX-EXEMPT</v>
      </c>
      <c r="Q796" t="str">
        <f>_xll.BDP("147056FR Muni","MUNI_FED_TAX")</f>
        <v>N</v>
      </c>
      <c r="R796">
        <f>_xll.BDP("147056FR Muni","MUNI_MSRB_VOLUME")</f>
        <v>45000</v>
      </c>
      <c r="S796" t="str">
        <f>_xll.BDP("147056FR Muni","BB_COMPOSITE")</f>
        <v>AAA</v>
      </c>
      <c r="T796">
        <f>_xll.BDP("147056FR Muni","LQA_LIQUIDITY_SCORE")</f>
        <v>74</v>
      </c>
    </row>
    <row r="797" spans="1:20" x14ac:dyDescent="0.25">
      <c r="A797" t="str">
        <f>_xll.BDP("147056FS Muni","ID_CUSIP")</f>
        <v>147056FS9</v>
      </c>
      <c r="B797" t="s">
        <v>93</v>
      </c>
      <c r="C797" t="str">
        <f>_xll.BDP("147056FS Muni","INSURANCE_STATUS")</f>
        <v>N</v>
      </c>
      <c r="D797" t="str">
        <f>_xll.BDP("147056FS Muni","STATE_CODE")</f>
        <v>NC</v>
      </c>
      <c r="E797" t="str">
        <f>_xll.BDP("147056FS Muni","COUNTY_LOCATION_ISSUER")</f>
        <v>Wake, NC</v>
      </c>
      <c r="F797">
        <f>_xll.BDP("147056FS Muni","DUR_ADJ_MID")</f>
        <v>3.9125342993741095</v>
      </c>
      <c r="G797">
        <f>_xll.BDP("147056FS Muni","SPREAD_AT_ISSUANCE_TO_WORST")</f>
        <v>13.205859696407529</v>
      </c>
      <c r="H797" t="str">
        <f>_xll.BDP("147056FS Muni","ISSUE_DT")</f>
        <v>3/16/2017</v>
      </c>
      <c r="I797" t="str">
        <f>_xll.BDS("147056FS Muni","MUNI_PURPOSE_SCHED", "aggregate=y")</f>
        <v>WATER UTILITY IMPS. SEWER IMPS.</v>
      </c>
      <c r="J797">
        <f>_xll.BDP("147056FS Muni","CPN")</f>
        <v>5</v>
      </c>
      <c r="K797" t="str">
        <f>_xll.BDP("147056FS Muni","MATURITY")</f>
        <v>12/1/2026</v>
      </c>
      <c r="L797">
        <v>1100000</v>
      </c>
      <c r="M797">
        <f>_xll.BDP("147056FS Muni","YIELD_ON_ISSUE_DATE")</f>
        <v>2.38</v>
      </c>
      <c r="N797">
        <f>_xll.BDP("147056FS Muni","YTW_SPREAD_TO_MATURITY_AT_ISSU")</f>
        <v>13.205859696407529</v>
      </c>
      <c r="O797" t="str">
        <f>_xll.BDP("147056FS Muni","BVAL_MID_YTM")</f>
        <v>#N/A Authorization</v>
      </c>
      <c r="P797" t="str">
        <f>_xll.BDP("147056FS Muni","MUNI_TAX_PROV")</f>
        <v>FED &amp; ST TAX-EXEMPT</v>
      </c>
      <c r="Q797" t="str">
        <f>_xll.BDP("147056FS Muni","MUNI_FED_TAX")</f>
        <v>N</v>
      </c>
      <c r="R797">
        <f>_xll.BDP("147056FS Muni","MUNI_MSRB_VOLUME")</f>
        <v>20000</v>
      </c>
      <c r="S797" t="str">
        <f>_xll.BDP("147056FS Muni","BB_COMPOSITE")</f>
        <v>AAA</v>
      </c>
      <c r="T797">
        <f>_xll.BDP("147056FS Muni","LQA_LIQUIDITY_SCORE")</f>
        <v>68</v>
      </c>
    </row>
    <row r="798" spans="1:20" x14ac:dyDescent="0.25">
      <c r="A798" t="str">
        <f>_xll.BDP("05922KYD Muni","ID_CUSIP")</f>
        <v>05922KYD5</v>
      </c>
      <c r="B798" t="s">
        <v>88</v>
      </c>
      <c r="C798" t="str">
        <f>_xll.BDP("05922KYD Muni","INSURANCE_STATUS")</f>
        <v>N</v>
      </c>
      <c r="D798" t="str">
        <f>_xll.BDP("05922KYD Muni","STATE_CODE")</f>
        <v>MD</v>
      </c>
      <c r="E798" t="str">
        <f>_xll.BDP("05922KYD Muni","COUNTY_LOCATION_ISSUER")</f>
        <v>Baltimore City, MD</v>
      </c>
      <c r="F798">
        <f>_xll.BDP("05922KYD Muni","DUR_ADJ_MID")</f>
        <v>0.89449412885786539</v>
      </c>
      <c r="G798">
        <f>_xll.BDP("05922KYD Muni","SPREAD_AT_ISSUANCE_TO_WORST")</f>
        <v>26.376065079385924</v>
      </c>
      <c r="H798" t="str">
        <f>_xll.BDP("05922KYD Muni","ISSUE_DT")</f>
        <v>2/9/2017</v>
      </c>
      <c r="I798" t="str">
        <f>_xll.BDS("05922KYD Muni","MUNI_PURPOSE_SCHED", "aggregate=y")</f>
        <v>WATER UTILITY IMPS.</v>
      </c>
      <c r="J798">
        <f>_xll.BDP("05922KYD Muni","CPN")</f>
        <v>5</v>
      </c>
      <c r="K798" t="str">
        <f>_xll.BDP("05922KYD Muni","MATURITY")</f>
        <v>7/1/2023</v>
      </c>
      <c r="L798">
        <v>3225000</v>
      </c>
      <c r="M798">
        <f>_xll.BDP("05922KYD Muni","YIELD_ON_ISSUE_DATE")</f>
        <v>2.2000000000000002</v>
      </c>
      <c r="N798">
        <f>_xll.BDP("05922KYD Muni","YTW_SPREAD_TO_MATURITY_AT_ISSU")</f>
        <v>26.376065079385924</v>
      </c>
      <c r="O798" t="str">
        <f>_xll.BDP("05922KYD Muni","BVAL_MID_YTM")</f>
        <v>#N/A Authorization</v>
      </c>
      <c r="P798" t="str">
        <f>_xll.BDP("05922KYD Muni","MUNI_TAX_PROV")</f>
        <v>FED &amp; ST TAX-EXEMPT</v>
      </c>
      <c r="Q798" t="str">
        <f>_xll.BDP("05922KYD Muni","MUNI_FED_TAX")</f>
        <v>N</v>
      </c>
      <c r="R798">
        <f>_xll.BDP("05922KYD Muni","MUNI_MSRB_VOLUME")</f>
        <v>70000</v>
      </c>
      <c r="S798" t="str">
        <f>_xll.BDP("05922KYD Muni","BB_COMPOSITE")</f>
        <v>A+</v>
      </c>
      <c r="T798">
        <f>_xll.BDP("05922KYD Muni","LQA_LIQUIDITY_SCORE")</f>
        <v>88</v>
      </c>
    </row>
    <row r="799" spans="1:20" x14ac:dyDescent="0.25">
      <c r="A799" t="str">
        <f>_xll.BDP("05922KYE Muni","ID_CUSIP")</f>
        <v>05922KYE3</v>
      </c>
      <c r="B799" t="s">
        <v>88</v>
      </c>
      <c r="C799" t="str">
        <f>_xll.BDP("05922KYE Muni","INSURANCE_STATUS")</f>
        <v>N</v>
      </c>
      <c r="D799" t="str">
        <f>_xll.BDP("05922KYE Muni","STATE_CODE")</f>
        <v>MD</v>
      </c>
      <c r="E799" t="str">
        <f>_xll.BDP("05922KYE Muni","COUNTY_LOCATION_ISSUER")</f>
        <v>Baltimore City, MD</v>
      </c>
      <c r="F799">
        <f>_xll.BDP("05922KYE Muni","DUR_ADJ_MID")</f>
        <v>1.8264355812881645</v>
      </c>
      <c r="G799">
        <f>_xll.BDP("05922KYE Muni","SPREAD_AT_ISSUANCE_TO_WORST")</f>
        <v>31.123796912728885</v>
      </c>
      <c r="H799" t="str">
        <f>_xll.BDP("05922KYE Muni","ISSUE_DT")</f>
        <v>2/9/2017</v>
      </c>
      <c r="I799" t="str">
        <f>_xll.BDS("05922KYE Muni","MUNI_PURPOSE_SCHED", "aggregate=y")</f>
        <v>WATER UTILITY IMPS.</v>
      </c>
      <c r="J799">
        <f>_xll.BDP("05922KYE Muni","CPN")</f>
        <v>5</v>
      </c>
      <c r="K799" t="str">
        <f>_xll.BDP("05922KYE Muni","MATURITY")</f>
        <v>7/1/2024</v>
      </c>
      <c r="L799">
        <v>3385000</v>
      </c>
      <c r="M799">
        <f>_xll.BDP("05922KYE Muni","YIELD_ON_ISSUE_DATE")</f>
        <v>2.39</v>
      </c>
      <c r="N799">
        <f>_xll.BDP("05922KYE Muni","YTW_SPREAD_TO_MATURITY_AT_ISSU")</f>
        <v>31.123796912728885</v>
      </c>
      <c r="O799" t="str">
        <f>_xll.BDP("05922KYE Muni","BVAL_MID_YTM")</f>
        <v>#N/A Authorization</v>
      </c>
      <c r="P799" t="str">
        <f>_xll.BDP("05922KYE Muni","MUNI_TAX_PROV")</f>
        <v>FED &amp; ST TAX-EXEMPT</v>
      </c>
      <c r="Q799" t="str">
        <f>_xll.BDP("05922KYE Muni","MUNI_FED_TAX")</f>
        <v>N</v>
      </c>
      <c r="R799">
        <f>_xll.BDP("05922KYE Muni","MUNI_MSRB_VOLUME")</f>
        <v>100000</v>
      </c>
      <c r="S799" t="str">
        <f>_xll.BDP("05922KYE Muni","BB_COMPOSITE")</f>
        <v>A+</v>
      </c>
      <c r="T799">
        <f>_xll.BDP("05922KYE Muni","LQA_LIQUIDITY_SCORE")</f>
        <v>80</v>
      </c>
    </row>
    <row r="800" spans="1:20" x14ac:dyDescent="0.25">
      <c r="A800" t="str">
        <f>_xll.BDP("070419KL Muni","ID_CUSIP")</f>
        <v>070419KL9</v>
      </c>
      <c r="B800" t="s">
        <v>270</v>
      </c>
      <c r="C800" t="str">
        <f>_xll.BDP("070419KL Muni","INSURANCE_STATUS")</f>
        <v>Y</v>
      </c>
      <c r="D800" t="str">
        <f>_xll.BDP("070419KL Muni","STATE_CODE")</f>
        <v>NY</v>
      </c>
      <c r="E800" t="str">
        <f>_xll.BDP("070419KL Muni","COUNTY_LOCATION_ISSUER")</f>
        <v>Genesee, NY</v>
      </c>
      <c r="F800">
        <f>_xll.BDP("070419KL Muni","DUR_ADJ_MID")</f>
        <v>0.73677218940566369</v>
      </c>
      <c r="G800">
        <f>_xll.BDP("070419KL Muni","SPREAD_AT_ISSUANCE_TO_WORST")</f>
        <v>14.64448791438735</v>
      </c>
      <c r="H800" t="str">
        <f>_xll.BDP("070419KL Muni","ISSUE_DT")</f>
        <v>5/11/2017</v>
      </c>
      <c r="I800" t="str">
        <f>_xll.BDS("070419KL Muni","MUNI_PURPOSE_SCHED", "aggregate=y")</f>
        <v>SEWER IMPS. WATER UTILITY IMPS. REFUNDING NOTES</v>
      </c>
      <c r="J800">
        <f>_xll.BDP("070419KL Muni","CPN")</f>
        <v>2.125</v>
      </c>
      <c r="K800" t="str">
        <f>_xll.BDP("070419KL Muni","MATURITY")</f>
        <v>5/1/2023</v>
      </c>
      <c r="L800">
        <v>195000</v>
      </c>
      <c r="M800">
        <f>_xll.BDP("070419KL Muni","YIELD_ON_ISSUE_DATE")</f>
        <v>1.7000000000000002</v>
      </c>
      <c r="N800">
        <f>_xll.BDP("070419KL Muni","YTW_SPREAD_TO_MATURITY_AT_ISSU")</f>
        <v>14.64448791438735</v>
      </c>
      <c r="O800" t="str">
        <f>_xll.BDP("070419KL Muni","BVAL_MID_YTM")</f>
        <v>#N/A Authorization</v>
      </c>
      <c r="P800" t="str">
        <f>_xll.BDP("070419KL Muni","MUNI_TAX_PROV")</f>
        <v>FED BQ/ST TAX-EXEMPT</v>
      </c>
      <c r="Q800" t="str">
        <f>_xll.BDP("070419KL Muni","MUNI_FED_TAX")</f>
        <v>N</v>
      </c>
      <c r="R800" t="str">
        <f>_xll.BDP("070419KL Muni","MUNI_MSRB_VOLUME")</f>
        <v>#N/A N/A</v>
      </c>
      <c r="S800" t="str">
        <f>_xll.BDP("070419KL Muni","BB_COMPOSITE")</f>
        <v>AA-</v>
      </c>
      <c r="T800">
        <f>_xll.BDP("070419KL Muni","LQA_LIQUIDITY_SCORE")</f>
        <v>86</v>
      </c>
    </row>
    <row r="801" spans="1:20" x14ac:dyDescent="0.25">
      <c r="A801" t="str">
        <f>_xll.BDP("070419KM Muni","ID_CUSIP")</f>
        <v>070419KM7</v>
      </c>
      <c r="B801" t="s">
        <v>270</v>
      </c>
      <c r="C801" t="str">
        <f>_xll.BDP("070419KM Muni","INSURANCE_STATUS")</f>
        <v>Y</v>
      </c>
      <c r="D801" t="str">
        <f>_xll.BDP("070419KM Muni","STATE_CODE")</f>
        <v>NY</v>
      </c>
      <c r="E801" t="str">
        <f>_xll.BDP("070419KM Muni","COUNTY_LOCATION_ISSUER")</f>
        <v>Genesee, NY</v>
      </c>
      <c r="F801">
        <f>_xll.BDP("070419KM Muni","DUR_ADJ_MID")</f>
        <v>1.6987587624359799</v>
      </c>
      <c r="G801">
        <f>_xll.BDP("070419KM Muni","SPREAD_AT_ISSUANCE_TO_WORST")</f>
        <v>15.480212174290632</v>
      </c>
      <c r="H801" t="str">
        <f>_xll.BDP("070419KM Muni","ISSUE_DT")</f>
        <v>5/11/2017</v>
      </c>
      <c r="I801" t="str">
        <f>_xll.BDS("070419KM Muni","MUNI_PURPOSE_SCHED", "aggregate=y")</f>
        <v>SEWER IMPS. WATER UTILITY IMPS. REFUNDING NOTES</v>
      </c>
      <c r="J801">
        <f>_xll.BDP("070419KM Muni","CPN")</f>
        <v>2.25</v>
      </c>
      <c r="K801" t="str">
        <f>_xll.BDP("070419KM Muni","MATURITY")</f>
        <v>5/1/2024</v>
      </c>
      <c r="L801">
        <v>195000</v>
      </c>
      <c r="M801">
        <f>_xll.BDP("070419KM Muni","YIELD_ON_ISSUE_DATE")</f>
        <v>1.87</v>
      </c>
      <c r="N801">
        <f>_xll.BDP("070419KM Muni","YTW_SPREAD_TO_MATURITY_AT_ISSU")</f>
        <v>15.480212174290632</v>
      </c>
      <c r="O801" t="str">
        <f>_xll.BDP("070419KM Muni","BVAL_MID_YTM")</f>
        <v>#N/A Authorization</v>
      </c>
      <c r="P801" t="str">
        <f>_xll.BDP("070419KM Muni","MUNI_TAX_PROV")</f>
        <v>FED BQ/ST TAX-EXEMPT</v>
      </c>
      <c r="Q801" t="str">
        <f>_xll.BDP("070419KM Muni","MUNI_FED_TAX")</f>
        <v>N</v>
      </c>
      <c r="R801" t="str">
        <f>_xll.BDP("070419KM Muni","MUNI_MSRB_VOLUME")</f>
        <v>#N/A N/A</v>
      </c>
      <c r="S801" t="str">
        <f>_xll.BDP("070419KM Muni","BB_COMPOSITE")</f>
        <v>AA-</v>
      </c>
      <c r="T801">
        <f>_xll.BDP("070419KM Muni","LQA_LIQUIDITY_SCORE")</f>
        <v>74</v>
      </c>
    </row>
    <row r="802" spans="1:20" x14ac:dyDescent="0.25">
      <c r="A802" t="str">
        <f>_xll.BDP("070419KN Muni","ID_CUSIP")</f>
        <v>070419KN5</v>
      </c>
      <c r="B802" t="s">
        <v>270</v>
      </c>
      <c r="C802" t="str">
        <f>_xll.BDP("070419KN Muni","INSURANCE_STATUS")</f>
        <v>Y</v>
      </c>
      <c r="D802" t="str">
        <f>_xll.BDP("070419KN Muni","STATE_CODE")</f>
        <v>NY</v>
      </c>
      <c r="E802" t="str">
        <f>_xll.BDP("070419KN Muni","COUNTY_LOCATION_ISSUER")</f>
        <v>Genesee, NY</v>
      </c>
      <c r="F802">
        <f>_xll.BDP("070419KN Muni","DUR_ADJ_MID")</f>
        <v>2.6394953311012683</v>
      </c>
      <c r="G802">
        <f>_xll.BDP("070419KN Muni","SPREAD_AT_ISSUANCE_TO_WORST")</f>
        <v>12.418759682005497</v>
      </c>
      <c r="H802" t="str">
        <f>_xll.BDP("070419KN Muni","ISSUE_DT")</f>
        <v>5/11/2017</v>
      </c>
      <c r="I802" t="str">
        <f>_xll.BDS("070419KN Muni","MUNI_PURPOSE_SCHED", "aggregate=y")</f>
        <v>SEWER IMPS. WATER UTILITY IMPS. REFUNDING NOTES</v>
      </c>
      <c r="J802">
        <f>_xll.BDP("070419KN Muni","CPN")</f>
        <v>2.25</v>
      </c>
      <c r="K802" t="str">
        <f>_xll.BDP("070419KN Muni","MATURITY")</f>
        <v>5/1/2025</v>
      </c>
      <c r="L802">
        <v>200000</v>
      </c>
      <c r="M802">
        <f>_xll.BDP("070419KN Muni","YIELD_ON_ISSUE_DATE")</f>
        <v>2</v>
      </c>
      <c r="N802">
        <f>_xll.BDP("070419KN Muni","YTW_SPREAD_TO_MATURITY_AT_ISSU")</f>
        <v>12.418759682005497</v>
      </c>
      <c r="O802" t="str">
        <f>_xll.BDP("070419KN Muni","BVAL_MID_YTM")</f>
        <v>#N/A Authorization</v>
      </c>
      <c r="P802" t="str">
        <f>_xll.BDP("070419KN Muni","MUNI_TAX_PROV")</f>
        <v>FED BQ/ST TAX-EXEMPT</v>
      </c>
      <c r="Q802" t="str">
        <f>_xll.BDP("070419KN Muni","MUNI_FED_TAX")</f>
        <v>N</v>
      </c>
      <c r="R802" t="str">
        <f>_xll.BDP("070419KN Muni","MUNI_MSRB_VOLUME")</f>
        <v>#N/A N/A</v>
      </c>
      <c r="S802" t="str">
        <f>_xll.BDP("070419KN Muni","BB_COMPOSITE")</f>
        <v>AA-</v>
      </c>
      <c r="T802">
        <f>_xll.BDP("070419KN Muni","LQA_LIQUIDITY_SCORE")</f>
        <v>63</v>
      </c>
    </row>
    <row r="803" spans="1:20" x14ac:dyDescent="0.25">
      <c r="A803" t="str">
        <f>_xll.BDP("070419LA Muni","ID_CUSIP")</f>
        <v>070419LA2</v>
      </c>
      <c r="B803" t="s">
        <v>270</v>
      </c>
      <c r="C803" t="str">
        <f>_xll.BDP("070419LA Muni","INSURANCE_STATUS")</f>
        <v>Y</v>
      </c>
      <c r="D803" t="str">
        <f>_xll.BDP("070419LA Muni","STATE_CODE")</f>
        <v>NY</v>
      </c>
      <c r="E803" t="str">
        <f>_xll.BDP("070419LA Muni","COUNTY_LOCATION_ISSUER")</f>
        <v>Genesee, NY</v>
      </c>
      <c r="F803">
        <f>_xll.BDP("070419LA Muni","DUR_ADJ_MID")</f>
        <v>0.16360324116571803</v>
      </c>
      <c r="G803">
        <f>_xll.BDP("070419LA Muni","SPREAD_AT_ISSUANCE_TO_WORST")</f>
        <v>13.010835616438365</v>
      </c>
      <c r="H803" t="str">
        <f>_xll.BDP("070419LA Muni","ISSUE_DT")</f>
        <v>10/10/2017</v>
      </c>
      <c r="I803" t="str">
        <f>_xll.BDS("070419LA Muni","MUNI_PURPOSE_SCHED", "aggregate=y")</f>
        <v>WATER UTILITY IMPS. SEWER IMPS.</v>
      </c>
      <c r="J803">
        <f>_xll.BDP("070419LA Muni","CPN")</f>
        <v>2.5</v>
      </c>
      <c r="K803" t="str">
        <f>_xll.BDP("070419LA Muni","MATURITY")</f>
        <v>10/1/2022</v>
      </c>
      <c r="L803">
        <v>60000</v>
      </c>
      <c r="M803">
        <f>_xll.BDP("070419LA Muni","YIELD_ON_ISSUE_DATE")</f>
        <v>1.4000000000000001</v>
      </c>
      <c r="N803">
        <f>_xll.BDP("070419LA Muni","YTW_SPREAD_TO_MATURITY_AT_ISSU")</f>
        <v>13.010835616438365</v>
      </c>
      <c r="O803" t="str">
        <f>_xll.BDP("070419LA Muni","BVAL_MID_YTM")</f>
        <v>#N/A Authorization</v>
      </c>
      <c r="P803" t="str">
        <f>_xll.BDP("070419LA Muni","MUNI_TAX_PROV")</f>
        <v>FED BQ/ST TAX-EXEMPT</v>
      </c>
      <c r="Q803" t="str">
        <f>_xll.BDP("070419LA Muni","MUNI_FED_TAX")</f>
        <v>N</v>
      </c>
      <c r="R803" t="str">
        <f>_xll.BDP("070419LA Muni","MUNI_MSRB_VOLUME")</f>
        <v>#N/A N/A</v>
      </c>
      <c r="S803" t="str">
        <f>_xll.BDP("070419LA Muni","BB_COMPOSITE")</f>
        <v>AA-</v>
      </c>
      <c r="T803">
        <f>_xll.BDP("070419LA Muni","LQA_LIQUIDITY_SCORE")</f>
        <v>99</v>
      </c>
    </row>
    <row r="804" spans="1:20" x14ac:dyDescent="0.25">
      <c r="A804" t="str">
        <f>_xll.BDP("070419LB Muni","ID_CUSIP")</f>
        <v>070419LB0</v>
      </c>
      <c r="B804" t="s">
        <v>270</v>
      </c>
      <c r="C804" t="str">
        <f>_xll.BDP("070419LB Muni","INSURANCE_STATUS")</f>
        <v>Y</v>
      </c>
      <c r="D804" t="str">
        <f>_xll.BDP("070419LB Muni","STATE_CODE")</f>
        <v>NY</v>
      </c>
      <c r="E804" t="str">
        <f>_xll.BDP("070419LB Muni","COUNTY_LOCATION_ISSUER")</f>
        <v>Genesee, NY</v>
      </c>
      <c r="F804">
        <f>_xll.BDP("070419LB Muni","DUR_ADJ_MID")</f>
        <v>1.1360289202073384</v>
      </c>
      <c r="G804">
        <f>_xll.BDP("070419LB Muni","SPREAD_AT_ISSUANCE_TO_WORST")</f>
        <v>14.333413698630149</v>
      </c>
      <c r="H804" t="str">
        <f>_xll.BDP("070419LB Muni","ISSUE_DT")</f>
        <v>10/10/2017</v>
      </c>
      <c r="I804" t="str">
        <f>_xll.BDS("070419LB Muni","MUNI_PURPOSE_SCHED", "aggregate=y")</f>
        <v>WATER UTILITY IMPS. SEWER IMPS.</v>
      </c>
      <c r="J804">
        <f>_xll.BDP("070419LB Muni","CPN")</f>
        <v>2.5</v>
      </c>
      <c r="K804" t="str">
        <f>_xll.BDP("070419LB Muni","MATURITY")</f>
        <v>10/1/2023</v>
      </c>
      <c r="L804">
        <v>60000</v>
      </c>
      <c r="M804">
        <f>_xll.BDP("070419LB Muni","YIELD_ON_ISSUE_DATE")</f>
        <v>1.55</v>
      </c>
      <c r="N804">
        <f>_xll.BDP("070419LB Muni","YTW_SPREAD_TO_MATURITY_AT_ISSU")</f>
        <v>14.333413698630149</v>
      </c>
      <c r="O804" t="str">
        <f>_xll.BDP("070419LB Muni","BVAL_MID_YTM")</f>
        <v>#N/A Authorization</v>
      </c>
      <c r="P804" t="str">
        <f>_xll.BDP("070419LB Muni","MUNI_TAX_PROV")</f>
        <v>FED BQ/ST TAX-EXEMPT</v>
      </c>
      <c r="Q804" t="str">
        <f>_xll.BDP("070419LB Muni","MUNI_FED_TAX")</f>
        <v>N</v>
      </c>
      <c r="R804" t="str">
        <f>_xll.BDP("070419LB Muni","MUNI_MSRB_VOLUME")</f>
        <v>#N/A N/A</v>
      </c>
      <c r="S804" t="str">
        <f>_xll.BDP("070419LB Muni","BB_COMPOSITE")</f>
        <v>AA-</v>
      </c>
      <c r="T804">
        <f>_xll.BDP("070419LB Muni","LQA_LIQUIDITY_SCORE")</f>
        <v>83</v>
      </c>
    </row>
    <row r="805" spans="1:20" x14ac:dyDescent="0.25">
      <c r="A805" t="str">
        <f>_xll.BDP("070419LC Muni","ID_CUSIP")</f>
        <v>070419LC8</v>
      </c>
      <c r="B805" t="s">
        <v>270</v>
      </c>
      <c r="C805" t="str">
        <f>_xll.BDP("070419LC Muni","INSURANCE_STATUS")</f>
        <v>Y</v>
      </c>
      <c r="D805" t="str">
        <f>_xll.BDP("070419LC Muni","STATE_CODE")</f>
        <v>NY</v>
      </c>
      <c r="E805" t="str">
        <f>_xll.BDP("070419LC Muni","COUNTY_LOCATION_ISSUER")</f>
        <v>Genesee, NY</v>
      </c>
      <c r="F805">
        <f>_xll.BDP("070419LC Muni","DUR_ADJ_MID")</f>
        <v>2.0836103615501935</v>
      </c>
      <c r="G805">
        <f>_xll.BDP("070419LC Muni","SPREAD_AT_ISSUANCE_TO_WORST")</f>
        <v>15.236345205479452</v>
      </c>
      <c r="H805" t="str">
        <f>_xll.BDP("070419LC Muni","ISSUE_DT")</f>
        <v>10/10/2017</v>
      </c>
      <c r="I805" t="str">
        <f>_xll.BDS("070419LC Muni","MUNI_PURPOSE_SCHED", "aggregate=y")</f>
        <v>WATER UTILITY IMPS. SEWER IMPS.</v>
      </c>
      <c r="J805">
        <f>_xll.BDP("070419LC Muni","CPN")</f>
        <v>2.5</v>
      </c>
      <c r="K805" t="str">
        <f>_xll.BDP("070419LC Muni","MATURITY")</f>
        <v>10/1/2024</v>
      </c>
      <c r="L805">
        <v>60000</v>
      </c>
      <c r="M805">
        <f>_xll.BDP("070419LC Muni","YIELD_ON_ISSUE_DATE")</f>
        <v>1.7000000000000002</v>
      </c>
      <c r="N805">
        <f>_xll.BDP("070419LC Muni","YTW_SPREAD_TO_MATURITY_AT_ISSU")</f>
        <v>15.236345205479452</v>
      </c>
      <c r="O805" t="str">
        <f>_xll.BDP("070419LC Muni","BVAL_MID_YTM")</f>
        <v>#N/A Authorization</v>
      </c>
      <c r="P805" t="str">
        <f>_xll.BDP("070419LC Muni","MUNI_TAX_PROV")</f>
        <v>FED BQ/ST TAX-EXEMPT</v>
      </c>
      <c r="Q805" t="str">
        <f>_xll.BDP("070419LC Muni","MUNI_FED_TAX")</f>
        <v>N</v>
      </c>
      <c r="R805" t="str">
        <f>_xll.BDP("070419LC Muni","MUNI_MSRB_VOLUME")</f>
        <v>#N/A N/A</v>
      </c>
      <c r="S805" t="str">
        <f>_xll.BDP("070419LC Muni","BB_COMPOSITE")</f>
        <v>AA-</v>
      </c>
      <c r="T805">
        <f>_xll.BDP("070419LC Muni","LQA_LIQUIDITY_SCORE")</f>
        <v>72</v>
      </c>
    </row>
    <row r="806" spans="1:20" x14ac:dyDescent="0.25">
      <c r="A806" t="str">
        <f>_xll.BDP("070419LD Muni","ID_CUSIP")</f>
        <v>070419LD6</v>
      </c>
      <c r="B806" t="s">
        <v>270</v>
      </c>
      <c r="C806" t="str">
        <f>_xll.BDP("070419LD Muni","INSURANCE_STATUS")</f>
        <v>Y</v>
      </c>
      <c r="D806" t="str">
        <f>_xll.BDP("070419LD Muni","STATE_CODE")</f>
        <v>NY</v>
      </c>
      <c r="E806" t="str">
        <f>_xll.BDP("070419LD Muni","COUNTY_LOCATION_ISSUER")</f>
        <v>Genesee, NY</v>
      </c>
      <c r="F806">
        <f>_xll.BDP("070419LD Muni","DUR_ADJ_MID")</f>
        <v>3.0022967577244528</v>
      </c>
      <c r="G806">
        <f>_xll.BDP("070419LD Muni","SPREAD_AT_ISSUANCE_TO_WORST")</f>
        <v>16.142756164383563</v>
      </c>
      <c r="H806" t="str">
        <f>_xll.BDP("070419LD Muni","ISSUE_DT")</f>
        <v>10/10/2017</v>
      </c>
      <c r="I806" t="str">
        <f>_xll.BDS("070419LD Muni","MUNI_PURPOSE_SCHED", "aggregate=y")</f>
        <v>WATER UTILITY IMPS. SEWER IMPS.</v>
      </c>
      <c r="J806">
        <f>_xll.BDP("070419LD Muni","CPN")</f>
        <v>2.625</v>
      </c>
      <c r="K806" t="str">
        <f>_xll.BDP("070419LD Muni","MATURITY")</f>
        <v>10/1/2025</v>
      </c>
      <c r="L806">
        <v>65000</v>
      </c>
      <c r="M806">
        <f>_xll.BDP("070419LD Muni","YIELD_ON_ISSUE_DATE")</f>
        <v>1.85</v>
      </c>
      <c r="N806">
        <f>_xll.BDP("070419LD Muni","YTW_SPREAD_TO_MATURITY_AT_ISSU")</f>
        <v>16.142756164383563</v>
      </c>
      <c r="O806" t="str">
        <f>_xll.BDP("070419LD Muni","BVAL_MID_YTM")</f>
        <v>#N/A Authorization</v>
      </c>
      <c r="P806" t="str">
        <f>_xll.BDP("070419LD Muni","MUNI_TAX_PROV")</f>
        <v>FED BQ/ST TAX-EXEMPT</v>
      </c>
      <c r="Q806" t="str">
        <f>_xll.BDP("070419LD Muni","MUNI_FED_TAX")</f>
        <v>N</v>
      </c>
      <c r="R806" t="str">
        <f>_xll.BDP("070419LD Muni","MUNI_MSRB_VOLUME")</f>
        <v>#N/A N/A</v>
      </c>
      <c r="S806" t="str">
        <f>_xll.BDP("070419LD Muni","BB_COMPOSITE")</f>
        <v>AA-</v>
      </c>
      <c r="T806">
        <f>_xll.BDP("070419LD Muni","LQA_LIQUIDITY_SCORE")</f>
        <v>63</v>
      </c>
    </row>
    <row r="807" spans="1:20" x14ac:dyDescent="0.25">
      <c r="A807" t="str">
        <f>_xll.BDP("071599BT Muni","ID_CUSIP")</f>
        <v>071599BT0</v>
      </c>
      <c r="B807" t="s">
        <v>271</v>
      </c>
      <c r="C807" t="str">
        <f>_xll.BDP("071599BT Muni","INSURANCE_STATUS")</f>
        <v>N</v>
      </c>
      <c r="D807" t="str">
        <f>_xll.BDP("071599BT Muni","STATE_CODE")</f>
        <v>MN</v>
      </c>
      <c r="E807" t="str">
        <f>_xll.BDP("071599BT Muni","COUNTY_LOCATION_ISSUER")</f>
        <v>Lake of the Woods, MN</v>
      </c>
      <c r="F807">
        <f>_xll.BDP("071599BT Muni","DUR_ADJ_MID")</f>
        <v>0.49418209982065958</v>
      </c>
      <c r="G807">
        <f>_xll.BDP("071599BT Muni","SPREAD_AT_ISSUANCE_TO_WORST")</f>
        <v>42.117565604269089</v>
      </c>
      <c r="H807" t="str">
        <f>_xll.BDP("071599BT Muni","ISSUE_DT")</f>
        <v>7/13/2017</v>
      </c>
      <c r="I807" t="str">
        <f>_xll.BDS("071599BT Muni","MUNI_PURPOSE_SCHED", "aggregate=y")</f>
        <v>WATER UTILITY IMPS. SEWER IMPS. CURRENT REFUNDING</v>
      </c>
      <c r="J807">
        <f>_xll.BDP("071599BT Muni","CPN")</f>
        <v>2.25</v>
      </c>
      <c r="K807" t="str">
        <f>_xll.BDP("071599BT Muni","MATURITY")</f>
        <v>2/1/2023</v>
      </c>
      <c r="L807">
        <v>115000</v>
      </c>
      <c r="M807">
        <f>_xll.BDP("071599BT Muni","YIELD_ON_ISSUE_DATE")</f>
        <v>1.7000000000000002</v>
      </c>
      <c r="N807">
        <f>_xll.BDP("071599BT Muni","YTW_SPREAD_TO_MATURITY_AT_ISSU")</f>
        <v>42.117565604269089</v>
      </c>
      <c r="O807" t="str">
        <f>_xll.BDP("071599BT Muni","BVAL_MID_YTM")</f>
        <v>#N/A Authorization</v>
      </c>
      <c r="P807" t="str">
        <f>_xll.BDP("071599BT Muni","MUNI_TAX_PROV")</f>
        <v>FED BQ/ST TAX-EXEMPT</v>
      </c>
      <c r="Q807" t="str">
        <f>_xll.BDP("071599BT Muni","MUNI_FED_TAX")</f>
        <v>N</v>
      </c>
      <c r="R807" t="str">
        <f>_xll.BDP("071599BT Muni","MUNI_MSRB_VOLUME")</f>
        <v>#N/A N/A</v>
      </c>
      <c r="S807" t="str">
        <f>_xll.BDP("071599BT Muni","BB_COMPOSITE")</f>
        <v>#N/A N/A</v>
      </c>
      <c r="T807">
        <f>_xll.BDP("071599BT Muni","LQA_LIQUIDITY_SCORE")</f>
        <v>87</v>
      </c>
    </row>
    <row r="808" spans="1:20" x14ac:dyDescent="0.25">
      <c r="A808" t="str">
        <f>_xll.BDP("071599BU Muni","ID_CUSIP")</f>
        <v>071599BU7</v>
      </c>
      <c r="B808" t="s">
        <v>271</v>
      </c>
      <c r="C808" t="str">
        <f>_xll.BDP("071599BU Muni","INSURANCE_STATUS")</f>
        <v>N</v>
      </c>
      <c r="D808" t="str">
        <f>_xll.BDP("071599BU Muni","STATE_CODE")</f>
        <v>MN</v>
      </c>
      <c r="E808" t="str">
        <f>_xll.BDP("071599BU Muni","COUNTY_LOCATION_ISSUER")</f>
        <v>Lake of the Woods, MN</v>
      </c>
      <c r="F808">
        <f>_xll.BDP("071599BU Muni","DUR_ADJ_MID")</f>
        <v>1.4673703507094935</v>
      </c>
      <c r="G808">
        <f>_xll.BDP("071599BU Muni","SPREAD_AT_ISSUANCE_TO_WORST")</f>
        <v>42.010276793984971</v>
      </c>
      <c r="H808" t="str">
        <f>_xll.BDP("071599BU Muni","ISSUE_DT")</f>
        <v>7/13/2017</v>
      </c>
      <c r="I808" t="str">
        <f>_xll.BDS("071599BU Muni","MUNI_PURPOSE_SCHED", "aggregate=y")</f>
        <v>WATER UTILITY IMPS. SEWER IMPS. CURRENT REFUNDING</v>
      </c>
      <c r="J808">
        <f>_xll.BDP("071599BU Muni","CPN")</f>
        <v>2.25</v>
      </c>
      <c r="K808" t="str">
        <f>_xll.BDP("071599BU Muni","MATURITY")</f>
        <v>2/1/2024</v>
      </c>
      <c r="L808">
        <v>125000</v>
      </c>
      <c r="M808">
        <f>_xll.BDP("071599BU Muni","YIELD_ON_ISSUE_DATE")</f>
        <v>1.85</v>
      </c>
      <c r="N808">
        <f>_xll.BDP("071599BU Muni","YTW_SPREAD_TO_MATURITY_AT_ISSU")</f>
        <v>42.010276793984971</v>
      </c>
      <c r="O808" t="str">
        <f>_xll.BDP("071599BU Muni","BVAL_MID_YTM")</f>
        <v>#N/A Authorization</v>
      </c>
      <c r="P808" t="str">
        <f>_xll.BDP("071599BU Muni","MUNI_TAX_PROV")</f>
        <v>FED BQ/ST TAX-EXEMPT</v>
      </c>
      <c r="Q808" t="str">
        <f>_xll.BDP("071599BU Muni","MUNI_FED_TAX")</f>
        <v>N</v>
      </c>
      <c r="R808" t="str">
        <f>_xll.BDP("071599BU Muni","MUNI_MSRB_VOLUME")</f>
        <v>#N/A N/A</v>
      </c>
      <c r="S808" t="str">
        <f>_xll.BDP("071599BU Muni","BB_COMPOSITE")</f>
        <v>#N/A N/A</v>
      </c>
      <c r="T808">
        <f>_xll.BDP("071599BU Muni","LQA_LIQUIDITY_SCORE")</f>
        <v>71</v>
      </c>
    </row>
    <row r="809" spans="1:20" x14ac:dyDescent="0.25">
      <c r="A809" t="str">
        <f>_xll.BDP("36422XDF Muni","ID_CUSIP")</f>
        <v>36422XDF5</v>
      </c>
      <c r="B809" t="s">
        <v>272</v>
      </c>
      <c r="C809" t="str">
        <f>_xll.BDP("36422XDF Muni","INSURANCE_STATUS")</f>
        <v>N</v>
      </c>
      <c r="D809" t="str">
        <f>_xll.BDP("36422XDF Muni","STATE_CODE")</f>
        <v>TX</v>
      </c>
      <c r="E809" t="str">
        <f>_xll.BDP("36422XDF Muni","COUNTY_LOCATION_ISSUER")</f>
        <v>Harris, TX</v>
      </c>
      <c r="F809">
        <f>_xll.BDP("36422XDF Muni","DUR_ADJ_MID")</f>
        <v>8.046078042745991E-2</v>
      </c>
      <c r="G809">
        <f>_xll.BDP("36422XDF Muni","SPREAD_AT_ISSUANCE_TO_WORST")</f>
        <v>113.33185735392588</v>
      </c>
      <c r="H809" t="str">
        <f>_xll.BDP("36422XDF Muni","ISSUE_DT")</f>
        <v>7/1/2017</v>
      </c>
      <c r="I809" t="str">
        <f>_xll.BDS("36422XDF Muni","MUNI_PURPOSE_SCHED", "aggregate=y")</f>
        <v>WATER UTILITY IMPS. SEWER IMPS.</v>
      </c>
      <c r="J809">
        <f>_xll.BDP("36422XDF Muni","CPN")</f>
        <v>3</v>
      </c>
      <c r="K809" t="str">
        <f>_xll.BDP("36422XDF Muni","MATURITY")</f>
        <v>9/1/2022</v>
      </c>
      <c r="L809">
        <v>20000</v>
      </c>
      <c r="M809">
        <f>_xll.BDP("36422XDF Muni","YIELD_ON_ISSUE_DATE")</f>
        <v>2.3000000000000003</v>
      </c>
      <c r="N809">
        <f>_xll.BDP("36422XDF Muni","YTW_SPREAD_TO_MATURITY_AT_ISSU")</f>
        <v>113.33185735392588</v>
      </c>
      <c r="O809" t="str">
        <f>_xll.BDP("36422XDF Muni","BVAL_MID_YTM")</f>
        <v>#N/A Authorization</v>
      </c>
      <c r="P809" t="str">
        <f>_xll.BDP("36422XDF Muni","MUNI_TAX_PROV")</f>
        <v>FED BQ</v>
      </c>
      <c r="Q809" t="str">
        <f>_xll.BDP("36422XDF Muni","MUNI_FED_TAX")</f>
        <v>N</v>
      </c>
      <c r="R809" t="str">
        <f>_xll.BDP("36422XDF Muni","MUNI_MSRB_VOLUME")</f>
        <v>#N/A N/A</v>
      </c>
      <c r="S809" t="str">
        <f>_xll.BDP("36422XDF Muni","BB_COMPOSITE")</f>
        <v>#N/A N/A</v>
      </c>
      <c r="T809">
        <f>_xll.BDP("36422XDF Muni","LQA_LIQUIDITY_SCORE")</f>
        <v>94</v>
      </c>
    </row>
    <row r="810" spans="1:20" x14ac:dyDescent="0.25">
      <c r="A810" t="str">
        <f>_xll.BDP("36422XDG Muni","ID_CUSIP")</f>
        <v>36422XDG3</v>
      </c>
      <c r="B810" t="s">
        <v>272</v>
      </c>
      <c r="C810" t="str">
        <f>_xll.BDP("36422XDG Muni","INSURANCE_STATUS")</f>
        <v>N</v>
      </c>
      <c r="D810" t="str">
        <f>_xll.BDP("36422XDG Muni","STATE_CODE")</f>
        <v>TX</v>
      </c>
      <c r="E810" t="str">
        <f>_xll.BDP("36422XDG Muni","COUNTY_LOCATION_ISSUER")</f>
        <v>Harris, TX</v>
      </c>
      <c r="F810">
        <f>_xll.BDP("36422XDG Muni","DUR_ADJ_MID")</f>
        <v>1.0478688538644696</v>
      </c>
      <c r="G810">
        <f>_xll.BDP("36422XDG Muni","SPREAD_AT_ISSUANCE_TO_WORST")</f>
        <v>113.15434938414555</v>
      </c>
      <c r="H810" t="str">
        <f>_xll.BDP("36422XDG Muni","ISSUE_DT")</f>
        <v>7/1/2017</v>
      </c>
      <c r="I810" t="str">
        <f>_xll.BDS("36422XDG Muni","MUNI_PURPOSE_SCHED", "aggregate=y")</f>
        <v>WATER UTILITY IMPS. SEWER IMPS.</v>
      </c>
      <c r="J810">
        <f>_xll.BDP("36422XDG Muni","CPN")</f>
        <v>3</v>
      </c>
      <c r="K810" t="str">
        <f>_xll.BDP("36422XDG Muni","MATURITY")</f>
        <v>9/1/2023</v>
      </c>
      <c r="L810">
        <v>15000</v>
      </c>
      <c r="M810">
        <f>_xll.BDP("36422XDG Muni","YIELD_ON_ISSUE_DATE")</f>
        <v>2.4500000000000002</v>
      </c>
      <c r="N810">
        <f>_xll.BDP("36422XDG Muni","YTW_SPREAD_TO_MATURITY_AT_ISSU")</f>
        <v>113.15434938414555</v>
      </c>
      <c r="O810" t="str">
        <f>_xll.BDP("36422XDG Muni","BVAL_MID_YTM")</f>
        <v>#N/A Authorization</v>
      </c>
      <c r="P810" t="str">
        <f>_xll.BDP("36422XDG Muni","MUNI_TAX_PROV")</f>
        <v>FED BQ</v>
      </c>
      <c r="Q810" t="str">
        <f>_xll.BDP("36422XDG Muni","MUNI_FED_TAX")</f>
        <v>N</v>
      </c>
      <c r="R810" t="str">
        <f>_xll.BDP("36422XDG Muni","MUNI_MSRB_VOLUME")</f>
        <v>#N/A N/A</v>
      </c>
      <c r="S810" t="str">
        <f>_xll.BDP("36422XDG Muni","BB_COMPOSITE")</f>
        <v>#N/A N/A</v>
      </c>
      <c r="T810">
        <f>_xll.BDP("36422XDG Muni","LQA_LIQUIDITY_SCORE")</f>
        <v>70</v>
      </c>
    </row>
    <row r="811" spans="1:20" x14ac:dyDescent="0.25">
      <c r="A811" t="str">
        <f>_xll.BDP("36422XDH Muni","ID_CUSIP")</f>
        <v>36422XDH1</v>
      </c>
      <c r="B811" t="s">
        <v>272</v>
      </c>
      <c r="C811" t="str">
        <f>_xll.BDP("36422XDH Muni","INSURANCE_STATUS")</f>
        <v>N</v>
      </c>
      <c r="D811" t="str">
        <f>_xll.BDP("36422XDH Muni","STATE_CODE")</f>
        <v>TX</v>
      </c>
      <c r="E811" t="str">
        <f>_xll.BDP("36422XDH Muni","COUNTY_LOCATION_ISSUER")</f>
        <v>Harris, TX</v>
      </c>
      <c r="F811">
        <f>_xll.BDP("36422XDH Muni","DUR_ADJ_MID")</f>
        <v>1.9856048657182324</v>
      </c>
      <c r="G811">
        <f>_xll.BDP("36422XDH Muni","SPREAD_AT_ISSUANCE_TO_WORST")</f>
        <v>112.87720279787312</v>
      </c>
      <c r="H811" t="str">
        <f>_xll.BDP("36422XDH Muni","ISSUE_DT")</f>
        <v>7/1/2017</v>
      </c>
      <c r="I811" t="str">
        <f>_xll.BDS("36422XDH Muni","MUNI_PURPOSE_SCHED", "aggregate=y")</f>
        <v>WATER UTILITY IMPS. SEWER IMPS.</v>
      </c>
      <c r="J811">
        <f>_xll.BDP("36422XDH Muni","CPN")</f>
        <v>3</v>
      </c>
      <c r="K811" t="str">
        <f>_xll.BDP("36422XDH Muni","MATURITY")</f>
        <v>9/1/2024</v>
      </c>
      <c r="L811">
        <v>15000</v>
      </c>
      <c r="M811">
        <f>_xll.BDP("36422XDH Muni","YIELD_ON_ISSUE_DATE")</f>
        <v>2.6</v>
      </c>
      <c r="N811">
        <f>_xll.BDP("36422XDH Muni","YTW_SPREAD_TO_MATURITY_AT_ISSU")</f>
        <v>112.87720279787312</v>
      </c>
      <c r="O811" t="str">
        <f>_xll.BDP("36422XDH Muni","BVAL_MID_YTM")</f>
        <v>#N/A Authorization</v>
      </c>
      <c r="P811" t="str">
        <f>_xll.BDP("36422XDH Muni","MUNI_TAX_PROV")</f>
        <v>FED BQ</v>
      </c>
      <c r="Q811" t="str">
        <f>_xll.BDP("36422XDH Muni","MUNI_FED_TAX")</f>
        <v>N</v>
      </c>
      <c r="R811" t="str">
        <f>_xll.BDP("36422XDH Muni","MUNI_MSRB_VOLUME")</f>
        <v>#N/A N/A</v>
      </c>
      <c r="S811" t="str">
        <f>_xll.BDP("36422XDH Muni","BB_COMPOSITE")</f>
        <v>#N/A N/A</v>
      </c>
      <c r="T811">
        <f>_xll.BDP("36422XDH Muni","LQA_LIQUIDITY_SCORE")</f>
        <v>55</v>
      </c>
    </row>
    <row r="812" spans="1:20" x14ac:dyDescent="0.25">
      <c r="A812" t="str">
        <f>_xll.BDP("36422XDJ Muni","ID_CUSIP")</f>
        <v>36422XDJ7</v>
      </c>
      <c r="B812" t="s">
        <v>272</v>
      </c>
      <c r="C812" t="str">
        <f>_xll.BDP("36422XDJ Muni","INSURANCE_STATUS")</f>
        <v>N</v>
      </c>
      <c r="D812" t="str">
        <f>_xll.BDP("36422XDJ Muni","STATE_CODE")</f>
        <v>TX</v>
      </c>
      <c r="E812" t="str">
        <f>_xll.BDP("36422XDJ Muni","COUNTY_LOCATION_ISSUER")</f>
        <v>Harris, TX</v>
      </c>
      <c r="F812">
        <f>_xll.BDP("36422XDJ Muni","DUR_ADJ_MID")</f>
        <v>2.8957190849825012</v>
      </c>
      <c r="G812">
        <f>_xll.BDP("36422XDJ Muni","SPREAD_AT_ISSUANCE_TO_WORST")</f>
        <v>112.93698037751034</v>
      </c>
      <c r="H812" t="str">
        <f>_xll.BDP("36422XDJ Muni","ISSUE_DT")</f>
        <v>7/1/2017</v>
      </c>
      <c r="I812" t="str">
        <f>_xll.BDS("36422XDJ Muni","MUNI_PURPOSE_SCHED", "aggregate=y")</f>
        <v>WATER UTILITY IMPS. SEWER IMPS.</v>
      </c>
      <c r="J812">
        <f>_xll.BDP("36422XDJ Muni","CPN")</f>
        <v>3</v>
      </c>
      <c r="K812" t="str">
        <f>_xll.BDP("36422XDJ Muni","MATURITY")</f>
        <v>9/1/2025</v>
      </c>
      <c r="L812">
        <v>15000</v>
      </c>
      <c r="M812">
        <f>_xll.BDP("36422XDJ Muni","YIELD_ON_ISSUE_DATE")</f>
        <v>2.75</v>
      </c>
      <c r="N812">
        <f>_xll.BDP("36422XDJ Muni","YTW_SPREAD_TO_MATURITY_AT_ISSU")</f>
        <v>112.93698037751034</v>
      </c>
      <c r="O812" t="str">
        <f>_xll.BDP("36422XDJ Muni","BVAL_MID_YTM")</f>
        <v>#N/A Authorization</v>
      </c>
      <c r="P812" t="str">
        <f>_xll.BDP("36422XDJ Muni","MUNI_TAX_PROV")</f>
        <v>FED BQ</v>
      </c>
      <c r="Q812" t="str">
        <f>_xll.BDP("36422XDJ Muni","MUNI_FED_TAX")</f>
        <v>N</v>
      </c>
      <c r="R812" t="str">
        <f>_xll.BDP("36422XDJ Muni","MUNI_MSRB_VOLUME")</f>
        <v>#N/A N/A</v>
      </c>
      <c r="S812" t="str">
        <f>_xll.BDP("36422XDJ Muni","BB_COMPOSITE")</f>
        <v>#N/A N/A</v>
      </c>
      <c r="T812">
        <f>_xll.BDP("36422XDJ Muni","LQA_LIQUIDITY_SCORE")</f>
        <v>45</v>
      </c>
    </row>
    <row r="813" spans="1:20" x14ac:dyDescent="0.25">
      <c r="A813" t="str">
        <f>_xll.BDP("36422XDK Muni","ID_CUSIP")</f>
        <v>36422XDK4</v>
      </c>
      <c r="B813" t="s">
        <v>272</v>
      </c>
      <c r="C813" t="str">
        <f>_xll.BDP("36422XDK Muni","INSURANCE_STATUS")</f>
        <v>N</v>
      </c>
      <c r="D813" t="str">
        <f>_xll.BDP("36422XDK Muni","STATE_CODE")</f>
        <v>TX</v>
      </c>
      <c r="E813" t="str">
        <f>_xll.BDP("36422XDK Muni","COUNTY_LOCATION_ISSUER")</f>
        <v>Harris, TX</v>
      </c>
      <c r="F813">
        <f>_xll.BDP("36422XDK Muni","DUR_ADJ_MID")</f>
        <v>3.7782983628188487</v>
      </c>
      <c r="G813">
        <f>_xll.BDP("36422XDK Muni","SPREAD_AT_ISSUANCE_TO_WORST")</f>
        <v>114.67150520279947</v>
      </c>
      <c r="H813" t="str">
        <f>_xll.BDP("36422XDK Muni","ISSUE_DT")</f>
        <v>7/1/2017</v>
      </c>
      <c r="I813" t="str">
        <f>_xll.BDS("36422XDK Muni","MUNI_PURPOSE_SCHED", "aggregate=y")</f>
        <v>WATER UTILITY IMPS. SEWER IMPS.</v>
      </c>
      <c r="J813">
        <f>_xll.BDP("36422XDK Muni","CPN")</f>
        <v>3</v>
      </c>
      <c r="K813" t="str">
        <f>_xll.BDP("36422XDK Muni","MATURITY")</f>
        <v>9/1/2026</v>
      </c>
      <c r="L813">
        <v>15000</v>
      </c>
      <c r="M813">
        <f>_xll.BDP("36422XDK Muni","YIELD_ON_ISSUE_DATE")</f>
        <v>2.9000000000000004</v>
      </c>
      <c r="N813">
        <f>_xll.BDP("36422XDK Muni","YTW_SPREAD_TO_MATURITY_AT_ISSU")</f>
        <v>114.67150520279947</v>
      </c>
      <c r="O813" t="str">
        <f>_xll.BDP("36422XDK Muni","BVAL_MID_YTM")</f>
        <v>#N/A Authorization</v>
      </c>
      <c r="P813" t="str">
        <f>_xll.BDP("36422XDK Muni","MUNI_TAX_PROV")</f>
        <v>FED BQ</v>
      </c>
      <c r="Q813" t="str">
        <f>_xll.BDP("36422XDK Muni","MUNI_FED_TAX")</f>
        <v>N</v>
      </c>
      <c r="R813" t="str">
        <f>_xll.BDP("36422XDK Muni","MUNI_MSRB_VOLUME")</f>
        <v>#N/A N/A</v>
      </c>
      <c r="S813" t="str">
        <f>_xll.BDP("36422XDK Muni","BB_COMPOSITE")</f>
        <v>#N/A N/A</v>
      </c>
      <c r="T813">
        <f>_xll.BDP("36422XDK Muni","LQA_LIQUIDITY_SCORE")</f>
        <v>38</v>
      </c>
    </row>
    <row r="814" spans="1:20" x14ac:dyDescent="0.25">
      <c r="A814" t="str">
        <f>_xll.BDP("36422YMU Muni","ID_CUSIP")</f>
        <v>36422YMU0</v>
      </c>
      <c r="B814" t="s">
        <v>273</v>
      </c>
      <c r="C814" t="str">
        <f>_xll.BDP("36422YMU Muni","INSURANCE_STATUS")</f>
        <v>Y</v>
      </c>
      <c r="D814" t="str">
        <f>_xll.BDP("36422YMU Muni","STATE_CODE")</f>
        <v>TX</v>
      </c>
      <c r="E814" t="str">
        <f>_xll.BDP("36422YMU Muni","COUNTY_LOCATION_ISSUER")</f>
        <v>Galveston, TX</v>
      </c>
      <c r="F814">
        <f>_xll.BDP("36422YMU Muni","DUR_ADJ_MID")</f>
        <v>8.0474312174032572E-2</v>
      </c>
      <c r="G814">
        <f>_xll.BDP("36422YMU Muni","SPREAD_AT_ISSUANCE_TO_WORST")</f>
        <v>56.053849315068518</v>
      </c>
      <c r="H814" t="str">
        <f>_xll.BDP("36422YMU Muni","ISSUE_DT")</f>
        <v>12/15/2017</v>
      </c>
      <c r="I814" t="str">
        <f>_xll.BDS("36422YMU Muni","MUNI_PURPOSE_SCHED", "aggregate=y")</f>
        <v>WATER UTILITY IMPS. SEWER IMPS. PUBLIC IMPS.</v>
      </c>
      <c r="J814">
        <f>_xll.BDP("36422YMU Muni","CPN")</f>
        <v>3</v>
      </c>
      <c r="K814" t="str">
        <f>_xll.BDP("36422YMU Muni","MATURITY")</f>
        <v>9/1/2022</v>
      </c>
      <c r="L814">
        <v>100000</v>
      </c>
      <c r="M814">
        <f>_xll.BDP("36422YMU Muni","YIELD_ON_ISSUE_DATE")</f>
        <v>2.2000000000000002</v>
      </c>
      <c r="N814">
        <f>_xll.BDP("36422YMU Muni","YTW_SPREAD_TO_MATURITY_AT_ISSU")</f>
        <v>56.053849315068518</v>
      </c>
      <c r="O814" t="str">
        <f>_xll.BDP("36422YMU Muni","BVAL_MID_YTM")</f>
        <v>#N/A Authorization</v>
      </c>
      <c r="P814" t="str">
        <f>_xll.BDP("36422YMU Muni","MUNI_TAX_PROV")</f>
        <v>FED BQ</v>
      </c>
      <c r="Q814" t="str">
        <f>_xll.BDP("36422YMU Muni","MUNI_FED_TAX")</f>
        <v>N</v>
      </c>
      <c r="R814" t="str">
        <f>_xll.BDP("36422YMU Muni","MUNI_MSRB_VOLUME")</f>
        <v>#N/A N/A</v>
      </c>
      <c r="S814" t="str">
        <f>_xll.BDP("36422YMU Muni","BB_COMPOSITE")</f>
        <v>A+</v>
      </c>
      <c r="T814">
        <f>_xll.BDP("36422YMU Muni","LQA_LIQUIDITY_SCORE")</f>
        <v>99</v>
      </c>
    </row>
    <row r="815" spans="1:20" x14ac:dyDescent="0.25">
      <c r="A815" t="str">
        <f>_xll.BDP("36422YMV Muni","ID_CUSIP")</f>
        <v>36422YMV8</v>
      </c>
      <c r="B815" t="s">
        <v>273</v>
      </c>
      <c r="C815" t="str">
        <f>_xll.BDP("36422YMV Muni","INSURANCE_STATUS")</f>
        <v>Y</v>
      </c>
      <c r="D815" t="str">
        <f>_xll.BDP("36422YMV Muni","STATE_CODE")</f>
        <v>TX</v>
      </c>
      <c r="E815" t="str">
        <f>_xll.BDP("36422YMV Muni","COUNTY_LOCATION_ISSUER")</f>
        <v>Galveston, TX</v>
      </c>
      <c r="F815">
        <f>_xll.BDP("36422YMV Muni","DUR_ADJ_MID")</f>
        <v>1.0489864773367461</v>
      </c>
      <c r="G815">
        <f>_xll.BDP("36422YMV Muni","SPREAD_AT_ISSUANCE_TO_WORST")</f>
        <v>58.639178082191769</v>
      </c>
      <c r="H815" t="str">
        <f>_xll.BDP("36422YMV Muni","ISSUE_DT")</f>
        <v>12/15/2017</v>
      </c>
      <c r="I815" t="str">
        <f>_xll.BDS("36422YMV Muni","MUNI_PURPOSE_SCHED", "aggregate=y")</f>
        <v>WATER UTILITY IMPS. SEWER IMPS. PUBLIC IMPS.</v>
      </c>
      <c r="J815">
        <f>_xll.BDP("36422YMV Muni","CPN")</f>
        <v>3</v>
      </c>
      <c r="K815" t="str">
        <f>_xll.BDP("36422YMV Muni","MATURITY")</f>
        <v>9/1/2023</v>
      </c>
      <c r="L815">
        <v>100000</v>
      </c>
      <c r="M815">
        <f>_xll.BDP("36422YMV Muni","YIELD_ON_ISSUE_DATE")</f>
        <v>2.3000000000000003</v>
      </c>
      <c r="N815">
        <f>_xll.BDP("36422YMV Muni","YTW_SPREAD_TO_MATURITY_AT_ISSU")</f>
        <v>58.639178082191769</v>
      </c>
      <c r="O815" t="str">
        <f>_xll.BDP("36422YMV Muni","BVAL_MID_YTM")</f>
        <v>#N/A Authorization</v>
      </c>
      <c r="P815" t="str">
        <f>_xll.BDP("36422YMV Muni","MUNI_TAX_PROV")</f>
        <v>FED BQ</v>
      </c>
      <c r="Q815" t="str">
        <f>_xll.BDP("36422YMV Muni","MUNI_FED_TAX")</f>
        <v>N</v>
      </c>
      <c r="R815" t="str">
        <f>_xll.BDP("36422YMV Muni","MUNI_MSRB_VOLUME")</f>
        <v>#N/A N/A</v>
      </c>
      <c r="S815" t="str">
        <f>_xll.BDP("36422YMV Muni","BB_COMPOSITE")</f>
        <v>A+</v>
      </c>
      <c r="T815">
        <f>_xll.BDP("36422YMV Muni","LQA_LIQUIDITY_SCORE")</f>
        <v>90</v>
      </c>
    </row>
    <row r="816" spans="1:20" x14ac:dyDescent="0.25">
      <c r="A816" t="str">
        <f>_xll.BDP("36422YMW Muni","ID_CUSIP")</f>
        <v>36422YMW6</v>
      </c>
      <c r="B816" t="s">
        <v>273</v>
      </c>
      <c r="C816" t="str">
        <f>_xll.BDP("36422YMW Muni","INSURANCE_STATUS")</f>
        <v>Y</v>
      </c>
      <c r="D816" t="str">
        <f>_xll.BDP("36422YMW Muni","STATE_CODE")</f>
        <v>TX</v>
      </c>
      <c r="E816" t="str">
        <f>_xll.BDP("36422YMW Muni","COUNTY_LOCATION_ISSUER")</f>
        <v>Galveston, TX</v>
      </c>
      <c r="F816">
        <f>_xll.BDP("36422YMW Muni","DUR_ADJ_MID")</f>
        <v>1.9879801084261959</v>
      </c>
      <c r="G816">
        <f>_xll.BDP("36422YMW Muni","SPREAD_AT_ISSUANCE_TO_WORST")</f>
        <v>60.720082191780818</v>
      </c>
      <c r="H816" t="str">
        <f>_xll.BDP("36422YMW Muni","ISSUE_DT")</f>
        <v>12/15/2017</v>
      </c>
      <c r="I816" t="str">
        <f>_xll.BDS("36422YMW Muni","MUNI_PURPOSE_SCHED", "aggregate=y")</f>
        <v>WATER UTILITY IMPS. SEWER IMPS. PUBLIC IMPS.</v>
      </c>
      <c r="J816">
        <f>_xll.BDP("36422YMW Muni","CPN")</f>
        <v>3</v>
      </c>
      <c r="K816" t="str">
        <f>_xll.BDP("36422YMW Muni","MATURITY")</f>
        <v>9/1/2024</v>
      </c>
      <c r="L816">
        <v>100000</v>
      </c>
      <c r="M816">
        <f>_xll.BDP("36422YMW Muni","YIELD_ON_ISSUE_DATE")</f>
        <v>2.4000000000000004</v>
      </c>
      <c r="N816">
        <f>_xll.BDP("36422YMW Muni","YTW_SPREAD_TO_MATURITY_AT_ISSU")</f>
        <v>60.720082191780818</v>
      </c>
      <c r="O816" t="str">
        <f>_xll.BDP("36422YMW Muni","BVAL_MID_YTM")</f>
        <v>#N/A Authorization</v>
      </c>
      <c r="P816" t="str">
        <f>_xll.BDP("36422YMW Muni","MUNI_TAX_PROV")</f>
        <v>FED BQ</v>
      </c>
      <c r="Q816" t="str">
        <f>_xll.BDP("36422YMW Muni","MUNI_FED_TAX")</f>
        <v>N</v>
      </c>
      <c r="R816" t="str">
        <f>_xll.BDP("36422YMW Muni","MUNI_MSRB_VOLUME")</f>
        <v>#N/A N/A</v>
      </c>
      <c r="S816" t="str">
        <f>_xll.BDP("36422YMW Muni","BB_COMPOSITE")</f>
        <v>A+</v>
      </c>
      <c r="T816">
        <f>_xll.BDP("36422YMW Muni","LQA_LIQUIDITY_SCORE")</f>
        <v>78</v>
      </c>
    </row>
    <row r="817" spans="1:20" x14ac:dyDescent="0.25">
      <c r="A817" t="str">
        <f>_xll.BDP("36423BEH Muni","ID_CUSIP")</f>
        <v>36423BEH7</v>
      </c>
      <c r="B817" t="s">
        <v>274</v>
      </c>
      <c r="C817" t="str">
        <f>_xll.BDP("36423BEH Muni","INSURANCE_STATUS")</f>
        <v>N</v>
      </c>
      <c r="D817" t="str">
        <f>_xll.BDP("36423BEH Muni","STATE_CODE")</f>
        <v>TX</v>
      </c>
      <c r="E817" t="str">
        <f>_xll.BDP("36423BEH Muni","COUNTY_LOCATION_ISSUER")</f>
        <v>Galveston, TX</v>
      </c>
      <c r="F817">
        <f>_xll.BDP("36423BEH Muni","DUR_ADJ_MID")</f>
        <v>8.0455799914296397E-2</v>
      </c>
      <c r="G817">
        <f>_xll.BDP("36423BEH Muni","SPREAD_AT_ISSUANCE_TO_WORST")</f>
        <v>89.216079091325412</v>
      </c>
      <c r="H817" t="str">
        <f>_xll.BDP("36423BEH Muni","ISSUE_DT")</f>
        <v>4/1/2017</v>
      </c>
      <c r="I817" t="str">
        <f>_xll.BDS("36423BEH Muni","MUNI_PURPOSE_SCHED", "aggregate=y")</f>
        <v>WATER UTILITY IMPS. SEWER IMPS. PROPERTY ACQUISITION</v>
      </c>
      <c r="J817">
        <f>_xll.BDP("36423BEH Muni","CPN")</f>
        <v>2.6</v>
      </c>
      <c r="K817" t="str">
        <f>_xll.BDP("36423BEH Muni","MATURITY")</f>
        <v>9/1/2022</v>
      </c>
      <c r="L817">
        <v>115000</v>
      </c>
      <c r="M817">
        <f>_xll.BDP("36423BEH Muni","YIELD_ON_ISSUE_DATE")</f>
        <v>2.6</v>
      </c>
      <c r="N817">
        <f>_xll.BDP("36423BEH Muni","YTW_SPREAD_TO_MATURITY_AT_ISSU")</f>
        <v>89.216079091325412</v>
      </c>
      <c r="O817" t="str">
        <f>_xll.BDP("36423BEH Muni","BVAL_MID_YTM")</f>
        <v>#N/A Authorization</v>
      </c>
      <c r="P817" t="str">
        <f>_xll.BDP("36423BEH Muni","MUNI_TAX_PROV")</f>
        <v>FED BQ</v>
      </c>
      <c r="Q817" t="str">
        <f>_xll.BDP("36423BEH Muni","MUNI_FED_TAX")</f>
        <v>N</v>
      </c>
      <c r="R817" t="str">
        <f>_xll.BDP("36423BEH Muni","MUNI_MSRB_VOLUME")</f>
        <v>#N/A N/A</v>
      </c>
      <c r="S817" t="str">
        <f>_xll.BDP("36423BEH Muni","BB_COMPOSITE")</f>
        <v>#N/A N/A</v>
      </c>
      <c r="T817">
        <f>_xll.BDP("36423BEH Muni","LQA_LIQUIDITY_SCORE")</f>
        <v>99</v>
      </c>
    </row>
    <row r="818" spans="1:20" x14ac:dyDescent="0.25">
      <c r="A818" t="str">
        <f>_xll.BDP("36423BEJ Muni","ID_CUSIP")</f>
        <v>36423BEJ3</v>
      </c>
      <c r="B818" t="s">
        <v>274</v>
      </c>
      <c r="C818" t="str">
        <f>_xll.BDP("36423BEJ Muni","INSURANCE_STATUS")</f>
        <v>N</v>
      </c>
      <c r="D818" t="str">
        <f>_xll.BDP("36423BEJ Muni","STATE_CODE")</f>
        <v>TX</v>
      </c>
      <c r="E818" t="str">
        <f>_xll.BDP("36423BEJ Muni","COUNTY_LOCATION_ISSUER")</f>
        <v>Galveston, TX</v>
      </c>
      <c r="F818">
        <f>_xll.BDP("36423BEJ Muni","DUR_ADJ_MID")</f>
        <v>1.0488371352298673</v>
      </c>
      <c r="G818">
        <f>_xll.BDP("36423BEJ Muni","SPREAD_AT_ISSUANCE_TO_WORST")</f>
        <v>92.550458216026783</v>
      </c>
      <c r="H818" t="str">
        <f>_xll.BDP("36423BEJ Muni","ISSUE_DT")</f>
        <v>4/1/2017</v>
      </c>
      <c r="I818" t="str">
        <f>_xll.BDS("36423BEJ Muni","MUNI_PURPOSE_SCHED", "aggregate=y")</f>
        <v>WATER UTILITY IMPS. SEWER IMPS. PROPERTY ACQUISITION</v>
      </c>
      <c r="J818">
        <f>_xll.BDP("36423BEJ Muni","CPN")</f>
        <v>2.8</v>
      </c>
      <c r="K818" t="str">
        <f>_xll.BDP("36423BEJ Muni","MATURITY")</f>
        <v>9/1/2023</v>
      </c>
      <c r="L818">
        <v>120000</v>
      </c>
      <c r="M818">
        <f>_xll.BDP("36423BEJ Muni","YIELD_ON_ISSUE_DATE")</f>
        <v>2.8000000000000003</v>
      </c>
      <c r="N818">
        <f>_xll.BDP("36423BEJ Muni","YTW_SPREAD_TO_MATURITY_AT_ISSU")</f>
        <v>92.550458216026783</v>
      </c>
      <c r="O818" t="str">
        <f>_xll.BDP("36423BEJ Muni","BVAL_MID_YTM")</f>
        <v>#N/A Authorization</v>
      </c>
      <c r="P818" t="str">
        <f>_xll.BDP("36423BEJ Muni","MUNI_TAX_PROV")</f>
        <v>FED BQ</v>
      </c>
      <c r="Q818" t="str">
        <f>_xll.BDP("36423BEJ Muni","MUNI_FED_TAX")</f>
        <v>N</v>
      </c>
      <c r="R818" t="str">
        <f>_xll.BDP("36423BEJ Muni","MUNI_MSRB_VOLUME")</f>
        <v>#N/A N/A</v>
      </c>
      <c r="S818" t="str">
        <f>_xll.BDP("36423BEJ Muni","BB_COMPOSITE")</f>
        <v>#N/A N/A</v>
      </c>
      <c r="T818">
        <f>_xll.BDP("36423BEJ Muni","LQA_LIQUIDITY_SCORE")</f>
        <v>85</v>
      </c>
    </row>
    <row r="819" spans="1:20" x14ac:dyDescent="0.25">
      <c r="A819" t="str">
        <f>_xll.BDP("36423BEK Muni","ID_CUSIP")</f>
        <v>36423BEK0</v>
      </c>
      <c r="B819" t="s">
        <v>274</v>
      </c>
      <c r="C819" t="str">
        <f>_xll.BDP("36423BEK Muni","INSURANCE_STATUS")</f>
        <v>N</v>
      </c>
      <c r="D819" t="str">
        <f>_xll.BDP("36423BEK Muni","STATE_CODE")</f>
        <v>TX</v>
      </c>
      <c r="E819" t="str">
        <f>_xll.BDP("36423BEK Muni","COUNTY_LOCATION_ISSUER")</f>
        <v>Galveston, TX</v>
      </c>
      <c r="F819">
        <f>_xll.BDP("36423BEK Muni","DUR_ADJ_MID")</f>
        <v>1.9847554800179781</v>
      </c>
      <c r="G819">
        <f>_xll.BDP("36423BEK Muni","SPREAD_AT_ISSUANCE_TO_WORST")</f>
        <v>96.206214376100618</v>
      </c>
      <c r="H819" t="str">
        <f>_xll.BDP("36423BEK Muni","ISSUE_DT")</f>
        <v>4/1/2017</v>
      </c>
      <c r="I819" t="str">
        <f>_xll.BDS("36423BEK Muni","MUNI_PURPOSE_SCHED", "aggregate=y")</f>
        <v>WATER UTILITY IMPS. SEWER IMPS. PROPERTY ACQUISITION</v>
      </c>
      <c r="J819">
        <f>_xll.BDP("36423BEK Muni","CPN")</f>
        <v>3</v>
      </c>
      <c r="K819" t="str">
        <f>_xll.BDP("36423BEK Muni","MATURITY")</f>
        <v>9/1/2024</v>
      </c>
      <c r="L819">
        <v>125000</v>
      </c>
      <c r="M819">
        <f>_xll.BDP("36423BEK Muni","YIELD_ON_ISSUE_DATE")</f>
        <v>3</v>
      </c>
      <c r="N819">
        <f>_xll.BDP("36423BEK Muni","YTW_SPREAD_TO_MATURITY_AT_ISSU")</f>
        <v>96.206214376100618</v>
      </c>
      <c r="O819" t="str">
        <f>_xll.BDP("36423BEK Muni","BVAL_MID_YTM")</f>
        <v>#N/A Authorization</v>
      </c>
      <c r="P819" t="str">
        <f>_xll.BDP("36423BEK Muni","MUNI_TAX_PROV")</f>
        <v>FED BQ</v>
      </c>
      <c r="Q819" t="str">
        <f>_xll.BDP("36423BEK Muni","MUNI_FED_TAX")</f>
        <v>N</v>
      </c>
      <c r="R819" t="str">
        <f>_xll.BDP("36423BEK Muni","MUNI_MSRB_VOLUME")</f>
        <v>#N/A N/A</v>
      </c>
      <c r="S819" t="str">
        <f>_xll.BDP("36423BEK Muni","BB_COMPOSITE")</f>
        <v>#N/A N/A</v>
      </c>
      <c r="T819">
        <f>_xll.BDP("36423BEK Muni","LQA_LIQUIDITY_SCORE")</f>
        <v>72</v>
      </c>
    </row>
    <row r="820" spans="1:20" x14ac:dyDescent="0.25">
      <c r="A820" t="str">
        <f>_xll.BDP("36423BEL Muni","ID_CUSIP")</f>
        <v>36423BEL8</v>
      </c>
      <c r="B820" t="s">
        <v>274</v>
      </c>
      <c r="C820" t="str">
        <f>_xll.BDP("36423BEL Muni","INSURANCE_STATUS")</f>
        <v>N</v>
      </c>
      <c r="D820" t="str">
        <f>_xll.BDP("36423BEL Muni","STATE_CODE")</f>
        <v>TX</v>
      </c>
      <c r="E820" t="str">
        <f>_xll.BDP("36423BEL Muni","COUNTY_LOCATION_ISSUER")</f>
        <v>Galveston, TX</v>
      </c>
      <c r="F820">
        <f>_xll.BDP("36423BEL Muni","DUR_ADJ_MID")</f>
        <v>2.8899550030678562</v>
      </c>
      <c r="G820">
        <f>_xll.BDP("36423BEL Muni","SPREAD_AT_ISSUANCE_TO_WORST")</f>
        <v>101.04557847196047</v>
      </c>
      <c r="H820" t="str">
        <f>_xll.BDP("36423BEL Muni","ISSUE_DT")</f>
        <v>4/1/2017</v>
      </c>
      <c r="I820" t="str">
        <f>_xll.BDS("36423BEL Muni","MUNI_PURPOSE_SCHED", "aggregate=y")</f>
        <v>WATER UTILITY IMPS. SEWER IMPS. PROPERTY ACQUISITION</v>
      </c>
      <c r="J820">
        <f>_xll.BDP("36423BEL Muni","CPN")</f>
        <v>3.1</v>
      </c>
      <c r="K820" t="str">
        <f>_xll.BDP("36423BEL Muni","MATURITY")</f>
        <v>9/1/2025</v>
      </c>
      <c r="L820">
        <v>135000</v>
      </c>
      <c r="M820">
        <f>_xll.BDP("36423BEL Muni","YIELD_ON_ISSUE_DATE")</f>
        <v>3.2</v>
      </c>
      <c r="N820">
        <f>_xll.BDP("36423BEL Muni","YTW_SPREAD_TO_MATURITY_AT_ISSU")</f>
        <v>101.04557847196047</v>
      </c>
      <c r="O820" t="str">
        <f>_xll.BDP("36423BEL Muni","BVAL_MID_YTM")</f>
        <v>#N/A Authorization</v>
      </c>
      <c r="P820" t="str">
        <f>_xll.BDP("36423BEL Muni","MUNI_TAX_PROV")</f>
        <v>FED BQ</v>
      </c>
      <c r="Q820" t="str">
        <f>_xll.BDP("36423BEL Muni","MUNI_FED_TAX")</f>
        <v>N</v>
      </c>
      <c r="R820" t="str">
        <f>_xll.BDP("36423BEL Muni","MUNI_MSRB_VOLUME")</f>
        <v>#N/A N/A</v>
      </c>
      <c r="S820" t="str">
        <f>_xll.BDP("36423BEL Muni","BB_COMPOSITE")</f>
        <v>#N/A N/A</v>
      </c>
      <c r="T820">
        <f>_xll.BDP("36423BEL Muni","LQA_LIQUIDITY_SCORE")</f>
        <v>56</v>
      </c>
    </row>
    <row r="821" spans="1:20" x14ac:dyDescent="0.25">
      <c r="A821" t="str">
        <f>_xll.BDP("364334GT Muni","ID_CUSIP")</f>
        <v>364334GT3</v>
      </c>
      <c r="B821" t="s">
        <v>275</v>
      </c>
      <c r="C821" t="str">
        <f>_xll.BDP("364334GT Muni","INSURANCE_STATUS")</f>
        <v>Y</v>
      </c>
      <c r="D821" t="str">
        <f>_xll.BDP("364334GT Muni","STATE_CODE")</f>
        <v>TX</v>
      </c>
      <c r="E821" t="str">
        <f>_xll.BDP("364334GT Muni","COUNTY_LOCATION_ISSUER")</f>
        <v>Galveston, TX</v>
      </c>
      <c r="F821">
        <f>_xll.BDP("364334GT Muni","DUR_ADJ_MID")</f>
        <v>0.65361252024510774</v>
      </c>
      <c r="G821">
        <f>_xll.BDP("364334GT Muni","SPREAD_AT_ISSUANCE_TO_WORST")</f>
        <v>43.229816438356174</v>
      </c>
      <c r="H821" t="str">
        <f>_xll.BDP("364334GT Muni","ISSUE_DT")</f>
        <v>12/1/2017</v>
      </c>
      <c r="I821" t="str">
        <f>_xll.BDS("364334GT Muni","MUNI_PURPOSE_SCHED", "aggregate=y")</f>
        <v>WATER UTILITY IMPS. SEWER IMPS.</v>
      </c>
      <c r="J821">
        <f>_xll.BDP("364334GT Muni","CPN")</f>
        <v>2</v>
      </c>
      <c r="K821" t="str">
        <f>_xll.BDP("364334GT Muni","MATURITY")</f>
        <v>4/1/2023</v>
      </c>
      <c r="L821">
        <v>45000</v>
      </c>
      <c r="M821">
        <f>_xll.BDP("364334GT Muni","YIELD_ON_ISSUE_DATE")</f>
        <v>2</v>
      </c>
      <c r="N821">
        <f>_xll.BDP("364334GT Muni","YTW_SPREAD_TO_MATURITY_AT_ISSU")</f>
        <v>43.229816438356174</v>
      </c>
      <c r="O821" t="str">
        <f>_xll.BDP("364334GT Muni","BVAL_MID_YTM")</f>
        <v>#N/A Authorization</v>
      </c>
      <c r="P821" t="str">
        <f>_xll.BDP("364334GT Muni","MUNI_TAX_PROV")</f>
        <v>FED BQ</v>
      </c>
      <c r="Q821" t="str">
        <f>_xll.BDP("364334GT Muni","MUNI_FED_TAX")</f>
        <v>N</v>
      </c>
      <c r="R821" t="str">
        <f>_xll.BDP("364334GT Muni","MUNI_MSRB_VOLUME")</f>
        <v>#N/A N/A</v>
      </c>
      <c r="S821" t="str">
        <f>_xll.BDP("364334GT Muni","BB_COMPOSITE")</f>
        <v>#N/A N/A</v>
      </c>
      <c r="T821">
        <f>_xll.BDP("364334GT Muni","LQA_LIQUIDITY_SCORE")</f>
        <v>82</v>
      </c>
    </row>
    <row r="822" spans="1:20" x14ac:dyDescent="0.25">
      <c r="A822" t="str">
        <f>_xll.BDP("364334GU Muni","ID_CUSIP")</f>
        <v>364334GU0</v>
      </c>
      <c r="B822" t="s">
        <v>275</v>
      </c>
      <c r="C822" t="str">
        <f>_xll.BDP("364334GU Muni","INSURANCE_STATUS")</f>
        <v>Y</v>
      </c>
      <c r="D822" t="str">
        <f>_xll.BDP("364334GU Muni","STATE_CODE")</f>
        <v>TX</v>
      </c>
      <c r="E822" t="str">
        <f>_xll.BDP("364334GU Muni","COUNTY_LOCATION_ISSUER")</f>
        <v>Galveston, TX</v>
      </c>
      <c r="F822">
        <f>_xll.BDP("364334GU Muni","DUR_ADJ_MID")</f>
        <v>1.6036167585770702</v>
      </c>
      <c r="G822">
        <f>_xll.BDP("364334GU Muni","SPREAD_AT_ISSUANCE_TO_WORST")</f>
        <v>47.83058904109587</v>
      </c>
      <c r="H822" t="str">
        <f>_xll.BDP("364334GU Muni","ISSUE_DT")</f>
        <v>12/1/2017</v>
      </c>
      <c r="I822" t="str">
        <f>_xll.BDS("364334GU Muni","MUNI_PURPOSE_SCHED", "aggregate=y")</f>
        <v>WATER UTILITY IMPS. SEWER IMPS.</v>
      </c>
      <c r="J822">
        <f>_xll.BDP("364334GU Muni","CPN")</f>
        <v>3</v>
      </c>
      <c r="K822" t="str">
        <f>_xll.BDP("364334GU Muni","MATURITY")</f>
        <v>4/1/2024</v>
      </c>
      <c r="L822">
        <v>50000</v>
      </c>
      <c r="M822">
        <f>_xll.BDP("364334GU Muni","YIELD_ON_ISSUE_DATE")</f>
        <v>2.15</v>
      </c>
      <c r="N822">
        <f>_xll.BDP("364334GU Muni","YTW_SPREAD_TO_MATURITY_AT_ISSU")</f>
        <v>47.83058904109587</v>
      </c>
      <c r="O822" t="str">
        <f>_xll.BDP("364334GU Muni","BVAL_MID_YTM")</f>
        <v>#N/A Authorization</v>
      </c>
      <c r="P822" t="str">
        <f>_xll.BDP("364334GU Muni","MUNI_TAX_PROV")</f>
        <v>FED BQ</v>
      </c>
      <c r="Q822" t="str">
        <f>_xll.BDP("364334GU Muni","MUNI_FED_TAX")</f>
        <v>N</v>
      </c>
      <c r="R822" t="str">
        <f>_xll.BDP("364334GU Muni","MUNI_MSRB_VOLUME")</f>
        <v>#N/A N/A</v>
      </c>
      <c r="S822" t="str">
        <f>_xll.BDP("364334GU Muni","BB_COMPOSITE")</f>
        <v>#N/A N/A</v>
      </c>
      <c r="T822">
        <f>_xll.BDP("364334GU Muni","LQA_LIQUIDITY_SCORE")</f>
        <v>73</v>
      </c>
    </row>
    <row r="823" spans="1:20" x14ac:dyDescent="0.25">
      <c r="A823" t="str">
        <f>_xll.BDP("364478TR Muni","ID_CUSIP")</f>
        <v>364478TR8</v>
      </c>
      <c r="B823" t="s">
        <v>67</v>
      </c>
      <c r="C823" t="str">
        <f>_xll.BDP("364478TR Muni","INSURANCE_STATUS")</f>
        <v>N</v>
      </c>
      <c r="D823" t="str">
        <f>_xll.BDP("364478TR Muni","STATE_CODE")</f>
        <v>TX</v>
      </c>
      <c r="E823" t="str">
        <f>_xll.BDP("364478TR Muni","COUNTY_LOCATION_ISSUER")</f>
        <v>Galveston, TX</v>
      </c>
      <c r="F823">
        <f>_xll.BDP("364478TR Muni","DUR_ADJ_MID")</f>
        <v>0.73262689417443116</v>
      </c>
      <c r="G823">
        <f>_xll.BDP("364478TR Muni","SPREAD_AT_ISSUANCE_TO_WORST")</f>
        <v>40.245833148750343</v>
      </c>
      <c r="H823" t="str">
        <f>_xll.BDP("364478TR Muni","ISSUE_DT")</f>
        <v>2/15/2017</v>
      </c>
      <c r="I823" t="str">
        <f>_xll.BDS("364478TR Muni","MUNI_PURPOSE_SCHED", "aggregate=y")</f>
        <v>WATER UTILITY IMPS. SEWER IMPS.</v>
      </c>
      <c r="J823">
        <f>_xll.BDP("364478TR Muni","CPN")</f>
        <v>4</v>
      </c>
      <c r="K823" t="str">
        <f>_xll.BDP("364478TR Muni","MATURITY")</f>
        <v>5/1/2023</v>
      </c>
      <c r="L823">
        <v>720000</v>
      </c>
      <c r="M823">
        <f>_xll.BDP("364478TR Muni","YIELD_ON_ISSUE_DATE")</f>
        <v>2.27</v>
      </c>
      <c r="N823">
        <f>_xll.BDP("364478TR Muni","YTW_SPREAD_TO_MATURITY_AT_ISSU")</f>
        <v>40.245833148750343</v>
      </c>
      <c r="O823" t="str">
        <f>_xll.BDP("364478TR Muni","BVAL_MID_YTM")</f>
        <v>#N/A Authorization</v>
      </c>
      <c r="P823" t="str">
        <f>_xll.BDP("364478TR Muni","MUNI_TAX_PROV")</f>
        <v>FED TAX-EXEMPT</v>
      </c>
      <c r="Q823" t="str">
        <f>_xll.BDP("364478TR Muni","MUNI_FED_TAX")</f>
        <v>N</v>
      </c>
      <c r="R823">
        <f>_xll.BDP("364478TR Muni","MUNI_MSRB_VOLUME")</f>
        <v>245000</v>
      </c>
      <c r="S823" t="str">
        <f>_xll.BDP("364478TR Muni","BB_COMPOSITE")</f>
        <v>AA-</v>
      </c>
      <c r="T823">
        <f>_xll.BDP("364478TR Muni","LQA_LIQUIDITY_SCORE")</f>
        <v>94</v>
      </c>
    </row>
    <row r="824" spans="1:20" x14ac:dyDescent="0.25">
      <c r="A824" t="str">
        <f>_xll.BDP("364478TS Muni","ID_CUSIP")</f>
        <v>364478TS6</v>
      </c>
      <c r="B824" t="s">
        <v>67</v>
      </c>
      <c r="C824" t="str">
        <f>_xll.BDP("364478TS Muni","INSURANCE_STATUS")</f>
        <v>N</v>
      </c>
      <c r="D824" t="str">
        <f>_xll.BDP("364478TS Muni","STATE_CODE")</f>
        <v>TX</v>
      </c>
      <c r="E824" t="str">
        <f>_xll.BDP("364478TS Muni","COUNTY_LOCATION_ISSUER")</f>
        <v>Galveston, TX</v>
      </c>
      <c r="F824">
        <f>_xll.BDP("364478TS Muni","DUR_ADJ_MID")</f>
        <v>1.6758154540160672</v>
      </c>
      <c r="G824">
        <f>_xll.BDP("364478TS Muni","SPREAD_AT_ISSUANCE_TO_WORST")</f>
        <v>43.69572666939554</v>
      </c>
      <c r="H824" t="str">
        <f>_xll.BDP("364478TS Muni","ISSUE_DT")</f>
        <v>2/15/2017</v>
      </c>
      <c r="I824" t="str">
        <f>_xll.BDS("364478TS Muni","MUNI_PURPOSE_SCHED", "aggregate=y")</f>
        <v>WATER UTILITY IMPS. SEWER IMPS.</v>
      </c>
      <c r="J824">
        <f>_xll.BDP("364478TS Muni","CPN")</f>
        <v>4</v>
      </c>
      <c r="K824" t="str">
        <f>_xll.BDP("364478TS Muni","MATURITY")</f>
        <v>5/1/2024</v>
      </c>
      <c r="L824">
        <v>750000</v>
      </c>
      <c r="M824">
        <f>_xll.BDP("364478TS Muni","YIELD_ON_ISSUE_DATE")</f>
        <v>2.44</v>
      </c>
      <c r="N824">
        <f>_xll.BDP("364478TS Muni","YTW_SPREAD_TO_MATURITY_AT_ISSU")</f>
        <v>43.69572666939554</v>
      </c>
      <c r="O824" t="str">
        <f>_xll.BDP("364478TS Muni","BVAL_MID_YTM")</f>
        <v>#N/A Authorization</v>
      </c>
      <c r="P824" t="str">
        <f>_xll.BDP("364478TS Muni","MUNI_TAX_PROV")</f>
        <v>FED TAX-EXEMPT</v>
      </c>
      <c r="Q824" t="str">
        <f>_xll.BDP("364478TS Muni","MUNI_FED_TAX")</f>
        <v>N</v>
      </c>
      <c r="R824" t="str">
        <f>_xll.BDP("364478TS Muni","MUNI_MSRB_VOLUME")</f>
        <v>#N/A N/A</v>
      </c>
      <c r="S824" t="str">
        <f>_xll.BDP("364478TS Muni","BB_COMPOSITE")</f>
        <v>AA-</v>
      </c>
      <c r="T824">
        <f>_xll.BDP("364478TS Muni","LQA_LIQUIDITY_SCORE")</f>
        <v>85</v>
      </c>
    </row>
    <row r="825" spans="1:20" x14ac:dyDescent="0.25">
      <c r="A825" t="str">
        <f>_xll.BDP("364478TT Muni","ID_CUSIP")</f>
        <v>364478TT4</v>
      </c>
      <c r="B825" t="s">
        <v>67</v>
      </c>
      <c r="C825" t="str">
        <f>_xll.BDP("364478TT Muni","INSURANCE_STATUS")</f>
        <v>N</v>
      </c>
      <c r="D825" t="str">
        <f>_xll.BDP("364478TT Muni","STATE_CODE")</f>
        <v>TX</v>
      </c>
      <c r="E825" t="str">
        <f>_xll.BDP("364478TT Muni","COUNTY_LOCATION_ISSUER")</f>
        <v>Galveston, TX</v>
      </c>
      <c r="F825">
        <f>_xll.BDP("364478TT Muni","DUR_ADJ_MID")</f>
        <v>2.5841594576249345</v>
      </c>
      <c r="G825">
        <f>_xll.BDP("364478TT Muni","SPREAD_AT_ISSUANCE_TO_WORST")</f>
        <v>44.729636414339069</v>
      </c>
      <c r="H825" t="str">
        <f>_xll.BDP("364478TT Muni","ISSUE_DT")</f>
        <v>2/15/2017</v>
      </c>
      <c r="I825" t="str">
        <f>_xll.BDS("364478TT Muni","MUNI_PURPOSE_SCHED", "aggregate=y")</f>
        <v>WATER UTILITY IMPS. SEWER IMPS.</v>
      </c>
      <c r="J825">
        <f>_xll.BDP("364478TT Muni","CPN")</f>
        <v>4</v>
      </c>
      <c r="K825" t="str">
        <f>_xll.BDP("364478TT Muni","MATURITY")</f>
        <v>5/1/2025</v>
      </c>
      <c r="L825">
        <v>780000</v>
      </c>
      <c r="M825">
        <f>_xll.BDP("364478TT Muni","YIELD_ON_ISSUE_DATE")</f>
        <v>2.58</v>
      </c>
      <c r="N825">
        <f>_xll.BDP("364478TT Muni","YTW_SPREAD_TO_MATURITY_AT_ISSU")</f>
        <v>44.729636414339069</v>
      </c>
      <c r="O825" t="str">
        <f>_xll.BDP("364478TT Muni","BVAL_MID_YTM")</f>
        <v>#N/A Authorization</v>
      </c>
      <c r="P825" t="str">
        <f>_xll.BDP("364478TT Muni","MUNI_TAX_PROV")</f>
        <v>FED TAX-EXEMPT</v>
      </c>
      <c r="Q825" t="str">
        <f>_xll.BDP("364478TT Muni","MUNI_FED_TAX")</f>
        <v>N</v>
      </c>
      <c r="R825" t="str">
        <f>_xll.BDP("364478TT Muni","MUNI_MSRB_VOLUME")</f>
        <v>#N/A N/A</v>
      </c>
      <c r="S825" t="str">
        <f>_xll.BDP("364478TT Muni","BB_COMPOSITE")</f>
        <v>AA-</v>
      </c>
      <c r="T825">
        <f>_xll.BDP("364478TT Muni","LQA_LIQUIDITY_SCORE")</f>
        <v>75</v>
      </c>
    </row>
    <row r="826" spans="1:20" x14ac:dyDescent="0.25">
      <c r="A826" t="str">
        <f>_xll.BDP("364478TU Muni","ID_CUSIP")</f>
        <v>364478TU1</v>
      </c>
      <c r="B826" t="s">
        <v>67</v>
      </c>
      <c r="C826" t="str">
        <f>_xll.BDP("364478TU Muni","INSURANCE_STATUS")</f>
        <v>N</v>
      </c>
      <c r="D826" t="str">
        <f>_xll.BDP("364478TU Muni","STATE_CODE")</f>
        <v>TX</v>
      </c>
      <c r="E826" t="str">
        <f>_xll.BDP("364478TU Muni","COUNTY_LOCATION_ISSUER")</f>
        <v>Galveston, TX</v>
      </c>
      <c r="F826">
        <f>_xll.BDP("364478TU Muni","DUR_ADJ_MID")</f>
        <v>3.4596252442410713</v>
      </c>
      <c r="G826">
        <f>_xll.BDP("364478TU Muni","SPREAD_AT_ISSUANCE_TO_WORST")</f>
        <v>46.598742823747585</v>
      </c>
      <c r="H826" t="str">
        <f>_xll.BDP("364478TU Muni","ISSUE_DT")</f>
        <v>2/15/2017</v>
      </c>
      <c r="I826" t="str">
        <f>_xll.BDS("364478TU Muni","MUNI_PURPOSE_SCHED", "aggregate=y")</f>
        <v>WATER UTILITY IMPS. SEWER IMPS.</v>
      </c>
      <c r="J826">
        <f>_xll.BDP("364478TU Muni","CPN")</f>
        <v>4</v>
      </c>
      <c r="K826" t="str">
        <f>_xll.BDP("364478TU Muni","MATURITY")</f>
        <v>5/1/2026</v>
      </c>
      <c r="L826">
        <v>810000</v>
      </c>
      <c r="M826">
        <f>_xll.BDP("364478TU Muni","YIELD_ON_ISSUE_DATE")</f>
        <v>2.71</v>
      </c>
      <c r="N826">
        <f>_xll.BDP("364478TU Muni","YTW_SPREAD_TO_MATURITY_AT_ISSU")</f>
        <v>46.598742823747585</v>
      </c>
      <c r="O826" t="str">
        <f>_xll.BDP("364478TU Muni","BVAL_MID_YTM")</f>
        <v>#N/A Authorization</v>
      </c>
      <c r="P826" t="str">
        <f>_xll.BDP("364478TU Muni","MUNI_TAX_PROV")</f>
        <v>FED TAX-EXEMPT</v>
      </c>
      <c r="Q826" t="str">
        <f>_xll.BDP("364478TU Muni","MUNI_FED_TAX")</f>
        <v>N</v>
      </c>
      <c r="R826" t="str">
        <f>_xll.BDP("364478TU Muni","MUNI_MSRB_VOLUME")</f>
        <v>#N/A N/A</v>
      </c>
      <c r="S826" t="str">
        <f>_xll.BDP("364478TU Muni","BB_COMPOSITE")</f>
        <v>AA-</v>
      </c>
      <c r="T826">
        <f>_xll.BDP("364478TU Muni","LQA_LIQUIDITY_SCORE")</f>
        <v>67</v>
      </c>
    </row>
    <row r="827" spans="1:20" x14ac:dyDescent="0.25">
      <c r="A827" t="str">
        <f>_xll.BDP("365028ZF Muni","ID_CUSIP")</f>
        <v>365028ZF9</v>
      </c>
      <c r="B827" t="s">
        <v>276</v>
      </c>
      <c r="C827" t="str">
        <f>_xll.BDP("365028ZF Muni","INSURANCE_STATUS")</f>
        <v>N</v>
      </c>
      <c r="D827" t="str">
        <f>_xll.BDP("365028ZF Muni","STATE_CODE")</f>
        <v>KS</v>
      </c>
      <c r="E827" t="str">
        <f>_xll.BDP("365028ZF Muni","COUNTY_LOCATION_ISSUER")</f>
        <v>Finney, KS</v>
      </c>
      <c r="F827">
        <f>_xll.BDP("365028ZF Muni","DUR_ADJ_MID")</f>
        <v>0.24655069719138234</v>
      </c>
      <c r="G827">
        <f>_xll.BDP("365028ZF Muni","SPREAD_AT_ISSUANCE_TO_WORST")</f>
        <v>10.435123287671244</v>
      </c>
      <c r="H827" t="str">
        <f>_xll.BDP("365028ZF Muni","ISSUE_DT")</f>
        <v>12/15/2017</v>
      </c>
      <c r="I827" t="str">
        <f>_xll.BDS("365028ZF Muni","MUNI_PURPOSE_SCHED", "aggregate=y")</f>
        <v>PUBLIC FACILITIES WATER UTILITY IMPS.</v>
      </c>
      <c r="J827">
        <f>_xll.BDP("365028ZF Muni","CPN")</f>
        <v>2</v>
      </c>
      <c r="K827" t="str">
        <f>_xll.BDP("365028ZF Muni","MATURITY")</f>
        <v>11/1/2022</v>
      </c>
      <c r="L827">
        <v>225000</v>
      </c>
      <c r="M827">
        <f>_xll.BDP("365028ZF Muni","YIELD_ON_ISSUE_DATE")</f>
        <v>1.8</v>
      </c>
      <c r="N827">
        <f>_xll.BDP("365028ZF Muni","YTW_SPREAD_TO_MATURITY_AT_ISSU")</f>
        <v>10.435123287671244</v>
      </c>
      <c r="O827" t="str">
        <f>_xll.BDP("365028ZF Muni","BVAL_MID_YTM")</f>
        <v>#N/A Authorization</v>
      </c>
      <c r="P827" t="str">
        <f>_xll.BDP("365028ZF Muni","MUNI_TAX_PROV")</f>
        <v>FED BQ/ST TAX-EXEMPT</v>
      </c>
      <c r="Q827" t="str">
        <f>_xll.BDP("365028ZF Muni","MUNI_FED_TAX")</f>
        <v>N</v>
      </c>
      <c r="R827" t="str">
        <f>_xll.BDP("365028ZF Muni","MUNI_MSRB_VOLUME")</f>
        <v>#N/A N/A</v>
      </c>
      <c r="S827" t="str">
        <f>_xll.BDP("365028ZF Muni","BB_COMPOSITE")</f>
        <v>#N/A N/A</v>
      </c>
      <c r="T827">
        <f>_xll.BDP("365028ZF Muni","LQA_LIQUIDITY_SCORE")</f>
        <v>94</v>
      </c>
    </row>
    <row r="828" spans="1:20" x14ac:dyDescent="0.25">
      <c r="A828" t="str">
        <f>_xll.BDP("365028ZG Muni","ID_CUSIP")</f>
        <v>365028ZG7</v>
      </c>
      <c r="B828" t="s">
        <v>276</v>
      </c>
      <c r="C828" t="str">
        <f>_xll.BDP("365028ZG Muni","INSURANCE_STATUS")</f>
        <v>N</v>
      </c>
      <c r="D828" t="str">
        <f>_xll.BDP("365028ZG Muni","STATE_CODE")</f>
        <v>KS</v>
      </c>
      <c r="E828" t="str">
        <f>_xll.BDP("365028ZG Muni","COUNTY_LOCATION_ISSUER")</f>
        <v>Finney, KS</v>
      </c>
      <c r="F828">
        <f>_xll.BDP("365028ZG Muni","DUR_ADJ_MID")</f>
        <v>1.2218558258349912</v>
      </c>
      <c r="G828">
        <f>_xll.BDP("365028ZG Muni","SPREAD_AT_ISSUANCE_TO_WORST")</f>
        <v>12.898452054794518</v>
      </c>
      <c r="H828" t="str">
        <f>_xll.BDP("365028ZG Muni","ISSUE_DT")</f>
        <v>12/15/2017</v>
      </c>
      <c r="I828" t="str">
        <f>_xll.BDS("365028ZG Muni","MUNI_PURPOSE_SCHED", "aggregate=y")</f>
        <v>PUBLIC FACILITIES WATER UTILITY IMPS.</v>
      </c>
      <c r="J828">
        <f>_xll.BDP("365028ZG Muni","CPN")</f>
        <v>2</v>
      </c>
      <c r="K828" t="str">
        <f>_xll.BDP("365028ZG Muni","MATURITY")</f>
        <v>11/1/2023</v>
      </c>
      <c r="L828">
        <v>230000</v>
      </c>
      <c r="M828">
        <f>_xll.BDP("365028ZG Muni","YIELD_ON_ISSUE_DATE")</f>
        <v>1.9000000000000001</v>
      </c>
      <c r="N828">
        <f>_xll.BDP("365028ZG Muni","YTW_SPREAD_TO_MATURITY_AT_ISSU")</f>
        <v>12.898452054794518</v>
      </c>
      <c r="O828" t="str">
        <f>_xll.BDP("365028ZG Muni","BVAL_MID_YTM")</f>
        <v>#N/A Authorization</v>
      </c>
      <c r="P828" t="str">
        <f>_xll.BDP("365028ZG Muni","MUNI_TAX_PROV")</f>
        <v>FED BQ/ST TAX-EXEMPT</v>
      </c>
      <c r="Q828" t="str">
        <f>_xll.BDP("365028ZG Muni","MUNI_FED_TAX")</f>
        <v>N</v>
      </c>
      <c r="R828" t="str">
        <f>_xll.BDP("365028ZG Muni","MUNI_MSRB_VOLUME")</f>
        <v>#N/A N/A</v>
      </c>
      <c r="S828" t="str">
        <f>_xll.BDP("365028ZG Muni","BB_COMPOSITE")</f>
        <v>#N/A N/A</v>
      </c>
      <c r="T828">
        <f>_xll.BDP("365028ZG Muni","LQA_LIQUIDITY_SCORE")</f>
        <v>76</v>
      </c>
    </row>
    <row r="829" spans="1:20" x14ac:dyDescent="0.25">
      <c r="A829" t="str">
        <f>_xll.BDP("365028ZH Muni","ID_CUSIP")</f>
        <v>365028ZH5</v>
      </c>
      <c r="B829" t="s">
        <v>276</v>
      </c>
      <c r="C829" t="str">
        <f>_xll.BDP("365028ZH Muni","INSURANCE_STATUS")</f>
        <v>N</v>
      </c>
      <c r="D829" t="str">
        <f>_xll.BDP("365028ZH Muni","STATE_CODE")</f>
        <v>KS</v>
      </c>
      <c r="E829" t="str">
        <f>_xll.BDP("365028ZH Muni","COUNTY_LOCATION_ISSUER")</f>
        <v>Finney, KS</v>
      </c>
      <c r="F829">
        <f>_xll.BDP("365028ZH Muni","DUR_ADJ_MID")</f>
        <v>2.1771216192220142</v>
      </c>
      <c r="G829">
        <f>_xll.BDP("365028ZH Muni","SPREAD_AT_ISSUANCE_TO_WORST")</f>
        <v>13.952243835616439</v>
      </c>
      <c r="H829" t="str">
        <f>_xll.BDP("365028ZH Muni","ISSUE_DT")</f>
        <v>12/15/2017</v>
      </c>
      <c r="I829" t="str">
        <f>_xll.BDS("365028ZH Muni","MUNI_PURPOSE_SCHED", "aggregate=y")</f>
        <v>PUBLIC FACILITIES WATER UTILITY IMPS.</v>
      </c>
      <c r="J829">
        <f>_xll.BDP("365028ZH Muni","CPN")</f>
        <v>2</v>
      </c>
      <c r="K829" t="str">
        <f>_xll.BDP("365028ZH Muni","MATURITY")</f>
        <v>11/1/2024</v>
      </c>
      <c r="L829">
        <v>235000</v>
      </c>
      <c r="M829">
        <f>_xll.BDP("365028ZH Muni","YIELD_ON_ISSUE_DATE")</f>
        <v>2</v>
      </c>
      <c r="N829">
        <f>_xll.BDP("365028ZH Muni","YTW_SPREAD_TO_MATURITY_AT_ISSU")</f>
        <v>13.952243835616439</v>
      </c>
      <c r="O829" t="str">
        <f>_xll.BDP("365028ZH Muni","BVAL_MID_YTM")</f>
        <v>#N/A Authorization</v>
      </c>
      <c r="P829" t="str">
        <f>_xll.BDP("365028ZH Muni","MUNI_TAX_PROV")</f>
        <v>FED BQ/ST TAX-EXEMPT</v>
      </c>
      <c r="Q829" t="str">
        <f>_xll.BDP("365028ZH Muni","MUNI_FED_TAX")</f>
        <v>N</v>
      </c>
      <c r="R829" t="str">
        <f>_xll.BDP("365028ZH Muni","MUNI_MSRB_VOLUME")</f>
        <v>#N/A N/A</v>
      </c>
      <c r="S829" t="str">
        <f>_xll.BDP("365028ZH Muni","BB_COMPOSITE")</f>
        <v>#N/A N/A</v>
      </c>
      <c r="T829">
        <f>_xll.BDP("365028ZH Muni","LQA_LIQUIDITY_SCORE")</f>
        <v>62</v>
      </c>
    </row>
    <row r="830" spans="1:20" x14ac:dyDescent="0.25">
      <c r="A830" t="str">
        <f>_xll.BDP("303891B7 Muni","ID_CUSIP")</f>
        <v>303891B79</v>
      </c>
      <c r="B830" t="s">
        <v>41</v>
      </c>
      <c r="C830" t="str">
        <f>_xll.BDP("303891B7 Muni","INSURANCE_STATUS")</f>
        <v>N</v>
      </c>
      <c r="D830" t="str">
        <f>_xll.BDP("303891B7 Muni","STATE_CODE")</f>
        <v>VA</v>
      </c>
      <c r="E830" t="str">
        <f>_xll.BDP("303891B7 Muni","COUNTY_LOCATION_ISSUER")</f>
        <v>Fairfax, VA</v>
      </c>
      <c r="F830">
        <f>_xll.BDP("303891B7 Muni","DUR_ADJ_MID")</f>
        <v>4.1513426303433052</v>
      </c>
      <c r="G830">
        <f>_xll.BDP("303891B7 Muni","SPREAD_AT_ISSUANCE_TO_WORST")</f>
        <v>-2.9319589340530694</v>
      </c>
      <c r="H830" t="str">
        <f>_xll.BDP("303891B7 Muni","ISSUE_DT")</f>
        <v>3/1/2017</v>
      </c>
      <c r="I830" t="str">
        <f>_xll.BDS("303891B7 Muni","MUNI_PURPOSE_SCHED", "aggregate=y")</f>
        <v>CURRENT REFUNDING WATER UTILITY IMPS.</v>
      </c>
      <c r="J830">
        <f>_xll.BDP("303891B7 Muni","CPN")</f>
        <v>5</v>
      </c>
      <c r="K830" t="str">
        <f>_xll.BDP("303891B7 Muni","MATURITY")</f>
        <v>4/1/2027</v>
      </c>
      <c r="L830">
        <v>10780000</v>
      </c>
      <c r="M830">
        <f>_xll.BDP("303891B7 Muni","YIELD_ON_ISSUE_DATE")</f>
        <v>2.2600000000000002</v>
      </c>
      <c r="N830">
        <f>_xll.BDP("303891B7 Muni","YTW_SPREAD_TO_MATURITY_AT_ISSU")</f>
        <v>-2.9319589340530694</v>
      </c>
      <c r="O830" t="str">
        <f>_xll.BDP("303891B7 Muni","BVAL_MID_YTM")</f>
        <v>#N/A Authorization</v>
      </c>
      <c r="P830" t="str">
        <f>_xll.BDP("303891B7 Muni","MUNI_TAX_PROV")</f>
        <v>FED &amp; ST TAX-EXEMPT</v>
      </c>
      <c r="Q830" t="str">
        <f>_xll.BDP("303891B7 Muni","MUNI_FED_TAX")</f>
        <v>N</v>
      </c>
      <c r="R830">
        <f>_xll.BDP("303891B7 Muni","MUNI_MSRB_VOLUME")</f>
        <v>85000</v>
      </c>
      <c r="S830" t="str">
        <f>_xll.BDP("303891B7 Muni","BB_COMPOSITE")</f>
        <v>AAA</v>
      </c>
      <c r="T830">
        <f>_xll.BDP("303891B7 Muni","LQA_LIQUIDITY_SCORE")</f>
        <v>71</v>
      </c>
    </row>
    <row r="831" spans="1:20" x14ac:dyDescent="0.25">
      <c r="A831" t="str">
        <f>_xll.BDP("41454TGQ Muni","ID_CUSIP")</f>
        <v>41454TGQ8</v>
      </c>
      <c r="B831" t="s">
        <v>277</v>
      </c>
      <c r="C831" t="str">
        <f>_xll.BDP("41454TGQ Muni","INSURANCE_STATUS")</f>
        <v>Y</v>
      </c>
      <c r="D831" t="str">
        <f>_xll.BDP("41454TGQ Muni","STATE_CODE")</f>
        <v>TX</v>
      </c>
      <c r="E831" t="str">
        <f>_xll.BDP("41454TGQ Muni","COUNTY_LOCATION_ISSUER")</f>
        <v>Harris, TX</v>
      </c>
      <c r="F831">
        <f>_xll.BDP("41454TGQ Muni","DUR_ADJ_MID")</f>
        <v>0.65393852642522987</v>
      </c>
      <c r="G831">
        <f>_xll.BDP("41454TGQ Muni","SPREAD_AT_ISSUANCE_TO_WORST")</f>
        <v>56.798073990058008</v>
      </c>
      <c r="H831" t="str">
        <f>_xll.BDP("41454TGQ Muni","ISSUE_DT")</f>
        <v>7/1/2017</v>
      </c>
      <c r="I831" t="str">
        <f>_xll.BDS("41454TGQ Muni","MUNI_PURPOSE_SCHED", "aggregate=y")</f>
        <v>WATER UTILITY IMPS. SEWER IMPS.</v>
      </c>
      <c r="J831">
        <f>_xll.BDP("41454TGQ Muni","CPN")</f>
        <v>2</v>
      </c>
      <c r="K831" t="str">
        <f>_xll.BDP("41454TGQ Muni","MATURITY")</f>
        <v>4/1/2023</v>
      </c>
      <c r="L831">
        <v>200000</v>
      </c>
      <c r="M831">
        <f>_xll.BDP("41454TGQ Muni","YIELD_ON_ISSUE_DATE")</f>
        <v>1.9000000000000001</v>
      </c>
      <c r="N831">
        <f>_xll.BDP("41454TGQ Muni","YTW_SPREAD_TO_MATURITY_AT_ISSU")</f>
        <v>56.798073990058008</v>
      </c>
      <c r="O831" t="str">
        <f>_xll.BDP("41454TGQ Muni","BVAL_MID_YTM")</f>
        <v>#N/A Authorization</v>
      </c>
      <c r="P831" t="str">
        <f>_xll.BDP("41454TGQ Muni","MUNI_TAX_PROV")</f>
        <v>FED BQ</v>
      </c>
      <c r="Q831" t="str">
        <f>_xll.BDP("41454TGQ Muni","MUNI_FED_TAX")</f>
        <v>N</v>
      </c>
      <c r="R831" t="str">
        <f>_xll.BDP("41454TGQ Muni","MUNI_MSRB_VOLUME")</f>
        <v>#N/A N/A</v>
      </c>
      <c r="S831" t="str">
        <f>_xll.BDP("41454TGQ Muni","BB_COMPOSITE")</f>
        <v>#N/A N/A</v>
      </c>
      <c r="T831">
        <f>_xll.BDP("41454TGQ Muni","LQA_LIQUIDITY_SCORE")</f>
        <v>93</v>
      </c>
    </row>
    <row r="832" spans="1:20" x14ac:dyDescent="0.25">
      <c r="A832" t="str">
        <f>_xll.BDP("41454TGR Muni","ID_CUSIP")</f>
        <v>41454TGR6</v>
      </c>
      <c r="B832" t="s">
        <v>277</v>
      </c>
      <c r="C832" t="str">
        <f>_xll.BDP("41454TGR Muni","INSURANCE_STATUS")</f>
        <v>Y</v>
      </c>
      <c r="D832" t="str">
        <f>_xll.BDP("41454TGR Muni","STATE_CODE")</f>
        <v>TX</v>
      </c>
      <c r="E832" t="str">
        <f>_xll.BDP("41454TGR Muni","COUNTY_LOCATION_ISSUER")</f>
        <v>Harris, TX</v>
      </c>
      <c r="F832">
        <f>_xll.BDP("41454TGR Muni","DUR_ADJ_MID")</f>
        <v>1.6182576050313369</v>
      </c>
      <c r="G832">
        <f>_xll.BDP("41454TGR Muni","SPREAD_AT_ISSUANCE_TO_WORST")</f>
        <v>62.163054036177165</v>
      </c>
      <c r="H832" t="str">
        <f>_xll.BDP("41454TGR Muni","ISSUE_DT")</f>
        <v>7/1/2017</v>
      </c>
      <c r="I832" t="str">
        <f>_xll.BDS("41454TGR Muni","MUNI_PURPOSE_SCHED", "aggregate=y")</f>
        <v>WATER UTILITY IMPS. SEWER IMPS.</v>
      </c>
      <c r="J832">
        <f>_xll.BDP("41454TGR Muni","CPN")</f>
        <v>2</v>
      </c>
      <c r="K832" t="str">
        <f>_xll.BDP("41454TGR Muni","MATURITY")</f>
        <v>4/1/2024</v>
      </c>
      <c r="L832">
        <v>200000</v>
      </c>
      <c r="M832">
        <f>_xll.BDP("41454TGR Muni","YIELD_ON_ISSUE_DATE")</f>
        <v>2.1</v>
      </c>
      <c r="N832">
        <f>_xll.BDP("41454TGR Muni","YTW_SPREAD_TO_MATURITY_AT_ISSU")</f>
        <v>62.163054036177165</v>
      </c>
      <c r="O832" t="str">
        <f>_xll.BDP("41454TGR Muni","BVAL_MID_YTM")</f>
        <v>#N/A Authorization</v>
      </c>
      <c r="P832" t="str">
        <f>_xll.BDP("41454TGR Muni","MUNI_TAX_PROV")</f>
        <v>FED BQ</v>
      </c>
      <c r="Q832" t="str">
        <f>_xll.BDP("41454TGR Muni","MUNI_FED_TAX")</f>
        <v>N</v>
      </c>
      <c r="R832" t="str">
        <f>_xll.BDP("41454TGR Muni","MUNI_MSRB_VOLUME")</f>
        <v>#N/A N/A</v>
      </c>
      <c r="S832" t="str">
        <f>_xll.BDP("41454TGR Muni","BB_COMPOSITE")</f>
        <v>#N/A N/A</v>
      </c>
      <c r="T832">
        <f>_xll.BDP("41454TGR Muni","LQA_LIQUIDITY_SCORE")</f>
        <v>77</v>
      </c>
    </row>
    <row r="833" spans="1:20" x14ac:dyDescent="0.25">
      <c r="A833" t="str">
        <f>_xll.BDP("414641CQ Muni","ID_CUSIP")</f>
        <v>414641CQ1</v>
      </c>
      <c r="B833" t="s">
        <v>278</v>
      </c>
      <c r="C833" t="str">
        <f>_xll.BDP("414641CQ Muni","INSURANCE_STATUS")</f>
        <v>N</v>
      </c>
      <c r="D833" t="str">
        <f>_xll.BDP("414641CQ Muni","STATE_CODE")</f>
        <v>TX</v>
      </c>
      <c r="E833" t="str">
        <f>_xll.BDP("414641CQ Muni","COUNTY_LOCATION_ISSUER")</f>
        <v>Harris, TX</v>
      </c>
      <c r="F833">
        <f>_xll.BDP("414641CQ Muni","DUR_ADJ_MID")</f>
        <v>8.0455782177245402E-2</v>
      </c>
      <c r="G833">
        <f>_xll.BDP("414641CQ Muni","SPREAD_AT_ISSUANCE_TO_WORST")</f>
        <v>102.78999057865646</v>
      </c>
      <c r="H833" t="str">
        <f>_xll.BDP("414641CQ Muni","ISSUE_DT")</f>
        <v>8/1/2017</v>
      </c>
      <c r="I833" t="str">
        <f>_xll.BDS("414641CQ Muni","MUNI_PURPOSE_SCHED", "aggregate=y")</f>
        <v>WATER UTILITY IMPS. SEWER IMPS. PUBLIC IMPS.</v>
      </c>
      <c r="J833">
        <f>_xll.BDP("414641CQ Muni","CPN")</f>
        <v>2.25</v>
      </c>
      <c r="K833" t="str">
        <f>_xll.BDP("414641CQ Muni","MATURITY")</f>
        <v>9/1/2022</v>
      </c>
      <c r="L833">
        <v>60000</v>
      </c>
      <c r="M833">
        <f>_xll.BDP("414641CQ Muni","YIELD_ON_ISSUE_DATE")</f>
        <v>2.25</v>
      </c>
      <c r="N833">
        <f>_xll.BDP("414641CQ Muni","YTW_SPREAD_TO_MATURITY_AT_ISSU")</f>
        <v>102.78999057865646</v>
      </c>
      <c r="O833" t="str">
        <f>_xll.BDP("414641CQ Muni","BVAL_MID_YTM")</f>
        <v>#N/A Authorization</v>
      </c>
      <c r="P833" t="str">
        <f>_xll.BDP("414641CQ Muni","MUNI_TAX_PROV")</f>
        <v>FED BQ</v>
      </c>
      <c r="Q833" t="str">
        <f>_xll.BDP("414641CQ Muni","MUNI_FED_TAX")</f>
        <v>N</v>
      </c>
      <c r="R833" t="str">
        <f>_xll.BDP("414641CQ Muni","MUNI_MSRB_VOLUME")</f>
        <v>#N/A N/A</v>
      </c>
      <c r="S833" t="str">
        <f>_xll.BDP("414641CQ Muni","BB_COMPOSITE")</f>
        <v>#N/A N/A</v>
      </c>
      <c r="T833">
        <f>_xll.BDP("414641CQ Muni","LQA_LIQUIDITY_SCORE")</f>
        <v>99</v>
      </c>
    </row>
    <row r="834" spans="1:20" x14ac:dyDescent="0.25">
      <c r="A834" t="str">
        <f>_xll.BDP("414641CR Muni","ID_CUSIP")</f>
        <v>414641CR9</v>
      </c>
      <c r="B834" t="s">
        <v>278</v>
      </c>
      <c r="C834" t="str">
        <f>_xll.BDP("414641CR Muni","INSURANCE_STATUS")</f>
        <v>N</v>
      </c>
      <c r="D834" t="str">
        <f>_xll.BDP("414641CR Muni","STATE_CODE")</f>
        <v>TX</v>
      </c>
      <c r="E834" t="str">
        <f>_xll.BDP("414641CR Muni","COUNTY_LOCATION_ISSUER")</f>
        <v>Harris, TX</v>
      </c>
      <c r="F834">
        <f>_xll.BDP("414641CR Muni","DUR_ADJ_MID")</f>
        <v>1.050932070145647</v>
      </c>
      <c r="G834">
        <f>_xll.BDP("414641CR Muni","SPREAD_AT_ISSUANCE_TO_WORST")</f>
        <v>112.84032322898834</v>
      </c>
      <c r="H834" t="str">
        <f>_xll.BDP("414641CR Muni","ISSUE_DT")</f>
        <v>8/1/2017</v>
      </c>
      <c r="I834" t="str">
        <f>_xll.BDS("414641CR Muni","MUNI_PURPOSE_SCHED", "aggregate=y")</f>
        <v>WATER UTILITY IMPS. SEWER IMPS. PUBLIC IMPS.</v>
      </c>
      <c r="J834">
        <f>_xll.BDP("414641CR Muni","CPN")</f>
        <v>2.5</v>
      </c>
      <c r="K834" t="str">
        <f>_xll.BDP("414641CR Muni","MATURITY")</f>
        <v>9/1/2023</v>
      </c>
      <c r="L834">
        <v>65000</v>
      </c>
      <c r="M834">
        <f>_xll.BDP("414641CR Muni","YIELD_ON_ISSUE_DATE")</f>
        <v>2.5</v>
      </c>
      <c r="N834">
        <f>_xll.BDP("414641CR Muni","YTW_SPREAD_TO_MATURITY_AT_ISSU")</f>
        <v>112.84032322898834</v>
      </c>
      <c r="O834" t="str">
        <f>_xll.BDP("414641CR Muni","BVAL_MID_YTM")</f>
        <v>#N/A Authorization</v>
      </c>
      <c r="P834" t="str">
        <f>_xll.BDP("414641CR Muni","MUNI_TAX_PROV")</f>
        <v>FED BQ</v>
      </c>
      <c r="Q834" t="str">
        <f>_xll.BDP("414641CR Muni","MUNI_FED_TAX")</f>
        <v>N</v>
      </c>
      <c r="R834" t="str">
        <f>_xll.BDP("414641CR Muni","MUNI_MSRB_VOLUME")</f>
        <v>#N/A N/A</v>
      </c>
      <c r="S834" t="str">
        <f>_xll.BDP("414641CR Muni","BB_COMPOSITE")</f>
        <v>#N/A N/A</v>
      </c>
      <c r="T834">
        <f>_xll.BDP("414641CR Muni","LQA_LIQUIDITY_SCORE")</f>
        <v>80</v>
      </c>
    </row>
    <row r="835" spans="1:20" x14ac:dyDescent="0.25">
      <c r="A835" t="str">
        <f>_xll.BDP("414641CS Muni","ID_CUSIP")</f>
        <v>414641CS7</v>
      </c>
      <c r="B835" t="s">
        <v>278</v>
      </c>
      <c r="C835" t="str">
        <f>_xll.BDP("414641CS Muni","INSURANCE_STATUS")</f>
        <v>N</v>
      </c>
      <c r="D835" t="str">
        <f>_xll.BDP("414641CS Muni","STATE_CODE")</f>
        <v>TX</v>
      </c>
      <c r="E835" t="str">
        <f>_xll.BDP("414641CS Muni","COUNTY_LOCATION_ISSUER")</f>
        <v>Harris, TX</v>
      </c>
      <c r="F835">
        <f>_xll.BDP("414641CS Muni","DUR_ADJ_MID")</f>
        <v>1.9914281683505384</v>
      </c>
      <c r="G835">
        <f>_xll.BDP("414641CS Muni","SPREAD_AT_ISSUANCE_TO_WORST")</f>
        <v>117.70741900774804</v>
      </c>
      <c r="H835" t="str">
        <f>_xll.BDP("414641CS Muni","ISSUE_DT")</f>
        <v>8/1/2017</v>
      </c>
      <c r="I835" t="str">
        <f>_xll.BDS("414641CS Muni","MUNI_PURPOSE_SCHED", "aggregate=y")</f>
        <v>WATER UTILITY IMPS. SEWER IMPS. PUBLIC IMPS.</v>
      </c>
      <c r="J835">
        <f>_xll.BDP("414641CS Muni","CPN")</f>
        <v>2.7</v>
      </c>
      <c r="K835" t="str">
        <f>_xll.BDP("414641CS Muni","MATURITY")</f>
        <v>9/1/2024</v>
      </c>
      <c r="L835">
        <v>65000</v>
      </c>
      <c r="M835">
        <f>_xll.BDP("414641CS Muni","YIELD_ON_ISSUE_DATE")</f>
        <v>2.7</v>
      </c>
      <c r="N835">
        <f>_xll.BDP("414641CS Muni","YTW_SPREAD_TO_MATURITY_AT_ISSU")</f>
        <v>117.70741900774804</v>
      </c>
      <c r="O835" t="str">
        <f>_xll.BDP("414641CS Muni","BVAL_MID_YTM")</f>
        <v>#N/A Authorization</v>
      </c>
      <c r="P835" t="str">
        <f>_xll.BDP("414641CS Muni","MUNI_TAX_PROV")</f>
        <v>FED BQ</v>
      </c>
      <c r="Q835" t="str">
        <f>_xll.BDP("414641CS Muni","MUNI_FED_TAX")</f>
        <v>N</v>
      </c>
      <c r="R835" t="str">
        <f>_xll.BDP("414641CS Muni","MUNI_MSRB_VOLUME")</f>
        <v>#N/A N/A</v>
      </c>
      <c r="S835" t="str">
        <f>_xll.BDP("414641CS Muni","BB_COMPOSITE")</f>
        <v>#N/A N/A</v>
      </c>
      <c r="T835">
        <f>_xll.BDP("414641CS Muni","LQA_LIQUIDITY_SCORE")</f>
        <v>64</v>
      </c>
    </row>
    <row r="836" spans="1:20" x14ac:dyDescent="0.25">
      <c r="A836" t="str">
        <f>_xll.BDP("414641CT Muni","ID_CUSIP")</f>
        <v>414641CT5</v>
      </c>
      <c r="B836" t="s">
        <v>278</v>
      </c>
      <c r="C836" t="str">
        <f>_xll.BDP("414641CT Muni","INSURANCE_STATUS")</f>
        <v>N</v>
      </c>
      <c r="D836" t="str">
        <f>_xll.BDP("414641CT Muni","STATE_CODE")</f>
        <v>TX</v>
      </c>
      <c r="E836" t="str">
        <f>_xll.BDP("414641CT Muni","COUNTY_LOCATION_ISSUER")</f>
        <v>Harris, TX</v>
      </c>
      <c r="F836">
        <f>_xll.BDP("414641CT Muni","DUR_ADJ_MID")</f>
        <v>2.9011005980867379</v>
      </c>
      <c r="G836">
        <f>_xll.BDP("414641CT Muni","SPREAD_AT_ISSUANCE_TO_WORST")</f>
        <v>117.70059414887876</v>
      </c>
      <c r="H836" t="str">
        <f>_xll.BDP("414641CT Muni","ISSUE_DT")</f>
        <v>8/1/2017</v>
      </c>
      <c r="I836" t="str">
        <f>_xll.BDS("414641CT Muni","MUNI_PURPOSE_SCHED", "aggregate=y")</f>
        <v>WATER UTILITY IMPS. SEWER IMPS. PUBLIC IMPS.</v>
      </c>
      <c r="J836">
        <f>_xll.BDP("414641CT Muni","CPN")</f>
        <v>2.85</v>
      </c>
      <c r="K836" t="str">
        <f>_xll.BDP("414641CT Muni","MATURITY")</f>
        <v>9/1/2025</v>
      </c>
      <c r="L836">
        <v>60000</v>
      </c>
      <c r="M836">
        <f>_xll.BDP("414641CT Muni","YIELD_ON_ISSUE_DATE")</f>
        <v>2.85</v>
      </c>
      <c r="N836">
        <f>_xll.BDP("414641CT Muni","YTW_SPREAD_TO_MATURITY_AT_ISSU")</f>
        <v>117.70059414887876</v>
      </c>
      <c r="O836" t="str">
        <f>_xll.BDP("414641CT Muni","BVAL_MID_YTM")</f>
        <v>#N/A Authorization</v>
      </c>
      <c r="P836" t="str">
        <f>_xll.BDP("414641CT Muni","MUNI_TAX_PROV")</f>
        <v>FED BQ</v>
      </c>
      <c r="Q836" t="str">
        <f>_xll.BDP("414641CT Muni","MUNI_FED_TAX")</f>
        <v>N</v>
      </c>
      <c r="R836" t="str">
        <f>_xll.BDP("414641CT Muni","MUNI_MSRB_VOLUME")</f>
        <v>#N/A N/A</v>
      </c>
      <c r="S836" t="str">
        <f>_xll.BDP("414641CT Muni","BB_COMPOSITE")</f>
        <v>#N/A N/A</v>
      </c>
      <c r="T836">
        <f>_xll.BDP("414641CT Muni","LQA_LIQUIDITY_SCORE")</f>
        <v>48</v>
      </c>
    </row>
    <row r="837" spans="1:20" x14ac:dyDescent="0.25">
      <c r="A837" t="str">
        <f>_xll.BDP("414910NC Muni","ID_CUSIP")</f>
        <v>414910NC9</v>
      </c>
      <c r="B837" t="s">
        <v>279</v>
      </c>
      <c r="C837" t="str">
        <f>_xll.BDP("414910NC Muni","INSURANCE_STATUS")</f>
        <v>Y</v>
      </c>
      <c r="D837" t="str">
        <f>_xll.BDP("414910NC Muni","STATE_CODE")</f>
        <v>TX</v>
      </c>
      <c r="E837" t="str">
        <f>_xll.BDP("414910NC Muni","COUNTY_LOCATION_ISSUER")</f>
        <v>Harris, TX</v>
      </c>
      <c r="F837">
        <f>_xll.BDP("414910NC Muni","DUR_ADJ_MID")</f>
        <v>0.16357445304456419</v>
      </c>
      <c r="G837">
        <f>_xll.BDP("414910NC Muni","SPREAD_AT_ISSUANCE_TO_WORST")</f>
        <v>29.486443075120604</v>
      </c>
      <c r="H837" t="str">
        <f>_xll.BDP("414910NC Muni","ISSUE_DT")</f>
        <v>2/1/2017</v>
      </c>
      <c r="I837" t="str">
        <f>_xll.BDS("414910NC Muni","MUNI_PURPOSE_SCHED", "aggregate=y")</f>
        <v>PUBLIC IMPS. WATER UTILITY IMPS.</v>
      </c>
      <c r="J837">
        <f>_xll.BDP("414910NC Muni","CPN")</f>
        <v>2</v>
      </c>
      <c r="K837" t="str">
        <f>_xll.BDP("414910NC Muni","MATURITY")</f>
        <v>10/1/2022</v>
      </c>
      <c r="L837">
        <v>430000</v>
      </c>
      <c r="M837">
        <f>_xll.BDP("414910NC Muni","YIELD_ON_ISSUE_DATE")</f>
        <v>1.97</v>
      </c>
      <c r="N837">
        <f>_xll.BDP("414910NC Muni","YTW_SPREAD_TO_MATURITY_AT_ISSU")</f>
        <v>29.486443075120604</v>
      </c>
      <c r="O837" t="str">
        <f>_xll.BDP("414910NC Muni","BVAL_MID_YTM")</f>
        <v>#N/A Authorization</v>
      </c>
      <c r="P837" t="str">
        <f>_xll.BDP("414910NC Muni","MUNI_TAX_PROV")</f>
        <v>FED TAX-EXEMPT</v>
      </c>
      <c r="Q837" t="str">
        <f>_xll.BDP("414910NC Muni","MUNI_FED_TAX")</f>
        <v>N</v>
      </c>
      <c r="R837" t="str">
        <f>_xll.BDP("414910NC Muni","MUNI_MSRB_VOLUME")</f>
        <v>#N/A N/A</v>
      </c>
      <c r="S837" t="str">
        <f>_xll.BDP("414910NC Muni","BB_COMPOSITE")</f>
        <v>#N/A N/A</v>
      </c>
      <c r="T837">
        <f>_xll.BDP("414910NC Muni","LQA_LIQUIDITY_SCORE")</f>
        <v>99</v>
      </c>
    </row>
    <row r="838" spans="1:20" x14ac:dyDescent="0.25">
      <c r="A838" t="str">
        <f>_xll.BDP("414910ND Muni","ID_CUSIP")</f>
        <v>414910ND7</v>
      </c>
      <c r="B838" t="s">
        <v>279</v>
      </c>
      <c r="C838" t="str">
        <f>_xll.BDP("414910ND Muni","INSURANCE_STATUS")</f>
        <v>Y</v>
      </c>
      <c r="D838" t="str">
        <f>_xll.BDP("414910ND Muni","STATE_CODE")</f>
        <v>TX</v>
      </c>
      <c r="E838" t="str">
        <f>_xll.BDP("414910ND Muni","COUNTY_LOCATION_ISSUER")</f>
        <v>Harris, TX</v>
      </c>
      <c r="F838">
        <f>_xll.BDP("414910ND Muni","DUR_ADJ_MID")</f>
        <v>1.1389263900101758</v>
      </c>
      <c r="G838">
        <f>_xll.BDP("414910ND Muni","SPREAD_AT_ISSUANCE_TO_WORST")</f>
        <v>34.452343387495233</v>
      </c>
      <c r="H838" t="str">
        <f>_xll.BDP("414910ND Muni","ISSUE_DT")</f>
        <v>2/1/2017</v>
      </c>
      <c r="I838" t="str">
        <f>_xll.BDS("414910ND Muni","MUNI_PURPOSE_SCHED", "aggregate=y")</f>
        <v>PUBLIC IMPS. WATER UTILITY IMPS.</v>
      </c>
      <c r="J838">
        <f>_xll.BDP("414910ND Muni","CPN")</f>
        <v>2</v>
      </c>
      <c r="K838" t="str">
        <f>_xll.BDP("414910ND Muni","MATURITY")</f>
        <v>10/1/2023</v>
      </c>
      <c r="L838">
        <v>440000</v>
      </c>
      <c r="M838">
        <f>_xll.BDP("414910ND Muni","YIELD_ON_ISSUE_DATE")</f>
        <v>2.15</v>
      </c>
      <c r="N838">
        <f>_xll.BDP("414910ND Muni","YTW_SPREAD_TO_MATURITY_AT_ISSU")</f>
        <v>34.452343387495233</v>
      </c>
      <c r="O838" t="str">
        <f>_xll.BDP("414910ND Muni","BVAL_MID_YTM")</f>
        <v>#N/A Authorization</v>
      </c>
      <c r="P838" t="str">
        <f>_xll.BDP("414910ND Muni","MUNI_TAX_PROV")</f>
        <v>FED TAX-EXEMPT</v>
      </c>
      <c r="Q838" t="str">
        <f>_xll.BDP("414910ND Muni","MUNI_FED_TAX")</f>
        <v>N</v>
      </c>
      <c r="R838" t="str">
        <f>_xll.BDP("414910ND Muni","MUNI_MSRB_VOLUME")</f>
        <v>#N/A N/A</v>
      </c>
      <c r="S838" t="str">
        <f>_xll.BDP("414910ND Muni","BB_COMPOSITE")</f>
        <v>#N/A N/A</v>
      </c>
      <c r="T838">
        <f>_xll.BDP("414910ND Muni","LQA_LIQUIDITY_SCORE")</f>
        <v>82</v>
      </c>
    </row>
    <row r="839" spans="1:20" x14ac:dyDescent="0.25">
      <c r="A839" t="str">
        <f>_xll.BDP("414910NE Muni","ID_CUSIP")</f>
        <v>414910NE5</v>
      </c>
      <c r="B839" t="s">
        <v>279</v>
      </c>
      <c r="C839" t="str">
        <f>_xll.BDP("414910NE Muni","INSURANCE_STATUS")</f>
        <v>Y</v>
      </c>
      <c r="D839" t="str">
        <f>_xll.BDP("414910NE Muni","STATE_CODE")</f>
        <v>TX</v>
      </c>
      <c r="E839" t="str">
        <f>_xll.BDP("414910NE Muni","COUNTY_LOCATION_ISSUER")</f>
        <v>Harris, TX</v>
      </c>
      <c r="F839">
        <f>_xll.BDP("414910NE Muni","DUR_ADJ_MID")</f>
        <v>2.0713036508545724</v>
      </c>
      <c r="G839">
        <f>_xll.BDP("414910NE Muni","SPREAD_AT_ISSUANCE_TO_WORST")</f>
        <v>40.572025676084934</v>
      </c>
      <c r="H839" t="str">
        <f>_xll.BDP("414910NE Muni","ISSUE_DT")</f>
        <v>2/1/2017</v>
      </c>
      <c r="I839" t="str">
        <f>_xll.BDS("414910NE Muni","MUNI_PURPOSE_SCHED", "aggregate=y")</f>
        <v>PUBLIC IMPS. WATER UTILITY IMPS.</v>
      </c>
      <c r="J839">
        <f>_xll.BDP("414910NE Muni","CPN")</f>
        <v>3</v>
      </c>
      <c r="K839" t="str">
        <f>_xll.BDP("414910NE Muni","MATURITY")</f>
        <v>10/1/2024</v>
      </c>
      <c r="L839">
        <v>460000</v>
      </c>
      <c r="M839">
        <f>_xll.BDP("414910NE Muni","YIELD_ON_ISSUE_DATE")</f>
        <v>2.34</v>
      </c>
      <c r="N839">
        <f>_xll.BDP("414910NE Muni","YTW_SPREAD_TO_MATURITY_AT_ISSU")</f>
        <v>40.572025676084934</v>
      </c>
      <c r="O839" t="str">
        <f>_xll.BDP("414910NE Muni","BVAL_MID_YTM")</f>
        <v>#N/A Authorization</v>
      </c>
      <c r="P839" t="str">
        <f>_xll.BDP("414910NE Muni","MUNI_TAX_PROV")</f>
        <v>FED TAX-EXEMPT</v>
      </c>
      <c r="Q839" t="str">
        <f>_xll.BDP("414910NE Muni","MUNI_FED_TAX")</f>
        <v>N</v>
      </c>
      <c r="R839" t="str">
        <f>_xll.BDP("414910NE Muni","MUNI_MSRB_VOLUME")</f>
        <v>#N/A N/A</v>
      </c>
      <c r="S839" t="str">
        <f>_xll.BDP("414910NE Muni","BB_COMPOSITE")</f>
        <v>#N/A N/A</v>
      </c>
      <c r="T839">
        <f>_xll.BDP("414910NE Muni","LQA_LIQUIDITY_SCORE")</f>
        <v>74</v>
      </c>
    </row>
    <row r="840" spans="1:20" x14ac:dyDescent="0.25">
      <c r="A840" t="str">
        <f>_xll.BDP("414915MF Muni","ID_CUSIP")</f>
        <v>414915MF2</v>
      </c>
      <c r="B840" t="s">
        <v>280</v>
      </c>
      <c r="C840" t="str">
        <f>_xll.BDP("414915MF Muni","INSURANCE_STATUS")</f>
        <v>Y</v>
      </c>
      <c r="D840" t="str">
        <f>_xll.BDP("414915MF Muni","STATE_CODE")</f>
        <v>TX</v>
      </c>
      <c r="E840" t="str">
        <f>_xll.BDP("414915MF Muni","COUNTY_LOCATION_ISSUER")</f>
        <v>Harris, TX</v>
      </c>
      <c r="F840">
        <f>_xll.BDP("414915MF Muni","DUR_ADJ_MID")</f>
        <v>0.16349657822198502</v>
      </c>
      <c r="G840">
        <f>_xll.BDP("414915MF Muni","SPREAD_AT_ISSUANCE_TO_WORST")</f>
        <v>32.468113412707481</v>
      </c>
      <c r="H840" t="str">
        <f>_xll.BDP("414915MF Muni","ISSUE_DT")</f>
        <v>3/1/2017</v>
      </c>
      <c r="I840" t="str">
        <f>_xll.BDS("414915MF Muni","MUNI_PURPOSE_SCHED", "aggregate=y")</f>
        <v>PUBLIC IMPS. WATER UTILITY IMPS. SEWER IMPS.</v>
      </c>
      <c r="J840">
        <f>_xll.BDP("414915MF Muni","CPN")</f>
        <v>3</v>
      </c>
      <c r="K840" t="str">
        <f>_xll.BDP("414915MF Muni","MATURITY")</f>
        <v>10/1/2022</v>
      </c>
      <c r="L840">
        <v>50000</v>
      </c>
      <c r="M840">
        <f>_xll.BDP("414915MF Muni","YIELD_ON_ISSUE_DATE")</f>
        <v>2</v>
      </c>
      <c r="N840">
        <f>_xll.BDP("414915MF Muni","YTW_SPREAD_TO_MATURITY_AT_ISSU")</f>
        <v>32.468113412707481</v>
      </c>
      <c r="O840" t="str">
        <f>_xll.BDP("414915MF Muni","BVAL_MID_YTM")</f>
        <v>#N/A Authorization</v>
      </c>
      <c r="P840" t="str">
        <f>_xll.BDP("414915MF Muni","MUNI_TAX_PROV")</f>
        <v>FED BQ</v>
      </c>
      <c r="Q840" t="str">
        <f>_xll.BDP("414915MF Muni","MUNI_FED_TAX")</f>
        <v>N</v>
      </c>
      <c r="R840" t="str">
        <f>_xll.BDP("414915MF Muni","MUNI_MSRB_VOLUME")</f>
        <v>#N/A N/A</v>
      </c>
      <c r="S840" t="str">
        <f>_xll.BDP("414915MF Muni","BB_COMPOSITE")</f>
        <v>#N/A N/A</v>
      </c>
      <c r="T840">
        <f>_xll.BDP("414915MF Muni","LQA_LIQUIDITY_SCORE")</f>
        <v>84</v>
      </c>
    </row>
    <row r="841" spans="1:20" x14ac:dyDescent="0.25">
      <c r="A841" t="str">
        <f>_xll.BDP("414915MG Muni","ID_CUSIP")</f>
        <v>414915MG0</v>
      </c>
      <c r="B841" t="s">
        <v>280</v>
      </c>
      <c r="C841" t="str">
        <f>_xll.BDP("414915MG Muni","INSURANCE_STATUS")</f>
        <v>Y</v>
      </c>
      <c r="D841" t="str">
        <f>_xll.BDP("414915MG Muni","STATE_CODE")</f>
        <v>TX</v>
      </c>
      <c r="E841" t="str">
        <f>_xll.BDP("414915MG Muni","COUNTY_LOCATION_ISSUER")</f>
        <v>Harris, TX</v>
      </c>
      <c r="F841">
        <f>_xll.BDP("414915MG Muni","DUR_ADJ_MID")</f>
        <v>1.1302320879328109</v>
      </c>
      <c r="G841">
        <f>_xll.BDP("414915MG Muni","SPREAD_AT_ISSUANCE_TO_WORST")</f>
        <v>31.421816305971497</v>
      </c>
      <c r="H841" t="str">
        <f>_xll.BDP("414915MG Muni","ISSUE_DT")</f>
        <v>3/1/2017</v>
      </c>
      <c r="I841" t="str">
        <f>_xll.BDS("414915MG Muni","MUNI_PURPOSE_SCHED", "aggregate=y")</f>
        <v>PUBLIC IMPS. WATER UTILITY IMPS. SEWER IMPS.</v>
      </c>
      <c r="J841">
        <f>_xll.BDP("414915MG Muni","CPN")</f>
        <v>3</v>
      </c>
      <c r="K841" t="str">
        <f>_xll.BDP("414915MG Muni","MATURITY")</f>
        <v>10/1/2023</v>
      </c>
      <c r="L841">
        <v>50000</v>
      </c>
      <c r="M841">
        <f>_xll.BDP("414915MG Muni","YIELD_ON_ISSUE_DATE")</f>
        <v>2.15</v>
      </c>
      <c r="N841">
        <f>_xll.BDP("414915MG Muni","YTW_SPREAD_TO_MATURITY_AT_ISSU")</f>
        <v>31.421816305971497</v>
      </c>
      <c r="O841" t="str">
        <f>_xll.BDP("414915MG Muni","BVAL_MID_YTM")</f>
        <v>#N/A Authorization</v>
      </c>
      <c r="P841" t="str">
        <f>_xll.BDP("414915MG Muni","MUNI_TAX_PROV")</f>
        <v>FED BQ</v>
      </c>
      <c r="Q841" t="str">
        <f>_xll.BDP("414915MG Muni","MUNI_FED_TAX")</f>
        <v>N</v>
      </c>
      <c r="R841" t="str">
        <f>_xll.BDP("414915MG Muni","MUNI_MSRB_VOLUME")</f>
        <v>#N/A N/A</v>
      </c>
      <c r="S841" t="str">
        <f>_xll.BDP("414915MG Muni","BB_COMPOSITE")</f>
        <v>#N/A N/A</v>
      </c>
      <c r="T841">
        <f>_xll.BDP("414915MG Muni","LQA_LIQUIDITY_SCORE")</f>
        <v>72</v>
      </c>
    </row>
    <row r="842" spans="1:20" x14ac:dyDescent="0.25">
      <c r="A842" t="str">
        <f>_xll.BDP("414915MH Muni","ID_CUSIP")</f>
        <v>414915MH8</v>
      </c>
      <c r="B842" t="s">
        <v>280</v>
      </c>
      <c r="C842" t="str">
        <f>_xll.BDP("414915MH Muni","INSURANCE_STATUS")</f>
        <v>Y</v>
      </c>
      <c r="D842" t="str">
        <f>_xll.BDP("414915MH Muni","STATE_CODE")</f>
        <v>TX</v>
      </c>
      <c r="E842" t="str">
        <f>_xll.BDP("414915MH Muni","COUNTY_LOCATION_ISSUER")</f>
        <v>Harris, TX</v>
      </c>
      <c r="F842">
        <f>_xll.BDP("414915MH Muni","DUR_ADJ_MID")</f>
        <v>2.0678724782357469</v>
      </c>
      <c r="G842">
        <f>_xll.BDP("414915MH Muni","SPREAD_AT_ISSUANCE_TO_WORST")</f>
        <v>40.687720035409789</v>
      </c>
      <c r="H842" t="str">
        <f>_xll.BDP("414915MH Muni","ISSUE_DT")</f>
        <v>3/1/2017</v>
      </c>
      <c r="I842" t="str">
        <f>_xll.BDS("414915MH Muni","MUNI_PURPOSE_SCHED", "aggregate=y")</f>
        <v>PUBLIC IMPS. WATER UTILITY IMPS. SEWER IMPS.</v>
      </c>
      <c r="J842">
        <f>_xll.BDP("414915MH Muni","CPN")</f>
        <v>3</v>
      </c>
      <c r="K842" t="str">
        <f>_xll.BDP("414915MH Muni","MATURITY")</f>
        <v>10/1/2024</v>
      </c>
      <c r="L842">
        <v>50000</v>
      </c>
      <c r="M842">
        <f>_xll.BDP("414915MH Muni","YIELD_ON_ISSUE_DATE")</f>
        <v>2.4000000000000004</v>
      </c>
      <c r="N842">
        <f>_xll.BDP("414915MH Muni","YTW_SPREAD_TO_MATURITY_AT_ISSU")</f>
        <v>40.687720035409789</v>
      </c>
      <c r="O842" t="str">
        <f>_xll.BDP("414915MH Muni","BVAL_MID_YTM")</f>
        <v>#N/A Authorization</v>
      </c>
      <c r="P842" t="str">
        <f>_xll.BDP("414915MH Muni","MUNI_TAX_PROV")</f>
        <v>FED BQ</v>
      </c>
      <c r="Q842" t="str">
        <f>_xll.BDP("414915MH Muni","MUNI_FED_TAX")</f>
        <v>N</v>
      </c>
      <c r="R842">
        <f>_xll.BDP("414915MH Muni","MUNI_MSRB_VOLUME")</f>
        <v>100000</v>
      </c>
      <c r="S842" t="str">
        <f>_xll.BDP("414915MH Muni","BB_COMPOSITE")</f>
        <v>#N/A N/A</v>
      </c>
      <c r="T842">
        <f>_xll.BDP("414915MH Muni","LQA_LIQUIDITY_SCORE")</f>
        <v>59</v>
      </c>
    </row>
    <row r="843" spans="1:20" x14ac:dyDescent="0.25">
      <c r="A843" t="str">
        <f>_xll.BDP("414945JC Muni","ID_CUSIP")</f>
        <v>414945JC0</v>
      </c>
      <c r="B843" t="s">
        <v>281</v>
      </c>
      <c r="C843" t="str">
        <f>_xll.BDP("414945JC Muni","INSURANCE_STATUS")</f>
        <v>Y</v>
      </c>
      <c r="D843" t="str">
        <f>_xll.BDP("414945JC Muni","STATE_CODE")</f>
        <v>TX</v>
      </c>
      <c r="E843" t="str">
        <f>_xll.BDP("414945JC Muni","COUNTY_LOCATION_ISSUER")</f>
        <v>Harris, TX</v>
      </c>
      <c r="F843">
        <f>_xll.BDP("414945JC Muni","DUR_ADJ_MID")</f>
        <v>0.65236014096753603</v>
      </c>
      <c r="G843">
        <f>_xll.BDP("414945JC Muni","SPREAD_AT_ISSUANCE_TO_WORST")</f>
        <v>52.652067050824236</v>
      </c>
      <c r="H843" t="str">
        <f>_xll.BDP("414945JC Muni","ISSUE_DT")</f>
        <v>7/1/2017</v>
      </c>
      <c r="I843" t="str">
        <f>_xll.BDS("414945JC Muni","MUNI_PURPOSE_SCHED", "aggregate=y")</f>
        <v>WATER UTILITY IMPS. SEWER IMPS.</v>
      </c>
      <c r="J843">
        <f>_xll.BDP("414945JC Muni","CPN")</f>
        <v>3</v>
      </c>
      <c r="K843" t="str">
        <f>_xll.BDP("414945JC Muni","MATURITY")</f>
        <v>4/1/2023</v>
      </c>
      <c r="L843">
        <v>350000</v>
      </c>
      <c r="M843">
        <f>_xll.BDP("414945JC Muni","YIELD_ON_ISSUE_DATE")</f>
        <v>1.83</v>
      </c>
      <c r="N843">
        <f>_xll.BDP("414945JC Muni","YTW_SPREAD_TO_MATURITY_AT_ISSU")</f>
        <v>52.652067050824236</v>
      </c>
      <c r="O843" t="str">
        <f>_xll.BDP("414945JC Muni","BVAL_MID_YTM")</f>
        <v>#N/A Authorization</v>
      </c>
      <c r="P843" t="str">
        <f>_xll.BDP("414945JC Muni","MUNI_TAX_PROV")</f>
        <v>FED TAX-EXEMPT</v>
      </c>
      <c r="Q843" t="str">
        <f>_xll.BDP("414945JC Muni","MUNI_FED_TAX")</f>
        <v>N</v>
      </c>
      <c r="R843">
        <f>_xll.BDP("414945JC Muni","MUNI_MSRB_VOLUME")</f>
        <v>250000</v>
      </c>
      <c r="S843" t="str">
        <f>_xll.BDP("414945JC Muni","BB_COMPOSITE")</f>
        <v>#N/A N/A</v>
      </c>
      <c r="T843">
        <f>_xll.BDP("414945JC Muni","LQA_LIQUIDITY_SCORE")</f>
        <v>94</v>
      </c>
    </row>
    <row r="844" spans="1:20" x14ac:dyDescent="0.25">
      <c r="A844" t="str">
        <f>_xll.BDP("414945JD Muni","ID_CUSIP")</f>
        <v>414945JD8</v>
      </c>
      <c r="B844" t="s">
        <v>281</v>
      </c>
      <c r="C844" t="str">
        <f>_xll.BDP("414945JD Muni","INSURANCE_STATUS")</f>
        <v>Y</v>
      </c>
      <c r="D844" t="str">
        <f>_xll.BDP("414945JD Muni","STATE_CODE")</f>
        <v>TX</v>
      </c>
      <c r="E844" t="str">
        <f>_xll.BDP("414945JD Muni","COUNTY_LOCATION_ISSUER")</f>
        <v>Harris, TX</v>
      </c>
      <c r="F844">
        <f>_xll.BDP("414945JD Muni","DUR_ADJ_MID")</f>
        <v>1.6064015947479275</v>
      </c>
      <c r="G844">
        <f>_xll.BDP("414945JD Muni","SPREAD_AT_ISSUANCE_TO_WORST")</f>
        <v>54.704202946444603</v>
      </c>
      <c r="H844" t="str">
        <f>_xll.BDP("414945JD Muni","ISSUE_DT")</f>
        <v>7/1/2017</v>
      </c>
      <c r="I844" t="str">
        <f>_xll.BDS("414945JD Muni","MUNI_PURPOSE_SCHED", "aggregate=y")</f>
        <v>WATER UTILITY IMPS. SEWER IMPS.</v>
      </c>
      <c r="J844">
        <f>_xll.BDP("414945JD Muni","CPN")</f>
        <v>3</v>
      </c>
      <c r="K844" t="str">
        <f>_xll.BDP("414945JD Muni","MATURITY")</f>
        <v>4/1/2024</v>
      </c>
      <c r="L844">
        <v>350000</v>
      </c>
      <c r="M844">
        <f>_xll.BDP("414945JD Muni","YIELD_ON_ISSUE_DATE")</f>
        <v>2.0100000000000002</v>
      </c>
      <c r="N844">
        <f>_xll.BDP("414945JD Muni","YTW_SPREAD_TO_MATURITY_AT_ISSU")</f>
        <v>54.704202946444603</v>
      </c>
      <c r="O844" t="str">
        <f>_xll.BDP("414945JD Muni","BVAL_MID_YTM")</f>
        <v>#N/A Authorization</v>
      </c>
      <c r="P844" t="str">
        <f>_xll.BDP("414945JD Muni","MUNI_TAX_PROV")</f>
        <v>FED TAX-EXEMPT</v>
      </c>
      <c r="Q844" t="str">
        <f>_xll.BDP("414945JD Muni","MUNI_FED_TAX")</f>
        <v>N</v>
      </c>
      <c r="R844" t="str">
        <f>_xll.BDP("414945JD Muni","MUNI_MSRB_VOLUME")</f>
        <v>#N/A N/A</v>
      </c>
      <c r="S844" t="str">
        <f>_xll.BDP("414945JD Muni","BB_COMPOSITE")</f>
        <v>#N/A N/A</v>
      </c>
      <c r="T844">
        <f>_xll.BDP("414945JD Muni","LQA_LIQUIDITY_SCORE")</f>
        <v>83</v>
      </c>
    </row>
    <row r="845" spans="1:20" x14ac:dyDescent="0.25">
      <c r="A845" t="str">
        <f>_xll.BDP("414964SC Muni","ID_CUSIP")</f>
        <v>414964SC1</v>
      </c>
      <c r="B845" t="s">
        <v>282</v>
      </c>
      <c r="C845" t="str">
        <f>_xll.BDP("414964SC Muni","INSURANCE_STATUS")</f>
        <v>Y</v>
      </c>
      <c r="D845" t="str">
        <f>_xll.BDP("414964SC Muni","STATE_CODE")</f>
        <v>TX</v>
      </c>
      <c r="E845" t="str">
        <f>_xll.BDP("414964SC Muni","COUNTY_LOCATION_ISSUER")</f>
        <v>Harris, TX</v>
      </c>
      <c r="F845">
        <f>_xll.BDP("414964SC Muni","DUR_ADJ_MID")</f>
        <v>0.56917928822338015</v>
      </c>
      <c r="G845">
        <f>_xll.BDP("414964SC Muni","SPREAD_AT_ISSUANCE_TO_WORST")</f>
        <v>43.522275679109981</v>
      </c>
      <c r="H845" t="str">
        <f>_xll.BDP("414964SC Muni","ISSUE_DT")</f>
        <v>9/1/2017</v>
      </c>
      <c r="I845" t="str">
        <f>_xll.BDS("414964SC Muni","MUNI_PURPOSE_SCHED", "aggregate=y")</f>
        <v>WATER UTILITY IMPS. SEWER IMPS. PUBLIC IMPS.</v>
      </c>
      <c r="J845">
        <f>_xll.BDP("414964SC Muni","CPN")</f>
        <v>3</v>
      </c>
      <c r="K845" t="str">
        <f>_xll.BDP("414964SC Muni","MATURITY")</f>
        <v>3/1/2023</v>
      </c>
      <c r="L845">
        <v>375000</v>
      </c>
      <c r="M845">
        <f>_xll.BDP("414964SC Muni","YIELD_ON_ISSUE_DATE")</f>
        <v>1.6500000000000001</v>
      </c>
      <c r="N845">
        <f>_xll.BDP("414964SC Muni","YTW_SPREAD_TO_MATURITY_AT_ISSU")</f>
        <v>43.522275679109981</v>
      </c>
      <c r="O845" t="str">
        <f>_xll.BDP("414964SC Muni","BVAL_MID_YTM")</f>
        <v>#N/A Authorization</v>
      </c>
      <c r="P845" t="str">
        <f>_xll.BDP("414964SC Muni","MUNI_TAX_PROV")</f>
        <v>FED BQ</v>
      </c>
      <c r="Q845" t="str">
        <f>_xll.BDP("414964SC Muni","MUNI_FED_TAX")</f>
        <v>N</v>
      </c>
      <c r="R845" t="str">
        <f>_xll.BDP("414964SC Muni","MUNI_MSRB_VOLUME")</f>
        <v>#N/A N/A</v>
      </c>
      <c r="S845" t="str">
        <f>_xll.BDP("414964SC Muni","BB_COMPOSITE")</f>
        <v>A+</v>
      </c>
      <c r="T845">
        <f>_xll.BDP("414964SC Muni","LQA_LIQUIDITY_SCORE")</f>
        <v>98</v>
      </c>
    </row>
    <row r="846" spans="1:20" x14ac:dyDescent="0.25">
      <c r="A846" t="str">
        <f>_xll.BDP("414964SD Muni","ID_CUSIP")</f>
        <v>414964SD9</v>
      </c>
      <c r="B846" t="s">
        <v>282</v>
      </c>
      <c r="C846" t="str">
        <f>_xll.BDP("414964SD Muni","INSURANCE_STATUS")</f>
        <v>Y</v>
      </c>
      <c r="D846" t="str">
        <f>_xll.BDP("414964SD Muni","STATE_CODE")</f>
        <v>TX</v>
      </c>
      <c r="E846" t="str">
        <f>_xll.BDP("414964SD Muni","COUNTY_LOCATION_ISSUER")</f>
        <v>Harris, TX</v>
      </c>
      <c r="F846">
        <f>_xll.BDP("414964SD Muni","DUR_ADJ_MID")</f>
        <v>1.5361399511928833</v>
      </c>
      <c r="G846">
        <f>_xll.BDP("414964SD Muni","SPREAD_AT_ISSUANCE_TO_WORST")</f>
        <v>48.57115220683761</v>
      </c>
      <c r="H846" t="str">
        <f>_xll.BDP("414964SD Muni","ISSUE_DT")</f>
        <v>9/1/2017</v>
      </c>
      <c r="I846" t="str">
        <f>_xll.BDS("414964SD Muni","MUNI_PURPOSE_SCHED", "aggregate=y")</f>
        <v>WATER UTILITY IMPS. SEWER IMPS. PUBLIC IMPS.</v>
      </c>
      <c r="J846">
        <f>_xll.BDP("414964SD Muni","CPN")</f>
        <v>2</v>
      </c>
      <c r="K846" t="str">
        <f>_xll.BDP("414964SD Muni","MATURITY")</f>
        <v>3/1/2024</v>
      </c>
      <c r="L846">
        <v>375000</v>
      </c>
      <c r="M846">
        <f>_xll.BDP("414964SD Muni","YIELD_ON_ISSUE_DATE")</f>
        <v>1.85</v>
      </c>
      <c r="N846">
        <f>_xll.BDP("414964SD Muni","YTW_SPREAD_TO_MATURITY_AT_ISSU")</f>
        <v>48.57115220683761</v>
      </c>
      <c r="O846" t="str">
        <f>_xll.BDP("414964SD Muni","BVAL_MID_YTM")</f>
        <v>#N/A Authorization</v>
      </c>
      <c r="P846" t="str">
        <f>_xll.BDP("414964SD Muni","MUNI_TAX_PROV")</f>
        <v>FED BQ</v>
      </c>
      <c r="Q846" t="str">
        <f>_xll.BDP("414964SD Muni","MUNI_FED_TAX")</f>
        <v>N</v>
      </c>
      <c r="R846" t="str">
        <f>_xll.BDP("414964SD Muni","MUNI_MSRB_VOLUME")</f>
        <v>#N/A N/A</v>
      </c>
      <c r="S846" t="str">
        <f>_xll.BDP("414964SD Muni","BB_COMPOSITE")</f>
        <v>A+</v>
      </c>
      <c r="T846">
        <f>_xll.BDP("414964SD Muni","LQA_LIQUIDITY_SCORE")</f>
        <v>78</v>
      </c>
    </row>
    <row r="847" spans="1:20" x14ac:dyDescent="0.25">
      <c r="A847" t="str">
        <f>_xll.BDP("414976FH Muni","ID_CUSIP")</f>
        <v>414976FH8</v>
      </c>
      <c r="B847" t="s">
        <v>283</v>
      </c>
      <c r="C847" t="str">
        <f>_xll.BDP("414976FH Muni","INSURANCE_STATUS")</f>
        <v>Y</v>
      </c>
      <c r="D847" t="str">
        <f>_xll.BDP("414976FH Muni","STATE_CODE")</f>
        <v>TX</v>
      </c>
      <c r="E847" t="str">
        <f>_xll.BDP("414976FH Muni","COUNTY_LOCATION_ISSUER")</f>
        <v>Fort Bend, TX</v>
      </c>
      <c r="F847">
        <f>_xll.BDP("414976FH Muni","DUR_ADJ_MID")</f>
        <v>8.0476386907179912E-2</v>
      </c>
      <c r="G847">
        <f>_xll.BDP("414976FH Muni","SPREAD_AT_ISSUANCE_TO_WORST")</f>
        <v>43.11011414397823</v>
      </c>
      <c r="H847" t="str">
        <f>_xll.BDP("414976FH Muni","ISSUE_DT")</f>
        <v>7/1/2017</v>
      </c>
      <c r="I847" t="str">
        <f>_xll.BDS("414976FH Muni","MUNI_PURPOSE_SCHED", "aggregate=y")</f>
        <v>WATER UTILITY IMPS. SEWER IMPS. PUBLIC IMPS.</v>
      </c>
      <c r="J847">
        <f>_xll.BDP("414976FH Muni","CPN")</f>
        <v>2</v>
      </c>
      <c r="K847" t="str">
        <f>_xll.BDP("414976FH Muni","MATURITY")</f>
        <v>9/1/2022</v>
      </c>
      <c r="L847">
        <v>615000</v>
      </c>
      <c r="M847">
        <f>_xll.BDP("414976FH Muni","YIELD_ON_ISSUE_DATE")</f>
        <v>1.6500000000000001</v>
      </c>
      <c r="N847">
        <f>_xll.BDP("414976FH Muni","YTW_SPREAD_TO_MATURITY_AT_ISSU")</f>
        <v>43.11011414397823</v>
      </c>
      <c r="O847" t="str">
        <f>_xll.BDP("414976FH Muni","BVAL_MID_YTM")</f>
        <v>#N/A Authorization</v>
      </c>
      <c r="P847" t="str">
        <f>_xll.BDP("414976FH Muni","MUNI_TAX_PROV")</f>
        <v>FED BQ</v>
      </c>
      <c r="Q847" t="str">
        <f>_xll.BDP("414976FH Muni","MUNI_FED_TAX")</f>
        <v>N</v>
      </c>
      <c r="R847" t="str">
        <f>_xll.BDP("414976FH Muni","MUNI_MSRB_VOLUME")</f>
        <v>#N/A N/A</v>
      </c>
      <c r="S847" t="str">
        <f>_xll.BDP("414976FH Muni","BB_COMPOSITE")</f>
        <v>#N/A N/A</v>
      </c>
      <c r="T847">
        <f>_xll.BDP("414976FH Muni","LQA_LIQUIDITY_SCORE")</f>
        <v>99</v>
      </c>
    </row>
    <row r="848" spans="1:20" x14ac:dyDescent="0.25">
      <c r="A848" t="str">
        <f>_xll.BDP("414976FJ Muni","ID_CUSIP")</f>
        <v>414976FJ4</v>
      </c>
      <c r="B848" t="s">
        <v>283</v>
      </c>
      <c r="C848" t="str">
        <f>_xll.BDP("414976FJ Muni","INSURANCE_STATUS")</f>
        <v>Y</v>
      </c>
      <c r="D848" t="str">
        <f>_xll.BDP("414976FJ Muni","STATE_CODE")</f>
        <v>TX</v>
      </c>
      <c r="E848" t="str">
        <f>_xll.BDP("414976FJ Muni","COUNTY_LOCATION_ISSUER")</f>
        <v>Fort Bend, TX</v>
      </c>
      <c r="F848">
        <f>_xll.BDP("414976FJ Muni","DUR_ADJ_MID")</f>
        <v>1.0561690113898559</v>
      </c>
      <c r="G848">
        <f>_xll.BDP("414976FJ Muni","SPREAD_AT_ISSUANCE_TO_WORST")</f>
        <v>48.30130088045739</v>
      </c>
      <c r="H848" t="str">
        <f>_xll.BDP("414976FJ Muni","ISSUE_DT")</f>
        <v>7/1/2017</v>
      </c>
      <c r="I848" t="str">
        <f>_xll.BDS("414976FJ Muni","MUNI_PURPOSE_SCHED", "aggregate=y")</f>
        <v>WATER UTILITY IMPS. SEWER IMPS. PUBLIC IMPS.</v>
      </c>
      <c r="J848">
        <f>_xll.BDP("414976FJ Muni","CPN")</f>
        <v>2</v>
      </c>
      <c r="K848" t="str">
        <f>_xll.BDP("414976FJ Muni","MATURITY")</f>
        <v>9/1/2023</v>
      </c>
      <c r="L848">
        <v>610000</v>
      </c>
      <c r="M848">
        <f>_xll.BDP("414976FJ Muni","YIELD_ON_ISSUE_DATE")</f>
        <v>1.85</v>
      </c>
      <c r="N848">
        <f>_xll.BDP("414976FJ Muni","YTW_SPREAD_TO_MATURITY_AT_ISSU")</f>
        <v>48.30130088045739</v>
      </c>
      <c r="O848" t="str">
        <f>_xll.BDP("414976FJ Muni","BVAL_MID_YTM")</f>
        <v>#N/A Authorization</v>
      </c>
      <c r="P848" t="str">
        <f>_xll.BDP("414976FJ Muni","MUNI_TAX_PROV")</f>
        <v>FED BQ</v>
      </c>
      <c r="Q848" t="str">
        <f>_xll.BDP("414976FJ Muni","MUNI_FED_TAX")</f>
        <v>N</v>
      </c>
      <c r="R848">
        <f>_xll.BDP("414976FJ Muni","MUNI_MSRB_VOLUME")</f>
        <v>210000</v>
      </c>
      <c r="S848" t="str">
        <f>_xll.BDP("414976FJ Muni","BB_COMPOSITE")</f>
        <v>#N/A N/A</v>
      </c>
      <c r="T848">
        <f>_xll.BDP("414976FJ Muni","LQA_LIQUIDITY_SCORE")</f>
        <v>85</v>
      </c>
    </row>
    <row r="849" spans="1:20" x14ac:dyDescent="0.25">
      <c r="A849" t="str">
        <f>_xll.BDP("414976FK Muni","ID_CUSIP")</f>
        <v>414976FK1</v>
      </c>
      <c r="B849" t="s">
        <v>283</v>
      </c>
      <c r="C849" t="str">
        <f>_xll.BDP("414976FK Muni","INSURANCE_STATUS")</f>
        <v>Y</v>
      </c>
      <c r="D849" t="str">
        <f>_xll.BDP("414976FK Muni","STATE_CODE")</f>
        <v>TX</v>
      </c>
      <c r="E849" t="str">
        <f>_xll.BDP("414976FK Muni","COUNTY_LOCATION_ISSUER")</f>
        <v>Fort Bend, TX</v>
      </c>
      <c r="F849">
        <f>_xll.BDP("414976FK Muni","DUR_ADJ_MID")</f>
        <v>2.01082366400215</v>
      </c>
      <c r="G849">
        <f>_xll.BDP("414976FK Muni","SPREAD_AT_ISSUANCE_TO_WORST")</f>
        <v>48.293013389831209</v>
      </c>
      <c r="H849" t="str">
        <f>_xll.BDP("414976FK Muni","ISSUE_DT")</f>
        <v>7/1/2017</v>
      </c>
      <c r="I849" t="str">
        <f>_xll.BDS("414976FK Muni","MUNI_PURPOSE_SCHED", "aggregate=y")</f>
        <v>WATER UTILITY IMPS. SEWER IMPS. PUBLIC IMPS.</v>
      </c>
      <c r="J849">
        <f>_xll.BDP("414976FK Muni","CPN")</f>
        <v>2</v>
      </c>
      <c r="K849" t="str">
        <f>_xll.BDP("414976FK Muni","MATURITY")</f>
        <v>9/1/2024</v>
      </c>
      <c r="L849">
        <v>935000</v>
      </c>
      <c r="M849">
        <f>_xll.BDP("414976FK Muni","YIELD_ON_ISSUE_DATE")</f>
        <v>2</v>
      </c>
      <c r="N849">
        <f>_xll.BDP("414976FK Muni","YTW_SPREAD_TO_MATURITY_AT_ISSU")</f>
        <v>48.293013389831209</v>
      </c>
      <c r="O849" t="str">
        <f>_xll.BDP("414976FK Muni","BVAL_MID_YTM")</f>
        <v>#N/A Authorization</v>
      </c>
      <c r="P849" t="str">
        <f>_xll.BDP("414976FK Muni","MUNI_TAX_PROV")</f>
        <v>FED BQ</v>
      </c>
      <c r="Q849" t="str">
        <f>_xll.BDP("414976FK Muni","MUNI_FED_TAX")</f>
        <v>N</v>
      </c>
      <c r="R849" t="str">
        <f>_xll.BDP("414976FK Muni","MUNI_MSRB_VOLUME")</f>
        <v>#N/A N/A</v>
      </c>
      <c r="S849" t="str">
        <f>_xll.BDP("414976FK Muni","BB_COMPOSITE")</f>
        <v>#N/A N/A</v>
      </c>
      <c r="T849">
        <f>_xll.BDP("414976FK Muni","LQA_LIQUIDITY_SCORE")</f>
        <v>71</v>
      </c>
    </row>
    <row r="850" spans="1:20" x14ac:dyDescent="0.25">
      <c r="A850" t="str">
        <f>_xll.BDP("4153606M Muni","ID_CUSIP")</f>
        <v>4153606M3</v>
      </c>
      <c r="B850" t="s">
        <v>284</v>
      </c>
      <c r="C850" t="str">
        <f>_xll.BDP("4153606M Muni","INSURANCE_STATUS")</f>
        <v>N</v>
      </c>
      <c r="D850" t="str">
        <f>_xll.BDP("4153606M Muni","STATE_CODE")</f>
        <v>NY</v>
      </c>
      <c r="E850" t="str">
        <f>_xll.BDP("4153606M Muni","COUNTY_LOCATION_ISSUER")</f>
        <v>Westchester, NY</v>
      </c>
      <c r="F850">
        <f>_xll.BDP("4153606M Muni","DUR_ADJ_MID")</f>
        <v>0.36836474507128397</v>
      </c>
      <c r="G850">
        <f>_xll.BDP("4153606M Muni","SPREAD_AT_ISSUANCE_TO_WORST")</f>
        <v>2.5062488129677929</v>
      </c>
      <c r="H850" t="str">
        <f>_xll.BDP("4153606M Muni","ISSUE_DT")</f>
        <v>1/26/2017</v>
      </c>
      <c r="I850" t="str">
        <f>_xll.BDS("4153606M Muni","MUNI_PURPOSE_SCHED", "aggregate=y")</f>
        <v>PUBLIC IMPS. WATER UTILITY IMPS. REFUNDING NOTES</v>
      </c>
      <c r="J850">
        <f>_xll.BDP("4153606M Muni","CPN")</f>
        <v>3</v>
      </c>
      <c r="K850" t="str">
        <f>_xll.BDP("4153606M Muni","MATURITY")</f>
        <v>12/15/2022</v>
      </c>
      <c r="L850">
        <v>430000</v>
      </c>
      <c r="M850">
        <f>_xll.BDP("4153606M Muni","YIELD_ON_ISSUE_DATE")</f>
        <v>1.7000000000000002</v>
      </c>
      <c r="N850">
        <f>_xll.BDP("4153606M Muni","YTW_SPREAD_TO_MATURITY_AT_ISSU")</f>
        <v>2.5062488129677929</v>
      </c>
      <c r="O850" t="str">
        <f>_xll.BDP("4153606M Muni","BVAL_MID_YTM")</f>
        <v>#N/A Authorization</v>
      </c>
      <c r="P850" t="str">
        <f>_xll.BDP("4153606M Muni","MUNI_TAX_PROV")</f>
        <v>FED &amp; ST TAX-EXEMPT</v>
      </c>
      <c r="Q850" t="str">
        <f>_xll.BDP("4153606M Muni","MUNI_FED_TAX")</f>
        <v>N</v>
      </c>
      <c r="R850" t="str">
        <f>_xll.BDP("4153606M Muni","MUNI_MSRB_VOLUME")</f>
        <v>#N/A N/A</v>
      </c>
      <c r="S850" t="str">
        <f>_xll.BDP("4153606M Muni","BB_COMPOSITE")</f>
        <v>#N/A N/A</v>
      </c>
      <c r="T850">
        <f>_xll.BDP("4153606M Muni","LQA_LIQUIDITY_SCORE")</f>
        <v>55</v>
      </c>
    </row>
    <row r="851" spans="1:20" x14ac:dyDescent="0.25">
      <c r="A851" t="str">
        <f>_xll.BDP("4153606N Muni","ID_CUSIP")</f>
        <v>4153606N1</v>
      </c>
      <c r="B851" t="s">
        <v>284</v>
      </c>
      <c r="C851" t="str">
        <f>_xll.BDP("4153606N Muni","INSURANCE_STATUS")</f>
        <v>N</v>
      </c>
      <c r="D851" t="str">
        <f>_xll.BDP("4153606N Muni","STATE_CODE")</f>
        <v>NY</v>
      </c>
      <c r="E851" t="str">
        <f>_xll.BDP("4153606N Muni","COUNTY_LOCATION_ISSUER")</f>
        <v>Westchester, NY</v>
      </c>
      <c r="F851">
        <f>_xll.BDP("4153606N Muni","DUR_ADJ_MID")</f>
        <v>1.3384279027117325</v>
      </c>
      <c r="G851">
        <f>_xll.BDP("4153606N Muni","SPREAD_AT_ISSUANCE_TO_WORST")</f>
        <v>4.5928869978526299</v>
      </c>
      <c r="H851" t="str">
        <f>_xll.BDP("4153606N Muni","ISSUE_DT")</f>
        <v>1/26/2017</v>
      </c>
      <c r="I851" t="str">
        <f>_xll.BDS("4153606N Muni","MUNI_PURPOSE_SCHED", "aggregate=y")</f>
        <v>PUBLIC IMPS. WATER UTILITY IMPS. REFUNDING NOTES</v>
      </c>
      <c r="J851">
        <f>_xll.BDP("4153606N Muni","CPN")</f>
        <v>3</v>
      </c>
      <c r="K851" t="str">
        <f>_xll.BDP("4153606N Muni","MATURITY")</f>
        <v>12/15/2023</v>
      </c>
      <c r="L851">
        <v>440000</v>
      </c>
      <c r="M851">
        <f>_xll.BDP("4153606N Muni","YIELD_ON_ISSUE_DATE")</f>
        <v>1.85</v>
      </c>
      <c r="N851">
        <f>_xll.BDP("4153606N Muni","YTW_SPREAD_TO_MATURITY_AT_ISSU")</f>
        <v>4.5928869978526299</v>
      </c>
      <c r="O851" t="str">
        <f>_xll.BDP("4153606N Muni","BVAL_MID_YTM")</f>
        <v>#N/A Authorization</v>
      </c>
      <c r="P851" t="str">
        <f>_xll.BDP("4153606N Muni","MUNI_TAX_PROV")</f>
        <v>FED &amp; ST TAX-EXEMPT</v>
      </c>
      <c r="Q851" t="str">
        <f>_xll.BDP("4153606N Muni","MUNI_FED_TAX")</f>
        <v>N</v>
      </c>
      <c r="R851">
        <f>_xll.BDP("4153606N Muni","MUNI_MSRB_VOLUME")</f>
        <v>50000</v>
      </c>
      <c r="S851" t="str">
        <f>_xll.BDP("4153606N Muni","BB_COMPOSITE")</f>
        <v>#N/A N/A</v>
      </c>
      <c r="T851">
        <f>_xll.BDP("4153606N Muni","LQA_LIQUIDITY_SCORE")</f>
        <v>79</v>
      </c>
    </row>
    <row r="852" spans="1:20" x14ac:dyDescent="0.25">
      <c r="A852" t="str">
        <f>_xll.BDP("4153606P Muni","ID_CUSIP")</f>
        <v>4153606P6</v>
      </c>
      <c r="B852" t="s">
        <v>284</v>
      </c>
      <c r="C852" t="str">
        <f>_xll.BDP("4153606P Muni","INSURANCE_STATUS")</f>
        <v>N</v>
      </c>
      <c r="D852" t="str">
        <f>_xll.BDP("4153606P Muni","STATE_CODE")</f>
        <v>NY</v>
      </c>
      <c r="E852" t="str">
        <f>_xll.BDP("4153606P Muni","COUNTY_LOCATION_ISSUER")</f>
        <v>Westchester, NY</v>
      </c>
      <c r="F852">
        <f>_xll.BDP("4153606P Muni","DUR_ADJ_MID")</f>
        <v>2.2803563122059098</v>
      </c>
      <c r="G852">
        <f>_xll.BDP("4153606P Muni","SPREAD_AT_ISSUANCE_TO_WORST")</f>
        <v>6.6127441610217996</v>
      </c>
      <c r="H852" t="str">
        <f>_xll.BDP("4153606P Muni","ISSUE_DT")</f>
        <v>1/26/2017</v>
      </c>
      <c r="I852" t="str">
        <f>_xll.BDS("4153606P Muni","MUNI_PURPOSE_SCHED", "aggregate=y")</f>
        <v>PUBLIC IMPS. WATER UTILITY IMPS. REFUNDING NOTES</v>
      </c>
      <c r="J852">
        <f>_xll.BDP("4153606P Muni","CPN")</f>
        <v>3</v>
      </c>
      <c r="K852" t="str">
        <f>_xll.BDP("4153606P Muni","MATURITY")</f>
        <v>12/15/2024</v>
      </c>
      <c r="L852">
        <v>450000</v>
      </c>
      <c r="M852">
        <f>_xll.BDP("4153606P Muni","YIELD_ON_ISSUE_DATE")</f>
        <v>2</v>
      </c>
      <c r="N852">
        <f>_xll.BDP("4153606P Muni","YTW_SPREAD_TO_MATURITY_AT_ISSU")</f>
        <v>6.6127441610217996</v>
      </c>
      <c r="O852" t="str">
        <f>_xll.BDP("4153606P Muni","BVAL_MID_YTM")</f>
        <v>#N/A Authorization</v>
      </c>
      <c r="P852" t="str">
        <f>_xll.BDP("4153606P Muni","MUNI_TAX_PROV")</f>
        <v>FED &amp; ST TAX-EXEMPT</v>
      </c>
      <c r="Q852" t="str">
        <f>_xll.BDP("4153606P Muni","MUNI_FED_TAX")</f>
        <v>N</v>
      </c>
      <c r="R852" t="str">
        <f>_xll.BDP("4153606P Muni","MUNI_MSRB_VOLUME")</f>
        <v>#N/A N/A</v>
      </c>
      <c r="S852" t="str">
        <f>_xll.BDP("4153606P Muni","BB_COMPOSITE")</f>
        <v>#N/A N/A</v>
      </c>
      <c r="T852">
        <f>_xll.BDP("4153606P Muni","LQA_LIQUIDITY_SCORE")</f>
        <v>73</v>
      </c>
    </row>
    <row r="853" spans="1:20" x14ac:dyDescent="0.25">
      <c r="A853" t="str">
        <f>_xll.BDP("4437262K Muni","ID_CUSIP")</f>
        <v>4437262K9</v>
      </c>
      <c r="B853" t="s">
        <v>285</v>
      </c>
      <c r="C853" t="str">
        <f>_xll.BDP("4437262K Muni","INSURANCE_STATUS")</f>
        <v>N</v>
      </c>
      <c r="D853" t="str">
        <f>_xll.BDP("4437262K Muni","STATE_CODE")</f>
        <v>NJ</v>
      </c>
      <c r="E853" t="str">
        <f>_xll.BDP("4437262K Muni","COUNTY_LOCATION_ISSUER")</f>
        <v>Hudson, NJ</v>
      </c>
      <c r="F853">
        <f>_xll.BDP("4437262K Muni","DUR_ADJ_MID")</f>
        <v>0.89502910633948285</v>
      </c>
      <c r="G853">
        <f>_xll.BDP("4437262K Muni","SPREAD_AT_ISSUANCE_TO_WORST")</f>
        <v>9.8684222969718682</v>
      </c>
      <c r="H853" t="str">
        <f>_xll.BDP("4437262K Muni","ISSUE_DT")</f>
        <v>7/7/2017</v>
      </c>
      <c r="I853" t="str">
        <f>_xll.BDS("4437262K Muni","MUNI_PURPOSE_SCHED", "aggregate=y")</f>
        <v>UNIV. &amp; COLLEGE IMPS. WATER UTILITY IMPS.</v>
      </c>
      <c r="J853">
        <f>_xll.BDP("4437262K Muni","CPN")</f>
        <v>5</v>
      </c>
      <c r="K853" t="str">
        <f>_xll.BDP("4437262K Muni","MATURITY")</f>
        <v>7/1/2023</v>
      </c>
      <c r="L853">
        <v>195000</v>
      </c>
      <c r="M853">
        <f>_xll.BDP("4437262K Muni","YIELD_ON_ISSUE_DATE")</f>
        <v>1.45</v>
      </c>
      <c r="N853">
        <f>_xll.BDP("4437262K Muni","YTW_SPREAD_TO_MATURITY_AT_ISSU")</f>
        <v>9.8684222969718682</v>
      </c>
      <c r="O853" t="str">
        <f>_xll.BDP("4437262K Muni","BVAL_MID_YTM")</f>
        <v>#N/A Authorization</v>
      </c>
      <c r="P853" t="str">
        <f>_xll.BDP("4437262K Muni","MUNI_TAX_PROV")</f>
        <v>FED &amp; ST TAX-EXEMPT</v>
      </c>
      <c r="Q853" t="str">
        <f>_xll.BDP("4437262K Muni","MUNI_FED_TAX")</f>
        <v>N</v>
      </c>
      <c r="R853" t="str">
        <f>_xll.BDP("4437262K Muni","MUNI_MSRB_VOLUME")</f>
        <v>#N/A N/A</v>
      </c>
      <c r="S853" t="str">
        <f>_xll.BDP("4437262K Muni","BB_COMPOSITE")</f>
        <v>#N/A N/A</v>
      </c>
      <c r="T853">
        <f>_xll.BDP("4437262K Muni","LQA_LIQUIDITY_SCORE")</f>
        <v>93</v>
      </c>
    </row>
    <row r="854" spans="1:20" x14ac:dyDescent="0.25">
      <c r="A854" t="str">
        <f>_xll.BDP("4437262L Muni","ID_CUSIP")</f>
        <v>4437262L7</v>
      </c>
      <c r="B854" t="s">
        <v>285</v>
      </c>
      <c r="C854" t="str">
        <f>_xll.BDP("4437262L Muni","INSURANCE_STATUS")</f>
        <v>N</v>
      </c>
      <c r="D854" t="str">
        <f>_xll.BDP("4437262L Muni","STATE_CODE")</f>
        <v>NJ</v>
      </c>
      <c r="E854" t="str">
        <f>_xll.BDP("4437262L Muni","COUNTY_LOCATION_ISSUER")</f>
        <v>Hudson, NJ</v>
      </c>
      <c r="F854">
        <f>_xll.BDP("4437262L Muni","DUR_ADJ_MID")</f>
        <v>1.8276167555808303</v>
      </c>
      <c r="G854">
        <f>_xll.BDP("4437262L Muni","SPREAD_AT_ISSUANCE_TO_WORST")</f>
        <v>5.4415172799512357</v>
      </c>
      <c r="H854" t="str">
        <f>_xll.BDP("4437262L Muni","ISSUE_DT")</f>
        <v>7/7/2017</v>
      </c>
      <c r="I854" t="str">
        <f>_xll.BDS("4437262L Muni","MUNI_PURPOSE_SCHED", "aggregate=y")</f>
        <v>UNIV. &amp; COLLEGE IMPS. WATER UTILITY IMPS.</v>
      </c>
      <c r="J854">
        <f>_xll.BDP("4437262L Muni","CPN")</f>
        <v>5</v>
      </c>
      <c r="K854" t="str">
        <f>_xll.BDP("4437262L Muni","MATURITY")</f>
        <v>7/1/2024</v>
      </c>
      <c r="L854">
        <v>200000</v>
      </c>
      <c r="M854">
        <f>_xll.BDP("4437262L Muni","YIELD_ON_ISSUE_DATE")</f>
        <v>1.55</v>
      </c>
      <c r="N854">
        <f>_xll.BDP("4437262L Muni","YTW_SPREAD_TO_MATURITY_AT_ISSU")</f>
        <v>5.4415172799512357</v>
      </c>
      <c r="O854" t="str">
        <f>_xll.BDP("4437262L Muni","BVAL_MID_YTM")</f>
        <v>#N/A Authorization</v>
      </c>
      <c r="P854" t="str">
        <f>_xll.BDP("4437262L Muni","MUNI_TAX_PROV")</f>
        <v>FED &amp; ST TAX-EXEMPT</v>
      </c>
      <c r="Q854" t="str">
        <f>_xll.BDP("4437262L Muni","MUNI_FED_TAX")</f>
        <v>N</v>
      </c>
      <c r="R854" t="str">
        <f>_xll.BDP("4437262L Muni","MUNI_MSRB_VOLUME")</f>
        <v>#N/A N/A</v>
      </c>
      <c r="S854" t="str">
        <f>_xll.BDP("4437262L Muni","BB_COMPOSITE")</f>
        <v>#N/A N/A</v>
      </c>
      <c r="T854">
        <f>_xll.BDP("4437262L Muni","LQA_LIQUIDITY_SCORE")</f>
        <v>85</v>
      </c>
    </row>
    <row r="855" spans="1:20" x14ac:dyDescent="0.25">
      <c r="A855" t="str">
        <f>_xll.BDP("4437262M Muni","ID_CUSIP")</f>
        <v>4437262M5</v>
      </c>
      <c r="B855" t="s">
        <v>285</v>
      </c>
      <c r="C855" t="str">
        <f>_xll.BDP("4437262M Muni","INSURANCE_STATUS")</f>
        <v>N</v>
      </c>
      <c r="D855" t="str">
        <f>_xll.BDP("4437262M Muni","STATE_CODE")</f>
        <v>NJ</v>
      </c>
      <c r="E855" t="str">
        <f>_xll.BDP("4437262M Muni","COUNTY_LOCATION_ISSUER")</f>
        <v>Hudson, NJ</v>
      </c>
      <c r="F855">
        <f>_xll.BDP("4437262M Muni","DUR_ADJ_MID")</f>
        <v>2.7189758974233382</v>
      </c>
      <c r="G855">
        <f>_xll.BDP("4437262M Muni","SPREAD_AT_ISSUANCE_TO_WORST")</f>
        <v>6.8225376605913324</v>
      </c>
      <c r="H855" t="str">
        <f>_xll.BDP("4437262M Muni","ISSUE_DT")</f>
        <v>7/7/2017</v>
      </c>
      <c r="I855" t="str">
        <f>_xll.BDS("4437262M Muni","MUNI_PURPOSE_SCHED", "aggregate=y")</f>
        <v>UNIV. &amp; COLLEGE IMPS. WATER UTILITY IMPS.</v>
      </c>
      <c r="J855">
        <f>_xll.BDP("4437262M Muni","CPN")</f>
        <v>5</v>
      </c>
      <c r="K855" t="str">
        <f>_xll.BDP("4437262M Muni","MATURITY")</f>
        <v>7/1/2025</v>
      </c>
      <c r="L855">
        <v>205000</v>
      </c>
      <c r="M855">
        <f>_xll.BDP("4437262M Muni","YIELD_ON_ISSUE_DATE")</f>
        <v>1.71</v>
      </c>
      <c r="N855">
        <f>_xll.BDP("4437262M Muni","YTW_SPREAD_TO_MATURITY_AT_ISSU")</f>
        <v>6.8225376605913324</v>
      </c>
      <c r="O855" t="str">
        <f>_xll.BDP("4437262M Muni","BVAL_MID_YTM")</f>
        <v>#N/A Authorization</v>
      </c>
      <c r="P855" t="str">
        <f>_xll.BDP("4437262M Muni","MUNI_TAX_PROV")</f>
        <v>FED &amp; ST TAX-EXEMPT</v>
      </c>
      <c r="Q855" t="str">
        <f>_xll.BDP("4437262M Muni","MUNI_FED_TAX")</f>
        <v>N</v>
      </c>
      <c r="R855">
        <f>_xll.BDP("4437262M Muni","MUNI_MSRB_VOLUME")</f>
        <v>50000</v>
      </c>
      <c r="S855" t="str">
        <f>_xll.BDP("4437262M Muni","BB_COMPOSITE")</f>
        <v>#N/A N/A</v>
      </c>
      <c r="T855">
        <f>_xll.BDP("4437262M Muni","LQA_LIQUIDITY_SCORE")</f>
        <v>75</v>
      </c>
    </row>
    <row r="856" spans="1:20" x14ac:dyDescent="0.25">
      <c r="A856" t="str">
        <f>_xll.BDP("4437262P Muni","ID_CUSIP")</f>
        <v>4437262P8</v>
      </c>
      <c r="B856" t="s">
        <v>285</v>
      </c>
      <c r="C856" t="str">
        <f>_xll.BDP("4437262P Muni","INSURANCE_STATUS")</f>
        <v>N</v>
      </c>
      <c r="D856" t="str">
        <f>_xll.BDP("4437262P Muni","STATE_CODE")</f>
        <v>NJ</v>
      </c>
      <c r="E856" t="str">
        <f>_xll.BDP("4437262P Muni","COUNTY_LOCATION_ISSUER")</f>
        <v>Hudson, NJ</v>
      </c>
      <c r="F856">
        <f>_xll.BDP("4437262P Muni","DUR_ADJ_MID")</f>
        <v>4.3902769957839203</v>
      </c>
      <c r="G856">
        <f>_xll.BDP("4437262P Muni","SPREAD_AT_ISSUANCE_TO_WORST")</f>
        <v>13.593144325283424</v>
      </c>
      <c r="H856" t="str">
        <f>_xll.BDP("4437262P Muni","ISSUE_DT")</f>
        <v>7/7/2017</v>
      </c>
      <c r="I856" t="str">
        <f>_xll.BDS("4437262P Muni","MUNI_PURPOSE_SCHED", "aggregate=y")</f>
        <v>UNIV. &amp; COLLEGE IMPS. WATER UTILITY IMPS.</v>
      </c>
      <c r="J856">
        <f>_xll.BDP("4437262P Muni","CPN")</f>
        <v>5</v>
      </c>
      <c r="K856" t="str">
        <f>_xll.BDP("4437262P Muni","MATURITY")</f>
        <v>7/1/2027</v>
      </c>
      <c r="L856">
        <v>215000</v>
      </c>
      <c r="M856">
        <f>_xll.BDP("4437262P Muni","YIELD_ON_ISSUE_DATE")</f>
        <v>2.02</v>
      </c>
      <c r="N856">
        <f>_xll.BDP("4437262P Muni","YTW_SPREAD_TO_MATURITY_AT_ISSU")</f>
        <v>13.593144325283424</v>
      </c>
      <c r="O856" t="str">
        <f>_xll.BDP("4437262P Muni","BVAL_MID_YTM")</f>
        <v>#N/A Authorization</v>
      </c>
      <c r="P856" t="str">
        <f>_xll.BDP("4437262P Muni","MUNI_TAX_PROV")</f>
        <v>FED &amp; ST TAX-EXEMPT</v>
      </c>
      <c r="Q856" t="str">
        <f>_xll.BDP("4437262P Muni","MUNI_FED_TAX")</f>
        <v>N</v>
      </c>
      <c r="R856" t="str">
        <f>_xll.BDP("4437262P Muni","MUNI_MSRB_VOLUME")</f>
        <v>#N/A N/A</v>
      </c>
      <c r="S856" t="str">
        <f>_xll.BDP("4437262P Muni","BB_COMPOSITE")</f>
        <v>#N/A N/A</v>
      </c>
      <c r="T856">
        <f>_xll.BDP("4437262P Muni","LQA_LIQUIDITY_SCORE")</f>
        <v>60</v>
      </c>
    </row>
    <row r="857" spans="1:20" x14ac:dyDescent="0.25">
      <c r="A857" t="str">
        <f>_xll.BDP("443852UQ Muni","ID_CUSIP")</f>
        <v>443852UQ9</v>
      </c>
      <c r="B857" t="s">
        <v>286</v>
      </c>
      <c r="C857" t="str">
        <f>_xll.BDP("443852UQ Muni","INSURANCE_STATUS")</f>
        <v>N</v>
      </c>
      <c r="D857" t="str">
        <f>_xll.BDP("443852UQ Muni","STATE_CODE")</f>
        <v>MA</v>
      </c>
      <c r="E857" t="str">
        <f>_xll.BDP("443852UQ Muni","COUNTY_LOCATION_ISSUER")</f>
        <v>Middlesex, MA</v>
      </c>
      <c r="F857">
        <f>_xll.BDP("443852UQ Muni","DUR_ADJ_MID")</f>
        <v>1.7732048530924318</v>
      </c>
      <c r="G857">
        <f>_xll.BDP("443852UQ Muni","SPREAD_AT_ISSUANCE_TO_WORST")</f>
        <v>6.04605968548515</v>
      </c>
      <c r="H857" t="str">
        <f>_xll.BDP("443852UQ Muni","ISSUE_DT")</f>
        <v>6/15/2017</v>
      </c>
      <c r="I857" t="str">
        <f>_xll.BDS("443852UQ Muni","MUNI_PURPOSE_SCHED", "aggregate=y")</f>
        <v>PUBLIC IMPS. WATER UTILITY IMPS. SEWER IMPS.</v>
      </c>
      <c r="J857">
        <f>_xll.BDP("443852UQ Muni","CPN")</f>
        <v>3</v>
      </c>
      <c r="K857" t="str">
        <f>_xll.BDP("443852UQ Muni","MATURITY")</f>
        <v>6/1/2024</v>
      </c>
      <c r="L857">
        <v>255000</v>
      </c>
      <c r="M857">
        <f>_xll.BDP("443852UQ Muni","YIELD_ON_ISSUE_DATE")</f>
        <v>1.55</v>
      </c>
      <c r="N857">
        <f>_xll.BDP("443852UQ Muni","YTW_SPREAD_TO_MATURITY_AT_ISSU")</f>
        <v>6.04605968548515</v>
      </c>
      <c r="O857" t="str">
        <f>_xll.BDP("443852UQ Muni","BVAL_MID_YTM")</f>
        <v>#N/A Authorization</v>
      </c>
      <c r="P857" t="str">
        <f>_xll.BDP("443852UQ Muni","MUNI_TAX_PROV")</f>
        <v>FED BQ/ST TAX-EXEMPT</v>
      </c>
      <c r="Q857" t="str">
        <f>_xll.BDP("443852UQ Muni","MUNI_FED_TAX")</f>
        <v>N</v>
      </c>
      <c r="R857" t="str">
        <f>_xll.BDP("443852UQ Muni","MUNI_MSRB_VOLUME")</f>
        <v>#N/A N/A</v>
      </c>
      <c r="S857" t="str">
        <f>_xll.BDP("443852UQ Muni","BB_COMPOSITE")</f>
        <v>#N/A N/A</v>
      </c>
      <c r="T857">
        <f>_xll.BDP("443852UQ Muni","LQA_LIQUIDITY_SCORE")</f>
        <v>81</v>
      </c>
    </row>
    <row r="858" spans="1:20" x14ac:dyDescent="0.25">
      <c r="A858" t="str">
        <f>_xll.BDP("443852UR Muni","ID_CUSIP")</f>
        <v>443852UR7</v>
      </c>
      <c r="B858" t="s">
        <v>286</v>
      </c>
      <c r="C858" t="str">
        <f>_xll.BDP("443852UR Muni","INSURANCE_STATUS")</f>
        <v>N</v>
      </c>
      <c r="D858" t="str">
        <f>_xll.BDP("443852UR Muni","STATE_CODE")</f>
        <v>MA</v>
      </c>
      <c r="E858" t="str">
        <f>_xll.BDP("443852UR Muni","COUNTY_LOCATION_ISSUER")</f>
        <v>Middlesex, MA</v>
      </c>
      <c r="F858">
        <f>_xll.BDP("443852UR Muni","DUR_ADJ_MID")</f>
        <v>2.7011629561773378</v>
      </c>
      <c r="G858">
        <f>_xll.BDP("443852UR Muni","SPREAD_AT_ISSUANCE_TO_WORST")</f>
        <v>5.2712822665057946</v>
      </c>
      <c r="H858" t="str">
        <f>_xll.BDP("443852UR Muni","ISSUE_DT")</f>
        <v>6/15/2017</v>
      </c>
      <c r="I858" t="str">
        <f>_xll.BDS("443852UR Muni","MUNI_PURPOSE_SCHED", "aggregate=y")</f>
        <v>PUBLIC IMPS. WATER UTILITY IMPS. SEWER IMPS.</v>
      </c>
      <c r="J858">
        <f>_xll.BDP("443852UR Muni","CPN")</f>
        <v>3</v>
      </c>
      <c r="K858" t="str">
        <f>_xll.BDP("443852UR Muni","MATURITY")</f>
        <v>6/1/2025</v>
      </c>
      <c r="L858">
        <v>255000</v>
      </c>
      <c r="M858">
        <f>_xll.BDP("443852UR Muni","YIELD_ON_ISSUE_DATE")</f>
        <v>1.7000000000000002</v>
      </c>
      <c r="N858">
        <f>_xll.BDP("443852UR Muni","YTW_SPREAD_TO_MATURITY_AT_ISSU")</f>
        <v>5.2712822665057946</v>
      </c>
      <c r="O858" t="str">
        <f>_xll.BDP("443852UR Muni","BVAL_MID_YTM")</f>
        <v>#N/A Authorization</v>
      </c>
      <c r="P858" t="str">
        <f>_xll.BDP("443852UR Muni","MUNI_TAX_PROV")</f>
        <v>FED BQ/ST TAX-EXEMPT</v>
      </c>
      <c r="Q858" t="str">
        <f>_xll.BDP("443852UR Muni","MUNI_FED_TAX")</f>
        <v>N</v>
      </c>
      <c r="R858" t="str">
        <f>_xll.BDP("443852UR Muni","MUNI_MSRB_VOLUME")</f>
        <v>#N/A N/A</v>
      </c>
      <c r="S858" t="str">
        <f>_xll.BDP("443852UR Muni","BB_COMPOSITE")</f>
        <v>#N/A N/A</v>
      </c>
      <c r="T858">
        <f>_xll.BDP("443852UR Muni","LQA_LIQUIDITY_SCORE")</f>
        <v>70</v>
      </c>
    </row>
    <row r="859" spans="1:20" x14ac:dyDescent="0.25">
      <c r="A859" t="str">
        <f>_xll.BDP("344664LV Muni","ID_CUSIP")</f>
        <v>344664LV7</v>
      </c>
      <c r="B859" t="s">
        <v>287</v>
      </c>
      <c r="C859" t="str">
        <f>_xll.BDP("344664LV Muni","INSURANCE_STATUS")</f>
        <v>N</v>
      </c>
      <c r="D859" t="str">
        <f>_xll.BDP("344664LV Muni","STATE_CODE")</f>
        <v>WI</v>
      </c>
      <c r="E859" t="str">
        <f>_xll.BDP("344664LV Muni","COUNTY_LOCATION_ISSUER")</f>
        <v>Walworth, WI</v>
      </c>
      <c r="F859">
        <f>_xll.BDP("344664LV Muni","DUR_ADJ_MID")</f>
        <v>0.49425693379239649</v>
      </c>
      <c r="G859">
        <f>_xll.BDP("344664LV Muni","SPREAD_AT_ISSUANCE_TO_WORST")</f>
        <v>11.765238353506424</v>
      </c>
      <c r="H859" t="str">
        <f>_xll.BDP("344664LV Muni","ISSUE_DT")</f>
        <v>3/2/2017</v>
      </c>
      <c r="I859" t="str">
        <f>_xll.BDS("344664LV Muni","MUNI_PURPOSE_SCHED", "aggregate=y")</f>
        <v>PUBLIC IMPS. WATER UTILITY IMPS. SEWER IMPS.</v>
      </c>
      <c r="J859">
        <f>_xll.BDP("344664LV Muni","CPN")</f>
        <v>3</v>
      </c>
      <c r="K859" t="str">
        <f>_xll.BDP("344664LV Muni","MATURITY")</f>
        <v>2/1/2023</v>
      </c>
      <c r="L859">
        <v>190000</v>
      </c>
      <c r="M859">
        <f>_xll.BDP("344664LV Muni","YIELD_ON_ISSUE_DATE")</f>
        <v>1.9000000000000001</v>
      </c>
      <c r="N859">
        <f>_xll.BDP("344664LV Muni","YTW_SPREAD_TO_MATURITY_AT_ISSU")</f>
        <v>11.765238353506424</v>
      </c>
      <c r="O859" t="str">
        <f>_xll.BDP("344664LV Muni","BVAL_MID_YTM")</f>
        <v>#N/A Authorization</v>
      </c>
      <c r="P859" t="str">
        <f>_xll.BDP("344664LV Muni","MUNI_TAX_PROV")</f>
        <v>FED BQ/ST TAXABLE</v>
      </c>
      <c r="Q859" t="str">
        <f>_xll.BDP("344664LV Muni","MUNI_FED_TAX")</f>
        <v>N</v>
      </c>
      <c r="R859" t="str">
        <f>_xll.BDP("344664LV Muni","MUNI_MSRB_VOLUME")</f>
        <v>#N/A N/A</v>
      </c>
      <c r="S859" t="str">
        <f>_xll.BDP("344664LV Muni","BB_COMPOSITE")</f>
        <v>#N/A N/A</v>
      </c>
      <c r="T859">
        <f>_xll.BDP("344664LV Muni","LQA_LIQUIDITY_SCORE")</f>
        <v>90</v>
      </c>
    </row>
    <row r="860" spans="1:20" x14ac:dyDescent="0.25">
      <c r="A860" t="str">
        <f>_xll.BDP("344664LW Muni","ID_CUSIP")</f>
        <v>344664LW5</v>
      </c>
      <c r="B860" t="s">
        <v>287</v>
      </c>
      <c r="C860" t="str">
        <f>_xll.BDP("344664LW Muni","INSURANCE_STATUS")</f>
        <v>N</v>
      </c>
      <c r="D860" t="str">
        <f>_xll.BDP("344664LW Muni","STATE_CODE")</f>
        <v>WI</v>
      </c>
      <c r="E860" t="str">
        <f>_xll.BDP("344664LW Muni","COUNTY_LOCATION_ISSUER")</f>
        <v>Walworth, WI</v>
      </c>
      <c r="F860">
        <f>_xll.BDP("344664LW Muni","DUR_ADJ_MID")</f>
        <v>1.4623807723817035</v>
      </c>
      <c r="G860">
        <f>_xll.BDP("344664LW Muni","SPREAD_AT_ISSUANCE_TO_WORST")</f>
        <v>6.9610732638480499</v>
      </c>
      <c r="H860" t="str">
        <f>_xll.BDP("344664LW Muni","ISSUE_DT")</f>
        <v>3/2/2017</v>
      </c>
      <c r="I860" t="str">
        <f>_xll.BDS("344664LW Muni","MUNI_PURPOSE_SCHED", "aggregate=y")</f>
        <v>PUBLIC IMPS. WATER UTILITY IMPS. SEWER IMPS.</v>
      </c>
      <c r="J860">
        <f>_xll.BDP("344664LW Muni","CPN")</f>
        <v>3</v>
      </c>
      <c r="K860" t="str">
        <f>_xll.BDP("344664LW Muni","MATURITY")</f>
        <v>2/1/2024</v>
      </c>
      <c r="L860">
        <v>195000</v>
      </c>
      <c r="M860">
        <f>_xll.BDP("344664LW Muni","YIELD_ON_ISSUE_DATE")</f>
        <v>2</v>
      </c>
      <c r="N860">
        <f>_xll.BDP("344664LW Muni","YTW_SPREAD_TO_MATURITY_AT_ISSU")</f>
        <v>6.9610732638480499</v>
      </c>
      <c r="O860" t="str">
        <f>_xll.BDP("344664LW Muni","BVAL_MID_YTM")</f>
        <v>#N/A Authorization</v>
      </c>
      <c r="P860" t="str">
        <f>_xll.BDP("344664LW Muni","MUNI_TAX_PROV")</f>
        <v>FED BQ/ST TAXABLE</v>
      </c>
      <c r="Q860" t="str">
        <f>_xll.BDP("344664LW Muni","MUNI_FED_TAX")</f>
        <v>N</v>
      </c>
      <c r="R860" t="str">
        <f>_xll.BDP("344664LW Muni","MUNI_MSRB_VOLUME")</f>
        <v>#N/A N/A</v>
      </c>
      <c r="S860" t="str">
        <f>_xll.BDP("344664LW Muni","BB_COMPOSITE")</f>
        <v>#N/A N/A</v>
      </c>
      <c r="T860">
        <f>_xll.BDP("344664LW Muni","LQA_LIQUIDITY_SCORE")</f>
        <v>79</v>
      </c>
    </row>
    <row r="861" spans="1:20" x14ac:dyDescent="0.25">
      <c r="A861" t="str">
        <f>_xll.BDP("344664LX Muni","ID_CUSIP")</f>
        <v>344664LX3</v>
      </c>
      <c r="B861" t="s">
        <v>287</v>
      </c>
      <c r="C861" t="str">
        <f>_xll.BDP("344664LX Muni","INSURANCE_STATUS")</f>
        <v>N</v>
      </c>
      <c r="D861" t="str">
        <f>_xll.BDP("344664LX Muni","STATE_CODE")</f>
        <v>WI</v>
      </c>
      <c r="E861" t="str">
        <f>_xll.BDP("344664LX Muni","COUNTY_LOCATION_ISSUER")</f>
        <v>Walworth, WI</v>
      </c>
      <c r="F861">
        <f>_xll.BDP("344664LX Muni","DUR_ADJ_MID")</f>
        <v>2.4021507210972648</v>
      </c>
      <c r="G861">
        <f>_xll.BDP("344664LX Muni","SPREAD_AT_ISSUANCE_TO_WORST")</f>
        <v>7.4011626634674865</v>
      </c>
      <c r="H861" t="str">
        <f>_xll.BDP("344664LX Muni","ISSUE_DT")</f>
        <v>3/2/2017</v>
      </c>
      <c r="I861" t="str">
        <f>_xll.BDS("344664LX Muni","MUNI_PURPOSE_SCHED", "aggregate=y")</f>
        <v>PUBLIC IMPS. WATER UTILITY IMPS. SEWER IMPS.</v>
      </c>
      <c r="J861">
        <f>_xll.BDP("344664LX Muni","CPN")</f>
        <v>3</v>
      </c>
      <c r="K861" t="str">
        <f>_xll.BDP("344664LX Muni","MATURITY")</f>
        <v>2/1/2025</v>
      </c>
      <c r="L861">
        <v>200000</v>
      </c>
      <c r="M861">
        <f>_xll.BDP("344664LX Muni","YIELD_ON_ISSUE_DATE")</f>
        <v>2.15</v>
      </c>
      <c r="N861">
        <f>_xll.BDP("344664LX Muni","YTW_SPREAD_TO_MATURITY_AT_ISSU")</f>
        <v>7.4011626634674865</v>
      </c>
      <c r="O861" t="str">
        <f>_xll.BDP("344664LX Muni","BVAL_MID_YTM")</f>
        <v>#N/A Authorization</v>
      </c>
      <c r="P861" t="str">
        <f>_xll.BDP("344664LX Muni","MUNI_TAX_PROV")</f>
        <v>FED BQ/ST TAXABLE</v>
      </c>
      <c r="Q861" t="str">
        <f>_xll.BDP("344664LX Muni","MUNI_FED_TAX")</f>
        <v>N</v>
      </c>
      <c r="R861">
        <f>_xll.BDP("344664LX Muni","MUNI_MSRB_VOLUME")</f>
        <v>75000</v>
      </c>
      <c r="S861" t="str">
        <f>_xll.BDP("344664LX Muni","BB_COMPOSITE")</f>
        <v>#N/A N/A</v>
      </c>
      <c r="T861">
        <f>_xll.BDP("344664LX Muni","LQA_LIQUIDITY_SCORE")</f>
        <v>70</v>
      </c>
    </row>
    <row r="862" spans="1:20" x14ac:dyDescent="0.25">
      <c r="A862" t="str">
        <f>_xll.BDP("344664LY Muni","ID_CUSIP")</f>
        <v>344664LY1</v>
      </c>
      <c r="B862" t="s">
        <v>287</v>
      </c>
      <c r="C862" t="str">
        <f>_xll.BDP("344664LY Muni","INSURANCE_STATUS")</f>
        <v>N</v>
      </c>
      <c r="D862" t="str">
        <f>_xll.BDP("344664LY Muni","STATE_CODE")</f>
        <v>WI</v>
      </c>
      <c r="E862" t="str">
        <f>_xll.BDP("344664LY Muni","COUNTY_LOCATION_ISSUER")</f>
        <v>Walworth, WI</v>
      </c>
      <c r="F862">
        <f>_xll.BDP("344664LY Muni","DUR_ADJ_MID")</f>
        <v>3.3152494625667313</v>
      </c>
      <c r="G862">
        <f>_xll.BDP("344664LY Muni","SPREAD_AT_ISSUANCE_TO_WORST")</f>
        <v>4.5359500271001441</v>
      </c>
      <c r="H862" t="str">
        <f>_xll.BDP("344664LY Muni","ISSUE_DT")</f>
        <v>3/2/2017</v>
      </c>
      <c r="I862" t="str">
        <f>_xll.BDS("344664LY Muni","MUNI_PURPOSE_SCHED", "aggregate=y")</f>
        <v>PUBLIC IMPS. WATER UTILITY IMPS. SEWER IMPS.</v>
      </c>
      <c r="J862">
        <f>_xll.BDP("344664LY Muni","CPN")</f>
        <v>3</v>
      </c>
      <c r="K862" t="str">
        <f>_xll.BDP("344664LY Muni","MATURITY")</f>
        <v>2/1/2026</v>
      </c>
      <c r="L862">
        <v>200000</v>
      </c>
      <c r="M862">
        <f>_xll.BDP("344664LY Muni","YIELD_ON_ISSUE_DATE")</f>
        <v>2.25</v>
      </c>
      <c r="N862">
        <f>_xll.BDP("344664LY Muni","YTW_SPREAD_TO_MATURITY_AT_ISSU")</f>
        <v>4.5359500271001441</v>
      </c>
      <c r="O862" t="str">
        <f>_xll.BDP("344664LY Muni","BVAL_MID_YTM")</f>
        <v>#N/A Authorization</v>
      </c>
      <c r="P862" t="str">
        <f>_xll.BDP("344664LY Muni","MUNI_TAX_PROV")</f>
        <v>FED BQ/ST TAXABLE</v>
      </c>
      <c r="Q862" t="str">
        <f>_xll.BDP("344664LY Muni","MUNI_FED_TAX")</f>
        <v>N</v>
      </c>
      <c r="R862" t="str">
        <f>_xll.BDP("344664LY Muni","MUNI_MSRB_VOLUME")</f>
        <v>#N/A N/A</v>
      </c>
      <c r="S862" t="str">
        <f>_xll.BDP("344664LY Muni","BB_COMPOSITE")</f>
        <v>#N/A N/A</v>
      </c>
      <c r="T862">
        <f>_xll.BDP("344664LY Muni","LQA_LIQUIDITY_SCORE")</f>
        <v>63</v>
      </c>
    </row>
    <row r="863" spans="1:20" x14ac:dyDescent="0.25">
      <c r="A863" t="str">
        <f>_xll.BDP("344664LZ Muni","ID_CUSIP")</f>
        <v>344664LZ8</v>
      </c>
      <c r="B863" t="s">
        <v>287</v>
      </c>
      <c r="C863" t="str">
        <f>_xll.BDP("344664LZ Muni","INSURANCE_STATUS")</f>
        <v>N</v>
      </c>
      <c r="D863" t="str">
        <f>_xll.BDP("344664LZ Muni","STATE_CODE")</f>
        <v>WI</v>
      </c>
      <c r="E863" t="str">
        <f>_xll.BDP("344664LZ Muni","COUNTY_LOCATION_ISSUER")</f>
        <v>Walworth, WI</v>
      </c>
      <c r="F863">
        <f>_xll.BDP("344664LZ Muni","DUR_ADJ_MID")</f>
        <v>4.2022657297455286</v>
      </c>
      <c r="G863">
        <f>_xll.BDP("344664LZ Muni","SPREAD_AT_ISSUANCE_TO_WORST")</f>
        <v>4.618857959312539</v>
      </c>
      <c r="H863" t="str">
        <f>_xll.BDP("344664LZ Muni","ISSUE_DT")</f>
        <v>3/2/2017</v>
      </c>
      <c r="I863" t="str">
        <f>_xll.BDS("344664LZ Muni","MUNI_PURPOSE_SCHED", "aggregate=y")</f>
        <v>PUBLIC IMPS. WATER UTILITY IMPS. SEWER IMPS.</v>
      </c>
      <c r="J863">
        <f>_xll.BDP("344664LZ Muni","CPN")</f>
        <v>3</v>
      </c>
      <c r="K863" t="str">
        <f>_xll.BDP("344664LZ Muni","MATURITY")</f>
        <v>2/1/2027</v>
      </c>
      <c r="L863">
        <v>215000</v>
      </c>
      <c r="M863">
        <f>_xll.BDP("344664LZ Muni","YIELD_ON_ISSUE_DATE")</f>
        <v>2.35</v>
      </c>
      <c r="N863">
        <f>_xll.BDP("344664LZ Muni","YTW_SPREAD_TO_MATURITY_AT_ISSU")</f>
        <v>4.618857959312539</v>
      </c>
      <c r="O863" t="str">
        <f>_xll.BDP("344664LZ Muni","BVAL_MID_YTM")</f>
        <v>#N/A Authorization</v>
      </c>
      <c r="P863" t="str">
        <f>_xll.BDP("344664LZ Muni","MUNI_TAX_PROV")</f>
        <v>FED BQ/ST TAXABLE</v>
      </c>
      <c r="Q863" t="str">
        <f>_xll.BDP("344664LZ Muni","MUNI_FED_TAX")</f>
        <v>N</v>
      </c>
      <c r="R863" t="str">
        <f>_xll.BDP("344664LZ Muni","MUNI_MSRB_VOLUME")</f>
        <v>#N/A N/A</v>
      </c>
      <c r="S863" t="str">
        <f>_xll.BDP("344664LZ Muni","BB_COMPOSITE")</f>
        <v>#N/A N/A</v>
      </c>
      <c r="T863">
        <f>_xll.BDP("344664LZ Muni","LQA_LIQUIDITY_SCORE")</f>
        <v>54</v>
      </c>
    </row>
    <row r="864" spans="1:20" x14ac:dyDescent="0.25">
      <c r="A864" t="str">
        <f>_xll.BDP("345757EY Muni","ID_CUSIP")</f>
        <v>345757EY0</v>
      </c>
      <c r="B864" t="s">
        <v>288</v>
      </c>
      <c r="C864" t="str">
        <f>_xll.BDP("345757EY Muni","INSURANCE_STATUS")</f>
        <v>N</v>
      </c>
      <c r="D864" t="str">
        <f>_xll.BDP("345757EY Muni","STATE_CODE")</f>
        <v>TX</v>
      </c>
      <c r="E864" t="str">
        <f>_xll.BDP("345757EY Muni","COUNTY_LOCATION_ISSUER")</f>
        <v>Harris, TX</v>
      </c>
      <c r="F864">
        <f>_xll.BDP("345757EY Muni","DUR_ADJ_MID")</f>
        <v>8.0455820111311083E-2</v>
      </c>
      <c r="G864">
        <f>_xll.BDP("345757EY Muni","SPREAD_AT_ISSUANCE_TO_WORST")</f>
        <v>116.20390207610738</v>
      </c>
      <c r="H864" t="str">
        <f>_xll.BDP("345757EY Muni","ISSUE_DT")</f>
        <v>2/1/2017</v>
      </c>
      <c r="I864" t="str">
        <f>_xll.BDS("345757EY Muni","MUNI_PURPOSE_SCHED", "aggregate=y")</f>
        <v>WATER UTILITY IMPS. SEWER IMPS. REFUNDING NOTES</v>
      </c>
      <c r="J864">
        <f>_xll.BDP("345757EY Muni","CPN")</f>
        <v>3</v>
      </c>
      <c r="K864" t="str">
        <f>_xll.BDP("345757EY Muni","MATURITY")</f>
        <v>9/1/2022</v>
      </c>
      <c r="L864">
        <v>25000</v>
      </c>
      <c r="M864">
        <f>_xll.BDP("345757EY Muni","YIELD_ON_ISSUE_DATE")</f>
        <v>3</v>
      </c>
      <c r="N864">
        <f>_xll.BDP("345757EY Muni","YTW_SPREAD_TO_MATURITY_AT_ISSU")</f>
        <v>116.20390207610738</v>
      </c>
      <c r="O864" t="str">
        <f>_xll.BDP("345757EY Muni","BVAL_MID_YTM")</f>
        <v>#N/A Authorization</v>
      </c>
      <c r="P864" t="str">
        <f>_xll.BDP("345757EY Muni","MUNI_TAX_PROV")</f>
        <v>FED BQ</v>
      </c>
      <c r="Q864" t="str">
        <f>_xll.BDP("345757EY Muni","MUNI_FED_TAX")</f>
        <v>N</v>
      </c>
      <c r="R864" t="str">
        <f>_xll.BDP("345757EY Muni","MUNI_MSRB_VOLUME")</f>
        <v>#N/A N/A</v>
      </c>
      <c r="S864" t="str">
        <f>_xll.BDP("345757EY Muni","BB_COMPOSITE")</f>
        <v>#N/A N/A</v>
      </c>
      <c r="T864">
        <f>_xll.BDP("345757EY Muni","LQA_LIQUIDITY_SCORE")</f>
        <v>98</v>
      </c>
    </row>
    <row r="865" spans="1:20" x14ac:dyDescent="0.25">
      <c r="A865" t="str">
        <f>_xll.BDP("345757EZ Muni","ID_CUSIP")</f>
        <v>345757EZ7</v>
      </c>
      <c r="B865" t="s">
        <v>288</v>
      </c>
      <c r="C865" t="str">
        <f>_xll.BDP("345757EZ Muni","INSURANCE_STATUS")</f>
        <v>N</v>
      </c>
      <c r="D865" t="str">
        <f>_xll.BDP("345757EZ Muni","STATE_CODE")</f>
        <v>TX</v>
      </c>
      <c r="E865" t="str">
        <f>_xll.BDP("345757EZ Muni","COUNTY_LOCATION_ISSUER")</f>
        <v>Harris, TX</v>
      </c>
      <c r="F865">
        <f>_xll.BDP("345757EZ Muni","DUR_ADJ_MID")</f>
        <v>1.0460724888278392</v>
      </c>
      <c r="G865">
        <f>_xll.BDP("345757EZ Muni","SPREAD_AT_ISSUANCE_TO_WORST")</f>
        <v>123.52381628223166</v>
      </c>
      <c r="H865" t="str">
        <f>_xll.BDP("345757EZ Muni","ISSUE_DT")</f>
        <v>2/1/2017</v>
      </c>
      <c r="I865" t="str">
        <f>_xll.BDS("345757EZ Muni","MUNI_PURPOSE_SCHED", "aggregate=y")</f>
        <v>WATER UTILITY IMPS. SEWER IMPS. REFUNDING NOTES</v>
      </c>
      <c r="J865">
        <f>_xll.BDP("345757EZ Muni","CPN")</f>
        <v>3.2</v>
      </c>
      <c r="K865" t="str">
        <f>_xll.BDP("345757EZ Muni","MATURITY")</f>
        <v>9/1/2023</v>
      </c>
      <c r="L865">
        <v>25000</v>
      </c>
      <c r="M865">
        <f>_xll.BDP("345757EZ Muni","YIELD_ON_ISSUE_DATE")</f>
        <v>3.2</v>
      </c>
      <c r="N865">
        <f>_xll.BDP("345757EZ Muni","YTW_SPREAD_TO_MATURITY_AT_ISSU")</f>
        <v>123.52381628223166</v>
      </c>
      <c r="O865" t="str">
        <f>_xll.BDP("345757EZ Muni","BVAL_MID_YTM")</f>
        <v>#N/A Authorization</v>
      </c>
      <c r="P865" t="str">
        <f>_xll.BDP("345757EZ Muni","MUNI_TAX_PROV")</f>
        <v>FED BQ</v>
      </c>
      <c r="Q865" t="str">
        <f>_xll.BDP("345757EZ Muni","MUNI_FED_TAX")</f>
        <v>N</v>
      </c>
      <c r="R865" t="str">
        <f>_xll.BDP("345757EZ Muni","MUNI_MSRB_VOLUME")</f>
        <v>#N/A N/A</v>
      </c>
      <c r="S865" t="str">
        <f>_xll.BDP("345757EZ Muni","BB_COMPOSITE")</f>
        <v>#N/A N/A</v>
      </c>
      <c r="T865">
        <f>_xll.BDP("345757EZ Muni","LQA_LIQUIDITY_SCORE")</f>
        <v>82</v>
      </c>
    </row>
    <row r="866" spans="1:20" x14ac:dyDescent="0.25">
      <c r="A866" t="str">
        <f>_xll.BDP("345757FA Muni","ID_CUSIP")</f>
        <v>345757FA1</v>
      </c>
      <c r="B866" t="s">
        <v>288</v>
      </c>
      <c r="C866" t="str">
        <f>_xll.BDP("345757FA Muni","INSURANCE_STATUS")</f>
        <v>N</v>
      </c>
      <c r="D866" t="str">
        <f>_xll.BDP("345757FA Muni","STATE_CODE")</f>
        <v>TX</v>
      </c>
      <c r="E866" t="str">
        <f>_xll.BDP("345757FA Muni","COUNTY_LOCATION_ISSUER")</f>
        <v>Harris, TX</v>
      </c>
      <c r="F866">
        <f>_xll.BDP("345757FA Muni","DUR_ADJ_MID")</f>
        <v>1.9781775489480764</v>
      </c>
      <c r="G866">
        <f>_xll.BDP("345757FA Muni","SPREAD_AT_ISSUANCE_TO_WORST")</f>
        <v>120.86212713878166</v>
      </c>
      <c r="H866" t="str">
        <f>_xll.BDP("345757FA Muni","ISSUE_DT")</f>
        <v>2/1/2017</v>
      </c>
      <c r="I866" t="str">
        <f>_xll.BDS("345757FA Muni","MUNI_PURPOSE_SCHED", "aggregate=y")</f>
        <v>WATER UTILITY IMPS. SEWER IMPS. REFUNDING NOTES</v>
      </c>
      <c r="J866">
        <f>_xll.BDP("345757FA Muni","CPN")</f>
        <v>3.3</v>
      </c>
      <c r="K866" t="str">
        <f>_xll.BDP("345757FA Muni","MATURITY")</f>
        <v>9/1/2024</v>
      </c>
      <c r="L866">
        <v>25000</v>
      </c>
      <c r="M866">
        <f>_xll.BDP("345757FA Muni","YIELD_ON_ISSUE_DATE")</f>
        <v>3.3000000000000003</v>
      </c>
      <c r="N866">
        <f>_xll.BDP("345757FA Muni","YTW_SPREAD_TO_MATURITY_AT_ISSU")</f>
        <v>120.86212713878166</v>
      </c>
      <c r="O866" t="str">
        <f>_xll.BDP("345757FA Muni","BVAL_MID_YTM")</f>
        <v>#N/A Authorization</v>
      </c>
      <c r="P866" t="str">
        <f>_xll.BDP("345757FA Muni","MUNI_TAX_PROV")</f>
        <v>FED BQ</v>
      </c>
      <c r="Q866" t="str">
        <f>_xll.BDP("345757FA Muni","MUNI_FED_TAX")</f>
        <v>N</v>
      </c>
      <c r="R866" t="str">
        <f>_xll.BDP("345757FA Muni","MUNI_MSRB_VOLUME")</f>
        <v>#N/A N/A</v>
      </c>
      <c r="S866" t="str">
        <f>_xll.BDP("345757FA Muni","BB_COMPOSITE")</f>
        <v>#N/A N/A</v>
      </c>
      <c r="T866">
        <f>_xll.BDP("345757FA Muni","LQA_LIQUIDITY_SCORE")</f>
        <v>66</v>
      </c>
    </row>
    <row r="867" spans="1:20" x14ac:dyDescent="0.25">
      <c r="A867" t="str">
        <f>_xll.BDP("562895KK Muni","ID_CUSIP")</f>
        <v>562895KK7</v>
      </c>
      <c r="B867" t="s">
        <v>289</v>
      </c>
      <c r="C867" t="str">
        <f>_xll.BDP("562895KK Muni","INSURANCE_STATUS")</f>
        <v>N</v>
      </c>
      <c r="D867" t="str">
        <f>_xll.BDP("562895KK Muni","STATE_CODE")</f>
        <v>KS</v>
      </c>
      <c r="E867" t="str">
        <f>_xll.BDP("562895KK Muni","COUNTY_LOCATION_ISSUER")</f>
        <v>Riley, KS</v>
      </c>
      <c r="F867">
        <f>_xll.BDP("562895KK Muni","DUR_ADJ_MID")</f>
        <v>0.24668605747809089</v>
      </c>
      <c r="G867">
        <f>_xll.BDP("562895KK Muni","SPREAD_AT_ISSUANCE_TO_WORST")</f>
        <v>17.757675514888362</v>
      </c>
      <c r="H867" t="str">
        <f>_xll.BDP("562895KK Muni","ISSUE_DT")</f>
        <v>6/5/2017</v>
      </c>
      <c r="I867" t="str">
        <f>_xll.BDS("562895KK Muni","MUNI_PURPOSE_SCHED", "aggregate=y")</f>
        <v>PUBLIC IMPS. WATER UTILITY IMPS. SEWER IMPS.</v>
      </c>
      <c r="J867">
        <f>_xll.BDP("562895KK Muni","CPN")</f>
        <v>2</v>
      </c>
      <c r="K867" t="str">
        <f>_xll.BDP("562895KK Muni","MATURITY")</f>
        <v>11/1/2022</v>
      </c>
      <c r="L867">
        <v>55000</v>
      </c>
      <c r="M867">
        <f>_xll.BDP("562895KK Muni","YIELD_ON_ISSUE_DATE")</f>
        <v>1.6</v>
      </c>
      <c r="N867">
        <f>_xll.BDP("562895KK Muni","YTW_SPREAD_TO_MATURITY_AT_ISSU")</f>
        <v>17.757675514888362</v>
      </c>
      <c r="O867" t="str">
        <f>_xll.BDP("562895KK Muni","BVAL_MID_YTM")</f>
        <v>#N/A Authorization</v>
      </c>
      <c r="P867" t="str">
        <f>_xll.BDP("562895KK Muni","MUNI_TAX_PROV")</f>
        <v>FED &amp; ST TAX-EXEMPT</v>
      </c>
      <c r="Q867" t="str">
        <f>_xll.BDP("562895KK Muni","MUNI_FED_TAX")</f>
        <v>N</v>
      </c>
      <c r="R867" t="str">
        <f>_xll.BDP("562895KK Muni","MUNI_MSRB_VOLUME")</f>
        <v>#N/A N/A</v>
      </c>
      <c r="S867" t="str">
        <f>_xll.BDP("562895KK Muni","BB_COMPOSITE")</f>
        <v>AA-</v>
      </c>
      <c r="T867">
        <f>_xll.BDP("562895KK Muni","LQA_LIQUIDITY_SCORE")</f>
        <v>99</v>
      </c>
    </row>
    <row r="868" spans="1:20" x14ac:dyDescent="0.25">
      <c r="A868" t="str">
        <f>_xll.BDP("562895KL Muni","ID_CUSIP")</f>
        <v>562895KL5</v>
      </c>
      <c r="B868" t="s">
        <v>289</v>
      </c>
      <c r="C868" t="str">
        <f>_xll.BDP("562895KL Muni","INSURANCE_STATUS")</f>
        <v>N</v>
      </c>
      <c r="D868" t="str">
        <f>_xll.BDP("562895KL Muni","STATE_CODE")</f>
        <v>KS</v>
      </c>
      <c r="E868" t="str">
        <f>_xll.BDP("562895KL Muni","COUNTY_LOCATION_ISSUER")</f>
        <v>Riley, KS</v>
      </c>
      <c r="F868">
        <f>_xll.BDP("562895KL Muni","DUR_ADJ_MID")</f>
        <v>1.223244948263368</v>
      </c>
      <c r="G868">
        <f>_xll.BDP("562895KL Muni","SPREAD_AT_ISSUANCE_TO_WORST")</f>
        <v>16.459159061380511</v>
      </c>
      <c r="H868" t="str">
        <f>_xll.BDP("562895KL Muni","ISSUE_DT")</f>
        <v>6/5/2017</v>
      </c>
      <c r="I868" t="str">
        <f>_xll.BDS("562895KL Muni","MUNI_PURPOSE_SCHED", "aggregate=y")</f>
        <v>PUBLIC IMPS. WATER UTILITY IMPS. SEWER IMPS.</v>
      </c>
      <c r="J868">
        <f>_xll.BDP("562895KL Muni","CPN")</f>
        <v>2</v>
      </c>
      <c r="K868" t="str">
        <f>_xll.BDP("562895KL Muni","MATURITY")</f>
        <v>11/1/2023</v>
      </c>
      <c r="L868">
        <v>55000</v>
      </c>
      <c r="M868">
        <f>_xll.BDP("562895KL Muni","YIELD_ON_ISSUE_DATE")</f>
        <v>1.75</v>
      </c>
      <c r="N868">
        <f>_xll.BDP("562895KL Muni","YTW_SPREAD_TO_MATURITY_AT_ISSU")</f>
        <v>16.459159061380511</v>
      </c>
      <c r="O868" t="str">
        <f>_xll.BDP("562895KL Muni","BVAL_MID_YTM")</f>
        <v>#N/A Authorization</v>
      </c>
      <c r="P868" t="str">
        <f>_xll.BDP("562895KL Muni","MUNI_TAX_PROV")</f>
        <v>FED &amp; ST TAX-EXEMPT</v>
      </c>
      <c r="Q868" t="str">
        <f>_xll.BDP("562895KL Muni","MUNI_FED_TAX")</f>
        <v>N</v>
      </c>
      <c r="R868">
        <f>_xll.BDP("562895KL Muni","MUNI_MSRB_VOLUME")</f>
        <v>20000</v>
      </c>
      <c r="S868" t="str">
        <f>_xll.BDP("562895KL Muni","BB_COMPOSITE")</f>
        <v>AA-</v>
      </c>
      <c r="T868">
        <f>_xll.BDP("562895KL Muni","LQA_LIQUIDITY_SCORE")</f>
        <v>82</v>
      </c>
    </row>
    <row r="869" spans="1:20" x14ac:dyDescent="0.25">
      <c r="A869" t="str">
        <f>_xll.BDP("562895KM Muni","ID_CUSIP")</f>
        <v>562895KM3</v>
      </c>
      <c r="B869" t="s">
        <v>289</v>
      </c>
      <c r="C869" t="str">
        <f>_xll.BDP("562895KM Muni","INSURANCE_STATUS")</f>
        <v>N</v>
      </c>
      <c r="D869" t="str">
        <f>_xll.BDP("562895KM Muni","STATE_CODE")</f>
        <v>KS</v>
      </c>
      <c r="E869" t="str">
        <f>_xll.BDP("562895KM Muni","COUNTY_LOCATION_ISSUER")</f>
        <v>Riley, KS</v>
      </c>
      <c r="F869">
        <f>_xll.BDP("562895KM Muni","DUR_ADJ_MID")</f>
        <v>2.1796384328588596</v>
      </c>
      <c r="G869">
        <f>_xll.BDP("562895KM Muni","SPREAD_AT_ISSUANCE_TO_WORST")</f>
        <v>15.09253878664607</v>
      </c>
      <c r="H869" t="str">
        <f>_xll.BDP("562895KM Muni","ISSUE_DT")</f>
        <v>6/5/2017</v>
      </c>
      <c r="I869" t="str">
        <f>_xll.BDS("562895KM Muni","MUNI_PURPOSE_SCHED", "aggregate=y")</f>
        <v>PUBLIC IMPS. WATER UTILITY IMPS. SEWER IMPS.</v>
      </c>
      <c r="J869">
        <f>_xll.BDP("562895KM Muni","CPN")</f>
        <v>2</v>
      </c>
      <c r="K869" t="str">
        <f>_xll.BDP("562895KM Muni","MATURITY")</f>
        <v>11/1/2024</v>
      </c>
      <c r="L869">
        <v>55000</v>
      </c>
      <c r="M869">
        <f>_xll.BDP("562895KM Muni","YIELD_ON_ISSUE_DATE")</f>
        <v>1.9000000000000001</v>
      </c>
      <c r="N869">
        <f>_xll.BDP("562895KM Muni","YTW_SPREAD_TO_MATURITY_AT_ISSU")</f>
        <v>15.09253878664607</v>
      </c>
      <c r="O869" t="str">
        <f>_xll.BDP("562895KM Muni","BVAL_MID_YTM")</f>
        <v>#N/A Authorization</v>
      </c>
      <c r="P869" t="str">
        <f>_xll.BDP("562895KM Muni","MUNI_TAX_PROV")</f>
        <v>FED &amp; ST TAX-EXEMPT</v>
      </c>
      <c r="Q869" t="str">
        <f>_xll.BDP("562895KM Muni","MUNI_FED_TAX")</f>
        <v>N</v>
      </c>
      <c r="R869" t="str">
        <f>_xll.BDP("562895KM Muni","MUNI_MSRB_VOLUME")</f>
        <v>#N/A N/A</v>
      </c>
      <c r="S869" t="str">
        <f>_xll.BDP("562895KM Muni","BB_COMPOSITE")</f>
        <v>AA-</v>
      </c>
      <c r="T869">
        <f>_xll.BDP("562895KM Muni","LQA_LIQUIDITY_SCORE")</f>
        <v>68</v>
      </c>
    </row>
    <row r="870" spans="1:20" x14ac:dyDescent="0.25">
      <c r="A870" t="str">
        <f>_xll.BDP("562895KN Muni","ID_CUSIP")</f>
        <v>562895KN1</v>
      </c>
      <c r="B870" t="s">
        <v>289</v>
      </c>
      <c r="C870" t="str">
        <f>_xll.BDP("562895KN Muni","INSURANCE_STATUS")</f>
        <v>N</v>
      </c>
      <c r="D870" t="str">
        <f>_xll.BDP("562895KN Muni","STATE_CODE")</f>
        <v>KS</v>
      </c>
      <c r="E870" t="str">
        <f>_xll.BDP("562895KN Muni","COUNTY_LOCATION_ISSUER")</f>
        <v>Riley, KS</v>
      </c>
      <c r="F870">
        <f>_xll.BDP("562895KN Muni","DUR_ADJ_MID")</f>
        <v>3.0713845348066906</v>
      </c>
      <c r="G870">
        <f>_xll.BDP("562895KN Muni","SPREAD_AT_ISSUANCE_TO_WORST")</f>
        <v>14.573286675661468</v>
      </c>
      <c r="H870" t="str">
        <f>_xll.BDP("562895KN Muni","ISSUE_DT")</f>
        <v>6/5/2017</v>
      </c>
      <c r="I870" t="str">
        <f>_xll.BDS("562895KN Muni","MUNI_PURPOSE_SCHED", "aggregate=y")</f>
        <v>PUBLIC IMPS. WATER UTILITY IMPS. SEWER IMPS.</v>
      </c>
      <c r="J870">
        <f>_xll.BDP("562895KN Muni","CPN")</f>
        <v>3</v>
      </c>
      <c r="K870" t="str">
        <f>_xll.BDP("562895KN Muni","MATURITY")</f>
        <v>11/1/2025</v>
      </c>
      <c r="L870">
        <v>55000</v>
      </c>
      <c r="M870">
        <f>_xll.BDP("562895KN Muni","YIELD_ON_ISSUE_DATE")</f>
        <v>2.0499999999999998</v>
      </c>
      <c r="N870">
        <f>_xll.BDP("562895KN Muni","YTW_SPREAD_TO_MATURITY_AT_ISSU")</f>
        <v>14.573286675661468</v>
      </c>
      <c r="O870" t="str">
        <f>_xll.BDP("562895KN Muni","BVAL_MID_YTM")</f>
        <v>#N/A Authorization</v>
      </c>
      <c r="P870" t="str">
        <f>_xll.BDP("562895KN Muni","MUNI_TAX_PROV")</f>
        <v>FED &amp; ST TAX-EXEMPT</v>
      </c>
      <c r="Q870" t="str">
        <f>_xll.BDP("562895KN Muni","MUNI_FED_TAX")</f>
        <v>N</v>
      </c>
      <c r="R870" t="str">
        <f>_xll.BDP("562895KN Muni","MUNI_MSRB_VOLUME")</f>
        <v>#N/A N/A</v>
      </c>
      <c r="S870" t="str">
        <f>_xll.BDP("562895KN Muni","BB_COMPOSITE")</f>
        <v>AA-</v>
      </c>
      <c r="T870">
        <f>_xll.BDP("562895KN Muni","LQA_LIQUIDITY_SCORE")</f>
        <v>64</v>
      </c>
    </row>
    <row r="871" spans="1:20" x14ac:dyDescent="0.25">
      <c r="A871" t="str">
        <f>_xll.BDP("562895KP Muni","ID_CUSIP")</f>
        <v>562895KP6</v>
      </c>
      <c r="B871" t="s">
        <v>289</v>
      </c>
      <c r="C871" t="str">
        <f>_xll.BDP("562895KP Muni","INSURANCE_STATUS")</f>
        <v>N</v>
      </c>
      <c r="D871" t="str">
        <f>_xll.BDP("562895KP Muni","STATE_CODE")</f>
        <v>KS</v>
      </c>
      <c r="E871" t="str">
        <f>_xll.BDP("562895KP Muni","COUNTY_LOCATION_ISSUER")</f>
        <v>Riley, KS</v>
      </c>
      <c r="F871">
        <f>_xll.BDP("562895KP Muni","DUR_ADJ_MID")</f>
        <v>3.9592756185188582</v>
      </c>
      <c r="G871">
        <f>_xll.BDP("562895KP Muni","SPREAD_AT_ISSUANCE_TO_WORST")</f>
        <v>16.263672033956045</v>
      </c>
      <c r="H871" t="str">
        <f>_xll.BDP("562895KP Muni","ISSUE_DT")</f>
        <v>6/5/2017</v>
      </c>
      <c r="I871" t="str">
        <f>_xll.BDS("562895KP Muni","MUNI_PURPOSE_SCHED", "aggregate=y")</f>
        <v>PUBLIC IMPS. WATER UTILITY IMPS. SEWER IMPS.</v>
      </c>
      <c r="J871">
        <f>_xll.BDP("562895KP Muni","CPN")</f>
        <v>3</v>
      </c>
      <c r="K871" t="str">
        <f>_xll.BDP("562895KP Muni","MATURITY")</f>
        <v>11/1/2026</v>
      </c>
      <c r="L871">
        <v>55000</v>
      </c>
      <c r="M871">
        <f>_xll.BDP("562895KP Muni","YIELD_ON_ISSUE_DATE")</f>
        <v>2.2000000000000002</v>
      </c>
      <c r="N871">
        <f>_xll.BDP("562895KP Muni","YTW_SPREAD_TO_MATURITY_AT_ISSU")</f>
        <v>16.263672033956045</v>
      </c>
      <c r="O871" t="str">
        <f>_xll.BDP("562895KP Muni","BVAL_MID_YTM")</f>
        <v>#N/A Authorization</v>
      </c>
      <c r="P871" t="str">
        <f>_xll.BDP("562895KP Muni","MUNI_TAX_PROV")</f>
        <v>FED &amp; ST TAX-EXEMPT</v>
      </c>
      <c r="Q871" t="str">
        <f>_xll.BDP("562895KP Muni","MUNI_FED_TAX")</f>
        <v>N</v>
      </c>
      <c r="R871">
        <f>_xll.BDP("562895KP Muni","MUNI_MSRB_VOLUME")</f>
        <v>40000</v>
      </c>
      <c r="S871" t="str">
        <f>_xll.BDP("562895KP Muni","BB_COMPOSITE")</f>
        <v>AA-</v>
      </c>
      <c r="T871">
        <f>_xll.BDP("562895KP Muni","LQA_LIQUIDITY_SCORE")</f>
        <v>55</v>
      </c>
    </row>
    <row r="872" spans="1:20" x14ac:dyDescent="0.25">
      <c r="A872" t="str">
        <f>_xll.BDP("562895KQ Muni","ID_CUSIP")</f>
        <v>562895KQ4</v>
      </c>
      <c r="B872" t="s">
        <v>289</v>
      </c>
      <c r="C872" t="str">
        <f>_xll.BDP("562895KQ Muni","INSURANCE_STATUS")</f>
        <v>N</v>
      </c>
      <c r="D872" t="str">
        <f>_xll.BDP("562895KQ Muni","STATE_CODE")</f>
        <v>KS</v>
      </c>
      <c r="E872" t="str">
        <f>_xll.BDP("562895KQ Muni","COUNTY_LOCATION_ISSUER")</f>
        <v>Riley, KS</v>
      </c>
      <c r="F872">
        <f>_xll.BDP("562895KQ Muni","DUR_ADJ_MID")</f>
        <v>4.8210481285074094</v>
      </c>
      <c r="G872">
        <f>_xll.BDP("562895KQ Muni","SPREAD_AT_ISSUANCE_TO_WORST")</f>
        <v>14.210856049624088</v>
      </c>
      <c r="H872" t="str">
        <f>_xll.BDP("562895KQ Muni","ISSUE_DT")</f>
        <v>6/5/2017</v>
      </c>
      <c r="I872" t="str">
        <f>_xll.BDS("562895KQ Muni","MUNI_PURPOSE_SCHED", "aggregate=y")</f>
        <v>PUBLIC IMPS. WATER UTILITY IMPS. SEWER IMPS.</v>
      </c>
      <c r="J872">
        <f>_xll.BDP("562895KQ Muni","CPN")</f>
        <v>3</v>
      </c>
      <c r="K872" t="str">
        <f>_xll.BDP("562895KQ Muni","MATURITY")</f>
        <v>11/1/2027</v>
      </c>
      <c r="L872">
        <v>60000</v>
      </c>
      <c r="M872">
        <f>_xll.BDP("562895KQ Muni","YIELD_ON_ISSUE_DATE")</f>
        <v>2.3000000000000003</v>
      </c>
      <c r="N872">
        <f>_xll.BDP("562895KQ Muni","YTW_SPREAD_TO_MATURITY_AT_ISSU")</f>
        <v>14.210856049624088</v>
      </c>
      <c r="O872" t="str">
        <f>_xll.BDP("562895KQ Muni","BVAL_MID_YTM")</f>
        <v>#N/A Authorization</v>
      </c>
      <c r="P872" t="str">
        <f>_xll.BDP("562895KQ Muni","MUNI_TAX_PROV")</f>
        <v>FED &amp; ST TAX-EXEMPT</v>
      </c>
      <c r="Q872" t="str">
        <f>_xll.BDP("562895KQ Muni","MUNI_FED_TAX")</f>
        <v>N</v>
      </c>
      <c r="R872" t="str">
        <f>_xll.BDP("562895KQ Muni","MUNI_MSRB_VOLUME")</f>
        <v>#N/A N/A</v>
      </c>
      <c r="S872" t="str">
        <f>_xll.BDP("562895KQ Muni","BB_COMPOSITE")</f>
        <v>AA-</v>
      </c>
      <c r="T872">
        <f>_xll.BDP("562895KQ Muni","LQA_LIQUIDITY_SCORE")</f>
        <v>46</v>
      </c>
    </row>
    <row r="873" spans="1:20" x14ac:dyDescent="0.25">
      <c r="A873" t="str">
        <f>_xll.BDP("563384GR Muni","ID_CUSIP")</f>
        <v>563384GR1</v>
      </c>
      <c r="B873" t="s">
        <v>290</v>
      </c>
      <c r="C873" t="str">
        <f>_xll.BDP("563384GR Muni","INSURANCE_STATUS")</f>
        <v>Y</v>
      </c>
      <c r="D873" t="str">
        <f>_xll.BDP("563384GR Muni","STATE_CODE")</f>
        <v>MI</v>
      </c>
      <c r="E873" t="str">
        <f>_xll.BDP("563384GR Muni","COUNTY_LOCATION_ISSUER")</f>
        <v>Manistee, MI</v>
      </c>
      <c r="F873">
        <f>_xll.BDP("563384GR Muni","DUR_ADJ_MID")</f>
        <v>0.32899814531204019</v>
      </c>
      <c r="G873">
        <f>_xll.BDP("563384GR Muni","SPREAD_AT_ISSUANCE_TO_WORST")</f>
        <v>58.740430136986291</v>
      </c>
      <c r="H873" t="str">
        <f>_xll.BDP("563384GR Muni","ISSUE_DT")</f>
        <v>12/5/2017</v>
      </c>
      <c r="I873" t="str">
        <f>_xll.BDS("563384GR Muni","MUNI_PURPOSE_SCHED", "aggregate=y")</f>
        <v>CURRENT REFUNDING WATER UTILITY IMPS. SEWER IMPS.</v>
      </c>
      <c r="J873">
        <f>_xll.BDP("563384GR Muni","CPN")</f>
        <v>3</v>
      </c>
      <c r="K873" t="str">
        <f>_xll.BDP("563384GR Muni","MATURITY")</f>
        <v>12/1/2022</v>
      </c>
      <c r="L873">
        <v>70000</v>
      </c>
      <c r="M873">
        <f>_xll.BDP("563384GR Muni","YIELD_ON_ISSUE_DATE")</f>
        <v>2.0499999999999998</v>
      </c>
      <c r="N873">
        <f>_xll.BDP("563384GR Muni","YTW_SPREAD_TO_MATURITY_AT_ISSU")</f>
        <v>58.740430136986291</v>
      </c>
      <c r="O873" t="str">
        <f>_xll.BDP("563384GR Muni","BVAL_MID_YTM")</f>
        <v>#N/A Authorization</v>
      </c>
      <c r="P873" t="str">
        <f>_xll.BDP("563384GR Muni","MUNI_TAX_PROV")</f>
        <v>FED BQ/ST TAX-EXEMPT</v>
      </c>
      <c r="Q873" t="str">
        <f>_xll.BDP("563384GR Muni","MUNI_FED_TAX")</f>
        <v>N</v>
      </c>
      <c r="R873" t="str">
        <f>_xll.BDP("563384GR Muni","MUNI_MSRB_VOLUME")</f>
        <v>#N/A N/A</v>
      </c>
      <c r="S873" t="str">
        <f>_xll.BDP("563384GR Muni","BB_COMPOSITE")</f>
        <v>#N/A N/A</v>
      </c>
      <c r="T873">
        <f>_xll.BDP("563384GR Muni","LQA_LIQUIDITY_SCORE")</f>
        <v>99</v>
      </c>
    </row>
    <row r="874" spans="1:20" x14ac:dyDescent="0.25">
      <c r="A874" t="str">
        <f>_xll.BDP("56501MCZ Muni","ID_CUSIP")</f>
        <v>56501MCZ8</v>
      </c>
      <c r="B874" t="s">
        <v>95</v>
      </c>
      <c r="C874" t="str">
        <f>_xll.BDP("56501MCZ Muni","INSURANCE_STATUS")</f>
        <v>N</v>
      </c>
      <c r="D874" t="str">
        <f>_xll.BDP("56501MCZ Muni","STATE_CODE")</f>
        <v>TX</v>
      </c>
      <c r="E874" t="str">
        <f>_xll.BDP("56501MCZ Muni","COUNTY_LOCATION_ISSUER")</f>
        <v>Brazoria, TX</v>
      </c>
      <c r="F874">
        <f>_xll.BDP("56501MCZ Muni","DUR_ADJ_MID")</f>
        <v>0.52329477770805255</v>
      </c>
      <c r="G874">
        <f>_xll.BDP("56501MCZ Muni","SPREAD_AT_ISSUANCE_TO_WORST")</f>
        <v>16.467109589041073</v>
      </c>
      <c r="H874" t="str">
        <f>_xll.BDP("56501MCZ Muni","ISSUE_DT")</f>
        <v>12/15/2017</v>
      </c>
      <c r="I874" t="str">
        <f>_xll.BDS("56501MCZ Muni","MUNI_PURPOSE_SCHED", "aggregate=y")</f>
        <v>WATER UTILITY IMPS. SEWER IMPS.</v>
      </c>
      <c r="J874">
        <f>_xll.BDP("56501MCZ Muni","CPN")</f>
        <v>4</v>
      </c>
      <c r="K874" t="str">
        <f>_xll.BDP("56501MCZ Muni","MATURITY")</f>
        <v>2/15/2023</v>
      </c>
      <c r="L874">
        <v>145000</v>
      </c>
      <c r="M874">
        <f>_xll.BDP("56501MCZ Muni","YIELD_ON_ISSUE_DATE")</f>
        <v>1.9000000000000001</v>
      </c>
      <c r="N874">
        <f>_xll.BDP("56501MCZ Muni","YTW_SPREAD_TO_MATURITY_AT_ISSU")</f>
        <v>16.467109589041073</v>
      </c>
      <c r="O874" t="str">
        <f>_xll.BDP("56501MCZ Muni","BVAL_MID_YTM")</f>
        <v>#N/A Authorization</v>
      </c>
      <c r="P874" t="str">
        <f>_xll.BDP("56501MCZ Muni","MUNI_TAX_PROV")</f>
        <v>FED BQ</v>
      </c>
      <c r="Q874" t="str">
        <f>_xll.BDP("56501MCZ Muni","MUNI_FED_TAX")</f>
        <v>N</v>
      </c>
      <c r="R874" t="str">
        <f>_xll.BDP("56501MCZ Muni","MUNI_MSRB_VOLUME")</f>
        <v>#N/A N/A</v>
      </c>
      <c r="S874" t="str">
        <f>_xll.BDP("56501MCZ Muni","BB_COMPOSITE")</f>
        <v>#N/A N/A</v>
      </c>
      <c r="T874">
        <f>_xll.BDP("56501MCZ Muni","LQA_LIQUIDITY_SCORE")</f>
        <v>94</v>
      </c>
    </row>
    <row r="875" spans="1:20" x14ac:dyDescent="0.25">
      <c r="A875" t="str">
        <f>_xll.BDP("56501MDA Muni","ID_CUSIP")</f>
        <v>56501MDA2</v>
      </c>
      <c r="B875" t="s">
        <v>95</v>
      </c>
      <c r="C875" t="str">
        <f>_xll.BDP("56501MDA Muni","INSURANCE_STATUS")</f>
        <v>N</v>
      </c>
      <c r="D875" t="str">
        <f>_xll.BDP("56501MDA Muni","STATE_CODE")</f>
        <v>TX</v>
      </c>
      <c r="E875" t="str">
        <f>_xll.BDP("56501MDA Muni","COUNTY_LOCATION_ISSUER")</f>
        <v>Brazoria, TX</v>
      </c>
      <c r="F875">
        <f>_xll.BDP("56501MDA Muni","DUR_ADJ_MID")</f>
        <v>1.4667472810437603</v>
      </c>
      <c r="G875">
        <f>_xll.BDP("56501MDA Muni","SPREAD_AT_ISSUANCE_TO_WORST")</f>
        <v>17.937813698630144</v>
      </c>
      <c r="H875" t="str">
        <f>_xll.BDP("56501MDA Muni","ISSUE_DT")</f>
        <v>12/15/2017</v>
      </c>
      <c r="I875" t="str">
        <f>_xll.BDS("56501MDA Muni","MUNI_PURPOSE_SCHED", "aggregate=y")</f>
        <v>WATER UTILITY IMPS. SEWER IMPS.</v>
      </c>
      <c r="J875">
        <f>_xll.BDP("56501MDA Muni","CPN")</f>
        <v>4</v>
      </c>
      <c r="K875" t="str">
        <f>_xll.BDP("56501MDA Muni","MATURITY")</f>
        <v>2/15/2024</v>
      </c>
      <c r="L875">
        <v>150000</v>
      </c>
      <c r="M875">
        <f>_xll.BDP("56501MDA Muni","YIELD_ON_ISSUE_DATE")</f>
        <v>2</v>
      </c>
      <c r="N875">
        <f>_xll.BDP("56501MDA Muni","YTW_SPREAD_TO_MATURITY_AT_ISSU")</f>
        <v>17.937813698630144</v>
      </c>
      <c r="O875" t="str">
        <f>_xll.BDP("56501MDA Muni","BVAL_MID_YTM")</f>
        <v>#N/A Authorization</v>
      </c>
      <c r="P875" t="str">
        <f>_xll.BDP("56501MDA Muni","MUNI_TAX_PROV")</f>
        <v>FED BQ</v>
      </c>
      <c r="Q875" t="str">
        <f>_xll.BDP("56501MDA Muni","MUNI_FED_TAX")</f>
        <v>N</v>
      </c>
      <c r="R875" t="str">
        <f>_xll.BDP("56501MDA Muni","MUNI_MSRB_VOLUME")</f>
        <v>#N/A N/A</v>
      </c>
      <c r="S875" t="str">
        <f>_xll.BDP("56501MDA Muni","BB_COMPOSITE")</f>
        <v>#N/A N/A</v>
      </c>
      <c r="T875">
        <f>_xll.BDP("56501MDA Muni","LQA_LIQUIDITY_SCORE")</f>
        <v>84</v>
      </c>
    </row>
    <row r="876" spans="1:20" x14ac:dyDescent="0.25">
      <c r="A876" t="str">
        <f>_xll.BDP("56501MDC Muni","ID_CUSIP")</f>
        <v>56501MDC8</v>
      </c>
      <c r="B876" t="s">
        <v>95</v>
      </c>
      <c r="C876" t="str">
        <f>_xll.BDP("56501MDC Muni","INSURANCE_STATUS")</f>
        <v>N</v>
      </c>
      <c r="D876" t="str">
        <f>_xll.BDP("56501MDC Muni","STATE_CODE")</f>
        <v>TX</v>
      </c>
      <c r="E876" t="str">
        <f>_xll.BDP("56501MDC Muni","COUNTY_LOCATION_ISSUER")</f>
        <v>Brazoria, TX</v>
      </c>
      <c r="F876">
        <f>_xll.BDP("56501MDC Muni","DUR_ADJ_MID")</f>
        <v>3.306877367134327</v>
      </c>
      <c r="G876">
        <f>_xll.BDP("56501MDC Muni","SPREAD_AT_ISSUANCE_TO_WORST")</f>
        <v>19.51010684931509</v>
      </c>
      <c r="H876" t="str">
        <f>_xll.BDP("56501MDC Muni","ISSUE_DT")</f>
        <v>12/15/2017</v>
      </c>
      <c r="I876" t="str">
        <f>_xll.BDS("56501MDC Muni","MUNI_PURPOSE_SCHED", "aggregate=y")</f>
        <v>WATER UTILITY IMPS. SEWER IMPS.</v>
      </c>
      <c r="J876">
        <f>_xll.BDP("56501MDC Muni","CPN")</f>
        <v>3</v>
      </c>
      <c r="K876" t="str">
        <f>_xll.BDP("56501MDC Muni","MATURITY")</f>
        <v>2/15/2026</v>
      </c>
      <c r="L876">
        <v>160000</v>
      </c>
      <c r="M876">
        <f>_xll.BDP("56501MDC Muni","YIELD_ON_ISSUE_DATE")</f>
        <v>2.2000000000000002</v>
      </c>
      <c r="N876">
        <f>_xll.BDP("56501MDC Muni","YTW_SPREAD_TO_MATURITY_AT_ISSU")</f>
        <v>19.51010684931509</v>
      </c>
      <c r="O876" t="str">
        <f>_xll.BDP("56501MDC Muni","BVAL_MID_YTM")</f>
        <v>#N/A Authorization</v>
      </c>
      <c r="P876" t="str">
        <f>_xll.BDP("56501MDC Muni","MUNI_TAX_PROV")</f>
        <v>FED BQ</v>
      </c>
      <c r="Q876" t="str">
        <f>_xll.BDP("56501MDC Muni","MUNI_FED_TAX")</f>
        <v>N</v>
      </c>
      <c r="R876" t="str">
        <f>_xll.BDP("56501MDC Muni","MUNI_MSRB_VOLUME")</f>
        <v>#N/A N/A</v>
      </c>
      <c r="S876" t="str">
        <f>_xll.BDP("56501MDC Muni","BB_COMPOSITE")</f>
        <v>#N/A N/A</v>
      </c>
      <c r="T876">
        <f>_xll.BDP("56501MDC Muni","LQA_LIQUIDITY_SCORE")</f>
        <v>53</v>
      </c>
    </row>
    <row r="877" spans="1:20" x14ac:dyDescent="0.25">
      <c r="A877" t="str">
        <f>_xll.BDP("56501MDD Muni","ID_CUSIP")</f>
        <v>56501MDD6</v>
      </c>
      <c r="B877" t="s">
        <v>95</v>
      </c>
      <c r="C877" t="str">
        <f>_xll.BDP("56501MDD Muni","INSURANCE_STATUS")</f>
        <v>N</v>
      </c>
      <c r="D877" t="str">
        <f>_xll.BDP("56501MDD Muni","STATE_CODE")</f>
        <v>TX</v>
      </c>
      <c r="E877" t="str">
        <f>_xll.BDP("56501MDD Muni","COUNTY_LOCATION_ISSUER")</f>
        <v>Brazoria, TX</v>
      </c>
      <c r="F877">
        <f>_xll.BDP("56501MDD Muni","DUR_ADJ_MID")</f>
        <v>4.1806865662923229</v>
      </c>
      <c r="G877">
        <f>_xll.BDP("56501MDD Muni","SPREAD_AT_ISSUANCE_TO_WORST")</f>
        <v>21.570142465753417</v>
      </c>
      <c r="H877" t="str">
        <f>_xll.BDP("56501MDD Muni","ISSUE_DT")</f>
        <v>12/15/2017</v>
      </c>
      <c r="I877" t="str">
        <f>_xll.BDS("56501MDD Muni","MUNI_PURPOSE_SCHED", "aggregate=y")</f>
        <v>WATER UTILITY IMPS. SEWER IMPS.</v>
      </c>
      <c r="J877">
        <f>_xll.BDP("56501MDD Muni","CPN")</f>
        <v>3</v>
      </c>
      <c r="K877" t="str">
        <f>_xll.BDP("56501MDD Muni","MATURITY")</f>
        <v>2/15/2027</v>
      </c>
      <c r="L877">
        <v>165000</v>
      </c>
      <c r="M877">
        <f>_xll.BDP("56501MDD Muni","YIELD_ON_ISSUE_DATE")</f>
        <v>2.3000000000000003</v>
      </c>
      <c r="N877">
        <f>_xll.BDP("56501MDD Muni","YTW_SPREAD_TO_MATURITY_AT_ISSU")</f>
        <v>21.570142465753417</v>
      </c>
      <c r="O877" t="str">
        <f>_xll.BDP("56501MDD Muni","BVAL_MID_YTM")</f>
        <v>#N/A Authorization</v>
      </c>
      <c r="P877" t="str">
        <f>_xll.BDP("56501MDD Muni","MUNI_TAX_PROV")</f>
        <v>FED BQ</v>
      </c>
      <c r="Q877" t="str">
        <f>_xll.BDP("56501MDD Muni","MUNI_FED_TAX")</f>
        <v>N</v>
      </c>
      <c r="R877" t="str">
        <f>_xll.BDP("56501MDD Muni","MUNI_MSRB_VOLUME")</f>
        <v>#N/A N/A</v>
      </c>
      <c r="S877" t="str">
        <f>_xll.BDP("56501MDD Muni","BB_COMPOSITE")</f>
        <v>#N/A N/A</v>
      </c>
      <c r="T877">
        <f>_xll.BDP("56501MDD Muni","LQA_LIQUIDITY_SCORE")</f>
        <v>45</v>
      </c>
    </row>
    <row r="878" spans="1:20" x14ac:dyDescent="0.25">
      <c r="A878" t="str">
        <f>_xll.BDP("509696UX Muni","ID_CUSIP")</f>
        <v>509696UX6</v>
      </c>
      <c r="B878" t="s">
        <v>291</v>
      </c>
      <c r="C878" t="str">
        <f>_xll.BDP("509696UX Muni","INSURANCE_STATUS")</f>
        <v>N</v>
      </c>
      <c r="D878" t="str">
        <f>_xll.BDP("509696UX Muni","STATE_CODE")</f>
        <v>IL</v>
      </c>
      <c r="E878" t="str">
        <f>_xll.BDP("509696UX Muni","COUNTY_LOCATION_ISSUER")</f>
        <v>Lake, IL</v>
      </c>
      <c r="F878">
        <f>_xll.BDP("509696UX Muni","DUR_ADJ_MID")</f>
        <v>1.3431115071039272</v>
      </c>
      <c r="G878">
        <f>_xll.BDP("509696UX Muni","SPREAD_AT_ISSUANCE_TO_WORST")</f>
        <v>23.044237944517821</v>
      </c>
      <c r="H878" t="str">
        <f>_xll.BDP("509696UX Muni","ISSUE_DT")</f>
        <v>6/5/2017</v>
      </c>
      <c r="I878" t="str">
        <f>_xll.BDS("509696UX Muni","MUNI_PURPOSE_SCHED", "aggregate=y")</f>
        <v>WATER UTILITY IMPS.</v>
      </c>
      <c r="J878">
        <f>_xll.BDP("509696UX Muni","CPN")</f>
        <v>2</v>
      </c>
      <c r="K878" t="str">
        <f>_xll.BDP("509696UX Muni","MATURITY")</f>
        <v>12/15/2023</v>
      </c>
      <c r="L878">
        <v>515000</v>
      </c>
      <c r="M878">
        <f>_xll.BDP("509696UX Muni","YIELD_ON_ISSUE_DATE")</f>
        <v>1.85</v>
      </c>
      <c r="N878">
        <f>_xll.BDP("509696UX Muni","YTW_SPREAD_TO_MATURITY_AT_ISSU")</f>
        <v>23.044237944517821</v>
      </c>
      <c r="O878" t="str">
        <f>_xll.BDP("509696UX Muni","BVAL_MID_YTM")</f>
        <v>#N/A Authorization</v>
      </c>
      <c r="P878" t="str">
        <f>_xll.BDP("509696UX Muni","MUNI_TAX_PROV")</f>
        <v>FED BQ/ST TAXABLE</v>
      </c>
      <c r="Q878" t="str">
        <f>_xll.BDP("509696UX Muni","MUNI_FED_TAX")</f>
        <v>N</v>
      </c>
      <c r="R878" t="str">
        <f>_xll.BDP("509696UX Muni","MUNI_MSRB_VOLUME")</f>
        <v>#N/A N/A</v>
      </c>
      <c r="S878" t="str">
        <f>_xll.BDP("509696UX Muni","BB_COMPOSITE")</f>
        <v>#N/A N/A</v>
      </c>
      <c r="T878">
        <f>_xll.BDP("509696UX Muni","LQA_LIQUIDITY_SCORE")</f>
        <v>82</v>
      </c>
    </row>
    <row r="879" spans="1:20" x14ac:dyDescent="0.25">
      <c r="A879" t="str">
        <f>_xll.BDP("509696UY Muni","ID_CUSIP")</f>
        <v>509696UY4</v>
      </c>
      <c r="B879" t="s">
        <v>291</v>
      </c>
      <c r="C879" t="str">
        <f>_xll.BDP("509696UY Muni","INSURANCE_STATUS")</f>
        <v>N</v>
      </c>
      <c r="D879" t="str">
        <f>_xll.BDP("509696UY Muni","STATE_CODE")</f>
        <v>IL</v>
      </c>
      <c r="E879" t="str">
        <f>_xll.BDP("509696UY Muni","COUNTY_LOCATION_ISSUER")</f>
        <v>Lake, IL</v>
      </c>
      <c r="F879">
        <f>_xll.BDP("509696UY Muni","DUR_ADJ_MID")</f>
        <v>2.287311425313487</v>
      </c>
      <c r="G879">
        <f>_xll.BDP("509696UY Muni","SPREAD_AT_ISSUANCE_TO_WORST")</f>
        <v>21.642954774578051</v>
      </c>
      <c r="H879" t="str">
        <f>_xll.BDP("509696UY Muni","ISSUE_DT")</f>
        <v>6/5/2017</v>
      </c>
      <c r="I879" t="str">
        <f>_xll.BDS("509696UY Muni","MUNI_PURPOSE_SCHED", "aggregate=y")</f>
        <v>WATER UTILITY IMPS.</v>
      </c>
      <c r="J879">
        <f>_xll.BDP("509696UY Muni","CPN")</f>
        <v>2.5</v>
      </c>
      <c r="K879" t="str">
        <f>_xll.BDP("509696UY Muni","MATURITY")</f>
        <v>12/15/2024</v>
      </c>
      <c r="L879">
        <v>525000</v>
      </c>
      <c r="M879">
        <f>_xll.BDP("509696UY Muni","YIELD_ON_ISSUE_DATE")</f>
        <v>2</v>
      </c>
      <c r="N879">
        <f>_xll.BDP("509696UY Muni","YTW_SPREAD_TO_MATURITY_AT_ISSU")</f>
        <v>21.642954774578051</v>
      </c>
      <c r="O879" t="str">
        <f>_xll.BDP("509696UY Muni","BVAL_MID_YTM")</f>
        <v>#N/A Authorization</v>
      </c>
      <c r="P879" t="str">
        <f>_xll.BDP("509696UY Muni","MUNI_TAX_PROV")</f>
        <v>FED BQ/ST TAXABLE</v>
      </c>
      <c r="Q879" t="str">
        <f>_xll.BDP("509696UY Muni","MUNI_FED_TAX")</f>
        <v>N</v>
      </c>
      <c r="R879" t="str">
        <f>_xll.BDP("509696UY Muni","MUNI_MSRB_VOLUME")</f>
        <v>#N/A N/A</v>
      </c>
      <c r="S879" t="str">
        <f>_xll.BDP("509696UY Muni","BB_COMPOSITE")</f>
        <v>#N/A N/A</v>
      </c>
      <c r="T879">
        <f>_xll.BDP("509696UY Muni","LQA_LIQUIDITY_SCORE")</f>
        <v>77</v>
      </c>
    </row>
    <row r="880" spans="1:20" x14ac:dyDescent="0.25">
      <c r="A880" t="str">
        <f>_xll.BDP("509696UZ Muni","ID_CUSIP")</f>
        <v>509696UZ1</v>
      </c>
      <c r="B880" t="s">
        <v>291</v>
      </c>
      <c r="C880" t="str">
        <f>_xll.BDP("509696UZ Muni","INSURANCE_STATUS")</f>
        <v>N</v>
      </c>
      <c r="D880" t="str">
        <f>_xll.BDP("509696UZ Muni","STATE_CODE")</f>
        <v>IL</v>
      </c>
      <c r="E880" t="str">
        <f>_xll.BDP("509696UZ Muni","COUNTY_LOCATION_ISSUER")</f>
        <v>Lake, IL</v>
      </c>
      <c r="F880">
        <f>_xll.BDP("509696UZ Muni","DUR_ADJ_MID")</f>
        <v>3.2122351515329957</v>
      </c>
      <c r="G880">
        <f>_xll.BDP("509696UZ Muni","SPREAD_AT_ISSUANCE_TO_WORST")</f>
        <v>16.271368241498131</v>
      </c>
      <c r="H880" t="str">
        <f>_xll.BDP("509696UZ Muni","ISSUE_DT")</f>
        <v>6/5/2017</v>
      </c>
      <c r="I880" t="str">
        <f>_xll.BDS("509696UZ Muni","MUNI_PURPOSE_SCHED", "aggregate=y")</f>
        <v>WATER UTILITY IMPS.</v>
      </c>
      <c r="J880">
        <f>_xll.BDP("509696UZ Muni","CPN")</f>
        <v>2.5</v>
      </c>
      <c r="K880" t="str">
        <f>_xll.BDP("509696UZ Muni","MATURITY")</f>
        <v>12/15/2025</v>
      </c>
      <c r="L880">
        <v>535000</v>
      </c>
      <c r="M880">
        <f>_xll.BDP("509696UZ Muni","YIELD_ON_ISSUE_DATE")</f>
        <v>2.1</v>
      </c>
      <c r="N880">
        <f>_xll.BDP("509696UZ Muni","YTW_SPREAD_TO_MATURITY_AT_ISSU")</f>
        <v>16.271368241498131</v>
      </c>
      <c r="O880" t="str">
        <f>_xll.BDP("509696UZ Muni","BVAL_MID_YTM")</f>
        <v>#N/A Authorization</v>
      </c>
      <c r="P880" t="str">
        <f>_xll.BDP("509696UZ Muni","MUNI_TAX_PROV")</f>
        <v>FED BQ/ST TAXABLE</v>
      </c>
      <c r="Q880" t="str">
        <f>_xll.BDP("509696UZ Muni","MUNI_FED_TAX")</f>
        <v>N</v>
      </c>
      <c r="R880" t="str">
        <f>_xll.BDP("509696UZ Muni","MUNI_MSRB_VOLUME")</f>
        <v>#N/A N/A</v>
      </c>
      <c r="S880" t="str">
        <f>_xll.BDP("509696UZ Muni","BB_COMPOSITE")</f>
        <v>#N/A N/A</v>
      </c>
      <c r="T880">
        <f>_xll.BDP("509696UZ Muni","LQA_LIQUIDITY_SCORE")</f>
        <v>67</v>
      </c>
    </row>
    <row r="881" spans="1:20" x14ac:dyDescent="0.25">
      <c r="A881" t="str">
        <f>_xll.BDP("510066QH Muni","ID_CUSIP")</f>
        <v>510066QH9</v>
      </c>
      <c r="B881" t="s">
        <v>292</v>
      </c>
      <c r="C881" t="str">
        <f>_xll.BDP("510066QH Muni","INSURANCE_STATUS")</f>
        <v>N</v>
      </c>
      <c r="D881" t="str">
        <f>_xll.BDP("510066QH Muni","STATE_CODE")</f>
        <v>TX</v>
      </c>
      <c r="E881" t="str">
        <f>_xll.BDP("510066QH Muni","COUNTY_LOCATION_ISSUER")</f>
        <v>Brazoria, TX</v>
      </c>
      <c r="F881">
        <f>_xll.BDP("510066QH Muni","DUR_ADJ_MID")</f>
        <v>0.68863402392658024</v>
      </c>
      <c r="G881">
        <f>_xll.BDP("510066QH Muni","SPREAD_AT_ISSUANCE_TO_WORST")</f>
        <v>28.224342465753427</v>
      </c>
      <c r="H881" t="str">
        <f>_xll.BDP("510066QH Muni","ISSUE_DT")</f>
        <v>11/1/2017</v>
      </c>
      <c r="I881" t="str">
        <f>_xll.BDS("510066QH Muni","MUNI_PURPOSE_SCHED", "aggregate=y")</f>
        <v>WATER UTILITY IMPS. SEWER IMPS.</v>
      </c>
      <c r="J881">
        <f>_xll.BDP("510066QH Muni","CPN")</f>
        <v>4</v>
      </c>
      <c r="K881" t="str">
        <f>_xll.BDP("510066QH Muni","MATURITY")</f>
        <v>4/15/2023</v>
      </c>
      <c r="L881">
        <v>275000</v>
      </c>
      <c r="M881">
        <f>_xll.BDP("510066QH Muni","YIELD_ON_ISSUE_DATE")</f>
        <v>1.7000000000000002</v>
      </c>
      <c r="N881">
        <f>_xll.BDP("510066QH Muni","YTW_SPREAD_TO_MATURITY_AT_ISSU")</f>
        <v>28.224342465753427</v>
      </c>
      <c r="O881" t="str">
        <f>_xll.BDP("510066QH Muni","BVAL_MID_YTM")</f>
        <v>#N/A Authorization</v>
      </c>
      <c r="P881" t="str">
        <f>_xll.BDP("510066QH Muni","MUNI_TAX_PROV")</f>
        <v>FED BQ</v>
      </c>
      <c r="Q881" t="str">
        <f>_xll.BDP("510066QH Muni","MUNI_FED_TAX")</f>
        <v>N</v>
      </c>
      <c r="R881">
        <f>_xll.BDP("510066QH Muni","MUNI_MSRB_VOLUME")</f>
        <v>300000</v>
      </c>
      <c r="S881" t="str">
        <f>_xll.BDP("510066QH Muni","BB_COMPOSITE")</f>
        <v>AA-</v>
      </c>
      <c r="T881">
        <f>_xll.BDP("510066QH Muni","LQA_LIQUIDITY_SCORE")</f>
        <v>97</v>
      </c>
    </row>
    <row r="882" spans="1:20" x14ac:dyDescent="0.25">
      <c r="A882" t="str">
        <f>_xll.BDP("510066QJ Muni","ID_CUSIP")</f>
        <v>510066QJ5</v>
      </c>
      <c r="B882" t="s">
        <v>292</v>
      </c>
      <c r="C882" t="str">
        <f>_xll.BDP("510066QJ Muni","INSURANCE_STATUS")</f>
        <v>N</v>
      </c>
      <c r="D882" t="str">
        <f>_xll.BDP("510066QJ Muni","STATE_CODE")</f>
        <v>TX</v>
      </c>
      <c r="E882" t="str">
        <f>_xll.BDP("510066QJ Muni","COUNTY_LOCATION_ISSUER")</f>
        <v>Brazoria, TX</v>
      </c>
      <c r="F882">
        <f>_xll.BDP("510066QJ Muni","DUR_ADJ_MID")</f>
        <v>1.6319317870914898</v>
      </c>
      <c r="G882">
        <f>_xll.BDP("510066QJ Muni","SPREAD_AT_ISSUANCE_TO_WORST")</f>
        <v>30.118830136986308</v>
      </c>
      <c r="H882" t="str">
        <f>_xll.BDP("510066QJ Muni","ISSUE_DT")</f>
        <v>11/1/2017</v>
      </c>
      <c r="I882" t="str">
        <f>_xll.BDS("510066QJ Muni","MUNI_PURPOSE_SCHED", "aggregate=y")</f>
        <v>WATER UTILITY IMPS. SEWER IMPS.</v>
      </c>
      <c r="J882">
        <f>_xll.BDP("510066QJ Muni","CPN")</f>
        <v>4</v>
      </c>
      <c r="K882" t="str">
        <f>_xll.BDP("510066QJ Muni","MATURITY")</f>
        <v>4/15/2024</v>
      </c>
      <c r="L882">
        <v>275000</v>
      </c>
      <c r="M882">
        <f>_xll.BDP("510066QJ Muni","YIELD_ON_ISSUE_DATE")</f>
        <v>1.85</v>
      </c>
      <c r="N882">
        <f>_xll.BDP("510066QJ Muni","YTW_SPREAD_TO_MATURITY_AT_ISSU")</f>
        <v>30.118830136986308</v>
      </c>
      <c r="O882" t="str">
        <f>_xll.BDP("510066QJ Muni","BVAL_MID_YTM")</f>
        <v>#N/A Authorization</v>
      </c>
      <c r="P882" t="str">
        <f>_xll.BDP("510066QJ Muni","MUNI_TAX_PROV")</f>
        <v>FED BQ</v>
      </c>
      <c r="Q882" t="str">
        <f>_xll.BDP("510066QJ Muni","MUNI_FED_TAX")</f>
        <v>N</v>
      </c>
      <c r="R882" t="str">
        <f>_xll.BDP("510066QJ Muni","MUNI_MSRB_VOLUME")</f>
        <v>#N/A N/A</v>
      </c>
      <c r="S882" t="str">
        <f>_xll.BDP("510066QJ Muni","BB_COMPOSITE")</f>
        <v>AA-</v>
      </c>
      <c r="T882">
        <f>_xll.BDP("510066QJ Muni","LQA_LIQUIDITY_SCORE")</f>
        <v>89</v>
      </c>
    </row>
    <row r="883" spans="1:20" x14ac:dyDescent="0.25">
      <c r="A883" t="str">
        <f>_xll.BDP("510066QK Muni","ID_CUSIP")</f>
        <v>510066QK2</v>
      </c>
      <c r="B883" t="s">
        <v>292</v>
      </c>
      <c r="C883" t="str">
        <f>_xll.BDP("510066QK Muni","INSURANCE_STATUS")</f>
        <v>N</v>
      </c>
      <c r="D883" t="str">
        <f>_xll.BDP("510066QK Muni","STATE_CODE")</f>
        <v>TX</v>
      </c>
      <c r="E883" t="str">
        <f>_xll.BDP("510066QK Muni","COUNTY_LOCATION_ISSUER")</f>
        <v>Brazoria, TX</v>
      </c>
      <c r="F883">
        <f>_xll.BDP("510066QK Muni","DUR_ADJ_MID")</f>
        <v>2.5402820649306297</v>
      </c>
      <c r="G883">
        <f>_xll.BDP("510066QK Muni","SPREAD_AT_ISSUANCE_TO_WORST")</f>
        <v>31.821668493150689</v>
      </c>
      <c r="H883" t="str">
        <f>_xll.BDP("510066QK Muni","ISSUE_DT")</f>
        <v>11/1/2017</v>
      </c>
      <c r="I883" t="str">
        <f>_xll.BDS("510066QK Muni","MUNI_PURPOSE_SCHED", "aggregate=y")</f>
        <v>WATER UTILITY IMPS. SEWER IMPS.</v>
      </c>
      <c r="J883">
        <f>_xll.BDP("510066QK Muni","CPN")</f>
        <v>4</v>
      </c>
      <c r="K883" t="str">
        <f>_xll.BDP("510066QK Muni","MATURITY")</f>
        <v>4/15/2025</v>
      </c>
      <c r="L883">
        <v>275000</v>
      </c>
      <c r="M883">
        <f>_xll.BDP("510066QK Muni","YIELD_ON_ISSUE_DATE")</f>
        <v>2</v>
      </c>
      <c r="N883">
        <f>_xll.BDP("510066QK Muni","YTW_SPREAD_TO_MATURITY_AT_ISSU")</f>
        <v>31.821668493150689</v>
      </c>
      <c r="O883" t="str">
        <f>_xll.BDP("510066QK Muni","BVAL_MID_YTM")</f>
        <v>#N/A Authorization</v>
      </c>
      <c r="P883" t="str">
        <f>_xll.BDP("510066QK Muni","MUNI_TAX_PROV")</f>
        <v>FED BQ</v>
      </c>
      <c r="Q883" t="str">
        <f>_xll.BDP("510066QK Muni","MUNI_FED_TAX")</f>
        <v>N</v>
      </c>
      <c r="R883" t="str">
        <f>_xll.BDP("510066QK Muni","MUNI_MSRB_VOLUME")</f>
        <v>#N/A N/A</v>
      </c>
      <c r="S883" t="str">
        <f>_xll.BDP("510066QK Muni","BB_COMPOSITE")</f>
        <v>AA-</v>
      </c>
      <c r="T883">
        <f>_xll.BDP("510066QK Muni","LQA_LIQUIDITY_SCORE")</f>
        <v>80</v>
      </c>
    </row>
    <row r="884" spans="1:20" x14ac:dyDescent="0.25">
      <c r="A884" t="str">
        <f>_xll.BDP("510066QL Muni","ID_CUSIP")</f>
        <v>510066QL0</v>
      </c>
      <c r="B884" t="s">
        <v>292</v>
      </c>
      <c r="C884" t="str">
        <f>_xll.BDP("510066QL Muni","INSURANCE_STATUS")</f>
        <v>N</v>
      </c>
      <c r="D884" t="str">
        <f>_xll.BDP("510066QL Muni","STATE_CODE")</f>
        <v>TX</v>
      </c>
      <c r="E884" t="str">
        <f>_xll.BDP("510066QL Muni","COUNTY_LOCATION_ISSUER")</f>
        <v>Brazoria, TX</v>
      </c>
      <c r="F884">
        <f>_xll.BDP("510066QL Muni","DUR_ADJ_MID")</f>
        <v>3.4154128232682339</v>
      </c>
      <c r="G884">
        <f>_xll.BDP("510066QL Muni","SPREAD_AT_ISSUANCE_TO_WORST")</f>
        <v>34.341172602739725</v>
      </c>
      <c r="H884" t="str">
        <f>_xll.BDP("510066QL Muni","ISSUE_DT")</f>
        <v>11/1/2017</v>
      </c>
      <c r="I884" t="str">
        <f>_xll.BDS("510066QL Muni","MUNI_PURPOSE_SCHED", "aggregate=y")</f>
        <v>WATER UTILITY IMPS. SEWER IMPS.</v>
      </c>
      <c r="J884">
        <f>_xll.BDP("510066QL Muni","CPN")</f>
        <v>4</v>
      </c>
      <c r="K884" t="str">
        <f>_xll.BDP("510066QL Muni","MATURITY")</f>
        <v>4/15/2026</v>
      </c>
      <c r="L884">
        <v>275000</v>
      </c>
      <c r="M884">
        <f>_xll.BDP("510066QL Muni","YIELD_ON_ISSUE_DATE")</f>
        <v>2.15</v>
      </c>
      <c r="N884">
        <f>_xll.BDP("510066QL Muni","YTW_SPREAD_TO_MATURITY_AT_ISSU")</f>
        <v>34.341172602739725</v>
      </c>
      <c r="O884" t="str">
        <f>_xll.BDP("510066QL Muni","BVAL_MID_YTM")</f>
        <v>#N/A Authorization</v>
      </c>
      <c r="P884" t="str">
        <f>_xll.BDP("510066QL Muni","MUNI_TAX_PROV")</f>
        <v>FED BQ</v>
      </c>
      <c r="Q884" t="str">
        <f>_xll.BDP("510066QL Muni","MUNI_FED_TAX")</f>
        <v>N</v>
      </c>
      <c r="R884" t="str">
        <f>_xll.BDP("510066QL Muni","MUNI_MSRB_VOLUME")</f>
        <v>#N/A N/A</v>
      </c>
      <c r="S884" t="str">
        <f>_xll.BDP("510066QL Muni","BB_COMPOSITE")</f>
        <v>AA-</v>
      </c>
      <c r="T884">
        <f>_xll.BDP("510066QL Muni","LQA_LIQUIDITY_SCORE")</f>
        <v>75</v>
      </c>
    </row>
    <row r="885" spans="1:20" x14ac:dyDescent="0.25">
      <c r="A885" t="str">
        <f>_xll.BDP("510221FX Muni","ID_CUSIP")</f>
        <v>510221FX7</v>
      </c>
      <c r="B885" t="s">
        <v>293</v>
      </c>
      <c r="C885" t="str">
        <f>_xll.BDP("510221FX Muni","INSURANCE_STATUS")</f>
        <v>N</v>
      </c>
      <c r="D885" t="str">
        <f>_xll.BDP("510221FX Muni","STATE_CODE")</f>
        <v>WI</v>
      </c>
      <c r="E885" t="str">
        <f>_xll.BDP("510221FX Muni","COUNTY_LOCATION_ISSUER")</f>
        <v>Jefferson, WI</v>
      </c>
      <c r="F885">
        <f>_xll.BDP("510221FX Muni","DUR_ADJ_MID")</f>
        <v>0.73432889454380834</v>
      </c>
      <c r="G885">
        <f>_xll.BDP("510221FX Muni","SPREAD_AT_ISSUANCE_TO_WORST")</f>
        <v>36.327246993126636</v>
      </c>
      <c r="H885" t="str">
        <f>_xll.BDP("510221FX Muni","ISSUE_DT")</f>
        <v>4/6/2017</v>
      </c>
      <c r="I885" t="str">
        <f>_xll.BDS("510221FX Muni","MUNI_PURPOSE_SCHED", "aggregate=y")</f>
        <v>WATER UTILITY IMPS. SEWER IMPS. ELEC. LT. &amp; PWR. IMPTS.</v>
      </c>
      <c r="J885">
        <f>_xll.BDP("510221FX Muni","CPN")</f>
        <v>3</v>
      </c>
      <c r="K885" t="str">
        <f>_xll.BDP("510221FX Muni","MATURITY")</f>
        <v>5/1/2023</v>
      </c>
      <c r="L885">
        <v>50000</v>
      </c>
      <c r="M885">
        <f>_xll.BDP("510221FX Muni","YIELD_ON_ISSUE_DATE")</f>
        <v>2.2000000000000002</v>
      </c>
      <c r="N885">
        <f>_xll.BDP("510221FX Muni","YTW_SPREAD_TO_MATURITY_AT_ISSU")</f>
        <v>36.327246993126636</v>
      </c>
      <c r="O885" t="str">
        <f>_xll.BDP("510221FX Muni","BVAL_MID_YTM")</f>
        <v>#N/A Authorization</v>
      </c>
      <c r="P885" t="str">
        <f>_xll.BDP("510221FX Muni","MUNI_TAX_PROV")</f>
        <v>FED BQ/ST TAXABLE</v>
      </c>
      <c r="Q885" t="str">
        <f>_xll.BDP("510221FX Muni","MUNI_FED_TAX")</f>
        <v>N</v>
      </c>
      <c r="R885" t="str">
        <f>_xll.BDP("510221FX Muni","MUNI_MSRB_VOLUME")</f>
        <v>#N/A N/A</v>
      </c>
      <c r="S885" t="str">
        <f>_xll.BDP("510221FX Muni","BB_COMPOSITE")</f>
        <v>#N/A N/A</v>
      </c>
      <c r="T885">
        <f>_xll.BDP("510221FX Muni","LQA_LIQUIDITY_SCORE")</f>
        <v>88</v>
      </c>
    </row>
    <row r="886" spans="1:20" x14ac:dyDescent="0.25">
      <c r="A886" t="str">
        <f>_xll.BDP("510221FY Muni","ID_CUSIP")</f>
        <v>510221FY5</v>
      </c>
      <c r="B886" t="s">
        <v>293</v>
      </c>
      <c r="C886" t="str">
        <f>_xll.BDP("510221FY Muni","INSURANCE_STATUS")</f>
        <v>N</v>
      </c>
      <c r="D886" t="str">
        <f>_xll.BDP("510221FY Muni","STATE_CODE")</f>
        <v>WI</v>
      </c>
      <c r="E886" t="str">
        <f>_xll.BDP("510221FY Muni","COUNTY_LOCATION_ISSUER")</f>
        <v>Jefferson, WI</v>
      </c>
      <c r="F886">
        <f>_xll.BDP("510221FY Muni","DUR_ADJ_MID")</f>
        <v>1.6875438688769009</v>
      </c>
      <c r="G886">
        <f>_xll.BDP("510221FY Muni","SPREAD_AT_ISSUANCE_TO_WORST")</f>
        <v>40.048517354479898</v>
      </c>
      <c r="H886" t="str">
        <f>_xll.BDP("510221FY Muni","ISSUE_DT")</f>
        <v>4/6/2017</v>
      </c>
      <c r="I886" t="str">
        <f>_xll.BDS("510221FY Muni","MUNI_PURPOSE_SCHED", "aggregate=y")</f>
        <v>WATER UTILITY IMPS. SEWER IMPS. ELEC. LT. &amp; PWR. IMPTS.</v>
      </c>
      <c r="J886">
        <f>_xll.BDP("510221FY Muni","CPN")</f>
        <v>3</v>
      </c>
      <c r="K886" t="str">
        <f>_xll.BDP("510221FY Muni","MATURITY")</f>
        <v>5/1/2024</v>
      </c>
      <c r="L886">
        <v>50000</v>
      </c>
      <c r="M886">
        <f>_xll.BDP("510221FY Muni","YIELD_ON_ISSUE_DATE")</f>
        <v>2.4000000000000004</v>
      </c>
      <c r="N886">
        <f>_xll.BDP("510221FY Muni","YTW_SPREAD_TO_MATURITY_AT_ISSU")</f>
        <v>40.048517354479898</v>
      </c>
      <c r="O886" t="str">
        <f>_xll.BDP("510221FY Muni","BVAL_MID_YTM")</f>
        <v>#N/A Authorization</v>
      </c>
      <c r="P886" t="str">
        <f>_xll.BDP("510221FY Muni","MUNI_TAX_PROV")</f>
        <v>FED BQ/ST TAXABLE</v>
      </c>
      <c r="Q886" t="str">
        <f>_xll.BDP("510221FY Muni","MUNI_FED_TAX")</f>
        <v>N</v>
      </c>
      <c r="R886" t="str">
        <f>_xll.BDP("510221FY Muni","MUNI_MSRB_VOLUME")</f>
        <v>#N/A N/A</v>
      </c>
      <c r="S886" t="str">
        <f>_xll.BDP("510221FY Muni","BB_COMPOSITE")</f>
        <v>#N/A N/A</v>
      </c>
      <c r="T886">
        <f>_xll.BDP("510221FY Muni","LQA_LIQUIDITY_SCORE")</f>
        <v>74</v>
      </c>
    </row>
    <row r="887" spans="1:20" x14ac:dyDescent="0.25">
      <c r="A887" t="str">
        <f>_xll.BDP("510221FZ Muni","ID_CUSIP")</f>
        <v>510221FZ2</v>
      </c>
      <c r="B887" t="s">
        <v>293</v>
      </c>
      <c r="C887" t="str">
        <f>_xll.BDP("510221FZ Muni","INSURANCE_STATUS")</f>
        <v>N</v>
      </c>
      <c r="D887" t="str">
        <f>_xll.BDP("510221FZ Muni","STATE_CODE")</f>
        <v>WI</v>
      </c>
      <c r="E887" t="str">
        <f>_xll.BDP("510221FZ Muni","COUNTY_LOCATION_ISSUER")</f>
        <v>Jefferson, WI</v>
      </c>
      <c r="F887">
        <f>_xll.BDP("510221FZ Muni","DUR_ADJ_MID")</f>
        <v>2.6130488476891331</v>
      </c>
      <c r="G887">
        <f>_xll.BDP("510221FZ Muni","SPREAD_AT_ISSUANCE_TO_WORST")</f>
        <v>44.451534359866194</v>
      </c>
      <c r="H887" t="str">
        <f>_xll.BDP("510221FZ Muni","ISSUE_DT")</f>
        <v>4/6/2017</v>
      </c>
      <c r="I887" t="str">
        <f>_xll.BDS("510221FZ Muni","MUNI_PURPOSE_SCHED", "aggregate=y")</f>
        <v>WATER UTILITY IMPS. SEWER IMPS. ELEC. LT. &amp; PWR. IMPTS.</v>
      </c>
      <c r="J887">
        <f>_xll.BDP("510221FZ Muni","CPN")</f>
        <v>3</v>
      </c>
      <c r="K887" t="str">
        <f>_xll.BDP("510221FZ Muni","MATURITY")</f>
        <v>5/1/2025</v>
      </c>
      <c r="L887">
        <v>55000</v>
      </c>
      <c r="M887">
        <f>_xll.BDP("510221FZ Muni","YIELD_ON_ISSUE_DATE")</f>
        <v>2.6</v>
      </c>
      <c r="N887">
        <f>_xll.BDP("510221FZ Muni","YTW_SPREAD_TO_MATURITY_AT_ISSU")</f>
        <v>44.451534359866194</v>
      </c>
      <c r="O887" t="str">
        <f>_xll.BDP("510221FZ Muni","BVAL_MID_YTM")</f>
        <v>#N/A Authorization</v>
      </c>
      <c r="P887" t="str">
        <f>_xll.BDP("510221FZ Muni","MUNI_TAX_PROV")</f>
        <v>FED BQ/ST TAXABLE</v>
      </c>
      <c r="Q887" t="str">
        <f>_xll.BDP("510221FZ Muni","MUNI_FED_TAX")</f>
        <v>N</v>
      </c>
      <c r="R887" t="str">
        <f>_xll.BDP("510221FZ Muni","MUNI_MSRB_VOLUME")</f>
        <v>#N/A N/A</v>
      </c>
      <c r="S887" t="str">
        <f>_xll.BDP("510221FZ Muni","BB_COMPOSITE")</f>
        <v>#N/A N/A</v>
      </c>
      <c r="T887">
        <f>_xll.BDP("510221FZ Muni","LQA_LIQUIDITY_SCORE")</f>
        <v>64</v>
      </c>
    </row>
    <row r="888" spans="1:20" x14ac:dyDescent="0.25">
      <c r="A888" t="str">
        <f>_xll.BDP("511115AU Muni","ID_CUSIP")</f>
        <v>511115AU1</v>
      </c>
      <c r="B888" t="s">
        <v>294</v>
      </c>
      <c r="C888" t="str">
        <f>_xll.BDP("511115AU Muni","INSURANCE_STATUS")</f>
        <v>N</v>
      </c>
      <c r="D888" t="str">
        <f>_xll.BDP("511115AU Muni","STATE_CODE")</f>
        <v>TX</v>
      </c>
      <c r="E888" t="str">
        <f>_xll.BDP("511115AU Muni","COUNTY_LOCATION_ISSUER")</f>
        <v>#N/A Field Not Applicable</v>
      </c>
      <c r="F888">
        <f>_xll.BDP("511115AU Muni","DUR_ADJ_MID")</f>
        <v>0.52020173806070424</v>
      </c>
      <c r="G888">
        <f>_xll.BDP("511115AU Muni","SPREAD_AT_ISSUANCE_TO_WORST")</f>
        <v>113.35963835616441</v>
      </c>
      <c r="H888" t="str">
        <f>_xll.BDP("511115AU Muni","ISSUE_DT")</f>
        <v>11/1/2017</v>
      </c>
      <c r="I888" t="str">
        <f>_xll.BDS("511115AU Muni","MUNI_PURPOSE_SCHED", "aggregate=y")</f>
        <v>PUBLIC IMPS. WATER UTILITY IMPS. SEWER IMPS.</v>
      </c>
      <c r="J888">
        <f>_xll.BDP("511115AU Muni","CPN")</f>
        <v>3</v>
      </c>
      <c r="K888" t="str">
        <f>_xll.BDP("511115AU Muni","MATURITY")</f>
        <v>2/15/2023</v>
      </c>
      <c r="L888">
        <v>125000</v>
      </c>
      <c r="M888">
        <f>_xll.BDP("511115AU Muni","YIELD_ON_ISSUE_DATE")</f>
        <v>2.6</v>
      </c>
      <c r="N888">
        <f>_xll.BDP("511115AU Muni","YTW_SPREAD_TO_MATURITY_AT_ISSU")</f>
        <v>113.35963835616441</v>
      </c>
      <c r="O888" t="str">
        <f>_xll.BDP("511115AU Muni","BVAL_MID_YTM")</f>
        <v>#N/A Authorization</v>
      </c>
      <c r="P888" t="str">
        <f>_xll.BDP("511115AU Muni","MUNI_TAX_PROV")</f>
        <v>FED BQ</v>
      </c>
      <c r="Q888" t="str">
        <f>_xll.BDP("511115AU Muni","MUNI_FED_TAX")</f>
        <v>N</v>
      </c>
      <c r="R888" t="str">
        <f>_xll.BDP("511115AU Muni","MUNI_MSRB_VOLUME")</f>
        <v>#N/A N/A</v>
      </c>
      <c r="S888" t="str">
        <f>_xll.BDP("511115AU Muni","BB_COMPOSITE")</f>
        <v>#N/A N/A</v>
      </c>
      <c r="T888">
        <f>_xll.BDP("511115AU Muni","LQA_LIQUIDITY_SCORE")</f>
        <v>91</v>
      </c>
    </row>
    <row r="889" spans="1:20" x14ac:dyDescent="0.25">
      <c r="A889" t="str">
        <f>_xll.BDP("511115AV Muni","ID_CUSIP")</f>
        <v>511115AV9</v>
      </c>
      <c r="B889" t="s">
        <v>294</v>
      </c>
      <c r="C889" t="str">
        <f>_xll.BDP("511115AV Muni","INSURANCE_STATUS")</f>
        <v>N</v>
      </c>
      <c r="D889" t="str">
        <f>_xll.BDP("511115AV Muni","STATE_CODE")</f>
        <v>TX</v>
      </c>
      <c r="E889" t="str">
        <f>_xll.BDP("511115AV Muni","COUNTY_LOCATION_ISSUER")</f>
        <v>#N/A Field Not Applicable</v>
      </c>
      <c r="F889">
        <f>_xll.BDP("511115AV Muni","DUR_ADJ_MID")</f>
        <v>1.4661195970101779</v>
      </c>
      <c r="G889">
        <f>_xll.BDP("511115AV Muni","SPREAD_AT_ISSUANCE_TO_WORST")</f>
        <v>120.80576986301368</v>
      </c>
      <c r="H889" t="str">
        <f>_xll.BDP("511115AV Muni","ISSUE_DT")</f>
        <v>11/1/2017</v>
      </c>
      <c r="I889" t="str">
        <f>_xll.BDS("511115AV Muni","MUNI_PURPOSE_SCHED", "aggregate=y")</f>
        <v>PUBLIC IMPS. WATER UTILITY IMPS. SEWER IMPS.</v>
      </c>
      <c r="J889">
        <f>_xll.BDP("511115AV Muni","CPN")</f>
        <v>3</v>
      </c>
      <c r="K889" t="str">
        <f>_xll.BDP("511115AV Muni","MATURITY")</f>
        <v>2/15/2024</v>
      </c>
      <c r="L889">
        <v>125000</v>
      </c>
      <c r="M889">
        <f>_xll.BDP("511115AV Muni","YIELD_ON_ISSUE_DATE")</f>
        <v>2.8000000000000003</v>
      </c>
      <c r="N889">
        <f>_xll.BDP("511115AV Muni","YTW_SPREAD_TO_MATURITY_AT_ISSU")</f>
        <v>120.80576986301368</v>
      </c>
      <c r="O889" t="str">
        <f>_xll.BDP("511115AV Muni","BVAL_MID_YTM")</f>
        <v>#N/A Authorization</v>
      </c>
      <c r="P889" t="str">
        <f>_xll.BDP("511115AV Muni","MUNI_TAX_PROV")</f>
        <v>FED BQ</v>
      </c>
      <c r="Q889" t="str">
        <f>_xll.BDP("511115AV Muni","MUNI_FED_TAX")</f>
        <v>N</v>
      </c>
      <c r="R889" t="str">
        <f>_xll.BDP("511115AV Muni","MUNI_MSRB_VOLUME")</f>
        <v>#N/A N/A</v>
      </c>
      <c r="S889" t="str">
        <f>_xll.BDP("511115AV Muni","BB_COMPOSITE")</f>
        <v>#N/A N/A</v>
      </c>
      <c r="T889">
        <f>_xll.BDP("511115AV Muni","LQA_LIQUIDITY_SCORE")</f>
        <v>77</v>
      </c>
    </row>
    <row r="890" spans="1:20" x14ac:dyDescent="0.25">
      <c r="A890" t="str">
        <f>_xll.BDP("511115AW Muni","ID_CUSIP")</f>
        <v>511115AW7</v>
      </c>
      <c r="B890" t="s">
        <v>294</v>
      </c>
      <c r="C890" t="str">
        <f>_xll.BDP("511115AW Muni","INSURANCE_STATUS")</f>
        <v>N</v>
      </c>
      <c r="D890" t="str">
        <f>_xll.BDP("511115AW Muni","STATE_CODE")</f>
        <v>TX</v>
      </c>
      <c r="E890" t="str">
        <f>_xll.BDP("511115AW Muni","COUNTY_LOCATION_ISSUER")</f>
        <v>#N/A Field Not Applicable</v>
      </c>
      <c r="F890">
        <f>_xll.BDP("511115AW Muni","DUR_ADJ_MID")</f>
        <v>2.3819227512632155</v>
      </c>
      <c r="G890">
        <f>_xll.BDP("511115AW Muni","SPREAD_AT_ISSUANCE_TO_WORST")</f>
        <v>117.92413698630138</v>
      </c>
      <c r="H890" t="str">
        <f>_xll.BDP("511115AW Muni","ISSUE_DT")</f>
        <v>11/1/2017</v>
      </c>
      <c r="I890" t="str">
        <f>_xll.BDS("511115AW Muni","MUNI_PURPOSE_SCHED", "aggregate=y")</f>
        <v>PUBLIC IMPS. WATER UTILITY IMPS. SEWER IMPS.</v>
      </c>
      <c r="J890">
        <f>_xll.BDP("511115AW Muni","CPN")</f>
        <v>3</v>
      </c>
      <c r="K890" t="str">
        <f>_xll.BDP("511115AW Muni","MATURITY")</f>
        <v>2/15/2025</v>
      </c>
      <c r="L890">
        <v>130000</v>
      </c>
      <c r="M890">
        <f>_xll.BDP("511115AW Muni","YIELD_ON_ISSUE_DATE")</f>
        <v>2.9000000000000004</v>
      </c>
      <c r="N890">
        <f>_xll.BDP("511115AW Muni","YTW_SPREAD_TO_MATURITY_AT_ISSU")</f>
        <v>117.92413698630138</v>
      </c>
      <c r="O890" t="str">
        <f>_xll.BDP("511115AW Muni","BVAL_MID_YTM")</f>
        <v>#N/A Authorization</v>
      </c>
      <c r="P890" t="str">
        <f>_xll.BDP("511115AW Muni","MUNI_TAX_PROV")</f>
        <v>FED BQ</v>
      </c>
      <c r="Q890" t="str">
        <f>_xll.BDP("511115AW Muni","MUNI_FED_TAX")</f>
        <v>N</v>
      </c>
      <c r="R890" t="str">
        <f>_xll.BDP("511115AW Muni","MUNI_MSRB_VOLUME")</f>
        <v>#N/A N/A</v>
      </c>
      <c r="S890" t="str">
        <f>_xll.BDP("511115AW Muni","BB_COMPOSITE")</f>
        <v>#N/A N/A</v>
      </c>
      <c r="T890">
        <f>_xll.BDP("511115AW Muni","LQA_LIQUIDITY_SCORE")</f>
        <v>67</v>
      </c>
    </row>
    <row r="891" spans="1:20" x14ac:dyDescent="0.25">
      <c r="A891" t="str">
        <f>_xll.BDP("51219SFM Muni","ID_CUSIP")</f>
        <v>51219SFM5</v>
      </c>
      <c r="B891" t="s">
        <v>23</v>
      </c>
      <c r="C891" t="str">
        <f>_xll.BDP("51219SFM Muni","INSURANCE_STATUS")</f>
        <v>Y</v>
      </c>
      <c r="D891" t="str">
        <f>_xll.BDP("51219SFM Muni","STATE_CODE")</f>
        <v>TX</v>
      </c>
      <c r="E891" t="str">
        <f>_xll.BDP("51219SFM Muni","COUNTY_LOCATION_ISSUER")</f>
        <v>Travis, TX</v>
      </c>
      <c r="F891">
        <f>_xll.BDP("51219SFM Muni","DUR_ADJ_MID")</f>
        <v>8.0470264554355089E-2</v>
      </c>
      <c r="G891">
        <f>_xll.BDP("51219SFM Muni","SPREAD_AT_ISSUANCE_TO_WORST")</f>
        <v>39.043452054794514</v>
      </c>
      <c r="H891" t="str">
        <f>_xll.BDP("51219SFM Muni","ISSUE_DT")</f>
        <v>12/1/2017</v>
      </c>
      <c r="I891" t="str">
        <f>_xll.BDS("51219SFM Muni","MUNI_PURPOSE_SCHED", "aggregate=y")</f>
        <v>WATER UTILITY IMPS. SEWER IMPS.</v>
      </c>
      <c r="J891">
        <f>_xll.BDP("51219SFM Muni","CPN")</f>
        <v>3</v>
      </c>
      <c r="K891" t="str">
        <f>_xll.BDP("51219SFM Muni","MATURITY")</f>
        <v>9/1/2022</v>
      </c>
      <c r="L891">
        <v>300000</v>
      </c>
      <c r="M891">
        <f>_xll.BDP("51219SFM Muni","YIELD_ON_ISSUE_DATE")</f>
        <v>2.15</v>
      </c>
      <c r="N891">
        <f>_xll.BDP("51219SFM Muni","YTW_SPREAD_TO_MATURITY_AT_ISSU")</f>
        <v>39.043452054794514</v>
      </c>
      <c r="O891" t="str">
        <f>_xll.BDP("51219SFM Muni","BVAL_MID_YTM")</f>
        <v>#N/A Authorization</v>
      </c>
      <c r="P891" t="str">
        <f>_xll.BDP("51219SFM Muni","MUNI_TAX_PROV")</f>
        <v>FED BQ</v>
      </c>
      <c r="Q891" t="str">
        <f>_xll.BDP("51219SFM Muni","MUNI_FED_TAX")</f>
        <v>N</v>
      </c>
      <c r="R891" t="str">
        <f>_xll.BDP("51219SFM Muni","MUNI_MSRB_VOLUME")</f>
        <v>#N/A N/A</v>
      </c>
      <c r="S891" t="str">
        <f>_xll.BDP("51219SFM Muni","BB_COMPOSITE")</f>
        <v>A</v>
      </c>
      <c r="T891">
        <f>_xll.BDP("51219SFM Muni","LQA_LIQUIDITY_SCORE")</f>
        <v>87</v>
      </c>
    </row>
    <row r="892" spans="1:20" x14ac:dyDescent="0.25">
      <c r="A892" t="str">
        <f>_xll.BDP("51219SFP Muni","ID_CUSIP")</f>
        <v>51219SFP8</v>
      </c>
      <c r="B892" t="s">
        <v>23</v>
      </c>
      <c r="C892" t="str">
        <f>_xll.BDP("51219SFP Muni","INSURANCE_STATUS")</f>
        <v>Y</v>
      </c>
      <c r="D892" t="str">
        <f>_xll.BDP("51219SFP Muni","STATE_CODE")</f>
        <v>TX</v>
      </c>
      <c r="E892" t="str">
        <f>_xll.BDP("51219SFP Muni","COUNTY_LOCATION_ISSUER")</f>
        <v>Travis, TX</v>
      </c>
      <c r="F892">
        <f>_xll.BDP("51219SFP Muni","DUR_ADJ_MID")</f>
        <v>1.9872619685876403</v>
      </c>
      <c r="G892">
        <f>_xll.BDP("51219SFP Muni","SPREAD_AT_ISSUANCE_TO_WORST")</f>
        <v>44.834336986301373</v>
      </c>
      <c r="H892" t="str">
        <f>_xll.BDP("51219SFP Muni","ISSUE_DT")</f>
        <v>12/1/2017</v>
      </c>
      <c r="I892" t="str">
        <f>_xll.BDS("51219SFP Muni","MUNI_PURPOSE_SCHED", "aggregate=y")</f>
        <v>WATER UTILITY IMPS. SEWER IMPS.</v>
      </c>
      <c r="J892">
        <f>_xll.BDP("51219SFP Muni","CPN")</f>
        <v>3</v>
      </c>
      <c r="K892" t="str">
        <f>_xll.BDP("51219SFP Muni","MATURITY")</f>
        <v>9/1/2024</v>
      </c>
      <c r="L892">
        <v>300000</v>
      </c>
      <c r="M892">
        <f>_xll.BDP("51219SFP Muni","YIELD_ON_ISSUE_DATE")</f>
        <v>2.4000000000000004</v>
      </c>
      <c r="N892">
        <f>_xll.BDP("51219SFP Muni","YTW_SPREAD_TO_MATURITY_AT_ISSU")</f>
        <v>44.834336986301373</v>
      </c>
      <c r="O892" t="str">
        <f>_xll.BDP("51219SFP Muni","BVAL_MID_YTM")</f>
        <v>#N/A Authorization</v>
      </c>
      <c r="P892" t="str">
        <f>_xll.BDP("51219SFP Muni","MUNI_TAX_PROV")</f>
        <v>FED BQ</v>
      </c>
      <c r="Q892" t="str">
        <f>_xll.BDP("51219SFP Muni","MUNI_FED_TAX")</f>
        <v>N</v>
      </c>
      <c r="R892" t="str">
        <f>_xll.BDP("51219SFP Muni","MUNI_MSRB_VOLUME")</f>
        <v>#N/A N/A</v>
      </c>
      <c r="S892" t="str">
        <f>_xll.BDP("51219SFP Muni","BB_COMPOSITE")</f>
        <v>A</v>
      </c>
      <c r="T892">
        <f>_xll.BDP("51219SFP Muni","LQA_LIQUIDITY_SCORE")</f>
        <v>78</v>
      </c>
    </row>
    <row r="893" spans="1:20" x14ac:dyDescent="0.25">
      <c r="A893" t="str">
        <f>_xll.BDP("539345CW Muni","ID_CUSIP")</f>
        <v>539345CW6</v>
      </c>
      <c r="B893" t="s">
        <v>295</v>
      </c>
      <c r="C893" t="str">
        <f>_xll.BDP("539345CW Muni","INSURANCE_STATUS")</f>
        <v>Y</v>
      </c>
      <c r="D893" t="str">
        <f>_xll.BDP("539345CW Muni","STATE_CODE")</f>
        <v>TX</v>
      </c>
      <c r="E893" t="str">
        <f>_xll.BDP("539345CW Muni","COUNTY_LOCATION_ISSUER")</f>
        <v>Llano, TX</v>
      </c>
      <c r="F893">
        <f>_xll.BDP("539345CW Muni","DUR_ADJ_MID")</f>
        <v>0.1192827727769132</v>
      </c>
      <c r="G893">
        <f>_xll.BDP("539345CW Muni","SPREAD_AT_ISSUANCE_TO_WORST")</f>
        <v>18.247061693353707</v>
      </c>
      <c r="H893" t="str">
        <f>_xll.BDP("539345CW Muni","ISSUE_DT")</f>
        <v>3/9/2017</v>
      </c>
      <c r="I893" t="str">
        <f>_xll.BDS("539345CW Muni","MUNI_PURPOSE_SCHED", "aggregate=y")</f>
        <v>WATER UTILITY IMPS. SEWER IMPS.</v>
      </c>
      <c r="J893">
        <f>_xll.BDP("539345CW Muni","CPN")</f>
        <v>3</v>
      </c>
      <c r="K893" t="str">
        <f>_xll.BDP("539345CW Muni","MATURITY")</f>
        <v>9/15/2022</v>
      </c>
      <c r="L893">
        <v>70000</v>
      </c>
      <c r="M893">
        <f>_xll.BDP("539345CW Muni","YIELD_ON_ISSUE_DATE")</f>
        <v>1.85</v>
      </c>
      <c r="N893">
        <f>_xll.BDP("539345CW Muni","YTW_SPREAD_TO_MATURITY_AT_ISSU")</f>
        <v>18.247061693353707</v>
      </c>
      <c r="O893" t="str">
        <f>_xll.BDP("539345CW Muni","BVAL_MID_YTM")</f>
        <v>#N/A Authorization</v>
      </c>
      <c r="P893" t="str">
        <f>_xll.BDP("539345CW Muni","MUNI_TAX_PROV")</f>
        <v>FED BQ</v>
      </c>
      <c r="Q893" t="str">
        <f>_xll.BDP("539345CW Muni","MUNI_FED_TAX")</f>
        <v>N</v>
      </c>
      <c r="R893" t="str">
        <f>_xll.BDP("539345CW Muni","MUNI_MSRB_VOLUME")</f>
        <v>#N/A N/A</v>
      </c>
      <c r="S893" t="str">
        <f>_xll.BDP("539345CW Muni","BB_COMPOSITE")</f>
        <v>#N/A N/A</v>
      </c>
      <c r="T893">
        <f>_xll.BDP("539345CW Muni","LQA_LIQUIDITY_SCORE")</f>
        <v>77</v>
      </c>
    </row>
    <row r="894" spans="1:20" x14ac:dyDescent="0.25">
      <c r="A894" t="str">
        <f>_xll.BDP("539345CX Muni","ID_CUSIP")</f>
        <v>539345CX4</v>
      </c>
      <c r="B894" t="s">
        <v>295</v>
      </c>
      <c r="C894" t="str">
        <f>_xll.BDP("539345CX Muni","INSURANCE_STATUS")</f>
        <v>Y</v>
      </c>
      <c r="D894" t="str">
        <f>_xll.BDP("539345CX Muni","STATE_CODE")</f>
        <v>TX</v>
      </c>
      <c r="E894" t="str">
        <f>_xll.BDP("539345CX Muni","COUNTY_LOCATION_ISSUER")</f>
        <v>Llano, TX</v>
      </c>
      <c r="F894">
        <f>_xll.BDP("539345CX Muni","DUR_ADJ_MID")</f>
        <v>1.0881504867432314</v>
      </c>
      <c r="G894">
        <f>_xll.BDP("539345CX Muni","SPREAD_AT_ISSUANCE_TO_WORST")</f>
        <v>17.696759662897254</v>
      </c>
      <c r="H894" t="str">
        <f>_xll.BDP("539345CX Muni","ISSUE_DT")</f>
        <v>3/9/2017</v>
      </c>
      <c r="I894" t="str">
        <f>_xll.BDS("539345CX Muni","MUNI_PURPOSE_SCHED", "aggregate=y")</f>
        <v>WATER UTILITY IMPS. SEWER IMPS.</v>
      </c>
      <c r="J894">
        <f>_xll.BDP("539345CX Muni","CPN")</f>
        <v>3</v>
      </c>
      <c r="K894" t="str">
        <f>_xll.BDP("539345CX Muni","MATURITY")</f>
        <v>9/15/2023</v>
      </c>
      <c r="L894">
        <v>75000</v>
      </c>
      <c r="M894">
        <f>_xll.BDP("539345CX Muni","YIELD_ON_ISSUE_DATE")</f>
        <v>2</v>
      </c>
      <c r="N894">
        <f>_xll.BDP("539345CX Muni","YTW_SPREAD_TO_MATURITY_AT_ISSU")</f>
        <v>17.696759662897254</v>
      </c>
      <c r="O894" t="str">
        <f>_xll.BDP("539345CX Muni","BVAL_MID_YTM")</f>
        <v>#N/A Authorization</v>
      </c>
      <c r="P894" t="str">
        <f>_xll.BDP("539345CX Muni","MUNI_TAX_PROV")</f>
        <v>FED BQ</v>
      </c>
      <c r="Q894" t="str">
        <f>_xll.BDP("539345CX Muni","MUNI_FED_TAX")</f>
        <v>N</v>
      </c>
      <c r="R894" t="str">
        <f>_xll.BDP("539345CX Muni","MUNI_MSRB_VOLUME")</f>
        <v>#N/A N/A</v>
      </c>
      <c r="S894" t="str">
        <f>_xll.BDP("539345CX Muni","BB_COMPOSITE")</f>
        <v>#N/A N/A</v>
      </c>
      <c r="T894">
        <f>_xll.BDP("539345CX Muni","LQA_LIQUIDITY_SCORE")</f>
        <v>15</v>
      </c>
    </row>
    <row r="895" spans="1:20" x14ac:dyDescent="0.25">
      <c r="A895" t="str">
        <f>_xll.BDP("539345CY Muni","ID_CUSIP")</f>
        <v>539345CY2</v>
      </c>
      <c r="B895" t="s">
        <v>295</v>
      </c>
      <c r="C895" t="str">
        <f>_xll.BDP("539345CY Muni","INSURANCE_STATUS")</f>
        <v>Y</v>
      </c>
      <c r="D895" t="str">
        <f>_xll.BDP("539345CY Muni","STATE_CODE")</f>
        <v>TX</v>
      </c>
      <c r="E895" t="str">
        <f>_xll.BDP("539345CY Muni","COUNTY_LOCATION_ISSUER")</f>
        <v>Llano, TX</v>
      </c>
      <c r="F895">
        <f>_xll.BDP("539345CY Muni","DUR_ADJ_MID")</f>
        <v>2.0277350478673526</v>
      </c>
      <c r="G895">
        <f>_xll.BDP("539345CY Muni","SPREAD_AT_ISSUANCE_TO_WORST")</f>
        <v>12.363593993944043</v>
      </c>
      <c r="H895" t="str">
        <f>_xll.BDP("539345CY Muni","ISSUE_DT")</f>
        <v>3/9/2017</v>
      </c>
      <c r="I895" t="str">
        <f>_xll.BDS("539345CY Muni","MUNI_PURPOSE_SCHED", "aggregate=y")</f>
        <v>WATER UTILITY IMPS. SEWER IMPS.</v>
      </c>
      <c r="J895">
        <f>_xll.BDP("539345CY Muni","CPN")</f>
        <v>3</v>
      </c>
      <c r="K895" t="str">
        <f>_xll.BDP("539345CY Muni","MATURITY")</f>
        <v>9/15/2024</v>
      </c>
      <c r="L895">
        <v>75000</v>
      </c>
      <c r="M895">
        <f>_xll.BDP("539345CY Muni","YIELD_ON_ISSUE_DATE")</f>
        <v>2.1</v>
      </c>
      <c r="N895">
        <f>_xll.BDP("539345CY Muni","YTW_SPREAD_TO_MATURITY_AT_ISSU")</f>
        <v>12.363593993944043</v>
      </c>
      <c r="O895" t="str">
        <f>_xll.BDP("539345CY Muni","BVAL_MID_YTM")</f>
        <v>#N/A Authorization</v>
      </c>
      <c r="P895" t="str">
        <f>_xll.BDP("539345CY Muni","MUNI_TAX_PROV")</f>
        <v>FED BQ</v>
      </c>
      <c r="Q895" t="str">
        <f>_xll.BDP("539345CY Muni","MUNI_FED_TAX")</f>
        <v>N</v>
      </c>
      <c r="R895" t="str">
        <f>_xll.BDP("539345CY Muni","MUNI_MSRB_VOLUME")</f>
        <v>#N/A N/A</v>
      </c>
      <c r="S895" t="str">
        <f>_xll.BDP("539345CY Muni","BB_COMPOSITE")</f>
        <v>#N/A N/A</v>
      </c>
      <c r="T895">
        <f>_xll.BDP("539345CY Muni","LQA_LIQUIDITY_SCORE")</f>
        <v>4</v>
      </c>
    </row>
    <row r="896" spans="1:20" x14ac:dyDescent="0.25">
      <c r="A896" t="str">
        <f>_xll.BDP("539345CZ Muni","ID_CUSIP")</f>
        <v>539345CZ9</v>
      </c>
      <c r="B896" t="s">
        <v>295</v>
      </c>
      <c r="C896" t="str">
        <f>_xll.BDP("539345CZ Muni","INSURANCE_STATUS")</f>
        <v>Y</v>
      </c>
      <c r="D896" t="str">
        <f>_xll.BDP("539345CZ Muni","STATE_CODE")</f>
        <v>TX</v>
      </c>
      <c r="E896" t="str">
        <f>_xll.BDP("539345CZ Muni","COUNTY_LOCATION_ISSUER")</f>
        <v>Llano, TX</v>
      </c>
      <c r="F896">
        <f>_xll.BDP("539345CZ Muni","DUR_ADJ_MID")</f>
        <v>2.9403373797125125</v>
      </c>
      <c r="G896">
        <f>_xll.BDP("539345CZ Muni","SPREAD_AT_ISSUANCE_TO_WORST")</f>
        <v>8.2828114933818142</v>
      </c>
      <c r="H896" t="str">
        <f>_xll.BDP("539345CZ Muni","ISSUE_DT")</f>
        <v>3/9/2017</v>
      </c>
      <c r="I896" t="str">
        <f>_xll.BDS("539345CZ Muni","MUNI_PURPOSE_SCHED", "aggregate=y")</f>
        <v>WATER UTILITY IMPS. SEWER IMPS.</v>
      </c>
      <c r="J896">
        <f>_xll.BDP("539345CZ Muni","CPN")</f>
        <v>3</v>
      </c>
      <c r="K896" t="str">
        <f>_xll.BDP("539345CZ Muni","MATURITY")</f>
        <v>9/15/2025</v>
      </c>
      <c r="L896">
        <v>80000</v>
      </c>
      <c r="M896">
        <f>_xll.BDP("539345CZ Muni","YIELD_ON_ISSUE_DATE")</f>
        <v>2.2000000000000002</v>
      </c>
      <c r="N896">
        <f>_xll.BDP("539345CZ Muni","YTW_SPREAD_TO_MATURITY_AT_ISSU")</f>
        <v>8.2828114933818142</v>
      </c>
      <c r="O896" t="str">
        <f>_xll.BDP("539345CZ Muni","BVAL_MID_YTM")</f>
        <v>#N/A Authorization</v>
      </c>
      <c r="P896" t="str">
        <f>_xll.BDP("539345CZ Muni","MUNI_TAX_PROV")</f>
        <v>FED BQ</v>
      </c>
      <c r="Q896" t="str">
        <f>_xll.BDP("539345CZ Muni","MUNI_FED_TAX")</f>
        <v>N</v>
      </c>
      <c r="R896" t="str">
        <f>_xll.BDP("539345CZ Muni","MUNI_MSRB_VOLUME")</f>
        <v>#N/A N/A</v>
      </c>
      <c r="S896" t="str">
        <f>_xll.BDP("539345CZ Muni","BB_COMPOSITE")</f>
        <v>#N/A N/A</v>
      </c>
      <c r="T896">
        <f>_xll.BDP("539345CZ Muni","LQA_LIQUIDITY_SCORE")</f>
        <v>2</v>
      </c>
    </row>
    <row r="897" spans="1:20" x14ac:dyDescent="0.25">
      <c r="A897" t="str">
        <f>_xll.BDP("539345DA Muni","ID_CUSIP")</f>
        <v>539345DA3</v>
      </c>
      <c r="B897" t="s">
        <v>295</v>
      </c>
      <c r="C897" t="str">
        <f>_xll.BDP("539345DA Muni","INSURANCE_STATUS")</f>
        <v>Y</v>
      </c>
      <c r="D897" t="str">
        <f>_xll.BDP("539345DA Muni","STATE_CODE")</f>
        <v>TX</v>
      </c>
      <c r="E897" t="str">
        <f>_xll.BDP("539345DA Muni","COUNTY_LOCATION_ISSUER")</f>
        <v>Llano, TX</v>
      </c>
      <c r="F897">
        <f>_xll.BDP("539345DA Muni","DUR_ADJ_MID")</f>
        <v>3.8264047816881246</v>
      </c>
      <c r="G897">
        <f>_xll.BDP("539345DA Muni","SPREAD_AT_ISSUANCE_TO_WORST")</f>
        <v>11.738908930555603</v>
      </c>
      <c r="H897" t="str">
        <f>_xll.BDP("539345DA Muni","ISSUE_DT")</f>
        <v>3/9/2017</v>
      </c>
      <c r="I897" t="str">
        <f>_xll.BDS("539345DA Muni","MUNI_PURPOSE_SCHED", "aggregate=y")</f>
        <v>WATER UTILITY IMPS. SEWER IMPS.</v>
      </c>
      <c r="J897">
        <f>_xll.BDP("539345DA Muni","CPN")</f>
        <v>3</v>
      </c>
      <c r="K897" t="str">
        <f>_xll.BDP("539345DA Muni","MATURITY")</f>
        <v>9/15/2026</v>
      </c>
      <c r="L897">
        <v>80000</v>
      </c>
      <c r="M897">
        <f>_xll.BDP("539345DA Muni","YIELD_ON_ISSUE_DATE")</f>
        <v>2.35</v>
      </c>
      <c r="N897">
        <f>_xll.BDP("539345DA Muni","YTW_SPREAD_TO_MATURITY_AT_ISSU")</f>
        <v>11.738908930555603</v>
      </c>
      <c r="O897" t="str">
        <f>_xll.BDP("539345DA Muni","BVAL_MID_YTM")</f>
        <v>#N/A Authorization</v>
      </c>
      <c r="P897" t="str">
        <f>_xll.BDP("539345DA Muni","MUNI_TAX_PROV")</f>
        <v>FED BQ</v>
      </c>
      <c r="Q897" t="str">
        <f>_xll.BDP("539345DA Muni","MUNI_FED_TAX")</f>
        <v>N</v>
      </c>
      <c r="R897" t="str">
        <f>_xll.BDP("539345DA Muni","MUNI_MSRB_VOLUME")</f>
        <v>#N/A N/A</v>
      </c>
      <c r="S897" t="str">
        <f>_xll.BDP("539345DA Muni","BB_COMPOSITE")</f>
        <v>#N/A N/A</v>
      </c>
      <c r="T897">
        <f>_xll.BDP("539345DA Muni","LQA_LIQUIDITY_SCORE")</f>
        <v>1</v>
      </c>
    </row>
    <row r="898" spans="1:20" x14ac:dyDescent="0.25">
      <c r="A898" t="str">
        <f>_xll.BDP("471250NP Muni","ID_CUSIP")</f>
        <v>471250NP1</v>
      </c>
      <c r="B898" t="s">
        <v>296</v>
      </c>
      <c r="C898" t="str">
        <f>_xll.BDP("471250NP Muni","INSURANCE_STATUS")</f>
        <v>N</v>
      </c>
      <c r="D898" t="str">
        <f>_xll.BDP("471250NP Muni","STATE_CODE")</f>
        <v>AL</v>
      </c>
      <c r="E898" t="str">
        <f>_xll.BDP("471250NP Muni","COUNTY_LOCATION_ISSUER")</f>
        <v>Walker, AL</v>
      </c>
      <c r="F898">
        <f>_xll.BDP("471250NP Muni","DUR_ADJ_MID")</f>
        <v>0.73780480740731036</v>
      </c>
      <c r="G898">
        <f>_xll.BDP("471250NP Muni","SPREAD_AT_ISSUANCE_TO_WORST")</f>
        <v>53.229028282848169</v>
      </c>
      <c r="H898" t="str">
        <f>_xll.BDP("471250NP Muni","ISSUE_DT")</f>
        <v>6/7/2017</v>
      </c>
      <c r="I898" t="str">
        <f>_xll.BDS("471250NP Muni","MUNI_PURPOSE_SCHED", "aggregate=y")</f>
        <v>PUBLIC IMPS. WATER UTILITY IMPS. SEWER IMPS.</v>
      </c>
      <c r="J898">
        <f>_xll.BDP("471250NP Muni","CPN")</f>
        <v>1.85</v>
      </c>
      <c r="K898" t="str">
        <f>_xll.BDP("471250NP Muni","MATURITY")</f>
        <v>5/1/2023</v>
      </c>
      <c r="L898">
        <v>580000</v>
      </c>
      <c r="M898">
        <f>_xll.BDP("471250NP Muni","YIELD_ON_ISSUE_DATE")</f>
        <v>1.9000000000000001</v>
      </c>
      <c r="N898">
        <f>_xll.BDP("471250NP Muni","YTW_SPREAD_TO_MATURITY_AT_ISSU")</f>
        <v>53.229028282848169</v>
      </c>
      <c r="O898" t="str">
        <f>_xll.BDP("471250NP Muni","BVAL_MID_YTM")</f>
        <v>#N/A Authorization</v>
      </c>
      <c r="P898" t="str">
        <f>_xll.BDP("471250NP Muni","MUNI_TAX_PROV")</f>
        <v>FED &amp; ST TAX-EXEMPT</v>
      </c>
      <c r="Q898" t="str">
        <f>_xll.BDP("471250NP Muni","MUNI_FED_TAX")</f>
        <v>N</v>
      </c>
      <c r="R898">
        <f>_xll.BDP("471250NP Muni","MUNI_MSRB_VOLUME")</f>
        <v>185000</v>
      </c>
      <c r="S898" t="str">
        <f>_xll.BDP("471250NP Muni","BB_COMPOSITE")</f>
        <v>#N/A N/A</v>
      </c>
      <c r="T898">
        <f>_xll.BDP("471250NP Muni","LQA_LIQUIDITY_SCORE")</f>
        <v>82</v>
      </c>
    </row>
    <row r="899" spans="1:20" x14ac:dyDescent="0.25">
      <c r="A899" t="str">
        <f>_xll.BDP("471250NQ Muni","ID_CUSIP")</f>
        <v>471250NQ9</v>
      </c>
      <c r="B899" t="s">
        <v>296</v>
      </c>
      <c r="C899" t="str">
        <f>_xll.BDP("471250NQ Muni","INSURANCE_STATUS")</f>
        <v>N</v>
      </c>
      <c r="D899" t="str">
        <f>_xll.BDP("471250NQ Muni","STATE_CODE")</f>
        <v>AL</v>
      </c>
      <c r="E899" t="str">
        <f>_xll.BDP("471250NQ Muni","COUNTY_LOCATION_ISSUER")</f>
        <v>Walker, AL</v>
      </c>
      <c r="F899">
        <f>_xll.BDP("471250NQ Muni","DUR_ADJ_MID")</f>
        <v>1.6761783114615338</v>
      </c>
      <c r="G899">
        <f>_xll.BDP("471250NQ Muni","SPREAD_AT_ISSUANCE_TO_WORST")</f>
        <v>53.130391863032081</v>
      </c>
      <c r="H899" t="str">
        <f>_xll.BDP("471250NQ Muni","ISSUE_DT")</f>
        <v>6/7/2017</v>
      </c>
      <c r="I899" t="str">
        <f>_xll.BDS("471250NQ Muni","MUNI_PURPOSE_SCHED", "aggregate=y")</f>
        <v>PUBLIC IMPS. WATER UTILITY IMPS. SEWER IMPS.</v>
      </c>
      <c r="J899">
        <f>_xll.BDP("471250NQ Muni","CPN")</f>
        <v>4</v>
      </c>
      <c r="K899" t="str">
        <f>_xll.BDP("471250NQ Muni","MATURITY")</f>
        <v>5/1/2024</v>
      </c>
      <c r="L899">
        <v>595000</v>
      </c>
      <c r="M899">
        <f>_xll.BDP("471250NQ Muni","YIELD_ON_ISSUE_DATE")</f>
        <v>2.06</v>
      </c>
      <c r="N899">
        <f>_xll.BDP("471250NQ Muni","YTW_SPREAD_TO_MATURITY_AT_ISSU")</f>
        <v>53.130391863032081</v>
      </c>
      <c r="O899" t="str">
        <f>_xll.BDP("471250NQ Muni","BVAL_MID_YTM")</f>
        <v>#N/A Authorization</v>
      </c>
      <c r="P899" t="str">
        <f>_xll.BDP("471250NQ Muni","MUNI_TAX_PROV")</f>
        <v>FED &amp; ST TAX-EXEMPT</v>
      </c>
      <c r="Q899" t="str">
        <f>_xll.BDP("471250NQ Muni","MUNI_FED_TAX")</f>
        <v>N</v>
      </c>
      <c r="R899" t="str">
        <f>_xll.BDP("471250NQ Muni","MUNI_MSRB_VOLUME")</f>
        <v>#N/A N/A</v>
      </c>
      <c r="S899" t="str">
        <f>_xll.BDP("471250NQ Muni","BB_COMPOSITE")</f>
        <v>#N/A N/A</v>
      </c>
      <c r="T899">
        <f>_xll.BDP("471250NQ Muni","LQA_LIQUIDITY_SCORE")</f>
        <v>81</v>
      </c>
    </row>
    <row r="900" spans="1:20" x14ac:dyDescent="0.25">
      <c r="A900" t="str">
        <f>_xll.BDP("471250NR Muni","ID_CUSIP")</f>
        <v>471250NR7</v>
      </c>
      <c r="B900" t="s">
        <v>296</v>
      </c>
      <c r="C900" t="str">
        <f>_xll.BDP("471250NR Muni","INSURANCE_STATUS")</f>
        <v>N</v>
      </c>
      <c r="D900" t="str">
        <f>_xll.BDP("471250NR Muni","STATE_CODE")</f>
        <v>AL</v>
      </c>
      <c r="E900" t="str">
        <f>_xll.BDP("471250NR Muni","COUNTY_LOCATION_ISSUER")</f>
        <v>Walker, AL</v>
      </c>
      <c r="F900">
        <f>_xll.BDP("471250NR Muni","DUR_ADJ_MID")</f>
        <v>2.6496381360005556</v>
      </c>
      <c r="G900">
        <f>_xll.BDP("471250NR Muni","SPREAD_AT_ISSUANCE_TO_WORST")</f>
        <v>56.073130630463083</v>
      </c>
      <c r="H900" t="str">
        <f>_xll.BDP("471250NR Muni","ISSUE_DT")</f>
        <v>6/7/2017</v>
      </c>
      <c r="I900" t="str">
        <f>_xll.BDS("471250NR Muni","MUNI_PURPOSE_SCHED", "aggregate=y")</f>
        <v>PUBLIC IMPS. WATER UTILITY IMPS. SEWER IMPS.</v>
      </c>
      <c r="J900">
        <f>_xll.BDP("471250NR Muni","CPN")</f>
        <v>2</v>
      </c>
      <c r="K900" t="str">
        <f>_xll.BDP("471250NR Muni","MATURITY")</f>
        <v>5/1/2025</v>
      </c>
      <c r="L900">
        <v>635000</v>
      </c>
      <c r="M900">
        <f>_xll.BDP("471250NR Muni","YIELD_ON_ISSUE_DATE")</f>
        <v>2.25</v>
      </c>
      <c r="N900">
        <f>_xll.BDP("471250NR Muni","YTW_SPREAD_TO_MATURITY_AT_ISSU")</f>
        <v>56.073130630463083</v>
      </c>
      <c r="O900" t="str">
        <f>_xll.BDP("471250NR Muni","BVAL_MID_YTM")</f>
        <v>#N/A Authorization</v>
      </c>
      <c r="P900" t="str">
        <f>_xll.BDP("471250NR Muni","MUNI_TAX_PROV")</f>
        <v>FED &amp; ST TAX-EXEMPT</v>
      </c>
      <c r="Q900" t="str">
        <f>_xll.BDP("471250NR Muni","MUNI_FED_TAX")</f>
        <v>N</v>
      </c>
      <c r="R900">
        <f>_xll.BDP("471250NR Muni","MUNI_MSRB_VOLUME")</f>
        <v>75000</v>
      </c>
      <c r="S900" t="str">
        <f>_xll.BDP("471250NR Muni","BB_COMPOSITE")</f>
        <v>#N/A N/A</v>
      </c>
      <c r="T900">
        <f>_xll.BDP("471250NR Muni","LQA_LIQUIDITY_SCORE")</f>
        <v>44</v>
      </c>
    </row>
    <row r="901" spans="1:20" x14ac:dyDescent="0.25">
      <c r="A901" t="str">
        <f>_xll.BDP("471250NS Muni","ID_CUSIP")</f>
        <v>471250NS5</v>
      </c>
      <c r="B901" t="s">
        <v>296</v>
      </c>
      <c r="C901" t="str">
        <f>_xll.BDP("471250NS Muni","INSURANCE_STATUS")</f>
        <v>N</v>
      </c>
      <c r="D901" t="str">
        <f>_xll.BDP("471250NS Muni","STATE_CODE")</f>
        <v>AL</v>
      </c>
      <c r="E901" t="str">
        <f>_xll.BDP("471250NS Muni","COUNTY_LOCATION_ISSUER")</f>
        <v>Walker, AL</v>
      </c>
      <c r="F901">
        <f>_xll.BDP("471250NS Muni","DUR_ADJ_MID")</f>
        <v>3.4617132284805252</v>
      </c>
      <c r="G901">
        <f>_xll.BDP("471250NS Muni","SPREAD_AT_ISSUANCE_TO_WORST")</f>
        <v>62.496427526158051</v>
      </c>
      <c r="H901" t="str">
        <f>_xll.BDP("471250NS Muni","ISSUE_DT")</f>
        <v>6/7/2017</v>
      </c>
      <c r="I901" t="str">
        <f>_xll.BDS("471250NS Muni","MUNI_PURPOSE_SCHED", "aggregate=y")</f>
        <v>PUBLIC IMPS. WATER UTILITY IMPS. SEWER IMPS.</v>
      </c>
      <c r="J901">
        <f>_xll.BDP("471250NS Muni","CPN")</f>
        <v>4</v>
      </c>
      <c r="K901" t="str">
        <f>_xll.BDP("471250NS Muni","MATURITY")</f>
        <v>5/1/2026</v>
      </c>
      <c r="L901">
        <v>635000</v>
      </c>
      <c r="M901">
        <f>_xll.BDP("471250NS Muni","YIELD_ON_ISSUE_DATE")</f>
        <v>2.46</v>
      </c>
      <c r="N901">
        <f>_xll.BDP("471250NS Muni","YTW_SPREAD_TO_MATURITY_AT_ISSU")</f>
        <v>62.496427526158051</v>
      </c>
      <c r="O901" t="str">
        <f>_xll.BDP("471250NS Muni","BVAL_MID_YTM")</f>
        <v>#N/A Authorization</v>
      </c>
      <c r="P901" t="str">
        <f>_xll.BDP("471250NS Muni","MUNI_TAX_PROV")</f>
        <v>FED &amp; ST TAX-EXEMPT</v>
      </c>
      <c r="Q901" t="str">
        <f>_xll.BDP("471250NS Muni","MUNI_FED_TAX")</f>
        <v>N</v>
      </c>
      <c r="R901" t="str">
        <f>_xll.BDP("471250NS Muni","MUNI_MSRB_VOLUME")</f>
        <v>#N/A N/A</v>
      </c>
      <c r="S901" t="str">
        <f>_xll.BDP("471250NS Muni","BB_COMPOSITE")</f>
        <v>#N/A N/A</v>
      </c>
      <c r="T901">
        <f>_xll.BDP("471250NS Muni","LQA_LIQUIDITY_SCORE")</f>
        <v>53</v>
      </c>
    </row>
    <row r="902" spans="1:20" x14ac:dyDescent="0.25">
      <c r="A902" t="str">
        <f>_xll.BDP("471250NT Muni","ID_CUSIP")</f>
        <v>471250NT3</v>
      </c>
      <c r="B902" t="s">
        <v>296</v>
      </c>
      <c r="C902" t="str">
        <f>_xll.BDP("471250NT Muni","INSURANCE_STATUS")</f>
        <v>N</v>
      </c>
      <c r="D902" t="str">
        <f>_xll.BDP("471250NT Muni","STATE_CODE")</f>
        <v>AL</v>
      </c>
      <c r="E902" t="str">
        <f>_xll.BDP("471250NT Muni","COUNTY_LOCATION_ISSUER")</f>
        <v>Walker, AL</v>
      </c>
      <c r="F902">
        <f>_xll.BDP("471250NT Muni","DUR_ADJ_MID")</f>
        <v>4.3077425714526356</v>
      </c>
      <c r="G902">
        <f>_xll.BDP("471250NT Muni","SPREAD_AT_ISSUANCE_TO_WORST")</f>
        <v>64.714193207901175</v>
      </c>
      <c r="H902" t="str">
        <f>_xll.BDP("471250NT Muni","ISSUE_DT")</f>
        <v>6/7/2017</v>
      </c>
      <c r="I902" t="str">
        <f>_xll.BDS("471250NT Muni","MUNI_PURPOSE_SCHED", "aggregate=y")</f>
        <v>PUBLIC IMPS. WATER UTILITY IMPS. SEWER IMPS.</v>
      </c>
      <c r="J902">
        <f>_xll.BDP("471250NT Muni","CPN")</f>
        <v>4</v>
      </c>
      <c r="K902" t="str">
        <f>_xll.BDP("471250NT Muni","MATURITY")</f>
        <v>5/1/2027</v>
      </c>
      <c r="L902">
        <v>700000</v>
      </c>
      <c r="M902">
        <f>_xll.BDP("471250NT Muni","YIELD_ON_ISSUE_DATE")</f>
        <v>2.6</v>
      </c>
      <c r="N902">
        <f>_xll.BDP("471250NT Muni","YTW_SPREAD_TO_MATURITY_AT_ISSU")</f>
        <v>64.714193207901175</v>
      </c>
      <c r="O902" t="str">
        <f>_xll.BDP("471250NT Muni","BVAL_MID_YTM")</f>
        <v>#N/A Authorization</v>
      </c>
      <c r="P902" t="str">
        <f>_xll.BDP("471250NT Muni","MUNI_TAX_PROV")</f>
        <v>FED &amp; ST TAX-EXEMPT</v>
      </c>
      <c r="Q902" t="str">
        <f>_xll.BDP("471250NT Muni","MUNI_FED_TAX")</f>
        <v>N</v>
      </c>
      <c r="R902" t="str">
        <f>_xll.BDP("471250NT Muni","MUNI_MSRB_VOLUME")</f>
        <v>#N/A N/A</v>
      </c>
      <c r="S902" t="str">
        <f>_xll.BDP("471250NT Muni","BB_COMPOSITE")</f>
        <v>#N/A N/A</v>
      </c>
      <c r="T902">
        <f>_xll.BDP("471250NT Muni","LQA_LIQUIDITY_SCORE")</f>
        <v>44</v>
      </c>
    </row>
    <row r="903" spans="1:20" x14ac:dyDescent="0.25">
      <c r="A903" t="str">
        <f>_xll.BDP("440365DX Muni","ID_CUSIP")</f>
        <v>440365DX9</v>
      </c>
      <c r="B903" t="s">
        <v>297</v>
      </c>
      <c r="C903" t="str">
        <f>_xll.BDP("440365DX Muni","INSURANCE_STATUS")</f>
        <v>N</v>
      </c>
      <c r="D903" t="str">
        <f>_xll.BDP("440365DX Muni","STATE_CODE")</f>
        <v>ND</v>
      </c>
      <c r="E903" t="str">
        <f>_xll.BDP("440365DX Muni","COUNTY_LOCATION_ISSUER")</f>
        <v>Cass, ND</v>
      </c>
      <c r="F903">
        <f>_xll.BDP("440365DX Muni","DUR_ADJ_MID")</f>
        <v>0.73646219345687003</v>
      </c>
      <c r="G903">
        <f>_xll.BDP("440365DX Muni","SPREAD_AT_ISSUANCE_TO_WORST")</f>
        <v>61.550860179207632</v>
      </c>
      <c r="H903" t="str">
        <f>_xll.BDP("440365DX Muni","ISSUE_DT")</f>
        <v>7/10/2017</v>
      </c>
      <c r="I903" t="str">
        <f>_xll.BDS("440365DX Muni","MUNI_PURPOSE_SCHED", "aggregate=y")</f>
        <v>WATER UTILITY IMPS. SEWER IMPS. PUBLIC IMPS.</v>
      </c>
      <c r="J903">
        <f>_xll.BDP("440365DX Muni","CPN")</f>
        <v>2</v>
      </c>
      <c r="K903" t="str">
        <f>_xll.BDP("440365DX Muni","MATURITY")</f>
        <v>5/1/2023</v>
      </c>
      <c r="L903">
        <v>195000</v>
      </c>
      <c r="M903">
        <f>_xll.BDP("440365DX Muni","YIELD_ON_ISSUE_DATE")</f>
        <v>2</v>
      </c>
      <c r="N903">
        <f>_xll.BDP("440365DX Muni","YTW_SPREAD_TO_MATURITY_AT_ISSU")</f>
        <v>61.550860179207632</v>
      </c>
      <c r="O903" t="str">
        <f>_xll.BDP("440365DX Muni","BVAL_MID_YTM")</f>
        <v>#N/A Authorization</v>
      </c>
      <c r="P903" t="str">
        <f>_xll.BDP("440365DX Muni","MUNI_TAX_PROV")</f>
        <v>FED BQ/ST TAX-EXEMPT</v>
      </c>
      <c r="Q903" t="str">
        <f>_xll.BDP("440365DX Muni","MUNI_FED_TAX")</f>
        <v>N</v>
      </c>
      <c r="R903" t="str">
        <f>_xll.BDP("440365DX Muni","MUNI_MSRB_VOLUME")</f>
        <v>#N/A N/A</v>
      </c>
      <c r="S903" t="str">
        <f>_xll.BDP("440365DX Muni","BB_COMPOSITE")</f>
        <v>#N/A N/A</v>
      </c>
      <c r="T903">
        <f>_xll.BDP("440365DX Muni","LQA_LIQUIDITY_SCORE")</f>
        <v>83</v>
      </c>
    </row>
    <row r="904" spans="1:20" x14ac:dyDescent="0.25">
      <c r="A904" t="str">
        <f>_xll.BDP("440365DY Muni","ID_CUSIP")</f>
        <v>440365DY7</v>
      </c>
      <c r="B904" t="s">
        <v>297</v>
      </c>
      <c r="C904" t="str">
        <f>_xll.BDP("440365DY Muni","INSURANCE_STATUS")</f>
        <v>N</v>
      </c>
      <c r="D904" t="str">
        <f>_xll.BDP("440365DY Muni","STATE_CODE")</f>
        <v>ND</v>
      </c>
      <c r="E904" t="str">
        <f>_xll.BDP("440365DY Muni","COUNTY_LOCATION_ISSUER")</f>
        <v>Cass, ND</v>
      </c>
      <c r="F904">
        <f>_xll.BDP("440365DY Muni","DUR_ADJ_MID")</f>
        <v>1.6979750307567141</v>
      </c>
      <c r="G904">
        <f>_xll.BDP("440365DY Muni","SPREAD_AT_ISSUANCE_TO_WORST")</f>
        <v>67.32059922648348</v>
      </c>
      <c r="H904" t="str">
        <f>_xll.BDP("440365DY Muni","ISSUE_DT")</f>
        <v>7/10/2017</v>
      </c>
      <c r="I904" t="str">
        <f>_xll.BDS("440365DY Muni","MUNI_PURPOSE_SCHED", "aggregate=y")</f>
        <v>WATER UTILITY IMPS. SEWER IMPS. PUBLIC IMPS.</v>
      </c>
      <c r="J904">
        <f>_xll.BDP("440365DY Muni","CPN")</f>
        <v>2.2000000000000002</v>
      </c>
      <c r="K904" t="str">
        <f>_xll.BDP("440365DY Muni","MATURITY")</f>
        <v>5/1/2024</v>
      </c>
      <c r="L904">
        <v>200000</v>
      </c>
      <c r="M904">
        <f>_xll.BDP("440365DY Muni","YIELD_ON_ISSUE_DATE")</f>
        <v>2.2000000000000002</v>
      </c>
      <c r="N904">
        <f>_xll.BDP("440365DY Muni","YTW_SPREAD_TO_MATURITY_AT_ISSU")</f>
        <v>67.32059922648348</v>
      </c>
      <c r="O904" t="str">
        <f>_xll.BDP("440365DY Muni","BVAL_MID_YTM")</f>
        <v>#N/A Authorization</v>
      </c>
      <c r="P904" t="str">
        <f>_xll.BDP("440365DY Muni","MUNI_TAX_PROV")</f>
        <v>FED BQ/ST TAX-EXEMPT</v>
      </c>
      <c r="Q904" t="str">
        <f>_xll.BDP("440365DY Muni","MUNI_FED_TAX")</f>
        <v>N</v>
      </c>
      <c r="R904" t="str">
        <f>_xll.BDP("440365DY Muni","MUNI_MSRB_VOLUME")</f>
        <v>#N/A N/A</v>
      </c>
      <c r="S904" t="str">
        <f>_xll.BDP("440365DY Muni","BB_COMPOSITE")</f>
        <v>#N/A N/A</v>
      </c>
      <c r="T904">
        <f>_xll.BDP("440365DY Muni","LQA_LIQUIDITY_SCORE")</f>
        <v>72</v>
      </c>
    </row>
    <row r="905" spans="1:20" x14ac:dyDescent="0.25">
      <c r="A905" t="str">
        <f>_xll.BDP("440365DZ Muni","ID_CUSIP")</f>
        <v>440365DZ4</v>
      </c>
      <c r="B905" t="s">
        <v>297</v>
      </c>
      <c r="C905" t="str">
        <f>_xll.BDP("440365DZ Muni","INSURANCE_STATUS")</f>
        <v>N</v>
      </c>
      <c r="D905" t="str">
        <f>_xll.BDP("440365DZ Muni","STATE_CODE")</f>
        <v>ND</v>
      </c>
      <c r="E905" t="str">
        <f>_xll.BDP("440365DZ Muni","COUNTY_LOCATION_ISSUER")</f>
        <v>Cass, ND</v>
      </c>
      <c r="F905">
        <f>_xll.BDP("440365DZ Muni","DUR_ADJ_MID")</f>
        <v>2.6320940977996901</v>
      </c>
      <c r="G905">
        <f>_xll.BDP("440365DZ Muni","SPREAD_AT_ISSUANCE_TO_WORST")</f>
        <v>72.865211825404685</v>
      </c>
      <c r="H905" t="str">
        <f>_xll.BDP("440365DZ Muni","ISSUE_DT")</f>
        <v>7/10/2017</v>
      </c>
      <c r="I905" t="str">
        <f>_xll.BDS("440365DZ Muni","MUNI_PURPOSE_SCHED", "aggregate=y")</f>
        <v>WATER UTILITY IMPS. SEWER IMPS. PUBLIC IMPS.</v>
      </c>
      <c r="J905">
        <f>_xll.BDP("440365DZ Muni","CPN")</f>
        <v>2.4</v>
      </c>
      <c r="K905" t="str">
        <f>_xll.BDP("440365DZ Muni","MATURITY")</f>
        <v>5/1/2025</v>
      </c>
      <c r="L905">
        <v>205000</v>
      </c>
      <c r="M905">
        <f>_xll.BDP("440365DZ Muni","YIELD_ON_ISSUE_DATE")</f>
        <v>2.4000000000000004</v>
      </c>
      <c r="N905">
        <f>_xll.BDP("440365DZ Muni","YTW_SPREAD_TO_MATURITY_AT_ISSU")</f>
        <v>72.865211825404685</v>
      </c>
      <c r="O905" t="str">
        <f>_xll.BDP("440365DZ Muni","BVAL_MID_YTM")</f>
        <v>#N/A Authorization</v>
      </c>
      <c r="P905" t="str">
        <f>_xll.BDP("440365DZ Muni","MUNI_TAX_PROV")</f>
        <v>FED BQ/ST TAX-EXEMPT</v>
      </c>
      <c r="Q905" t="str">
        <f>_xll.BDP("440365DZ Muni","MUNI_FED_TAX")</f>
        <v>N</v>
      </c>
      <c r="R905" t="str">
        <f>_xll.BDP("440365DZ Muni","MUNI_MSRB_VOLUME")</f>
        <v>#N/A N/A</v>
      </c>
      <c r="S905" t="str">
        <f>_xll.BDP("440365DZ Muni","BB_COMPOSITE")</f>
        <v>#N/A N/A</v>
      </c>
      <c r="T905">
        <f>_xll.BDP("440365DZ Muni","LQA_LIQUIDITY_SCORE")</f>
        <v>62</v>
      </c>
    </row>
    <row r="906" spans="1:20" x14ac:dyDescent="0.25">
      <c r="A906" t="str">
        <f>_xll.BDP("44044TGT Muni","ID_CUSIP")</f>
        <v>44044TGT3</v>
      </c>
      <c r="B906" t="s">
        <v>298</v>
      </c>
      <c r="C906" t="str">
        <f>_xll.BDP("44044TGT Muni","INSURANCE_STATUS")</f>
        <v>Y</v>
      </c>
      <c r="D906" t="str">
        <f>_xll.BDP("44044TGT Muni","STATE_CODE")</f>
        <v>TX</v>
      </c>
      <c r="E906" t="str">
        <f>_xll.BDP("44044TGT Muni","COUNTY_LOCATION_ISSUER")</f>
        <v>El Paso, TX</v>
      </c>
      <c r="F906">
        <f>_xll.BDP("44044TGT Muni","DUR_ADJ_MID")</f>
        <v>0.49331513441064523</v>
      </c>
      <c r="G906">
        <f>_xll.BDP("44044TGT Muni","SPREAD_AT_ISSUANCE_TO_WORST")</f>
        <v>32.995531114392463</v>
      </c>
      <c r="H906" t="str">
        <f>_xll.BDP("44044TGT Muni","ISSUE_DT")</f>
        <v>3/1/2017</v>
      </c>
      <c r="I906" t="str">
        <f>_xll.BDS("44044TGT Muni","MUNI_PURPOSE_SCHED", "aggregate=y")</f>
        <v>WATER UTILITY IMPS. SEWER IMPS.</v>
      </c>
      <c r="J906">
        <f>_xll.BDP("44044TGT Muni","CPN")</f>
        <v>2.5</v>
      </c>
      <c r="K906" t="str">
        <f>_xll.BDP("44044TGT Muni","MATURITY")</f>
        <v>2/1/2023</v>
      </c>
      <c r="L906">
        <v>155000</v>
      </c>
      <c r="M906">
        <f>_xll.BDP("44044TGT Muni","YIELD_ON_ISSUE_DATE")</f>
        <v>2.1</v>
      </c>
      <c r="N906">
        <f>_xll.BDP("44044TGT Muni","YTW_SPREAD_TO_MATURITY_AT_ISSU")</f>
        <v>32.995531114392463</v>
      </c>
      <c r="O906" t="str">
        <f>_xll.BDP("44044TGT Muni","BVAL_MID_YTM")</f>
        <v>#N/A Authorization</v>
      </c>
      <c r="P906" t="str">
        <f>_xll.BDP("44044TGT Muni","MUNI_TAX_PROV")</f>
        <v>FED BQ</v>
      </c>
      <c r="Q906" t="str">
        <f>_xll.BDP("44044TGT Muni","MUNI_FED_TAX")</f>
        <v>N</v>
      </c>
      <c r="R906" t="str">
        <f>_xll.BDP("44044TGT Muni","MUNI_MSRB_VOLUME")</f>
        <v>#N/A N/A</v>
      </c>
      <c r="S906" t="str">
        <f>_xll.BDP("44044TGT Muni","BB_COMPOSITE")</f>
        <v>#N/A N/A</v>
      </c>
      <c r="T906">
        <f>_xll.BDP("44044TGT Muni","LQA_LIQUIDITY_SCORE")</f>
        <v>81</v>
      </c>
    </row>
    <row r="907" spans="1:20" x14ac:dyDescent="0.25">
      <c r="A907" t="str">
        <f>_xll.BDP("44044TGU Muni","ID_CUSIP")</f>
        <v>44044TGU0</v>
      </c>
      <c r="B907" t="s">
        <v>298</v>
      </c>
      <c r="C907" t="str">
        <f>_xll.BDP("44044TGU Muni","INSURANCE_STATUS")</f>
        <v>Y</v>
      </c>
      <c r="D907" t="str">
        <f>_xll.BDP("44044TGU Muni","STATE_CODE")</f>
        <v>TX</v>
      </c>
      <c r="E907" t="str">
        <f>_xll.BDP("44044TGU Muni","COUNTY_LOCATION_ISSUER")</f>
        <v>El Paso, TX</v>
      </c>
      <c r="F907">
        <f>_xll.BDP("44044TGU Muni","DUR_ADJ_MID")</f>
        <v>1.4595008355227761</v>
      </c>
      <c r="G907">
        <f>_xll.BDP("44044TGU Muni","SPREAD_AT_ISSUANCE_TO_WORST")</f>
        <v>37.181883065613988</v>
      </c>
      <c r="H907" t="str">
        <f>_xll.BDP("44044TGU Muni","ISSUE_DT")</f>
        <v>3/1/2017</v>
      </c>
      <c r="I907" t="str">
        <f>_xll.BDS("44044TGU Muni","MUNI_PURPOSE_SCHED", "aggregate=y")</f>
        <v>WATER UTILITY IMPS. SEWER IMPS.</v>
      </c>
      <c r="J907">
        <f>_xll.BDP("44044TGU Muni","CPN")</f>
        <v>3</v>
      </c>
      <c r="K907" t="str">
        <f>_xll.BDP("44044TGU Muni","MATURITY")</f>
        <v>2/1/2024</v>
      </c>
      <c r="L907">
        <v>155000</v>
      </c>
      <c r="M907">
        <f>_xll.BDP("44044TGU Muni","YIELD_ON_ISSUE_DATE")</f>
        <v>2.3000000000000003</v>
      </c>
      <c r="N907">
        <f>_xll.BDP("44044TGU Muni","YTW_SPREAD_TO_MATURITY_AT_ISSU")</f>
        <v>37.181883065613988</v>
      </c>
      <c r="O907" t="str">
        <f>_xll.BDP("44044TGU Muni","BVAL_MID_YTM")</f>
        <v>#N/A Authorization</v>
      </c>
      <c r="P907" t="str">
        <f>_xll.BDP("44044TGU Muni","MUNI_TAX_PROV")</f>
        <v>FED BQ</v>
      </c>
      <c r="Q907" t="str">
        <f>_xll.BDP("44044TGU Muni","MUNI_FED_TAX")</f>
        <v>N</v>
      </c>
      <c r="R907" t="str">
        <f>_xll.BDP("44044TGU Muni","MUNI_MSRB_VOLUME")</f>
        <v>#N/A N/A</v>
      </c>
      <c r="S907" t="str">
        <f>_xll.BDP("44044TGU Muni","BB_COMPOSITE")</f>
        <v>#N/A N/A</v>
      </c>
      <c r="T907">
        <f>_xll.BDP("44044TGU Muni","LQA_LIQUIDITY_SCORE")</f>
        <v>63</v>
      </c>
    </row>
    <row r="908" spans="1:20" x14ac:dyDescent="0.25">
      <c r="A908" t="str">
        <f>_xll.BDP("34679VFH Muni","ID_CUSIP")</f>
        <v>34679VFH8</v>
      </c>
      <c r="B908" t="s">
        <v>299</v>
      </c>
      <c r="C908" t="str">
        <f>_xll.BDP("34679VFH Muni","INSURANCE_STATUS")</f>
        <v>Y</v>
      </c>
      <c r="D908" t="str">
        <f>_xll.BDP("34679VFH Muni","STATE_CODE")</f>
        <v>TX</v>
      </c>
      <c r="E908" t="str">
        <f>_xll.BDP("34679VFH Muni","COUNTY_LOCATION_ISSUER")</f>
        <v>Fort Bend, TX</v>
      </c>
      <c r="F908">
        <f>_xll.BDP("34679VFH Muni","DUR_ADJ_MID")</f>
        <v>8.0447972650813021E-2</v>
      </c>
      <c r="G908">
        <f>_xll.BDP("34679VFH Muni","SPREAD_AT_ISSUANCE_TO_WORST")</f>
        <v>63.86814941150196</v>
      </c>
      <c r="H908" t="str">
        <f>_xll.BDP("34679VFH Muni","ISSUE_DT")</f>
        <v>7/1/2017</v>
      </c>
      <c r="I908" t="str">
        <f>_xll.BDS("34679VFH Muni","MUNI_PURPOSE_SCHED", "aggregate=y")</f>
        <v>WATER UTILITY IMPS. SEWER IMPS.</v>
      </c>
      <c r="J908">
        <f>_xll.BDP("34679VFH Muni","CPN")</f>
        <v>4</v>
      </c>
      <c r="K908" t="str">
        <f>_xll.BDP("34679VFH Muni","MATURITY")</f>
        <v>9/1/2022</v>
      </c>
      <c r="L908">
        <v>115000</v>
      </c>
      <c r="M908">
        <f>_xll.BDP("34679VFH Muni","YIELD_ON_ISSUE_DATE")</f>
        <v>1.85</v>
      </c>
      <c r="N908">
        <f>_xll.BDP("34679VFH Muni","YTW_SPREAD_TO_MATURITY_AT_ISSU")</f>
        <v>63.86814941150196</v>
      </c>
      <c r="O908" t="str">
        <f>_xll.BDP("34679VFH Muni","BVAL_MID_YTM")</f>
        <v>#N/A Authorization</v>
      </c>
      <c r="P908" t="str">
        <f>_xll.BDP("34679VFH Muni","MUNI_TAX_PROV")</f>
        <v>FED BQ</v>
      </c>
      <c r="Q908" t="str">
        <f>_xll.BDP("34679VFH Muni","MUNI_FED_TAX")</f>
        <v>N</v>
      </c>
      <c r="R908" t="str">
        <f>_xll.BDP("34679VFH Muni","MUNI_MSRB_VOLUME")</f>
        <v>#N/A N/A</v>
      </c>
      <c r="S908" t="str">
        <f>_xll.BDP("34679VFH Muni","BB_COMPOSITE")</f>
        <v>#N/A N/A</v>
      </c>
      <c r="T908">
        <f>_xll.BDP("34679VFH Muni","LQA_LIQUIDITY_SCORE")</f>
        <v>98</v>
      </c>
    </row>
    <row r="909" spans="1:20" x14ac:dyDescent="0.25">
      <c r="A909" t="str">
        <f>_xll.BDP("34679VFJ Muni","ID_CUSIP")</f>
        <v>34679VFJ4</v>
      </c>
      <c r="B909" t="s">
        <v>299</v>
      </c>
      <c r="C909" t="str">
        <f>_xll.BDP("34679VFJ Muni","INSURANCE_STATUS")</f>
        <v>Y</v>
      </c>
      <c r="D909" t="str">
        <f>_xll.BDP("34679VFJ Muni","STATE_CODE")</f>
        <v>TX</v>
      </c>
      <c r="E909" t="str">
        <f>_xll.BDP("34679VFJ Muni","COUNTY_LOCATION_ISSUER")</f>
        <v>Fort Bend, TX</v>
      </c>
      <c r="F909">
        <f>_xll.BDP("34679VFJ Muni","DUR_ADJ_MID")</f>
        <v>1.0399889858669824</v>
      </c>
      <c r="G909">
        <f>_xll.BDP("34679VFJ Muni","SPREAD_AT_ISSUANCE_TO_WORST")</f>
        <v>62.989484190233092</v>
      </c>
      <c r="H909" t="str">
        <f>_xll.BDP("34679VFJ Muni","ISSUE_DT")</f>
        <v>7/1/2017</v>
      </c>
      <c r="I909" t="str">
        <f>_xll.BDS("34679VFJ Muni","MUNI_PURPOSE_SCHED", "aggregate=y")</f>
        <v>WATER UTILITY IMPS. SEWER IMPS.</v>
      </c>
      <c r="J909">
        <f>_xll.BDP("34679VFJ Muni","CPN")</f>
        <v>4</v>
      </c>
      <c r="K909" t="str">
        <f>_xll.BDP("34679VFJ Muni","MATURITY")</f>
        <v>9/1/2023</v>
      </c>
      <c r="L909">
        <v>115000</v>
      </c>
      <c r="M909">
        <f>_xll.BDP("34679VFJ Muni","YIELD_ON_ISSUE_DATE")</f>
        <v>2</v>
      </c>
      <c r="N909">
        <f>_xll.BDP("34679VFJ Muni","YTW_SPREAD_TO_MATURITY_AT_ISSU")</f>
        <v>62.989484190233092</v>
      </c>
      <c r="O909" t="str">
        <f>_xll.BDP("34679VFJ Muni","BVAL_MID_YTM")</f>
        <v>#N/A Authorization</v>
      </c>
      <c r="P909" t="str">
        <f>_xll.BDP("34679VFJ Muni","MUNI_TAX_PROV")</f>
        <v>FED BQ</v>
      </c>
      <c r="Q909" t="str">
        <f>_xll.BDP("34679VFJ Muni","MUNI_FED_TAX")</f>
        <v>N</v>
      </c>
      <c r="R909" t="str">
        <f>_xll.BDP("34679VFJ Muni","MUNI_MSRB_VOLUME")</f>
        <v>#N/A N/A</v>
      </c>
      <c r="S909" t="str">
        <f>_xll.BDP("34679VFJ Muni","BB_COMPOSITE")</f>
        <v>#N/A N/A</v>
      </c>
      <c r="T909">
        <f>_xll.BDP("34679VFJ Muni","LQA_LIQUIDITY_SCORE")</f>
        <v>82</v>
      </c>
    </row>
    <row r="910" spans="1:20" x14ac:dyDescent="0.25">
      <c r="A910" t="str">
        <f>_xll.BDP("34679VFK Muni","ID_CUSIP")</f>
        <v>34679VFK1</v>
      </c>
      <c r="B910" t="s">
        <v>299</v>
      </c>
      <c r="C910" t="str">
        <f>_xll.BDP("34679VFK Muni","INSURANCE_STATUS")</f>
        <v>Y</v>
      </c>
      <c r="D910" t="str">
        <f>_xll.BDP("34679VFK Muni","STATE_CODE")</f>
        <v>TX</v>
      </c>
      <c r="E910" t="str">
        <f>_xll.BDP("34679VFK Muni","COUNTY_LOCATION_ISSUER")</f>
        <v>Fort Bend, TX</v>
      </c>
      <c r="F910">
        <f>_xll.BDP("34679VFK Muni","DUR_ADJ_MID")</f>
        <v>1.9617972849625209</v>
      </c>
      <c r="G910">
        <f>_xll.BDP("34679VFK Muni","SPREAD_AT_ISSUANCE_TO_WORST")</f>
        <v>67.066850569825249</v>
      </c>
      <c r="H910" t="str">
        <f>_xll.BDP("34679VFK Muni","ISSUE_DT")</f>
        <v>7/1/2017</v>
      </c>
      <c r="I910" t="str">
        <f>_xll.BDS("34679VFK Muni","MUNI_PURPOSE_SCHED", "aggregate=y")</f>
        <v>WATER UTILITY IMPS. SEWER IMPS.</v>
      </c>
      <c r="J910">
        <f>_xll.BDP("34679VFK Muni","CPN")</f>
        <v>4</v>
      </c>
      <c r="K910" t="str">
        <f>_xll.BDP("34679VFK Muni","MATURITY")</f>
        <v>9/1/2024</v>
      </c>
      <c r="L910">
        <v>120000</v>
      </c>
      <c r="M910">
        <f>_xll.BDP("34679VFK Muni","YIELD_ON_ISSUE_DATE")</f>
        <v>2.2000000000000002</v>
      </c>
      <c r="N910">
        <f>_xll.BDP("34679VFK Muni","YTW_SPREAD_TO_MATURITY_AT_ISSU")</f>
        <v>67.066850569825249</v>
      </c>
      <c r="O910" t="str">
        <f>_xll.BDP("34679VFK Muni","BVAL_MID_YTM")</f>
        <v>#N/A Authorization</v>
      </c>
      <c r="P910" t="str">
        <f>_xll.BDP("34679VFK Muni","MUNI_TAX_PROV")</f>
        <v>FED BQ</v>
      </c>
      <c r="Q910" t="str">
        <f>_xll.BDP("34679VFK Muni","MUNI_FED_TAX")</f>
        <v>N</v>
      </c>
      <c r="R910" t="str">
        <f>_xll.BDP("34679VFK Muni","MUNI_MSRB_VOLUME")</f>
        <v>#N/A N/A</v>
      </c>
      <c r="S910" t="str">
        <f>_xll.BDP("34679VFK Muni","BB_COMPOSITE")</f>
        <v>#N/A N/A</v>
      </c>
      <c r="T910">
        <f>_xll.BDP("34679VFK Muni","LQA_LIQUIDITY_SCORE")</f>
        <v>71</v>
      </c>
    </row>
    <row r="911" spans="1:20" x14ac:dyDescent="0.25">
      <c r="A911" t="str">
        <f>_xll.BDP("34680CFD Muni","ID_CUSIP")</f>
        <v>34680CFD6</v>
      </c>
      <c r="B911" t="s">
        <v>105</v>
      </c>
      <c r="C911" t="str">
        <f>_xll.BDP("34680CFD Muni","INSURANCE_STATUS")</f>
        <v>Y</v>
      </c>
      <c r="D911" t="str">
        <f>_xll.BDP("34680CFD Muni","STATE_CODE")</f>
        <v>TX</v>
      </c>
      <c r="E911" t="str">
        <f>_xll.BDP("34680CFD Muni","COUNTY_LOCATION_ISSUER")</f>
        <v>Fort Bend, TX</v>
      </c>
      <c r="F911">
        <f>_xll.BDP("34680CFD Muni","DUR_ADJ_MID")</f>
        <v>1.0497358842680184</v>
      </c>
      <c r="G911">
        <f>_xll.BDP("34680CFD Muni","SPREAD_AT_ISSUANCE_TO_WORST")</f>
        <v>42.568821917808222</v>
      </c>
      <c r="H911" t="str">
        <f>_xll.BDP("34680CFD Muni","ISSUE_DT")</f>
        <v>11/1/2017</v>
      </c>
      <c r="I911" t="str">
        <f>_xll.BDS("34680CFD Muni","MUNI_PURPOSE_SCHED", "aggregate=y")</f>
        <v>WATER UTILITY IMPS. SEWER IMPS. REFUNDING NOTES</v>
      </c>
      <c r="J911">
        <f>_xll.BDP("34680CFD Muni","CPN")</f>
        <v>3</v>
      </c>
      <c r="K911" t="str">
        <f>_xll.BDP("34680CFD Muni","MATURITY")</f>
        <v>9/1/2023</v>
      </c>
      <c r="L911">
        <v>750000</v>
      </c>
      <c r="M911">
        <f>_xll.BDP("34680CFD Muni","YIELD_ON_ISSUE_DATE")</f>
        <v>1.93</v>
      </c>
      <c r="N911">
        <f>_xll.BDP("34680CFD Muni","YTW_SPREAD_TO_MATURITY_AT_ISSU")</f>
        <v>42.568821917808222</v>
      </c>
      <c r="O911" t="str">
        <f>_xll.BDP("34680CFD Muni","BVAL_MID_YTM")</f>
        <v>#N/A Authorization</v>
      </c>
      <c r="P911" t="str">
        <f>_xll.BDP("34680CFD Muni","MUNI_TAX_PROV")</f>
        <v>FED TAX-EXEMPT</v>
      </c>
      <c r="Q911" t="str">
        <f>_xll.BDP("34680CFD Muni","MUNI_FED_TAX")</f>
        <v>N</v>
      </c>
      <c r="R911">
        <f>_xll.BDP("34680CFD Muni","MUNI_MSRB_VOLUME")</f>
        <v>75000</v>
      </c>
      <c r="S911" t="str">
        <f>_xll.BDP("34680CFD Muni","BB_COMPOSITE")</f>
        <v>AA-</v>
      </c>
      <c r="T911">
        <f>_xll.BDP("34680CFD Muni","LQA_LIQUIDITY_SCORE")</f>
        <v>75</v>
      </c>
    </row>
    <row r="912" spans="1:20" x14ac:dyDescent="0.25">
      <c r="A912" t="str">
        <f>_xll.BDP("34680CFE Muni","ID_CUSIP")</f>
        <v>34680CFE4</v>
      </c>
      <c r="B912" t="s">
        <v>105</v>
      </c>
      <c r="C912" t="str">
        <f>_xll.BDP("34680CFE Muni","INSURANCE_STATUS")</f>
        <v>Y</v>
      </c>
      <c r="D912" t="str">
        <f>_xll.BDP("34680CFE Muni","STATE_CODE")</f>
        <v>TX</v>
      </c>
      <c r="E912" t="str">
        <f>_xll.BDP("34680CFE Muni","COUNTY_LOCATION_ISSUER")</f>
        <v>Fort Bend, TX</v>
      </c>
      <c r="F912">
        <f>_xll.BDP("34680CFE Muni","DUR_ADJ_MID")</f>
        <v>1.9892662051279337</v>
      </c>
      <c r="G912">
        <f>_xll.BDP("34680CFE Muni","SPREAD_AT_ISSUANCE_TO_WORST")</f>
        <v>47.793320547945207</v>
      </c>
      <c r="H912" t="str">
        <f>_xll.BDP("34680CFE Muni","ISSUE_DT")</f>
        <v>11/1/2017</v>
      </c>
      <c r="I912" t="str">
        <f>_xll.BDS("34680CFE Muni","MUNI_PURPOSE_SCHED", "aggregate=y")</f>
        <v>WATER UTILITY IMPS. SEWER IMPS. REFUNDING NOTES</v>
      </c>
      <c r="J912">
        <f>_xll.BDP("34680CFE Muni","CPN")</f>
        <v>3</v>
      </c>
      <c r="K912" t="str">
        <f>_xll.BDP("34680CFE Muni","MATURITY")</f>
        <v>9/1/2024</v>
      </c>
      <c r="L912">
        <v>750000</v>
      </c>
      <c r="M912">
        <f>_xll.BDP("34680CFE Muni","YIELD_ON_ISSUE_DATE")</f>
        <v>2.12</v>
      </c>
      <c r="N912">
        <f>_xll.BDP("34680CFE Muni","YTW_SPREAD_TO_MATURITY_AT_ISSU")</f>
        <v>47.793320547945207</v>
      </c>
      <c r="O912" t="str">
        <f>_xll.BDP("34680CFE Muni","BVAL_MID_YTM")</f>
        <v>#N/A Authorization</v>
      </c>
      <c r="P912" t="str">
        <f>_xll.BDP("34680CFE Muni","MUNI_TAX_PROV")</f>
        <v>FED TAX-EXEMPT</v>
      </c>
      <c r="Q912" t="str">
        <f>_xll.BDP("34680CFE Muni","MUNI_FED_TAX")</f>
        <v>N</v>
      </c>
      <c r="R912">
        <f>_xll.BDP("34680CFE Muni","MUNI_MSRB_VOLUME")</f>
        <v>75000</v>
      </c>
      <c r="S912" t="str">
        <f>_xll.BDP("34680CFE Muni","BB_COMPOSITE")</f>
        <v>AA-</v>
      </c>
      <c r="T912">
        <f>_xll.BDP("34680CFE Muni","LQA_LIQUIDITY_SCORE")</f>
        <v>64</v>
      </c>
    </row>
    <row r="913" spans="1:20" x14ac:dyDescent="0.25">
      <c r="A913" t="str">
        <f>_xll.BDP("346811NK Muni","ID_CUSIP")</f>
        <v>346811NK4</v>
      </c>
      <c r="B913" t="s">
        <v>300</v>
      </c>
      <c r="C913" t="str">
        <f>_xll.BDP("346811NK Muni","INSURANCE_STATUS")</f>
        <v>Y</v>
      </c>
      <c r="D913" t="str">
        <f>_xll.BDP("346811NK Muni","STATE_CODE")</f>
        <v>TX</v>
      </c>
      <c r="E913" t="str">
        <f>_xll.BDP("346811NK Muni","COUNTY_LOCATION_ISSUER")</f>
        <v>Fort Bend, TX</v>
      </c>
      <c r="F913">
        <f>_xll.BDP("346811NK Muni","DUR_ADJ_MID")</f>
        <v>8.0476386907179912E-2</v>
      </c>
      <c r="G913">
        <f>_xll.BDP("346811NK Muni","SPREAD_AT_ISSUANCE_TO_WORST")</f>
        <v>46.66712506677537</v>
      </c>
      <c r="H913" t="str">
        <f>_xll.BDP("346811NK Muni","ISSUE_DT")</f>
        <v>8/1/2017</v>
      </c>
      <c r="I913" t="str">
        <f>_xll.BDS("346811NK Muni","MUNI_PURPOSE_SCHED", "aggregate=y")</f>
        <v>WATER UTILITY IMPS. SEWER IMPS. PROPERTY ACQUISITION</v>
      </c>
      <c r="J913">
        <f>_xll.BDP("346811NK Muni","CPN")</f>
        <v>2</v>
      </c>
      <c r="K913" t="str">
        <f>_xll.BDP("346811NK Muni","MATURITY")</f>
        <v>9/1/2022</v>
      </c>
      <c r="L913">
        <v>165000</v>
      </c>
      <c r="M913">
        <f>_xll.BDP("346811NK Muni","YIELD_ON_ISSUE_DATE")</f>
        <v>1.85</v>
      </c>
      <c r="N913">
        <f>_xll.BDP("346811NK Muni","YTW_SPREAD_TO_MATURITY_AT_ISSU")</f>
        <v>46.66712506677537</v>
      </c>
      <c r="O913" t="str">
        <f>_xll.BDP("346811NK Muni","BVAL_MID_YTM")</f>
        <v>#N/A Authorization</v>
      </c>
      <c r="P913" t="str">
        <f>_xll.BDP("346811NK Muni","MUNI_TAX_PROV")</f>
        <v>FED BQ</v>
      </c>
      <c r="Q913" t="str">
        <f>_xll.BDP("346811NK Muni","MUNI_FED_TAX")</f>
        <v>N</v>
      </c>
      <c r="R913" t="str">
        <f>_xll.BDP("346811NK Muni","MUNI_MSRB_VOLUME")</f>
        <v>#N/A N/A</v>
      </c>
      <c r="S913" t="str">
        <f>_xll.BDP("346811NK Muni","BB_COMPOSITE")</f>
        <v>A+</v>
      </c>
      <c r="T913">
        <f>_xll.BDP("346811NK Muni","LQA_LIQUIDITY_SCORE")</f>
        <v>99</v>
      </c>
    </row>
    <row r="914" spans="1:20" x14ac:dyDescent="0.25">
      <c r="A914" t="str">
        <f>_xll.BDP("346811NL Muni","ID_CUSIP")</f>
        <v>346811NL2</v>
      </c>
      <c r="B914" t="s">
        <v>300</v>
      </c>
      <c r="C914" t="str">
        <f>_xll.BDP("346811NL Muni","INSURANCE_STATUS")</f>
        <v>Y</v>
      </c>
      <c r="D914" t="str">
        <f>_xll.BDP("346811NL Muni","STATE_CODE")</f>
        <v>TX</v>
      </c>
      <c r="E914" t="str">
        <f>_xll.BDP("346811NL Muni","COUNTY_LOCATION_ISSUER")</f>
        <v>Fort Bend, TX</v>
      </c>
      <c r="F914">
        <f>_xll.BDP("346811NL Muni","DUR_ADJ_MID")</f>
        <v>1.0561690113898559</v>
      </c>
      <c r="G914">
        <f>_xll.BDP("346811NL Muni","SPREAD_AT_ISSUANCE_TO_WORST")</f>
        <v>52.448569420552737</v>
      </c>
      <c r="H914" t="str">
        <f>_xll.BDP("346811NL Muni","ISSUE_DT")</f>
        <v>8/1/2017</v>
      </c>
      <c r="I914" t="str">
        <f>_xll.BDS("346811NL Muni","MUNI_PURPOSE_SCHED", "aggregate=y")</f>
        <v>WATER UTILITY IMPS. SEWER IMPS. PROPERTY ACQUISITION</v>
      </c>
      <c r="J914">
        <f>_xll.BDP("346811NL Muni","CPN")</f>
        <v>2</v>
      </c>
      <c r="K914" t="str">
        <f>_xll.BDP("346811NL Muni","MATURITY")</f>
        <v>9/1/2023</v>
      </c>
      <c r="L914">
        <v>165000</v>
      </c>
      <c r="M914">
        <f>_xll.BDP("346811NL Muni","YIELD_ON_ISSUE_DATE")</f>
        <v>2.0499999999999998</v>
      </c>
      <c r="N914">
        <f>_xll.BDP("346811NL Muni","YTW_SPREAD_TO_MATURITY_AT_ISSU")</f>
        <v>52.448569420552737</v>
      </c>
      <c r="O914" t="str">
        <f>_xll.BDP("346811NL Muni","BVAL_MID_YTM")</f>
        <v>#N/A Authorization</v>
      </c>
      <c r="P914" t="str">
        <f>_xll.BDP("346811NL Muni","MUNI_TAX_PROV")</f>
        <v>FED BQ</v>
      </c>
      <c r="Q914" t="str">
        <f>_xll.BDP("346811NL Muni","MUNI_FED_TAX")</f>
        <v>N</v>
      </c>
      <c r="R914" t="str">
        <f>_xll.BDP("346811NL Muni","MUNI_MSRB_VOLUME")</f>
        <v>#N/A N/A</v>
      </c>
      <c r="S914" t="str">
        <f>_xll.BDP("346811NL Muni","BB_COMPOSITE")</f>
        <v>A+</v>
      </c>
      <c r="T914">
        <f>_xll.BDP("346811NL Muni","LQA_LIQUIDITY_SCORE")</f>
        <v>83</v>
      </c>
    </row>
    <row r="915" spans="1:20" x14ac:dyDescent="0.25">
      <c r="A915" t="str">
        <f>_xll.BDP("346811NM Muni","ID_CUSIP")</f>
        <v>346811NM0</v>
      </c>
      <c r="B915" t="s">
        <v>300</v>
      </c>
      <c r="C915" t="str">
        <f>_xll.BDP("346811NM Muni","INSURANCE_STATUS")</f>
        <v>Y</v>
      </c>
      <c r="D915" t="str">
        <f>_xll.BDP("346811NM Muni","STATE_CODE")</f>
        <v>TX</v>
      </c>
      <c r="E915" t="str">
        <f>_xll.BDP("346811NM Muni","COUNTY_LOCATION_ISSUER")</f>
        <v>Fort Bend, TX</v>
      </c>
      <c r="F915">
        <f>_xll.BDP("346811NM Muni","DUR_ADJ_MID")</f>
        <v>2.0079445499674238</v>
      </c>
      <c r="G915">
        <f>_xll.BDP("346811NM Muni","SPREAD_AT_ISSUANCE_TO_WORST")</f>
        <v>47.928662962766566</v>
      </c>
      <c r="H915" t="str">
        <f>_xll.BDP("346811NM Muni","ISSUE_DT")</f>
        <v>8/1/2017</v>
      </c>
      <c r="I915" t="str">
        <f>_xll.BDS("346811NM Muni","MUNI_PURPOSE_SCHED", "aggregate=y")</f>
        <v>WATER UTILITY IMPS. SEWER IMPS. PROPERTY ACQUISITION</v>
      </c>
      <c r="J915">
        <f>_xll.BDP("346811NM Muni","CPN")</f>
        <v>2.125</v>
      </c>
      <c r="K915" t="str">
        <f>_xll.BDP("346811NM Muni","MATURITY")</f>
        <v>9/1/2024</v>
      </c>
      <c r="L915">
        <v>165000</v>
      </c>
      <c r="M915">
        <f>_xll.BDP("346811NM Muni","YIELD_ON_ISSUE_DATE")</f>
        <v>2.15</v>
      </c>
      <c r="N915">
        <f>_xll.BDP("346811NM Muni","YTW_SPREAD_TO_MATURITY_AT_ISSU")</f>
        <v>47.928662962766566</v>
      </c>
      <c r="O915" t="str">
        <f>_xll.BDP("346811NM Muni","BVAL_MID_YTM")</f>
        <v>#N/A Authorization</v>
      </c>
      <c r="P915" t="str">
        <f>_xll.BDP("346811NM Muni","MUNI_TAX_PROV")</f>
        <v>FED BQ</v>
      </c>
      <c r="Q915" t="str">
        <f>_xll.BDP("346811NM Muni","MUNI_FED_TAX")</f>
        <v>N</v>
      </c>
      <c r="R915" t="str">
        <f>_xll.BDP("346811NM Muni","MUNI_MSRB_VOLUME")</f>
        <v>#N/A N/A</v>
      </c>
      <c r="S915" t="str">
        <f>_xll.BDP("346811NM Muni","BB_COMPOSITE")</f>
        <v>A+</v>
      </c>
      <c r="T915">
        <f>_xll.BDP("346811NM Muni","LQA_LIQUIDITY_SCORE")</f>
        <v>68</v>
      </c>
    </row>
    <row r="916" spans="1:20" x14ac:dyDescent="0.25">
      <c r="A916" t="str">
        <f>_xll.BDP("34681WRU Muni","ID_CUSIP")</f>
        <v>34681WRU0</v>
      </c>
      <c r="B916" t="s">
        <v>301</v>
      </c>
      <c r="C916" t="str">
        <f>_xll.BDP("34681WRU Muni","INSURANCE_STATUS")</f>
        <v>Y</v>
      </c>
      <c r="D916" t="str">
        <f>_xll.BDP("34681WRU Muni","STATE_CODE")</f>
        <v>TX</v>
      </c>
      <c r="E916" t="str">
        <f>_xll.BDP("34681WRU Muni","COUNTY_LOCATION_ISSUER")</f>
        <v>Fort Bend, TX</v>
      </c>
      <c r="F916">
        <f>_xll.BDP("34681WRU Muni","DUR_ADJ_MID")</f>
        <v>8.0486845383377456E-2</v>
      </c>
      <c r="G916">
        <f>_xll.BDP("34681WRU Muni","SPREAD_AT_ISSUANCE_TO_WORST")</f>
        <v>66.68246476557313</v>
      </c>
      <c r="H916" t="str">
        <f>_xll.BDP("34681WRU Muni","ISSUE_DT")</f>
        <v>8/1/2017</v>
      </c>
      <c r="I916" t="str">
        <f>_xll.BDS("34681WRU Muni","MUNI_PURPOSE_SCHED", "aggregate=y")</f>
        <v>PUBLIC IMPS. WATER UTILITY IMPS. SEWER IMPS.</v>
      </c>
      <c r="J916">
        <f>_xll.BDP("34681WRU Muni","CPN")</f>
        <v>5</v>
      </c>
      <c r="K916" t="str">
        <f>_xll.BDP("34681WRU Muni","MATURITY")</f>
        <v>9/1/2022</v>
      </c>
      <c r="L916">
        <v>50000</v>
      </c>
      <c r="M916">
        <f>_xll.BDP("34681WRU Muni","YIELD_ON_ISSUE_DATE")</f>
        <v>1.9000000000000001</v>
      </c>
      <c r="N916">
        <f>_xll.BDP("34681WRU Muni","YTW_SPREAD_TO_MATURITY_AT_ISSU")</f>
        <v>66.68246476557313</v>
      </c>
      <c r="O916" t="str">
        <f>_xll.BDP("34681WRU Muni","BVAL_MID_YTM")</f>
        <v>#N/A Authorization</v>
      </c>
      <c r="P916" t="str">
        <f>_xll.BDP("34681WRU Muni","MUNI_TAX_PROV")</f>
        <v>FED TAX-EXEMPT</v>
      </c>
      <c r="Q916" t="str">
        <f>_xll.BDP("34681WRU Muni","MUNI_FED_TAX")</f>
        <v>N</v>
      </c>
      <c r="R916" t="str">
        <f>_xll.BDP("34681WRU Muni","MUNI_MSRB_VOLUME")</f>
        <v>#N/A N/A</v>
      </c>
      <c r="S916" t="str">
        <f>_xll.BDP("34681WRU Muni","BB_COMPOSITE")</f>
        <v>A+</v>
      </c>
      <c r="T916">
        <f>_xll.BDP("34681WRU Muni","LQA_LIQUIDITY_SCORE")</f>
        <v>95</v>
      </c>
    </row>
    <row r="917" spans="1:20" x14ac:dyDescent="0.25">
      <c r="A917" t="str">
        <f>_xll.BDP("34681WRV Muni","ID_CUSIP")</f>
        <v>34681WRV8</v>
      </c>
      <c r="B917" t="s">
        <v>301</v>
      </c>
      <c r="C917" t="str">
        <f>_xll.BDP("34681WRV Muni","INSURANCE_STATUS")</f>
        <v>Y</v>
      </c>
      <c r="D917" t="str">
        <f>_xll.BDP("34681WRV Muni","STATE_CODE")</f>
        <v>TX</v>
      </c>
      <c r="E917" t="str">
        <f>_xll.BDP("34681WRV Muni","COUNTY_LOCATION_ISSUER")</f>
        <v>Fort Bend, TX</v>
      </c>
      <c r="F917">
        <f>_xll.BDP("34681WRV Muni","DUR_ADJ_MID")</f>
        <v>1.0366140287206551</v>
      </c>
      <c r="G917">
        <f>_xll.BDP("34681WRV Muni","SPREAD_AT_ISSUANCE_TO_WORST")</f>
        <v>67.117276252507025</v>
      </c>
      <c r="H917" t="str">
        <f>_xll.BDP("34681WRV Muni","ISSUE_DT")</f>
        <v>8/1/2017</v>
      </c>
      <c r="I917" t="str">
        <f>_xll.BDS("34681WRV Muni","MUNI_PURPOSE_SCHED", "aggregate=y")</f>
        <v>PUBLIC IMPS. WATER UTILITY IMPS. SEWER IMPS.</v>
      </c>
      <c r="J917">
        <f>_xll.BDP("34681WRV Muni","CPN")</f>
        <v>5</v>
      </c>
      <c r="K917" t="str">
        <f>_xll.BDP("34681WRV Muni","MATURITY")</f>
        <v>9/1/2023</v>
      </c>
      <c r="L917">
        <v>50000</v>
      </c>
      <c r="M917">
        <f>_xll.BDP("34681WRV Muni","YIELD_ON_ISSUE_DATE")</f>
        <v>2.0499999999999998</v>
      </c>
      <c r="N917">
        <f>_xll.BDP("34681WRV Muni","YTW_SPREAD_TO_MATURITY_AT_ISSU")</f>
        <v>67.117276252507025</v>
      </c>
      <c r="O917" t="str">
        <f>_xll.BDP("34681WRV Muni","BVAL_MID_YTM")</f>
        <v>#N/A Authorization</v>
      </c>
      <c r="P917" t="str">
        <f>_xll.BDP("34681WRV Muni","MUNI_TAX_PROV")</f>
        <v>FED TAX-EXEMPT</v>
      </c>
      <c r="Q917" t="str">
        <f>_xll.BDP("34681WRV Muni","MUNI_FED_TAX")</f>
        <v>N</v>
      </c>
      <c r="R917" t="str">
        <f>_xll.BDP("34681WRV Muni","MUNI_MSRB_VOLUME")</f>
        <v>#N/A N/A</v>
      </c>
      <c r="S917" t="str">
        <f>_xll.BDP("34681WRV Muni","BB_COMPOSITE")</f>
        <v>A+</v>
      </c>
      <c r="T917">
        <f>_xll.BDP("34681WRV Muni","LQA_LIQUIDITY_SCORE")</f>
        <v>93</v>
      </c>
    </row>
    <row r="918" spans="1:20" x14ac:dyDescent="0.25">
      <c r="A918" t="str">
        <f>_xll.BDP("34681WRW Muni","ID_CUSIP")</f>
        <v>34681WRW6</v>
      </c>
      <c r="B918" t="s">
        <v>301</v>
      </c>
      <c r="C918" t="str">
        <f>_xll.BDP("34681WRW Muni","INSURANCE_STATUS")</f>
        <v>Y</v>
      </c>
      <c r="D918" t="str">
        <f>_xll.BDP("34681WRW Muni","STATE_CODE")</f>
        <v>TX</v>
      </c>
      <c r="E918" t="str">
        <f>_xll.BDP("34681WRW Muni","COUNTY_LOCATION_ISSUER")</f>
        <v>Fort Bend, TX</v>
      </c>
      <c r="F918">
        <f>_xll.BDP("34681WRW Muni","DUR_ADJ_MID")</f>
        <v>1.9480586848820798</v>
      </c>
      <c r="G918">
        <f>_xll.BDP("34681WRW Muni","SPREAD_AT_ISSUANCE_TO_WORST")</f>
        <v>62.249842014571712</v>
      </c>
      <c r="H918" t="str">
        <f>_xll.BDP("34681WRW Muni","ISSUE_DT")</f>
        <v>8/1/2017</v>
      </c>
      <c r="I918" t="str">
        <f>_xll.BDS("34681WRW Muni","MUNI_PURPOSE_SCHED", "aggregate=y")</f>
        <v>PUBLIC IMPS. WATER UTILITY IMPS. SEWER IMPS.</v>
      </c>
      <c r="J918">
        <f>_xll.BDP("34681WRW Muni","CPN")</f>
        <v>5</v>
      </c>
      <c r="K918" t="str">
        <f>_xll.BDP("34681WRW Muni","MATURITY")</f>
        <v>9/1/2024</v>
      </c>
      <c r="L918">
        <v>50000</v>
      </c>
      <c r="M918">
        <f>_xll.BDP("34681WRW Muni","YIELD_ON_ISSUE_DATE")</f>
        <v>2.15</v>
      </c>
      <c r="N918">
        <f>_xll.BDP("34681WRW Muni","YTW_SPREAD_TO_MATURITY_AT_ISSU")</f>
        <v>62.249842014571712</v>
      </c>
      <c r="O918" t="str">
        <f>_xll.BDP("34681WRW Muni","BVAL_MID_YTM")</f>
        <v>#N/A Authorization</v>
      </c>
      <c r="P918" t="str">
        <f>_xll.BDP("34681WRW Muni","MUNI_TAX_PROV")</f>
        <v>FED TAX-EXEMPT</v>
      </c>
      <c r="Q918" t="str">
        <f>_xll.BDP("34681WRW Muni","MUNI_FED_TAX")</f>
        <v>N</v>
      </c>
      <c r="R918" t="str">
        <f>_xll.BDP("34681WRW Muni","MUNI_MSRB_VOLUME")</f>
        <v>#N/A N/A</v>
      </c>
      <c r="S918" t="str">
        <f>_xll.BDP("34681WRW Muni","BB_COMPOSITE")</f>
        <v>A+</v>
      </c>
      <c r="T918">
        <f>_xll.BDP("34681WRW Muni","LQA_LIQUIDITY_SCORE")</f>
        <v>84</v>
      </c>
    </row>
    <row r="919" spans="1:20" x14ac:dyDescent="0.25">
      <c r="A919" t="str">
        <f>_xll.BDP("34682DCD Muni","ID_CUSIP")</f>
        <v>34682DCD5</v>
      </c>
      <c r="B919" t="s">
        <v>302</v>
      </c>
      <c r="C919" t="str">
        <f>_xll.BDP("34682DCD Muni","INSURANCE_STATUS")</f>
        <v>N</v>
      </c>
      <c r="D919" t="str">
        <f>_xll.BDP("34682DCD Muni","STATE_CODE")</f>
        <v>TX</v>
      </c>
      <c r="E919" t="str">
        <f>_xll.BDP("34682DCD Muni","COUNTY_LOCATION_ISSUER")</f>
        <v>Fort Bend, TX</v>
      </c>
      <c r="F919">
        <f>_xll.BDP("34682DCD Muni","DUR_ADJ_MID")</f>
        <v>8.0455779640880895E-2</v>
      </c>
      <c r="G919">
        <f>_xll.BDP("34682DCD Muni","SPREAD_AT_ISSUANCE_TO_WORST")</f>
        <v>84.028405479452076</v>
      </c>
      <c r="H919" t="str">
        <f>_xll.BDP("34682DCD Muni","ISSUE_DT")</f>
        <v>11/1/2017</v>
      </c>
      <c r="I919" t="str">
        <f>_xll.BDS("34682DCD Muni","MUNI_PURPOSE_SCHED", "aggregate=y")</f>
        <v>WATER UTILITY IMPS. SEWER IMPS. PUBLIC IMPS.</v>
      </c>
      <c r="J919">
        <f>_xll.BDP("34682DCD Muni","CPN")</f>
        <v>2.2000000000000002</v>
      </c>
      <c r="K919" t="str">
        <f>_xll.BDP("34682DCD Muni","MATURITY")</f>
        <v>9/1/2022</v>
      </c>
      <c r="L919">
        <v>45000</v>
      </c>
      <c r="M919">
        <f>_xll.BDP("34682DCD Muni","YIELD_ON_ISSUE_DATE")</f>
        <v>2.2000000000000002</v>
      </c>
      <c r="N919">
        <f>_xll.BDP("34682DCD Muni","YTW_SPREAD_TO_MATURITY_AT_ISSU")</f>
        <v>84.028405479452076</v>
      </c>
      <c r="O919" t="str">
        <f>_xll.BDP("34682DCD Muni","BVAL_MID_YTM")</f>
        <v>#N/A Authorization</v>
      </c>
      <c r="P919" t="str">
        <f>_xll.BDP("34682DCD Muni","MUNI_TAX_PROV")</f>
        <v>FED BQ</v>
      </c>
      <c r="Q919" t="str">
        <f>_xll.BDP("34682DCD Muni","MUNI_FED_TAX")</f>
        <v>N</v>
      </c>
      <c r="R919" t="str">
        <f>_xll.BDP("34682DCD Muni","MUNI_MSRB_VOLUME")</f>
        <v>#N/A N/A</v>
      </c>
      <c r="S919" t="str">
        <f>_xll.BDP("34682DCD Muni","BB_COMPOSITE")</f>
        <v>#N/A N/A</v>
      </c>
      <c r="T919">
        <f>_xll.BDP("34682DCD Muni","LQA_LIQUIDITY_SCORE")</f>
        <v>96</v>
      </c>
    </row>
    <row r="920" spans="1:20" x14ac:dyDescent="0.25">
      <c r="A920" t="str">
        <f>_xll.BDP("34682DCE Muni","ID_CUSIP")</f>
        <v>34682DCE3</v>
      </c>
      <c r="B920" t="s">
        <v>302</v>
      </c>
      <c r="C920" t="str">
        <f>_xll.BDP("34682DCE Muni","INSURANCE_STATUS")</f>
        <v>N</v>
      </c>
      <c r="D920" t="str">
        <f>_xll.BDP("34682DCE Muni","STATE_CODE")</f>
        <v>TX</v>
      </c>
      <c r="E920" t="str">
        <f>_xll.BDP("34682DCE Muni","COUNTY_LOCATION_ISSUER")</f>
        <v>Fort Bend, TX</v>
      </c>
      <c r="F920">
        <f>_xll.BDP("34682DCE Muni","DUR_ADJ_MID")</f>
        <v>1.0516343835240998</v>
      </c>
      <c r="G920">
        <f>_xll.BDP("34682DCE Muni","SPREAD_AT_ISSUANCE_TO_WORST")</f>
        <v>90.778095890410953</v>
      </c>
      <c r="H920" t="str">
        <f>_xll.BDP("34682DCE Muni","ISSUE_DT")</f>
        <v>11/1/2017</v>
      </c>
      <c r="I920" t="str">
        <f>_xll.BDS("34682DCE Muni","MUNI_PURPOSE_SCHED", "aggregate=y")</f>
        <v>WATER UTILITY IMPS. SEWER IMPS. PUBLIC IMPS.</v>
      </c>
      <c r="J920">
        <f>_xll.BDP("34682DCE Muni","CPN")</f>
        <v>2.4</v>
      </c>
      <c r="K920" t="str">
        <f>_xll.BDP("34682DCE Muni","MATURITY")</f>
        <v>9/1/2023</v>
      </c>
      <c r="L920">
        <v>50000</v>
      </c>
      <c r="M920">
        <f>_xll.BDP("34682DCE Muni","YIELD_ON_ISSUE_DATE")</f>
        <v>2.4000000000000004</v>
      </c>
      <c r="N920">
        <f>_xll.BDP("34682DCE Muni","YTW_SPREAD_TO_MATURITY_AT_ISSU")</f>
        <v>90.778095890410953</v>
      </c>
      <c r="O920" t="str">
        <f>_xll.BDP("34682DCE Muni","BVAL_MID_YTM")</f>
        <v>#N/A Authorization</v>
      </c>
      <c r="P920" t="str">
        <f>_xll.BDP("34682DCE Muni","MUNI_TAX_PROV")</f>
        <v>FED BQ</v>
      </c>
      <c r="Q920" t="str">
        <f>_xll.BDP("34682DCE Muni","MUNI_FED_TAX")</f>
        <v>N</v>
      </c>
      <c r="R920" t="str">
        <f>_xll.BDP("34682DCE Muni","MUNI_MSRB_VOLUME")</f>
        <v>#N/A N/A</v>
      </c>
      <c r="S920" t="str">
        <f>_xll.BDP("34682DCE Muni","BB_COMPOSITE")</f>
        <v>#N/A N/A</v>
      </c>
      <c r="T920">
        <f>_xll.BDP("34682DCE Muni","LQA_LIQUIDITY_SCORE")</f>
        <v>80</v>
      </c>
    </row>
    <row r="921" spans="1:20" x14ac:dyDescent="0.25">
      <c r="A921" t="str">
        <f>_xll.BDP("34682DCF Muni","ID_CUSIP")</f>
        <v>34682DCF0</v>
      </c>
      <c r="B921" t="s">
        <v>302</v>
      </c>
      <c r="C921" t="str">
        <f>_xll.BDP("34682DCF Muni","INSURANCE_STATUS")</f>
        <v>N</v>
      </c>
      <c r="D921" t="str">
        <f>_xll.BDP("34682DCF Muni","STATE_CODE")</f>
        <v>TX</v>
      </c>
      <c r="E921" t="str">
        <f>_xll.BDP("34682DCF Muni","COUNTY_LOCATION_ISSUER")</f>
        <v>Fort Bend, TX</v>
      </c>
      <c r="F921">
        <f>_xll.BDP("34682DCF Muni","DUR_ADJ_MID")</f>
        <v>1.9936739253987332</v>
      </c>
      <c r="G921">
        <f>_xll.BDP("34682DCF Muni","SPREAD_AT_ISSUANCE_TO_WORST")</f>
        <v>97.051515068493146</v>
      </c>
      <c r="H921" t="str">
        <f>_xll.BDP("34682DCF Muni","ISSUE_DT")</f>
        <v>11/1/2017</v>
      </c>
      <c r="I921" t="str">
        <f>_xll.BDS("34682DCF Muni","MUNI_PURPOSE_SCHED", "aggregate=y")</f>
        <v>WATER UTILITY IMPS. SEWER IMPS. PUBLIC IMPS.</v>
      </c>
      <c r="J921">
        <f>_xll.BDP("34682DCF Muni","CPN")</f>
        <v>2.6</v>
      </c>
      <c r="K921" t="str">
        <f>_xll.BDP("34682DCF Muni","MATURITY")</f>
        <v>9/1/2024</v>
      </c>
      <c r="L921">
        <v>50000</v>
      </c>
      <c r="M921">
        <f>_xll.BDP("34682DCF Muni","YIELD_ON_ISSUE_DATE")</f>
        <v>2.6</v>
      </c>
      <c r="N921">
        <f>_xll.BDP("34682DCF Muni","YTW_SPREAD_TO_MATURITY_AT_ISSU")</f>
        <v>97.051515068493146</v>
      </c>
      <c r="O921" t="str">
        <f>_xll.BDP("34682DCF Muni","BVAL_MID_YTM")</f>
        <v>#N/A Authorization</v>
      </c>
      <c r="P921" t="str">
        <f>_xll.BDP("34682DCF Muni","MUNI_TAX_PROV")</f>
        <v>FED BQ</v>
      </c>
      <c r="Q921" t="str">
        <f>_xll.BDP("34682DCF Muni","MUNI_FED_TAX")</f>
        <v>N</v>
      </c>
      <c r="R921" t="str">
        <f>_xll.BDP("34682DCF Muni","MUNI_MSRB_VOLUME")</f>
        <v>#N/A N/A</v>
      </c>
      <c r="S921" t="str">
        <f>_xll.BDP("34682DCF Muni","BB_COMPOSITE")</f>
        <v>#N/A N/A</v>
      </c>
      <c r="T921">
        <f>_xll.BDP("34682DCF Muni","LQA_LIQUIDITY_SCORE")</f>
        <v>64</v>
      </c>
    </row>
    <row r="922" spans="1:20" x14ac:dyDescent="0.25">
      <c r="A922" t="str">
        <f>_xll.BDP("34682DCG Muni","ID_CUSIP")</f>
        <v>34682DCG8</v>
      </c>
      <c r="B922" t="s">
        <v>302</v>
      </c>
      <c r="C922" t="str">
        <f>_xll.BDP("34682DCG Muni","INSURANCE_STATUS")</f>
        <v>N</v>
      </c>
      <c r="D922" t="str">
        <f>_xll.BDP("34682DCG Muni","STATE_CODE")</f>
        <v>TX</v>
      </c>
      <c r="E922" t="str">
        <f>_xll.BDP("34682DCG Muni","COUNTY_LOCATION_ISSUER")</f>
        <v>Fort Bend, TX</v>
      </c>
      <c r="F922">
        <f>_xll.BDP("34682DCG Muni","DUR_ADJ_MID")</f>
        <v>2.9033515386821267</v>
      </c>
      <c r="G922">
        <f>_xll.BDP("34682DCG Muni","SPREAD_AT_ISSUANCE_TO_WORST")</f>
        <v>103.26354520547942</v>
      </c>
      <c r="H922" t="str">
        <f>_xll.BDP("34682DCG Muni","ISSUE_DT")</f>
        <v>11/1/2017</v>
      </c>
      <c r="I922" t="str">
        <f>_xll.BDS("34682DCG Muni","MUNI_PURPOSE_SCHED", "aggregate=y")</f>
        <v>WATER UTILITY IMPS. SEWER IMPS. PUBLIC IMPS.</v>
      </c>
      <c r="J922">
        <f>_xll.BDP("34682DCG Muni","CPN")</f>
        <v>2.8</v>
      </c>
      <c r="K922" t="str">
        <f>_xll.BDP("34682DCG Muni","MATURITY")</f>
        <v>9/1/2025</v>
      </c>
      <c r="L922">
        <v>55000</v>
      </c>
      <c r="M922">
        <f>_xll.BDP("34682DCG Muni","YIELD_ON_ISSUE_DATE")</f>
        <v>2.8000000000000003</v>
      </c>
      <c r="N922">
        <f>_xll.BDP("34682DCG Muni","YTW_SPREAD_TO_MATURITY_AT_ISSU")</f>
        <v>103.26354520547942</v>
      </c>
      <c r="O922" t="str">
        <f>_xll.BDP("34682DCG Muni","BVAL_MID_YTM")</f>
        <v>#N/A Authorization</v>
      </c>
      <c r="P922" t="str">
        <f>_xll.BDP("34682DCG Muni","MUNI_TAX_PROV")</f>
        <v>FED BQ</v>
      </c>
      <c r="Q922" t="str">
        <f>_xll.BDP("34682DCG Muni","MUNI_FED_TAX")</f>
        <v>N</v>
      </c>
      <c r="R922" t="str">
        <f>_xll.BDP("34682DCG Muni","MUNI_MSRB_VOLUME")</f>
        <v>#N/A N/A</v>
      </c>
      <c r="S922" t="str">
        <f>_xll.BDP("34682DCG Muni","BB_COMPOSITE")</f>
        <v>#N/A N/A</v>
      </c>
      <c r="T922">
        <f>_xll.BDP("34682DCG Muni","LQA_LIQUIDITY_SCORE")</f>
        <v>48</v>
      </c>
    </row>
    <row r="923" spans="1:20" x14ac:dyDescent="0.25">
      <c r="A923" t="str">
        <f>_xll.BDP("34682GGE Muni","ID_CUSIP")</f>
        <v>34682GGE2</v>
      </c>
      <c r="B923" t="s">
        <v>303</v>
      </c>
      <c r="C923" t="str">
        <f>_xll.BDP("34682GGE Muni","INSURANCE_STATUS")</f>
        <v>Y</v>
      </c>
      <c r="D923" t="str">
        <f>_xll.BDP("34682GGE Muni","STATE_CODE")</f>
        <v>TX</v>
      </c>
      <c r="E923" t="str">
        <f>_xll.BDP("34682GGE Muni","COUNTY_LOCATION_ISSUER")</f>
        <v>Fort Bend, TX</v>
      </c>
      <c r="F923">
        <f>_xll.BDP("34682GGE Muni","DUR_ADJ_MID")</f>
        <v>8.0474312174032572E-2</v>
      </c>
      <c r="G923">
        <f>_xll.BDP("34682GGE Muni","SPREAD_AT_ISSUANCE_TO_WORST")</f>
        <v>62.585188328070451</v>
      </c>
      <c r="H923" t="str">
        <f>_xll.BDP("34682GGE Muni","ISSUE_DT")</f>
        <v>8/1/2017</v>
      </c>
      <c r="I923" t="str">
        <f>_xll.BDS("34682GGE Muni","MUNI_PURPOSE_SCHED", "aggregate=y")</f>
        <v>WATER UTILITY IMPS. SEWER IMPS.</v>
      </c>
      <c r="J923">
        <f>_xll.BDP("34682GGE Muni","CPN")</f>
        <v>3</v>
      </c>
      <c r="K923" t="str">
        <f>_xll.BDP("34682GGE Muni","MATURITY")</f>
        <v>9/1/2022</v>
      </c>
      <c r="L923">
        <v>135000</v>
      </c>
      <c r="M923">
        <f>_xll.BDP("34682GGE Muni","YIELD_ON_ISSUE_DATE")</f>
        <v>1.9000000000000001</v>
      </c>
      <c r="N923">
        <f>_xll.BDP("34682GGE Muni","YTW_SPREAD_TO_MATURITY_AT_ISSU")</f>
        <v>62.585188328070451</v>
      </c>
      <c r="O923" t="str">
        <f>_xll.BDP("34682GGE Muni","BVAL_MID_YTM")</f>
        <v>#N/A Authorization</v>
      </c>
      <c r="P923" t="str">
        <f>_xll.BDP("34682GGE Muni","MUNI_TAX_PROV")</f>
        <v>FED BQ</v>
      </c>
      <c r="Q923" t="str">
        <f>_xll.BDP("34682GGE Muni","MUNI_FED_TAX")</f>
        <v>N</v>
      </c>
      <c r="R923" t="str">
        <f>_xll.BDP("34682GGE Muni","MUNI_MSRB_VOLUME")</f>
        <v>#N/A N/A</v>
      </c>
      <c r="S923" t="str">
        <f>_xll.BDP("34682GGE Muni","BB_COMPOSITE")</f>
        <v>AA-</v>
      </c>
      <c r="T923">
        <f>_xll.BDP("34682GGE Muni","LQA_LIQUIDITY_SCORE")</f>
        <v>99</v>
      </c>
    </row>
    <row r="924" spans="1:20" x14ac:dyDescent="0.25">
      <c r="A924" t="str">
        <f>_xll.BDP("34682GGF Muni","ID_CUSIP")</f>
        <v>34682GGF9</v>
      </c>
      <c r="B924" t="s">
        <v>303</v>
      </c>
      <c r="C924" t="str">
        <f>_xll.BDP("34682GGF Muni","INSURANCE_STATUS")</f>
        <v>Y</v>
      </c>
      <c r="D924" t="str">
        <f>_xll.BDP("34682GGF Muni","STATE_CODE")</f>
        <v>TX</v>
      </c>
      <c r="E924" t="str">
        <f>_xll.BDP("34682GGF Muni","COUNTY_LOCATION_ISSUER")</f>
        <v>Fort Bend, TX</v>
      </c>
      <c r="F924">
        <f>_xll.BDP("34682GGF Muni","DUR_ADJ_MID")</f>
        <v>1.048988226079828</v>
      </c>
      <c r="G924">
        <f>_xll.BDP("34682GGF Muni","SPREAD_AT_ISSUANCE_TO_WORST")</f>
        <v>58.301139442728811</v>
      </c>
      <c r="H924" t="str">
        <f>_xll.BDP("34682GGF Muni","ISSUE_DT")</f>
        <v>8/1/2017</v>
      </c>
      <c r="I924" t="str">
        <f>_xll.BDS("34682GGF Muni","MUNI_PURPOSE_SCHED", "aggregate=y")</f>
        <v>WATER UTILITY IMPS. SEWER IMPS.</v>
      </c>
      <c r="J924">
        <f>_xll.BDP("34682GGF Muni","CPN")</f>
        <v>3</v>
      </c>
      <c r="K924" t="str">
        <f>_xll.BDP("34682GGF Muni","MATURITY")</f>
        <v>9/1/2023</v>
      </c>
      <c r="L924">
        <v>140000</v>
      </c>
      <c r="M924">
        <f>_xll.BDP("34682GGF Muni","YIELD_ON_ISSUE_DATE")</f>
        <v>2</v>
      </c>
      <c r="N924">
        <f>_xll.BDP("34682GGF Muni","YTW_SPREAD_TO_MATURITY_AT_ISSU")</f>
        <v>58.301139442728811</v>
      </c>
      <c r="O924" t="str">
        <f>_xll.BDP("34682GGF Muni","BVAL_MID_YTM")</f>
        <v>#N/A Authorization</v>
      </c>
      <c r="P924" t="str">
        <f>_xll.BDP("34682GGF Muni","MUNI_TAX_PROV")</f>
        <v>FED BQ</v>
      </c>
      <c r="Q924" t="str">
        <f>_xll.BDP("34682GGF Muni","MUNI_FED_TAX")</f>
        <v>N</v>
      </c>
      <c r="R924" t="str">
        <f>_xll.BDP("34682GGF Muni","MUNI_MSRB_VOLUME")</f>
        <v>#N/A N/A</v>
      </c>
      <c r="S924" t="str">
        <f>_xll.BDP("34682GGF Muni","BB_COMPOSITE")</f>
        <v>AA-</v>
      </c>
      <c r="T924">
        <f>_xll.BDP("34682GGF Muni","LQA_LIQUIDITY_SCORE")</f>
        <v>91</v>
      </c>
    </row>
    <row r="925" spans="1:20" x14ac:dyDescent="0.25">
      <c r="A925" t="str">
        <f>_xll.BDP("34682GGG Muni","ID_CUSIP")</f>
        <v>34682GGG7</v>
      </c>
      <c r="B925" t="s">
        <v>303</v>
      </c>
      <c r="C925" t="str">
        <f>_xll.BDP("34682GGG Muni","INSURANCE_STATUS")</f>
        <v>Y</v>
      </c>
      <c r="D925" t="str">
        <f>_xll.BDP("34682GGG Muni","STATE_CODE")</f>
        <v>TX</v>
      </c>
      <c r="E925" t="str">
        <f>_xll.BDP("34682GGG Muni","COUNTY_LOCATION_ISSUER")</f>
        <v>Fort Bend, TX</v>
      </c>
      <c r="F925">
        <f>_xll.BDP("34682GGG Muni","DUR_ADJ_MID")</f>
        <v>2.0105459264725201</v>
      </c>
      <c r="G925">
        <f>_xll.BDP("34682GGG Muni","SPREAD_AT_ISSUANCE_TO_WORST")</f>
        <v>63.634052405971907</v>
      </c>
      <c r="H925" t="str">
        <f>_xll.BDP("34682GGG Muni","ISSUE_DT")</f>
        <v>8/1/2017</v>
      </c>
      <c r="I925" t="str">
        <f>_xll.BDS("34682GGG Muni","MUNI_PURPOSE_SCHED", "aggregate=y")</f>
        <v>WATER UTILITY IMPS. SEWER IMPS.</v>
      </c>
      <c r="J925">
        <f>_xll.BDP("34682GGG Muni","CPN")</f>
        <v>2</v>
      </c>
      <c r="K925" t="str">
        <f>_xll.BDP("34682GGG Muni","MATURITY")</f>
        <v>9/1/2024</v>
      </c>
      <c r="L925">
        <v>145000</v>
      </c>
      <c r="M925">
        <f>_xll.BDP("34682GGG Muni","YIELD_ON_ISSUE_DATE")</f>
        <v>2.2000000000000002</v>
      </c>
      <c r="N925">
        <f>_xll.BDP("34682GGG Muni","YTW_SPREAD_TO_MATURITY_AT_ISSU")</f>
        <v>63.634052405971907</v>
      </c>
      <c r="O925" t="str">
        <f>_xll.BDP("34682GGG Muni","BVAL_MID_YTM")</f>
        <v>#N/A Authorization</v>
      </c>
      <c r="P925" t="str">
        <f>_xll.BDP("34682GGG Muni","MUNI_TAX_PROV")</f>
        <v>FED BQ</v>
      </c>
      <c r="Q925" t="str">
        <f>_xll.BDP("34682GGG Muni","MUNI_FED_TAX")</f>
        <v>N</v>
      </c>
      <c r="R925" t="str">
        <f>_xll.BDP("34682GGG Muni","MUNI_MSRB_VOLUME")</f>
        <v>#N/A N/A</v>
      </c>
      <c r="S925" t="str">
        <f>_xll.BDP("34682GGG Muni","BB_COMPOSITE")</f>
        <v>AA-</v>
      </c>
      <c r="T925">
        <f>_xll.BDP("34682GGG Muni","LQA_LIQUIDITY_SCORE")</f>
        <v>72</v>
      </c>
    </row>
    <row r="926" spans="1:20" x14ac:dyDescent="0.25">
      <c r="A926" t="str">
        <f>_xll.BDP("34682GGH Muni","ID_CUSIP")</f>
        <v>34682GGH5</v>
      </c>
      <c r="B926" t="s">
        <v>303</v>
      </c>
      <c r="C926" t="str">
        <f>_xll.BDP("34682GGH Muni","INSURANCE_STATUS")</f>
        <v>Y</v>
      </c>
      <c r="D926" t="str">
        <f>_xll.BDP("34682GGH Muni","STATE_CODE")</f>
        <v>TX</v>
      </c>
      <c r="E926" t="str">
        <f>_xll.BDP("34682GGH Muni","COUNTY_LOCATION_ISSUER")</f>
        <v>Fort Bend, TX</v>
      </c>
      <c r="F926">
        <f>_xll.BDP("34682GGH Muni","DUR_ADJ_MID")</f>
        <v>2.9339296341692189</v>
      </c>
      <c r="G926">
        <f>_xll.BDP("34682GGH Muni","SPREAD_AT_ISSUANCE_TO_WORST")</f>
        <v>68.979252480276415</v>
      </c>
      <c r="H926" t="str">
        <f>_xll.BDP("34682GGH Muni","ISSUE_DT")</f>
        <v>8/1/2017</v>
      </c>
      <c r="I926" t="str">
        <f>_xll.BDS("34682GGH Muni","MUNI_PURPOSE_SCHED", "aggregate=y")</f>
        <v>WATER UTILITY IMPS. SEWER IMPS.</v>
      </c>
      <c r="J926">
        <f>_xll.BDP("34682GGH Muni","CPN")</f>
        <v>2.25</v>
      </c>
      <c r="K926" t="str">
        <f>_xll.BDP("34682GGH Muni","MATURITY")</f>
        <v>9/1/2025</v>
      </c>
      <c r="L926">
        <v>155000</v>
      </c>
      <c r="M926">
        <f>_xll.BDP("34682GGH Muni","YIELD_ON_ISSUE_DATE")</f>
        <v>2.4000000000000004</v>
      </c>
      <c r="N926">
        <f>_xll.BDP("34682GGH Muni","YTW_SPREAD_TO_MATURITY_AT_ISSU")</f>
        <v>68.979252480276415</v>
      </c>
      <c r="O926" t="str">
        <f>_xll.BDP("34682GGH Muni","BVAL_MID_YTM")</f>
        <v>#N/A Authorization</v>
      </c>
      <c r="P926" t="str">
        <f>_xll.BDP("34682GGH Muni","MUNI_TAX_PROV")</f>
        <v>FED BQ</v>
      </c>
      <c r="Q926" t="str">
        <f>_xll.BDP("34682GGH Muni","MUNI_FED_TAX")</f>
        <v>N</v>
      </c>
      <c r="R926" t="str">
        <f>_xll.BDP("34682GGH Muni","MUNI_MSRB_VOLUME")</f>
        <v>#N/A N/A</v>
      </c>
      <c r="S926" t="str">
        <f>_xll.BDP("34682GGH Muni","BB_COMPOSITE")</f>
        <v>AA-</v>
      </c>
      <c r="T926">
        <f>_xll.BDP("34682GGH Muni","LQA_LIQUIDITY_SCORE")</f>
        <v>59</v>
      </c>
    </row>
    <row r="927" spans="1:20" x14ac:dyDescent="0.25">
      <c r="A927" t="str">
        <f>_xll.BDP("34682HKU Muni","ID_CUSIP")</f>
        <v>34682HKU9</v>
      </c>
      <c r="B927" t="s">
        <v>304</v>
      </c>
      <c r="C927" t="str">
        <f>_xll.BDP("34682HKU Muni","INSURANCE_STATUS")</f>
        <v>Y</v>
      </c>
      <c r="D927" t="str">
        <f>_xll.BDP("34682HKU Muni","STATE_CODE")</f>
        <v>TX</v>
      </c>
      <c r="E927" t="str">
        <f>_xll.BDP("34682HKU Muni","COUNTY_LOCATION_ISSUER")</f>
        <v>Galveston, TX</v>
      </c>
      <c r="F927">
        <f>_xll.BDP("34682HKU Muni","DUR_ADJ_MID")</f>
        <v>0.32927805910592195</v>
      </c>
      <c r="G927">
        <f>_xll.BDP("34682HKU Muni","SPREAD_AT_ISSUANCE_TO_WORST")</f>
        <v>78.223141742273498</v>
      </c>
      <c r="H927" t="str">
        <f>_xll.BDP("34682HKU Muni","ISSUE_DT")</f>
        <v>7/1/2017</v>
      </c>
      <c r="I927" t="str">
        <f>_xll.BDS("34682HKU Muni","MUNI_PURPOSE_SCHED", "aggregate=y")</f>
        <v>WATER UTILITY IMPS. SEWER IMPS.</v>
      </c>
      <c r="J927">
        <f>_xll.BDP("34682HKU Muni","CPN")</f>
        <v>3</v>
      </c>
      <c r="K927" t="str">
        <f>_xll.BDP("34682HKU Muni","MATURITY")</f>
        <v>12/1/2022</v>
      </c>
      <c r="L927">
        <v>900000</v>
      </c>
      <c r="M927">
        <f>_xll.BDP("34682HKU Muni","YIELD_ON_ISSUE_DATE")</f>
        <v>2</v>
      </c>
      <c r="N927">
        <f>_xll.BDP("34682HKU Muni","YTW_SPREAD_TO_MATURITY_AT_ISSU")</f>
        <v>78.223141742273498</v>
      </c>
      <c r="O927" t="str">
        <f>_xll.BDP("34682HKU Muni","BVAL_MID_YTM")</f>
        <v>#N/A Authorization</v>
      </c>
      <c r="P927" t="str">
        <f>_xll.BDP("34682HKU Muni","MUNI_TAX_PROV")</f>
        <v>FED TAX-EXEMPT</v>
      </c>
      <c r="Q927" t="str">
        <f>_xll.BDP("34682HKU Muni","MUNI_FED_TAX")</f>
        <v>N</v>
      </c>
      <c r="R927" t="str">
        <f>_xll.BDP("34682HKU Muni","MUNI_MSRB_VOLUME")</f>
        <v>#N/A N/A</v>
      </c>
      <c r="S927" t="str">
        <f>_xll.BDP("34682HKU Muni","BB_COMPOSITE")</f>
        <v>#N/A N/A</v>
      </c>
      <c r="T927">
        <f>_xll.BDP("34682HKU Muni","LQA_LIQUIDITY_SCORE")</f>
        <v>93</v>
      </c>
    </row>
    <row r="928" spans="1:20" x14ac:dyDescent="0.25">
      <c r="A928" t="str">
        <f>_xll.BDP("34682HKV Muni","ID_CUSIP")</f>
        <v>34682HKV7</v>
      </c>
      <c r="B928" t="s">
        <v>304</v>
      </c>
      <c r="C928" t="str">
        <f>_xll.BDP("34682HKV Muni","INSURANCE_STATUS")</f>
        <v>Y</v>
      </c>
      <c r="D928" t="str">
        <f>_xll.BDP("34682HKV Muni","STATE_CODE")</f>
        <v>TX</v>
      </c>
      <c r="E928" t="str">
        <f>_xll.BDP("34682HKV Muni","COUNTY_LOCATION_ISSUER")</f>
        <v>Galveston, TX</v>
      </c>
      <c r="F928">
        <f>_xll.BDP("34682HKV Muni","DUR_ADJ_MID")</f>
        <v>1.2970294245627365</v>
      </c>
      <c r="G928">
        <f>_xll.BDP("34682HKV Muni","SPREAD_AT_ISSUANCE_TO_WORST")</f>
        <v>77.727416024911335</v>
      </c>
      <c r="H928" t="str">
        <f>_xll.BDP("34682HKV Muni","ISSUE_DT")</f>
        <v>7/1/2017</v>
      </c>
      <c r="I928" t="str">
        <f>_xll.BDS("34682HKV Muni","MUNI_PURPOSE_SCHED", "aggregate=y")</f>
        <v>WATER UTILITY IMPS. SEWER IMPS.</v>
      </c>
      <c r="J928">
        <f>_xll.BDP("34682HKV Muni","CPN")</f>
        <v>3</v>
      </c>
      <c r="K928" t="str">
        <f>_xll.BDP("34682HKV Muni","MATURITY")</f>
        <v>12/1/2023</v>
      </c>
      <c r="L928">
        <v>540000</v>
      </c>
      <c r="M928">
        <f>_xll.BDP("34682HKV Muni","YIELD_ON_ISSUE_DATE")</f>
        <v>2.15</v>
      </c>
      <c r="N928">
        <f>_xll.BDP("34682HKV Muni","YTW_SPREAD_TO_MATURITY_AT_ISSU")</f>
        <v>77.727416024911335</v>
      </c>
      <c r="O928" t="str">
        <f>_xll.BDP("34682HKV Muni","BVAL_MID_YTM")</f>
        <v>#N/A Authorization</v>
      </c>
      <c r="P928" t="str">
        <f>_xll.BDP("34682HKV Muni","MUNI_TAX_PROV")</f>
        <v>FED TAX-EXEMPT</v>
      </c>
      <c r="Q928" t="str">
        <f>_xll.BDP("34682HKV Muni","MUNI_FED_TAX")</f>
        <v>N</v>
      </c>
      <c r="R928" t="str">
        <f>_xll.BDP("34682HKV Muni","MUNI_MSRB_VOLUME")</f>
        <v>#N/A N/A</v>
      </c>
      <c r="S928" t="str">
        <f>_xll.BDP("34682HKV Muni","BB_COMPOSITE")</f>
        <v>#N/A N/A</v>
      </c>
      <c r="T928">
        <f>_xll.BDP("34682HKV Muni","LQA_LIQUIDITY_SCORE")</f>
        <v>76</v>
      </c>
    </row>
    <row r="929" spans="1:20" x14ac:dyDescent="0.25">
      <c r="A929" t="str">
        <f>_xll.BDP("34682HKW Muni","ID_CUSIP")</f>
        <v>34682HKW5</v>
      </c>
      <c r="B929" t="s">
        <v>304</v>
      </c>
      <c r="C929" t="str">
        <f>_xll.BDP("34682HKW Muni","INSURANCE_STATUS")</f>
        <v>Y</v>
      </c>
      <c r="D929" t="str">
        <f>_xll.BDP("34682HKW Muni","STATE_CODE")</f>
        <v>TX</v>
      </c>
      <c r="E929" t="str">
        <f>_xll.BDP("34682HKW Muni","COUNTY_LOCATION_ISSUER")</f>
        <v>Galveston, TX</v>
      </c>
      <c r="F929">
        <f>_xll.BDP("34682HKW Muni","DUR_ADJ_MID")</f>
        <v>2.2358629230299174</v>
      </c>
      <c r="G929">
        <f>_xll.BDP("34682HKW Muni","SPREAD_AT_ISSUANCE_TO_WORST")</f>
        <v>77.156154797726614</v>
      </c>
      <c r="H929" t="str">
        <f>_xll.BDP("34682HKW Muni","ISSUE_DT")</f>
        <v>7/1/2017</v>
      </c>
      <c r="I929" t="str">
        <f>_xll.BDS("34682HKW Muni","MUNI_PURPOSE_SCHED", "aggregate=y")</f>
        <v>WATER UTILITY IMPS. SEWER IMPS.</v>
      </c>
      <c r="J929">
        <f>_xll.BDP("34682HKW Muni","CPN")</f>
        <v>3</v>
      </c>
      <c r="K929" t="str">
        <f>_xll.BDP("34682HKW Muni","MATURITY")</f>
        <v>12/1/2024</v>
      </c>
      <c r="L929">
        <v>540000</v>
      </c>
      <c r="M929">
        <f>_xll.BDP("34682HKW Muni","YIELD_ON_ISSUE_DATE")</f>
        <v>2.3000000000000003</v>
      </c>
      <c r="N929">
        <f>_xll.BDP("34682HKW Muni","YTW_SPREAD_TO_MATURITY_AT_ISSU")</f>
        <v>77.156154797726614</v>
      </c>
      <c r="O929" t="str">
        <f>_xll.BDP("34682HKW Muni","BVAL_MID_YTM")</f>
        <v>#N/A Authorization</v>
      </c>
      <c r="P929" t="str">
        <f>_xll.BDP("34682HKW Muni","MUNI_TAX_PROV")</f>
        <v>FED TAX-EXEMPT</v>
      </c>
      <c r="Q929" t="str">
        <f>_xll.BDP("34682HKW Muni","MUNI_FED_TAX")</f>
        <v>N</v>
      </c>
      <c r="R929">
        <f>_xll.BDP("34682HKW Muni","MUNI_MSRB_VOLUME")</f>
        <v>45000</v>
      </c>
      <c r="S929" t="str">
        <f>_xll.BDP("34682HKW Muni","BB_COMPOSITE")</f>
        <v>#N/A N/A</v>
      </c>
      <c r="T929">
        <f>_xll.BDP("34682HKW Muni","LQA_LIQUIDITY_SCORE")</f>
        <v>65</v>
      </c>
    </row>
    <row r="930" spans="1:20" x14ac:dyDescent="0.25">
      <c r="A930" t="str">
        <f>_xll.BDP("298163DM Muni","ID_CUSIP")</f>
        <v>298163DM5</v>
      </c>
      <c r="B930" t="s">
        <v>79</v>
      </c>
      <c r="C930" t="str">
        <f>_xll.BDP("298163DM Muni","INSURANCE_STATUS")</f>
        <v>Y</v>
      </c>
      <c r="D930" t="str">
        <f>_xll.BDP("298163DM Muni","STATE_CODE")</f>
        <v>AL</v>
      </c>
      <c r="E930" t="str">
        <f>_xll.BDP("298163DM Muni","COUNTY_LOCATION_ISSUER")</f>
        <v>Barbour, AL</v>
      </c>
      <c r="F930">
        <f>_xll.BDP("298163DM Muni","DUR_ADJ_MID")</f>
        <v>2.4995942464695773</v>
      </c>
      <c r="G930">
        <f>_xll.BDP("298163DM Muni","SPREAD_AT_ISSUANCE_TO_WORST")</f>
        <v>40.429038150858787</v>
      </c>
      <c r="H930" t="str">
        <f>_xll.BDP("298163DM Muni","ISSUE_DT")</f>
        <v>3/30/2017</v>
      </c>
      <c r="I930" t="str">
        <f>_xll.BDS("298163DM Muni","MUNI_PURPOSE_SCHED", "aggregate=y")</f>
        <v>WATER UTILITY IMPS. SEWER IMPS.</v>
      </c>
      <c r="J930">
        <f>_xll.BDP("298163DM Muni","CPN")</f>
        <v>4</v>
      </c>
      <c r="K930" t="str">
        <f>_xll.BDP("298163DM Muni","MATURITY")</f>
        <v>4/1/2025</v>
      </c>
      <c r="L930">
        <v>330000</v>
      </c>
      <c r="M930">
        <f>_xll.BDP("298163DM Muni","YIELD_ON_ISSUE_DATE")</f>
        <v>2.44</v>
      </c>
      <c r="N930">
        <f>_xll.BDP("298163DM Muni","YTW_SPREAD_TO_MATURITY_AT_ISSU")</f>
        <v>40.429038150858787</v>
      </c>
      <c r="O930" t="str">
        <f>_xll.BDP("298163DM Muni","BVAL_MID_YTM")</f>
        <v>#N/A Authorization</v>
      </c>
      <c r="P930" t="str">
        <f>_xll.BDP("298163DM Muni","MUNI_TAX_PROV")</f>
        <v>FED BQ/ST TAX-EXEMPT</v>
      </c>
      <c r="Q930" t="str">
        <f>_xll.BDP("298163DM Muni","MUNI_FED_TAX")</f>
        <v>N</v>
      </c>
      <c r="R930" t="str">
        <f>_xll.BDP("298163DM Muni","MUNI_MSRB_VOLUME")</f>
        <v>#N/A N/A</v>
      </c>
      <c r="S930" t="str">
        <f>_xll.BDP("298163DM Muni","BB_COMPOSITE")</f>
        <v>#N/A N/A</v>
      </c>
      <c r="T930">
        <f>_xll.BDP("298163DM Muni","LQA_LIQUIDITY_SCORE")</f>
        <v>81</v>
      </c>
    </row>
    <row r="931" spans="1:20" x14ac:dyDescent="0.25">
      <c r="A931" t="str">
        <f>_xll.BDP("298163DN Muni","ID_CUSIP")</f>
        <v>298163DN3</v>
      </c>
      <c r="B931" t="s">
        <v>79</v>
      </c>
      <c r="C931" t="str">
        <f>_xll.BDP("298163DN Muni","INSURANCE_STATUS")</f>
        <v>Y</v>
      </c>
      <c r="D931" t="str">
        <f>_xll.BDP("298163DN Muni","STATE_CODE")</f>
        <v>AL</v>
      </c>
      <c r="E931" t="str">
        <f>_xll.BDP("298163DN Muni","COUNTY_LOCATION_ISSUER")</f>
        <v>Barbour, AL</v>
      </c>
      <c r="F931">
        <f>_xll.BDP("298163DN Muni","DUR_ADJ_MID")</f>
        <v>3.3744304095333688</v>
      </c>
      <c r="G931">
        <f>_xll.BDP("298163DN Muni","SPREAD_AT_ISSUANCE_TO_WORST")</f>
        <v>38.798996074342853</v>
      </c>
      <c r="H931" t="str">
        <f>_xll.BDP("298163DN Muni","ISSUE_DT")</f>
        <v>3/30/2017</v>
      </c>
      <c r="I931" t="str">
        <f>_xll.BDS("298163DN Muni","MUNI_PURPOSE_SCHED", "aggregate=y")</f>
        <v>WATER UTILITY IMPS. SEWER IMPS.</v>
      </c>
      <c r="J931">
        <f>_xll.BDP("298163DN Muni","CPN")</f>
        <v>4</v>
      </c>
      <c r="K931" t="str">
        <f>_xll.BDP("298163DN Muni","MATURITY")</f>
        <v>4/1/2026</v>
      </c>
      <c r="L931">
        <v>345000</v>
      </c>
      <c r="M931">
        <f>_xll.BDP("298163DN Muni","YIELD_ON_ISSUE_DATE")</f>
        <v>2.56</v>
      </c>
      <c r="N931">
        <f>_xll.BDP("298163DN Muni","YTW_SPREAD_TO_MATURITY_AT_ISSU")</f>
        <v>38.798996074342853</v>
      </c>
      <c r="O931" t="str">
        <f>_xll.BDP("298163DN Muni","BVAL_MID_YTM")</f>
        <v>#N/A Authorization</v>
      </c>
      <c r="P931" t="str">
        <f>_xll.BDP("298163DN Muni","MUNI_TAX_PROV")</f>
        <v>FED BQ/ST TAX-EXEMPT</v>
      </c>
      <c r="Q931" t="str">
        <f>_xll.BDP("298163DN Muni","MUNI_FED_TAX")</f>
        <v>N</v>
      </c>
      <c r="R931" t="str">
        <f>_xll.BDP("298163DN Muni","MUNI_MSRB_VOLUME")</f>
        <v>#N/A N/A</v>
      </c>
      <c r="S931" t="str">
        <f>_xll.BDP("298163DN Muni","BB_COMPOSITE")</f>
        <v>#N/A N/A</v>
      </c>
      <c r="T931">
        <f>_xll.BDP("298163DN Muni","LQA_LIQUIDITY_SCORE")</f>
        <v>76</v>
      </c>
    </row>
    <row r="932" spans="1:20" x14ac:dyDescent="0.25">
      <c r="A932" t="str">
        <f>_xll.BDP("299216HA Muni","ID_CUSIP")</f>
        <v>299216HA2</v>
      </c>
      <c r="B932" t="s">
        <v>305</v>
      </c>
      <c r="C932" t="str">
        <f>_xll.BDP("299216HA Muni","INSURANCE_STATUS")</f>
        <v>N</v>
      </c>
      <c r="D932" t="str">
        <f>_xll.BDP("299216HA Muni","STATE_CODE")</f>
        <v>IA</v>
      </c>
      <c r="E932" t="str">
        <f>_xll.BDP("299216HA Muni","COUNTY_LOCATION_ISSUER")</f>
        <v>Black Hawk, IA</v>
      </c>
      <c r="F932">
        <f>_xll.BDP("299216HA Muni","DUR_ADJ_MID")</f>
        <v>0.81924130404834361</v>
      </c>
      <c r="G932">
        <f>_xll.BDP("299216HA Muni","SPREAD_AT_ISSUANCE_TO_WORST")</f>
        <v>36.528069437864929</v>
      </c>
      <c r="H932" t="str">
        <f>_xll.BDP("299216HA Muni","ISSUE_DT")</f>
        <v>8/29/2017</v>
      </c>
      <c r="I932" t="str">
        <f>_xll.BDS("299216HA Muni","MUNI_PURPOSE_SCHED", "aggregate=y")</f>
        <v>PUBLIC IMPS. WATER UTILITY IMPS. SEWER IMPS.</v>
      </c>
      <c r="J932">
        <f>_xll.BDP("299216HA Muni","CPN")</f>
        <v>2</v>
      </c>
      <c r="K932" t="str">
        <f>_xll.BDP("299216HA Muni","MATURITY")</f>
        <v>6/1/2023</v>
      </c>
      <c r="L932">
        <v>135000</v>
      </c>
      <c r="M932">
        <f>_xll.BDP("299216HA Muni","YIELD_ON_ISSUE_DATE")</f>
        <v>1.7000000000000002</v>
      </c>
      <c r="N932">
        <f>_xll.BDP("299216HA Muni","YTW_SPREAD_TO_MATURITY_AT_ISSU")</f>
        <v>36.528069437864929</v>
      </c>
      <c r="O932" t="str">
        <f>_xll.BDP("299216HA Muni","BVAL_MID_YTM")</f>
        <v>#N/A Authorization</v>
      </c>
      <c r="P932" t="str">
        <f>_xll.BDP("299216HA Muni","MUNI_TAX_PROV")</f>
        <v>FED BQ/ST TAXABLE</v>
      </c>
      <c r="Q932" t="str">
        <f>_xll.BDP("299216HA Muni","MUNI_FED_TAX")</f>
        <v>N</v>
      </c>
      <c r="R932" t="str">
        <f>_xll.BDP("299216HA Muni","MUNI_MSRB_VOLUME")</f>
        <v>#N/A N/A</v>
      </c>
      <c r="S932" t="str">
        <f>_xll.BDP("299216HA Muni","BB_COMPOSITE")</f>
        <v>#N/A N/A</v>
      </c>
      <c r="T932">
        <f>_xll.BDP("299216HA Muni","LQA_LIQUIDITY_SCORE")</f>
        <v>78</v>
      </c>
    </row>
    <row r="933" spans="1:20" x14ac:dyDescent="0.25">
      <c r="A933" t="str">
        <f>_xll.BDP("299216HB Muni","ID_CUSIP")</f>
        <v>299216HB0</v>
      </c>
      <c r="B933" t="s">
        <v>305</v>
      </c>
      <c r="C933" t="str">
        <f>_xll.BDP("299216HB Muni","INSURANCE_STATUS")</f>
        <v>N</v>
      </c>
      <c r="D933" t="str">
        <f>_xll.BDP("299216HB Muni","STATE_CODE")</f>
        <v>IA</v>
      </c>
      <c r="E933" t="str">
        <f>_xll.BDP("299216HB Muni","COUNTY_LOCATION_ISSUER")</f>
        <v>Black Hawk, IA</v>
      </c>
      <c r="F933">
        <f>_xll.BDP("299216HB Muni","DUR_ADJ_MID")</f>
        <v>1.7840255550897504</v>
      </c>
      <c r="G933">
        <f>_xll.BDP("299216HB Muni","SPREAD_AT_ISSUANCE_TO_WORST")</f>
        <v>31.531354559871417</v>
      </c>
      <c r="H933" t="str">
        <f>_xll.BDP("299216HB Muni","ISSUE_DT")</f>
        <v>8/29/2017</v>
      </c>
      <c r="I933" t="str">
        <f>_xll.BDS("299216HB Muni","MUNI_PURPOSE_SCHED", "aggregate=y")</f>
        <v>PUBLIC IMPS. WATER UTILITY IMPS. SEWER IMPS.</v>
      </c>
      <c r="J933">
        <f>_xll.BDP("299216HB Muni","CPN")</f>
        <v>2</v>
      </c>
      <c r="K933" t="str">
        <f>_xll.BDP("299216HB Muni","MATURITY")</f>
        <v>6/1/2024</v>
      </c>
      <c r="L933">
        <v>135000</v>
      </c>
      <c r="M933">
        <f>_xll.BDP("299216HB Muni","YIELD_ON_ISSUE_DATE")</f>
        <v>1.8</v>
      </c>
      <c r="N933">
        <f>_xll.BDP("299216HB Muni","YTW_SPREAD_TO_MATURITY_AT_ISSU")</f>
        <v>31.531354559871417</v>
      </c>
      <c r="O933" t="str">
        <f>_xll.BDP("299216HB Muni","BVAL_MID_YTM")</f>
        <v>#N/A Authorization</v>
      </c>
      <c r="P933" t="str">
        <f>_xll.BDP("299216HB Muni","MUNI_TAX_PROV")</f>
        <v>FED BQ/ST TAXABLE</v>
      </c>
      <c r="Q933" t="str">
        <f>_xll.BDP("299216HB Muni","MUNI_FED_TAX")</f>
        <v>N</v>
      </c>
      <c r="R933" t="str">
        <f>_xll.BDP("299216HB Muni","MUNI_MSRB_VOLUME")</f>
        <v>#N/A N/A</v>
      </c>
      <c r="S933" t="str">
        <f>_xll.BDP("299216HB Muni","BB_COMPOSITE")</f>
        <v>#N/A N/A</v>
      </c>
      <c r="T933">
        <f>_xll.BDP("299216HB Muni","LQA_LIQUIDITY_SCORE")</f>
        <v>63</v>
      </c>
    </row>
    <row r="934" spans="1:20" x14ac:dyDescent="0.25">
      <c r="A934" t="str">
        <f>_xll.BDP("299228BL Muni","ID_CUSIP")</f>
        <v>299228BL9</v>
      </c>
      <c r="B934" t="s">
        <v>306</v>
      </c>
      <c r="C934" t="str">
        <f>_xll.BDP("299228BL Muni","INSURANCE_STATUS")</f>
        <v>N</v>
      </c>
      <c r="D934" t="str">
        <f>_xll.BDP("299228BL Muni","STATE_CODE")</f>
        <v>IL</v>
      </c>
      <c r="E934" t="str">
        <f>_xll.BDP("299228BL Muni","COUNTY_LOCATION_ISSUER")</f>
        <v>Cook, IL</v>
      </c>
      <c r="F934">
        <f>_xll.BDP("299228BL Muni","DUR_ADJ_MID")</f>
        <v>0.32867844685813868</v>
      </c>
      <c r="G934">
        <f>_xll.BDP("299228BL Muni","SPREAD_AT_ISSUANCE_TO_WORST")</f>
        <v>42.235375342465751</v>
      </c>
      <c r="H934" t="str">
        <f>_xll.BDP("299228BL Muni","ISSUE_DT")</f>
        <v>10/16/2017</v>
      </c>
      <c r="I934" t="str">
        <f>_xll.BDS("299228BL Muni","MUNI_PURPOSE_SCHED", "aggregate=y")</f>
        <v>PUBLIC IMPS. PUBLIC FACILITIES WATER UTILITY IMPS.</v>
      </c>
      <c r="J934">
        <f>_xll.BDP("299228BL Muni","CPN")</f>
        <v>4</v>
      </c>
      <c r="K934" t="str">
        <f>_xll.BDP("299228BL Muni","MATURITY")</f>
        <v>12/1/2022</v>
      </c>
      <c r="L934">
        <v>600000</v>
      </c>
      <c r="M934">
        <f>_xll.BDP("299228BL Muni","YIELD_ON_ISSUE_DATE")</f>
        <v>1.77</v>
      </c>
      <c r="N934">
        <f>_xll.BDP("299228BL Muni","YTW_SPREAD_TO_MATURITY_AT_ISSU")</f>
        <v>42.235375342465751</v>
      </c>
      <c r="O934" t="str">
        <f>_xll.BDP("299228BL Muni","BVAL_MID_YTM")</f>
        <v>#N/A Authorization</v>
      </c>
      <c r="P934" t="str">
        <f>_xll.BDP("299228BL Muni","MUNI_TAX_PROV")</f>
        <v>FED TAX-EXEMPT/ST TAXABLE</v>
      </c>
      <c r="Q934" t="str">
        <f>_xll.BDP("299228BL Muni","MUNI_FED_TAX")</f>
        <v>N</v>
      </c>
      <c r="R934">
        <f>_xll.BDP("299228BL Muni","MUNI_MSRB_VOLUME")</f>
        <v>150000</v>
      </c>
      <c r="S934" t="str">
        <f>_xll.BDP("299228BL Muni","BB_COMPOSITE")</f>
        <v>AA</v>
      </c>
      <c r="T934">
        <f>_xll.BDP("299228BL Muni","LQA_LIQUIDITY_SCORE")</f>
        <v>98</v>
      </c>
    </row>
    <row r="935" spans="1:20" x14ac:dyDescent="0.25">
      <c r="A935" t="str">
        <f>_xll.BDP("299228BM Muni","ID_CUSIP")</f>
        <v>299228BM7</v>
      </c>
      <c r="B935" t="s">
        <v>306</v>
      </c>
      <c r="C935" t="str">
        <f>_xll.BDP("299228BM Muni","INSURANCE_STATUS")</f>
        <v>N</v>
      </c>
      <c r="D935" t="str">
        <f>_xll.BDP("299228BM Muni","STATE_CODE")</f>
        <v>IL</v>
      </c>
      <c r="E935" t="str">
        <f>_xll.BDP("299228BM Muni","COUNTY_LOCATION_ISSUER")</f>
        <v>Cook, IL</v>
      </c>
      <c r="F935">
        <f>_xll.BDP("299228BM Muni","DUR_ADJ_MID")</f>
        <v>1.2901499121226481</v>
      </c>
      <c r="G935">
        <f>_xll.BDP("299228BM Muni","SPREAD_AT_ISSUANCE_TO_WORST")</f>
        <v>43.557397260273966</v>
      </c>
      <c r="H935" t="str">
        <f>_xll.BDP("299228BM Muni","ISSUE_DT")</f>
        <v>10/16/2017</v>
      </c>
      <c r="I935" t="str">
        <f>_xll.BDS("299228BM Muni","MUNI_PURPOSE_SCHED", "aggregate=y")</f>
        <v>PUBLIC IMPS. PUBLIC FACILITIES WATER UTILITY IMPS.</v>
      </c>
      <c r="J935">
        <f>_xll.BDP("299228BM Muni","CPN")</f>
        <v>4</v>
      </c>
      <c r="K935" t="str">
        <f>_xll.BDP("299228BM Muni","MATURITY")</f>
        <v>12/1/2023</v>
      </c>
      <c r="L935">
        <v>625000</v>
      </c>
      <c r="M935">
        <f>_xll.BDP("299228BM Muni","YIELD_ON_ISSUE_DATE")</f>
        <v>1.92</v>
      </c>
      <c r="N935">
        <f>_xll.BDP("299228BM Muni","YTW_SPREAD_TO_MATURITY_AT_ISSU")</f>
        <v>43.557397260273966</v>
      </c>
      <c r="O935" t="str">
        <f>_xll.BDP("299228BM Muni","BVAL_MID_YTM")</f>
        <v>#N/A Authorization</v>
      </c>
      <c r="P935" t="str">
        <f>_xll.BDP("299228BM Muni","MUNI_TAX_PROV")</f>
        <v>FED TAX-EXEMPT/ST TAXABLE</v>
      </c>
      <c r="Q935" t="str">
        <f>_xll.BDP("299228BM Muni","MUNI_FED_TAX")</f>
        <v>N</v>
      </c>
      <c r="R935" t="str">
        <f>_xll.BDP("299228BM Muni","MUNI_MSRB_VOLUME")</f>
        <v>#N/A N/A</v>
      </c>
      <c r="S935" t="str">
        <f>_xll.BDP("299228BM Muni","BB_COMPOSITE")</f>
        <v>AA</v>
      </c>
      <c r="T935">
        <f>_xll.BDP("299228BM Muni","LQA_LIQUIDITY_SCORE")</f>
        <v>90</v>
      </c>
    </row>
    <row r="936" spans="1:20" x14ac:dyDescent="0.25">
      <c r="A936" t="str">
        <f>_xll.BDP("299228BN Muni","ID_CUSIP")</f>
        <v>299228BN5</v>
      </c>
      <c r="B936" t="s">
        <v>306</v>
      </c>
      <c r="C936" t="str">
        <f>_xll.BDP("299228BN Muni","INSURANCE_STATUS")</f>
        <v>N</v>
      </c>
      <c r="D936" t="str">
        <f>_xll.BDP("299228BN Muni","STATE_CODE")</f>
        <v>IL</v>
      </c>
      <c r="E936" t="str">
        <f>_xll.BDP("299228BN Muni","COUNTY_LOCATION_ISSUER")</f>
        <v>Cook, IL</v>
      </c>
      <c r="F936">
        <f>_xll.BDP("299228BN Muni","DUR_ADJ_MID")</f>
        <v>2.2149265566685736</v>
      </c>
      <c r="G936">
        <f>_xll.BDP("299228BN Muni","SPREAD_AT_ISSUANCE_TO_WORST")</f>
        <v>47.511021917808229</v>
      </c>
      <c r="H936" t="str">
        <f>_xll.BDP("299228BN Muni","ISSUE_DT")</f>
        <v>10/16/2017</v>
      </c>
      <c r="I936" t="str">
        <f>_xll.BDS("299228BN Muni","MUNI_PURPOSE_SCHED", "aggregate=y")</f>
        <v>PUBLIC IMPS. PUBLIC FACILITIES WATER UTILITY IMPS.</v>
      </c>
      <c r="J936">
        <f>_xll.BDP("299228BN Muni","CPN")</f>
        <v>4</v>
      </c>
      <c r="K936" t="str">
        <f>_xll.BDP("299228BN Muni","MATURITY")</f>
        <v>12/1/2024</v>
      </c>
      <c r="L936">
        <v>645000</v>
      </c>
      <c r="M936">
        <f>_xll.BDP("299228BN Muni","YIELD_ON_ISSUE_DATE")</f>
        <v>2.1</v>
      </c>
      <c r="N936">
        <f>_xll.BDP("299228BN Muni","YTW_SPREAD_TO_MATURITY_AT_ISSU")</f>
        <v>47.511021917808229</v>
      </c>
      <c r="O936" t="str">
        <f>_xll.BDP("299228BN Muni","BVAL_MID_YTM")</f>
        <v>#N/A Authorization</v>
      </c>
      <c r="P936" t="str">
        <f>_xll.BDP("299228BN Muni","MUNI_TAX_PROV")</f>
        <v>FED TAX-EXEMPT/ST TAXABLE</v>
      </c>
      <c r="Q936" t="str">
        <f>_xll.BDP("299228BN Muni","MUNI_FED_TAX")</f>
        <v>N</v>
      </c>
      <c r="R936" t="str">
        <f>_xll.BDP("299228BN Muni","MUNI_MSRB_VOLUME")</f>
        <v>#N/A N/A</v>
      </c>
      <c r="S936" t="str">
        <f>_xll.BDP("299228BN Muni","BB_COMPOSITE")</f>
        <v>AA</v>
      </c>
      <c r="T936">
        <f>_xll.BDP("299228BN Muni","LQA_LIQUIDITY_SCORE")</f>
        <v>82</v>
      </c>
    </row>
    <row r="937" spans="1:20" x14ac:dyDescent="0.25">
      <c r="A937" t="str">
        <f>_xll.BDP("299228BP Muni","ID_CUSIP")</f>
        <v>299228BP0</v>
      </c>
      <c r="B937" t="s">
        <v>306</v>
      </c>
      <c r="C937" t="str">
        <f>_xll.BDP("299228BP Muni","INSURANCE_STATUS")</f>
        <v>N</v>
      </c>
      <c r="D937" t="str">
        <f>_xll.BDP("299228BP Muni","STATE_CODE")</f>
        <v>IL</v>
      </c>
      <c r="E937" t="str">
        <f>_xll.BDP("299228BP Muni","COUNTY_LOCATION_ISSUER")</f>
        <v>Cook, IL</v>
      </c>
      <c r="F937">
        <f>_xll.BDP("299228BP Muni","DUR_ADJ_MID")</f>
        <v>3.1061745690174978</v>
      </c>
      <c r="G937">
        <f>_xll.BDP("299228BP Muni","SPREAD_AT_ISSUANCE_TO_WORST")</f>
        <v>48.7515698630137</v>
      </c>
      <c r="H937" t="str">
        <f>_xll.BDP("299228BP Muni","ISSUE_DT")</f>
        <v>10/16/2017</v>
      </c>
      <c r="I937" t="str">
        <f>_xll.BDS("299228BP Muni","MUNI_PURPOSE_SCHED", "aggregate=y")</f>
        <v>PUBLIC IMPS. PUBLIC FACILITIES WATER UTILITY IMPS.</v>
      </c>
      <c r="J937">
        <f>_xll.BDP("299228BP Muni","CPN")</f>
        <v>4</v>
      </c>
      <c r="K937" t="str">
        <f>_xll.BDP("299228BP Muni","MATURITY")</f>
        <v>12/1/2025</v>
      </c>
      <c r="L937">
        <v>670000</v>
      </c>
      <c r="M937">
        <f>_xll.BDP("299228BP Muni","YIELD_ON_ISSUE_DATE")</f>
        <v>2.25</v>
      </c>
      <c r="N937">
        <f>_xll.BDP("299228BP Muni","YTW_SPREAD_TO_MATURITY_AT_ISSU")</f>
        <v>48.7515698630137</v>
      </c>
      <c r="O937" t="str">
        <f>_xll.BDP("299228BP Muni","BVAL_MID_YTM")</f>
        <v>#N/A Authorization</v>
      </c>
      <c r="P937" t="str">
        <f>_xll.BDP("299228BP Muni","MUNI_TAX_PROV")</f>
        <v>FED TAX-EXEMPT/ST TAXABLE</v>
      </c>
      <c r="Q937" t="str">
        <f>_xll.BDP("299228BP Muni","MUNI_FED_TAX")</f>
        <v>N</v>
      </c>
      <c r="R937">
        <f>_xll.BDP("299228BP Muni","MUNI_MSRB_VOLUME")</f>
        <v>15000</v>
      </c>
      <c r="S937" t="str">
        <f>_xll.BDP("299228BP Muni","BB_COMPOSITE")</f>
        <v>AA</v>
      </c>
      <c r="T937">
        <f>_xll.BDP("299228BP Muni","LQA_LIQUIDITY_SCORE")</f>
        <v>73</v>
      </c>
    </row>
    <row r="938" spans="1:20" x14ac:dyDescent="0.25">
      <c r="A938" t="str">
        <f>_xll.BDP("299228BQ Muni","ID_CUSIP")</f>
        <v>299228BQ8</v>
      </c>
      <c r="B938" t="s">
        <v>306</v>
      </c>
      <c r="C938" t="str">
        <f>_xll.BDP("299228BQ Muni","INSURANCE_STATUS")</f>
        <v>N</v>
      </c>
      <c r="D938" t="str">
        <f>_xll.BDP("299228BQ Muni","STATE_CODE")</f>
        <v>IL</v>
      </c>
      <c r="E938" t="str">
        <f>_xll.BDP("299228BQ Muni","COUNTY_LOCATION_ISSUER")</f>
        <v>Cook, IL</v>
      </c>
      <c r="F938">
        <f>_xll.BDP("299228BQ Muni","DUR_ADJ_MID")</f>
        <v>3.9653385760266584</v>
      </c>
      <c r="G938">
        <f>_xll.BDP("299228BQ Muni","SPREAD_AT_ISSUANCE_TO_WORST")</f>
        <v>49.81043561643834</v>
      </c>
      <c r="H938" t="str">
        <f>_xll.BDP("299228BQ Muni","ISSUE_DT")</f>
        <v>10/16/2017</v>
      </c>
      <c r="I938" t="str">
        <f>_xll.BDS("299228BQ Muni","MUNI_PURPOSE_SCHED", "aggregate=y")</f>
        <v>PUBLIC IMPS. PUBLIC FACILITIES WATER UTILITY IMPS.</v>
      </c>
      <c r="J938">
        <f>_xll.BDP("299228BQ Muni","CPN")</f>
        <v>4</v>
      </c>
      <c r="K938" t="str">
        <f>_xll.BDP("299228BQ Muni","MATURITY")</f>
        <v>12/1/2026</v>
      </c>
      <c r="L938">
        <v>695000</v>
      </c>
      <c r="M938">
        <f>_xll.BDP("299228BQ Muni","YIELD_ON_ISSUE_DATE")</f>
        <v>2.38</v>
      </c>
      <c r="N938">
        <f>_xll.BDP("299228BQ Muni","YTW_SPREAD_TO_MATURITY_AT_ISSU")</f>
        <v>49.81043561643834</v>
      </c>
      <c r="O938" t="str">
        <f>_xll.BDP("299228BQ Muni","BVAL_MID_YTM")</f>
        <v>#N/A Authorization</v>
      </c>
      <c r="P938" t="str">
        <f>_xll.BDP("299228BQ Muni","MUNI_TAX_PROV")</f>
        <v>FED TAX-EXEMPT/ST TAXABLE</v>
      </c>
      <c r="Q938" t="str">
        <f>_xll.BDP("299228BQ Muni","MUNI_FED_TAX")</f>
        <v>N</v>
      </c>
      <c r="R938" t="str">
        <f>_xll.BDP("299228BQ Muni","MUNI_MSRB_VOLUME")</f>
        <v>#N/A N/A</v>
      </c>
      <c r="S938" t="str">
        <f>_xll.BDP("299228BQ Muni","BB_COMPOSITE")</f>
        <v>AA</v>
      </c>
      <c r="T938">
        <f>_xll.BDP("299228BQ Muni","LQA_LIQUIDITY_SCORE")</f>
        <v>66</v>
      </c>
    </row>
    <row r="939" spans="1:20" x14ac:dyDescent="0.25">
      <c r="A939" t="str">
        <f>_xll.BDP("299228BR Muni","ID_CUSIP")</f>
        <v>299228BR6</v>
      </c>
      <c r="B939" t="s">
        <v>306</v>
      </c>
      <c r="C939" t="str">
        <f>_xll.BDP("299228BR Muni","INSURANCE_STATUS")</f>
        <v>N</v>
      </c>
      <c r="D939" t="str">
        <f>_xll.BDP("299228BR Muni","STATE_CODE")</f>
        <v>IL</v>
      </c>
      <c r="E939" t="str">
        <f>_xll.BDP("299228BR Muni","COUNTY_LOCATION_ISSUER")</f>
        <v>Cook, IL</v>
      </c>
      <c r="F939">
        <f>_xll.BDP("299228BR Muni","DUR_ADJ_MID")</f>
        <v>4.7938824727065406</v>
      </c>
      <c r="G939">
        <f>_xll.BDP("299228BR Muni","SPREAD_AT_ISSUANCE_TO_WORST")</f>
        <v>51.715665753424659</v>
      </c>
      <c r="H939" t="str">
        <f>_xll.BDP("299228BR Muni","ISSUE_DT")</f>
        <v>10/16/2017</v>
      </c>
      <c r="I939" t="str">
        <f>_xll.BDS("299228BR Muni","MUNI_PURPOSE_SCHED", "aggregate=y")</f>
        <v>PUBLIC IMPS. PUBLIC FACILITIES WATER UTILITY IMPS.</v>
      </c>
      <c r="J939">
        <f>_xll.BDP("299228BR Muni","CPN")</f>
        <v>4</v>
      </c>
      <c r="K939" t="str">
        <f>_xll.BDP("299228BR Muni","MATURITY")</f>
        <v>12/1/2027</v>
      </c>
      <c r="L939">
        <v>720000</v>
      </c>
      <c r="M939">
        <f>_xll.BDP("299228BR Muni","YIELD_ON_ISSUE_DATE")</f>
        <v>2.5</v>
      </c>
      <c r="N939">
        <f>_xll.BDP("299228BR Muni","YTW_SPREAD_TO_MATURITY_AT_ISSU")</f>
        <v>51.715665753424659</v>
      </c>
      <c r="O939" t="str">
        <f>_xll.BDP("299228BR Muni","BVAL_MID_YTM")</f>
        <v>#N/A Authorization</v>
      </c>
      <c r="P939" t="str">
        <f>_xll.BDP("299228BR Muni","MUNI_TAX_PROV")</f>
        <v>FED TAX-EXEMPT/ST TAXABLE</v>
      </c>
      <c r="Q939" t="str">
        <f>_xll.BDP("299228BR Muni","MUNI_FED_TAX")</f>
        <v>N</v>
      </c>
      <c r="R939" t="str">
        <f>_xll.BDP("299228BR Muni","MUNI_MSRB_VOLUME")</f>
        <v>#N/A N/A</v>
      </c>
      <c r="S939" t="str">
        <f>_xll.BDP("299228BR Muni","BB_COMPOSITE")</f>
        <v>AA</v>
      </c>
      <c r="T939">
        <f>_xll.BDP("299228BR Muni","LQA_LIQUIDITY_SCORE")</f>
        <v>59</v>
      </c>
    </row>
    <row r="940" spans="1:20" x14ac:dyDescent="0.25">
      <c r="A940" t="str">
        <f>_xll.BDP("300767HJ Muni","ID_CUSIP")</f>
        <v>300767HJ2</v>
      </c>
      <c r="B940" t="s">
        <v>307</v>
      </c>
      <c r="C940" t="str">
        <f>_xll.BDP("300767HJ Muni","INSURANCE_STATUS")</f>
        <v>N</v>
      </c>
      <c r="D940" t="str">
        <f>_xll.BDP("300767HJ Muni","STATE_CODE")</f>
        <v>MN</v>
      </c>
      <c r="E940" t="str">
        <f>_xll.BDP("300767HJ Muni","COUNTY_LOCATION_ISSUER")</f>
        <v>Hennepin, MN</v>
      </c>
      <c r="F940">
        <f>_xll.BDP("300767HJ Muni","DUR_ADJ_MID")</f>
        <v>0.4945831899528218</v>
      </c>
      <c r="G940">
        <f>_xll.BDP("300767HJ Muni","SPREAD_AT_ISSUANCE_TO_WORST")</f>
        <v>12.248173751525716</v>
      </c>
      <c r="H940" t="str">
        <f>_xll.BDP("300767HJ Muni","ISSUE_DT")</f>
        <v>6/14/2017</v>
      </c>
      <c r="I940" t="str">
        <f>_xll.BDS("300767HJ Muni","MUNI_PURPOSE_SCHED", "aggregate=y")</f>
        <v>PUBLIC IMPS. WATER UTILITY IMPS. SEWER IMPS.</v>
      </c>
      <c r="J940">
        <f>_xll.BDP("300767HJ Muni","CPN")</f>
        <v>3</v>
      </c>
      <c r="K940" t="str">
        <f>_xll.BDP("300767HJ Muni","MATURITY")</f>
        <v>2/1/2023</v>
      </c>
      <c r="L940">
        <v>245000</v>
      </c>
      <c r="M940">
        <f>_xll.BDP("300767HJ Muni","YIELD_ON_ISSUE_DATE")</f>
        <v>1.6</v>
      </c>
      <c r="N940">
        <f>_xll.BDP("300767HJ Muni","YTW_SPREAD_TO_MATURITY_AT_ISSU")</f>
        <v>12.248173751525716</v>
      </c>
      <c r="O940" t="str">
        <f>_xll.BDP("300767HJ Muni","BVAL_MID_YTM")</f>
        <v>#N/A Authorization</v>
      </c>
      <c r="P940" t="str">
        <f>_xll.BDP("300767HJ Muni","MUNI_TAX_PROV")</f>
        <v>FED BQ/ST TAX-EXEMPT</v>
      </c>
      <c r="Q940" t="str">
        <f>_xll.BDP("300767HJ Muni","MUNI_FED_TAX")</f>
        <v>N</v>
      </c>
      <c r="R940" t="str">
        <f>_xll.BDP("300767HJ Muni","MUNI_MSRB_VOLUME")</f>
        <v>#N/A N/A</v>
      </c>
      <c r="S940" t="str">
        <f>_xll.BDP("300767HJ Muni","BB_COMPOSITE")</f>
        <v>#N/A N/A</v>
      </c>
      <c r="T940">
        <f>_xll.BDP("300767HJ Muni","LQA_LIQUIDITY_SCORE")</f>
        <v>93</v>
      </c>
    </row>
    <row r="941" spans="1:20" x14ac:dyDescent="0.25">
      <c r="A941" t="str">
        <f>_xll.BDP("300767HK Muni","ID_CUSIP")</f>
        <v>300767HK9</v>
      </c>
      <c r="B941" t="s">
        <v>307</v>
      </c>
      <c r="C941" t="str">
        <f>_xll.BDP("300767HK Muni","INSURANCE_STATUS")</f>
        <v>N</v>
      </c>
      <c r="D941" t="str">
        <f>_xll.BDP("300767HK Muni","STATE_CODE")</f>
        <v>MN</v>
      </c>
      <c r="E941" t="str">
        <f>_xll.BDP("300767HK Muni","COUNTY_LOCATION_ISSUER")</f>
        <v>Hennepin, MN</v>
      </c>
      <c r="F941">
        <f>_xll.BDP("300767HK Muni","DUR_ADJ_MID")</f>
        <v>1.4633298402807833</v>
      </c>
      <c r="G941">
        <f>_xll.BDP("300767HK Muni","SPREAD_AT_ISSUANCE_TO_WORST")</f>
        <v>10.888446492896664</v>
      </c>
      <c r="H941" t="str">
        <f>_xll.BDP("300767HK Muni","ISSUE_DT")</f>
        <v>6/14/2017</v>
      </c>
      <c r="I941" t="str">
        <f>_xll.BDS("300767HK Muni","MUNI_PURPOSE_SCHED", "aggregate=y")</f>
        <v>PUBLIC IMPS. WATER UTILITY IMPS. SEWER IMPS.</v>
      </c>
      <c r="J941">
        <f>_xll.BDP("300767HK Muni","CPN")</f>
        <v>3</v>
      </c>
      <c r="K941" t="str">
        <f>_xll.BDP("300767HK Muni","MATURITY")</f>
        <v>2/1/2024</v>
      </c>
      <c r="L941">
        <v>250000</v>
      </c>
      <c r="M941">
        <f>_xll.BDP("300767HK Muni","YIELD_ON_ISSUE_DATE")</f>
        <v>1.75</v>
      </c>
      <c r="N941">
        <f>_xll.BDP("300767HK Muni","YTW_SPREAD_TO_MATURITY_AT_ISSU")</f>
        <v>10.888446492896664</v>
      </c>
      <c r="O941" t="str">
        <f>_xll.BDP("300767HK Muni","BVAL_MID_YTM")</f>
        <v>#N/A Authorization</v>
      </c>
      <c r="P941" t="str">
        <f>_xll.BDP("300767HK Muni","MUNI_TAX_PROV")</f>
        <v>FED BQ/ST TAX-EXEMPT</v>
      </c>
      <c r="Q941" t="str">
        <f>_xll.BDP("300767HK Muni","MUNI_FED_TAX")</f>
        <v>N</v>
      </c>
      <c r="R941" t="str">
        <f>_xll.BDP("300767HK Muni","MUNI_MSRB_VOLUME")</f>
        <v>#N/A N/A</v>
      </c>
      <c r="S941" t="str">
        <f>_xll.BDP("300767HK Muni","BB_COMPOSITE")</f>
        <v>#N/A N/A</v>
      </c>
      <c r="T941">
        <f>_xll.BDP("300767HK Muni","LQA_LIQUIDITY_SCORE")</f>
        <v>83</v>
      </c>
    </row>
    <row r="942" spans="1:20" x14ac:dyDescent="0.25">
      <c r="A942" t="str">
        <f>_xll.BDP("300767HL Muni","ID_CUSIP")</f>
        <v>300767HL7</v>
      </c>
      <c r="B942" t="s">
        <v>307</v>
      </c>
      <c r="C942" t="str">
        <f>_xll.BDP("300767HL Muni","INSURANCE_STATUS")</f>
        <v>N</v>
      </c>
      <c r="D942" t="str">
        <f>_xll.BDP("300767HL Muni","STATE_CODE")</f>
        <v>MN</v>
      </c>
      <c r="E942" t="str">
        <f>_xll.BDP("300767HL Muni","COUNTY_LOCATION_ISSUER")</f>
        <v>Hennepin, MN</v>
      </c>
      <c r="F942">
        <f>_xll.BDP("300767HL Muni","DUR_ADJ_MID")</f>
        <v>2.4036422862061566</v>
      </c>
      <c r="G942">
        <f>_xll.BDP("300767HL Muni","SPREAD_AT_ISSUANCE_TO_WORST")</f>
        <v>9.4951910815697982</v>
      </c>
      <c r="H942" t="str">
        <f>_xll.BDP("300767HL Muni","ISSUE_DT")</f>
        <v>6/14/2017</v>
      </c>
      <c r="I942" t="str">
        <f>_xll.BDS("300767HL Muni","MUNI_PURPOSE_SCHED", "aggregate=y")</f>
        <v>PUBLIC IMPS. WATER UTILITY IMPS. SEWER IMPS.</v>
      </c>
      <c r="J942">
        <f>_xll.BDP("300767HL Muni","CPN")</f>
        <v>3</v>
      </c>
      <c r="K942" t="str">
        <f>_xll.BDP("300767HL Muni","MATURITY")</f>
        <v>2/1/2025</v>
      </c>
      <c r="L942">
        <v>260000</v>
      </c>
      <c r="M942">
        <f>_xll.BDP("300767HL Muni","YIELD_ON_ISSUE_DATE")</f>
        <v>1.9000000000000001</v>
      </c>
      <c r="N942">
        <f>_xll.BDP("300767HL Muni","YTW_SPREAD_TO_MATURITY_AT_ISSU")</f>
        <v>9.4951910815697982</v>
      </c>
      <c r="O942" t="str">
        <f>_xll.BDP("300767HL Muni","BVAL_MID_YTM")</f>
        <v>#N/A Authorization</v>
      </c>
      <c r="P942" t="str">
        <f>_xll.BDP("300767HL Muni","MUNI_TAX_PROV")</f>
        <v>FED BQ/ST TAX-EXEMPT</v>
      </c>
      <c r="Q942" t="str">
        <f>_xll.BDP("300767HL Muni","MUNI_FED_TAX")</f>
        <v>N</v>
      </c>
      <c r="R942" t="str">
        <f>_xll.BDP("300767HL Muni","MUNI_MSRB_VOLUME")</f>
        <v>#N/A N/A</v>
      </c>
      <c r="S942" t="str">
        <f>_xll.BDP("300767HL Muni","BB_COMPOSITE")</f>
        <v>#N/A N/A</v>
      </c>
      <c r="T942">
        <f>_xll.BDP("300767HL Muni","LQA_LIQUIDITY_SCORE")</f>
        <v>74</v>
      </c>
    </row>
    <row r="943" spans="1:20" x14ac:dyDescent="0.25">
      <c r="A943" t="str">
        <f>_xll.BDP("300767HM Muni","ID_CUSIP")</f>
        <v>300767HM5</v>
      </c>
      <c r="B943" t="s">
        <v>307</v>
      </c>
      <c r="C943" t="str">
        <f>_xll.BDP("300767HM Muni","INSURANCE_STATUS")</f>
        <v>N</v>
      </c>
      <c r="D943" t="str">
        <f>_xll.BDP("300767HM Muni","STATE_CODE")</f>
        <v>MN</v>
      </c>
      <c r="E943" t="str">
        <f>_xll.BDP("300767HM Muni","COUNTY_LOCATION_ISSUER")</f>
        <v>Hennepin, MN</v>
      </c>
      <c r="F943">
        <f>_xll.BDP("300767HM Muni","DUR_ADJ_MID")</f>
        <v>3.3171610165055916</v>
      </c>
      <c r="G943">
        <f>_xll.BDP("300767HM Muni","SPREAD_AT_ISSUANCE_TO_WORST")</f>
        <v>4.3340958469381352</v>
      </c>
      <c r="H943" t="str">
        <f>_xll.BDP("300767HM Muni","ISSUE_DT")</f>
        <v>6/14/2017</v>
      </c>
      <c r="I943" t="str">
        <f>_xll.BDS("300767HM Muni","MUNI_PURPOSE_SCHED", "aggregate=y")</f>
        <v>PUBLIC IMPS. WATER UTILITY IMPS. SEWER IMPS.</v>
      </c>
      <c r="J943">
        <f>_xll.BDP("300767HM Muni","CPN")</f>
        <v>3</v>
      </c>
      <c r="K943" t="str">
        <f>_xll.BDP("300767HM Muni","MATURITY")</f>
        <v>2/1/2026</v>
      </c>
      <c r="L943">
        <v>260000</v>
      </c>
      <c r="M943">
        <f>_xll.BDP("300767HM Muni","YIELD_ON_ISSUE_DATE")</f>
        <v>2</v>
      </c>
      <c r="N943">
        <f>_xll.BDP("300767HM Muni","YTW_SPREAD_TO_MATURITY_AT_ISSU")</f>
        <v>4.3340958469381352</v>
      </c>
      <c r="O943" t="str">
        <f>_xll.BDP("300767HM Muni","BVAL_MID_YTM")</f>
        <v>#N/A Authorization</v>
      </c>
      <c r="P943" t="str">
        <f>_xll.BDP("300767HM Muni","MUNI_TAX_PROV")</f>
        <v>FED BQ/ST TAX-EXEMPT</v>
      </c>
      <c r="Q943" t="str">
        <f>_xll.BDP("300767HM Muni","MUNI_FED_TAX")</f>
        <v>N</v>
      </c>
      <c r="R943" t="str">
        <f>_xll.BDP("300767HM Muni","MUNI_MSRB_VOLUME")</f>
        <v>#N/A N/A</v>
      </c>
      <c r="S943" t="str">
        <f>_xll.BDP("300767HM Muni","BB_COMPOSITE")</f>
        <v>#N/A N/A</v>
      </c>
      <c r="T943">
        <f>_xll.BDP("300767HM Muni","LQA_LIQUIDITY_SCORE")</f>
        <v>66</v>
      </c>
    </row>
    <row r="944" spans="1:20" x14ac:dyDescent="0.25">
      <c r="A944" t="str">
        <f>_xll.BDP("24170PPJ Muni","ID_CUSIP")</f>
        <v>24170PPJ1</v>
      </c>
      <c r="B944" t="s">
        <v>308</v>
      </c>
      <c r="C944" t="str">
        <f>_xll.BDP("24170PPJ Muni","INSURANCE_STATUS")</f>
        <v>N</v>
      </c>
      <c r="D944" t="str">
        <f>_xll.BDP("24170PPJ Muni","STATE_CODE")</f>
        <v>TX</v>
      </c>
      <c r="E944" t="str">
        <f>_xll.BDP("24170PPJ Muni","COUNTY_LOCATION_ISSUER")</f>
        <v>Dallas, TX</v>
      </c>
      <c r="F944">
        <f>_xll.BDP("24170PPJ Muni","DUR_ADJ_MID")</f>
        <v>0.52836263489288526</v>
      </c>
      <c r="G944">
        <f>_xll.BDP("24170PPJ Muni","SPREAD_AT_ISSUANCE_TO_WORST")</f>
        <v>31.313802235464138</v>
      </c>
      <c r="H944" t="str">
        <f>_xll.BDP("24170PPJ Muni","ISSUE_DT")</f>
        <v>6/1/2017</v>
      </c>
      <c r="I944" t="str">
        <f>_xll.BDS("24170PPJ Muni","MUNI_PURPOSE_SCHED", "aggregate=y")</f>
        <v>PUBLIC IMPS. WATER UTILITY IMPS. SEWER IMPS.</v>
      </c>
      <c r="J944">
        <f>_xll.BDP("24170PPJ Muni","CPN")</f>
        <v>2</v>
      </c>
      <c r="K944" t="str">
        <f>_xll.BDP("24170PPJ Muni","MATURITY")</f>
        <v>2/15/2023</v>
      </c>
      <c r="L944">
        <v>200000</v>
      </c>
      <c r="M944">
        <f>_xll.BDP("24170PPJ Muni","YIELD_ON_ISSUE_DATE")</f>
        <v>1.56</v>
      </c>
      <c r="N944">
        <f>_xll.BDP("24170PPJ Muni","YTW_SPREAD_TO_MATURITY_AT_ISSU")</f>
        <v>31.313802235464138</v>
      </c>
      <c r="O944" t="str">
        <f>_xll.BDP("24170PPJ Muni","BVAL_MID_YTM")</f>
        <v>#N/A Authorization</v>
      </c>
      <c r="P944" t="str">
        <f>_xll.BDP("24170PPJ Muni","MUNI_TAX_PROV")</f>
        <v>FED TAX-EXEMPT</v>
      </c>
      <c r="Q944" t="str">
        <f>_xll.BDP("24170PPJ Muni","MUNI_FED_TAX")</f>
        <v>N</v>
      </c>
      <c r="R944" t="str">
        <f>_xll.BDP("24170PPJ Muni","MUNI_MSRB_VOLUME")</f>
        <v>#N/A N/A</v>
      </c>
      <c r="S944" t="str">
        <f>_xll.BDP("24170PPJ Muni","BB_COMPOSITE")</f>
        <v>#N/A N/A</v>
      </c>
      <c r="T944">
        <f>_xll.BDP("24170PPJ Muni","LQA_LIQUIDITY_SCORE")</f>
        <v>75</v>
      </c>
    </row>
    <row r="945" spans="1:20" x14ac:dyDescent="0.25">
      <c r="A945" t="str">
        <f>_xll.BDP("24170PPL Muni","ID_CUSIP")</f>
        <v>24170PPL6</v>
      </c>
      <c r="B945" t="s">
        <v>308</v>
      </c>
      <c r="C945" t="str">
        <f>_xll.BDP("24170PPL Muni","INSURANCE_STATUS")</f>
        <v>N</v>
      </c>
      <c r="D945" t="str">
        <f>_xll.BDP("24170PPL Muni","STATE_CODE")</f>
        <v>TX</v>
      </c>
      <c r="E945" t="str">
        <f>_xll.BDP("24170PPL Muni","COUNTY_LOCATION_ISSUER")</f>
        <v>Dallas, TX</v>
      </c>
      <c r="F945">
        <f>_xll.BDP("24170PPL Muni","DUR_ADJ_MID")</f>
        <v>2.4079813949168938</v>
      </c>
      <c r="G945">
        <f>_xll.BDP("24170PPL Muni","SPREAD_AT_ISSUANCE_TO_WORST")</f>
        <v>31.977628438005667</v>
      </c>
      <c r="H945" t="str">
        <f>_xll.BDP("24170PPL Muni","ISSUE_DT")</f>
        <v>6/1/2017</v>
      </c>
      <c r="I945" t="str">
        <f>_xll.BDS("24170PPL Muni","MUNI_PURPOSE_SCHED", "aggregate=y")</f>
        <v>PUBLIC IMPS. WATER UTILITY IMPS. SEWER IMPS.</v>
      </c>
      <c r="J945">
        <f>_xll.BDP("24170PPL Muni","CPN")</f>
        <v>3</v>
      </c>
      <c r="K945" t="str">
        <f>_xll.BDP("24170PPL Muni","MATURITY")</f>
        <v>2/15/2025</v>
      </c>
      <c r="L945">
        <v>205000</v>
      </c>
      <c r="M945">
        <f>_xll.BDP("24170PPL Muni","YIELD_ON_ISSUE_DATE")</f>
        <v>1.8800000000000001</v>
      </c>
      <c r="N945">
        <f>_xll.BDP("24170PPL Muni","YTW_SPREAD_TO_MATURITY_AT_ISSU")</f>
        <v>31.977628438005667</v>
      </c>
      <c r="O945" t="str">
        <f>_xll.BDP("24170PPL Muni","BVAL_MID_YTM")</f>
        <v>#N/A Authorization</v>
      </c>
      <c r="P945" t="str">
        <f>_xll.BDP("24170PPL Muni","MUNI_TAX_PROV")</f>
        <v>FED TAX-EXEMPT</v>
      </c>
      <c r="Q945" t="str">
        <f>_xll.BDP("24170PPL Muni","MUNI_FED_TAX")</f>
        <v>N</v>
      </c>
      <c r="R945">
        <f>_xll.BDP("24170PPL Muni","MUNI_MSRB_VOLUME")</f>
        <v>160000</v>
      </c>
      <c r="S945" t="str">
        <f>_xll.BDP("24170PPL Muni","BB_COMPOSITE")</f>
        <v>#N/A N/A</v>
      </c>
      <c r="T945">
        <f>_xll.BDP("24170PPL Muni","LQA_LIQUIDITY_SCORE")</f>
        <v>69</v>
      </c>
    </row>
    <row r="946" spans="1:20" x14ac:dyDescent="0.25">
      <c r="A946" t="str">
        <f>_xll.BDP("24170PPN Muni","ID_CUSIP")</f>
        <v>24170PPN2</v>
      </c>
      <c r="B946" t="s">
        <v>308</v>
      </c>
      <c r="C946" t="str">
        <f>_xll.BDP("24170PPN Muni","INSURANCE_STATUS")</f>
        <v>N</v>
      </c>
      <c r="D946" t="str">
        <f>_xll.BDP("24170PPN Muni","STATE_CODE")</f>
        <v>TX</v>
      </c>
      <c r="E946" t="str">
        <f>_xll.BDP("24170PPN Muni","COUNTY_LOCATION_ISSUER")</f>
        <v>Dallas, TX</v>
      </c>
      <c r="F946">
        <f>_xll.BDP("24170PPN Muni","DUR_ADJ_MID")</f>
        <v>4.1820018129041916</v>
      </c>
      <c r="G946">
        <f>_xll.BDP("24170PPN Muni","SPREAD_AT_ISSUANCE_TO_WORST")</f>
        <v>40.080005557021472</v>
      </c>
      <c r="H946" t="str">
        <f>_xll.BDP("24170PPN Muni","ISSUE_DT")</f>
        <v>6/1/2017</v>
      </c>
      <c r="I946" t="str">
        <f>_xll.BDS("24170PPN Muni","MUNI_PURPOSE_SCHED", "aggregate=y")</f>
        <v>PUBLIC IMPS. WATER UTILITY IMPS. SEWER IMPS.</v>
      </c>
      <c r="J946">
        <f>_xll.BDP("24170PPN Muni","CPN")</f>
        <v>3</v>
      </c>
      <c r="K946" t="str">
        <f>_xll.BDP("24170PPN Muni","MATURITY")</f>
        <v>2/15/2027</v>
      </c>
      <c r="L946">
        <v>225000</v>
      </c>
      <c r="M946">
        <f>_xll.BDP("24170PPN Muni","YIELD_ON_ISSUE_DATE")</f>
        <v>2.23</v>
      </c>
      <c r="N946">
        <f>_xll.BDP("24170PPN Muni","YTW_SPREAD_TO_MATURITY_AT_ISSU")</f>
        <v>40.080005557021472</v>
      </c>
      <c r="O946" t="str">
        <f>_xll.BDP("24170PPN Muni","BVAL_MID_YTM")</f>
        <v>#N/A Authorization</v>
      </c>
      <c r="P946" t="str">
        <f>_xll.BDP("24170PPN Muni","MUNI_TAX_PROV")</f>
        <v>FED TAX-EXEMPT</v>
      </c>
      <c r="Q946" t="str">
        <f>_xll.BDP("24170PPN Muni","MUNI_FED_TAX")</f>
        <v>N</v>
      </c>
      <c r="R946" t="str">
        <f>_xll.BDP("24170PPN Muni","MUNI_MSRB_VOLUME")</f>
        <v>#N/A N/A</v>
      </c>
      <c r="S946" t="str">
        <f>_xll.BDP("24170PPN Muni","BB_COMPOSITE")</f>
        <v>#N/A N/A</v>
      </c>
      <c r="T946">
        <f>_xll.BDP("24170PPN Muni","LQA_LIQUIDITY_SCORE")</f>
        <v>53</v>
      </c>
    </row>
    <row r="947" spans="1:20" x14ac:dyDescent="0.25">
      <c r="A947" t="str">
        <f>_xll.BDP("42703JBC Muni","ID_CUSIP")</f>
        <v>42703JBC3</v>
      </c>
      <c r="B947" t="s">
        <v>70</v>
      </c>
      <c r="C947" t="str">
        <f>_xll.BDP("42703JBC Muni","INSURANCE_STATUS")</f>
        <v>N</v>
      </c>
      <c r="D947" t="str">
        <f>_xll.BDP("42703JBC Muni","STATE_CODE")</f>
        <v>MO</v>
      </c>
      <c r="E947" t="str">
        <f>_xll.BDP("42703JBC Muni","COUNTY_LOCATION_ISSUER")</f>
        <v>Jefferson, MO</v>
      </c>
      <c r="F947">
        <f>_xll.BDP("42703JBC Muni","DUR_ADJ_MID")</f>
        <v>1.1705332483166184</v>
      </c>
      <c r="G947">
        <f>_xll.BDP("42703JBC Muni","SPREAD_AT_ISSUANCE_TO_WORST")</f>
        <v>50.650432661373571</v>
      </c>
      <c r="H947" t="str">
        <f>_xll.BDP("42703JBC Muni","ISSUE_DT")</f>
        <v>9/28/2017</v>
      </c>
      <c r="I947" t="str">
        <f>_xll.BDS("42703JBC Muni","MUNI_PURPOSE_SCHED", "aggregate=y")</f>
        <v>ADVANCE REFUNDING PUBLIC IMPS. WATER UTILITY IMPS.</v>
      </c>
      <c r="J947">
        <f>_xll.BDP("42703JBC Muni","CPN")</f>
        <v>3</v>
      </c>
      <c r="K947" t="str">
        <f>_xll.BDP("42703JBC Muni","MATURITY")</f>
        <v>10/15/2023</v>
      </c>
      <c r="L947">
        <v>415000</v>
      </c>
      <c r="M947">
        <f>_xll.BDP("42703JBC Muni","YIELD_ON_ISSUE_DATE")</f>
        <v>1.85</v>
      </c>
      <c r="N947">
        <f>_xll.BDP("42703JBC Muni","YTW_SPREAD_TO_MATURITY_AT_ISSU")</f>
        <v>50.650432661373571</v>
      </c>
      <c r="O947" t="str">
        <f>_xll.BDP("42703JBC Muni","BVAL_MID_YTM")</f>
        <v>#N/A Authorization</v>
      </c>
      <c r="P947" t="str">
        <f>_xll.BDP("42703JBC Muni","MUNI_TAX_PROV")</f>
        <v>FED BQ/ST TAX-EXEMPT</v>
      </c>
      <c r="Q947" t="str">
        <f>_xll.BDP("42703JBC Muni","MUNI_FED_TAX")</f>
        <v>N</v>
      </c>
      <c r="R947">
        <f>_xll.BDP("42703JBC Muni","MUNI_MSRB_VOLUME")</f>
        <v>60000</v>
      </c>
      <c r="S947" t="str">
        <f>_xll.BDP("42703JBC Muni","BB_COMPOSITE")</f>
        <v>#N/A N/A</v>
      </c>
      <c r="T947">
        <f>_xll.BDP("42703JBC Muni","LQA_LIQUIDITY_SCORE")</f>
        <v>88</v>
      </c>
    </row>
    <row r="948" spans="1:20" x14ac:dyDescent="0.25">
      <c r="A948" t="str">
        <f>_xll.BDP("42703JBD Muni","ID_CUSIP")</f>
        <v>42703JBD1</v>
      </c>
      <c r="B948" t="s">
        <v>70</v>
      </c>
      <c r="C948" t="str">
        <f>_xll.BDP("42703JBD Muni","INSURANCE_STATUS")</f>
        <v>N</v>
      </c>
      <c r="D948" t="str">
        <f>_xll.BDP("42703JBD Muni","STATE_CODE")</f>
        <v>MO</v>
      </c>
      <c r="E948" t="str">
        <f>_xll.BDP("42703JBD Muni","COUNTY_LOCATION_ISSUER")</f>
        <v>Jefferson, MO</v>
      </c>
      <c r="F948">
        <f>_xll.BDP("42703JBD Muni","DUR_ADJ_MID")</f>
        <v>2.1099077084253399</v>
      </c>
      <c r="G948">
        <f>_xll.BDP("42703JBD Muni","SPREAD_AT_ISSUANCE_TO_WORST")</f>
        <v>55.783668027876708</v>
      </c>
      <c r="H948" t="str">
        <f>_xll.BDP("42703JBD Muni","ISSUE_DT")</f>
        <v>9/28/2017</v>
      </c>
      <c r="I948" t="str">
        <f>_xll.BDS("42703JBD Muni","MUNI_PURPOSE_SCHED", "aggregate=y")</f>
        <v>ADVANCE REFUNDING PUBLIC IMPS. WATER UTILITY IMPS.</v>
      </c>
      <c r="J948">
        <f>_xll.BDP("42703JBD Muni","CPN")</f>
        <v>3</v>
      </c>
      <c r="K948" t="str">
        <f>_xll.BDP("42703JBD Muni","MATURITY")</f>
        <v>10/15/2024</v>
      </c>
      <c r="L948">
        <v>435000</v>
      </c>
      <c r="M948">
        <f>_xll.BDP("42703JBD Muni","YIELD_ON_ISSUE_DATE")</f>
        <v>2.0499999999999998</v>
      </c>
      <c r="N948">
        <f>_xll.BDP("42703JBD Muni","YTW_SPREAD_TO_MATURITY_AT_ISSU")</f>
        <v>55.783668027876708</v>
      </c>
      <c r="O948" t="str">
        <f>_xll.BDP("42703JBD Muni","BVAL_MID_YTM")</f>
        <v>#N/A Authorization</v>
      </c>
      <c r="P948" t="str">
        <f>_xll.BDP("42703JBD Muni","MUNI_TAX_PROV")</f>
        <v>FED BQ/ST TAX-EXEMPT</v>
      </c>
      <c r="Q948" t="str">
        <f>_xll.BDP("42703JBD Muni","MUNI_FED_TAX")</f>
        <v>N</v>
      </c>
      <c r="R948" t="str">
        <f>_xll.BDP("42703JBD Muni","MUNI_MSRB_VOLUME")</f>
        <v>#N/A N/A</v>
      </c>
      <c r="S948" t="str">
        <f>_xll.BDP("42703JBD Muni","BB_COMPOSITE")</f>
        <v>#N/A N/A</v>
      </c>
      <c r="T948">
        <f>_xll.BDP("42703JBD Muni","LQA_LIQUIDITY_SCORE")</f>
        <v>76</v>
      </c>
    </row>
    <row r="949" spans="1:20" x14ac:dyDescent="0.25">
      <c r="A949" t="str">
        <f>_xll.BDP("42703JBE Muni","ID_CUSIP")</f>
        <v>42703JBE9</v>
      </c>
      <c r="B949" t="s">
        <v>70</v>
      </c>
      <c r="C949" t="str">
        <f>_xll.BDP("42703JBE Muni","INSURANCE_STATUS")</f>
        <v>N</v>
      </c>
      <c r="D949" t="str">
        <f>_xll.BDP("42703JBE Muni","STATE_CODE")</f>
        <v>MO</v>
      </c>
      <c r="E949" t="str">
        <f>_xll.BDP("42703JBE Muni","COUNTY_LOCATION_ISSUER")</f>
        <v>Jefferson, MO</v>
      </c>
      <c r="F949">
        <f>_xll.BDP("42703JBE Muni","DUR_ADJ_MID")</f>
        <v>3.022295015118531</v>
      </c>
      <c r="G949">
        <f>_xll.BDP("42703JBE Muni","SPREAD_AT_ISSUANCE_TO_WORST")</f>
        <v>61.033212321063843</v>
      </c>
      <c r="H949" t="str">
        <f>_xll.BDP("42703JBE Muni","ISSUE_DT")</f>
        <v>9/28/2017</v>
      </c>
      <c r="I949" t="str">
        <f>_xll.BDS("42703JBE Muni","MUNI_PURPOSE_SCHED", "aggregate=y")</f>
        <v>ADVANCE REFUNDING PUBLIC IMPS. WATER UTILITY IMPS.</v>
      </c>
      <c r="J949">
        <f>_xll.BDP("42703JBE Muni","CPN")</f>
        <v>3</v>
      </c>
      <c r="K949" t="str">
        <f>_xll.BDP("42703JBE Muni","MATURITY")</f>
        <v>10/15/2025</v>
      </c>
      <c r="L949">
        <v>440000</v>
      </c>
      <c r="M949">
        <f>_xll.BDP("42703JBE Muni","YIELD_ON_ISSUE_DATE")</f>
        <v>2.25</v>
      </c>
      <c r="N949">
        <f>_xll.BDP("42703JBE Muni","YTW_SPREAD_TO_MATURITY_AT_ISSU")</f>
        <v>61.033212321063843</v>
      </c>
      <c r="O949" t="str">
        <f>_xll.BDP("42703JBE Muni","BVAL_MID_YTM")</f>
        <v>#N/A Authorization</v>
      </c>
      <c r="P949" t="str">
        <f>_xll.BDP("42703JBE Muni","MUNI_TAX_PROV")</f>
        <v>FED BQ/ST TAX-EXEMPT</v>
      </c>
      <c r="Q949" t="str">
        <f>_xll.BDP("42703JBE Muni","MUNI_FED_TAX")</f>
        <v>N</v>
      </c>
      <c r="R949" t="str">
        <f>_xll.BDP("42703JBE Muni","MUNI_MSRB_VOLUME")</f>
        <v>#N/A N/A</v>
      </c>
      <c r="S949" t="str">
        <f>_xll.BDP("42703JBE Muni","BB_COMPOSITE")</f>
        <v>#N/A N/A</v>
      </c>
      <c r="T949">
        <f>_xll.BDP("42703JBE Muni","LQA_LIQUIDITY_SCORE")</f>
        <v>65</v>
      </c>
    </row>
    <row r="950" spans="1:20" x14ac:dyDescent="0.25">
      <c r="A950" t="str">
        <f>_xll.BDP("42703JBF Muni","ID_CUSIP")</f>
        <v>42703JBF6</v>
      </c>
      <c r="B950" t="s">
        <v>70</v>
      </c>
      <c r="C950" t="str">
        <f>_xll.BDP("42703JBF Muni","INSURANCE_STATUS")</f>
        <v>N</v>
      </c>
      <c r="D950" t="str">
        <f>_xll.BDP("42703JBF Muni","STATE_CODE")</f>
        <v>MO</v>
      </c>
      <c r="E950" t="str">
        <f>_xll.BDP("42703JBF Muni","COUNTY_LOCATION_ISSUER")</f>
        <v>Jefferson, MO</v>
      </c>
      <c r="F950">
        <f>_xll.BDP("42703JBF Muni","DUR_ADJ_MID")</f>
        <v>3.9081266275316868</v>
      </c>
      <c r="G950">
        <f>_xll.BDP("42703JBF Muni","SPREAD_AT_ISSUANCE_TO_WORST")</f>
        <v>68.005486091703844</v>
      </c>
      <c r="H950" t="str">
        <f>_xll.BDP("42703JBF Muni","ISSUE_DT")</f>
        <v>9/28/2017</v>
      </c>
      <c r="I950" t="str">
        <f>_xll.BDS("42703JBF Muni","MUNI_PURPOSE_SCHED", "aggregate=y")</f>
        <v>ADVANCE REFUNDING PUBLIC IMPS. WATER UTILITY IMPS.</v>
      </c>
      <c r="J950">
        <f>_xll.BDP("42703JBF Muni","CPN")</f>
        <v>3</v>
      </c>
      <c r="K950" t="str">
        <f>_xll.BDP("42703JBF Muni","MATURITY")</f>
        <v>10/15/2026</v>
      </c>
      <c r="L950">
        <v>460000</v>
      </c>
      <c r="M950">
        <f>_xll.BDP("42703JBF Muni","YIELD_ON_ISSUE_DATE")</f>
        <v>2.4500000000000002</v>
      </c>
      <c r="N950">
        <f>_xll.BDP("42703JBF Muni","YTW_SPREAD_TO_MATURITY_AT_ISSU")</f>
        <v>68.005486091703844</v>
      </c>
      <c r="O950" t="str">
        <f>_xll.BDP("42703JBF Muni","BVAL_MID_YTM")</f>
        <v>#N/A Authorization</v>
      </c>
      <c r="P950" t="str">
        <f>_xll.BDP("42703JBF Muni","MUNI_TAX_PROV")</f>
        <v>FED BQ/ST TAX-EXEMPT</v>
      </c>
      <c r="Q950" t="str">
        <f>_xll.BDP("42703JBF Muni","MUNI_FED_TAX")</f>
        <v>N</v>
      </c>
      <c r="R950" t="str">
        <f>_xll.BDP("42703JBF Muni","MUNI_MSRB_VOLUME")</f>
        <v>#N/A N/A</v>
      </c>
      <c r="S950" t="str">
        <f>_xll.BDP("42703JBF Muni","BB_COMPOSITE")</f>
        <v>#N/A N/A</v>
      </c>
      <c r="T950">
        <f>_xll.BDP("42703JBF Muni","LQA_LIQUIDITY_SCORE")</f>
        <v>58</v>
      </c>
    </row>
    <row r="951" spans="1:20" x14ac:dyDescent="0.25">
      <c r="A951" t="str">
        <f>_xll.BDP("42703JBG Muni","ID_CUSIP")</f>
        <v>42703JBG4</v>
      </c>
      <c r="B951" t="s">
        <v>70</v>
      </c>
      <c r="C951" t="str">
        <f>_xll.BDP("42703JBG Muni","INSURANCE_STATUS")</f>
        <v>N</v>
      </c>
      <c r="D951" t="str">
        <f>_xll.BDP("42703JBG Muni","STATE_CODE")</f>
        <v>MO</v>
      </c>
      <c r="E951" t="str">
        <f>_xll.BDP("42703JBG Muni","COUNTY_LOCATION_ISSUER")</f>
        <v>Jefferson, MO</v>
      </c>
      <c r="F951">
        <f>_xll.BDP("42703JBG Muni","DUR_ADJ_MID")</f>
        <v>4.7680507920909294</v>
      </c>
      <c r="G951">
        <f>_xll.BDP("42703JBG Muni","SPREAD_AT_ISSUANCE_TO_WORST")</f>
        <v>72.329473248911881</v>
      </c>
      <c r="H951" t="str">
        <f>_xll.BDP("42703JBG Muni","ISSUE_DT")</f>
        <v>9/28/2017</v>
      </c>
      <c r="I951" t="str">
        <f>_xll.BDS("42703JBG Muni","MUNI_PURPOSE_SCHED", "aggregate=y")</f>
        <v>ADVANCE REFUNDING PUBLIC IMPS. WATER UTILITY IMPS.</v>
      </c>
      <c r="J951">
        <f>_xll.BDP("42703JBG Muni","CPN")</f>
        <v>3</v>
      </c>
      <c r="K951" t="str">
        <f>_xll.BDP("42703JBG Muni","MATURITY")</f>
        <v>10/15/2027</v>
      </c>
      <c r="L951">
        <v>475000</v>
      </c>
      <c r="M951">
        <f>_xll.BDP("42703JBG Muni","YIELD_ON_ISSUE_DATE")</f>
        <v>2.6</v>
      </c>
      <c r="N951">
        <f>_xll.BDP("42703JBG Muni","YTW_SPREAD_TO_MATURITY_AT_ISSU")</f>
        <v>72.329473248911881</v>
      </c>
      <c r="O951" t="str">
        <f>_xll.BDP("42703JBG Muni","BVAL_MID_YTM")</f>
        <v>#N/A Authorization</v>
      </c>
      <c r="P951" t="str">
        <f>_xll.BDP("42703JBG Muni","MUNI_TAX_PROV")</f>
        <v>FED BQ/ST TAX-EXEMPT</v>
      </c>
      <c r="Q951" t="str">
        <f>_xll.BDP("42703JBG Muni","MUNI_FED_TAX")</f>
        <v>N</v>
      </c>
      <c r="R951" t="str">
        <f>_xll.BDP("42703JBG Muni","MUNI_MSRB_VOLUME")</f>
        <v>#N/A N/A</v>
      </c>
      <c r="S951" t="str">
        <f>_xll.BDP("42703JBG Muni","BB_COMPOSITE")</f>
        <v>#N/A N/A</v>
      </c>
      <c r="T951">
        <f>_xll.BDP("42703JBG Muni","LQA_LIQUIDITY_SCORE")</f>
        <v>51</v>
      </c>
    </row>
    <row r="952" spans="1:20" x14ac:dyDescent="0.25">
      <c r="A952" t="str">
        <f>_xll.BDP("427542LV Muni","ID_CUSIP")</f>
        <v>427542LV5</v>
      </c>
      <c r="B952" t="s">
        <v>145</v>
      </c>
      <c r="C952" t="str">
        <f>_xll.BDP("427542LV Muni","INSURANCE_STATUS")</f>
        <v>N</v>
      </c>
      <c r="D952" t="str">
        <f>_xll.BDP("427542LV Muni","STATE_CODE")</f>
        <v>OR</v>
      </c>
      <c r="E952" t="str">
        <f>_xll.BDP("427542LV Muni","COUNTY_LOCATION_ISSUER")</f>
        <v>Umatilla, OR</v>
      </c>
      <c r="F952">
        <f>_xll.BDP("427542LV Muni","DUR_ADJ_MID")</f>
        <v>0.56979923784115982</v>
      </c>
      <c r="G952">
        <f>_xll.BDP("427542LV Muni","SPREAD_AT_ISSUANCE_TO_WORST")</f>
        <v>10.855665971055739</v>
      </c>
      <c r="H952" t="str">
        <f>_xll.BDP("427542LV Muni","ISSUE_DT")</f>
        <v>3/30/2017</v>
      </c>
      <c r="I952" t="str">
        <f>_xll.BDS("427542LV Muni","MUNI_PURPOSE_SCHED", "aggregate=y")</f>
        <v>PUBLIC IMPS. WATER UTILITY IMPS. SEWER IMPS.</v>
      </c>
      <c r="J952">
        <f>_xll.BDP("427542LV Muni","CPN")</f>
        <v>3</v>
      </c>
      <c r="K952" t="str">
        <f>_xll.BDP("427542LV Muni","MATURITY")</f>
        <v>3/1/2023</v>
      </c>
      <c r="L952">
        <v>290000</v>
      </c>
      <c r="M952">
        <f>_xll.BDP("427542LV Muni","YIELD_ON_ISSUE_DATE")</f>
        <v>2</v>
      </c>
      <c r="N952">
        <f>_xll.BDP("427542LV Muni","YTW_SPREAD_TO_MATURITY_AT_ISSU")</f>
        <v>10.855665971055739</v>
      </c>
      <c r="O952" t="str">
        <f>_xll.BDP("427542LV Muni","BVAL_MID_YTM")</f>
        <v>#N/A Authorization</v>
      </c>
      <c r="P952" t="str">
        <f>_xll.BDP("427542LV Muni","MUNI_TAX_PROV")</f>
        <v>FED BQ/ST TAX-EXEMPT</v>
      </c>
      <c r="Q952" t="str">
        <f>_xll.BDP("427542LV Muni","MUNI_FED_TAX")</f>
        <v>N</v>
      </c>
      <c r="R952" t="str">
        <f>_xll.BDP("427542LV Muni","MUNI_MSRB_VOLUME")</f>
        <v>#N/A N/A</v>
      </c>
      <c r="S952" t="str">
        <f>_xll.BDP("427542LV Muni","BB_COMPOSITE")</f>
        <v>#N/A N/A</v>
      </c>
      <c r="T952">
        <f>_xll.BDP("427542LV Muni","LQA_LIQUIDITY_SCORE")</f>
        <v>91</v>
      </c>
    </row>
    <row r="953" spans="1:20" x14ac:dyDescent="0.25">
      <c r="A953" t="str">
        <f>_xll.BDP("427542LX Muni","ID_CUSIP")</f>
        <v>427542LX1</v>
      </c>
      <c r="B953" t="s">
        <v>145</v>
      </c>
      <c r="C953" t="str">
        <f>_xll.BDP("427542LX Muni","INSURANCE_STATUS")</f>
        <v>N</v>
      </c>
      <c r="D953" t="str">
        <f>_xll.BDP("427542LX Muni","STATE_CODE")</f>
        <v>OR</v>
      </c>
      <c r="E953" t="str">
        <f>_xll.BDP("427542LX Muni","COUNTY_LOCATION_ISSUER")</f>
        <v>Umatilla, OR</v>
      </c>
      <c r="F953">
        <f>_xll.BDP("427542LX Muni","DUR_ADJ_MID")</f>
        <v>2.4512139682089678</v>
      </c>
      <c r="G953">
        <f>_xll.BDP("427542LX Muni","SPREAD_AT_ISSUANCE_TO_WORST")</f>
        <v>-2.0836184944699632</v>
      </c>
      <c r="H953" t="str">
        <f>_xll.BDP("427542LX Muni","ISSUE_DT")</f>
        <v>3/30/2017</v>
      </c>
      <c r="I953" t="str">
        <f>_xll.BDS("427542LX Muni","MUNI_PURPOSE_SCHED", "aggregate=y")</f>
        <v>PUBLIC IMPS. WATER UTILITY IMPS. SEWER IMPS.</v>
      </c>
      <c r="J953">
        <f>_xll.BDP("427542LX Muni","CPN")</f>
        <v>3</v>
      </c>
      <c r="K953" t="str">
        <f>_xll.BDP("427542LX Muni","MATURITY")</f>
        <v>3/1/2025</v>
      </c>
      <c r="L953">
        <v>305000</v>
      </c>
      <c r="M953">
        <f>_xll.BDP("427542LX Muni","YIELD_ON_ISSUE_DATE")</f>
        <v>2.2000000000000002</v>
      </c>
      <c r="N953">
        <f>_xll.BDP("427542LX Muni","YTW_SPREAD_TO_MATURITY_AT_ISSU")</f>
        <v>-2.0836184944699632</v>
      </c>
      <c r="O953" t="str">
        <f>_xll.BDP("427542LX Muni","BVAL_MID_YTM")</f>
        <v>#N/A Authorization</v>
      </c>
      <c r="P953" t="str">
        <f>_xll.BDP("427542LX Muni","MUNI_TAX_PROV")</f>
        <v>FED BQ/ST TAX-EXEMPT</v>
      </c>
      <c r="Q953" t="str">
        <f>_xll.BDP("427542LX Muni","MUNI_FED_TAX")</f>
        <v>N</v>
      </c>
      <c r="R953" t="str">
        <f>_xll.BDP("427542LX Muni","MUNI_MSRB_VOLUME")</f>
        <v>#N/A N/A</v>
      </c>
      <c r="S953" t="str">
        <f>_xll.BDP("427542LX Muni","BB_COMPOSITE")</f>
        <v>#N/A N/A</v>
      </c>
      <c r="T953">
        <f>_xll.BDP("427542LX Muni","LQA_LIQUIDITY_SCORE")</f>
        <v>74</v>
      </c>
    </row>
    <row r="954" spans="1:20" x14ac:dyDescent="0.25">
      <c r="A954" t="str">
        <f>_xll.BDP("427542LY Muni","ID_CUSIP")</f>
        <v>427542LY9</v>
      </c>
      <c r="B954" t="s">
        <v>145</v>
      </c>
      <c r="C954" t="str">
        <f>_xll.BDP("427542LY Muni","INSURANCE_STATUS")</f>
        <v>N</v>
      </c>
      <c r="D954" t="str">
        <f>_xll.BDP("427542LY Muni","STATE_CODE")</f>
        <v>OR</v>
      </c>
      <c r="E954" t="str">
        <f>_xll.BDP("427542LY Muni","COUNTY_LOCATION_ISSUER")</f>
        <v>Umatilla, OR</v>
      </c>
      <c r="F954">
        <f>_xll.BDP("427542LY Muni","DUR_ADJ_MID")</f>
        <v>3.3520818843637628</v>
      </c>
      <c r="G954">
        <f>_xll.BDP("427542LY Muni","SPREAD_AT_ISSUANCE_TO_WORST")</f>
        <v>-6.3144734025679217</v>
      </c>
      <c r="H954" t="str">
        <f>_xll.BDP("427542LY Muni","ISSUE_DT")</f>
        <v>3/30/2017</v>
      </c>
      <c r="I954" t="str">
        <f>_xll.BDS("427542LY Muni","MUNI_PURPOSE_SCHED", "aggregate=y")</f>
        <v>PUBLIC IMPS. WATER UTILITY IMPS. SEWER IMPS.</v>
      </c>
      <c r="J954">
        <f>_xll.BDP("427542LY Muni","CPN")</f>
        <v>3</v>
      </c>
      <c r="K954" t="str">
        <f>_xll.BDP("427542LY Muni","MATURITY")</f>
        <v>3/1/2026</v>
      </c>
      <c r="L954">
        <v>320000</v>
      </c>
      <c r="M954">
        <f>_xll.BDP("427542LY Muni","YIELD_ON_ISSUE_DATE")</f>
        <v>2.3000000000000003</v>
      </c>
      <c r="N954">
        <f>_xll.BDP("427542LY Muni","YTW_SPREAD_TO_MATURITY_AT_ISSU")</f>
        <v>-6.3144734025679217</v>
      </c>
      <c r="O954" t="str">
        <f>_xll.BDP("427542LY Muni","BVAL_MID_YTM")</f>
        <v>#N/A Authorization</v>
      </c>
      <c r="P954" t="str">
        <f>_xll.BDP("427542LY Muni","MUNI_TAX_PROV")</f>
        <v>FED BQ/ST TAX-EXEMPT</v>
      </c>
      <c r="Q954" t="str">
        <f>_xll.BDP("427542LY Muni","MUNI_FED_TAX")</f>
        <v>N</v>
      </c>
      <c r="R954" t="str">
        <f>_xll.BDP("427542LY Muni","MUNI_MSRB_VOLUME")</f>
        <v>#N/A N/A</v>
      </c>
      <c r="S954" t="str">
        <f>_xll.BDP("427542LY Muni","BB_COMPOSITE")</f>
        <v>#N/A N/A</v>
      </c>
      <c r="T954">
        <f>_xll.BDP("427542LY Muni","LQA_LIQUIDITY_SCORE")</f>
        <v>62</v>
      </c>
    </row>
    <row r="955" spans="1:20" x14ac:dyDescent="0.25">
      <c r="A955" t="str">
        <f>_xll.BDP("427542LZ Muni","ID_CUSIP")</f>
        <v>427542LZ6</v>
      </c>
      <c r="B955" t="s">
        <v>145</v>
      </c>
      <c r="C955" t="str">
        <f>_xll.BDP("427542LZ Muni","INSURANCE_STATUS")</f>
        <v>N</v>
      </c>
      <c r="D955" t="str">
        <f>_xll.BDP("427542LZ Muni","STATE_CODE")</f>
        <v>OR</v>
      </c>
      <c r="E955" t="str">
        <f>_xll.BDP("427542LZ Muni","COUNTY_LOCATION_ISSUER")</f>
        <v>Umatilla, OR</v>
      </c>
      <c r="F955">
        <f>_xll.BDP("427542LZ Muni","DUR_ADJ_MID")</f>
        <v>4.2273585751955363</v>
      </c>
      <c r="G955">
        <f>_xll.BDP("427542LZ Muni","SPREAD_AT_ISSUANCE_TO_WORST")</f>
        <v>-7.4628663725000433</v>
      </c>
      <c r="H955" t="str">
        <f>_xll.BDP("427542LZ Muni","ISSUE_DT")</f>
        <v>3/30/2017</v>
      </c>
      <c r="I955" t="str">
        <f>_xll.BDS("427542LZ Muni","MUNI_PURPOSE_SCHED", "aggregate=y")</f>
        <v>PUBLIC IMPS. WATER UTILITY IMPS. SEWER IMPS.</v>
      </c>
      <c r="J955">
        <f>_xll.BDP("427542LZ Muni","CPN")</f>
        <v>3</v>
      </c>
      <c r="K955" t="str">
        <f>_xll.BDP("427542LZ Muni","MATURITY")</f>
        <v>3/1/2027</v>
      </c>
      <c r="L955">
        <v>330000</v>
      </c>
      <c r="M955">
        <f>_xll.BDP("427542LZ Muni","YIELD_ON_ISSUE_DATE")</f>
        <v>2.4000000000000004</v>
      </c>
      <c r="N955">
        <f>_xll.BDP("427542LZ Muni","YTW_SPREAD_TO_MATURITY_AT_ISSU")</f>
        <v>-7.4628663725000433</v>
      </c>
      <c r="O955" t="str">
        <f>_xll.BDP("427542LZ Muni","BVAL_MID_YTM")</f>
        <v>#N/A Authorization</v>
      </c>
      <c r="P955" t="str">
        <f>_xll.BDP("427542LZ Muni","MUNI_TAX_PROV")</f>
        <v>FED BQ/ST TAX-EXEMPT</v>
      </c>
      <c r="Q955" t="str">
        <f>_xll.BDP("427542LZ Muni","MUNI_FED_TAX")</f>
        <v>N</v>
      </c>
      <c r="R955" t="str">
        <f>_xll.BDP("427542LZ Muni","MUNI_MSRB_VOLUME")</f>
        <v>#N/A N/A</v>
      </c>
      <c r="S955" t="str">
        <f>_xll.BDP("427542LZ Muni","BB_COMPOSITE")</f>
        <v>#N/A N/A</v>
      </c>
      <c r="T955">
        <f>_xll.BDP("427542LZ Muni","LQA_LIQUIDITY_SCORE")</f>
        <v>51</v>
      </c>
    </row>
    <row r="956" spans="1:20" x14ac:dyDescent="0.25">
      <c r="A956" t="str">
        <f>_xll.BDP("427758DS Muni","ID_CUSIP")</f>
        <v>427758DS3</v>
      </c>
      <c r="B956" t="s">
        <v>309</v>
      </c>
      <c r="C956" t="str">
        <f>_xll.BDP("427758DS Muni","INSURANCE_STATUS")</f>
        <v>N</v>
      </c>
      <c r="D956" t="str">
        <f>_xll.BDP("427758DS Muni","STATE_CODE")</f>
        <v>IL</v>
      </c>
      <c r="E956" t="str">
        <f>_xll.BDP("427758DS Muni","COUNTY_LOCATION_ISSUER")</f>
        <v>Williamson, IL</v>
      </c>
      <c r="F956">
        <f>_xll.BDP("427758DS Muni","DUR_ADJ_MID")</f>
        <v>0.32942941797799397</v>
      </c>
      <c r="G956">
        <f>_xll.BDP("427758DS Muni","SPREAD_AT_ISSUANCE_TO_WORST")</f>
        <v>129.76763817460903</v>
      </c>
      <c r="H956" t="str">
        <f>_xll.BDP("427758DS Muni","ISSUE_DT")</f>
        <v>6/13/2017</v>
      </c>
      <c r="I956" t="str">
        <f>_xll.BDS("427758DS Muni","MUNI_PURPOSE_SCHED", "aggregate=y")</f>
        <v>WATER UTILITY IMPS.</v>
      </c>
      <c r="J956">
        <f>_xll.BDP("427758DS Muni","CPN")</f>
        <v>2.5</v>
      </c>
      <c r="K956" t="str">
        <f>_xll.BDP("427758DS Muni","MATURITY")</f>
        <v>12/1/2022</v>
      </c>
      <c r="L956">
        <v>70000</v>
      </c>
      <c r="M956">
        <f>_xll.BDP("427758DS Muni","YIELD_ON_ISSUE_DATE")</f>
        <v>2.5</v>
      </c>
      <c r="N956">
        <f>_xll.BDP("427758DS Muni","YTW_SPREAD_TO_MATURITY_AT_ISSU")</f>
        <v>129.76763817460903</v>
      </c>
      <c r="O956" t="str">
        <f>_xll.BDP("427758DS Muni","BVAL_MID_YTM")</f>
        <v>#N/A Authorization</v>
      </c>
      <c r="P956" t="str">
        <f>_xll.BDP("427758DS Muni","MUNI_TAX_PROV")</f>
        <v>FED BQ/ST TAXABLE</v>
      </c>
      <c r="Q956" t="str">
        <f>_xll.BDP("427758DS Muni","MUNI_FED_TAX")</f>
        <v>N</v>
      </c>
      <c r="R956" t="str">
        <f>_xll.BDP("427758DS Muni","MUNI_MSRB_VOLUME")</f>
        <v>#N/A N/A</v>
      </c>
      <c r="S956" t="str">
        <f>_xll.BDP("427758DS Muni","BB_COMPOSITE")</f>
        <v>#N/A N/A</v>
      </c>
      <c r="T956">
        <f>_xll.BDP("427758DS Muni","LQA_LIQUIDITY_SCORE")</f>
        <v>88</v>
      </c>
    </row>
    <row r="957" spans="1:20" x14ac:dyDescent="0.25">
      <c r="A957" t="str">
        <f>_xll.BDP("427758DT Muni","ID_CUSIP")</f>
        <v>427758DT1</v>
      </c>
      <c r="B957" t="s">
        <v>309</v>
      </c>
      <c r="C957" t="str">
        <f>_xll.BDP("427758DT Muni","INSURANCE_STATUS")</f>
        <v>N</v>
      </c>
      <c r="D957" t="str">
        <f>_xll.BDP("427758DT Muni","STATE_CODE")</f>
        <v>IL</v>
      </c>
      <c r="E957" t="str">
        <f>_xll.BDP("427758DT Muni","COUNTY_LOCATION_ISSUER")</f>
        <v>Williamson, IL</v>
      </c>
      <c r="F957">
        <f>_xll.BDP("427758DT Muni","DUR_ADJ_MID")</f>
        <v>1.3000924927729658</v>
      </c>
      <c r="G957">
        <f>_xll.BDP("427758DT Muni","SPREAD_AT_ISSUANCE_TO_WORST")</f>
        <v>134.5955572146546</v>
      </c>
      <c r="H957" t="str">
        <f>_xll.BDP("427758DT Muni","ISSUE_DT")</f>
        <v>6/13/2017</v>
      </c>
      <c r="I957" t="str">
        <f>_xll.BDS("427758DT Muni","MUNI_PURPOSE_SCHED", "aggregate=y")</f>
        <v>WATER UTILITY IMPS.</v>
      </c>
      <c r="J957">
        <f>_xll.BDP("427758DT Muni","CPN")</f>
        <v>2.7</v>
      </c>
      <c r="K957" t="str">
        <f>_xll.BDP("427758DT Muni","MATURITY")</f>
        <v>12/1/2023</v>
      </c>
      <c r="L957">
        <v>75000</v>
      </c>
      <c r="M957">
        <f>_xll.BDP("427758DT Muni","YIELD_ON_ISSUE_DATE")</f>
        <v>2.7</v>
      </c>
      <c r="N957">
        <f>_xll.BDP("427758DT Muni","YTW_SPREAD_TO_MATURITY_AT_ISSU")</f>
        <v>134.5955572146546</v>
      </c>
      <c r="O957" t="str">
        <f>_xll.BDP("427758DT Muni","BVAL_MID_YTM")</f>
        <v>#N/A Authorization</v>
      </c>
      <c r="P957" t="str">
        <f>_xll.BDP("427758DT Muni","MUNI_TAX_PROV")</f>
        <v>FED BQ/ST TAXABLE</v>
      </c>
      <c r="Q957" t="str">
        <f>_xll.BDP("427758DT Muni","MUNI_FED_TAX")</f>
        <v>N</v>
      </c>
      <c r="R957" t="str">
        <f>_xll.BDP("427758DT Muni","MUNI_MSRB_VOLUME")</f>
        <v>#N/A N/A</v>
      </c>
      <c r="S957" t="str">
        <f>_xll.BDP("427758DT Muni","BB_COMPOSITE")</f>
        <v>#N/A N/A</v>
      </c>
      <c r="T957">
        <f>_xll.BDP("427758DT Muni","LQA_LIQUIDITY_SCORE")</f>
        <v>65</v>
      </c>
    </row>
    <row r="958" spans="1:20" x14ac:dyDescent="0.25">
      <c r="A958" t="str">
        <f>_xll.BDP("427758DU Muni","ID_CUSIP")</f>
        <v>427758DU8</v>
      </c>
      <c r="B958" t="s">
        <v>309</v>
      </c>
      <c r="C958" t="str">
        <f>_xll.BDP("427758DU Muni","INSURANCE_STATUS")</f>
        <v>N</v>
      </c>
      <c r="D958" t="str">
        <f>_xll.BDP("427758DU Muni","STATE_CODE")</f>
        <v>IL</v>
      </c>
      <c r="E958" t="str">
        <f>_xll.BDP("427758DU Muni","COUNTY_LOCATION_ISSUER")</f>
        <v>Williamson, IL</v>
      </c>
      <c r="F958">
        <f>_xll.BDP("427758DU Muni","DUR_ADJ_MID")</f>
        <v>2.2413667696376214</v>
      </c>
      <c r="G958">
        <f>_xll.BDP("427758DU Muni","SPREAD_AT_ISSUANCE_TO_WORST")</f>
        <v>134.3397284112514</v>
      </c>
      <c r="H958" t="str">
        <f>_xll.BDP("427758DU Muni","ISSUE_DT")</f>
        <v>6/13/2017</v>
      </c>
      <c r="I958" t="str">
        <f>_xll.BDS("427758DU Muni","MUNI_PURPOSE_SCHED", "aggregate=y")</f>
        <v>WATER UTILITY IMPS.</v>
      </c>
      <c r="J958">
        <f>_xll.BDP("427758DU Muni","CPN")</f>
        <v>2.85</v>
      </c>
      <c r="K958" t="str">
        <f>_xll.BDP("427758DU Muni","MATURITY")</f>
        <v>12/1/2024</v>
      </c>
      <c r="L958">
        <v>75000</v>
      </c>
      <c r="M958">
        <f>_xll.BDP("427758DU Muni","YIELD_ON_ISSUE_DATE")</f>
        <v>2.85</v>
      </c>
      <c r="N958">
        <f>_xll.BDP("427758DU Muni","YTW_SPREAD_TO_MATURITY_AT_ISSU")</f>
        <v>134.3397284112514</v>
      </c>
      <c r="O958" t="str">
        <f>_xll.BDP("427758DU Muni","BVAL_MID_YTM")</f>
        <v>#N/A Authorization</v>
      </c>
      <c r="P958" t="str">
        <f>_xll.BDP("427758DU Muni","MUNI_TAX_PROV")</f>
        <v>FED BQ/ST TAXABLE</v>
      </c>
      <c r="Q958" t="str">
        <f>_xll.BDP("427758DU Muni","MUNI_FED_TAX")</f>
        <v>N</v>
      </c>
      <c r="R958" t="str">
        <f>_xll.BDP("427758DU Muni","MUNI_MSRB_VOLUME")</f>
        <v>#N/A N/A</v>
      </c>
      <c r="S958" t="str">
        <f>_xll.BDP("427758DU Muni","BB_COMPOSITE")</f>
        <v>#N/A N/A</v>
      </c>
      <c r="T958">
        <f>_xll.BDP("427758DU Muni","LQA_LIQUIDITY_SCORE")</f>
        <v>48</v>
      </c>
    </row>
    <row r="959" spans="1:20" x14ac:dyDescent="0.25">
      <c r="A959" t="str">
        <f>_xll.BDP("427758DV Muni","ID_CUSIP")</f>
        <v>427758DV6</v>
      </c>
      <c r="B959" t="s">
        <v>309</v>
      </c>
      <c r="C959" t="str">
        <f>_xll.BDP("427758DV Muni","INSURANCE_STATUS")</f>
        <v>N</v>
      </c>
      <c r="D959" t="str">
        <f>_xll.BDP("427758DV Muni","STATE_CODE")</f>
        <v>IL</v>
      </c>
      <c r="E959" t="str">
        <f>_xll.BDP("427758DV Muni","COUNTY_LOCATION_ISSUER")</f>
        <v>Williamson, IL</v>
      </c>
      <c r="F959">
        <f>_xll.BDP("427758DV Muni","DUR_ADJ_MID")</f>
        <v>3.1508344278607239</v>
      </c>
      <c r="G959">
        <f>_xll.BDP("427758DV Muni","SPREAD_AT_ISSUANCE_TO_WORST")</f>
        <v>134.87200955402866</v>
      </c>
      <c r="H959" t="str">
        <f>_xll.BDP("427758DV Muni","ISSUE_DT")</f>
        <v>6/13/2017</v>
      </c>
      <c r="I959" t="str">
        <f>_xll.BDS("427758DV Muni","MUNI_PURPOSE_SCHED", "aggregate=y")</f>
        <v>WATER UTILITY IMPS.</v>
      </c>
      <c r="J959">
        <f>_xll.BDP("427758DV Muni","CPN")</f>
        <v>3</v>
      </c>
      <c r="K959" t="str">
        <f>_xll.BDP("427758DV Muni","MATURITY")</f>
        <v>12/1/2025</v>
      </c>
      <c r="L959">
        <v>80000</v>
      </c>
      <c r="M959">
        <f>_xll.BDP("427758DV Muni","YIELD_ON_ISSUE_DATE")</f>
        <v>3</v>
      </c>
      <c r="N959">
        <f>_xll.BDP("427758DV Muni","YTW_SPREAD_TO_MATURITY_AT_ISSU")</f>
        <v>134.87200955402866</v>
      </c>
      <c r="O959" t="str">
        <f>_xll.BDP("427758DV Muni","BVAL_MID_YTM")</f>
        <v>#N/A Authorization</v>
      </c>
      <c r="P959" t="str">
        <f>_xll.BDP("427758DV Muni","MUNI_TAX_PROV")</f>
        <v>FED BQ/ST TAXABLE</v>
      </c>
      <c r="Q959" t="str">
        <f>_xll.BDP("427758DV Muni","MUNI_FED_TAX")</f>
        <v>N</v>
      </c>
      <c r="R959" t="str">
        <f>_xll.BDP("427758DV Muni","MUNI_MSRB_VOLUME")</f>
        <v>#N/A N/A</v>
      </c>
      <c r="S959" t="str">
        <f>_xll.BDP("427758DV Muni","BB_COMPOSITE")</f>
        <v>#N/A N/A</v>
      </c>
      <c r="T959">
        <f>_xll.BDP("427758DV Muni","LQA_LIQUIDITY_SCORE")</f>
        <v>36</v>
      </c>
    </row>
    <row r="960" spans="1:20" x14ac:dyDescent="0.25">
      <c r="A960" t="str">
        <f>_xll.BDP("427877BF Muni","ID_CUSIP")</f>
        <v>427877BF1</v>
      </c>
      <c r="B960" t="s">
        <v>310</v>
      </c>
      <c r="C960" t="str">
        <f>_xll.BDP("427877BF Muni","INSURANCE_STATUS")</f>
        <v>N</v>
      </c>
      <c r="D960" t="str">
        <f>_xll.BDP("427877BF Muni","STATE_CODE")</f>
        <v>NE</v>
      </c>
      <c r="E960" t="str">
        <f>_xll.BDP("427877BF Muni","COUNTY_LOCATION_ISSUER")</f>
        <v>Lincoln, NE</v>
      </c>
      <c r="F960">
        <f>_xll.BDP("427877BF Muni","DUR_ADJ_MID")</f>
        <v>0.28511930989103001</v>
      </c>
      <c r="G960">
        <f>_xll.BDP("427877BF Muni","SPREAD_AT_ISSUANCE_TO_WORST")</f>
        <v>40.654515068493154</v>
      </c>
      <c r="H960" t="str">
        <f>_xll.BDP("427877BF Muni","ISSUE_DT")</f>
        <v>12/5/2017</v>
      </c>
      <c r="I960" t="str">
        <f>_xll.BDS("427877BF Muni","MUNI_PURPOSE_SCHED", "aggregate=y")</f>
        <v>WATER UTILITY IMPS.</v>
      </c>
      <c r="J960">
        <f>_xll.BDP("427877BF Muni","CPN")</f>
        <v>1.85</v>
      </c>
      <c r="K960" t="str">
        <f>_xll.BDP("427877BF Muni","MATURITY")</f>
        <v>11/15/2022</v>
      </c>
      <c r="L960">
        <v>30000</v>
      </c>
      <c r="M960">
        <f>_xll.BDP("427877BF Muni","YIELD_ON_ISSUE_DATE")</f>
        <v>1.85</v>
      </c>
      <c r="N960">
        <f>_xll.BDP("427877BF Muni","YTW_SPREAD_TO_MATURITY_AT_ISSU")</f>
        <v>40.654515068493154</v>
      </c>
      <c r="O960" t="str">
        <f>_xll.BDP("427877BF Muni","BVAL_MID_YTM")</f>
        <v>#N/A Authorization</v>
      </c>
      <c r="P960" t="str">
        <f>_xll.BDP("427877BF Muni","MUNI_TAX_PROV")</f>
        <v>FED BQ/ST TAX-EXEMPT</v>
      </c>
      <c r="Q960" t="str">
        <f>_xll.BDP("427877BF Muni","MUNI_FED_TAX")</f>
        <v>N</v>
      </c>
      <c r="R960" t="str">
        <f>_xll.BDP("427877BF Muni","MUNI_MSRB_VOLUME")</f>
        <v>#N/A N/A</v>
      </c>
      <c r="S960" t="str">
        <f>_xll.BDP("427877BF Muni","BB_COMPOSITE")</f>
        <v>#N/A N/A</v>
      </c>
      <c r="T960">
        <f>_xll.BDP("427877BF Muni","LQA_LIQUIDITY_SCORE")</f>
        <v>81</v>
      </c>
    </row>
    <row r="961" spans="1:20" x14ac:dyDescent="0.25">
      <c r="A961" t="str">
        <f>_xll.BDP("358776QK Muni","ID_CUSIP")</f>
        <v>358776QK1</v>
      </c>
      <c r="B961" t="s">
        <v>311</v>
      </c>
      <c r="C961" t="str">
        <f>_xll.BDP("358776QK Muni","INSURANCE_STATUS")</f>
        <v>N</v>
      </c>
      <c r="D961" t="str">
        <f>_xll.BDP("358776QK Muni","STATE_CODE")</f>
        <v>TX</v>
      </c>
      <c r="E961" t="str">
        <f>_xll.BDP("358776QK Muni","COUNTY_LOCATION_ISSUER")</f>
        <v>Collin, TX</v>
      </c>
      <c r="F961">
        <f>_xll.BDP("358776QK Muni","DUR_ADJ_MID")</f>
        <v>0.52375252735042654</v>
      </c>
      <c r="G961">
        <f>_xll.BDP("358776QK Muni","SPREAD_AT_ISSUANCE_TO_WORST")</f>
        <v>16.682567861724685</v>
      </c>
      <c r="H961" t="str">
        <f>_xll.BDP("358776QK Muni","ISSUE_DT")</f>
        <v>6/1/2017</v>
      </c>
      <c r="I961" t="str">
        <f>_xll.BDS("358776QK Muni","MUNI_PURPOSE_SCHED", "aggregate=y")</f>
        <v>WATER UTILITY IMPS. SEWER IMPS.</v>
      </c>
      <c r="J961">
        <f>_xll.BDP("358776QK Muni","CPN")</f>
        <v>4</v>
      </c>
      <c r="K961" t="str">
        <f>_xll.BDP("358776QK Muni","MATURITY")</f>
        <v>2/15/2023</v>
      </c>
      <c r="L961">
        <v>595000</v>
      </c>
      <c r="M961">
        <f>_xll.BDP("358776QK Muni","YIELD_ON_ISSUE_DATE")</f>
        <v>1.47</v>
      </c>
      <c r="N961">
        <f>_xll.BDP("358776QK Muni","YTW_SPREAD_TO_MATURITY_AT_ISSU")</f>
        <v>16.682567861724685</v>
      </c>
      <c r="O961" t="str">
        <f>_xll.BDP("358776QK Muni","BVAL_MID_YTM")</f>
        <v>#N/A Authorization</v>
      </c>
      <c r="P961" t="str">
        <f>_xll.BDP("358776QK Muni","MUNI_TAX_PROV")</f>
        <v>FED TAX-EXEMPT</v>
      </c>
      <c r="Q961" t="str">
        <f>_xll.BDP("358776QK Muni","MUNI_FED_TAX")</f>
        <v>N</v>
      </c>
      <c r="R961" t="str">
        <f>_xll.BDP("358776QK Muni","MUNI_MSRB_VOLUME")</f>
        <v>#N/A N/A</v>
      </c>
      <c r="S961" t="str">
        <f>_xll.BDP("358776QK Muni","BB_COMPOSITE")</f>
        <v>AAA</v>
      </c>
      <c r="T961">
        <f>_xll.BDP("358776QK Muni","LQA_LIQUIDITY_SCORE")</f>
        <v>93</v>
      </c>
    </row>
    <row r="962" spans="1:20" x14ac:dyDescent="0.25">
      <c r="A962" t="str">
        <f>_xll.BDP("358776QL Muni","ID_CUSIP")</f>
        <v>358776QL9</v>
      </c>
      <c r="B962" t="s">
        <v>311</v>
      </c>
      <c r="C962" t="str">
        <f>_xll.BDP("358776QL Muni","INSURANCE_STATUS")</f>
        <v>N</v>
      </c>
      <c r="D962" t="str">
        <f>_xll.BDP("358776QL Muni","STATE_CODE")</f>
        <v>TX</v>
      </c>
      <c r="E962" t="str">
        <f>_xll.BDP("358776QL Muni","COUNTY_LOCATION_ISSUER")</f>
        <v>Collin, TX</v>
      </c>
      <c r="F962">
        <f>_xll.BDP("358776QL Muni","DUR_ADJ_MID")</f>
        <v>1.4681965164383861</v>
      </c>
      <c r="G962">
        <f>_xll.BDP("358776QL Muni","SPREAD_AT_ISSUANCE_TO_WORST")</f>
        <v>14.363876315379898</v>
      </c>
      <c r="H962" t="str">
        <f>_xll.BDP("358776QL Muni","ISSUE_DT")</f>
        <v>6/1/2017</v>
      </c>
      <c r="I962" t="str">
        <f>_xll.BDS("358776QL Muni","MUNI_PURPOSE_SCHED", "aggregate=y")</f>
        <v>WATER UTILITY IMPS. SEWER IMPS.</v>
      </c>
      <c r="J962">
        <f>_xll.BDP("358776QL Muni","CPN")</f>
        <v>4</v>
      </c>
      <c r="K962" t="str">
        <f>_xll.BDP("358776QL Muni","MATURITY")</f>
        <v>2/15/2024</v>
      </c>
      <c r="L962">
        <v>620000</v>
      </c>
      <c r="M962">
        <f>_xll.BDP("358776QL Muni","YIELD_ON_ISSUE_DATE")</f>
        <v>1.59</v>
      </c>
      <c r="N962">
        <f>_xll.BDP("358776QL Muni","YTW_SPREAD_TO_MATURITY_AT_ISSU")</f>
        <v>14.363876315379898</v>
      </c>
      <c r="O962" t="str">
        <f>_xll.BDP("358776QL Muni","BVAL_MID_YTM")</f>
        <v>#N/A Authorization</v>
      </c>
      <c r="P962" t="str">
        <f>_xll.BDP("358776QL Muni","MUNI_TAX_PROV")</f>
        <v>FED TAX-EXEMPT</v>
      </c>
      <c r="Q962" t="str">
        <f>_xll.BDP("358776QL Muni","MUNI_FED_TAX")</f>
        <v>N</v>
      </c>
      <c r="R962">
        <f>_xll.BDP("358776QL Muni","MUNI_MSRB_VOLUME")</f>
        <v>125000</v>
      </c>
      <c r="S962" t="str">
        <f>_xll.BDP("358776QL Muni","BB_COMPOSITE")</f>
        <v>AAA</v>
      </c>
      <c r="T962">
        <f>_xll.BDP("358776QL Muni","LQA_LIQUIDITY_SCORE")</f>
        <v>85</v>
      </c>
    </row>
    <row r="963" spans="1:20" x14ac:dyDescent="0.25">
      <c r="A963" t="str">
        <f>_xll.BDP("358776QM Muni","ID_CUSIP")</f>
        <v>358776QM7</v>
      </c>
      <c r="B963" t="s">
        <v>311</v>
      </c>
      <c r="C963" t="str">
        <f>_xll.BDP("358776QM Muni","INSURANCE_STATUS")</f>
        <v>N</v>
      </c>
      <c r="D963" t="str">
        <f>_xll.BDP("358776QM Muni","STATE_CODE")</f>
        <v>TX</v>
      </c>
      <c r="E963" t="str">
        <f>_xll.BDP("358776QM Muni","COUNTY_LOCATION_ISSUER")</f>
        <v>Collin, TX</v>
      </c>
      <c r="F963">
        <f>_xll.BDP("358776QM Muni","DUR_ADJ_MID")</f>
        <v>2.3779391067044924</v>
      </c>
      <c r="G963">
        <f>_xll.BDP("358776QM Muni","SPREAD_AT_ISSUANCE_TO_WORST")</f>
        <v>13.764253130241544</v>
      </c>
      <c r="H963" t="str">
        <f>_xll.BDP("358776QM Muni","ISSUE_DT")</f>
        <v>6/1/2017</v>
      </c>
      <c r="I963" t="str">
        <f>_xll.BDS("358776QM Muni","MUNI_PURPOSE_SCHED", "aggregate=y")</f>
        <v>WATER UTILITY IMPS. SEWER IMPS.</v>
      </c>
      <c r="J963">
        <f>_xll.BDP("358776QM Muni","CPN")</f>
        <v>4</v>
      </c>
      <c r="K963" t="str">
        <f>_xll.BDP("358776QM Muni","MATURITY")</f>
        <v>2/15/2025</v>
      </c>
      <c r="L963">
        <v>645000</v>
      </c>
      <c r="M963">
        <f>_xll.BDP("358776QM Muni","YIELD_ON_ISSUE_DATE")</f>
        <v>1.73</v>
      </c>
      <c r="N963">
        <f>_xll.BDP("358776QM Muni","YTW_SPREAD_TO_MATURITY_AT_ISSU")</f>
        <v>13.764253130241544</v>
      </c>
      <c r="O963" t="str">
        <f>_xll.BDP("358776QM Muni","BVAL_MID_YTM")</f>
        <v>#N/A Authorization</v>
      </c>
      <c r="P963" t="str">
        <f>_xll.BDP("358776QM Muni","MUNI_TAX_PROV")</f>
        <v>FED TAX-EXEMPT</v>
      </c>
      <c r="Q963" t="str">
        <f>_xll.BDP("358776QM Muni","MUNI_FED_TAX")</f>
        <v>N</v>
      </c>
      <c r="R963" t="str">
        <f>_xll.BDP("358776QM Muni","MUNI_MSRB_VOLUME")</f>
        <v>#N/A N/A</v>
      </c>
      <c r="S963" t="str">
        <f>_xll.BDP("358776QM Muni","BB_COMPOSITE")</f>
        <v>AAA</v>
      </c>
      <c r="T963">
        <f>_xll.BDP("358776QM Muni","LQA_LIQUIDITY_SCORE")</f>
        <v>78</v>
      </c>
    </row>
    <row r="964" spans="1:20" x14ac:dyDescent="0.25">
      <c r="A964" t="str">
        <f>_xll.BDP("358776QN Muni","ID_CUSIP")</f>
        <v>358776QN5</v>
      </c>
      <c r="B964" t="s">
        <v>311</v>
      </c>
      <c r="C964" t="str">
        <f>_xll.BDP("358776QN Muni","INSURANCE_STATUS")</f>
        <v>N</v>
      </c>
      <c r="D964" t="str">
        <f>_xll.BDP("358776QN Muni","STATE_CODE")</f>
        <v>TX</v>
      </c>
      <c r="E964" t="str">
        <f>_xll.BDP("358776QN Muni","COUNTY_LOCATION_ISSUER")</f>
        <v>Collin, TX</v>
      </c>
      <c r="F964">
        <f>_xll.BDP("358776QN Muni","DUR_ADJ_MID")</f>
        <v>3.2554147065867154</v>
      </c>
      <c r="G964">
        <f>_xll.BDP("358776QN Muni","SPREAD_AT_ISSUANCE_TO_WORST")</f>
        <v>20.989543184413172</v>
      </c>
      <c r="H964" t="str">
        <f>_xll.BDP("358776QN Muni","ISSUE_DT")</f>
        <v>6/1/2017</v>
      </c>
      <c r="I964" t="str">
        <f>_xll.BDS("358776QN Muni","MUNI_PURPOSE_SCHED", "aggregate=y")</f>
        <v>WATER UTILITY IMPS. SEWER IMPS.</v>
      </c>
      <c r="J964">
        <f>_xll.BDP("358776QN Muni","CPN")</f>
        <v>4</v>
      </c>
      <c r="K964" t="str">
        <f>_xll.BDP("358776QN Muni","MATURITY")</f>
        <v>2/15/2026</v>
      </c>
      <c r="L964">
        <v>670000</v>
      </c>
      <c r="M964">
        <f>_xll.BDP("358776QN Muni","YIELD_ON_ISSUE_DATE")</f>
        <v>1.94</v>
      </c>
      <c r="N964">
        <f>_xll.BDP("358776QN Muni","YTW_SPREAD_TO_MATURITY_AT_ISSU")</f>
        <v>20.989543184413172</v>
      </c>
      <c r="O964" t="str">
        <f>_xll.BDP("358776QN Muni","BVAL_MID_YTM")</f>
        <v>#N/A Authorization</v>
      </c>
      <c r="P964" t="str">
        <f>_xll.BDP("358776QN Muni","MUNI_TAX_PROV")</f>
        <v>FED TAX-EXEMPT</v>
      </c>
      <c r="Q964" t="str">
        <f>_xll.BDP("358776QN Muni","MUNI_FED_TAX")</f>
        <v>N</v>
      </c>
      <c r="R964" t="str">
        <f>_xll.BDP("358776QN Muni","MUNI_MSRB_VOLUME")</f>
        <v>#N/A N/A</v>
      </c>
      <c r="S964" t="str">
        <f>_xll.BDP("358776QN Muni","BB_COMPOSITE")</f>
        <v>AAA</v>
      </c>
      <c r="T964">
        <f>_xll.BDP("358776QN Muni","LQA_LIQUIDITY_SCORE")</f>
        <v>71</v>
      </c>
    </row>
    <row r="965" spans="1:20" x14ac:dyDescent="0.25">
      <c r="A965" t="str">
        <f>_xll.BDP("358776QP Muni","ID_CUSIP")</f>
        <v>358776QP0</v>
      </c>
      <c r="B965" t="s">
        <v>311</v>
      </c>
      <c r="C965" t="str">
        <f>_xll.BDP("358776QP Muni","INSURANCE_STATUS")</f>
        <v>N</v>
      </c>
      <c r="D965" t="str">
        <f>_xll.BDP("358776QP Muni","STATE_CODE")</f>
        <v>TX</v>
      </c>
      <c r="E965" t="str">
        <f>_xll.BDP("358776QP Muni","COUNTY_LOCATION_ISSUER")</f>
        <v>Collin, TX</v>
      </c>
      <c r="F965">
        <f>_xll.BDP("358776QP Muni","DUR_ADJ_MID")</f>
        <v>4.1022132120987456</v>
      </c>
      <c r="G965">
        <f>_xll.BDP("358776QP Muni","SPREAD_AT_ISSUANCE_TO_WORST")</f>
        <v>24.35693457892414</v>
      </c>
      <c r="H965" t="str">
        <f>_xll.BDP("358776QP Muni","ISSUE_DT")</f>
        <v>6/1/2017</v>
      </c>
      <c r="I965" t="str">
        <f>_xll.BDS("358776QP Muni","MUNI_PURPOSE_SCHED", "aggregate=y")</f>
        <v>WATER UTILITY IMPS. SEWER IMPS.</v>
      </c>
      <c r="J965">
        <f>_xll.BDP("358776QP Muni","CPN")</f>
        <v>4</v>
      </c>
      <c r="K965" t="str">
        <f>_xll.BDP("358776QP Muni","MATURITY")</f>
        <v>2/15/2027</v>
      </c>
      <c r="L965">
        <v>695000</v>
      </c>
      <c r="M965">
        <f>_xll.BDP("358776QP Muni","YIELD_ON_ISSUE_DATE")</f>
        <v>2.09</v>
      </c>
      <c r="N965">
        <f>_xll.BDP("358776QP Muni","YTW_SPREAD_TO_MATURITY_AT_ISSU")</f>
        <v>24.35693457892414</v>
      </c>
      <c r="O965" t="str">
        <f>_xll.BDP("358776QP Muni","BVAL_MID_YTM")</f>
        <v>#N/A Authorization</v>
      </c>
      <c r="P965" t="str">
        <f>_xll.BDP("358776QP Muni","MUNI_TAX_PROV")</f>
        <v>FED TAX-EXEMPT</v>
      </c>
      <c r="Q965" t="str">
        <f>_xll.BDP("358776QP Muni","MUNI_FED_TAX")</f>
        <v>N</v>
      </c>
      <c r="R965" t="str">
        <f>_xll.BDP("358776QP Muni","MUNI_MSRB_VOLUME")</f>
        <v>#N/A N/A</v>
      </c>
      <c r="S965" t="str">
        <f>_xll.BDP("358776QP Muni","BB_COMPOSITE")</f>
        <v>AAA</v>
      </c>
      <c r="T965">
        <f>_xll.BDP("358776QP Muni","LQA_LIQUIDITY_SCORE")</f>
        <v>64</v>
      </c>
    </row>
    <row r="966" spans="1:20" x14ac:dyDescent="0.25">
      <c r="A966" t="str">
        <f>_xll.BDP("359863EB Muni","ID_CUSIP")</f>
        <v>359863EB9</v>
      </c>
      <c r="B966" t="s">
        <v>312</v>
      </c>
      <c r="C966" t="str">
        <f>_xll.BDP("359863EB Muni","INSURANCE_STATUS")</f>
        <v>Y</v>
      </c>
      <c r="D966" t="str">
        <f>_xll.BDP("359863EB Muni","STATE_CODE")</f>
        <v>TX</v>
      </c>
      <c r="E966" t="str">
        <f>_xll.BDP("359863EB Muni","COUNTY_LOCATION_ISSUER")</f>
        <v>Fort Bend, TX</v>
      </c>
      <c r="F966">
        <f>_xll.BDP("359863EB Muni","DUR_ADJ_MID")</f>
        <v>8.0457155668308272E-2</v>
      </c>
      <c r="G966">
        <f>_xll.BDP("359863EB Muni","SPREAD_AT_ISSUANCE_TO_WORST")</f>
        <v>53.310884931506841</v>
      </c>
      <c r="H966" t="str">
        <f>_xll.BDP("359863EB Muni","ISSUE_DT")</f>
        <v>11/1/2017</v>
      </c>
      <c r="I966" t="str">
        <f>_xll.BDS("359863EB Muni","MUNI_PURPOSE_SCHED", "aggregate=y")</f>
        <v>WATER UTILITY IMPS. SEWER IMPS. PROPERTY ACQUISITION</v>
      </c>
      <c r="J966">
        <f>_xll.BDP("359863EB Muni","CPN")</f>
        <v>4.5</v>
      </c>
      <c r="K966" t="str">
        <f>_xll.BDP("359863EB Muni","MATURITY")</f>
        <v>9/1/2022</v>
      </c>
      <c r="L966">
        <v>145000</v>
      </c>
      <c r="M966">
        <f>_xll.BDP("359863EB Muni","YIELD_ON_ISSUE_DATE")</f>
        <v>1.9000000000000001</v>
      </c>
      <c r="N966">
        <f>_xll.BDP("359863EB Muni","YTW_SPREAD_TO_MATURITY_AT_ISSU")</f>
        <v>53.310884931506841</v>
      </c>
      <c r="O966" t="str">
        <f>_xll.BDP("359863EB Muni","BVAL_MID_YTM")</f>
        <v>#N/A Authorization</v>
      </c>
      <c r="P966" t="str">
        <f>_xll.BDP("359863EB Muni","MUNI_TAX_PROV")</f>
        <v>FED BQ</v>
      </c>
      <c r="Q966" t="str">
        <f>_xll.BDP("359863EB Muni","MUNI_FED_TAX")</f>
        <v>N</v>
      </c>
      <c r="R966" t="str">
        <f>_xll.BDP("359863EB Muni","MUNI_MSRB_VOLUME")</f>
        <v>#N/A N/A</v>
      </c>
      <c r="S966" t="str">
        <f>_xll.BDP("359863EB Muni","BB_COMPOSITE")</f>
        <v>AA-</v>
      </c>
      <c r="T966">
        <f>_xll.BDP("359863EB Muni","LQA_LIQUIDITY_SCORE")</f>
        <v>98</v>
      </c>
    </row>
    <row r="967" spans="1:20" x14ac:dyDescent="0.25">
      <c r="A967" t="str">
        <f>_xll.BDP("359863EC Muni","ID_CUSIP")</f>
        <v>359863EC7</v>
      </c>
      <c r="B967" t="s">
        <v>312</v>
      </c>
      <c r="C967" t="str">
        <f>_xll.BDP("359863EC Muni","INSURANCE_STATUS")</f>
        <v>Y</v>
      </c>
      <c r="D967" t="str">
        <f>_xll.BDP("359863EC Muni","STATE_CODE")</f>
        <v>TX</v>
      </c>
      <c r="E967" t="str">
        <f>_xll.BDP("359863EC Muni","COUNTY_LOCATION_ISSUER")</f>
        <v>Fort Bend, TX</v>
      </c>
      <c r="F967">
        <f>_xll.BDP("359863EC Muni","DUR_ADJ_MID")</f>
        <v>1.0374254651446344</v>
      </c>
      <c r="G967">
        <f>_xll.BDP("359863EC Muni","SPREAD_AT_ISSUANCE_TO_WORST")</f>
        <v>55.948731506849292</v>
      </c>
      <c r="H967" t="str">
        <f>_xll.BDP("359863EC Muni","ISSUE_DT")</f>
        <v>11/1/2017</v>
      </c>
      <c r="I967" t="str">
        <f>_xll.BDS("359863EC Muni","MUNI_PURPOSE_SCHED", "aggregate=y")</f>
        <v>WATER UTILITY IMPS. SEWER IMPS. PROPERTY ACQUISITION</v>
      </c>
      <c r="J967">
        <f>_xll.BDP("359863EC Muni","CPN")</f>
        <v>4.5</v>
      </c>
      <c r="K967" t="str">
        <f>_xll.BDP("359863EC Muni","MATURITY")</f>
        <v>9/1/2023</v>
      </c>
      <c r="L967">
        <v>150000</v>
      </c>
      <c r="M967">
        <f>_xll.BDP("359863EC Muni","YIELD_ON_ISSUE_DATE")</f>
        <v>2.0499999999999998</v>
      </c>
      <c r="N967">
        <f>_xll.BDP("359863EC Muni","YTW_SPREAD_TO_MATURITY_AT_ISSU")</f>
        <v>55.948731506849292</v>
      </c>
      <c r="O967" t="str">
        <f>_xll.BDP("359863EC Muni","BVAL_MID_YTM")</f>
        <v>#N/A Authorization</v>
      </c>
      <c r="P967" t="str">
        <f>_xll.BDP("359863EC Muni","MUNI_TAX_PROV")</f>
        <v>FED BQ</v>
      </c>
      <c r="Q967" t="str">
        <f>_xll.BDP("359863EC Muni","MUNI_FED_TAX")</f>
        <v>N</v>
      </c>
      <c r="R967" t="str">
        <f>_xll.BDP("359863EC Muni","MUNI_MSRB_VOLUME")</f>
        <v>#N/A N/A</v>
      </c>
      <c r="S967" t="str">
        <f>_xll.BDP("359863EC Muni","BB_COMPOSITE")</f>
        <v>AA-</v>
      </c>
      <c r="T967">
        <f>_xll.BDP("359863EC Muni","LQA_LIQUIDITY_SCORE")</f>
        <v>92</v>
      </c>
    </row>
    <row r="968" spans="1:20" x14ac:dyDescent="0.25">
      <c r="A968" t="str">
        <f>_xll.BDP("359863ED Muni","ID_CUSIP")</f>
        <v>359863ED5</v>
      </c>
      <c r="B968" t="s">
        <v>312</v>
      </c>
      <c r="C968" t="str">
        <f>_xll.BDP("359863ED Muni","INSURANCE_STATUS")</f>
        <v>Y</v>
      </c>
      <c r="D968" t="str">
        <f>_xll.BDP("359863ED Muni","STATE_CODE")</f>
        <v>TX</v>
      </c>
      <c r="E968" t="str">
        <f>_xll.BDP("359863ED Muni","COUNTY_LOCATION_ISSUER")</f>
        <v>Fort Bend, TX</v>
      </c>
      <c r="F968">
        <f>_xll.BDP("359863ED Muni","DUR_ADJ_MID")</f>
        <v>1.9796534684335181</v>
      </c>
      <c r="G968">
        <f>_xll.BDP("359863ED Muni","SPREAD_AT_ISSUANCE_TO_WORST")</f>
        <v>58.21334520547947</v>
      </c>
      <c r="H968" t="str">
        <f>_xll.BDP("359863ED Muni","ISSUE_DT")</f>
        <v>11/1/2017</v>
      </c>
      <c r="I968" t="str">
        <f>_xll.BDS("359863ED Muni","MUNI_PURPOSE_SCHED", "aggregate=y")</f>
        <v>WATER UTILITY IMPS. SEWER IMPS. PROPERTY ACQUISITION</v>
      </c>
      <c r="J968">
        <f>_xll.BDP("359863ED Muni","CPN")</f>
        <v>3.25</v>
      </c>
      <c r="K968" t="str">
        <f>_xll.BDP("359863ED Muni","MATURITY")</f>
        <v>9/1/2024</v>
      </c>
      <c r="L968">
        <v>160000</v>
      </c>
      <c r="M968">
        <f>_xll.BDP("359863ED Muni","YIELD_ON_ISSUE_DATE")</f>
        <v>2.2000000000000002</v>
      </c>
      <c r="N968">
        <f>_xll.BDP("359863ED Muni","YTW_SPREAD_TO_MATURITY_AT_ISSU")</f>
        <v>58.21334520547947</v>
      </c>
      <c r="O968" t="str">
        <f>_xll.BDP("359863ED Muni","BVAL_MID_YTM")</f>
        <v>#N/A Authorization</v>
      </c>
      <c r="P968" t="str">
        <f>_xll.BDP("359863ED Muni","MUNI_TAX_PROV")</f>
        <v>FED BQ</v>
      </c>
      <c r="Q968" t="str">
        <f>_xll.BDP("359863ED Muni","MUNI_FED_TAX")</f>
        <v>N</v>
      </c>
      <c r="R968" t="str">
        <f>_xll.BDP("359863ED Muni","MUNI_MSRB_VOLUME")</f>
        <v>#N/A N/A</v>
      </c>
      <c r="S968" t="str">
        <f>_xll.BDP("359863ED Muni","BB_COMPOSITE")</f>
        <v>AA-</v>
      </c>
      <c r="T968">
        <f>_xll.BDP("359863ED Muni","LQA_LIQUIDITY_SCORE")</f>
        <v>78</v>
      </c>
    </row>
    <row r="969" spans="1:20" x14ac:dyDescent="0.25">
      <c r="A969" t="str">
        <f>_xll.BDP("221843DD Muni","ID_CUSIP")</f>
        <v>221843DD4</v>
      </c>
      <c r="B969" t="s">
        <v>313</v>
      </c>
      <c r="C969" t="str">
        <f>_xll.BDP("221843DD Muni","INSURANCE_STATUS")</f>
        <v>Y</v>
      </c>
      <c r="D969" t="str">
        <f>_xll.BDP("221843DD Muni","STATE_CODE")</f>
        <v>TX</v>
      </c>
      <c r="E969" t="str">
        <f>_xll.BDP("221843DD Muni","COUNTY_LOCATION_ISSUER")</f>
        <v>Travis, TX</v>
      </c>
      <c r="F969">
        <f>_xll.BDP("221843DD Muni","DUR_ADJ_MID")</f>
        <v>1.0407932440577345</v>
      </c>
      <c r="G969">
        <f>_xll.BDP("221843DD Muni","SPREAD_AT_ISSUANCE_TO_WORST")</f>
        <v>59.236315068493141</v>
      </c>
      <c r="H969" t="str">
        <f>_xll.BDP("221843DD Muni","ISSUE_DT")</f>
        <v>11/14/2017</v>
      </c>
      <c r="I969" t="str">
        <f>_xll.BDS("221843DD Muni","MUNI_PURPOSE_SCHED", "aggregate=y")</f>
        <v>WATER UTILITY IMPS. SEWER IMPS.</v>
      </c>
      <c r="J969">
        <f>_xll.BDP("221843DD Muni","CPN")</f>
        <v>4</v>
      </c>
      <c r="K969" t="str">
        <f>_xll.BDP("221843DD Muni","MATURITY")</f>
        <v>9/1/2023</v>
      </c>
      <c r="L969">
        <v>155000</v>
      </c>
      <c r="M969">
        <f>_xll.BDP("221843DD Muni","YIELD_ON_ISSUE_DATE")</f>
        <v>2.0499999999999998</v>
      </c>
      <c r="N969">
        <f>_xll.BDP("221843DD Muni","YTW_SPREAD_TO_MATURITY_AT_ISSU")</f>
        <v>59.236315068493141</v>
      </c>
      <c r="O969" t="str">
        <f>_xll.BDP("221843DD Muni","BVAL_MID_YTM")</f>
        <v>#N/A Authorization</v>
      </c>
      <c r="P969" t="str">
        <f>_xll.BDP("221843DD Muni","MUNI_TAX_PROV")</f>
        <v>FED BQ</v>
      </c>
      <c r="Q969" t="str">
        <f>_xll.BDP("221843DD Muni","MUNI_FED_TAX")</f>
        <v>N</v>
      </c>
      <c r="R969" t="str">
        <f>_xll.BDP("221843DD Muni","MUNI_MSRB_VOLUME")</f>
        <v>#N/A N/A</v>
      </c>
      <c r="S969" t="str">
        <f>_xll.BDP("221843DD Muni","BB_COMPOSITE")</f>
        <v>AA-</v>
      </c>
      <c r="T969">
        <f>_xll.BDP("221843DD Muni","LQA_LIQUIDITY_SCORE")</f>
        <v>88</v>
      </c>
    </row>
    <row r="970" spans="1:20" x14ac:dyDescent="0.25">
      <c r="A970" t="str">
        <f>_xll.BDP("386168WF Muni","ID_CUSIP")</f>
        <v>386168WF1</v>
      </c>
      <c r="B970" t="s">
        <v>314</v>
      </c>
      <c r="C970" t="str">
        <f>_xll.BDP("386168WF Muni","INSURANCE_STATUS")</f>
        <v>N</v>
      </c>
      <c r="D970" t="str">
        <f>_xll.BDP("386168WF Muni","STATE_CODE")</f>
        <v>TX</v>
      </c>
      <c r="E970" t="str">
        <f>_xll.BDP("386168WF Muni","COUNTY_LOCATION_ISSUER")</f>
        <v>Dallas, TX</v>
      </c>
      <c r="F970">
        <f>_xll.BDP("386168WF Muni","DUR_ADJ_MID")</f>
        <v>0.45087070758482367</v>
      </c>
      <c r="G970">
        <f>_xll.BDP("386168WF Muni","SPREAD_AT_ISSUANCE_TO_WORST")</f>
        <v>15.486860273972614</v>
      </c>
      <c r="H970" t="str">
        <f>_xll.BDP("386168WF Muni","ISSUE_DT")</f>
        <v>10/15/2017</v>
      </c>
      <c r="I970" t="str">
        <f>_xll.BDS("386168WF Muni","MUNI_PURPOSE_SCHED", "aggregate=y")</f>
        <v>WATER UTILITY IMPS. SEWER IMPS.</v>
      </c>
      <c r="J970">
        <f>_xll.BDP("386168WF Muni","CPN")</f>
        <v>2</v>
      </c>
      <c r="K970" t="str">
        <f>_xll.BDP("386168WF Muni","MATURITY")</f>
        <v>1/15/2023</v>
      </c>
      <c r="L970">
        <v>195000</v>
      </c>
      <c r="M970">
        <f>_xll.BDP("386168WF Muni","YIELD_ON_ISSUE_DATE")</f>
        <v>1.54</v>
      </c>
      <c r="N970">
        <f>_xll.BDP("386168WF Muni","YTW_SPREAD_TO_MATURITY_AT_ISSU")</f>
        <v>15.486860273972614</v>
      </c>
      <c r="O970" t="str">
        <f>_xll.BDP("386168WF Muni","BVAL_MID_YTM")</f>
        <v>#N/A Authorization</v>
      </c>
      <c r="P970" t="str">
        <f>_xll.BDP("386168WF Muni","MUNI_TAX_PROV")</f>
        <v>FED TAX-EXEMPT</v>
      </c>
      <c r="Q970" t="str">
        <f>_xll.BDP("386168WF Muni","MUNI_FED_TAX")</f>
        <v>N</v>
      </c>
      <c r="R970" t="str">
        <f>_xll.BDP("386168WF Muni","MUNI_MSRB_VOLUME")</f>
        <v>#N/A N/A</v>
      </c>
      <c r="S970" t="str">
        <f>_xll.BDP("386168WF Muni","BB_COMPOSITE")</f>
        <v>#N/A N/A</v>
      </c>
      <c r="T970">
        <f>_xll.BDP("386168WF Muni","LQA_LIQUIDITY_SCORE")</f>
        <v>93</v>
      </c>
    </row>
    <row r="971" spans="1:20" x14ac:dyDescent="0.25">
      <c r="A971" t="str">
        <f>_xll.BDP("386168WG Muni","ID_CUSIP")</f>
        <v>386168WG9</v>
      </c>
      <c r="B971" t="s">
        <v>314</v>
      </c>
      <c r="C971" t="str">
        <f>_xll.BDP("386168WG Muni","INSURANCE_STATUS")</f>
        <v>N</v>
      </c>
      <c r="D971" t="str">
        <f>_xll.BDP("386168WG Muni","STATE_CODE")</f>
        <v>TX</v>
      </c>
      <c r="E971" t="str">
        <f>_xll.BDP("386168WG Muni","COUNTY_LOCATION_ISSUER")</f>
        <v>Dallas, TX</v>
      </c>
      <c r="F971">
        <f>_xll.BDP("386168WG Muni","DUR_ADJ_MID")</f>
        <v>1.4168073517192721</v>
      </c>
      <c r="G971">
        <f>_xll.BDP("386168WG Muni","SPREAD_AT_ISSUANCE_TO_WORST")</f>
        <v>16.545306849315054</v>
      </c>
      <c r="H971" t="str">
        <f>_xll.BDP("386168WG Muni","ISSUE_DT")</f>
        <v>10/15/2017</v>
      </c>
      <c r="I971" t="str">
        <f>_xll.BDS("386168WG Muni","MUNI_PURPOSE_SCHED", "aggregate=y")</f>
        <v>WATER UTILITY IMPS. SEWER IMPS.</v>
      </c>
      <c r="J971">
        <f>_xll.BDP("386168WG Muni","CPN")</f>
        <v>3</v>
      </c>
      <c r="K971" t="str">
        <f>_xll.BDP("386168WG Muni","MATURITY")</f>
        <v>1/15/2024</v>
      </c>
      <c r="L971">
        <v>205000</v>
      </c>
      <c r="M971">
        <f>_xll.BDP("386168WG Muni","YIELD_ON_ISSUE_DATE")</f>
        <v>1.68</v>
      </c>
      <c r="N971">
        <f>_xll.BDP("386168WG Muni","YTW_SPREAD_TO_MATURITY_AT_ISSU")</f>
        <v>16.545306849315054</v>
      </c>
      <c r="O971" t="str">
        <f>_xll.BDP("386168WG Muni","BVAL_MID_YTM")</f>
        <v>#N/A Authorization</v>
      </c>
      <c r="P971" t="str">
        <f>_xll.BDP("386168WG Muni","MUNI_TAX_PROV")</f>
        <v>FED TAX-EXEMPT</v>
      </c>
      <c r="Q971" t="str">
        <f>_xll.BDP("386168WG Muni","MUNI_FED_TAX")</f>
        <v>N</v>
      </c>
      <c r="R971">
        <f>_xll.BDP("386168WG Muni","MUNI_MSRB_VOLUME")</f>
        <v>15000</v>
      </c>
      <c r="S971" t="str">
        <f>_xll.BDP("386168WG Muni","BB_COMPOSITE")</f>
        <v>#N/A N/A</v>
      </c>
      <c r="T971">
        <f>_xll.BDP("386168WG Muni","LQA_LIQUIDITY_SCORE")</f>
        <v>78</v>
      </c>
    </row>
    <row r="972" spans="1:20" x14ac:dyDescent="0.25">
      <c r="A972" t="str">
        <f>_xll.BDP("386168WH Muni","ID_CUSIP")</f>
        <v>386168WH7</v>
      </c>
      <c r="B972" t="s">
        <v>314</v>
      </c>
      <c r="C972" t="str">
        <f>_xll.BDP("386168WH Muni","INSURANCE_STATUS")</f>
        <v>N</v>
      </c>
      <c r="D972" t="str">
        <f>_xll.BDP("386168WH Muni","STATE_CODE")</f>
        <v>TX</v>
      </c>
      <c r="E972" t="str">
        <f>_xll.BDP("386168WH Muni","COUNTY_LOCATION_ISSUER")</f>
        <v>Dallas, TX</v>
      </c>
      <c r="F972">
        <f>_xll.BDP("386168WH Muni","DUR_ADJ_MID")</f>
        <v>2.3612509103475983</v>
      </c>
      <c r="G972">
        <f>_xll.BDP("386168WH Muni","SPREAD_AT_ISSUANCE_TO_WORST")</f>
        <v>19.257723287671237</v>
      </c>
      <c r="H972" t="str">
        <f>_xll.BDP("386168WH Muni","ISSUE_DT")</f>
        <v>10/15/2017</v>
      </c>
      <c r="I972" t="str">
        <f>_xll.BDS("386168WH Muni","MUNI_PURPOSE_SCHED", "aggregate=y")</f>
        <v>WATER UTILITY IMPS. SEWER IMPS.</v>
      </c>
      <c r="J972">
        <f>_xll.BDP("386168WH Muni","CPN")</f>
        <v>3</v>
      </c>
      <c r="K972" t="str">
        <f>_xll.BDP("386168WH Muni","MATURITY")</f>
        <v>1/15/2025</v>
      </c>
      <c r="L972">
        <v>210000</v>
      </c>
      <c r="M972">
        <f>_xll.BDP("386168WH Muni","YIELD_ON_ISSUE_DATE")</f>
        <v>1.84</v>
      </c>
      <c r="N972">
        <f>_xll.BDP("386168WH Muni","YTW_SPREAD_TO_MATURITY_AT_ISSU")</f>
        <v>19.257723287671237</v>
      </c>
      <c r="O972" t="str">
        <f>_xll.BDP("386168WH Muni","BVAL_MID_YTM")</f>
        <v>#N/A Authorization</v>
      </c>
      <c r="P972" t="str">
        <f>_xll.BDP("386168WH Muni","MUNI_TAX_PROV")</f>
        <v>FED TAX-EXEMPT</v>
      </c>
      <c r="Q972" t="str">
        <f>_xll.BDP("386168WH Muni","MUNI_FED_TAX")</f>
        <v>N</v>
      </c>
      <c r="R972" t="str">
        <f>_xll.BDP("386168WH Muni","MUNI_MSRB_VOLUME")</f>
        <v>#N/A N/A</v>
      </c>
      <c r="S972" t="str">
        <f>_xll.BDP("386168WH Muni","BB_COMPOSITE")</f>
        <v>#N/A N/A</v>
      </c>
      <c r="T972">
        <f>_xll.BDP("386168WH Muni","LQA_LIQUIDITY_SCORE")</f>
        <v>61</v>
      </c>
    </row>
    <row r="973" spans="1:20" x14ac:dyDescent="0.25">
      <c r="A973" t="str">
        <f>_xll.BDP("386168WJ Muni","ID_CUSIP")</f>
        <v>386168WJ3</v>
      </c>
      <c r="B973" t="s">
        <v>314</v>
      </c>
      <c r="C973" t="str">
        <f>_xll.BDP("386168WJ Muni","INSURANCE_STATUS")</f>
        <v>N</v>
      </c>
      <c r="D973" t="str">
        <f>_xll.BDP("386168WJ Muni","STATE_CODE")</f>
        <v>TX</v>
      </c>
      <c r="E973" t="str">
        <f>_xll.BDP("386168WJ Muni","COUNTY_LOCATION_ISSUER")</f>
        <v>Dallas, TX</v>
      </c>
      <c r="F973">
        <f>_xll.BDP("386168WJ Muni","DUR_ADJ_MID")</f>
        <v>3.2755513019477487</v>
      </c>
      <c r="G973">
        <f>_xll.BDP("386168WJ Muni","SPREAD_AT_ISSUANCE_TO_WORST")</f>
        <v>22.380720547945199</v>
      </c>
      <c r="H973" t="str">
        <f>_xll.BDP("386168WJ Muni","ISSUE_DT")</f>
        <v>10/15/2017</v>
      </c>
      <c r="I973" t="str">
        <f>_xll.BDS("386168WJ Muni","MUNI_PURPOSE_SCHED", "aggregate=y")</f>
        <v>WATER UTILITY IMPS. SEWER IMPS.</v>
      </c>
      <c r="J973">
        <f>_xll.BDP("386168WJ Muni","CPN")</f>
        <v>3</v>
      </c>
      <c r="K973" t="str">
        <f>_xll.BDP("386168WJ Muni","MATURITY")</f>
        <v>1/15/2026</v>
      </c>
      <c r="L973">
        <v>220000</v>
      </c>
      <c r="M973">
        <f>_xll.BDP("386168WJ Muni","YIELD_ON_ISSUE_DATE")</f>
        <v>2</v>
      </c>
      <c r="N973">
        <f>_xll.BDP("386168WJ Muni","YTW_SPREAD_TO_MATURITY_AT_ISSU")</f>
        <v>22.380720547945199</v>
      </c>
      <c r="O973" t="str">
        <f>_xll.BDP("386168WJ Muni","BVAL_MID_YTM")</f>
        <v>#N/A Authorization</v>
      </c>
      <c r="P973" t="str">
        <f>_xll.BDP("386168WJ Muni","MUNI_TAX_PROV")</f>
        <v>FED TAX-EXEMPT</v>
      </c>
      <c r="Q973" t="str">
        <f>_xll.BDP("386168WJ Muni","MUNI_FED_TAX")</f>
        <v>N</v>
      </c>
      <c r="R973" t="str">
        <f>_xll.BDP("386168WJ Muni","MUNI_MSRB_VOLUME")</f>
        <v>#N/A N/A</v>
      </c>
      <c r="S973" t="str">
        <f>_xll.BDP("386168WJ Muni","BB_COMPOSITE")</f>
        <v>#N/A N/A</v>
      </c>
      <c r="T973">
        <f>_xll.BDP("386168WJ Muni","LQA_LIQUIDITY_SCORE")</f>
        <v>47</v>
      </c>
    </row>
    <row r="974" spans="1:20" x14ac:dyDescent="0.25">
      <c r="A974" t="str">
        <f>_xll.BDP("386168WK Muni","ID_CUSIP")</f>
        <v>386168WK0</v>
      </c>
      <c r="B974" t="s">
        <v>314</v>
      </c>
      <c r="C974" t="str">
        <f>_xll.BDP("386168WK Muni","INSURANCE_STATUS")</f>
        <v>N</v>
      </c>
      <c r="D974" t="str">
        <f>_xll.BDP("386168WK Muni","STATE_CODE")</f>
        <v>TX</v>
      </c>
      <c r="E974" t="str">
        <f>_xll.BDP("386168WK Muni","COUNTY_LOCATION_ISSUER")</f>
        <v>Dallas, TX</v>
      </c>
      <c r="F974">
        <f>_xll.BDP("386168WK Muni","DUR_ADJ_MID")</f>
        <v>4.1637402738837137</v>
      </c>
      <c r="G974">
        <f>_xll.BDP("386168WK Muni","SPREAD_AT_ISSUANCE_TO_WORST")</f>
        <v>23.377591780821927</v>
      </c>
      <c r="H974" t="str">
        <f>_xll.BDP("386168WK Muni","ISSUE_DT")</f>
        <v>10/15/2017</v>
      </c>
      <c r="I974" t="str">
        <f>_xll.BDS("386168WK Muni","MUNI_PURPOSE_SCHED", "aggregate=y")</f>
        <v>WATER UTILITY IMPS. SEWER IMPS.</v>
      </c>
      <c r="J974">
        <f>_xll.BDP("386168WK Muni","CPN")</f>
        <v>3</v>
      </c>
      <c r="K974" t="str">
        <f>_xll.BDP("386168WK Muni","MATURITY")</f>
        <v>1/15/2027</v>
      </c>
      <c r="L974">
        <v>225000</v>
      </c>
      <c r="M974">
        <f>_xll.BDP("386168WK Muni","YIELD_ON_ISSUE_DATE")</f>
        <v>2.12</v>
      </c>
      <c r="N974">
        <f>_xll.BDP("386168WK Muni","YTW_SPREAD_TO_MATURITY_AT_ISSU")</f>
        <v>23.377591780821927</v>
      </c>
      <c r="O974" t="str">
        <f>_xll.BDP("386168WK Muni","BVAL_MID_YTM")</f>
        <v>#N/A Authorization</v>
      </c>
      <c r="P974" t="str">
        <f>_xll.BDP("386168WK Muni","MUNI_TAX_PROV")</f>
        <v>FED TAX-EXEMPT</v>
      </c>
      <c r="Q974" t="str">
        <f>_xll.BDP("386168WK Muni","MUNI_FED_TAX")</f>
        <v>N</v>
      </c>
      <c r="R974" t="str">
        <f>_xll.BDP("386168WK Muni","MUNI_MSRB_VOLUME")</f>
        <v>#N/A N/A</v>
      </c>
      <c r="S974" t="str">
        <f>_xll.BDP("386168WK Muni","BB_COMPOSITE")</f>
        <v>#N/A N/A</v>
      </c>
      <c r="T974">
        <f>_xll.BDP("386168WK Muni","LQA_LIQUIDITY_SCORE")</f>
        <v>38</v>
      </c>
    </row>
    <row r="975" spans="1:20" x14ac:dyDescent="0.25">
      <c r="A975" t="str">
        <f>_xll.BDP("414511FJ Muni","ID_CUSIP")</f>
        <v>414511FJ9</v>
      </c>
      <c r="B975" t="s">
        <v>315</v>
      </c>
      <c r="C975" t="str">
        <f>_xll.BDP("414511FJ Muni","INSURANCE_STATUS")</f>
        <v>Y</v>
      </c>
      <c r="D975" t="str">
        <f>_xll.BDP("414511FJ Muni","STATE_CODE")</f>
        <v>TX</v>
      </c>
      <c r="E975" t="str">
        <f>_xll.BDP("414511FJ Muni","COUNTY_LOCATION_ISSUER")</f>
        <v>Harris, TX</v>
      </c>
      <c r="F975">
        <f>_xll.BDP("414511FJ Muni","DUR_ADJ_MID")</f>
        <v>0.56992584653255329</v>
      </c>
      <c r="G975">
        <f>_xll.BDP("414511FJ Muni","SPREAD_AT_ISSUANCE_TO_WORST")</f>
        <v>42.964589979274415</v>
      </c>
      <c r="H975" t="str">
        <f>_xll.BDP("414511FJ Muni","ISSUE_DT")</f>
        <v>4/1/2017</v>
      </c>
      <c r="I975" t="str">
        <f>_xll.BDS("414511FJ Muni","MUNI_PURPOSE_SCHED", "aggregate=y")</f>
        <v>WATER UTILITY IMPS. SEWER IMPS.</v>
      </c>
      <c r="J975">
        <f>_xll.BDP("414511FJ Muni","CPN")</f>
        <v>2.2999999999999998</v>
      </c>
      <c r="K975" t="str">
        <f>_xll.BDP("414511FJ Muni","MATURITY")</f>
        <v>3/1/2023</v>
      </c>
      <c r="L975">
        <v>235000</v>
      </c>
      <c r="M975">
        <f>_xll.BDP("414511FJ Muni","YIELD_ON_ISSUE_DATE")</f>
        <v>2.3000000000000003</v>
      </c>
      <c r="N975">
        <f>_xll.BDP("414511FJ Muni","YTW_SPREAD_TO_MATURITY_AT_ISSU")</f>
        <v>42.964589979274415</v>
      </c>
      <c r="O975" t="str">
        <f>_xll.BDP("414511FJ Muni","BVAL_MID_YTM")</f>
        <v>#N/A Authorization</v>
      </c>
      <c r="P975" t="str">
        <f>_xll.BDP("414511FJ Muni","MUNI_TAX_PROV")</f>
        <v>FED BQ</v>
      </c>
      <c r="Q975" t="str">
        <f>_xll.BDP("414511FJ Muni","MUNI_FED_TAX")</f>
        <v>N</v>
      </c>
      <c r="R975" t="str">
        <f>_xll.BDP("414511FJ Muni","MUNI_MSRB_VOLUME")</f>
        <v>#N/A N/A</v>
      </c>
      <c r="S975" t="str">
        <f>_xll.BDP("414511FJ Muni","BB_COMPOSITE")</f>
        <v>#N/A N/A</v>
      </c>
      <c r="T975">
        <f>_xll.BDP("414511FJ Muni","LQA_LIQUIDITY_SCORE")</f>
        <v>94</v>
      </c>
    </row>
    <row r="976" spans="1:20" x14ac:dyDescent="0.25">
      <c r="A976" t="str">
        <f>_xll.BDP("414513JR Muni","ID_CUSIP")</f>
        <v>414513JR3</v>
      </c>
      <c r="B976" t="s">
        <v>316</v>
      </c>
      <c r="C976" t="str">
        <f>_xll.BDP("414513JR Muni","INSURANCE_STATUS")</f>
        <v>Y</v>
      </c>
      <c r="D976" t="str">
        <f>_xll.BDP("414513JR Muni","STATE_CODE")</f>
        <v>TX</v>
      </c>
      <c r="E976" t="str">
        <f>_xll.BDP("414513JR Muni","COUNTY_LOCATION_ISSUER")</f>
        <v>Harris, TX</v>
      </c>
      <c r="F976">
        <f>_xll.BDP("414513JR Muni","DUR_ADJ_MID")</f>
        <v>0.16357644672732319</v>
      </c>
      <c r="G976">
        <f>_xll.BDP("414513JR Muni","SPREAD_AT_ISSUANCE_TO_WORST")</f>
        <v>35.757327902348599</v>
      </c>
      <c r="H976" t="str">
        <f>_xll.BDP("414513JR Muni","ISSUE_DT")</f>
        <v>9/1/2017</v>
      </c>
      <c r="I976" t="str">
        <f>_xll.BDS("414513JR Muni","MUNI_PURPOSE_SCHED", "aggregate=y")</f>
        <v>WATER UTILITY IMPS. SEWER IMPS.</v>
      </c>
      <c r="J976">
        <f>_xll.BDP("414513JR Muni","CPN")</f>
        <v>4</v>
      </c>
      <c r="K976" t="str">
        <f>_xll.BDP("414513JR Muni","MATURITY")</f>
        <v>10/1/2022</v>
      </c>
      <c r="L976">
        <v>100000</v>
      </c>
      <c r="M976">
        <f>_xll.BDP("414513JR Muni","YIELD_ON_ISSUE_DATE")</f>
        <v>1.5</v>
      </c>
      <c r="N976">
        <f>_xll.BDP("414513JR Muni","YTW_SPREAD_TO_MATURITY_AT_ISSU")</f>
        <v>35.757327902348599</v>
      </c>
      <c r="O976" t="str">
        <f>_xll.BDP("414513JR Muni","BVAL_MID_YTM")</f>
        <v>#N/A Authorization</v>
      </c>
      <c r="P976" t="str">
        <f>_xll.BDP("414513JR Muni","MUNI_TAX_PROV")</f>
        <v>FED BQ</v>
      </c>
      <c r="Q976" t="str">
        <f>_xll.BDP("414513JR Muni","MUNI_FED_TAX")</f>
        <v>N</v>
      </c>
      <c r="R976">
        <f>_xll.BDP("414513JR Muni","MUNI_MSRB_VOLUME")</f>
        <v>75000</v>
      </c>
      <c r="S976" t="str">
        <f>_xll.BDP("414513JR Muni","BB_COMPOSITE")</f>
        <v>#N/A N/A</v>
      </c>
      <c r="T976">
        <f>_xll.BDP("414513JR Muni","LQA_LIQUIDITY_SCORE")</f>
        <v>99</v>
      </c>
    </row>
    <row r="977" spans="1:20" x14ac:dyDescent="0.25">
      <c r="A977" t="str">
        <f>_xll.BDP("414513JT Muni","ID_CUSIP")</f>
        <v>414513JT9</v>
      </c>
      <c r="B977" t="s">
        <v>316</v>
      </c>
      <c r="C977" t="str">
        <f>_xll.BDP("414513JT Muni","INSURANCE_STATUS")</f>
        <v>Y</v>
      </c>
      <c r="D977" t="str">
        <f>_xll.BDP("414513JT Muni","STATE_CODE")</f>
        <v>TX</v>
      </c>
      <c r="E977" t="str">
        <f>_xll.BDP("414513JT Muni","COUNTY_LOCATION_ISSUER")</f>
        <v>Harris, TX</v>
      </c>
      <c r="F977">
        <f>_xll.BDP("414513JT Muni","DUR_ADJ_MID")</f>
        <v>2.0713627154858947</v>
      </c>
      <c r="G977">
        <f>_xll.BDP("414513JT Muni","SPREAD_AT_ISSUANCE_TO_WORST")</f>
        <v>40.678710296009356</v>
      </c>
      <c r="H977" t="str">
        <f>_xll.BDP("414513JT Muni","ISSUE_DT")</f>
        <v>9/1/2017</v>
      </c>
      <c r="I977" t="str">
        <f>_xll.BDS("414513JT Muni","MUNI_PURPOSE_SCHED", "aggregate=y")</f>
        <v>WATER UTILITY IMPS. SEWER IMPS.</v>
      </c>
      <c r="J977">
        <f>_xll.BDP("414513JT Muni","CPN")</f>
        <v>3</v>
      </c>
      <c r="K977" t="str">
        <f>_xll.BDP("414513JT Muni","MATURITY")</f>
        <v>10/1/2024</v>
      </c>
      <c r="L977">
        <v>100000</v>
      </c>
      <c r="M977">
        <f>_xll.BDP("414513JT Muni","YIELD_ON_ISSUE_DATE")</f>
        <v>1.85</v>
      </c>
      <c r="N977">
        <f>_xll.BDP("414513JT Muni","YTW_SPREAD_TO_MATURITY_AT_ISSU")</f>
        <v>40.678710296009356</v>
      </c>
      <c r="O977" t="str">
        <f>_xll.BDP("414513JT Muni","BVAL_MID_YTM")</f>
        <v>#N/A Authorization</v>
      </c>
      <c r="P977" t="str">
        <f>_xll.BDP("414513JT Muni","MUNI_TAX_PROV")</f>
        <v>FED BQ</v>
      </c>
      <c r="Q977" t="str">
        <f>_xll.BDP("414513JT Muni","MUNI_FED_TAX")</f>
        <v>N</v>
      </c>
      <c r="R977" t="str">
        <f>_xll.BDP("414513JT Muni","MUNI_MSRB_VOLUME")</f>
        <v>#N/A N/A</v>
      </c>
      <c r="S977" t="str">
        <f>_xll.BDP("414513JT Muni","BB_COMPOSITE")</f>
        <v>#N/A N/A</v>
      </c>
      <c r="T977">
        <f>_xll.BDP("414513JT Muni","LQA_LIQUIDITY_SCORE")</f>
        <v>82</v>
      </c>
    </row>
    <row r="978" spans="1:20" x14ac:dyDescent="0.25">
      <c r="A978" t="str">
        <f>_xll.BDP("414521DG Muni","ID_CUSIP")</f>
        <v>414521DG6</v>
      </c>
      <c r="B978" t="s">
        <v>317</v>
      </c>
      <c r="C978" t="str">
        <f>_xll.BDP("414521DG Muni","INSURANCE_STATUS")</f>
        <v>Y</v>
      </c>
      <c r="D978" t="str">
        <f>_xll.BDP("414521DG Muni","STATE_CODE")</f>
        <v>TX</v>
      </c>
      <c r="E978" t="str">
        <f>_xll.BDP("414521DG Muni","COUNTY_LOCATION_ISSUER")</f>
        <v>Harris, TX</v>
      </c>
      <c r="F978">
        <f>_xll.BDP("414521DG Muni","DUR_ADJ_MID")</f>
        <v>1.0536543264299616</v>
      </c>
      <c r="G978">
        <f>_xll.BDP("414521DG Muni","SPREAD_AT_ISSUANCE_TO_WORST")</f>
        <v>48.199232605977961</v>
      </c>
      <c r="H978" t="str">
        <f>_xll.BDP("414521DG Muni","ISSUE_DT")</f>
        <v>2/1/2017</v>
      </c>
      <c r="I978" t="str">
        <f>_xll.BDS("414521DG Muni","MUNI_PURPOSE_SCHED", "aggregate=y")</f>
        <v>WATER UTILITY IMPS. SEWER IMPS.</v>
      </c>
      <c r="J978">
        <f>_xll.BDP("414521DG Muni","CPN")</f>
        <v>2.25</v>
      </c>
      <c r="K978" t="str">
        <f>_xll.BDP("414521DG Muni","MATURITY")</f>
        <v>9/1/2023</v>
      </c>
      <c r="L978">
        <v>105000</v>
      </c>
      <c r="M978">
        <f>_xll.BDP("414521DG Muni","YIELD_ON_ISSUE_DATE")</f>
        <v>2.4000000000000004</v>
      </c>
      <c r="N978">
        <f>_xll.BDP("414521DG Muni","YTW_SPREAD_TO_MATURITY_AT_ISSU")</f>
        <v>48.199232605977961</v>
      </c>
      <c r="O978" t="str">
        <f>_xll.BDP("414521DG Muni","BVAL_MID_YTM")</f>
        <v>#N/A Authorization</v>
      </c>
      <c r="P978" t="str">
        <f>_xll.BDP("414521DG Muni","MUNI_TAX_PROV")</f>
        <v>FED BQ</v>
      </c>
      <c r="Q978" t="str">
        <f>_xll.BDP("414521DG Muni","MUNI_FED_TAX")</f>
        <v>N</v>
      </c>
      <c r="R978" t="str">
        <f>_xll.BDP("414521DG Muni","MUNI_MSRB_VOLUME")</f>
        <v>#N/A N/A</v>
      </c>
      <c r="S978" t="str">
        <f>_xll.BDP("414521DG Muni","BB_COMPOSITE")</f>
        <v>#N/A N/A</v>
      </c>
      <c r="T978">
        <f>_xll.BDP("414521DG Muni","LQA_LIQUIDITY_SCORE")</f>
        <v>77</v>
      </c>
    </row>
    <row r="979" spans="1:20" x14ac:dyDescent="0.25">
      <c r="A979" t="str">
        <f>_xll.BDP("414521DH Muni","ID_CUSIP")</f>
        <v>414521DH4</v>
      </c>
      <c r="B979" t="s">
        <v>317</v>
      </c>
      <c r="C979" t="str">
        <f>_xll.BDP("414521DH Muni","INSURANCE_STATUS")</f>
        <v>Y</v>
      </c>
      <c r="D979" t="str">
        <f>_xll.BDP("414521DH Muni","STATE_CODE")</f>
        <v>TX</v>
      </c>
      <c r="E979" t="str">
        <f>_xll.BDP("414521DH Muni","COUNTY_LOCATION_ISSUER")</f>
        <v>Harris, TX</v>
      </c>
      <c r="F979">
        <f>_xll.BDP("414521DH Muni","DUR_ADJ_MID")</f>
        <v>2.0036149570922803</v>
      </c>
      <c r="G979">
        <f>_xll.BDP("414521DH Muni","SPREAD_AT_ISSUANCE_TO_WORST")</f>
        <v>49.65179946225939</v>
      </c>
      <c r="H979" t="str">
        <f>_xll.BDP("414521DH Muni","ISSUE_DT")</f>
        <v>2/1/2017</v>
      </c>
      <c r="I979" t="str">
        <f>_xll.BDS("414521DH Muni","MUNI_PURPOSE_SCHED", "aggregate=y")</f>
        <v>WATER UTILITY IMPS. SEWER IMPS.</v>
      </c>
      <c r="J979">
        <f>_xll.BDP("414521DH Muni","CPN")</f>
        <v>2.25</v>
      </c>
      <c r="K979" t="str">
        <f>_xll.BDP("414521DH Muni","MATURITY")</f>
        <v>9/1/2024</v>
      </c>
      <c r="L979">
        <v>110000</v>
      </c>
      <c r="M979">
        <f>_xll.BDP("414521DH Muni","YIELD_ON_ISSUE_DATE")</f>
        <v>2.5500000000000003</v>
      </c>
      <c r="N979">
        <f>_xll.BDP("414521DH Muni","YTW_SPREAD_TO_MATURITY_AT_ISSU")</f>
        <v>49.65179946225939</v>
      </c>
      <c r="O979" t="str">
        <f>_xll.BDP("414521DH Muni","BVAL_MID_YTM")</f>
        <v>#N/A Authorization</v>
      </c>
      <c r="P979" t="str">
        <f>_xll.BDP("414521DH Muni","MUNI_TAX_PROV")</f>
        <v>FED BQ</v>
      </c>
      <c r="Q979" t="str">
        <f>_xll.BDP("414521DH Muni","MUNI_FED_TAX")</f>
        <v>N</v>
      </c>
      <c r="R979" t="str">
        <f>_xll.BDP("414521DH Muni","MUNI_MSRB_VOLUME")</f>
        <v>#N/A N/A</v>
      </c>
      <c r="S979" t="str">
        <f>_xll.BDP("414521DH Muni","BB_COMPOSITE")</f>
        <v>#N/A N/A</v>
      </c>
      <c r="T979">
        <f>_xll.BDP("414521DH Muni","LQA_LIQUIDITY_SCORE")</f>
        <v>61</v>
      </c>
    </row>
    <row r="980" spans="1:20" x14ac:dyDescent="0.25">
      <c r="A980" t="str">
        <f>_xll.BDP("41453RCC Muni","ID_CUSIP")</f>
        <v>41453RCC8</v>
      </c>
      <c r="B980" t="s">
        <v>318</v>
      </c>
      <c r="C980" t="str">
        <f>_xll.BDP("41453RCC Muni","INSURANCE_STATUS")</f>
        <v>N</v>
      </c>
      <c r="D980" t="str">
        <f>_xll.BDP("41453RCC Muni","STATE_CODE")</f>
        <v>TX</v>
      </c>
      <c r="E980" t="str">
        <f>_xll.BDP("41453RCC Muni","COUNTY_LOCATION_ISSUER")</f>
        <v>Harris, TX</v>
      </c>
      <c r="F980">
        <f>_xll.BDP("41453RCC Muni","DUR_ADJ_MID")</f>
        <v>1.051931348864598</v>
      </c>
      <c r="G980">
        <f>_xll.BDP("41453RCC Muni","SPREAD_AT_ISSUANCE_TO_WORST")</f>
        <v>97.448569420552758</v>
      </c>
      <c r="H980" t="str">
        <f>_xll.BDP("41453RCC Muni","ISSUE_DT")</f>
        <v>8/1/2017</v>
      </c>
      <c r="I980" t="str">
        <f>_xll.BDS("41453RCC Muni","MUNI_PURPOSE_SCHED", "aggregate=y")</f>
        <v>WATER UTILITY IMPS. SEWER IMPS.</v>
      </c>
      <c r="J980">
        <f>_xll.BDP("41453RCC Muni","CPN")</f>
        <v>2.4</v>
      </c>
      <c r="K980" t="str">
        <f>_xll.BDP("41453RCC Muni","MATURITY")</f>
        <v>9/1/2023</v>
      </c>
      <c r="L980">
        <v>150000</v>
      </c>
      <c r="M980">
        <f>_xll.BDP("41453RCC Muni","YIELD_ON_ISSUE_DATE")</f>
        <v>2.5</v>
      </c>
      <c r="N980">
        <f>_xll.BDP("41453RCC Muni","YTW_SPREAD_TO_MATURITY_AT_ISSU")</f>
        <v>97.448569420552758</v>
      </c>
      <c r="O980" t="str">
        <f>_xll.BDP("41453RCC Muni","BVAL_MID_YTM")</f>
        <v>#N/A Authorization</v>
      </c>
      <c r="P980" t="str">
        <f>_xll.BDP("41453RCC Muni","MUNI_TAX_PROV")</f>
        <v>FED BQ</v>
      </c>
      <c r="Q980" t="str">
        <f>_xll.BDP("41453RCC Muni","MUNI_FED_TAX")</f>
        <v>N</v>
      </c>
      <c r="R980" t="str">
        <f>_xll.BDP("41453RCC Muni","MUNI_MSRB_VOLUME")</f>
        <v>#N/A N/A</v>
      </c>
      <c r="S980" t="str">
        <f>_xll.BDP("41453RCC Muni","BB_COMPOSITE")</f>
        <v>#N/A N/A</v>
      </c>
      <c r="T980">
        <f>_xll.BDP("41453RCC Muni","LQA_LIQUIDITY_SCORE")</f>
        <v>79</v>
      </c>
    </row>
    <row r="981" spans="1:20" x14ac:dyDescent="0.25">
      <c r="A981" t="str">
        <f>_xll.BDP("41453TBH Muni","ID_CUSIP")</f>
        <v>41453TBH4</v>
      </c>
      <c r="B981" t="s">
        <v>319</v>
      </c>
      <c r="C981" t="str">
        <f>_xll.BDP("41453TBH Muni","INSURANCE_STATUS")</f>
        <v>N</v>
      </c>
      <c r="D981" t="str">
        <f>_xll.BDP("41453TBH Muni","STATE_CODE")</f>
        <v>TX</v>
      </c>
      <c r="E981" t="str">
        <f>_xll.BDP("41453TBH Muni","COUNTY_LOCATION_ISSUER")</f>
        <v>Harris, TX</v>
      </c>
      <c r="F981">
        <f>_xll.BDP("41453TBH Muni","DUR_ADJ_MID")</f>
        <v>2.8948372110435909</v>
      </c>
      <c r="G981">
        <f>_xll.BDP("41453TBH Muni","SPREAD_AT_ISSUANCE_TO_WORST")</f>
        <v>118.89033220748344</v>
      </c>
      <c r="H981" t="str">
        <f>_xll.BDP("41453TBH Muni","ISSUE_DT")</f>
        <v>9/1/2017</v>
      </c>
      <c r="I981" t="str">
        <f>_xll.BDS("41453TBH Muni","MUNI_PURPOSE_SCHED", "aggregate=y")</f>
        <v>PUBLIC IMPS. WATER UTILITY IMPS.</v>
      </c>
      <c r="J981">
        <f>_xll.BDP("41453TBH Muni","CPN")</f>
        <v>3</v>
      </c>
      <c r="K981" t="str">
        <f>_xll.BDP("41453TBH Muni","MATURITY")</f>
        <v>9/1/2025</v>
      </c>
      <c r="L981">
        <v>260000</v>
      </c>
      <c r="M981">
        <f>_xll.BDP("41453TBH Muni","YIELD_ON_ISSUE_DATE")</f>
        <v>2.8000000000000003</v>
      </c>
      <c r="N981">
        <f>_xll.BDP("41453TBH Muni","YTW_SPREAD_TO_MATURITY_AT_ISSU")</f>
        <v>118.89033220748344</v>
      </c>
      <c r="O981" t="str">
        <f>_xll.BDP("41453TBH Muni","BVAL_MID_YTM")</f>
        <v>#N/A Authorization</v>
      </c>
      <c r="P981" t="str">
        <f>_xll.BDP("41453TBH Muni","MUNI_TAX_PROV")</f>
        <v>FED BQ</v>
      </c>
      <c r="Q981" t="str">
        <f>_xll.BDP("41453TBH Muni","MUNI_FED_TAX")</f>
        <v>N</v>
      </c>
      <c r="R981" t="str">
        <f>_xll.BDP("41453TBH Muni","MUNI_MSRB_VOLUME")</f>
        <v>#N/A N/A</v>
      </c>
      <c r="S981" t="str">
        <f>_xll.BDP("41453TBH Muni","BB_COMPOSITE")</f>
        <v>#N/A N/A</v>
      </c>
      <c r="T981">
        <f>_xll.BDP("41453TBH Muni","LQA_LIQUIDITY_SCORE")</f>
        <v>54</v>
      </c>
    </row>
    <row r="982" spans="1:20" x14ac:dyDescent="0.25">
      <c r="A982" t="str">
        <f>_xll.BDP("41420LMU Muni","ID_CUSIP")</f>
        <v>41420LMU0</v>
      </c>
      <c r="B982" t="s">
        <v>320</v>
      </c>
      <c r="C982" t="str">
        <f>_xll.BDP("41420LMU Muni","INSURANCE_STATUS")</f>
        <v>Y</v>
      </c>
      <c r="D982" t="str">
        <f>_xll.BDP("41420LMU Muni","STATE_CODE")</f>
        <v>TX</v>
      </c>
      <c r="E982" t="str">
        <f>_xll.BDP("41420LMU Muni","COUNTY_LOCATION_ISSUER")</f>
        <v>Harris, TX</v>
      </c>
      <c r="F982">
        <f>_xll.BDP("41420LMU Muni","DUR_ADJ_MID")</f>
        <v>0.65145730995044793</v>
      </c>
      <c r="G982">
        <f>_xll.BDP("41420LMU Muni","SPREAD_AT_ISSUANCE_TO_WORST")</f>
        <v>58.73350510136801</v>
      </c>
      <c r="H982" t="str">
        <f>_xll.BDP("41420LMU Muni","ISSUE_DT")</f>
        <v>3/1/2017</v>
      </c>
      <c r="I982" t="str">
        <f>_xll.BDS("41420LMU Muni","MUNI_PURPOSE_SCHED", "aggregate=y")</f>
        <v>WATER UTILITY IMPS. SEWER IMPS. REFUNDING NOTES</v>
      </c>
      <c r="J982">
        <f>_xll.BDP("41420LMU Muni","CPN")</f>
        <v>3</v>
      </c>
      <c r="K982" t="str">
        <f>_xll.BDP("41420LMU Muni","MATURITY")</f>
        <v>4/1/2023</v>
      </c>
      <c r="L982">
        <v>250000</v>
      </c>
      <c r="M982">
        <f>_xll.BDP("41420LMU Muni","YIELD_ON_ISSUE_DATE")</f>
        <v>2.4000000000000004</v>
      </c>
      <c r="N982">
        <f>_xll.BDP("41420LMU Muni","YTW_SPREAD_TO_MATURITY_AT_ISSU")</f>
        <v>58.73350510136801</v>
      </c>
      <c r="O982" t="str">
        <f>_xll.BDP("41420LMU Muni","BVAL_MID_YTM")</f>
        <v>#N/A Authorization</v>
      </c>
      <c r="P982" t="str">
        <f>_xll.BDP("41420LMU Muni","MUNI_TAX_PROV")</f>
        <v>FED TAX-EXEMPT</v>
      </c>
      <c r="Q982" t="str">
        <f>_xll.BDP("41420LMU Muni","MUNI_FED_TAX")</f>
        <v>N</v>
      </c>
      <c r="R982" t="str">
        <f>_xll.BDP("41420LMU Muni","MUNI_MSRB_VOLUME")</f>
        <v>#N/A N/A</v>
      </c>
      <c r="S982" t="str">
        <f>_xll.BDP("41420LMU Muni","BB_COMPOSITE")</f>
        <v>#N/A N/A</v>
      </c>
      <c r="T982">
        <f>_xll.BDP("41420LMU Muni","LQA_LIQUIDITY_SCORE")</f>
        <v>91</v>
      </c>
    </row>
    <row r="983" spans="1:20" x14ac:dyDescent="0.25">
      <c r="A983" t="str">
        <f>_xll.BDP("41420LMV Muni","ID_CUSIP")</f>
        <v>41420LMV8</v>
      </c>
      <c r="B983" t="s">
        <v>320</v>
      </c>
      <c r="C983" t="str">
        <f>_xll.BDP("41420LMV Muni","INSURANCE_STATUS")</f>
        <v>Y</v>
      </c>
      <c r="D983" t="str">
        <f>_xll.BDP("41420LMV Muni","STATE_CODE")</f>
        <v>TX</v>
      </c>
      <c r="E983" t="str">
        <f>_xll.BDP("41420LMV Muni","COUNTY_LOCATION_ISSUER")</f>
        <v>Harris, TX</v>
      </c>
      <c r="F983">
        <f>_xll.BDP("41420LMV Muni","DUR_ADJ_MID")</f>
        <v>1.6040958516691235</v>
      </c>
      <c r="G983">
        <f>_xll.BDP("41420LMV Muni","SPREAD_AT_ISSUANCE_TO_WORST")</f>
        <v>63.044195065579878</v>
      </c>
      <c r="H983" t="str">
        <f>_xll.BDP("41420LMV Muni","ISSUE_DT")</f>
        <v>3/1/2017</v>
      </c>
      <c r="I983" t="str">
        <f>_xll.BDS("41420LMV Muni","MUNI_PURPOSE_SCHED", "aggregate=y")</f>
        <v>WATER UTILITY IMPS. SEWER IMPS. REFUNDING NOTES</v>
      </c>
      <c r="J983">
        <f>_xll.BDP("41420LMV Muni","CPN")</f>
        <v>3</v>
      </c>
      <c r="K983" t="str">
        <f>_xll.BDP("41420LMV Muni","MATURITY")</f>
        <v>4/1/2024</v>
      </c>
      <c r="L983">
        <v>250000</v>
      </c>
      <c r="M983">
        <f>_xll.BDP("41420LMV Muni","YIELD_ON_ISSUE_DATE")</f>
        <v>2.6</v>
      </c>
      <c r="N983">
        <f>_xll.BDP("41420LMV Muni","YTW_SPREAD_TO_MATURITY_AT_ISSU")</f>
        <v>63.044195065579878</v>
      </c>
      <c r="O983" t="str">
        <f>_xll.BDP("41420LMV Muni","BVAL_MID_YTM")</f>
        <v>#N/A Authorization</v>
      </c>
      <c r="P983" t="str">
        <f>_xll.BDP("41420LMV Muni","MUNI_TAX_PROV")</f>
        <v>FED TAX-EXEMPT</v>
      </c>
      <c r="Q983" t="str">
        <f>_xll.BDP("41420LMV Muni","MUNI_FED_TAX")</f>
        <v>N</v>
      </c>
      <c r="R983" t="str">
        <f>_xll.BDP("41420LMV Muni","MUNI_MSRB_VOLUME")</f>
        <v>#N/A N/A</v>
      </c>
      <c r="S983" t="str">
        <f>_xll.BDP("41420LMV Muni","BB_COMPOSITE")</f>
        <v>#N/A N/A</v>
      </c>
      <c r="T983">
        <f>_xll.BDP("41420LMV Muni","LQA_LIQUIDITY_SCORE")</f>
        <v>79</v>
      </c>
    </row>
    <row r="984" spans="1:20" x14ac:dyDescent="0.25">
      <c r="A984" t="str">
        <f>_xll.BDP("41420PEM Muni","ID_CUSIP")</f>
        <v>41420PEM8</v>
      </c>
      <c r="B984" t="s">
        <v>321</v>
      </c>
      <c r="C984" t="str">
        <f>_xll.BDP("41420PEM Muni","INSURANCE_STATUS")</f>
        <v>Y</v>
      </c>
      <c r="D984" t="str">
        <f>_xll.BDP("41420PEM Muni","STATE_CODE")</f>
        <v>TX</v>
      </c>
      <c r="E984" t="str">
        <f>_xll.BDP("41420PEM Muni","COUNTY_LOCATION_ISSUER")</f>
        <v>Harris, TX</v>
      </c>
      <c r="F984">
        <f>_xll.BDP("41420PEM Muni","DUR_ADJ_MID")</f>
        <v>1.0537509968033336</v>
      </c>
      <c r="G984">
        <f>_xll.BDP("41420PEM Muni","SPREAD_AT_ISSUANCE_TO_WORST")</f>
        <v>51.193215084602109</v>
      </c>
      <c r="H984" t="str">
        <f>_xll.BDP("41420PEM Muni","ISSUE_DT")</f>
        <v>6/1/2017</v>
      </c>
      <c r="I984" t="str">
        <f>_xll.BDS("41420PEM Muni","MUNI_PURPOSE_SCHED", "aggregate=y")</f>
        <v>PROPERTY ACQUISITION WATER UTILITY IMPS. PUBLIC IMPS.</v>
      </c>
      <c r="J984">
        <f>_xll.BDP("41420PEM Muni","CPN")</f>
        <v>2.5</v>
      </c>
      <c r="K984" t="str">
        <f>_xll.BDP("41420PEM Muni","MATURITY")</f>
        <v>9/1/2023</v>
      </c>
      <c r="L984">
        <v>625000</v>
      </c>
      <c r="M984">
        <f>_xll.BDP("41420PEM Muni","YIELD_ON_ISSUE_DATE")</f>
        <v>2.0699999999999998</v>
      </c>
      <c r="N984">
        <f>_xll.BDP("41420PEM Muni","YTW_SPREAD_TO_MATURITY_AT_ISSU")</f>
        <v>51.193215084602109</v>
      </c>
      <c r="O984" t="str">
        <f>_xll.BDP("41420PEM Muni","BVAL_MID_YTM")</f>
        <v>#N/A Authorization</v>
      </c>
      <c r="P984" t="str">
        <f>_xll.BDP("41420PEM Muni","MUNI_TAX_PROV")</f>
        <v>FED TAX-EXEMPT</v>
      </c>
      <c r="Q984" t="str">
        <f>_xll.BDP("41420PEM Muni","MUNI_FED_TAX")</f>
        <v>N</v>
      </c>
      <c r="R984" t="str">
        <f>_xll.BDP("41420PEM Muni","MUNI_MSRB_VOLUME")</f>
        <v>#N/A N/A</v>
      </c>
      <c r="S984" t="str">
        <f>_xll.BDP("41420PEM Muni","BB_COMPOSITE")</f>
        <v>A</v>
      </c>
      <c r="T984">
        <f>_xll.BDP("41420PEM Muni","LQA_LIQUIDITY_SCORE")</f>
        <v>86</v>
      </c>
    </row>
    <row r="985" spans="1:20" x14ac:dyDescent="0.25">
      <c r="A985" t="str">
        <f>_xll.BDP("41420PEN Muni","ID_CUSIP")</f>
        <v>41420PEN6</v>
      </c>
      <c r="B985" t="s">
        <v>321</v>
      </c>
      <c r="C985" t="str">
        <f>_xll.BDP("41420PEN Muni","INSURANCE_STATUS")</f>
        <v>Y</v>
      </c>
      <c r="D985" t="str">
        <f>_xll.BDP("41420PEN Muni","STATE_CODE")</f>
        <v>TX</v>
      </c>
      <c r="E985" t="str">
        <f>_xll.BDP("41420PEN Muni","COUNTY_LOCATION_ISSUER")</f>
        <v>Harris, TX</v>
      </c>
      <c r="F985">
        <f>_xll.BDP("41420PEN Muni","DUR_ADJ_MID")</f>
        <v>2.001459163338986</v>
      </c>
      <c r="G985">
        <f>_xll.BDP("41420PEN Muni","SPREAD_AT_ISSUANCE_TO_WORST")</f>
        <v>54.813218834633325</v>
      </c>
      <c r="H985" t="str">
        <f>_xll.BDP("41420PEN Muni","ISSUE_DT")</f>
        <v>6/1/2017</v>
      </c>
      <c r="I985" t="str">
        <f>_xll.BDS("41420PEN Muni","MUNI_PURPOSE_SCHED", "aggregate=y")</f>
        <v>PROPERTY ACQUISITION WATER UTILITY IMPS. PUBLIC IMPS.</v>
      </c>
      <c r="J985">
        <f>_xll.BDP("41420PEN Muni","CPN")</f>
        <v>2.5</v>
      </c>
      <c r="K985" t="str">
        <f>_xll.BDP("41420PEN Muni","MATURITY")</f>
        <v>9/1/2024</v>
      </c>
      <c r="L985">
        <v>625000</v>
      </c>
      <c r="M985">
        <f>_xll.BDP("41420PEN Muni","YIELD_ON_ISSUE_DATE")</f>
        <v>2.27</v>
      </c>
      <c r="N985">
        <f>_xll.BDP("41420PEN Muni","YTW_SPREAD_TO_MATURITY_AT_ISSU")</f>
        <v>54.813218834633325</v>
      </c>
      <c r="O985" t="str">
        <f>_xll.BDP("41420PEN Muni","BVAL_MID_YTM")</f>
        <v>#N/A Authorization</v>
      </c>
      <c r="P985" t="str">
        <f>_xll.BDP("41420PEN Muni","MUNI_TAX_PROV")</f>
        <v>FED TAX-EXEMPT</v>
      </c>
      <c r="Q985" t="str">
        <f>_xll.BDP("41420PEN Muni","MUNI_FED_TAX")</f>
        <v>N</v>
      </c>
      <c r="R985" t="str">
        <f>_xll.BDP("41420PEN Muni","MUNI_MSRB_VOLUME")</f>
        <v>#N/A N/A</v>
      </c>
      <c r="S985" t="str">
        <f>_xll.BDP("41420PEN Muni","BB_COMPOSITE")</f>
        <v>A</v>
      </c>
      <c r="T985">
        <f>_xll.BDP("41420PEN Muni","LQA_LIQUIDITY_SCORE")</f>
        <v>75</v>
      </c>
    </row>
    <row r="986" spans="1:20" x14ac:dyDescent="0.25">
      <c r="A986" t="str">
        <f>_xll.BDP("41420QKV Muni","ID_CUSIP")</f>
        <v>41420QKV9</v>
      </c>
      <c r="B986" t="s">
        <v>322</v>
      </c>
      <c r="C986" t="str">
        <f>_xll.BDP("41420QKV Muni","INSURANCE_STATUS")</f>
        <v>Y</v>
      </c>
      <c r="D986" t="str">
        <f>_xll.BDP("41420QKV Muni","STATE_CODE")</f>
        <v>TX</v>
      </c>
      <c r="E986" t="str">
        <f>_xll.BDP("41420QKV Muni","COUNTY_LOCATION_ISSUER")</f>
        <v>Harris, TX</v>
      </c>
      <c r="F986">
        <f>_xll.BDP("41420QKV Muni","DUR_ADJ_MID")</f>
        <v>8.0490777661012217E-2</v>
      </c>
      <c r="G986">
        <f>_xll.BDP("41420QKV Muni","SPREAD_AT_ISSUANCE_TO_WORST")</f>
        <v>50.122698630136988</v>
      </c>
      <c r="H986" t="str">
        <f>_xll.BDP("41420QKV Muni","ISSUE_DT")</f>
        <v>12/1/2017</v>
      </c>
      <c r="I986" t="str">
        <f>_xll.BDS("41420QKV Muni","MUNI_PURPOSE_SCHED", "aggregate=y")</f>
        <v>WATER UTILITY IMPS. SEWER IMPS. PROPERTY ACQUISITION</v>
      </c>
      <c r="J986">
        <f>_xll.BDP("41420QKV Muni","CPN")</f>
        <v>4</v>
      </c>
      <c r="K986" t="str">
        <f>_xll.BDP("41420QKV Muni","MATURITY")</f>
        <v>9/1/2022</v>
      </c>
      <c r="L986">
        <v>75000</v>
      </c>
      <c r="M986">
        <f>_xll.BDP("41420QKV Muni","YIELD_ON_ISSUE_DATE")</f>
        <v>2.1</v>
      </c>
      <c r="N986">
        <f>_xll.BDP("41420QKV Muni","YTW_SPREAD_TO_MATURITY_AT_ISSU")</f>
        <v>50.122698630136988</v>
      </c>
      <c r="O986" t="str">
        <f>_xll.BDP("41420QKV Muni","BVAL_MID_YTM")</f>
        <v>#N/A Authorization</v>
      </c>
      <c r="P986" t="str">
        <f>_xll.BDP("41420QKV Muni","MUNI_TAX_PROV")</f>
        <v>FED TAX-EXEMPT</v>
      </c>
      <c r="Q986" t="str">
        <f>_xll.BDP("41420QKV Muni","MUNI_FED_TAX")</f>
        <v>N</v>
      </c>
      <c r="R986" t="str">
        <f>_xll.BDP("41420QKV Muni","MUNI_MSRB_VOLUME")</f>
        <v>#N/A N/A</v>
      </c>
      <c r="S986" t="str">
        <f>_xll.BDP("41420QKV Muni","BB_COMPOSITE")</f>
        <v>#N/A N/A</v>
      </c>
      <c r="T986">
        <f>_xll.BDP("41420QKV Muni","LQA_LIQUIDITY_SCORE")</f>
        <v>98</v>
      </c>
    </row>
    <row r="987" spans="1:20" x14ac:dyDescent="0.25">
      <c r="A987" t="str">
        <f>_xll.BDP("41420QKW Muni","ID_CUSIP")</f>
        <v>41420QKW7</v>
      </c>
      <c r="B987" t="s">
        <v>322</v>
      </c>
      <c r="C987" t="str">
        <f>_xll.BDP("41420QKW Muni","INSURANCE_STATUS")</f>
        <v>Y</v>
      </c>
      <c r="D987" t="str">
        <f>_xll.BDP("41420QKW Muni","STATE_CODE")</f>
        <v>TX</v>
      </c>
      <c r="E987" t="str">
        <f>_xll.BDP("41420QKW Muni","COUNTY_LOCATION_ISSUER")</f>
        <v>Harris, TX</v>
      </c>
      <c r="F987">
        <f>_xll.BDP("41420QKW Muni","DUR_ADJ_MID")</f>
        <v>1.0435178274944361</v>
      </c>
      <c r="G987">
        <f>_xll.BDP("41420QKW Muni","SPREAD_AT_ISSUANCE_TO_WORST")</f>
        <v>59.33526027397258</v>
      </c>
      <c r="H987" t="str">
        <f>_xll.BDP("41420QKW Muni","ISSUE_DT")</f>
        <v>12/1/2017</v>
      </c>
      <c r="I987" t="str">
        <f>_xll.BDS("41420QKW Muni","MUNI_PURPOSE_SCHED", "aggregate=y")</f>
        <v>WATER UTILITY IMPS. SEWER IMPS. PROPERTY ACQUISITION</v>
      </c>
      <c r="J987">
        <f>_xll.BDP("41420QKW Muni","CPN")</f>
        <v>4</v>
      </c>
      <c r="K987" t="str">
        <f>_xll.BDP("41420QKW Muni","MATURITY")</f>
        <v>9/1/2023</v>
      </c>
      <c r="L987">
        <v>75000</v>
      </c>
      <c r="M987">
        <f>_xll.BDP("41420QKW Muni","YIELD_ON_ISSUE_DATE")</f>
        <v>2.3000000000000003</v>
      </c>
      <c r="N987">
        <f>_xll.BDP("41420QKW Muni","YTW_SPREAD_TO_MATURITY_AT_ISSU")</f>
        <v>59.33526027397258</v>
      </c>
      <c r="O987" t="str">
        <f>_xll.BDP("41420QKW Muni","BVAL_MID_YTM")</f>
        <v>#N/A Authorization</v>
      </c>
      <c r="P987" t="str">
        <f>_xll.BDP("41420QKW Muni","MUNI_TAX_PROV")</f>
        <v>FED TAX-EXEMPT</v>
      </c>
      <c r="Q987" t="str">
        <f>_xll.BDP("41420QKW Muni","MUNI_FED_TAX")</f>
        <v>N</v>
      </c>
      <c r="R987" t="str">
        <f>_xll.BDP("41420QKW Muni","MUNI_MSRB_VOLUME")</f>
        <v>#N/A N/A</v>
      </c>
      <c r="S987" t="str">
        <f>_xll.BDP("41420QKW Muni","BB_COMPOSITE")</f>
        <v>#N/A N/A</v>
      </c>
      <c r="T987">
        <f>_xll.BDP("41420QKW Muni","LQA_LIQUIDITY_SCORE")</f>
        <v>92</v>
      </c>
    </row>
    <row r="988" spans="1:20" x14ac:dyDescent="0.25">
      <c r="A988" t="str">
        <f>_xll.BDP("41420QKX Muni","ID_CUSIP")</f>
        <v>41420QKX5</v>
      </c>
      <c r="B988" t="s">
        <v>322</v>
      </c>
      <c r="C988" t="str">
        <f>_xll.BDP("41420QKX Muni","INSURANCE_STATUS")</f>
        <v>Y</v>
      </c>
      <c r="D988" t="str">
        <f>_xll.BDP("41420QKX Muni","STATE_CODE")</f>
        <v>TX</v>
      </c>
      <c r="E988" t="str">
        <f>_xll.BDP("41420QKX Muni","COUNTY_LOCATION_ISSUER")</f>
        <v>Harris, TX</v>
      </c>
      <c r="F988">
        <f>_xll.BDP("41420QKX Muni","DUR_ADJ_MID")</f>
        <v>1.9689484508573936</v>
      </c>
      <c r="G988">
        <f>_xll.BDP("41420QKX Muni","SPREAD_AT_ISSUANCE_TO_WORST")</f>
        <v>69.299145205479434</v>
      </c>
      <c r="H988" t="str">
        <f>_xll.BDP("41420QKX Muni","ISSUE_DT")</f>
        <v>12/1/2017</v>
      </c>
      <c r="I988" t="str">
        <f>_xll.BDS("41420QKX Muni","MUNI_PURPOSE_SCHED", "aggregate=y")</f>
        <v>WATER UTILITY IMPS. SEWER IMPS. PROPERTY ACQUISITION</v>
      </c>
      <c r="J988">
        <f>_xll.BDP("41420QKX Muni","CPN")</f>
        <v>4</v>
      </c>
      <c r="K988" t="str">
        <f>_xll.BDP("41420QKX Muni","MATURITY")</f>
        <v>9/1/2024</v>
      </c>
      <c r="L988">
        <v>75000</v>
      </c>
      <c r="M988">
        <f>_xll.BDP("41420QKX Muni","YIELD_ON_ISSUE_DATE")</f>
        <v>2.5</v>
      </c>
      <c r="N988">
        <f>_xll.BDP("41420QKX Muni","YTW_SPREAD_TO_MATURITY_AT_ISSU")</f>
        <v>69.299145205479434</v>
      </c>
      <c r="O988" t="str">
        <f>_xll.BDP("41420QKX Muni","BVAL_MID_YTM")</f>
        <v>#N/A Authorization</v>
      </c>
      <c r="P988" t="str">
        <f>_xll.BDP("41420QKX Muni","MUNI_TAX_PROV")</f>
        <v>FED TAX-EXEMPT</v>
      </c>
      <c r="Q988" t="str">
        <f>_xll.BDP("41420QKX Muni","MUNI_FED_TAX")</f>
        <v>N</v>
      </c>
      <c r="R988" t="str">
        <f>_xll.BDP("41420QKX Muni","MUNI_MSRB_VOLUME")</f>
        <v>#N/A N/A</v>
      </c>
      <c r="S988" t="str">
        <f>_xll.BDP("41420QKX Muni","BB_COMPOSITE")</f>
        <v>#N/A N/A</v>
      </c>
      <c r="T988">
        <f>_xll.BDP("41420QKX Muni","LQA_LIQUIDITY_SCORE")</f>
        <v>84</v>
      </c>
    </row>
    <row r="989" spans="1:20" x14ac:dyDescent="0.25">
      <c r="A989" t="str">
        <f>_xll.BDP("41420WFC Muni","ID_CUSIP")</f>
        <v>41420WFC4</v>
      </c>
      <c r="B989" t="s">
        <v>323</v>
      </c>
      <c r="C989" t="str">
        <f>_xll.BDP("41420WFC Muni","INSURANCE_STATUS")</f>
        <v>Y</v>
      </c>
      <c r="D989" t="str">
        <f>_xll.BDP("41420WFC Muni","STATE_CODE")</f>
        <v>TX</v>
      </c>
      <c r="E989" t="str">
        <f>_xll.BDP("41420WFC Muni","COUNTY_LOCATION_ISSUER")</f>
        <v>Harris, TX</v>
      </c>
      <c r="F989">
        <f>_xll.BDP("41420WFC Muni","DUR_ADJ_MID")</f>
        <v>0.57133399288725273</v>
      </c>
      <c r="G989">
        <f>_xll.BDP("41420WFC Muni","SPREAD_AT_ISSUANCE_TO_WORST")</f>
        <v>37.52506027397262</v>
      </c>
      <c r="H989" t="str">
        <f>_xll.BDP("41420WFC Muni","ISSUE_DT")</f>
        <v>11/1/2017</v>
      </c>
      <c r="I989" t="str">
        <f>_xll.BDS("41420WFC Muni","MUNI_PURPOSE_SCHED", "aggregate=y")</f>
        <v>WATER UTILITY IMPS. SEWER IMPS. PUBLIC IMPS.</v>
      </c>
      <c r="J989">
        <f>_xll.BDP("41420WFC Muni","CPN")</f>
        <v>2</v>
      </c>
      <c r="K989" t="str">
        <f>_xll.BDP("41420WFC Muni","MATURITY")</f>
        <v>3/1/2023</v>
      </c>
      <c r="L989">
        <v>300000</v>
      </c>
      <c r="M989">
        <f>_xll.BDP("41420WFC Muni","YIELD_ON_ISSUE_DATE")</f>
        <v>1.85</v>
      </c>
      <c r="N989">
        <f>_xll.BDP("41420WFC Muni","YTW_SPREAD_TO_MATURITY_AT_ISSU")</f>
        <v>37.52506027397262</v>
      </c>
      <c r="O989" t="str">
        <f>_xll.BDP("41420WFC Muni","BVAL_MID_YTM")</f>
        <v>#N/A Authorization</v>
      </c>
      <c r="P989" t="str">
        <f>_xll.BDP("41420WFC Muni","MUNI_TAX_PROV")</f>
        <v>FED BQ</v>
      </c>
      <c r="Q989" t="str">
        <f>_xll.BDP("41420WFC Muni","MUNI_FED_TAX")</f>
        <v>N</v>
      </c>
      <c r="R989" t="str">
        <f>_xll.BDP("41420WFC Muni","MUNI_MSRB_VOLUME")</f>
        <v>#N/A N/A</v>
      </c>
      <c r="S989" t="str">
        <f>_xll.BDP("41420WFC Muni","BB_COMPOSITE")</f>
        <v>A+</v>
      </c>
      <c r="T989">
        <f>_xll.BDP("41420WFC Muni","LQA_LIQUIDITY_SCORE")</f>
        <v>90</v>
      </c>
    </row>
    <row r="990" spans="1:20" x14ac:dyDescent="0.25">
      <c r="A990" t="str">
        <f>_xll.BDP("41420XPM Muni","ID_CUSIP")</f>
        <v>41420XPM9</v>
      </c>
      <c r="B990" t="s">
        <v>324</v>
      </c>
      <c r="C990" t="str">
        <f>_xll.BDP("41420XPM Muni","INSURANCE_STATUS")</f>
        <v>Y</v>
      </c>
      <c r="D990" t="str">
        <f>_xll.BDP("41420XPM Muni","STATE_CODE")</f>
        <v>TX</v>
      </c>
      <c r="E990" t="str">
        <f>_xll.BDP("41420XPM Muni","COUNTY_LOCATION_ISSUER")</f>
        <v>Harris, TX</v>
      </c>
      <c r="F990">
        <f>_xll.BDP("41420XPM Muni","DUR_ADJ_MID")</f>
        <v>8.0470444938257404E-2</v>
      </c>
      <c r="G990">
        <f>_xll.BDP("41420XPM Muni","SPREAD_AT_ISSUANCE_TO_WORST")</f>
        <v>34.512547945205483</v>
      </c>
      <c r="H990" t="str">
        <f>_xll.BDP("41420XPM Muni","ISSUE_DT")</f>
        <v>10/1/2017</v>
      </c>
      <c r="I990" t="str">
        <f>_xll.BDS("41420XPM Muni","MUNI_PURPOSE_SCHED", "aggregate=y")</f>
        <v>WATER UTILITY IMPS. SEWER IMPS.</v>
      </c>
      <c r="J990">
        <f>_xll.BDP("41420XPM Muni","CPN")</f>
        <v>2</v>
      </c>
      <c r="K990" t="str">
        <f>_xll.BDP("41420XPM Muni","MATURITY")</f>
        <v>9/1/2022</v>
      </c>
      <c r="L990">
        <v>100000</v>
      </c>
      <c r="M990">
        <f>_xll.BDP("41420XPM Muni","YIELD_ON_ISSUE_DATE")</f>
        <v>1.6</v>
      </c>
      <c r="N990">
        <f>_xll.BDP("41420XPM Muni","YTW_SPREAD_TO_MATURITY_AT_ISSU")</f>
        <v>34.512547945205483</v>
      </c>
      <c r="O990" t="str">
        <f>_xll.BDP("41420XPM Muni","BVAL_MID_YTM")</f>
        <v>#N/A Authorization</v>
      </c>
      <c r="P990" t="str">
        <f>_xll.BDP("41420XPM Muni","MUNI_TAX_PROV")</f>
        <v>FED BQ</v>
      </c>
      <c r="Q990" t="str">
        <f>_xll.BDP("41420XPM Muni","MUNI_FED_TAX")</f>
        <v>N</v>
      </c>
      <c r="R990" t="str">
        <f>_xll.BDP("41420XPM Muni","MUNI_MSRB_VOLUME")</f>
        <v>#N/A N/A</v>
      </c>
      <c r="S990" t="str">
        <f>_xll.BDP("41420XPM Muni","BB_COMPOSITE")</f>
        <v>A+</v>
      </c>
      <c r="T990">
        <f>_xll.BDP("41420XPM Muni","LQA_LIQUIDITY_SCORE")</f>
        <v>100</v>
      </c>
    </row>
    <row r="991" spans="1:20" x14ac:dyDescent="0.25">
      <c r="A991" t="str">
        <f>_xll.BDP("41420XPN Muni","ID_CUSIP")</f>
        <v>41420XPN7</v>
      </c>
      <c r="B991" t="s">
        <v>324</v>
      </c>
      <c r="C991" t="str">
        <f>_xll.BDP("41420XPN Muni","INSURANCE_STATUS")</f>
        <v>Y</v>
      </c>
      <c r="D991" t="str">
        <f>_xll.BDP("41420XPN Muni","STATE_CODE")</f>
        <v>TX</v>
      </c>
      <c r="E991" t="str">
        <f>_xll.BDP("41420XPN Muni","COUNTY_LOCATION_ISSUER")</f>
        <v>Harris, TX</v>
      </c>
      <c r="F991">
        <f>_xll.BDP("41420XPN Muni","DUR_ADJ_MID")</f>
        <v>1.0556758211830815</v>
      </c>
      <c r="G991">
        <f>_xll.BDP("41420XPN Muni","SPREAD_AT_ISSUANCE_TO_WORST")</f>
        <v>35.74721917808219</v>
      </c>
      <c r="H991" t="str">
        <f>_xll.BDP("41420XPN Muni","ISSUE_DT")</f>
        <v>10/1/2017</v>
      </c>
      <c r="I991" t="str">
        <f>_xll.BDS("41420XPN Muni","MUNI_PURPOSE_SCHED", "aggregate=y")</f>
        <v>WATER UTILITY IMPS. SEWER IMPS.</v>
      </c>
      <c r="J991">
        <f>_xll.BDP("41420XPN Muni","CPN")</f>
        <v>2</v>
      </c>
      <c r="K991" t="str">
        <f>_xll.BDP("41420XPN Muni","MATURITY")</f>
        <v>9/1/2023</v>
      </c>
      <c r="L991">
        <v>100000</v>
      </c>
      <c r="M991">
        <f>_xll.BDP("41420XPN Muni","YIELD_ON_ISSUE_DATE")</f>
        <v>1.75</v>
      </c>
      <c r="N991">
        <f>_xll.BDP("41420XPN Muni","YTW_SPREAD_TO_MATURITY_AT_ISSU")</f>
        <v>35.74721917808219</v>
      </c>
      <c r="O991" t="str">
        <f>_xll.BDP("41420XPN Muni","BVAL_MID_YTM")</f>
        <v>#N/A Authorization</v>
      </c>
      <c r="P991" t="str">
        <f>_xll.BDP("41420XPN Muni","MUNI_TAX_PROV")</f>
        <v>FED BQ</v>
      </c>
      <c r="Q991" t="str">
        <f>_xll.BDP("41420XPN Muni","MUNI_FED_TAX")</f>
        <v>N</v>
      </c>
      <c r="R991" t="str">
        <f>_xll.BDP("41420XPN Muni","MUNI_MSRB_VOLUME")</f>
        <v>#N/A N/A</v>
      </c>
      <c r="S991" t="str">
        <f>_xll.BDP("41420XPN Muni","BB_COMPOSITE")</f>
        <v>A+</v>
      </c>
      <c r="T991">
        <f>_xll.BDP("41420XPN Muni","LQA_LIQUIDITY_SCORE")</f>
        <v>84</v>
      </c>
    </row>
    <row r="992" spans="1:20" x14ac:dyDescent="0.25">
      <c r="A992" t="str">
        <f>_xll.BDP("41420XPP Muni","ID_CUSIP")</f>
        <v>41420XPP2</v>
      </c>
      <c r="B992" t="s">
        <v>324</v>
      </c>
      <c r="C992" t="str">
        <f>_xll.BDP("41420XPP Muni","INSURANCE_STATUS")</f>
        <v>Y</v>
      </c>
      <c r="D992" t="str">
        <f>_xll.BDP("41420XPP Muni","STATE_CODE")</f>
        <v>TX</v>
      </c>
      <c r="E992" t="str">
        <f>_xll.BDP("41420XPP Muni","COUNTY_LOCATION_ISSUER")</f>
        <v>Harris, TX</v>
      </c>
      <c r="F992">
        <f>_xll.BDP("41420XPP Muni","DUR_ADJ_MID")</f>
        <v>2.0098221002221615</v>
      </c>
      <c r="G992">
        <f>_xll.BDP("41420XPP Muni","SPREAD_AT_ISSUANCE_TO_WORST")</f>
        <v>36.540605479452061</v>
      </c>
      <c r="H992" t="str">
        <f>_xll.BDP("41420XPP Muni","ISSUE_DT")</f>
        <v>10/1/2017</v>
      </c>
      <c r="I992" t="str">
        <f>_xll.BDS("41420XPP Muni","MUNI_PURPOSE_SCHED", "aggregate=y")</f>
        <v>WATER UTILITY IMPS. SEWER IMPS.</v>
      </c>
      <c r="J992">
        <f>_xll.BDP("41420XPP Muni","CPN")</f>
        <v>2</v>
      </c>
      <c r="K992" t="str">
        <f>_xll.BDP("41420XPP Muni","MATURITY")</f>
        <v>9/1/2024</v>
      </c>
      <c r="L992">
        <v>100000</v>
      </c>
      <c r="M992">
        <f>_xll.BDP("41420XPP Muni","YIELD_ON_ISSUE_DATE")</f>
        <v>1.9000000000000001</v>
      </c>
      <c r="N992">
        <f>_xll.BDP("41420XPP Muni","YTW_SPREAD_TO_MATURITY_AT_ISSU")</f>
        <v>36.540605479452061</v>
      </c>
      <c r="O992" t="str">
        <f>_xll.BDP("41420XPP Muni","BVAL_MID_YTM")</f>
        <v>#N/A Authorization</v>
      </c>
      <c r="P992" t="str">
        <f>_xll.BDP("41420XPP Muni","MUNI_TAX_PROV")</f>
        <v>FED BQ</v>
      </c>
      <c r="Q992" t="str">
        <f>_xll.BDP("41420XPP Muni","MUNI_FED_TAX")</f>
        <v>N</v>
      </c>
      <c r="R992" t="str">
        <f>_xll.BDP("41420XPP Muni","MUNI_MSRB_VOLUME")</f>
        <v>#N/A N/A</v>
      </c>
      <c r="S992" t="str">
        <f>_xll.BDP("41420XPP Muni","BB_COMPOSITE")</f>
        <v>A+</v>
      </c>
      <c r="T992">
        <f>_xll.BDP("41420XPP Muni","LQA_LIQUIDITY_SCORE")</f>
        <v>72</v>
      </c>
    </row>
    <row r="993" spans="1:20" x14ac:dyDescent="0.25">
      <c r="A993" t="str">
        <f>_xll.BDP("41421DVN Muni","ID_CUSIP")</f>
        <v>41421DVN3</v>
      </c>
      <c r="B993" t="s">
        <v>325</v>
      </c>
      <c r="C993" t="str">
        <f>_xll.BDP("41421DVN Muni","INSURANCE_STATUS")</f>
        <v>Y</v>
      </c>
      <c r="D993" t="str">
        <f>_xll.BDP("41421DVN Muni","STATE_CODE")</f>
        <v>TX</v>
      </c>
      <c r="E993" t="str">
        <f>_xll.BDP("41421DVN Muni","COUNTY_LOCATION_ISSUER")</f>
        <v>Harris, TX</v>
      </c>
      <c r="F993">
        <f>_xll.BDP("41421DVN Muni","DUR_ADJ_MID")</f>
        <v>1.0434212002036918</v>
      </c>
      <c r="G993">
        <f>_xll.BDP("41421DVN Muni","SPREAD_AT_ISSUANCE_TO_WORST")</f>
        <v>43.784852054794499</v>
      </c>
      <c r="H993" t="str">
        <f>_xll.BDP("41421DVN Muni","ISSUE_DT")</f>
        <v>12/1/2017</v>
      </c>
      <c r="I993" t="str">
        <f>_xll.BDS("41421DVN Muni","MUNI_PURPOSE_SCHED", "aggregate=y")</f>
        <v>PUBLIC IMPS. WATER UTILITY IMPS. SEWER IMPS.</v>
      </c>
      <c r="J993">
        <f>_xll.BDP("41421DVN Muni","CPN")</f>
        <v>4</v>
      </c>
      <c r="K993" t="str">
        <f>_xll.BDP("41421DVN Muni","MATURITY")</f>
        <v>9/1/2023</v>
      </c>
      <c r="L993">
        <v>400000</v>
      </c>
      <c r="M993">
        <f>_xll.BDP("41421DVN Muni","YIELD_ON_ISSUE_DATE")</f>
        <v>2.0499999999999998</v>
      </c>
      <c r="N993">
        <f>_xll.BDP("41421DVN Muni","YTW_SPREAD_TO_MATURITY_AT_ISSU")</f>
        <v>43.784852054794499</v>
      </c>
      <c r="O993" t="str">
        <f>_xll.BDP("41421DVN Muni","BVAL_MID_YTM")</f>
        <v>#N/A Authorization</v>
      </c>
      <c r="P993" t="str">
        <f>_xll.BDP("41421DVN Muni","MUNI_TAX_PROV")</f>
        <v>FED TAX-EXEMPT</v>
      </c>
      <c r="Q993" t="str">
        <f>_xll.BDP("41421DVN Muni","MUNI_FED_TAX")</f>
        <v>N</v>
      </c>
      <c r="R993" t="str">
        <f>_xll.BDP("41421DVN Muni","MUNI_MSRB_VOLUME")</f>
        <v>#N/A N/A</v>
      </c>
      <c r="S993" t="str">
        <f>_xll.BDP("41421DVN Muni","BB_COMPOSITE")</f>
        <v>A+</v>
      </c>
      <c r="T993">
        <f>_xll.BDP("41421DVN Muni","LQA_LIQUIDITY_SCORE")</f>
        <v>94</v>
      </c>
    </row>
    <row r="994" spans="1:20" x14ac:dyDescent="0.25">
      <c r="A994" t="str">
        <f>_xll.BDP("41421FHL Muni","ID_CUSIP")</f>
        <v>41421FHL8</v>
      </c>
      <c r="B994" t="s">
        <v>326</v>
      </c>
      <c r="C994" t="str">
        <f>_xll.BDP("41421FHL Muni","INSURANCE_STATUS")</f>
        <v>Y</v>
      </c>
      <c r="D994" t="str">
        <f>_xll.BDP("41421FHL Muni","STATE_CODE")</f>
        <v>TX</v>
      </c>
      <c r="E994" t="str">
        <f>_xll.BDP("41421FHL Muni","COUNTY_LOCATION_ISSUER")</f>
        <v>Harris, TX</v>
      </c>
      <c r="F994">
        <f>_xll.BDP("41421FHL Muni","DUR_ADJ_MID")</f>
        <v>1.0475298746981627</v>
      </c>
      <c r="G994">
        <f>_xll.BDP("41421FHL Muni","SPREAD_AT_ISSUANCE_TO_WORST")</f>
        <v>53.322783561643838</v>
      </c>
      <c r="H994" t="str">
        <f>_xll.BDP("41421FHL Muni","ISSUE_DT")</f>
        <v>11/1/2017</v>
      </c>
      <c r="I994" t="str">
        <f>_xll.BDS("41421FHL Muni","MUNI_PURPOSE_SCHED", "aggregate=y")</f>
        <v>WATER UTILITY IMPS. SEWER IMPS. RECREATIONAL FAC. IMPS.</v>
      </c>
      <c r="J994">
        <f>_xll.BDP("41421FHL Muni","CPN")</f>
        <v>3</v>
      </c>
      <c r="K994" t="str">
        <f>_xll.BDP("41421FHL Muni","MATURITY")</f>
        <v>9/1/2023</v>
      </c>
      <c r="L994">
        <v>300000</v>
      </c>
      <c r="M994">
        <f>_xll.BDP("41421FHL Muni","YIELD_ON_ISSUE_DATE")</f>
        <v>2</v>
      </c>
      <c r="N994">
        <f>_xll.BDP("41421FHL Muni","YTW_SPREAD_TO_MATURITY_AT_ISSU")</f>
        <v>53.322783561643838</v>
      </c>
      <c r="O994" t="str">
        <f>_xll.BDP("41421FHL Muni","BVAL_MID_YTM")</f>
        <v>#N/A Authorization</v>
      </c>
      <c r="P994" t="str">
        <f>_xll.BDP("41421FHL Muni","MUNI_TAX_PROV")</f>
        <v>FED BQ</v>
      </c>
      <c r="Q994" t="str">
        <f>_xll.BDP("41421FHL Muni","MUNI_FED_TAX")</f>
        <v>N</v>
      </c>
      <c r="R994" t="str">
        <f>_xll.BDP("41421FHL Muni","MUNI_MSRB_VOLUME")</f>
        <v>#N/A N/A</v>
      </c>
      <c r="S994" t="str">
        <f>_xll.BDP("41421FHL Muni","BB_COMPOSITE")</f>
        <v>AA-</v>
      </c>
      <c r="T994">
        <f>_xll.BDP("41421FHL Muni","LQA_LIQUIDITY_SCORE")</f>
        <v>88</v>
      </c>
    </row>
    <row r="995" spans="1:20" x14ac:dyDescent="0.25">
      <c r="A995" t="str">
        <f>_xll.BDP("41422GFW Muni","ID_CUSIP")</f>
        <v>41422GFW3</v>
      </c>
      <c r="B995" t="s">
        <v>327</v>
      </c>
      <c r="C995" t="str">
        <f>_xll.BDP("41422GFW Muni","INSURANCE_STATUS")</f>
        <v>Y</v>
      </c>
      <c r="D995" t="str">
        <f>_xll.BDP("41422GFW Muni","STATE_CODE")</f>
        <v>TX</v>
      </c>
      <c r="E995" t="str">
        <f>_xll.BDP("41422GFW Muni","COUNTY_LOCATION_ISSUER")</f>
        <v>Harris, TX</v>
      </c>
      <c r="F995">
        <f>_xll.BDP("41422GFW Muni","DUR_ADJ_MID")</f>
        <v>1.0559934398160784</v>
      </c>
      <c r="G995">
        <f>_xll.BDP("41422GFW Muni","SPREAD_AT_ISSUANCE_TO_WORST")</f>
        <v>55.266780821917806</v>
      </c>
      <c r="H995" t="str">
        <f>_xll.BDP("41422GFW Muni","ISSUE_DT")</f>
        <v>11/1/2017</v>
      </c>
      <c r="I995" t="str">
        <f>_xll.BDS("41422GFW Muni","MUNI_PURPOSE_SCHED", "aggregate=y")</f>
        <v>WATER UTILITY IMPS. SEWER IMPS. REFUNDING NOTES</v>
      </c>
      <c r="J995">
        <f>_xll.BDP("41422GFW Muni","CPN")</f>
        <v>2</v>
      </c>
      <c r="K995" t="str">
        <f>_xll.BDP("41422GFW Muni","MATURITY")</f>
        <v>9/1/2023</v>
      </c>
      <c r="L995">
        <v>250000</v>
      </c>
      <c r="M995">
        <f>_xll.BDP("41422GFW Muni","YIELD_ON_ISSUE_DATE")</f>
        <v>2.0499999999999998</v>
      </c>
      <c r="N995">
        <f>_xll.BDP("41422GFW Muni","YTW_SPREAD_TO_MATURITY_AT_ISSU")</f>
        <v>55.266780821917806</v>
      </c>
      <c r="O995" t="str">
        <f>_xll.BDP("41422GFW Muni","BVAL_MID_YTM")</f>
        <v>#N/A Authorization</v>
      </c>
      <c r="P995" t="str">
        <f>_xll.BDP("41422GFW Muni","MUNI_TAX_PROV")</f>
        <v>FED BQ</v>
      </c>
      <c r="Q995" t="str">
        <f>_xll.BDP("41422GFW Muni","MUNI_FED_TAX")</f>
        <v>N</v>
      </c>
      <c r="R995" t="str">
        <f>_xll.BDP("41422GFW Muni","MUNI_MSRB_VOLUME")</f>
        <v>#N/A N/A</v>
      </c>
      <c r="S995" t="str">
        <f>_xll.BDP("41422GFW Muni","BB_COMPOSITE")</f>
        <v>AA-</v>
      </c>
      <c r="T995">
        <f>_xll.BDP("41422GFW Muni","LQA_LIQUIDITY_SCORE")</f>
        <v>85</v>
      </c>
    </row>
    <row r="996" spans="1:20" x14ac:dyDescent="0.25">
      <c r="A996" t="str">
        <f>_xll.BDP("41422HBG Muni","ID_CUSIP")</f>
        <v>41422HBG0</v>
      </c>
      <c r="B996" t="s">
        <v>328</v>
      </c>
      <c r="C996" t="str">
        <f>_xll.BDP("41422HBG Muni","INSURANCE_STATUS")</f>
        <v>N</v>
      </c>
      <c r="D996" t="str">
        <f>_xll.BDP("41422HBG Muni","STATE_CODE")</f>
        <v>TX</v>
      </c>
      <c r="E996" t="str">
        <f>_xll.BDP("41422HBG Muni","COUNTY_LOCATION_ISSUER")</f>
        <v>Harris, TX</v>
      </c>
      <c r="F996">
        <f>_xll.BDP("41422HBG Muni","DUR_ADJ_MID")</f>
        <v>1.0486793969766279</v>
      </c>
      <c r="G996">
        <f>_xll.BDP("41422HBG Muni","SPREAD_AT_ISSUANCE_TO_WORST")</f>
        <v>113.71862758415084</v>
      </c>
      <c r="H996" t="str">
        <f>_xll.BDP("41422HBG Muni","ISSUE_DT")</f>
        <v>2/1/2017</v>
      </c>
      <c r="I996" t="str">
        <f>_xll.BDS("41422HBG Muni","MUNI_PURPOSE_SCHED", "aggregate=y")</f>
        <v>WATER UTILITY IMPS. SEWER IMPS.</v>
      </c>
      <c r="J996">
        <f>_xll.BDP("41422HBG Muni","CPN")</f>
        <v>3</v>
      </c>
      <c r="K996" t="str">
        <f>_xll.BDP("41422HBG Muni","MATURITY")</f>
        <v>9/1/2023</v>
      </c>
      <c r="L996">
        <v>55000</v>
      </c>
      <c r="M996">
        <f>_xll.BDP("41422HBG Muni","YIELD_ON_ISSUE_DATE")</f>
        <v>3</v>
      </c>
      <c r="N996">
        <f>_xll.BDP("41422HBG Muni","YTW_SPREAD_TO_MATURITY_AT_ISSU")</f>
        <v>113.71862758415084</v>
      </c>
      <c r="O996" t="str">
        <f>_xll.BDP("41422HBG Muni","BVAL_MID_YTM")</f>
        <v>#N/A Authorization</v>
      </c>
      <c r="P996" t="str">
        <f>_xll.BDP("41422HBG Muni","MUNI_TAX_PROV")</f>
        <v>FED TAX-EXEMPT</v>
      </c>
      <c r="Q996" t="str">
        <f>_xll.BDP("41422HBG Muni","MUNI_FED_TAX")</f>
        <v>N</v>
      </c>
      <c r="R996" t="str">
        <f>_xll.BDP("41422HBG Muni","MUNI_MSRB_VOLUME")</f>
        <v>#N/A N/A</v>
      </c>
      <c r="S996" t="str">
        <f>_xll.BDP("41422HBG Muni","BB_COMPOSITE")</f>
        <v>#N/A N/A</v>
      </c>
      <c r="T996">
        <f>_xll.BDP("41422HBG Muni","LQA_LIQUIDITY_SCORE")</f>
        <v>72</v>
      </c>
    </row>
    <row r="997" spans="1:20" x14ac:dyDescent="0.25">
      <c r="A997" t="str">
        <f>_xll.BDP("41422HBJ Muni","ID_CUSIP")</f>
        <v>41422HBJ4</v>
      </c>
      <c r="B997" t="s">
        <v>328</v>
      </c>
      <c r="C997" t="str">
        <f>_xll.BDP("41422HBJ Muni","INSURANCE_STATUS")</f>
        <v>N</v>
      </c>
      <c r="D997" t="str">
        <f>_xll.BDP("41422HBJ Muni","STATE_CODE")</f>
        <v>TX</v>
      </c>
      <c r="E997" t="str">
        <f>_xll.BDP("41422HBJ Muni","COUNTY_LOCATION_ISSUER")</f>
        <v>Harris, TX</v>
      </c>
      <c r="F997">
        <f>_xll.BDP("41422HBJ Muni","DUR_ADJ_MID")</f>
        <v>2.8857992484099344</v>
      </c>
      <c r="G997">
        <f>_xll.BDP("41422HBJ Muni","SPREAD_AT_ISSUANCE_TO_WORST")</f>
        <v>118.87248710858245</v>
      </c>
      <c r="H997" t="str">
        <f>_xll.BDP("41422HBJ Muni","ISSUE_DT")</f>
        <v>2/1/2017</v>
      </c>
      <c r="I997" t="str">
        <f>_xll.BDS("41422HBJ Muni","MUNI_PURPOSE_SCHED", "aggregate=y")</f>
        <v>WATER UTILITY IMPS. SEWER IMPS.</v>
      </c>
      <c r="J997">
        <f>_xll.BDP("41422HBJ Muni","CPN")</f>
        <v>3.3</v>
      </c>
      <c r="K997" t="str">
        <f>_xll.BDP("41422HBJ Muni","MATURITY")</f>
        <v>9/1/2025</v>
      </c>
      <c r="L997">
        <v>60000</v>
      </c>
      <c r="M997">
        <f>_xll.BDP("41422HBJ Muni","YIELD_ON_ISSUE_DATE")</f>
        <v>3.3000000000000003</v>
      </c>
      <c r="N997">
        <f>_xll.BDP("41422HBJ Muni","YTW_SPREAD_TO_MATURITY_AT_ISSU")</f>
        <v>118.87248710858245</v>
      </c>
      <c r="O997" t="str">
        <f>_xll.BDP("41422HBJ Muni","BVAL_MID_YTM")</f>
        <v>#N/A Authorization</v>
      </c>
      <c r="P997" t="str">
        <f>_xll.BDP("41422HBJ Muni","MUNI_TAX_PROV")</f>
        <v>FED TAX-EXEMPT</v>
      </c>
      <c r="Q997" t="str">
        <f>_xll.BDP("41422HBJ Muni","MUNI_FED_TAX")</f>
        <v>N</v>
      </c>
      <c r="R997" t="str">
        <f>_xll.BDP("41422HBJ Muni","MUNI_MSRB_VOLUME")</f>
        <v>#N/A N/A</v>
      </c>
      <c r="S997" t="str">
        <f>_xll.BDP("41422HBJ Muni","BB_COMPOSITE")</f>
        <v>#N/A N/A</v>
      </c>
      <c r="T997">
        <f>_xll.BDP("41422HBJ Muni","LQA_LIQUIDITY_SCORE")</f>
        <v>47</v>
      </c>
    </row>
    <row r="998" spans="1:20" x14ac:dyDescent="0.25">
      <c r="A998" t="str">
        <f>_xll.BDP("41422JCW Muni","ID_CUSIP")</f>
        <v>41422JCW0</v>
      </c>
      <c r="B998" t="s">
        <v>329</v>
      </c>
      <c r="C998" t="str">
        <f>_xll.BDP("41422JCW Muni","INSURANCE_STATUS")</f>
        <v>N</v>
      </c>
      <c r="D998" t="str">
        <f>_xll.BDP("41422JCW Muni","STATE_CODE")</f>
        <v>TX</v>
      </c>
      <c r="E998" t="str">
        <f>_xll.BDP("41422JCW Muni","COUNTY_LOCATION_ISSUER")</f>
        <v>Harris, TX</v>
      </c>
      <c r="F998">
        <f>_xll.BDP("41422JCW Muni","DUR_ADJ_MID")</f>
        <v>8.0443835983869741E-2</v>
      </c>
      <c r="G998">
        <f>_xll.BDP("41422JCW Muni","SPREAD_AT_ISSUANCE_TO_WORST")</f>
        <v>97.4075911745431</v>
      </c>
      <c r="H998" t="str">
        <f>_xll.BDP("41422JCW Muni","ISSUE_DT")</f>
        <v>5/1/2017</v>
      </c>
      <c r="I998" t="str">
        <f>_xll.BDS("41422JCW Muni","MUNI_PURPOSE_SCHED", "aggregate=y")</f>
        <v>PROPERTY ACQUISITION WATER UTILITY IMPS. PUBLIC IMPS.</v>
      </c>
      <c r="J998">
        <f>_xll.BDP("41422JCW Muni","CPN")</f>
        <v>3</v>
      </c>
      <c r="K998" t="str">
        <f>_xll.BDP("41422JCW Muni","MATURITY")</f>
        <v>9/1/2022</v>
      </c>
      <c r="L998">
        <v>350000</v>
      </c>
      <c r="M998">
        <f>_xll.BDP("41422JCW Muni","YIELD_ON_ISSUE_DATE")</f>
        <v>2.4000000000000004</v>
      </c>
      <c r="N998">
        <f>_xll.BDP("41422JCW Muni","YTW_SPREAD_TO_MATURITY_AT_ISSU")</f>
        <v>97.4075911745431</v>
      </c>
      <c r="O998" t="str">
        <f>_xll.BDP("41422JCW Muni","BVAL_MID_YTM")</f>
        <v>#N/A Authorization</v>
      </c>
      <c r="P998" t="str">
        <f>_xll.BDP("41422JCW Muni","MUNI_TAX_PROV")</f>
        <v>FED TAX-EXEMPT</v>
      </c>
      <c r="Q998" t="str">
        <f>_xll.BDP("41422JCW Muni","MUNI_FED_TAX")</f>
        <v>N</v>
      </c>
      <c r="R998" t="str">
        <f>_xll.BDP("41422JCW Muni","MUNI_MSRB_VOLUME")</f>
        <v>#N/A N/A</v>
      </c>
      <c r="S998" t="str">
        <f>_xll.BDP("41422JCW Muni","BB_COMPOSITE")</f>
        <v>#N/A N/A</v>
      </c>
      <c r="T998">
        <f>_xll.BDP("41422JCW Muni","LQA_LIQUIDITY_SCORE")</f>
        <v>99</v>
      </c>
    </row>
    <row r="999" spans="1:20" x14ac:dyDescent="0.25">
      <c r="A999" t="str">
        <f>_xll.BDP("41422PJH Muni","ID_CUSIP")</f>
        <v>41422PJH2</v>
      </c>
      <c r="B999" t="s">
        <v>328</v>
      </c>
      <c r="C999" t="str">
        <f>_xll.BDP("41422PJH Muni","INSURANCE_STATUS")</f>
        <v>Y</v>
      </c>
      <c r="D999" t="str">
        <f>_xll.BDP("41422PJH Muni","STATE_CODE")</f>
        <v>TX</v>
      </c>
      <c r="E999" t="str">
        <f>_xll.BDP("41422PJH Muni","COUNTY_LOCATION_ISSUER")</f>
        <v>Harris, TX</v>
      </c>
      <c r="F999">
        <f>_xll.BDP("41422PJH Muni","DUR_ADJ_MID")</f>
        <v>0.32935280048567922</v>
      </c>
      <c r="G999">
        <f>_xll.BDP("41422PJH Muni","SPREAD_AT_ISSUANCE_TO_WORST")</f>
        <v>61.745115068493142</v>
      </c>
      <c r="H999" t="str">
        <f>_xll.BDP("41422PJH Muni","ISSUE_DT")</f>
        <v>12/1/2017</v>
      </c>
      <c r="I999" t="str">
        <f>_xll.BDS("41422PJH Muni","MUNI_PURPOSE_SCHED", "aggregate=y")</f>
        <v>PUBLIC IMPS. WATER UTILITY IMPS. SEWER IMPS.</v>
      </c>
      <c r="J999">
        <f>_xll.BDP("41422PJH Muni","CPN")</f>
        <v>3</v>
      </c>
      <c r="K999" t="str">
        <f>_xll.BDP("41422PJH Muni","MATURITY")</f>
        <v>12/1/2022</v>
      </c>
      <c r="L999">
        <v>300000</v>
      </c>
      <c r="M999">
        <f>_xll.BDP("41422PJH Muni","YIELD_ON_ISSUE_DATE")</f>
        <v>2.15</v>
      </c>
      <c r="N999">
        <f>_xll.BDP("41422PJH Muni","YTW_SPREAD_TO_MATURITY_AT_ISSU")</f>
        <v>61.745115068493142</v>
      </c>
      <c r="O999" t="str">
        <f>_xll.BDP("41422PJH Muni","BVAL_MID_YTM")</f>
        <v>#N/A Authorization</v>
      </c>
      <c r="P999" t="str">
        <f>_xll.BDP("41422PJH Muni","MUNI_TAX_PROV")</f>
        <v>FED TAX-EXEMPT</v>
      </c>
      <c r="Q999" t="str">
        <f>_xll.BDP("41422PJH Muni","MUNI_FED_TAX")</f>
        <v>N</v>
      </c>
      <c r="R999" t="str">
        <f>_xll.BDP("41422PJH Muni","MUNI_MSRB_VOLUME")</f>
        <v>#N/A N/A</v>
      </c>
      <c r="S999" t="str">
        <f>_xll.BDP("41422PJH Muni","BB_COMPOSITE")</f>
        <v>AA-</v>
      </c>
      <c r="T999">
        <f>_xll.BDP("41422PJH Muni","LQA_LIQUIDITY_SCORE")</f>
        <v>96</v>
      </c>
    </row>
    <row r="1000" spans="1:20" x14ac:dyDescent="0.25">
      <c r="A1000" t="str">
        <f>_xll.BDP("41422PJJ Muni","ID_CUSIP")</f>
        <v>41422PJJ8</v>
      </c>
      <c r="B1000" t="s">
        <v>328</v>
      </c>
      <c r="C1000" t="str">
        <f>_xll.BDP("41422PJJ Muni","INSURANCE_STATUS")</f>
        <v>Y</v>
      </c>
      <c r="D1000" t="str">
        <f>_xll.BDP("41422PJJ Muni","STATE_CODE")</f>
        <v>TX</v>
      </c>
      <c r="E1000" t="str">
        <f>_xll.BDP("41422PJJ Muni","COUNTY_LOCATION_ISSUER")</f>
        <v>Harris, TX</v>
      </c>
      <c r="F1000">
        <f>_xll.BDP("41422PJJ Muni","DUR_ADJ_MID")</f>
        <v>1.2975650199723734</v>
      </c>
      <c r="G1000">
        <f>_xll.BDP("41422PJJ Muni","SPREAD_AT_ISSUANCE_TO_WORST")</f>
        <v>66.169712328767091</v>
      </c>
      <c r="H1000" t="str">
        <f>_xll.BDP("41422PJJ Muni","ISSUE_DT")</f>
        <v>12/1/2017</v>
      </c>
      <c r="I1000" t="str">
        <f>_xll.BDS("41422PJJ Muni","MUNI_PURPOSE_SCHED", "aggregate=y")</f>
        <v>PUBLIC IMPS. WATER UTILITY IMPS. SEWER IMPS.</v>
      </c>
      <c r="J1000">
        <f>_xll.BDP("41422PJJ Muni","CPN")</f>
        <v>3</v>
      </c>
      <c r="K1000" t="str">
        <f>_xll.BDP("41422PJJ Muni","MATURITY")</f>
        <v>12/1/2023</v>
      </c>
      <c r="L1000">
        <v>270000</v>
      </c>
      <c r="M1000">
        <f>_xll.BDP("41422PJJ Muni","YIELD_ON_ISSUE_DATE")</f>
        <v>2.3000000000000003</v>
      </c>
      <c r="N1000">
        <f>_xll.BDP("41422PJJ Muni","YTW_SPREAD_TO_MATURITY_AT_ISSU")</f>
        <v>66.169712328767091</v>
      </c>
      <c r="O1000" t="str">
        <f>_xll.BDP("41422PJJ Muni","BVAL_MID_YTM")</f>
        <v>#N/A Authorization</v>
      </c>
      <c r="P1000" t="str">
        <f>_xll.BDP("41422PJJ Muni","MUNI_TAX_PROV")</f>
        <v>FED TAX-EXEMPT</v>
      </c>
      <c r="Q1000" t="str">
        <f>_xll.BDP("41422PJJ Muni","MUNI_FED_TAX")</f>
        <v>N</v>
      </c>
      <c r="R1000" t="str">
        <f>_xll.BDP("41422PJJ Muni","MUNI_MSRB_VOLUME")</f>
        <v>#N/A N/A</v>
      </c>
      <c r="S1000" t="str">
        <f>_xll.BDP("41422PJJ Muni","BB_COMPOSITE")</f>
        <v>AA-</v>
      </c>
      <c r="T1000">
        <f>_xll.BDP("41422PJJ Muni","LQA_LIQUIDITY_SCORE")</f>
        <v>86</v>
      </c>
    </row>
    <row r="1001" spans="1:20" x14ac:dyDescent="0.25">
      <c r="A1001" t="str">
        <f>_xll.BDP("41422PJK Muni","ID_CUSIP")</f>
        <v>41422PJK5</v>
      </c>
      <c r="B1001" t="s">
        <v>328</v>
      </c>
      <c r="C1001" t="str">
        <f>_xll.BDP("41422PJK Muni","INSURANCE_STATUS")</f>
        <v>Y</v>
      </c>
      <c r="D1001" t="str">
        <f>_xll.BDP("41422PJK Muni","STATE_CODE")</f>
        <v>TX</v>
      </c>
      <c r="E1001" t="str">
        <f>_xll.BDP("41422PJK Muni","COUNTY_LOCATION_ISSUER")</f>
        <v>Harris, TX</v>
      </c>
      <c r="F1001">
        <f>_xll.BDP("41422PJK Muni","DUR_ADJ_MID")</f>
        <v>2.2374141205049445</v>
      </c>
      <c r="G1001">
        <f>_xll.BDP("41422PJK Muni","SPREAD_AT_ISSUANCE_TO_WORST")</f>
        <v>71.099575342465783</v>
      </c>
      <c r="H1001" t="str">
        <f>_xll.BDP("41422PJK Muni","ISSUE_DT")</f>
        <v>12/1/2017</v>
      </c>
      <c r="I1001" t="str">
        <f>_xll.BDS("41422PJK Muni","MUNI_PURPOSE_SCHED", "aggregate=y")</f>
        <v>PUBLIC IMPS. WATER UTILITY IMPS. SEWER IMPS.</v>
      </c>
      <c r="J1001">
        <f>_xll.BDP("41422PJK Muni","CPN")</f>
        <v>3</v>
      </c>
      <c r="K1001" t="str">
        <f>_xll.BDP("41422PJK Muni","MATURITY")</f>
        <v>12/1/2024</v>
      </c>
      <c r="L1001">
        <v>265000</v>
      </c>
      <c r="M1001">
        <f>_xll.BDP("41422PJK Muni","YIELD_ON_ISSUE_DATE")</f>
        <v>2.4500000000000002</v>
      </c>
      <c r="N1001">
        <f>_xll.BDP("41422PJK Muni","YTW_SPREAD_TO_MATURITY_AT_ISSU")</f>
        <v>71.099575342465783</v>
      </c>
      <c r="O1001" t="str">
        <f>_xll.BDP("41422PJK Muni","BVAL_MID_YTM")</f>
        <v>#N/A Authorization</v>
      </c>
      <c r="P1001" t="str">
        <f>_xll.BDP("41422PJK Muni","MUNI_TAX_PROV")</f>
        <v>FED TAX-EXEMPT</v>
      </c>
      <c r="Q1001" t="str">
        <f>_xll.BDP("41422PJK Muni","MUNI_FED_TAX")</f>
        <v>N</v>
      </c>
      <c r="R1001" t="str">
        <f>_xll.BDP("41422PJK Muni","MUNI_MSRB_VOLUME")</f>
        <v>#N/A N/A</v>
      </c>
      <c r="S1001" t="str">
        <f>_xll.BDP("41422PJK Muni","BB_COMPOSITE")</f>
        <v>AA-</v>
      </c>
      <c r="T1001">
        <f>_xll.BDP("41422PJK Muni","LQA_LIQUIDITY_SCORE")</f>
        <v>74</v>
      </c>
    </row>
    <row r="1002" spans="1:20" x14ac:dyDescent="0.25">
      <c r="A1002" t="str">
        <f>_xll.BDP("41422SEK Muni","ID_CUSIP")</f>
        <v>41422SEK4</v>
      </c>
      <c r="B1002" t="s">
        <v>330</v>
      </c>
      <c r="C1002" t="str">
        <f>_xll.BDP("41422SEK Muni","INSURANCE_STATUS")</f>
        <v>Y</v>
      </c>
      <c r="D1002" t="str">
        <f>_xll.BDP("41422SEK Muni","STATE_CODE")</f>
        <v>TX</v>
      </c>
      <c r="E1002" t="str">
        <f>_xll.BDP("41422SEK Muni","COUNTY_LOCATION_ISSUER")</f>
        <v>Harris, TX</v>
      </c>
      <c r="F1002">
        <f>_xll.BDP("41422SEK Muni","DUR_ADJ_MID")</f>
        <v>8.049125661857702E-2</v>
      </c>
      <c r="G1002">
        <f>_xll.BDP("41422SEK Muni","SPREAD_AT_ISSUANCE_TO_WORST")</f>
        <v>61.985905130346566</v>
      </c>
      <c r="H1002" t="str">
        <f>_xll.BDP("41422SEK Muni","ISSUE_DT")</f>
        <v>1/1/2017</v>
      </c>
      <c r="I1002" t="str">
        <f>_xll.BDS("41422SEK Muni","MUNI_PURPOSE_SCHED", "aggregate=y")</f>
        <v>PUBLIC IMPS. WATER UTILITY IMPS. SEWER IMPS.</v>
      </c>
      <c r="J1002">
        <f>_xll.BDP("41422SEK Muni","CPN")</f>
        <v>3</v>
      </c>
      <c r="K1002" t="str">
        <f>_xll.BDP("41422SEK Muni","MATURITY")</f>
        <v>9/1/2022</v>
      </c>
      <c r="L1002">
        <v>315000</v>
      </c>
      <c r="M1002">
        <f>_xll.BDP("41422SEK Muni","YIELD_ON_ISSUE_DATE")</f>
        <v>2.5</v>
      </c>
      <c r="N1002">
        <f>_xll.BDP("41422SEK Muni","YTW_SPREAD_TO_MATURITY_AT_ISSU")</f>
        <v>61.985905130346566</v>
      </c>
      <c r="O1002" t="str">
        <f>_xll.BDP("41422SEK Muni","BVAL_MID_YTM")</f>
        <v>#N/A Authorization</v>
      </c>
      <c r="P1002" t="str">
        <f>_xll.BDP("41422SEK Muni","MUNI_TAX_PROV")</f>
        <v>FED TAX-EXEMPT</v>
      </c>
      <c r="Q1002" t="str">
        <f>_xll.BDP("41422SEK Muni","MUNI_FED_TAX")</f>
        <v>N</v>
      </c>
      <c r="R1002" t="str">
        <f>_xll.BDP("41422SEK Muni","MUNI_MSRB_VOLUME")</f>
        <v>#N/A N/A</v>
      </c>
      <c r="S1002" t="str">
        <f>_xll.BDP("41422SEK Muni","BB_COMPOSITE")</f>
        <v>AA-</v>
      </c>
      <c r="T1002">
        <f>_xll.BDP("41422SEK Muni","LQA_LIQUIDITY_SCORE")</f>
        <v>97</v>
      </c>
    </row>
    <row r="1003" spans="1:20" x14ac:dyDescent="0.25">
      <c r="A1003" t="str">
        <f>_xll.BDP("41422SEM Muni","ID_CUSIP")</f>
        <v>41422SEM0</v>
      </c>
      <c r="B1003" t="s">
        <v>330</v>
      </c>
      <c r="C1003" t="str">
        <f>_xll.BDP("41422SEM Muni","INSURANCE_STATUS")</f>
        <v>Y</v>
      </c>
      <c r="D1003" t="str">
        <f>_xll.BDP("41422SEM Muni","STATE_CODE")</f>
        <v>TX</v>
      </c>
      <c r="E1003" t="str">
        <f>_xll.BDP("41422SEM Muni","COUNTY_LOCATION_ISSUER")</f>
        <v>Harris, TX</v>
      </c>
      <c r="F1003">
        <f>_xll.BDP("41422SEM Muni","DUR_ADJ_MID")</f>
        <v>1.990765081328679</v>
      </c>
      <c r="G1003">
        <f>_xll.BDP("41422SEM Muni","SPREAD_AT_ISSUANCE_TO_WORST")</f>
        <v>74.567798906238409</v>
      </c>
      <c r="H1003" t="str">
        <f>_xll.BDP("41422SEM Muni","ISSUE_DT")</f>
        <v>1/1/2017</v>
      </c>
      <c r="I1003" t="str">
        <f>_xll.BDS("41422SEM Muni","MUNI_PURPOSE_SCHED", "aggregate=y")</f>
        <v>PUBLIC IMPS. WATER UTILITY IMPS. SEWER IMPS.</v>
      </c>
      <c r="J1003">
        <f>_xll.BDP("41422SEM Muni","CPN")</f>
        <v>3</v>
      </c>
      <c r="K1003" t="str">
        <f>_xll.BDP("41422SEM Muni","MATURITY")</f>
        <v>9/1/2024</v>
      </c>
      <c r="L1003">
        <v>340000</v>
      </c>
      <c r="M1003">
        <f>_xll.BDP("41422SEM Muni","YIELD_ON_ISSUE_DATE")</f>
        <v>2.9000000000000004</v>
      </c>
      <c r="N1003">
        <f>_xll.BDP("41422SEM Muni","YTW_SPREAD_TO_MATURITY_AT_ISSU")</f>
        <v>74.567798906238409</v>
      </c>
      <c r="O1003" t="str">
        <f>_xll.BDP("41422SEM Muni","BVAL_MID_YTM")</f>
        <v>#N/A Authorization</v>
      </c>
      <c r="P1003" t="str">
        <f>_xll.BDP("41422SEM Muni","MUNI_TAX_PROV")</f>
        <v>FED TAX-EXEMPT</v>
      </c>
      <c r="Q1003" t="str">
        <f>_xll.BDP("41422SEM Muni","MUNI_FED_TAX")</f>
        <v>N</v>
      </c>
      <c r="R1003" t="str">
        <f>_xll.BDP("41422SEM Muni","MUNI_MSRB_VOLUME")</f>
        <v>#N/A N/A</v>
      </c>
      <c r="S1003" t="str">
        <f>_xll.BDP("41422SEM Muni","BB_COMPOSITE")</f>
        <v>AA-</v>
      </c>
      <c r="T1003">
        <f>_xll.BDP("41422SEM Muni","LQA_LIQUIDITY_SCORE")</f>
        <v>76</v>
      </c>
    </row>
    <row r="1004" spans="1:20" x14ac:dyDescent="0.25">
      <c r="A1004" t="str">
        <f>_xll.BDP("41422VBF Muni","ID_CUSIP")</f>
        <v>41422VBF1</v>
      </c>
      <c r="B1004" t="s">
        <v>331</v>
      </c>
      <c r="C1004" t="str">
        <f>_xll.BDP("41422VBF Muni","INSURANCE_STATUS")</f>
        <v>N</v>
      </c>
      <c r="D1004" t="str">
        <f>_xll.BDP("41422VBF Muni","STATE_CODE")</f>
        <v>TX</v>
      </c>
      <c r="E1004" t="str">
        <f>_xll.BDP("41422VBF Muni","COUNTY_LOCATION_ISSUER")</f>
        <v>Harris, TX</v>
      </c>
      <c r="F1004">
        <f>_xll.BDP("41422VBF Muni","DUR_ADJ_MID")</f>
        <v>1.050637924964622</v>
      </c>
      <c r="G1004">
        <f>_xll.BDP("41422VBF Muni","SPREAD_AT_ISSUANCE_TO_WORST")</f>
        <v>105.71095071059622</v>
      </c>
      <c r="H1004" t="str">
        <f>_xll.BDP("41422VBF Muni","ISSUE_DT")</f>
        <v>7/1/2017</v>
      </c>
      <c r="I1004" t="str">
        <f>_xll.BDS("41422VBF Muni","MUNI_PURPOSE_SCHED", "aggregate=y")</f>
        <v>WATER UTILITY IMPS. SEWER IMPS. RECREATIONAL FAC. IMPS.</v>
      </c>
      <c r="J1004">
        <f>_xll.BDP("41422VBF Muni","CPN")</f>
        <v>2.4500000000000002</v>
      </c>
      <c r="K1004" t="str">
        <f>_xll.BDP("41422VBF Muni","MATURITY")</f>
        <v>9/1/2023</v>
      </c>
      <c r="L1004">
        <v>110000</v>
      </c>
      <c r="M1004">
        <f>_xll.BDP("41422VBF Muni","YIELD_ON_ISSUE_DATE")</f>
        <v>2.4500000000000002</v>
      </c>
      <c r="N1004">
        <f>_xll.BDP("41422VBF Muni","YTW_SPREAD_TO_MATURITY_AT_ISSU")</f>
        <v>105.71095071059622</v>
      </c>
      <c r="O1004" t="str">
        <f>_xll.BDP("41422VBF Muni","BVAL_MID_YTM")</f>
        <v>#N/A Authorization</v>
      </c>
      <c r="P1004" t="str">
        <f>_xll.BDP("41422VBF Muni","MUNI_TAX_PROV")</f>
        <v>FED BQ</v>
      </c>
      <c r="Q1004" t="str">
        <f>_xll.BDP("41422VBF Muni","MUNI_FED_TAX")</f>
        <v>N</v>
      </c>
      <c r="R1004" t="str">
        <f>_xll.BDP("41422VBF Muni","MUNI_MSRB_VOLUME")</f>
        <v>#N/A N/A</v>
      </c>
      <c r="S1004" t="str">
        <f>_xll.BDP("41422VBF Muni","BB_COMPOSITE")</f>
        <v>#N/A N/A</v>
      </c>
      <c r="T1004">
        <f>_xll.BDP("41422VBF Muni","LQA_LIQUIDITY_SCORE")</f>
        <v>71</v>
      </c>
    </row>
    <row r="1005" spans="1:20" x14ac:dyDescent="0.25">
      <c r="A1005" t="str">
        <f>_xll.BDP("41422YCF Muni","ID_CUSIP")</f>
        <v>41422YCF4</v>
      </c>
      <c r="B1005" t="s">
        <v>332</v>
      </c>
      <c r="C1005" t="str">
        <f>_xll.BDP("41422YCF Muni","INSURANCE_STATUS")</f>
        <v>Y</v>
      </c>
      <c r="D1005" t="str">
        <f>_xll.BDP("41422YCF Muni","STATE_CODE")</f>
        <v>TX</v>
      </c>
      <c r="E1005" t="str">
        <f>_xll.BDP("41422YCF Muni","COUNTY_LOCATION_ISSUER")</f>
        <v>Harris, TX</v>
      </c>
      <c r="F1005">
        <f>_xll.BDP("41422YCF Muni","DUR_ADJ_MID")</f>
        <v>8.0471216936018622E-2</v>
      </c>
      <c r="G1005">
        <f>_xll.BDP("41422YCF Muni","SPREAD_AT_ISSUANCE_TO_WORST")</f>
        <v>32.776641840235342</v>
      </c>
      <c r="H1005" t="str">
        <f>_xll.BDP("41422YCF Muni","ISSUE_DT")</f>
        <v>3/1/2017</v>
      </c>
      <c r="I1005" t="str">
        <f>_xll.BDS("41422YCF Muni","MUNI_PURPOSE_SCHED", "aggregate=y")</f>
        <v>WATER UTILITY IMPS. SEWER IMPS.</v>
      </c>
      <c r="J1005">
        <f>_xll.BDP("41422YCF Muni","CPN")</f>
        <v>3</v>
      </c>
      <c r="K1005" t="str">
        <f>_xll.BDP("41422YCF Muni","MATURITY")</f>
        <v>9/1/2022</v>
      </c>
      <c r="L1005">
        <v>185000</v>
      </c>
      <c r="M1005">
        <f>_xll.BDP("41422YCF Muni","YIELD_ON_ISSUE_DATE")</f>
        <v>2</v>
      </c>
      <c r="N1005">
        <f>_xll.BDP("41422YCF Muni","YTW_SPREAD_TO_MATURITY_AT_ISSU")</f>
        <v>32.776641840235342</v>
      </c>
      <c r="O1005" t="str">
        <f>_xll.BDP("41422YCF Muni","BVAL_MID_YTM")</f>
        <v>#N/A Authorization</v>
      </c>
      <c r="P1005" t="str">
        <f>_xll.BDP("41422YCF Muni","MUNI_TAX_PROV")</f>
        <v>FED BQ</v>
      </c>
      <c r="Q1005" t="str">
        <f>_xll.BDP("41422YCF Muni","MUNI_FED_TAX")</f>
        <v>N</v>
      </c>
      <c r="R1005">
        <f>_xll.BDP("41422YCF Muni","MUNI_MSRB_VOLUME")</f>
        <v>50000</v>
      </c>
      <c r="S1005" t="str">
        <f>_xll.BDP("41422YCF Muni","BB_COMPOSITE")</f>
        <v>A+</v>
      </c>
      <c r="T1005">
        <f>_xll.BDP("41422YCF Muni","LQA_LIQUIDITY_SCORE")</f>
        <v>99</v>
      </c>
    </row>
    <row r="1006" spans="1:20" x14ac:dyDescent="0.25">
      <c r="A1006" t="str">
        <f>_xll.BDP("41422YCH Muni","ID_CUSIP")</f>
        <v>41422YCH0</v>
      </c>
      <c r="B1006" t="s">
        <v>332</v>
      </c>
      <c r="C1006" t="str">
        <f>_xll.BDP("41422YCH Muni","INSURANCE_STATUS")</f>
        <v>Y</v>
      </c>
      <c r="D1006" t="str">
        <f>_xll.BDP("41422YCH Muni","STATE_CODE")</f>
        <v>TX</v>
      </c>
      <c r="E1006" t="str">
        <f>_xll.BDP("41422YCH Muni","COUNTY_LOCATION_ISSUER")</f>
        <v>Harris, TX</v>
      </c>
      <c r="F1006">
        <f>_xll.BDP("41422YCH Muni","DUR_ADJ_MID")</f>
        <v>1.9873795501799392</v>
      </c>
      <c r="G1006">
        <f>_xll.BDP("41422YCH Muni","SPREAD_AT_ISSUANCE_TO_WORST")</f>
        <v>26.654053903049292</v>
      </c>
      <c r="H1006" t="str">
        <f>_xll.BDP("41422YCH Muni","ISSUE_DT")</f>
        <v>3/1/2017</v>
      </c>
      <c r="I1006" t="str">
        <f>_xll.BDS("41422YCH Muni","MUNI_PURPOSE_SCHED", "aggregate=y")</f>
        <v>WATER UTILITY IMPS. SEWER IMPS.</v>
      </c>
      <c r="J1006">
        <f>_xll.BDP("41422YCH Muni","CPN")</f>
        <v>3</v>
      </c>
      <c r="K1006" t="str">
        <f>_xll.BDP("41422YCH Muni","MATURITY")</f>
        <v>9/1/2024</v>
      </c>
      <c r="L1006">
        <v>185000</v>
      </c>
      <c r="M1006">
        <f>_xll.BDP("41422YCH Muni","YIELD_ON_ISSUE_DATE")</f>
        <v>2.25</v>
      </c>
      <c r="N1006">
        <f>_xll.BDP("41422YCH Muni","YTW_SPREAD_TO_MATURITY_AT_ISSU")</f>
        <v>26.654053903049292</v>
      </c>
      <c r="O1006" t="str">
        <f>_xll.BDP("41422YCH Muni","BVAL_MID_YTM")</f>
        <v>#N/A Authorization</v>
      </c>
      <c r="P1006" t="str">
        <f>_xll.BDP("41422YCH Muni","MUNI_TAX_PROV")</f>
        <v>FED BQ</v>
      </c>
      <c r="Q1006" t="str">
        <f>_xll.BDP("41422YCH Muni","MUNI_FED_TAX")</f>
        <v>N</v>
      </c>
      <c r="R1006" t="str">
        <f>_xll.BDP("41422YCH Muni","MUNI_MSRB_VOLUME")</f>
        <v>#N/A N/A</v>
      </c>
      <c r="S1006" t="str">
        <f>_xll.BDP("41422YCH Muni","BB_COMPOSITE")</f>
        <v>A+</v>
      </c>
      <c r="T1006">
        <f>_xll.BDP("41422YCH Muni","LQA_LIQUIDITY_SCORE")</f>
        <v>79</v>
      </c>
    </row>
    <row r="1007" spans="1:20" x14ac:dyDescent="0.25">
      <c r="A1007" t="str">
        <f>_xll.BDP("194748DC Muni","ID_CUSIP")</f>
        <v>194748DC0</v>
      </c>
      <c r="B1007" t="s">
        <v>333</v>
      </c>
      <c r="C1007" t="str">
        <f>_xll.BDP("194748DC Muni","INSURANCE_STATUS")</f>
        <v>Y</v>
      </c>
      <c r="D1007" t="str">
        <f>_xll.BDP("194748DC Muni","STATE_CODE")</f>
        <v>TX</v>
      </c>
      <c r="E1007" t="str">
        <f>_xll.BDP("194748DC Muni","COUNTY_LOCATION_ISSUER")</f>
        <v>Collin, TX</v>
      </c>
      <c r="F1007">
        <f>_xll.BDP("194748DC Muni","DUR_ADJ_MID")</f>
        <v>0.52556755807997735</v>
      </c>
      <c r="G1007">
        <f>_xll.BDP("194748DC Muni","SPREAD_AT_ISSUANCE_TO_WORST")</f>
        <v>48.474646575342462</v>
      </c>
      <c r="H1007" t="str">
        <f>_xll.BDP("194748DC Muni","ISSUE_DT")</f>
        <v>11/15/2017</v>
      </c>
      <c r="I1007" t="str">
        <f>_xll.BDS("194748DC Muni","MUNI_PURPOSE_SCHED", "aggregate=y")</f>
        <v>PUBLIC IMPS. WATER UTILITY IMPS. SEWER IMPS.</v>
      </c>
      <c r="J1007">
        <f>_xll.BDP("194748DC Muni","CPN")</f>
        <v>3</v>
      </c>
      <c r="K1007" t="str">
        <f>_xll.BDP("194748DC Muni","MATURITY")</f>
        <v>2/15/2023</v>
      </c>
      <c r="L1007">
        <v>470000</v>
      </c>
      <c r="M1007">
        <f>_xll.BDP("194748DC Muni","YIELD_ON_ISSUE_DATE")</f>
        <v>2.04</v>
      </c>
      <c r="N1007">
        <f>_xll.BDP("194748DC Muni","YTW_SPREAD_TO_MATURITY_AT_ISSU")</f>
        <v>48.474646575342462</v>
      </c>
      <c r="O1007" t="str">
        <f>_xll.BDP("194748DC Muni","BVAL_MID_YTM")</f>
        <v>#N/A Authorization</v>
      </c>
      <c r="P1007" t="str">
        <f>_xll.BDP("194748DC Muni","MUNI_TAX_PROV")</f>
        <v>FED TAX-EXEMPT</v>
      </c>
      <c r="Q1007" t="str">
        <f>_xll.BDP("194748DC Muni","MUNI_FED_TAX")</f>
        <v>N</v>
      </c>
      <c r="R1007">
        <f>_xll.BDP("194748DC Muni","MUNI_MSRB_VOLUME")</f>
        <v>30000</v>
      </c>
      <c r="S1007" t="str">
        <f>_xll.BDP("194748DC Muni","BB_COMPOSITE")</f>
        <v>AA-</v>
      </c>
      <c r="T1007">
        <f>_xll.BDP("194748DC Muni","LQA_LIQUIDITY_SCORE")</f>
        <v>97</v>
      </c>
    </row>
    <row r="1008" spans="1:20" x14ac:dyDescent="0.25">
      <c r="A1008" t="str">
        <f>_xll.BDP("194748DD Muni","ID_CUSIP")</f>
        <v>194748DD8</v>
      </c>
      <c r="B1008" t="s">
        <v>333</v>
      </c>
      <c r="C1008" t="str">
        <f>_xll.BDP("194748DD Muni","INSURANCE_STATUS")</f>
        <v>Y</v>
      </c>
      <c r="D1008" t="str">
        <f>_xll.BDP("194748DD Muni","STATE_CODE")</f>
        <v>TX</v>
      </c>
      <c r="E1008" t="str">
        <f>_xll.BDP("194748DD Muni","COUNTY_LOCATION_ISSUER")</f>
        <v>Collin, TX</v>
      </c>
      <c r="F1008">
        <f>_xll.BDP("194748DD Muni","DUR_ADJ_MID")</f>
        <v>1.4934529520208142</v>
      </c>
      <c r="G1008">
        <f>_xll.BDP("194748DD Muni","SPREAD_AT_ISSUANCE_TO_WORST")</f>
        <v>57.801515068493181</v>
      </c>
      <c r="H1008" t="str">
        <f>_xll.BDP("194748DD Muni","ISSUE_DT")</f>
        <v>11/15/2017</v>
      </c>
      <c r="I1008" t="str">
        <f>_xll.BDS("194748DD Muni","MUNI_PURPOSE_SCHED", "aggregate=y")</f>
        <v>PUBLIC IMPS. WATER UTILITY IMPS. SEWER IMPS.</v>
      </c>
      <c r="J1008">
        <f>_xll.BDP("194748DD Muni","CPN")</f>
        <v>2</v>
      </c>
      <c r="K1008" t="str">
        <f>_xll.BDP("194748DD Muni","MATURITY")</f>
        <v>2/15/2024</v>
      </c>
      <c r="L1008">
        <v>480000</v>
      </c>
      <c r="M1008">
        <f>_xll.BDP("194748DD Muni","YIELD_ON_ISSUE_DATE")</f>
        <v>2.2400000000000002</v>
      </c>
      <c r="N1008">
        <f>_xll.BDP("194748DD Muni","YTW_SPREAD_TO_MATURITY_AT_ISSU")</f>
        <v>57.801515068493181</v>
      </c>
      <c r="O1008" t="str">
        <f>_xll.BDP("194748DD Muni","BVAL_MID_YTM")</f>
        <v>#N/A Authorization</v>
      </c>
      <c r="P1008" t="str">
        <f>_xll.BDP("194748DD Muni","MUNI_TAX_PROV")</f>
        <v>FED TAX-EXEMPT</v>
      </c>
      <c r="Q1008" t="str">
        <f>_xll.BDP("194748DD Muni","MUNI_FED_TAX")</f>
        <v>N</v>
      </c>
      <c r="R1008" t="str">
        <f>_xll.BDP("194748DD Muni","MUNI_MSRB_VOLUME")</f>
        <v>#N/A N/A</v>
      </c>
      <c r="S1008" t="str">
        <f>_xll.BDP("194748DD Muni","BB_COMPOSITE")</f>
        <v>AA-</v>
      </c>
      <c r="T1008">
        <f>_xll.BDP("194748DD Muni","LQA_LIQUIDITY_SCORE")</f>
        <v>82</v>
      </c>
    </row>
    <row r="1009" spans="1:20" x14ac:dyDescent="0.25">
      <c r="A1009" t="str">
        <f>_xll.BDP("194749CE Muni","ID_CUSIP")</f>
        <v>194749CE5</v>
      </c>
      <c r="B1009" t="s">
        <v>52</v>
      </c>
      <c r="C1009" t="str">
        <f>_xll.BDP("194749CE Muni","INSURANCE_STATUS")</f>
        <v>N</v>
      </c>
      <c r="D1009" t="str">
        <f>_xll.BDP("194749CE Muni","STATE_CODE")</f>
        <v>TX</v>
      </c>
      <c r="E1009" t="str">
        <f>_xll.BDP("194749CE Muni","COUNTY_LOCATION_ISSUER")</f>
        <v>Collin, TX</v>
      </c>
      <c r="F1009">
        <f>_xll.BDP("194749CE Muni","DUR_ADJ_MID")</f>
        <v>0.11922499226343988</v>
      </c>
      <c r="G1009">
        <f>_xll.BDP("194749CE Muni","SPREAD_AT_ISSUANCE_TO_WORST")</f>
        <v>109.53351218292495</v>
      </c>
      <c r="H1009" t="str">
        <f>_xll.BDP("194749CE Muni","ISSUE_DT")</f>
        <v>9/15/2017</v>
      </c>
      <c r="I1009" t="str">
        <f>_xll.BDS("194749CE Muni","MUNI_PURPOSE_SCHED", "aggregate=y")</f>
        <v>WATER UTILITY IMPS. SEWER IMPS.</v>
      </c>
      <c r="J1009">
        <f>_xll.BDP("194749CE Muni","CPN")</f>
        <v>3</v>
      </c>
      <c r="K1009" t="str">
        <f>_xll.BDP("194749CE Muni","MATURITY")</f>
        <v>9/15/2022</v>
      </c>
      <c r="L1009">
        <v>145000</v>
      </c>
      <c r="M1009">
        <f>_xll.BDP("194749CE Muni","YIELD_ON_ISSUE_DATE")</f>
        <v>2.2000000000000002</v>
      </c>
      <c r="N1009">
        <f>_xll.BDP("194749CE Muni","YTW_SPREAD_TO_MATURITY_AT_ISSU")</f>
        <v>109.53351218292495</v>
      </c>
      <c r="O1009" t="str">
        <f>_xll.BDP("194749CE Muni","BVAL_MID_YTM")</f>
        <v>#N/A Authorization</v>
      </c>
      <c r="P1009" t="str">
        <f>_xll.BDP("194749CE Muni","MUNI_TAX_PROV")</f>
        <v>FED BQ</v>
      </c>
      <c r="Q1009" t="str">
        <f>_xll.BDP("194749CE Muni","MUNI_FED_TAX")</f>
        <v>N</v>
      </c>
      <c r="R1009" t="str">
        <f>_xll.BDP("194749CE Muni","MUNI_MSRB_VOLUME")</f>
        <v>#N/A N/A</v>
      </c>
      <c r="S1009" t="str">
        <f>_xll.BDP("194749CE Muni","BB_COMPOSITE")</f>
        <v>#N/A N/A</v>
      </c>
      <c r="T1009">
        <f>_xll.BDP("194749CE Muni","LQA_LIQUIDITY_SCORE")</f>
        <v>99</v>
      </c>
    </row>
    <row r="1010" spans="1:20" x14ac:dyDescent="0.25">
      <c r="A1010" t="str">
        <f>_xll.BDP("194749CG Muni","ID_CUSIP")</f>
        <v>194749CG0</v>
      </c>
      <c r="B1010" t="s">
        <v>52</v>
      </c>
      <c r="C1010" t="str">
        <f>_xll.BDP("194749CG Muni","INSURANCE_STATUS")</f>
        <v>N</v>
      </c>
      <c r="D1010" t="str">
        <f>_xll.BDP("194749CG Muni","STATE_CODE")</f>
        <v>TX</v>
      </c>
      <c r="E1010" t="str">
        <f>_xll.BDP("194749CG Muni","COUNTY_LOCATION_ISSUER")</f>
        <v>Collin, TX</v>
      </c>
      <c r="F1010">
        <f>_xll.BDP("194749CG Muni","DUR_ADJ_MID")</f>
        <v>2.0231323595796233</v>
      </c>
      <c r="G1010">
        <f>_xll.BDP("194749CG Muni","SPREAD_AT_ISSUANCE_TO_WORST")</f>
        <v>120.18868904321431</v>
      </c>
      <c r="H1010" t="str">
        <f>_xll.BDP("194749CG Muni","ISSUE_DT")</f>
        <v>9/15/2017</v>
      </c>
      <c r="I1010" t="str">
        <f>_xll.BDS("194749CG Muni","MUNI_PURPOSE_SCHED", "aggregate=y")</f>
        <v>WATER UTILITY IMPS. SEWER IMPS.</v>
      </c>
      <c r="J1010">
        <f>_xll.BDP("194749CG Muni","CPN")</f>
        <v>3</v>
      </c>
      <c r="K1010" t="str">
        <f>_xll.BDP("194749CG Muni","MATURITY")</f>
        <v>9/15/2024</v>
      </c>
      <c r="L1010">
        <v>150000</v>
      </c>
      <c r="M1010">
        <f>_xll.BDP("194749CG Muni","YIELD_ON_ISSUE_DATE")</f>
        <v>2.6</v>
      </c>
      <c r="N1010">
        <f>_xll.BDP("194749CG Muni","YTW_SPREAD_TO_MATURITY_AT_ISSU")</f>
        <v>120.18868904321431</v>
      </c>
      <c r="O1010" t="str">
        <f>_xll.BDP("194749CG Muni","BVAL_MID_YTM")</f>
        <v>#N/A Authorization</v>
      </c>
      <c r="P1010" t="str">
        <f>_xll.BDP("194749CG Muni","MUNI_TAX_PROV")</f>
        <v>FED BQ</v>
      </c>
      <c r="Q1010" t="str">
        <f>_xll.BDP("194749CG Muni","MUNI_FED_TAX")</f>
        <v>N</v>
      </c>
      <c r="R1010" t="str">
        <f>_xll.BDP("194749CG Muni","MUNI_MSRB_VOLUME")</f>
        <v>#N/A N/A</v>
      </c>
      <c r="S1010" t="str">
        <f>_xll.BDP("194749CG Muni","BB_COMPOSITE")</f>
        <v>#N/A N/A</v>
      </c>
      <c r="T1010">
        <f>_xll.BDP("194749CG Muni","LQA_LIQUIDITY_SCORE")</f>
        <v>73</v>
      </c>
    </row>
    <row r="1011" spans="1:20" x14ac:dyDescent="0.25">
      <c r="A1011" t="str">
        <f>_xll.BDP("194749CJ Muni","ID_CUSIP")</f>
        <v>194749CJ4</v>
      </c>
      <c r="B1011" t="s">
        <v>52</v>
      </c>
      <c r="C1011" t="str">
        <f>_xll.BDP("194749CJ Muni","INSURANCE_STATUS")</f>
        <v>N</v>
      </c>
      <c r="D1011" t="str">
        <f>_xll.BDP("194749CJ Muni","STATE_CODE")</f>
        <v>TX</v>
      </c>
      <c r="E1011" t="str">
        <f>_xll.BDP("194749CJ Muni","COUNTY_LOCATION_ISSUER")</f>
        <v>Collin, TX</v>
      </c>
      <c r="F1011">
        <f>_xll.BDP("194749CJ Muni","DUR_ADJ_MID")</f>
        <v>3.81508225260235</v>
      </c>
      <c r="G1011">
        <f>_xll.BDP("194749CJ Muni","SPREAD_AT_ISSUANCE_TO_WORST")</f>
        <v>131.88522367349933</v>
      </c>
      <c r="H1011" t="str">
        <f>_xll.BDP("194749CJ Muni","ISSUE_DT")</f>
        <v>9/15/2017</v>
      </c>
      <c r="I1011" t="str">
        <f>_xll.BDS("194749CJ Muni","MUNI_PURPOSE_SCHED", "aggregate=y")</f>
        <v>WATER UTILITY IMPS. SEWER IMPS.</v>
      </c>
      <c r="J1011">
        <f>_xll.BDP("194749CJ Muni","CPN")</f>
        <v>3</v>
      </c>
      <c r="K1011" t="str">
        <f>_xll.BDP("194749CJ Muni","MATURITY")</f>
        <v>9/15/2026</v>
      </c>
      <c r="L1011">
        <v>160000</v>
      </c>
      <c r="M1011">
        <f>_xll.BDP("194749CJ Muni","YIELD_ON_ISSUE_DATE")</f>
        <v>3</v>
      </c>
      <c r="N1011">
        <f>_xll.BDP("194749CJ Muni","YTW_SPREAD_TO_MATURITY_AT_ISSU")</f>
        <v>131.88522367349933</v>
      </c>
      <c r="O1011" t="str">
        <f>_xll.BDP("194749CJ Muni","BVAL_MID_YTM")</f>
        <v>#N/A Authorization</v>
      </c>
      <c r="P1011" t="str">
        <f>_xll.BDP("194749CJ Muni","MUNI_TAX_PROV")</f>
        <v>FED BQ</v>
      </c>
      <c r="Q1011" t="str">
        <f>_xll.BDP("194749CJ Muni","MUNI_FED_TAX")</f>
        <v>N</v>
      </c>
      <c r="R1011" t="str">
        <f>_xll.BDP("194749CJ Muni","MUNI_MSRB_VOLUME")</f>
        <v>#N/A N/A</v>
      </c>
      <c r="S1011" t="str">
        <f>_xll.BDP("194749CJ Muni","BB_COMPOSITE")</f>
        <v>#N/A N/A</v>
      </c>
      <c r="T1011">
        <f>_xll.BDP("194749CJ Muni","LQA_LIQUIDITY_SCORE")</f>
        <v>52</v>
      </c>
    </row>
    <row r="1012" spans="1:20" x14ac:dyDescent="0.25">
      <c r="A1012" t="str">
        <f>_xll.BDP("41421DVM Muni","ID_CUSIP")</f>
        <v>41421DVM5</v>
      </c>
      <c r="B1012" t="s">
        <v>325</v>
      </c>
      <c r="C1012" t="str">
        <f>_xll.BDP("41421DVM Muni","INSURANCE_STATUS")</f>
        <v>Y</v>
      </c>
      <c r="D1012" t="str">
        <f>_xll.BDP("41421DVM Muni","STATE_CODE")</f>
        <v>TX</v>
      </c>
      <c r="E1012" t="str">
        <f>_xll.BDP("41421DVM Muni","COUNTY_LOCATION_ISSUER")</f>
        <v>Harris, TX</v>
      </c>
      <c r="F1012">
        <f>_xll.BDP("41421DVM Muni","DUR_ADJ_MID")</f>
        <v>8.0489277117347532E-2</v>
      </c>
      <c r="G1012">
        <f>_xll.BDP("41421DVM Muni","SPREAD_AT_ISSUANCE_TO_WORST")</f>
        <v>39.633153424657543</v>
      </c>
      <c r="H1012" t="str">
        <f>_xll.BDP("41421DVM Muni","ISSUE_DT")</f>
        <v>12/1/2017</v>
      </c>
      <c r="I1012" t="str">
        <f>_xll.BDS("41421DVM Muni","MUNI_PURPOSE_SCHED", "aggregate=y")</f>
        <v>PUBLIC IMPS. WATER UTILITY IMPS. SEWER IMPS.</v>
      </c>
      <c r="J1012">
        <f>_xll.BDP("41421DVM Muni","CPN")</f>
        <v>4</v>
      </c>
      <c r="K1012" t="str">
        <f>_xll.BDP("41421DVM Muni","MATURITY")</f>
        <v>9/1/2022</v>
      </c>
      <c r="L1012">
        <v>400000</v>
      </c>
      <c r="M1012">
        <f>_xll.BDP("41421DVM Muni","YIELD_ON_ISSUE_DATE")</f>
        <v>1.9000000000000001</v>
      </c>
      <c r="N1012">
        <f>_xll.BDP("41421DVM Muni","YTW_SPREAD_TO_MATURITY_AT_ISSU")</f>
        <v>39.633153424657543</v>
      </c>
      <c r="O1012" t="str">
        <f>_xll.BDP("41421DVM Muni","BVAL_MID_YTM")</f>
        <v>#N/A Authorization</v>
      </c>
      <c r="P1012" t="str">
        <f>_xll.BDP("41421DVM Muni","MUNI_TAX_PROV")</f>
        <v>FED TAX-EXEMPT</v>
      </c>
      <c r="Q1012" t="str">
        <f>_xll.BDP("41421DVM Muni","MUNI_FED_TAX")</f>
        <v>N</v>
      </c>
      <c r="R1012" t="str">
        <f>_xll.BDP("41421DVM Muni","MUNI_MSRB_VOLUME")</f>
        <v>#N/A N/A</v>
      </c>
      <c r="S1012" t="str">
        <f>_xll.BDP("41421DVM Muni","BB_COMPOSITE")</f>
        <v>A+</v>
      </c>
      <c r="T1012">
        <f>_xll.BDP("41421DVM Muni","LQA_LIQUIDITY_SCORE")</f>
        <v>98</v>
      </c>
    </row>
    <row r="1013" spans="1:20" x14ac:dyDescent="0.25">
      <c r="A1013" t="str">
        <f>_xll.BDP("41421DVP Muni","ID_CUSIP")</f>
        <v>41421DVP8</v>
      </c>
      <c r="B1013" t="s">
        <v>325</v>
      </c>
      <c r="C1013" t="str">
        <f>_xll.BDP("41421DVP Muni","INSURANCE_STATUS")</f>
        <v>Y</v>
      </c>
      <c r="D1013" t="str">
        <f>_xll.BDP("41421DVP Muni","STATE_CODE")</f>
        <v>TX</v>
      </c>
      <c r="E1013" t="str">
        <f>_xll.BDP("41421DVP Muni","COUNTY_LOCATION_ISSUER")</f>
        <v>Harris, TX</v>
      </c>
      <c r="F1013">
        <f>_xll.BDP("41421DVP Muni","DUR_ADJ_MID")</f>
        <v>1.9689431592359101</v>
      </c>
      <c r="G1013">
        <f>_xll.BDP("41421DVP Muni","SPREAD_AT_ISSUANCE_TO_WORST")</f>
        <v>48.643000000000015</v>
      </c>
      <c r="H1013" t="str">
        <f>_xll.BDP("41421DVP Muni","ISSUE_DT")</f>
        <v>12/1/2017</v>
      </c>
      <c r="I1013" t="str">
        <f>_xll.BDS("41421DVP Muni","MUNI_PURPOSE_SCHED", "aggregate=y")</f>
        <v>PUBLIC IMPS. WATER UTILITY IMPS. SEWER IMPS.</v>
      </c>
      <c r="J1013">
        <f>_xll.BDP("41421DVP Muni","CPN")</f>
        <v>4</v>
      </c>
      <c r="K1013" t="str">
        <f>_xll.BDP("41421DVP Muni","MATURITY")</f>
        <v>9/1/2024</v>
      </c>
      <c r="L1013">
        <v>425000</v>
      </c>
      <c r="M1013">
        <f>_xll.BDP("41421DVP Muni","YIELD_ON_ISSUE_DATE")</f>
        <v>2.2000000000000002</v>
      </c>
      <c r="N1013">
        <f>_xll.BDP("41421DVP Muni","YTW_SPREAD_TO_MATURITY_AT_ISSU")</f>
        <v>48.643000000000015</v>
      </c>
      <c r="O1013" t="str">
        <f>_xll.BDP("41421DVP Muni","BVAL_MID_YTM")</f>
        <v>#N/A Authorization</v>
      </c>
      <c r="P1013" t="str">
        <f>_xll.BDP("41421DVP Muni","MUNI_TAX_PROV")</f>
        <v>FED TAX-EXEMPT</v>
      </c>
      <c r="Q1013" t="str">
        <f>_xll.BDP("41421DVP Muni","MUNI_FED_TAX")</f>
        <v>N</v>
      </c>
      <c r="R1013" t="str">
        <f>_xll.BDP("41421DVP Muni","MUNI_MSRB_VOLUME")</f>
        <v>#N/A N/A</v>
      </c>
      <c r="S1013" t="str">
        <f>_xll.BDP("41421DVP Muni","BB_COMPOSITE")</f>
        <v>A+</v>
      </c>
      <c r="T1013">
        <f>_xll.BDP("41421DVP Muni","LQA_LIQUIDITY_SCORE")</f>
        <v>83</v>
      </c>
    </row>
    <row r="1014" spans="1:20" x14ac:dyDescent="0.25">
      <c r="A1014" t="str">
        <f>_xll.BDP("41421FHK Muni","ID_CUSIP")</f>
        <v>41421FHK0</v>
      </c>
      <c r="B1014" t="s">
        <v>326</v>
      </c>
      <c r="C1014" t="str">
        <f>_xll.BDP("41421FHK Muni","INSURANCE_STATUS")</f>
        <v>Y</v>
      </c>
      <c r="D1014" t="str">
        <f>_xll.BDP("41421FHK Muni","STATE_CODE")</f>
        <v>TX</v>
      </c>
      <c r="E1014" t="str">
        <f>_xll.BDP("41421FHK Muni","COUNTY_LOCATION_ISSUER")</f>
        <v>Harris, TX</v>
      </c>
      <c r="F1014">
        <f>_xll.BDP("41421FHK Muni","DUR_ADJ_MID")</f>
        <v>8.0456693126815901E-2</v>
      </c>
      <c r="G1014">
        <f>_xll.BDP("41421FHK Muni","SPREAD_AT_ISSUANCE_TO_WORST")</f>
        <v>51.090441095890426</v>
      </c>
      <c r="H1014" t="str">
        <f>_xll.BDP("41421FHK Muni","ISSUE_DT")</f>
        <v>11/1/2017</v>
      </c>
      <c r="I1014" t="str">
        <f>_xll.BDS("41421FHK Muni","MUNI_PURPOSE_SCHED", "aggregate=y")</f>
        <v>WATER UTILITY IMPS. SEWER IMPS. RECREATIONAL FAC. IMPS.</v>
      </c>
      <c r="J1014">
        <f>_xll.BDP("41421FHK Muni","CPN")</f>
        <v>3</v>
      </c>
      <c r="K1014" t="str">
        <f>_xll.BDP("41421FHK Muni","MATURITY")</f>
        <v>9/1/2022</v>
      </c>
      <c r="L1014">
        <v>300000</v>
      </c>
      <c r="M1014">
        <f>_xll.BDP("41421FHK Muni","YIELD_ON_ISSUE_DATE")</f>
        <v>1.85</v>
      </c>
      <c r="N1014">
        <f>_xll.BDP("41421FHK Muni","YTW_SPREAD_TO_MATURITY_AT_ISSU")</f>
        <v>51.090441095890426</v>
      </c>
      <c r="O1014" t="str">
        <f>_xll.BDP("41421FHK Muni","BVAL_MID_YTM")</f>
        <v>#N/A Authorization</v>
      </c>
      <c r="P1014" t="str">
        <f>_xll.BDP("41421FHK Muni","MUNI_TAX_PROV")</f>
        <v>FED BQ</v>
      </c>
      <c r="Q1014" t="str">
        <f>_xll.BDP("41421FHK Muni","MUNI_FED_TAX")</f>
        <v>N</v>
      </c>
      <c r="R1014" t="str">
        <f>_xll.BDP("41421FHK Muni","MUNI_MSRB_VOLUME")</f>
        <v>#N/A N/A</v>
      </c>
      <c r="S1014" t="str">
        <f>_xll.BDP("41421FHK Muni","BB_COMPOSITE")</f>
        <v>AA-</v>
      </c>
      <c r="T1014">
        <f>_xll.BDP("41421FHK Muni","LQA_LIQUIDITY_SCORE")</f>
        <v>99</v>
      </c>
    </row>
    <row r="1015" spans="1:20" x14ac:dyDescent="0.25">
      <c r="A1015" t="str">
        <f>_xll.BDP("41421FHM Muni","ID_CUSIP")</f>
        <v>41421FHM6</v>
      </c>
      <c r="B1015" t="s">
        <v>326</v>
      </c>
      <c r="C1015" t="str">
        <f>_xll.BDP("41421FHM Muni","INSURANCE_STATUS")</f>
        <v>Y</v>
      </c>
      <c r="D1015" t="str">
        <f>_xll.BDP("41421FHM Muni","STATE_CODE")</f>
        <v>TX</v>
      </c>
      <c r="E1015" t="str">
        <f>_xll.BDP("41421FHM Muni","COUNTY_LOCATION_ISSUER")</f>
        <v>Harris, TX</v>
      </c>
      <c r="F1015">
        <f>_xll.BDP("41421FHM Muni","DUR_ADJ_MID")</f>
        <v>1.9850552940835346</v>
      </c>
      <c r="G1015">
        <f>_xll.BDP("41421FHM Muni","SPREAD_AT_ISSUANCE_TO_WORST")</f>
        <v>55.068369863013686</v>
      </c>
      <c r="H1015" t="str">
        <f>_xll.BDP("41421FHM Muni","ISSUE_DT")</f>
        <v>11/1/2017</v>
      </c>
      <c r="I1015" t="str">
        <f>_xll.BDS("41421FHM Muni","MUNI_PURPOSE_SCHED", "aggregate=y")</f>
        <v>WATER UTILITY IMPS. SEWER IMPS. RECREATIONAL FAC. IMPS.</v>
      </c>
      <c r="J1015">
        <f>_xll.BDP("41421FHM Muni","CPN")</f>
        <v>3</v>
      </c>
      <c r="K1015" t="str">
        <f>_xll.BDP("41421FHM Muni","MATURITY")</f>
        <v>9/1/2024</v>
      </c>
      <c r="L1015">
        <v>300000</v>
      </c>
      <c r="M1015">
        <f>_xll.BDP("41421FHM Muni","YIELD_ON_ISSUE_DATE")</f>
        <v>2.15</v>
      </c>
      <c r="N1015">
        <f>_xll.BDP("41421FHM Muni","YTW_SPREAD_TO_MATURITY_AT_ISSU")</f>
        <v>55.068369863013686</v>
      </c>
      <c r="O1015" t="str">
        <f>_xll.BDP("41421FHM Muni","BVAL_MID_YTM")</f>
        <v>#N/A Authorization</v>
      </c>
      <c r="P1015" t="str">
        <f>_xll.BDP("41421FHM Muni","MUNI_TAX_PROV")</f>
        <v>FED BQ</v>
      </c>
      <c r="Q1015" t="str">
        <f>_xll.BDP("41421FHM Muni","MUNI_FED_TAX")</f>
        <v>N</v>
      </c>
      <c r="R1015" t="str">
        <f>_xll.BDP("41421FHM Muni","MUNI_MSRB_VOLUME")</f>
        <v>#N/A N/A</v>
      </c>
      <c r="S1015" t="str">
        <f>_xll.BDP("41421FHM Muni","BB_COMPOSITE")</f>
        <v>AA-</v>
      </c>
      <c r="T1015">
        <f>_xll.BDP("41421FHM Muni","LQA_LIQUIDITY_SCORE")</f>
        <v>77</v>
      </c>
    </row>
    <row r="1016" spans="1:20" x14ac:dyDescent="0.25">
      <c r="A1016" t="str">
        <f>_xll.BDP("41422GFV Muni","ID_CUSIP")</f>
        <v>41422GFV5</v>
      </c>
      <c r="B1016" t="s">
        <v>327</v>
      </c>
      <c r="C1016" t="str">
        <f>_xll.BDP("41422GFV Muni","INSURANCE_STATUS")</f>
        <v>Y</v>
      </c>
      <c r="D1016" t="str">
        <f>_xll.BDP("41422GFV Muni","STATE_CODE")</f>
        <v>TX</v>
      </c>
      <c r="E1016" t="str">
        <f>_xll.BDP("41422GFV Muni","COUNTY_LOCATION_ISSUER")</f>
        <v>Harris, TX</v>
      </c>
      <c r="F1016">
        <f>_xll.BDP("41422GFV Muni","DUR_ADJ_MID")</f>
        <v>8.0474271669739625E-2</v>
      </c>
      <c r="G1016">
        <f>_xll.BDP("41422GFV Muni","SPREAD_AT_ISSUANCE_TO_WORST")</f>
        <v>58.501624657534258</v>
      </c>
      <c r="H1016" t="str">
        <f>_xll.BDP("41422GFV Muni","ISSUE_DT")</f>
        <v>11/1/2017</v>
      </c>
      <c r="I1016" t="str">
        <f>_xll.BDS("41422GFV Muni","MUNI_PURPOSE_SCHED", "aggregate=y")</f>
        <v>WATER UTILITY IMPS. SEWER IMPS. REFUNDING NOTES</v>
      </c>
      <c r="J1016">
        <f>_xll.BDP("41422GFV Muni","CPN")</f>
        <v>4</v>
      </c>
      <c r="K1016" t="str">
        <f>_xll.BDP("41422GFV Muni","MATURITY")</f>
        <v>9/1/2022</v>
      </c>
      <c r="L1016">
        <v>250000</v>
      </c>
      <c r="M1016">
        <f>_xll.BDP("41422GFV Muni","YIELD_ON_ISSUE_DATE")</f>
        <v>1.95</v>
      </c>
      <c r="N1016">
        <f>_xll.BDP("41422GFV Muni","YTW_SPREAD_TO_MATURITY_AT_ISSU")</f>
        <v>58.501624657534258</v>
      </c>
      <c r="O1016" t="str">
        <f>_xll.BDP("41422GFV Muni","BVAL_MID_YTM")</f>
        <v>#N/A Authorization</v>
      </c>
      <c r="P1016" t="str">
        <f>_xll.BDP("41422GFV Muni","MUNI_TAX_PROV")</f>
        <v>FED BQ</v>
      </c>
      <c r="Q1016" t="str">
        <f>_xll.BDP("41422GFV Muni","MUNI_FED_TAX")</f>
        <v>N</v>
      </c>
      <c r="R1016" t="str">
        <f>_xll.BDP("41422GFV Muni","MUNI_MSRB_VOLUME")</f>
        <v>#N/A N/A</v>
      </c>
      <c r="S1016" t="str">
        <f>_xll.BDP("41422GFV Muni","BB_COMPOSITE")</f>
        <v>AA-</v>
      </c>
      <c r="T1016">
        <f>_xll.BDP("41422GFV Muni","LQA_LIQUIDITY_SCORE")</f>
        <v>99</v>
      </c>
    </row>
    <row r="1017" spans="1:20" x14ac:dyDescent="0.25">
      <c r="A1017" t="str">
        <f>_xll.BDP("41422GFX Muni","ID_CUSIP")</f>
        <v>41422GFX1</v>
      </c>
      <c r="B1017" t="s">
        <v>327</v>
      </c>
      <c r="C1017" t="str">
        <f>_xll.BDP("41422GFX Muni","INSURANCE_STATUS")</f>
        <v>Y</v>
      </c>
      <c r="D1017" t="str">
        <f>_xll.BDP("41422GFX Muni","STATE_CODE")</f>
        <v>TX</v>
      </c>
      <c r="E1017" t="str">
        <f>_xll.BDP("41422GFX Muni","COUNTY_LOCATION_ISSUER")</f>
        <v>Harris, TX</v>
      </c>
      <c r="F1017">
        <f>_xll.BDP("41422GFX Muni","DUR_ADJ_MID")</f>
        <v>2.0105409282269222</v>
      </c>
      <c r="G1017">
        <f>_xll.BDP("41422GFX Muni","SPREAD_AT_ISSUANCE_TO_WORST")</f>
        <v>56.549794520547977</v>
      </c>
      <c r="H1017" t="str">
        <f>_xll.BDP("41422GFX Muni","ISSUE_DT")</f>
        <v>11/1/2017</v>
      </c>
      <c r="I1017" t="str">
        <f>_xll.BDS("41422GFX Muni","MUNI_PURPOSE_SCHED", "aggregate=y")</f>
        <v>WATER UTILITY IMPS. SEWER IMPS. REFUNDING NOTES</v>
      </c>
      <c r="J1017">
        <f>_xll.BDP("41422GFX Muni","CPN")</f>
        <v>2</v>
      </c>
      <c r="K1017" t="str">
        <f>_xll.BDP("41422GFX Muni","MATURITY")</f>
        <v>9/1/2024</v>
      </c>
      <c r="L1017">
        <v>250000</v>
      </c>
      <c r="M1017">
        <f>_xll.BDP("41422GFX Muni","YIELD_ON_ISSUE_DATE")</f>
        <v>2.2000000000000002</v>
      </c>
      <c r="N1017">
        <f>_xll.BDP("41422GFX Muni","YTW_SPREAD_TO_MATURITY_AT_ISSU")</f>
        <v>56.549794520547977</v>
      </c>
      <c r="O1017" t="str">
        <f>_xll.BDP("41422GFX Muni","BVAL_MID_YTM")</f>
        <v>#N/A Authorization</v>
      </c>
      <c r="P1017" t="str">
        <f>_xll.BDP("41422GFX Muni","MUNI_TAX_PROV")</f>
        <v>FED BQ</v>
      </c>
      <c r="Q1017" t="str">
        <f>_xll.BDP("41422GFX Muni","MUNI_FED_TAX")</f>
        <v>N</v>
      </c>
      <c r="R1017" t="str">
        <f>_xll.BDP("41422GFX Muni","MUNI_MSRB_VOLUME")</f>
        <v>#N/A N/A</v>
      </c>
      <c r="S1017" t="str">
        <f>_xll.BDP("41422GFX Muni","BB_COMPOSITE")</f>
        <v>AA-</v>
      </c>
      <c r="T1017">
        <f>_xll.BDP("41422GFX Muni","LQA_LIQUIDITY_SCORE")</f>
        <v>72</v>
      </c>
    </row>
    <row r="1018" spans="1:20" x14ac:dyDescent="0.25">
      <c r="A1018" t="str">
        <f>_xll.BDP("41422HBF Muni","ID_CUSIP")</f>
        <v>41422HBF2</v>
      </c>
      <c r="B1018" t="s">
        <v>328</v>
      </c>
      <c r="C1018" t="str">
        <f>_xll.BDP("41422HBF Muni","INSURANCE_STATUS")</f>
        <v>N</v>
      </c>
      <c r="D1018" t="str">
        <f>_xll.BDP("41422HBF Muni","STATE_CODE")</f>
        <v>TX</v>
      </c>
      <c r="E1018" t="str">
        <f>_xll.BDP("41422HBF Muni","COUNTY_LOCATION_ISSUER")</f>
        <v>Harris, TX</v>
      </c>
      <c r="F1018">
        <f>_xll.BDP("41422HBF Muni","DUR_ADJ_MID")</f>
        <v>8.0470542332712641E-2</v>
      </c>
      <c r="G1018">
        <f>_xll.BDP("41422HBF Muni","SPREAD_AT_ISSUANCE_TO_WORST")</f>
        <v>106.6598277150535</v>
      </c>
      <c r="H1018" t="str">
        <f>_xll.BDP("41422HBF Muni","ISSUE_DT")</f>
        <v>2/1/2017</v>
      </c>
      <c r="I1018" t="str">
        <f>_xll.BDS("41422HBF Muni","MUNI_PURPOSE_SCHED", "aggregate=y")</f>
        <v>WATER UTILITY IMPS. SEWER IMPS.</v>
      </c>
      <c r="J1018">
        <f>_xll.BDP("41422HBF Muni","CPN")</f>
        <v>3</v>
      </c>
      <c r="K1018" t="str">
        <f>_xll.BDP("41422HBF Muni","MATURITY")</f>
        <v>9/1/2022</v>
      </c>
      <c r="L1018">
        <v>50000</v>
      </c>
      <c r="M1018">
        <f>_xll.BDP("41422HBF Muni","YIELD_ON_ISSUE_DATE")</f>
        <v>2.8000000000000003</v>
      </c>
      <c r="N1018">
        <f>_xll.BDP("41422HBF Muni","YTW_SPREAD_TO_MATURITY_AT_ISSU")</f>
        <v>106.6598277150535</v>
      </c>
      <c r="O1018" t="str">
        <f>_xll.BDP("41422HBF Muni","BVAL_MID_YTM")</f>
        <v>#N/A Authorization</v>
      </c>
      <c r="P1018" t="str">
        <f>_xll.BDP("41422HBF Muni","MUNI_TAX_PROV")</f>
        <v>FED TAX-EXEMPT</v>
      </c>
      <c r="Q1018" t="str">
        <f>_xll.BDP("41422HBF Muni","MUNI_FED_TAX")</f>
        <v>N</v>
      </c>
      <c r="R1018" t="str">
        <f>_xll.BDP("41422HBF Muni","MUNI_MSRB_VOLUME")</f>
        <v>#N/A N/A</v>
      </c>
      <c r="S1018" t="str">
        <f>_xll.BDP("41422HBF Muni","BB_COMPOSITE")</f>
        <v>#N/A N/A</v>
      </c>
      <c r="T1018">
        <f>_xll.BDP("41422HBF Muni","LQA_LIQUIDITY_SCORE")</f>
        <v>95</v>
      </c>
    </row>
    <row r="1019" spans="1:20" x14ac:dyDescent="0.25">
      <c r="A1019" t="str">
        <f>_xll.BDP("41422HBH Muni","ID_CUSIP")</f>
        <v>41422HBH8</v>
      </c>
      <c r="B1019" t="s">
        <v>328</v>
      </c>
      <c r="C1019" t="str">
        <f>_xll.BDP("41422HBH Muni","INSURANCE_STATUS")</f>
        <v>N</v>
      </c>
      <c r="D1019" t="str">
        <f>_xll.BDP("41422HBH Muni","STATE_CODE")</f>
        <v>TX</v>
      </c>
      <c r="E1019" t="str">
        <f>_xll.BDP("41422HBH Muni","COUNTY_LOCATION_ISSUER")</f>
        <v>Harris, TX</v>
      </c>
      <c r="F1019">
        <f>_xll.BDP("41422HBH Muni","DUR_ADJ_MID")</f>
        <v>1.9840396360842516</v>
      </c>
      <c r="G1019">
        <f>_xll.BDP("41422HBH Muni","SPREAD_AT_ISSUANCE_TO_WORST")</f>
        <v>115.87155714375086</v>
      </c>
      <c r="H1019" t="str">
        <f>_xll.BDP("41422HBH Muni","ISSUE_DT")</f>
        <v>2/1/2017</v>
      </c>
      <c r="I1019" t="str">
        <f>_xll.BDS("41422HBH Muni","MUNI_PURPOSE_SCHED", "aggregate=y")</f>
        <v>WATER UTILITY IMPS. SEWER IMPS.</v>
      </c>
      <c r="J1019">
        <f>_xll.BDP("41422HBH Muni","CPN")</f>
        <v>3.15</v>
      </c>
      <c r="K1019" t="str">
        <f>_xll.BDP("41422HBH Muni","MATURITY")</f>
        <v>9/1/2024</v>
      </c>
      <c r="L1019">
        <v>55000</v>
      </c>
      <c r="M1019">
        <f>_xll.BDP("41422HBH Muni","YIELD_ON_ISSUE_DATE")</f>
        <v>3.15</v>
      </c>
      <c r="N1019">
        <f>_xll.BDP("41422HBH Muni","YTW_SPREAD_TO_MATURITY_AT_ISSU")</f>
        <v>115.87155714375086</v>
      </c>
      <c r="O1019" t="str">
        <f>_xll.BDP("41422HBH Muni","BVAL_MID_YTM")</f>
        <v>#N/A Authorization</v>
      </c>
      <c r="P1019" t="str">
        <f>_xll.BDP("41422HBH Muni","MUNI_TAX_PROV")</f>
        <v>FED TAX-EXEMPT</v>
      </c>
      <c r="Q1019" t="str">
        <f>_xll.BDP("41422HBH Muni","MUNI_FED_TAX")</f>
        <v>N</v>
      </c>
      <c r="R1019" t="str">
        <f>_xll.BDP("41422HBH Muni","MUNI_MSRB_VOLUME")</f>
        <v>#N/A N/A</v>
      </c>
      <c r="S1019" t="str">
        <f>_xll.BDP("41422HBH Muni","BB_COMPOSITE")</f>
        <v>#N/A N/A</v>
      </c>
      <c r="T1019">
        <f>_xll.BDP("41422HBH Muni","LQA_LIQUIDITY_SCORE")</f>
        <v>59</v>
      </c>
    </row>
    <row r="1020" spans="1:20" x14ac:dyDescent="0.25">
      <c r="A1020" t="str">
        <f>_xll.BDP("41422JCX Muni","ID_CUSIP")</f>
        <v>41422JCX8</v>
      </c>
      <c r="B1020" t="s">
        <v>329</v>
      </c>
      <c r="C1020" t="str">
        <f>_xll.BDP("41422JCX Muni","INSURANCE_STATUS")</f>
        <v>N</v>
      </c>
      <c r="D1020" t="str">
        <f>_xll.BDP("41422JCX Muni","STATE_CODE")</f>
        <v>TX</v>
      </c>
      <c r="E1020" t="str">
        <f>_xll.BDP("41422JCX Muni","COUNTY_LOCATION_ISSUER")</f>
        <v>Harris, TX</v>
      </c>
      <c r="F1020">
        <f>_xll.BDP("41422JCX Muni","DUR_ADJ_MID")</f>
        <v>1.0464650950641299</v>
      </c>
      <c r="G1020">
        <f>_xll.BDP("41422JCX Muni","SPREAD_AT_ISSUANCE_TO_WORST")</f>
        <v>100.99257703451374</v>
      </c>
      <c r="H1020" t="str">
        <f>_xll.BDP("41422JCX Muni","ISSUE_DT")</f>
        <v>5/1/2017</v>
      </c>
      <c r="I1020" t="str">
        <f>_xll.BDS("41422JCX Muni","MUNI_PURPOSE_SCHED", "aggregate=y")</f>
        <v>PROPERTY ACQUISITION WATER UTILITY IMPS. PUBLIC IMPS.</v>
      </c>
      <c r="J1020">
        <f>_xll.BDP("41422JCX Muni","CPN")</f>
        <v>3</v>
      </c>
      <c r="K1020" t="str">
        <f>_xll.BDP("41422JCX Muni","MATURITY")</f>
        <v>9/1/2023</v>
      </c>
      <c r="L1020">
        <v>350000</v>
      </c>
      <c r="M1020">
        <f>_xll.BDP("41422JCX Muni","YIELD_ON_ISSUE_DATE")</f>
        <v>2.6</v>
      </c>
      <c r="N1020">
        <f>_xll.BDP("41422JCX Muni","YTW_SPREAD_TO_MATURITY_AT_ISSU")</f>
        <v>100.99257703451374</v>
      </c>
      <c r="O1020" t="str">
        <f>_xll.BDP("41422JCX Muni","BVAL_MID_YTM")</f>
        <v>#N/A Authorization</v>
      </c>
      <c r="P1020" t="str">
        <f>_xll.BDP("41422JCX Muni","MUNI_TAX_PROV")</f>
        <v>FED TAX-EXEMPT</v>
      </c>
      <c r="Q1020" t="str">
        <f>_xll.BDP("41422JCX Muni","MUNI_FED_TAX")</f>
        <v>N</v>
      </c>
      <c r="R1020" t="str">
        <f>_xll.BDP("41422JCX Muni","MUNI_MSRB_VOLUME")</f>
        <v>#N/A N/A</v>
      </c>
      <c r="S1020" t="str">
        <f>_xll.BDP("41422JCX Muni","BB_COMPOSITE")</f>
        <v>#N/A N/A</v>
      </c>
      <c r="T1020">
        <f>_xll.BDP("41422JCX Muni","LQA_LIQUIDITY_SCORE")</f>
        <v>84</v>
      </c>
    </row>
    <row r="1021" spans="1:20" x14ac:dyDescent="0.25">
      <c r="A1021" t="str">
        <f>_xll.BDP("41422JCY Muni","ID_CUSIP")</f>
        <v>41422JCY6</v>
      </c>
      <c r="B1021" t="s">
        <v>329</v>
      </c>
      <c r="C1021" t="str">
        <f>_xll.BDP("41422JCY Muni","INSURANCE_STATUS")</f>
        <v>N</v>
      </c>
      <c r="D1021" t="str">
        <f>_xll.BDP("41422JCY Muni","STATE_CODE")</f>
        <v>TX</v>
      </c>
      <c r="E1021" t="str">
        <f>_xll.BDP("41422JCY Muni","COUNTY_LOCATION_ISSUER")</f>
        <v>Harris, TX</v>
      </c>
      <c r="F1021">
        <f>_xll.BDP("41422JCY Muni","DUR_ADJ_MID")</f>
        <v>1.9828982819155081</v>
      </c>
      <c r="G1021">
        <f>_xll.BDP("41422JCY Muni","SPREAD_AT_ISSUANCE_TO_WORST")</f>
        <v>104.73982869693907</v>
      </c>
      <c r="H1021" t="str">
        <f>_xll.BDP("41422JCY Muni","ISSUE_DT")</f>
        <v>5/1/2017</v>
      </c>
      <c r="I1021" t="str">
        <f>_xll.BDS("41422JCY Muni","MUNI_PURPOSE_SCHED", "aggregate=y")</f>
        <v>PROPERTY ACQUISITION WATER UTILITY IMPS. PUBLIC IMPS.</v>
      </c>
      <c r="J1021">
        <f>_xll.BDP("41422JCY Muni","CPN")</f>
        <v>3</v>
      </c>
      <c r="K1021" t="str">
        <f>_xll.BDP("41422JCY Muni","MATURITY")</f>
        <v>9/1/2024</v>
      </c>
      <c r="L1021">
        <v>350000</v>
      </c>
      <c r="M1021">
        <f>_xll.BDP("41422JCY Muni","YIELD_ON_ISSUE_DATE")</f>
        <v>2.8000000000000003</v>
      </c>
      <c r="N1021">
        <f>_xll.BDP("41422JCY Muni","YTW_SPREAD_TO_MATURITY_AT_ISSU")</f>
        <v>104.73982869693907</v>
      </c>
      <c r="O1021" t="str">
        <f>_xll.BDP("41422JCY Muni","BVAL_MID_YTM")</f>
        <v>#N/A Authorization</v>
      </c>
      <c r="P1021" t="str">
        <f>_xll.BDP("41422JCY Muni","MUNI_TAX_PROV")</f>
        <v>FED TAX-EXEMPT</v>
      </c>
      <c r="Q1021" t="str">
        <f>_xll.BDP("41422JCY Muni","MUNI_FED_TAX")</f>
        <v>N</v>
      </c>
      <c r="R1021" t="str">
        <f>_xll.BDP("41422JCY Muni","MUNI_MSRB_VOLUME")</f>
        <v>#N/A N/A</v>
      </c>
      <c r="S1021" t="str">
        <f>_xll.BDP("41422JCY Muni","BB_COMPOSITE")</f>
        <v>#N/A N/A</v>
      </c>
      <c r="T1021">
        <f>_xll.BDP("41422JCY Muni","LQA_LIQUIDITY_SCORE")</f>
        <v>71</v>
      </c>
    </row>
    <row r="1022" spans="1:20" x14ac:dyDescent="0.25">
      <c r="A1022" t="str">
        <f>_xll.BDP("41422PJL Muni","ID_CUSIP")</f>
        <v>41422PJL3</v>
      </c>
      <c r="B1022" t="s">
        <v>328</v>
      </c>
      <c r="C1022" t="str">
        <f>_xll.BDP("41422PJL Muni","INSURANCE_STATUS")</f>
        <v>Y</v>
      </c>
      <c r="D1022" t="str">
        <f>_xll.BDP("41422PJL Muni","STATE_CODE")</f>
        <v>TX</v>
      </c>
      <c r="E1022" t="str">
        <f>_xll.BDP("41422PJL Muni","COUNTY_LOCATION_ISSUER")</f>
        <v>Harris, TX</v>
      </c>
      <c r="F1022">
        <f>_xll.BDP("41422PJL Muni","DUR_ADJ_MID")</f>
        <v>3.15049695775414</v>
      </c>
      <c r="G1022">
        <f>_xll.BDP("41422PJL Muni","SPREAD_AT_ISSUANCE_TO_WORST")</f>
        <v>75.121635616438368</v>
      </c>
      <c r="H1022" t="str">
        <f>_xll.BDP("41422PJL Muni","ISSUE_DT")</f>
        <v>12/1/2017</v>
      </c>
      <c r="I1022" t="str">
        <f>_xll.BDS("41422PJL Muni","MUNI_PURPOSE_SCHED", "aggregate=y")</f>
        <v>PUBLIC IMPS. WATER UTILITY IMPS. SEWER IMPS.</v>
      </c>
      <c r="J1022">
        <f>_xll.BDP("41422PJL Muni","CPN")</f>
        <v>3</v>
      </c>
      <c r="K1022" t="str">
        <f>_xll.BDP("41422PJL Muni","MATURITY")</f>
        <v>12/1/2025</v>
      </c>
      <c r="L1022">
        <v>240000</v>
      </c>
      <c r="M1022">
        <f>_xll.BDP("41422PJL Muni","YIELD_ON_ISSUE_DATE")</f>
        <v>2.6</v>
      </c>
      <c r="N1022">
        <f>_xll.BDP("41422PJL Muni","YTW_SPREAD_TO_MATURITY_AT_ISSU")</f>
        <v>75.121635616438368</v>
      </c>
      <c r="O1022" t="str">
        <f>_xll.BDP("41422PJL Muni","BVAL_MID_YTM")</f>
        <v>#N/A Authorization</v>
      </c>
      <c r="P1022" t="str">
        <f>_xll.BDP("41422PJL Muni","MUNI_TAX_PROV")</f>
        <v>FED TAX-EXEMPT</v>
      </c>
      <c r="Q1022" t="str">
        <f>_xll.BDP("41422PJL Muni","MUNI_FED_TAX")</f>
        <v>N</v>
      </c>
      <c r="R1022" t="str">
        <f>_xll.BDP("41422PJL Muni","MUNI_MSRB_VOLUME")</f>
        <v>#N/A N/A</v>
      </c>
      <c r="S1022" t="str">
        <f>_xll.BDP("41422PJL Muni","BB_COMPOSITE")</f>
        <v>AA-</v>
      </c>
      <c r="T1022">
        <f>_xll.BDP("41422PJL Muni","LQA_LIQUIDITY_SCORE")</f>
        <v>60</v>
      </c>
    </row>
    <row r="1023" spans="1:20" x14ac:dyDescent="0.25">
      <c r="A1023" t="str">
        <f>_xll.BDP("41422SEL Muni","ID_CUSIP")</f>
        <v>41422SEL2</v>
      </c>
      <c r="B1023" t="s">
        <v>330</v>
      </c>
      <c r="C1023" t="str">
        <f>_xll.BDP("41422SEL Muni","INSURANCE_STATUS")</f>
        <v>Y</v>
      </c>
      <c r="D1023" t="str">
        <f>_xll.BDP("41422SEL Muni","STATE_CODE")</f>
        <v>TX</v>
      </c>
      <c r="E1023" t="str">
        <f>_xll.BDP("41422SEL Muni","COUNTY_LOCATION_ISSUER")</f>
        <v>Harris, TX</v>
      </c>
      <c r="F1023">
        <f>_xll.BDP("41422SEL Muni","DUR_ADJ_MID")</f>
        <v>1.050392644891412</v>
      </c>
      <c r="G1023">
        <f>_xll.BDP("41422SEL Muni","SPREAD_AT_ISSUANCE_TO_WORST")</f>
        <v>68.193320885220743</v>
      </c>
      <c r="H1023" t="str">
        <f>_xll.BDP("41422SEL Muni","ISSUE_DT")</f>
        <v>1/1/2017</v>
      </c>
      <c r="I1023" t="str">
        <f>_xll.BDS("41422SEL Muni","MUNI_PURPOSE_SCHED", "aggregate=y")</f>
        <v>PUBLIC IMPS. WATER UTILITY IMPS. SEWER IMPS.</v>
      </c>
      <c r="J1023">
        <f>_xll.BDP("41422SEL Muni","CPN")</f>
        <v>3</v>
      </c>
      <c r="K1023" t="str">
        <f>_xll.BDP("41422SEL Muni","MATURITY")</f>
        <v>9/1/2023</v>
      </c>
      <c r="L1023">
        <v>325000</v>
      </c>
      <c r="M1023">
        <f>_xll.BDP("41422SEL Muni","YIELD_ON_ISSUE_DATE")</f>
        <v>2.7</v>
      </c>
      <c r="N1023">
        <f>_xll.BDP("41422SEL Muni","YTW_SPREAD_TO_MATURITY_AT_ISSU")</f>
        <v>68.193320885220743</v>
      </c>
      <c r="O1023" t="str">
        <f>_xll.BDP("41422SEL Muni","BVAL_MID_YTM")</f>
        <v>#N/A Authorization</v>
      </c>
      <c r="P1023" t="str">
        <f>_xll.BDP("41422SEL Muni","MUNI_TAX_PROV")</f>
        <v>FED TAX-EXEMPT</v>
      </c>
      <c r="Q1023" t="str">
        <f>_xll.BDP("41422SEL Muni","MUNI_FED_TAX")</f>
        <v>N</v>
      </c>
      <c r="R1023" t="str">
        <f>_xll.BDP("41422SEL Muni","MUNI_MSRB_VOLUME")</f>
        <v>#N/A N/A</v>
      </c>
      <c r="S1023" t="str">
        <f>_xll.BDP("41422SEL Muni","BB_COMPOSITE")</f>
        <v>AA-</v>
      </c>
      <c r="T1023">
        <f>_xll.BDP("41422SEL Muni","LQA_LIQUIDITY_SCORE")</f>
        <v>89</v>
      </c>
    </row>
    <row r="1024" spans="1:20" x14ac:dyDescent="0.25">
      <c r="A1024" t="str">
        <f>_xll.BDP("41422SFK Muni","ID_CUSIP")</f>
        <v>41422SFK3</v>
      </c>
      <c r="B1024" t="s">
        <v>330</v>
      </c>
      <c r="C1024" t="str">
        <f>_xll.BDP("41422SFK Muni","INSURANCE_STATUS")</f>
        <v>Y</v>
      </c>
      <c r="D1024" t="str">
        <f>_xll.BDP("41422SFK Muni","STATE_CODE")</f>
        <v>TX</v>
      </c>
      <c r="E1024" t="str">
        <f>_xll.BDP("41422SFK Muni","COUNTY_LOCATION_ISSUER")</f>
        <v>Harris, TX</v>
      </c>
      <c r="F1024">
        <f>_xll.BDP("41422SFK Muni","DUR_ADJ_MID")</f>
        <v>8.0491260110425289E-2</v>
      </c>
      <c r="G1024">
        <f>_xll.BDP("41422SFK Muni","SPREAD_AT_ISSUANCE_TO_WORST")</f>
        <v>63.501624657534265</v>
      </c>
      <c r="H1024" t="str">
        <f>_xll.BDP("41422SFK Muni","ISSUE_DT")</f>
        <v>11/1/2017</v>
      </c>
      <c r="I1024" t="str">
        <f>_xll.BDS("41422SFK Muni","MUNI_PURPOSE_SCHED", "aggregate=y")</f>
        <v>SEWER IMPS. WATER UTILITY IMPS.</v>
      </c>
      <c r="J1024">
        <f>_xll.BDP("41422SFK Muni","CPN")</f>
        <v>4.25</v>
      </c>
      <c r="K1024" t="str">
        <f>_xll.BDP("41422SFK Muni","MATURITY")</f>
        <v>9/1/2022</v>
      </c>
      <c r="L1024">
        <v>50000</v>
      </c>
      <c r="M1024">
        <f>_xll.BDP("41422SFK Muni","YIELD_ON_ISSUE_DATE")</f>
        <v>2</v>
      </c>
      <c r="N1024">
        <f>_xll.BDP("41422SFK Muni","YTW_SPREAD_TO_MATURITY_AT_ISSU")</f>
        <v>63.501624657534265</v>
      </c>
      <c r="O1024" t="str">
        <f>_xll.BDP("41422SFK Muni","BVAL_MID_YTM")</f>
        <v>#N/A Authorization</v>
      </c>
      <c r="P1024" t="str">
        <f>_xll.BDP("41422SFK Muni","MUNI_TAX_PROV")</f>
        <v>FED TAX-EXEMPT</v>
      </c>
      <c r="Q1024" t="str">
        <f>_xll.BDP("41422SFK Muni","MUNI_FED_TAX")</f>
        <v>N</v>
      </c>
      <c r="R1024" t="str">
        <f>_xll.BDP("41422SFK Muni","MUNI_MSRB_VOLUME")</f>
        <v>#N/A N/A</v>
      </c>
      <c r="S1024" t="str">
        <f>_xll.BDP("41422SFK Muni","BB_COMPOSITE")</f>
        <v>A+</v>
      </c>
      <c r="T1024">
        <f>_xll.BDP("41422SFK Muni","LQA_LIQUIDITY_SCORE")</f>
        <v>95</v>
      </c>
    </row>
    <row r="1025" spans="1:20" x14ac:dyDescent="0.25">
      <c r="A1025" t="str">
        <f>_xll.BDP("41422SFL Muni","ID_CUSIP")</f>
        <v>41422SFL1</v>
      </c>
      <c r="B1025" t="s">
        <v>330</v>
      </c>
      <c r="C1025" t="str">
        <f>_xll.BDP("41422SFL Muni","INSURANCE_STATUS")</f>
        <v>Y</v>
      </c>
      <c r="D1025" t="str">
        <f>_xll.BDP("41422SFL Muni","STATE_CODE")</f>
        <v>TX</v>
      </c>
      <c r="E1025" t="str">
        <f>_xll.BDP("41422SFL Muni","COUNTY_LOCATION_ISSUER")</f>
        <v>Harris, TX</v>
      </c>
      <c r="F1025">
        <f>_xll.BDP("41422SFL Muni","DUR_ADJ_MID")</f>
        <v>1.0419201629518053</v>
      </c>
      <c r="G1025">
        <f>_xll.BDP("41422SFL Muni","SPREAD_AT_ISSUANCE_TO_WORST")</f>
        <v>60.266780821917834</v>
      </c>
      <c r="H1025" t="str">
        <f>_xll.BDP("41422SFL Muni","ISSUE_DT")</f>
        <v>11/1/2017</v>
      </c>
      <c r="I1025" t="str">
        <f>_xll.BDS("41422SFL Muni","MUNI_PURPOSE_SCHED", "aggregate=y")</f>
        <v>SEWER IMPS. WATER UTILITY IMPS.</v>
      </c>
      <c r="J1025">
        <f>_xll.BDP("41422SFL Muni","CPN")</f>
        <v>4.25</v>
      </c>
      <c r="K1025" t="str">
        <f>_xll.BDP("41422SFL Muni","MATURITY")</f>
        <v>9/1/2023</v>
      </c>
      <c r="L1025">
        <v>50000</v>
      </c>
      <c r="M1025">
        <f>_xll.BDP("41422SFL Muni","YIELD_ON_ISSUE_DATE")</f>
        <v>2.1</v>
      </c>
      <c r="N1025">
        <f>_xll.BDP("41422SFL Muni","YTW_SPREAD_TO_MATURITY_AT_ISSU")</f>
        <v>60.266780821917834</v>
      </c>
      <c r="O1025" t="str">
        <f>_xll.BDP("41422SFL Muni","BVAL_MID_YTM")</f>
        <v>#N/A Authorization</v>
      </c>
      <c r="P1025" t="str">
        <f>_xll.BDP("41422SFL Muni","MUNI_TAX_PROV")</f>
        <v>FED TAX-EXEMPT</v>
      </c>
      <c r="Q1025" t="str">
        <f>_xll.BDP("41422SFL Muni","MUNI_FED_TAX")</f>
        <v>N</v>
      </c>
      <c r="R1025" t="str">
        <f>_xll.BDP("41422SFL Muni","MUNI_MSRB_VOLUME")</f>
        <v>#N/A N/A</v>
      </c>
      <c r="S1025" t="str">
        <f>_xll.BDP("41422SFL Muni","BB_COMPOSITE")</f>
        <v>A+</v>
      </c>
      <c r="T1025">
        <f>_xll.BDP("41422SFL Muni","LQA_LIQUIDITY_SCORE")</f>
        <v>93</v>
      </c>
    </row>
    <row r="1026" spans="1:20" x14ac:dyDescent="0.25">
      <c r="A1026" t="str">
        <f>_xll.BDP("41422SFM Muni","ID_CUSIP")</f>
        <v>41422SFM9</v>
      </c>
      <c r="B1026" t="s">
        <v>330</v>
      </c>
      <c r="C1026" t="str">
        <f>_xll.BDP("41422SFM Muni","INSURANCE_STATUS")</f>
        <v>Y</v>
      </c>
      <c r="D1026" t="str">
        <f>_xll.BDP("41422SFM Muni","STATE_CODE")</f>
        <v>TX</v>
      </c>
      <c r="E1026" t="str">
        <f>_xll.BDP("41422SFM Muni","COUNTY_LOCATION_ISSUER")</f>
        <v>Harris, TX</v>
      </c>
      <c r="F1026">
        <f>_xll.BDP("41422SFM Muni","DUR_ADJ_MID")</f>
        <v>2.0018852614501177</v>
      </c>
      <c r="G1026">
        <f>_xll.BDP("41422SFM Muni","SPREAD_AT_ISSUANCE_TO_WORST")</f>
        <v>56.549794520547977</v>
      </c>
      <c r="H1026" t="str">
        <f>_xll.BDP("41422SFM Muni","ISSUE_DT")</f>
        <v>11/1/2017</v>
      </c>
      <c r="I1026" t="str">
        <f>_xll.BDS("41422SFM Muni","MUNI_PURPOSE_SCHED", "aggregate=y")</f>
        <v>SEWER IMPS. WATER UTILITY IMPS.</v>
      </c>
      <c r="J1026">
        <f>_xll.BDP("41422SFM Muni","CPN")</f>
        <v>2.5</v>
      </c>
      <c r="K1026" t="str">
        <f>_xll.BDP("41422SFM Muni","MATURITY")</f>
        <v>9/1/2024</v>
      </c>
      <c r="L1026">
        <v>100000</v>
      </c>
      <c r="M1026">
        <f>_xll.BDP("41422SFM Muni","YIELD_ON_ISSUE_DATE")</f>
        <v>2.2000000000000002</v>
      </c>
      <c r="N1026">
        <f>_xll.BDP("41422SFM Muni","YTW_SPREAD_TO_MATURITY_AT_ISSU")</f>
        <v>56.549794520547977</v>
      </c>
      <c r="O1026" t="str">
        <f>_xll.BDP("41422SFM Muni","BVAL_MID_YTM")</f>
        <v>#N/A Authorization</v>
      </c>
      <c r="P1026" t="str">
        <f>_xll.BDP("41422SFM Muni","MUNI_TAX_PROV")</f>
        <v>FED TAX-EXEMPT</v>
      </c>
      <c r="Q1026" t="str">
        <f>_xll.BDP("41422SFM Muni","MUNI_FED_TAX")</f>
        <v>N</v>
      </c>
      <c r="R1026" t="str">
        <f>_xll.BDP("41422SFM Muni","MUNI_MSRB_VOLUME")</f>
        <v>#N/A N/A</v>
      </c>
      <c r="S1026" t="str">
        <f>_xll.BDP("41422SFM Muni","BB_COMPOSITE")</f>
        <v>A+</v>
      </c>
      <c r="T1026">
        <f>_xll.BDP("41422SFM Muni","LQA_LIQUIDITY_SCORE")</f>
        <v>72</v>
      </c>
    </row>
    <row r="1027" spans="1:20" x14ac:dyDescent="0.25">
      <c r="A1027" t="str">
        <f>_xll.BDP("41422TCL Muni","ID_CUSIP")</f>
        <v>41422TCL2</v>
      </c>
      <c r="B1027" t="s">
        <v>334</v>
      </c>
      <c r="C1027" t="str">
        <f>_xll.BDP("41422TCL Muni","INSURANCE_STATUS")</f>
        <v>N</v>
      </c>
      <c r="D1027" t="str">
        <f>_xll.BDP("41422TCL Muni","STATE_CODE")</f>
        <v>TX</v>
      </c>
      <c r="E1027" t="str">
        <f>_xll.BDP("41422TCL Muni","COUNTY_LOCATION_ISSUER")</f>
        <v>Harris, TX</v>
      </c>
      <c r="F1027">
        <f>_xll.BDP("41422TCL Muni","DUR_ADJ_MID")</f>
        <v>5.555173740234785E-3</v>
      </c>
      <c r="G1027">
        <f>_xll.BDP("41422TCL Muni","SPREAD_AT_ISSUANCE_TO_WORST")</f>
        <v>84.068421917808209</v>
      </c>
      <c r="H1027" t="str">
        <f>_xll.BDP("41422TCL Muni","ISSUE_DT")</f>
        <v>12/1/2017</v>
      </c>
      <c r="I1027" t="str">
        <f>_xll.BDS("41422TCL Muni","MUNI_PURPOSE_SCHED", "aggregate=y")</f>
        <v>WATER UTILITY IMPS. SEWER IMPS. PUBLIC IMPS.</v>
      </c>
      <c r="J1027">
        <f>_xll.BDP("41422TCL Muni","CPN")</f>
        <v>2.25</v>
      </c>
      <c r="K1027" t="str">
        <f>_xll.BDP("41422TCL Muni","MATURITY")</f>
        <v>8/1/2022</v>
      </c>
      <c r="L1027">
        <v>45000</v>
      </c>
      <c r="M1027">
        <f>_xll.BDP("41422TCL Muni","YIELD_ON_ISSUE_DATE")</f>
        <v>2.25</v>
      </c>
      <c r="N1027">
        <f>_xll.BDP("41422TCL Muni","YTW_SPREAD_TO_MATURITY_AT_ISSU")</f>
        <v>84.068421917808209</v>
      </c>
      <c r="O1027" t="str">
        <f>_xll.BDP("41422TCL Muni","BVAL_MID_YTM")</f>
        <v>#N/A Authorization</v>
      </c>
      <c r="P1027" t="str">
        <f>_xll.BDP("41422TCL Muni","MUNI_TAX_PROV")</f>
        <v>FED BQ</v>
      </c>
      <c r="Q1027" t="str">
        <f>_xll.BDP("41422TCL Muni","MUNI_FED_TAX")</f>
        <v>N</v>
      </c>
      <c r="R1027" t="str">
        <f>_xll.BDP("41422TCL Muni","MUNI_MSRB_VOLUME")</f>
        <v>#N/A N/A</v>
      </c>
      <c r="S1027" t="str">
        <f>_xll.BDP("41422TCL Muni","BB_COMPOSITE")</f>
        <v>#N/A N/A</v>
      </c>
      <c r="T1027">
        <f>_xll.BDP("41422TCL Muni","LQA_LIQUIDITY_SCORE")</f>
        <v>97</v>
      </c>
    </row>
    <row r="1028" spans="1:20" x14ac:dyDescent="0.25">
      <c r="A1028" t="str">
        <f>_xll.BDP("41422TCM Muni","ID_CUSIP")</f>
        <v>41422TCM0</v>
      </c>
      <c r="B1028" t="s">
        <v>334</v>
      </c>
      <c r="C1028" t="str">
        <f>_xll.BDP("41422TCM Muni","INSURANCE_STATUS")</f>
        <v>N</v>
      </c>
      <c r="D1028" t="str">
        <f>_xll.BDP("41422TCM Muni","STATE_CODE")</f>
        <v>TX</v>
      </c>
      <c r="E1028" t="str">
        <f>_xll.BDP("41422TCM Muni","COUNTY_LOCATION_ISSUER")</f>
        <v>Harris, TX</v>
      </c>
      <c r="F1028">
        <f>_xll.BDP("41422TCM Muni","DUR_ADJ_MID")</f>
        <v>0.98009343766386625</v>
      </c>
      <c r="G1028">
        <f>_xll.BDP("41422TCM Muni","SPREAD_AT_ISSUANCE_TO_WORST")</f>
        <v>98.030690410958911</v>
      </c>
      <c r="H1028" t="str">
        <f>_xll.BDP("41422TCM Muni","ISSUE_DT")</f>
        <v>12/1/2017</v>
      </c>
      <c r="I1028" t="str">
        <f>_xll.BDS("41422TCM Muni","MUNI_PURPOSE_SCHED", "aggregate=y")</f>
        <v>WATER UTILITY IMPS. SEWER IMPS. PUBLIC IMPS.</v>
      </c>
      <c r="J1028">
        <f>_xll.BDP("41422TCM Muni","CPN")</f>
        <v>2.5</v>
      </c>
      <c r="K1028" t="str">
        <f>_xll.BDP("41422TCM Muni","MATURITY")</f>
        <v>8/1/2023</v>
      </c>
      <c r="L1028">
        <v>50000</v>
      </c>
      <c r="M1028">
        <f>_xll.BDP("41422TCM Muni","YIELD_ON_ISSUE_DATE")</f>
        <v>2.5</v>
      </c>
      <c r="N1028">
        <f>_xll.BDP("41422TCM Muni","YTW_SPREAD_TO_MATURITY_AT_ISSU")</f>
        <v>98.030690410958911</v>
      </c>
      <c r="O1028" t="str">
        <f>_xll.BDP("41422TCM Muni","BVAL_MID_YTM")</f>
        <v>#N/A Authorization</v>
      </c>
      <c r="P1028" t="str">
        <f>_xll.BDP("41422TCM Muni","MUNI_TAX_PROV")</f>
        <v>FED BQ</v>
      </c>
      <c r="Q1028" t="str">
        <f>_xll.BDP("41422TCM Muni","MUNI_FED_TAX")</f>
        <v>N</v>
      </c>
      <c r="R1028" t="str">
        <f>_xll.BDP("41422TCM Muni","MUNI_MSRB_VOLUME")</f>
        <v>#N/A N/A</v>
      </c>
      <c r="S1028" t="str">
        <f>_xll.BDP("41422TCM Muni","BB_COMPOSITE")</f>
        <v>#N/A N/A</v>
      </c>
      <c r="T1028">
        <f>_xll.BDP("41422TCM Muni","LQA_LIQUIDITY_SCORE")</f>
        <v>74</v>
      </c>
    </row>
    <row r="1029" spans="1:20" x14ac:dyDescent="0.25">
      <c r="A1029" t="str">
        <f>_xll.BDP("41422TCN Muni","ID_CUSIP")</f>
        <v>41422TCN8</v>
      </c>
      <c r="B1029" t="s">
        <v>334</v>
      </c>
      <c r="C1029" t="str">
        <f>_xll.BDP("41422TCN Muni","INSURANCE_STATUS")</f>
        <v>N</v>
      </c>
      <c r="D1029" t="str">
        <f>_xll.BDP("41422TCN Muni","STATE_CODE")</f>
        <v>TX</v>
      </c>
      <c r="E1029" t="str">
        <f>_xll.BDP("41422TCN Muni","COUNTY_LOCATION_ISSUER")</f>
        <v>Harris, TX</v>
      </c>
      <c r="F1029">
        <f>_xll.BDP("41422TCN Muni","DUR_ADJ_MID")</f>
        <v>1.9329002047505608</v>
      </c>
      <c r="G1029">
        <f>_xll.BDP("41422TCN Muni","SPREAD_AT_ISSUANCE_TO_WORST")</f>
        <v>112.70808219178083</v>
      </c>
      <c r="H1029" t="str">
        <f>_xll.BDP("41422TCN Muni","ISSUE_DT")</f>
        <v>12/1/2017</v>
      </c>
      <c r="I1029" t="str">
        <f>_xll.BDS("41422TCN Muni","MUNI_PURPOSE_SCHED", "aggregate=y")</f>
        <v>WATER UTILITY IMPS. SEWER IMPS. PUBLIC IMPS.</v>
      </c>
      <c r="J1029">
        <f>_xll.BDP("41422TCN Muni","CPN")</f>
        <v>2.75</v>
      </c>
      <c r="K1029" t="str">
        <f>_xll.BDP("41422TCN Muni","MATURITY")</f>
        <v>8/1/2024</v>
      </c>
      <c r="L1029">
        <v>50000</v>
      </c>
      <c r="M1029">
        <f>_xll.BDP("41422TCN Muni","YIELD_ON_ISSUE_DATE")</f>
        <v>2.75</v>
      </c>
      <c r="N1029">
        <f>_xll.BDP("41422TCN Muni","YTW_SPREAD_TO_MATURITY_AT_ISSU")</f>
        <v>112.70808219178083</v>
      </c>
      <c r="O1029" t="str">
        <f>_xll.BDP("41422TCN Muni","BVAL_MID_YTM")</f>
        <v>#N/A Authorization</v>
      </c>
      <c r="P1029" t="str">
        <f>_xll.BDP("41422TCN Muni","MUNI_TAX_PROV")</f>
        <v>FED BQ</v>
      </c>
      <c r="Q1029" t="str">
        <f>_xll.BDP("41422TCN Muni","MUNI_FED_TAX")</f>
        <v>N</v>
      </c>
      <c r="R1029" t="str">
        <f>_xll.BDP("41422TCN Muni","MUNI_MSRB_VOLUME")</f>
        <v>#N/A N/A</v>
      </c>
      <c r="S1029" t="str">
        <f>_xll.BDP("41422TCN Muni","BB_COMPOSITE")</f>
        <v>#N/A N/A</v>
      </c>
      <c r="T1029">
        <f>_xll.BDP("41422TCN Muni","LQA_LIQUIDITY_SCORE")</f>
        <v>61</v>
      </c>
    </row>
    <row r="1030" spans="1:20" x14ac:dyDescent="0.25">
      <c r="A1030" t="str">
        <f>_xll.BDP("41422VBE Muni","ID_CUSIP")</f>
        <v>41422VBE4</v>
      </c>
      <c r="B1030" t="s">
        <v>331</v>
      </c>
      <c r="C1030" t="str">
        <f>_xll.BDP("41422VBE Muni","INSURANCE_STATUS")</f>
        <v>N</v>
      </c>
      <c r="D1030" t="str">
        <f>_xll.BDP("41422VBE Muni","STATE_CODE")</f>
        <v>TX</v>
      </c>
      <c r="E1030" t="str">
        <f>_xll.BDP("41422VBE Muni","COUNTY_LOCATION_ISSUER")</f>
        <v>Harris, TX</v>
      </c>
      <c r="F1030">
        <f>_xll.BDP("41422VBE Muni","DUR_ADJ_MID")</f>
        <v>8.0448019844787291E-2</v>
      </c>
      <c r="G1030">
        <f>_xll.BDP("41422VBE Muni","SPREAD_AT_ISSUANCE_TO_WORST")</f>
        <v>104.82915510382524</v>
      </c>
      <c r="H1030" t="str">
        <f>_xll.BDP("41422VBE Muni","ISSUE_DT")</f>
        <v>7/1/2017</v>
      </c>
      <c r="I1030" t="str">
        <f>_xll.BDS("41422VBE Muni","MUNI_PURPOSE_SCHED", "aggregate=y")</f>
        <v>WATER UTILITY IMPS. SEWER IMPS. RECREATIONAL FAC. IMPS.</v>
      </c>
      <c r="J1030">
        <f>_xll.BDP("41422VBE Muni","CPN")</f>
        <v>2.2999999999999998</v>
      </c>
      <c r="K1030" t="str">
        <f>_xll.BDP("41422VBE Muni","MATURITY")</f>
        <v>9/1/2022</v>
      </c>
      <c r="L1030">
        <v>110000</v>
      </c>
      <c r="M1030">
        <f>_xll.BDP("41422VBE Muni","YIELD_ON_ISSUE_DATE")</f>
        <v>2.3000000000000003</v>
      </c>
      <c r="N1030">
        <f>_xll.BDP("41422VBE Muni","YTW_SPREAD_TO_MATURITY_AT_ISSU")</f>
        <v>104.82915510382524</v>
      </c>
      <c r="O1030" t="str">
        <f>_xll.BDP("41422VBE Muni","BVAL_MID_YTM")</f>
        <v>#N/A Authorization</v>
      </c>
      <c r="P1030" t="str">
        <f>_xll.BDP("41422VBE Muni","MUNI_TAX_PROV")</f>
        <v>FED BQ</v>
      </c>
      <c r="Q1030" t="str">
        <f>_xll.BDP("41422VBE Muni","MUNI_FED_TAX")</f>
        <v>N</v>
      </c>
      <c r="R1030" t="str">
        <f>_xll.BDP("41422VBE Muni","MUNI_MSRB_VOLUME")</f>
        <v>#N/A N/A</v>
      </c>
      <c r="S1030" t="str">
        <f>_xll.BDP("41422VBE Muni","BB_COMPOSITE")</f>
        <v>#N/A N/A</v>
      </c>
      <c r="T1030">
        <f>_xll.BDP("41422VBE Muni","LQA_LIQUIDITY_SCORE")</f>
        <v>93</v>
      </c>
    </row>
    <row r="1031" spans="1:20" x14ac:dyDescent="0.25">
      <c r="A1031" t="str">
        <f>_xll.BDP("41422YCG Muni","ID_CUSIP")</f>
        <v>41422YCG2</v>
      </c>
      <c r="B1031" t="s">
        <v>332</v>
      </c>
      <c r="C1031" t="str">
        <f>_xll.BDP("41422YCG Muni","INSURANCE_STATUS")</f>
        <v>Y</v>
      </c>
      <c r="D1031" t="str">
        <f>_xll.BDP("41422YCG Muni","STATE_CODE")</f>
        <v>TX</v>
      </c>
      <c r="E1031" t="str">
        <f>_xll.BDP("41422YCG Muni","COUNTY_LOCATION_ISSUER")</f>
        <v>Harris, TX</v>
      </c>
      <c r="F1031">
        <f>_xll.BDP("41422YCG Muni","DUR_ADJ_MID")</f>
        <v>1.0487323750050059</v>
      </c>
      <c r="G1031">
        <f>_xll.BDP("41422YCG Muni","SPREAD_AT_ISSUANCE_TO_WORST")</f>
        <v>27.07579195399601</v>
      </c>
      <c r="H1031" t="str">
        <f>_xll.BDP("41422YCG Muni","ISSUE_DT")</f>
        <v>3/1/2017</v>
      </c>
      <c r="I1031" t="str">
        <f>_xll.BDS("41422YCG Muni","MUNI_PURPOSE_SCHED", "aggregate=y")</f>
        <v>WATER UTILITY IMPS. SEWER IMPS.</v>
      </c>
      <c r="J1031">
        <f>_xll.BDP("41422YCG Muni","CPN")</f>
        <v>3</v>
      </c>
      <c r="K1031" t="str">
        <f>_xll.BDP("41422YCG Muni","MATURITY")</f>
        <v>9/1/2023</v>
      </c>
      <c r="L1031">
        <v>185000</v>
      </c>
      <c r="M1031">
        <f>_xll.BDP("41422YCG Muni","YIELD_ON_ISSUE_DATE")</f>
        <v>2.1</v>
      </c>
      <c r="N1031">
        <f>_xll.BDP("41422YCG Muni","YTW_SPREAD_TO_MATURITY_AT_ISSU")</f>
        <v>27.07579195399601</v>
      </c>
      <c r="O1031" t="str">
        <f>_xll.BDP("41422YCG Muni","BVAL_MID_YTM")</f>
        <v>#N/A Authorization</v>
      </c>
      <c r="P1031" t="str">
        <f>_xll.BDP("41422YCG Muni","MUNI_TAX_PROV")</f>
        <v>FED BQ</v>
      </c>
      <c r="Q1031" t="str">
        <f>_xll.BDP("41422YCG Muni","MUNI_FED_TAX")</f>
        <v>N</v>
      </c>
      <c r="R1031" t="str">
        <f>_xll.BDP("41422YCG Muni","MUNI_MSRB_VOLUME")</f>
        <v>#N/A N/A</v>
      </c>
      <c r="S1031" t="str">
        <f>_xll.BDP("41422YCG Muni","BB_COMPOSITE")</f>
        <v>A+</v>
      </c>
      <c r="T1031">
        <f>_xll.BDP("41422YCG Muni","LQA_LIQUIDITY_SCORE")</f>
        <v>89</v>
      </c>
    </row>
    <row r="1032" spans="1:20" x14ac:dyDescent="0.25">
      <c r="A1032" t="str">
        <f>_xll.BDP("41422YCJ Muni","ID_CUSIP")</f>
        <v>41422YCJ6</v>
      </c>
      <c r="B1032" t="s">
        <v>332</v>
      </c>
      <c r="C1032" t="str">
        <f>_xll.BDP("41422YCJ Muni","INSURANCE_STATUS")</f>
        <v>Y</v>
      </c>
      <c r="D1032" t="str">
        <f>_xll.BDP("41422YCJ Muni","STATE_CODE")</f>
        <v>TX</v>
      </c>
      <c r="E1032" t="str">
        <f>_xll.BDP("41422YCJ Muni","COUNTY_LOCATION_ISSUER")</f>
        <v>Harris, TX</v>
      </c>
      <c r="F1032">
        <f>_xll.BDP("41422YCJ Muni","DUR_ADJ_MID")</f>
        <v>2.8989335823960611</v>
      </c>
      <c r="G1032">
        <f>_xll.BDP("41422YCJ Muni","SPREAD_AT_ISSUANCE_TO_WORST")</f>
        <v>27.47036060677317</v>
      </c>
      <c r="H1032" t="str">
        <f>_xll.BDP("41422YCJ Muni","ISSUE_DT")</f>
        <v>3/1/2017</v>
      </c>
      <c r="I1032" t="str">
        <f>_xll.BDS("41422YCJ Muni","MUNI_PURPOSE_SCHED", "aggregate=y")</f>
        <v>WATER UTILITY IMPS. SEWER IMPS.</v>
      </c>
      <c r="J1032">
        <f>_xll.BDP("41422YCJ Muni","CPN")</f>
        <v>3</v>
      </c>
      <c r="K1032" t="str">
        <f>_xll.BDP("41422YCJ Muni","MATURITY")</f>
        <v>9/1/2025</v>
      </c>
      <c r="L1032">
        <v>180000</v>
      </c>
      <c r="M1032">
        <f>_xll.BDP("41422YCJ Muni","YIELD_ON_ISSUE_DATE")</f>
        <v>2.4000000000000004</v>
      </c>
      <c r="N1032">
        <f>_xll.BDP("41422YCJ Muni","YTW_SPREAD_TO_MATURITY_AT_ISSU")</f>
        <v>27.47036060677317</v>
      </c>
      <c r="O1032" t="str">
        <f>_xll.BDP("41422YCJ Muni","BVAL_MID_YTM")</f>
        <v>#N/A Authorization</v>
      </c>
      <c r="P1032" t="str">
        <f>_xll.BDP("41422YCJ Muni","MUNI_TAX_PROV")</f>
        <v>FED BQ</v>
      </c>
      <c r="Q1032" t="str">
        <f>_xll.BDP("41422YCJ Muni","MUNI_FED_TAX")</f>
        <v>N</v>
      </c>
      <c r="R1032" t="str">
        <f>_xll.BDP("41422YCJ Muni","MUNI_MSRB_VOLUME")</f>
        <v>#N/A N/A</v>
      </c>
      <c r="S1032" t="str">
        <f>_xll.BDP("41422YCJ Muni","BB_COMPOSITE")</f>
        <v>A+</v>
      </c>
      <c r="T1032">
        <f>_xll.BDP("41422YCJ Muni","LQA_LIQUIDITY_SCORE")</f>
        <v>69</v>
      </c>
    </row>
    <row r="1033" spans="1:20" x14ac:dyDescent="0.25">
      <c r="A1033" t="str">
        <f>_xll.BDP("41423RBG Muni","ID_CUSIP")</f>
        <v>41423RBG7</v>
      </c>
      <c r="B1033" t="s">
        <v>335</v>
      </c>
      <c r="C1033" t="str">
        <f>_xll.BDP("41423RBG Muni","INSURANCE_STATUS")</f>
        <v>Y</v>
      </c>
      <c r="D1033" t="str">
        <f>_xll.BDP("41423RBG Muni","STATE_CODE")</f>
        <v>TX</v>
      </c>
      <c r="E1033" t="str">
        <f>_xll.BDP("41423RBG Muni","COUNTY_LOCATION_ISSUER")</f>
        <v>Harris, TX</v>
      </c>
      <c r="F1033">
        <f>_xll.BDP("41423RBG Muni","DUR_ADJ_MID")</f>
        <v>8.0471216936018622E-2</v>
      </c>
      <c r="G1033">
        <f>_xll.BDP("41423RBG Muni","SPREAD_AT_ISSUANCE_TO_WORST")</f>
        <v>84.199767682566758</v>
      </c>
      <c r="H1033" t="str">
        <f>_xll.BDP("41423RBG Muni","ISSUE_DT")</f>
        <v>5/1/2017</v>
      </c>
      <c r="I1033" t="str">
        <f>_xll.BDS("41423RBG Muni","MUNI_PURPOSE_SCHED", "aggregate=y")</f>
        <v>WATER UTILITY IMPS. SEWER IMPS.</v>
      </c>
      <c r="J1033">
        <f>_xll.BDP("41423RBG Muni","CPN")</f>
        <v>3</v>
      </c>
      <c r="K1033" t="str">
        <f>_xll.BDP("41423RBG Muni","MATURITY")</f>
        <v>9/1/2022</v>
      </c>
      <c r="L1033">
        <v>105000</v>
      </c>
      <c r="M1033">
        <f>_xll.BDP("41423RBG Muni","YIELD_ON_ISSUE_DATE")</f>
        <v>2.4000000000000004</v>
      </c>
      <c r="N1033">
        <f>_xll.BDP("41423RBG Muni","YTW_SPREAD_TO_MATURITY_AT_ISSU")</f>
        <v>84.199767682566758</v>
      </c>
      <c r="O1033" t="str">
        <f>_xll.BDP("41423RBG Muni","BVAL_MID_YTM")</f>
        <v>#N/A Authorization</v>
      </c>
      <c r="P1033" t="str">
        <f>_xll.BDP("41423RBG Muni","MUNI_TAX_PROV")</f>
        <v>FED BQ</v>
      </c>
      <c r="Q1033" t="str">
        <f>_xll.BDP("41423RBG Muni","MUNI_FED_TAX")</f>
        <v>N</v>
      </c>
      <c r="R1033" t="str">
        <f>_xll.BDP("41423RBG Muni","MUNI_MSRB_VOLUME")</f>
        <v>#N/A N/A</v>
      </c>
      <c r="S1033" t="str">
        <f>_xll.BDP("41423RBG Muni","BB_COMPOSITE")</f>
        <v>#N/A N/A</v>
      </c>
      <c r="T1033">
        <f>_xll.BDP("41423RBG Muni","LQA_LIQUIDITY_SCORE")</f>
        <v>99</v>
      </c>
    </row>
    <row r="1034" spans="1:20" x14ac:dyDescent="0.25">
      <c r="A1034" t="str">
        <f>_xll.BDP("41423RBH Muni","ID_CUSIP")</f>
        <v>41423RBH5</v>
      </c>
      <c r="B1034" t="s">
        <v>335</v>
      </c>
      <c r="C1034" t="str">
        <f>_xll.BDP("41423RBH Muni","INSURANCE_STATUS")</f>
        <v>Y</v>
      </c>
      <c r="D1034" t="str">
        <f>_xll.BDP("41423RBH Muni","STATE_CODE")</f>
        <v>TX</v>
      </c>
      <c r="E1034" t="str">
        <f>_xll.BDP("41423RBH Muni","COUNTY_LOCATION_ISSUER")</f>
        <v>Harris, TX</v>
      </c>
      <c r="F1034">
        <f>_xll.BDP("41423RBH Muni","DUR_ADJ_MID")</f>
        <v>1.0487323750050059</v>
      </c>
      <c r="G1034">
        <f>_xll.BDP("41423RBH Muni","SPREAD_AT_ISSUANCE_TO_WORST")</f>
        <v>87.466188328933825</v>
      </c>
      <c r="H1034" t="str">
        <f>_xll.BDP("41423RBH Muni","ISSUE_DT")</f>
        <v>5/1/2017</v>
      </c>
      <c r="I1034" t="str">
        <f>_xll.BDS("41423RBH Muni","MUNI_PURPOSE_SCHED", "aggregate=y")</f>
        <v>WATER UTILITY IMPS. SEWER IMPS.</v>
      </c>
      <c r="J1034">
        <f>_xll.BDP("41423RBH Muni","CPN")</f>
        <v>3</v>
      </c>
      <c r="K1034" t="str">
        <f>_xll.BDP("41423RBH Muni","MATURITY")</f>
        <v>9/1/2023</v>
      </c>
      <c r="L1034">
        <v>110000</v>
      </c>
      <c r="M1034">
        <f>_xll.BDP("41423RBH Muni","YIELD_ON_ISSUE_DATE")</f>
        <v>2.6</v>
      </c>
      <c r="N1034">
        <f>_xll.BDP("41423RBH Muni","YTW_SPREAD_TO_MATURITY_AT_ISSU")</f>
        <v>87.466188328933825</v>
      </c>
      <c r="O1034" t="str">
        <f>_xll.BDP("41423RBH Muni","BVAL_MID_YTM")</f>
        <v>#N/A Authorization</v>
      </c>
      <c r="P1034" t="str">
        <f>_xll.BDP("41423RBH Muni","MUNI_TAX_PROV")</f>
        <v>FED BQ</v>
      </c>
      <c r="Q1034" t="str">
        <f>_xll.BDP("41423RBH Muni","MUNI_FED_TAX")</f>
        <v>N</v>
      </c>
      <c r="R1034" t="str">
        <f>_xll.BDP("41423RBH Muni","MUNI_MSRB_VOLUME")</f>
        <v>#N/A N/A</v>
      </c>
      <c r="S1034" t="str">
        <f>_xll.BDP("41423RBH Muni","BB_COMPOSITE")</f>
        <v>#N/A N/A</v>
      </c>
      <c r="T1034">
        <f>_xll.BDP("41423RBH Muni","LQA_LIQUIDITY_SCORE")</f>
        <v>89</v>
      </c>
    </row>
    <row r="1035" spans="1:20" x14ac:dyDescent="0.25">
      <c r="A1035" t="str">
        <f>_xll.BDP("41424LAD Muni","ID_CUSIP")</f>
        <v>41424LAD7</v>
      </c>
      <c r="B1035" t="s">
        <v>120</v>
      </c>
      <c r="C1035" t="str">
        <f>_xll.BDP("41424LAD Muni","INSURANCE_STATUS")</f>
        <v>Y</v>
      </c>
      <c r="D1035" t="str">
        <f>_xll.BDP("41424LAD Muni","STATE_CODE")</f>
        <v>TX</v>
      </c>
      <c r="E1035" t="str">
        <f>_xll.BDP("41424LAD Muni","COUNTY_LOCATION_ISSUER")</f>
        <v>#N/A Field Not Applicable</v>
      </c>
      <c r="F1035">
        <f>_xll.BDP("41424LAD Muni","DUR_ADJ_MID")</f>
        <v>8.0472345381763649E-2</v>
      </c>
      <c r="G1035">
        <f>_xll.BDP("41424LAD Muni","SPREAD_AT_ISSUANCE_TO_WORST")</f>
        <v>63.36165397243645</v>
      </c>
      <c r="H1035" t="str">
        <f>_xll.BDP("41424LAD Muni","ISSUE_DT")</f>
        <v>5/1/2017</v>
      </c>
      <c r="I1035" t="str">
        <f>_xll.BDS("41424LAD Muni","MUNI_PURPOSE_SCHED", "aggregate=y")</f>
        <v>REFUNDING NOTES WATER UTILITY IMPS. SEWER IMPS.</v>
      </c>
      <c r="J1035">
        <f>_xll.BDP("41424LAD Muni","CPN")</f>
        <v>5</v>
      </c>
      <c r="K1035" t="str">
        <f>_xll.BDP("41424LAD Muni","MATURITY")</f>
        <v>9/1/2022</v>
      </c>
      <c r="L1035">
        <v>130000</v>
      </c>
      <c r="M1035">
        <f>_xll.BDP("41424LAD Muni","YIELD_ON_ISSUE_DATE")</f>
        <v>2.2000000000000002</v>
      </c>
      <c r="N1035">
        <f>_xll.BDP("41424LAD Muni","YTW_SPREAD_TO_MATURITY_AT_ISSU")</f>
        <v>63.36165397243645</v>
      </c>
      <c r="O1035" t="str">
        <f>_xll.BDP("41424LAD Muni","BVAL_MID_YTM")</f>
        <v>#N/A Authorization</v>
      </c>
      <c r="P1035" t="str">
        <f>_xll.BDP("41424LAD Muni","MUNI_TAX_PROV")</f>
        <v>FED TAX-EXEMPT</v>
      </c>
      <c r="Q1035" t="str">
        <f>_xll.BDP("41424LAD Muni","MUNI_FED_TAX")</f>
        <v>N</v>
      </c>
      <c r="R1035" t="str">
        <f>_xll.BDP("41424LAD Muni","MUNI_MSRB_VOLUME")</f>
        <v>#N/A N/A</v>
      </c>
      <c r="S1035" t="str">
        <f>_xll.BDP("41424LAD Muni","BB_COMPOSITE")</f>
        <v>#N/A N/A</v>
      </c>
      <c r="T1035">
        <f>_xll.BDP("41424LAD Muni","LQA_LIQUIDITY_SCORE")</f>
        <v>97</v>
      </c>
    </row>
    <row r="1036" spans="1:20" x14ac:dyDescent="0.25">
      <c r="A1036" t="str">
        <f>_xll.BDP("41425EBG Muni","ID_CUSIP")</f>
        <v>41425EBG4</v>
      </c>
      <c r="B1036" t="s">
        <v>336</v>
      </c>
      <c r="C1036" t="str">
        <f>_xll.BDP("41425EBG Muni","INSURANCE_STATUS")</f>
        <v>N</v>
      </c>
      <c r="D1036" t="str">
        <f>_xll.BDP("41425EBG Muni","STATE_CODE")</f>
        <v>TX</v>
      </c>
      <c r="E1036" t="str">
        <f>_xll.BDP("41425EBG Muni","COUNTY_LOCATION_ISSUER")</f>
        <v>#N/A Field Not Applicable</v>
      </c>
      <c r="F1036">
        <f>_xll.BDP("41425EBG Muni","DUR_ADJ_MID")</f>
        <v>1.0491849791282113</v>
      </c>
      <c r="G1036">
        <f>_xll.BDP("41425EBG Muni","SPREAD_AT_ISSUANCE_TO_WORST")</f>
        <v>95.817161670912071</v>
      </c>
      <c r="H1036" t="str">
        <f>_xll.BDP("41425EBG Muni","ISSUE_DT")</f>
        <v>4/1/2017</v>
      </c>
      <c r="I1036" t="str">
        <f>_xll.BDS("41425EBG Muni","MUNI_PURPOSE_SCHED", "aggregate=y")</f>
        <v>WATER UTILITY IMPS. SEWER IMPS. PUBLIC IMPS.</v>
      </c>
      <c r="J1036">
        <f>_xll.BDP("41425EBG Muni","CPN")</f>
        <v>2.75</v>
      </c>
      <c r="K1036" t="str">
        <f>_xll.BDP("41425EBG Muni","MATURITY")</f>
        <v>9/1/2023</v>
      </c>
      <c r="L1036">
        <v>170000</v>
      </c>
      <c r="M1036">
        <f>_xll.BDP("41425EBG Muni","YIELD_ON_ISSUE_DATE")</f>
        <v>2.75</v>
      </c>
      <c r="N1036">
        <f>_xll.BDP("41425EBG Muni","YTW_SPREAD_TO_MATURITY_AT_ISSU")</f>
        <v>95.817161670912071</v>
      </c>
      <c r="O1036" t="str">
        <f>_xll.BDP("41425EBG Muni","BVAL_MID_YTM")</f>
        <v>#N/A Authorization</v>
      </c>
      <c r="P1036" t="str">
        <f>_xll.BDP("41425EBG Muni","MUNI_TAX_PROV")</f>
        <v>FED BQ</v>
      </c>
      <c r="Q1036" t="str">
        <f>_xll.BDP("41425EBG Muni","MUNI_FED_TAX")</f>
        <v>N</v>
      </c>
      <c r="R1036" t="str">
        <f>_xll.BDP("41425EBG Muni","MUNI_MSRB_VOLUME")</f>
        <v>#N/A N/A</v>
      </c>
      <c r="S1036" t="str">
        <f>_xll.BDP("41425EBG Muni","BB_COMPOSITE")</f>
        <v>#N/A N/A</v>
      </c>
      <c r="T1036">
        <f>_xll.BDP("41425EBG Muni","LQA_LIQUIDITY_SCORE")</f>
        <v>83</v>
      </c>
    </row>
    <row r="1037" spans="1:20" x14ac:dyDescent="0.25">
      <c r="A1037" t="str">
        <f>_xll.BDP("41425UBF Muni","ID_CUSIP")</f>
        <v>41425UBF0</v>
      </c>
      <c r="B1037" t="s">
        <v>337</v>
      </c>
      <c r="C1037" t="str">
        <f>_xll.BDP("41425UBF Muni","INSURANCE_STATUS")</f>
        <v>N</v>
      </c>
      <c r="D1037" t="str">
        <f>_xll.BDP("41425UBF Muni","STATE_CODE")</f>
        <v>TX</v>
      </c>
      <c r="E1037" t="str">
        <f>_xll.BDP("41425UBF Muni","COUNTY_LOCATION_ISSUER")</f>
        <v>Harris, TX</v>
      </c>
      <c r="F1037">
        <f>_xll.BDP("41425UBF Muni","DUR_ADJ_MID")</f>
        <v>8.0443597887089754E-2</v>
      </c>
      <c r="G1037">
        <f>_xll.BDP("41425UBF Muni","SPREAD_AT_ISSUANCE_TO_WORST")</f>
        <v>71.498059558599849</v>
      </c>
      <c r="H1037" t="str">
        <f>_xll.BDP("41425UBF Muni","ISSUE_DT")</f>
        <v>3/15/2017</v>
      </c>
      <c r="I1037" t="str">
        <f>_xll.BDS("41425UBF Muni","MUNI_PURPOSE_SCHED", "aggregate=y")</f>
        <v>WATER UTILITY IMPS. SEWER IMPS. PROPERTY ACQUISITION</v>
      </c>
      <c r="J1037">
        <f>_xll.BDP("41425UBF Muni","CPN")</f>
        <v>3</v>
      </c>
      <c r="K1037" t="str">
        <f>_xll.BDP("41425UBF Muni","MATURITY")</f>
        <v>9/1/2022</v>
      </c>
      <c r="L1037">
        <v>230000</v>
      </c>
      <c r="M1037">
        <f>_xll.BDP("41425UBF Muni","YIELD_ON_ISSUE_DATE")</f>
        <v>2.5</v>
      </c>
      <c r="N1037">
        <f>_xll.BDP("41425UBF Muni","YTW_SPREAD_TO_MATURITY_AT_ISSU")</f>
        <v>71.498059558599849</v>
      </c>
      <c r="O1037" t="str">
        <f>_xll.BDP("41425UBF Muni","BVAL_MID_YTM")</f>
        <v>#N/A Authorization</v>
      </c>
      <c r="P1037" t="str">
        <f>_xll.BDP("41425UBF Muni","MUNI_TAX_PROV")</f>
        <v>FED TAX-EXEMPT</v>
      </c>
      <c r="Q1037" t="str">
        <f>_xll.BDP("41425UBF Muni","MUNI_FED_TAX")</f>
        <v>N</v>
      </c>
      <c r="R1037">
        <f>_xll.BDP("41425UBF Muni","MUNI_MSRB_VOLUME")</f>
        <v>200000</v>
      </c>
      <c r="S1037" t="str">
        <f>_xll.BDP("41425UBF Muni","BB_COMPOSITE")</f>
        <v>#N/A N/A</v>
      </c>
      <c r="T1037">
        <f>_xll.BDP("41425UBF Muni","LQA_LIQUIDITY_SCORE")</f>
        <v>99</v>
      </c>
    </row>
    <row r="1038" spans="1:20" x14ac:dyDescent="0.25">
      <c r="A1038" t="str">
        <f>_xll.BDP("41426XAF Muni","ID_CUSIP")</f>
        <v>41426XAF4</v>
      </c>
      <c r="B1038" t="s">
        <v>338</v>
      </c>
      <c r="C1038" t="str">
        <f>_xll.BDP("41426XAF Muni","INSURANCE_STATUS")</f>
        <v>N</v>
      </c>
      <c r="D1038" t="str">
        <f>_xll.BDP("41426XAF Muni","STATE_CODE")</f>
        <v>TX</v>
      </c>
      <c r="E1038" t="str">
        <f>_xll.BDP("41426XAF Muni","COUNTY_LOCATION_ISSUER")</f>
        <v>#N/A Field Not Applicable</v>
      </c>
      <c r="F1038">
        <f>_xll.BDP("41426XAF Muni","DUR_ADJ_MID")</f>
        <v>1.0477482866223664</v>
      </c>
      <c r="G1038">
        <f>_xll.BDP("41426XAF Muni","SPREAD_AT_ISSUANCE_TO_WORST")</f>
        <v>86.437520867789573</v>
      </c>
      <c r="H1038" t="str">
        <f>_xll.BDP("41426XAF Muni","ISSUE_DT")</f>
        <v>3/1/2017</v>
      </c>
      <c r="I1038" t="str">
        <f>_xll.BDS("41426XAF Muni","MUNI_PURPOSE_SCHED", "aggregate=y")</f>
        <v>WATER UTILITY IMPS. SEWER IMPS. PROPERTY ACQUISITION</v>
      </c>
      <c r="J1038">
        <f>_xll.BDP("41426XAF Muni","CPN")</f>
        <v>3</v>
      </c>
      <c r="K1038" t="str">
        <f>_xll.BDP("41426XAF Muni","MATURITY")</f>
        <v>9/1/2023</v>
      </c>
      <c r="L1038">
        <v>105000</v>
      </c>
      <c r="M1038">
        <f>_xll.BDP("41426XAF Muni","YIELD_ON_ISSUE_DATE")</f>
        <v>2.75</v>
      </c>
      <c r="N1038">
        <f>_xll.BDP("41426XAF Muni","YTW_SPREAD_TO_MATURITY_AT_ISSU")</f>
        <v>86.437520867789573</v>
      </c>
      <c r="O1038" t="str">
        <f>_xll.BDP("41426XAF Muni","BVAL_MID_YTM")</f>
        <v>#N/A Authorization</v>
      </c>
      <c r="P1038" t="str">
        <f>_xll.BDP("41426XAF Muni","MUNI_TAX_PROV")</f>
        <v>FED BQ</v>
      </c>
      <c r="Q1038" t="str">
        <f>_xll.BDP("41426XAF Muni","MUNI_FED_TAX")</f>
        <v>N</v>
      </c>
      <c r="R1038" t="str">
        <f>_xll.BDP("41426XAF Muni","MUNI_MSRB_VOLUME")</f>
        <v>#N/A N/A</v>
      </c>
      <c r="S1038" t="str">
        <f>_xll.BDP("41426XAF Muni","BB_COMPOSITE")</f>
        <v>#N/A N/A</v>
      </c>
      <c r="T1038">
        <f>_xll.BDP("41426XAF Muni","LQA_LIQUIDITY_SCORE")</f>
        <v>81</v>
      </c>
    </row>
    <row r="1039" spans="1:20" x14ac:dyDescent="0.25">
      <c r="A1039" t="str">
        <f>_xll.BDP("41427PBF Muni","ID_CUSIP")</f>
        <v>41427PBF9</v>
      </c>
      <c r="B1039" t="s">
        <v>339</v>
      </c>
      <c r="C1039" t="str">
        <f>_xll.BDP("41427PBF Muni","INSURANCE_STATUS")</f>
        <v>N</v>
      </c>
      <c r="D1039" t="str">
        <f>_xll.BDP("41427PBF Muni","STATE_CODE")</f>
        <v>TX</v>
      </c>
      <c r="E1039" t="str">
        <f>_xll.BDP("41427PBF Muni","COUNTY_LOCATION_ISSUER")</f>
        <v>Harris, TX</v>
      </c>
      <c r="F1039">
        <f>_xll.BDP("41427PBF Muni","DUR_ADJ_MID")</f>
        <v>8.0459451402596929E-2</v>
      </c>
      <c r="G1039">
        <f>_xll.BDP("41427PBF Muni","SPREAD_AT_ISSUANCE_TO_WORST")</f>
        <v>87.64387945205479</v>
      </c>
      <c r="H1039" t="str">
        <f>_xll.BDP("41427PBF Muni","ISSUE_DT")</f>
        <v>12/1/2017</v>
      </c>
      <c r="I1039" t="str">
        <f>_xll.BDS("41427PBF Muni","MUNI_PURPOSE_SCHED", "aggregate=y")</f>
        <v>WATER UTILITY IMPS. SEWER IMPS.</v>
      </c>
      <c r="J1039">
        <f>_xll.BDP("41427PBF Muni","CPN")</f>
        <v>2.4</v>
      </c>
      <c r="K1039" t="str">
        <f>_xll.BDP("41427PBF Muni","MATURITY")</f>
        <v>9/1/2022</v>
      </c>
      <c r="L1039">
        <v>125000</v>
      </c>
      <c r="M1039">
        <f>_xll.BDP("41427PBF Muni","YIELD_ON_ISSUE_DATE")</f>
        <v>2.4000000000000004</v>
      </c>
      <c r="N1039">
        <f>_xll.BDP("41427PBF Muni","YTW_SPREAD_TO_MATURITY_AT_ISSU")</f>
        <v>87.64387945205479</v>
      </c>
      <c r="O1039" t="str">
        <f>_xll.BDP("41427PBF Muni","BVAL_MID_YTM")</f>
        <v>#N/A Authorization</v>
      </c>
      <c r="P1039" t="str">
        <f>_xll.BDP("41427PBF Muni","MUNI_TAX_PROV")</f>
        <v>FED BQ</v>
      </c>
      <c r="Q1039" t="str">
        <f>_xll.BDP("41427PBF Muni","MUNI_FED_TAX")</f>
        <v>N</v>
      </c>
      <c r="R1039" t="str">
        <f>_xll.BDP("41427PBF Muni","MUNI_MSRB_VOLUME")</f>
        <v>#N/A N/A</v>
      </c>
      <c r="S1039" t="str">
        <f>_xll.BDP("41427PBF Muni","BB_COMPOSITE")</f>
        <v>#N/A N/A</v>
      </c>
      <c r="T1039">
        <f>_xll.BDP("41427PBF Muni","LQA_LIQUIDITY_SCORE")</f>
        <v>20</v>
      </c>
    </row>
    <row r="1040" spans="1:20" x14ac:dyDescent="0.25">
      <c r="A1040" t="str">
        <f>_xll.BDP("41427PBG Muni","ID_CUSIP")</f>
        <v>41427PBG7</v>
      </c>
      <c r="B1040" t="s">
        <v>339</v>
      </c>
      <c r="C1040" t="str">
        <f>_xll.BDP("41427PBG Muni","INSURANCE_STATUS")</f>
        <v>N</v>
      </c>
      <c r="D1040" t="str">
        <f>_xll.BDP("41427PBG Muni","STATE_CODE")</f>
        <v>TX</v>
      </c>
      <c r="E1040" t="str">
        <f>_xll.BDP("41427PBG Muni","COUNTY_LOCATION_ISSUER")</f>
        <v>Harris, TX</v>
      </c>
      <c r="F1040">
        <f>_xll.BDP("41427PBG Muni","DUR_ADJ_MID")</f>
        <v>1.0505287796496676</v>
      </c>
      <c r="G1040">
        <f>_xll.BDP("41427PBG Muni","SPREAD_AT_ISSUANCE_TO_WORST")</f>
        <v>96.895216438356172</v>
      </c>
      <c r="H1040" t="str">
        <f>_xll.BDP("41427PBG Muni","ISSUE_DT")</f>
        <v>12/1/2017</v>
      </c>
      <c r="I1040" t="str">
        <f>_xll.BDS("41427PBG Muni","MUNI_PURPOSE_SCHED", "aggregate=y")</f>
        <v>WATER UTILITY IMPS. SEWER IMPS.</v>
      </c>
      <c r="J1040">
        <f>_xll.BDP("41427PBG Muni","CPN")</f>
        <v>2.6</v>
      </c>
      <c r="K1040" t="str">
        <f>_xll.BDP("41427PBG Muni","MATURITY")</f>
        <v>9/1/2023</v>
      </c>
      <c r="L1040">
        <v>130000</v>
      </c>
      <c r="M1040">
        <f>_xll.BDP("41427PBG Muni","YIELD_ON_ISSUE_DATE")</f>
        <v>2.6</v>
      </c>
      <c r="N1040">
        <f>_xll.BDP("41427PBG Muni","YTW_SPREAD_TO_MATURITY_AT_ISSU")</f>
        <v>96.895216438356172</v>
      </c>
      <c r="O1040" t="str">
        <f>_xll.BDP("41427PBG Muni","BVAL_MID_YTM")</f>
        <v>#N/A Authorization</v>
      </c>
      <c r="P1040" t="str">
        <f>_xll.BDP("41427PBG Muni","MUNI_TAX_PROV")</f>
        <v>FED BQ</v>
      </c>
      <c r="Q1040" t="str">
        <f>_xll.BDP("41427PBG Muni","MUNI_FED_TAX")</f>
        <v>N</v>
      </c>
      <c r="R1040" t="str">
        <f>_xll.BDP("41427PBG Muni","MUNI_MSRB_VOLUME")</f>
        <v>#N/A N/A</v>
      </c>
      <c r="S1040" t="str">
        <f>_xll.BDP("41427PBG Muni","BB_COMPOSITE")</f>
        <v>#N/A N/A</v>
      </c>
      <c r="T1040">
        <f>_xll.BDP("41427PBG Muni","LQA_LIQUIDITY_SCORE")</f>
        <v>72</v>
      </c>
    </row>
    <row r="1041" spans="1:20" x14ac:dyDescent="0.25">
      <c r="A1041" t="str">
        <f>_xll.BDP("235586BT Muni","ID_CUSIP")</f>
        <v>235586BT0</v>
      </c>
      <c r="B1041" t="s">
        <v>121</v>
      </c>
      <c r="C1041" t="str">
        <f>_xll.BDP("235586BT Muni","INSURANCE_STATUS")</f>
        <v>N</v>
      </c>
      <c r="D1041" t="str">
        <f>_xll.BDP("235586BT Muni","STATE_CODE")</f>
        <v>GA</v>
      </c>
      <c r="E1041" t="str">
        <f>_xll.BDP("235586BT Muni","COUNTY_LOCATION_ISSUER")</f>
        <v>Whitfield, GA</v>
      </c>
      <c r="F1041">
        <f>_xll.BDP("235586BT Muni","DUR_ADJ_MID")</f>
        <v>0.5649752601106689</v>
      </c>
      <c r="G1041">
        <f>_xll.BDP("235586BT Muni","SPREAD_AT_ISSUANCE_TO_WORST")</f>
        <v>29.610906849315064</v>
      </c>
      <c r="H1041" t="str">
        <f>_xll.BDP("235586BT Muni","ISSUE_DT")</f>
        <v>11/21/2017</v>
      </c>
      <c r="I1041" t="str">
        <f>_xll.BDS("235586BT Muni","MUNI_PURPOSE_SCHED", "aggregate=y")</f>
        <v>WATER UTILITY IMPS. SEWER IMPS. MULT. UTILITY IMPS.</v>
      </c>
      <c r="J1041">
        <f>_xll.BDP("235586BT Muni","CPN")</f>
        <v>5</v>
      </c>
      <c r="K1041" t="str">
        <f>_xll.BDP("235586BT Muni","MATURITY")</f>
        <v>3/1/2023</v>
      </c>
      <c r="L1041">
        <v>2450000</v>
      </c>
      <c r="M1041">
        <f>_xll.BDP("235586BT Muni","YIELD_ON_ISSUE_DATE")</f>
        <v>1.78</v>
      </c>
      <c r="N1041">
        <f>_xll.BDP("235586BT Muni","YTW_SPREAD_TO_MATURITY_AT_ISSU")</f>
        <v>29.610906849315064</v>
      </c>
      <c r="O1041" t="str">
        <f>_xll.BDP("235586BT Muni","BVAL_MID_YTM")</f>
        <v>#N/A Authorization</v>
      </c>
      <c r="P1041" t="str">
        <f>_xll.BDP("235586BT Muni","MUNI_TAX_PROV")</f>
        <v>FED &amp; ST TAX-EXEMPT</v>
      </c>
      <c r="Q1041" t="str">
        <f>_xll.BDP("235586BT Muni","MUNI_FED_TAX")</f>
        <v>N</v>
      </c>
      <c r="R1041">
        <f>_xll.BDP("235586BT Muni","MUNI_MSRB_VOLUME")</f>
        <v>260000</v>
      </c>
      <c r="S1041" t="str">
        <f>_xll.BDP("235586BT Muni","BB_COMPOSITE")</f>
        <v>A-</v>
      </c>
      <c r="T1041">
        <f>_xll.BDP("235586BT Muni","LQA_LIQUIDITY_SCORE")</f>
        <v>90</v>
      </c>
    </row>
    <row r="1042" spans="1:20" x14ac:dyDescent="0.25">
      <c r="A1042" t="str">
        <f>_xll.BDP("235586BV Muni","ID_CUSIP")</f>
        <v>235586BV5</v>
      </c>
      <c r="B1042" t="s">
        <v>121</v>
      </c>
      <c r="C1042" t="str">
        <f>_xll.BDP("235586BV Muni","INSURANCE_STATUS")</f>
        <v>N</v>
      </c>
      <c r="D1042" t="str">
        <f>_xll.BDP("235586BV Muni","STATE_CODE")</f>
        <v>GA</v>
      </c>
      <c r="E1042" t="str">
        <f>_xll.BDP("235586BV Muni","COUNTY_LOCATION_ISSUER")</f>
        <v>Whitfield, GA</v>
      </c>
      <c r="F1042">
        <f>_xll.BDP("235586BV Muni","DUR_ADJ_MID")</f>
        <v>2.388326760333594</v>
      </c>
      <c r="G1042">
        <f>_xll.BDP("235586BV Muni","SPREAD_AT_ISSUANCE_TO_WORST")</f>
        <v>32.429753424657527</v>
      </c>
      <c r="H1042" t="str">
        <f>_xll.BDP("235586BV Muni","ISSUE_DT")</f>
        <v>11/21/2017</v>
      </c>
      <c r="I1042" t="str">
        <f>_xll.BDS("235586BV Muni","MUNI_PURPOSE_SCHED", "aggregate=y")</f>
        <v>WATER UTILITY IMPS. SEWER IMPS. MULT. UTILITY IMPS.</v>
      </c>
      <c r="J1042">
        <f>_xll.BDP("235586BV Muni","CPN")</f>
        <v>5</v>
      </c>
      <c r="K1042" t="str">
        <f>_xll.BDP("235586BV Muni","MATURITY")</f>
        <v>3/1/2025</v>
      </c>
      <c r="L1042">
        <v>2710000</v>
      </c>
      <c r="M1042">
        <f>_xll.BDP("235586BV Muni","YIELD_ON_ISSUE_DATE")</f>
        <v>2.04</v>
      </c>
      <c r="N1042">
        <f>_xll.BDP("235586BV Muni","YTW_SPREAD_TO_MATURITY_AT_ISSU")</f>
        <v>32.429753424657527</v>
      </c>
      <c r="O1042" t="str">
        <f>_xll.BDP("235586BV Muni","BVAL_MID_YTM")</f>
        <v>#N/A Authorization</v>
      </c>
      <c r="P1042" t="str">
        <f>_xll.BDP("235586BV Muni","MUNI_TAX_PROV")</f>
        <v>FED &amp; ST TAX-EXEMPT</v>
      </c>
      <c r="Q1042" t="str">
        <f>_xll.BDP("235586BV Muni","MUNI_FED_TAX")</f>
        <v>N</v>
      </c>
      <c r="R1042" t="str">
        <f>_xll.BDP("235586BV Muni","MUNI_MSRB_VOLUME")</f>
        <v>#N/A N/A</v>
      </c>
      <c r="S1042" t="str">
        <f>_xll.BDP("235586BV Muni","BB_COMPOSITE")</f>
        <v>A-</v>
      </c>
      <c r="T1042">
        <f>_xll.BDP("235586BV Muni","LQA_LIQUIDITY_SCORE")</f>
        <v>66</v>
      </c>
    </row>
    <row r="1043" spans="1:20" x14ac:dyDescent="0.25">
      <c r="A1043" t="str">
        <f>_xll.BDP("235586BX Muni","ID_CUSIP")</f>
        <v>235586BX1</v>
      </c>
      <c r="B1043" t="s">
        <v>121</v>
      </c>
      <c r="C1043" t="str">
        <f>_xll.BDP("235586BX Muni","INSURANCE_STATUS")</f>
        <v>N</v>
      </c>
      <c r="D1043" t="str">
        <f>_xll.BDP("235586BX Muni","STATE_CODE")</f>
        <v>GA</v>
      </c>
      <c r="E1043" t="str">
        <f>_xll.BDP("235586BX Muni","COUNTY_LOCATION_ISSUER")</f>
        <v>Whitfield, GA</v>
      </c>
      <c r="F1043">
        <f>_xll.BDP("235586BX Muni","DUR_ADJ_MID")</f>
        <v>4.058435800967958</v>
      </c>
      <c r="G1043">
        <f>_xll.BDP("235586BX Muni","SPREAD_AT_ISSUANCE_TO_WORST")</f>
        <v>38.893104109589039</v>
      </c>
      <c r="H1043" t="str">
        <f>_xll.BDP("235586BX Muni","ISSUE_DT")</f>
        <v>11/21/2017</v>
      </c>
      <c r="I1043" t="str">
        <f>_xll.BDS("235586BX Muni","MUNI_PURPOSE_SCHED", "aggregate=y")</f>
        <v>WATER UTILITY IMPS. SEWER IMPS. MULT. UTILITY IMPS.</v>
      </c>
      <c r="J1043">
        <f>_xll.BDP("235586BX Muni","CPN")</f>
        <v>5</v>
      </c>
      <c r="K1043" t="str">
        <f>_xll.BDP("235586BX Muni","MATURITY")</f>
        <v>3/1/2027</v>
      </c>
      <c r="L1043">
        <v>2995000</v>
      </c>
      <c r="M1043">
        <f>_xll.BDP("235586BX Muni","YIELD_ON_ISSUE_DATE")</f>
        <v>2.31</v>
      </c>
      <c r="N1043">
        <f>_xll.BDP("235586BX Muni","YTW_SPREAD_TO_MATURITY_AT_ISSU")</f>
        <v>38.893104109589039</v>
      </c>
      <c r="O1043" t="str">
        <f>_xll.BDP("235586BX Muni","BVAL_MID_YTM")</f>
        <v>#N/A Authorization</v>
      </c>
      <c r="P1043" t="str">
        <f>_xll.BDP("235586BX Muni","MUNI_TAX_PROV")</f>
        <v>FED &amp; ST TAX-EXEMPT</v>
      </c>
      <c r="Q1043" t="str">
        <f>_xll.BDP("235586BX Muni","MUNI_FED_TAX")</f>
        <v>N</v>
      </c>
      <c r="R1043">
        <f>_xll.BDP("235586BX Muni","MUNI_MSRB_VOLUME")</f>
        <v>540000</v>
      </c>
      <c r="S1043" t="str">
        <f>_xll.BDP("235586BX Muni","BB_COMPOSITE")</f>
        <v>A-</v>
      </c>
      <c r="T1043">
        <f>_xll.BDP("235586BX Muni","LQA_LIQUIDITY_SCORE")</f>
        <v>48</v>
      </c>
    </row>
    <row r="1044" spans="1:20" x14ac:dyDescent="0.25">
      <c r="A1044" t="str">
        <f>_xll.BDP("421032GL Muni","ID_CUSIP")</f>
        <v>421032GL1</v>
      </c>
      <c r="B1044" t="s">
        <v>340</v>
      </c>
      <c r="C1044" t="str">
        <f>_xll.BDP("421032GL Muni","INSURANCE_STATUS")</f>
        <v>Y</v>
      </c>
      <c r="D1044" t="str">
        <f>_xll.BDP("421032GL Muni","STATE_CODE")</f>
        <v>TX</v>
      </c>
      <c r="E1044" t="str">
        <f>_xll.BDP("421032GL Muni","COUNTY_LOCATION_ISSUER")</f>
        <v>Travis, TX</v>
      </c>
      <c r="F1044">
        <f>_xll.BDP("421032GL Muni","DUR_ADJ_MID")</f>
        <v>1.0554261152040361</v>
      </c>
      <c r="G1044">
        <f>_xll.BDP("421032GL Muni","SPREAD_AT_ISSUANCE_TO_WORST")</f>
        <v>54.252443835616425</v>
      </c>
      <c r="H1044" t="str">
        <f>_xll.BDP("421032GL Muni","ISSUE_DT")</f>
        <v>11/1/2017</v>
      </c>
      <c r="I1044" t="str">
        <f>_xll.BDS("421032GL Muni","MUNI_PURPOSE_SCHED", "aggregate=y")</f>
        <v>WATER UTILITY IMPS. SEWER IMPS.</v>
      </c>
      <c r="J1044">
        <f>_xll.BDP("421032GL Muni","CPN")</f>
        <v>2</v>
      </c>
      <c r="K1044" t="str">
        <f>_xll.BDP("421032GL Muni","MATURITY")</f>
        <v>9/1/2023</v>
      </c>
      <c r="L1044">
        <v>75000</v>
      </c>
      <c r="M1044">
        <f>_xll.BDP("421032GL Muni","YIELD_ON_ISSUE_DATE")</f>
        <v>2</v>
      </c>
      <c r="N1044">
        <f>_xll.BDP("421032GL Muni","YTW_SPREAD_TO_MATURITY_AT_ISSU")</f>
        <v>54.252443835616425</v>
      </c>
      <c r="O1044" t="str">
        <f>_xll.BDP("421032GL Muni","BVAL_MID_YTM")</f>
        <v>#N/A Authorization</v>
      </c>
      <c r="P1044" t="str">
        <f>_xll.BDP("421032GL Muni","MUNI_TAX_PROV")</f>
        <v>FED BQ</v>
      </c>
      <c r="Q1044" t="str">
        <f>_xll.BDP("421032GL Muni","MUNI_FED_TAX")</f>
        <v>N</v>
      </c>
      <c r="R1044" t="str">
        <f>_xll.BDP("421032GL Muni","MUNI_MSRB_VOLUME")</f>
        <v>#N/A N/A</v>
      </c>
      <c r="S1044" t="str">
        <f>_xll.BDP("421032GL Muni","BB_COMPOSITE")</f>
        <v>#N/A N/A</v>
      </c>
      <c r="T1044">
        <f>_xll.BDP("421032GL Muni","LQA_LIQUIDITY_SCORE")</f>
        <v>11</v>
      </c>
    </row>
    <row r="1045" spans="1:20" x14ac:dyDescent="0.25">
      <c r="A1045" t="str">
        <f>_xll.BDP("421032GM Muni","ID_CUSIP")</f>
        <v>421032GM9</v>
      </c>
      <c r="B1045" t="s">
        <v>340</v>
      </c>
      <c r="C1045" t="str">
        <f>_xll.BDP("421032GM Muni","INSURANCE_STATUS")</f>
        <v>Y</v>
      </c>
      <c r="D1045" t="str">
        <f>_xll.BDP("421032GM Muni","STATE_CODE")</f>
        <v>TX</v>
      </c>
      <c r="E1045" t="str">
        <f>_xll.BDP("421032GM Muni","COUNTY_LOCATION_ISSUER")</f>
        <v>Travis, TX</v>
      </c>
      <c r="F1045">
        <f>_xll.BDP("421032GM Muni","DUR_ADJ_MID")</f>
        <v>2.0093634397676796</v>
      </c>
      <c r="G1045">
        <f>_xll.BDP("421032GM Muni","SPREAD_AT_ISSUANCE_TO_WORST")</f>
        <v>51.398465753424659</v>
      </c>
      <c r="H1045" t="str">
        <f>_xll.BDP("421032GM Muni","ISSUE_DT")</f>
        <v>11/1/2017</v>
      </c>
      <c r="I1045" t="str">
        <f>_xll.BDS("421032GM Muni","MUNI_PURPOSE_SCHED", "aggregate=y")</f>
        <v>WATER UTILITY IMPS. SEWER IMPS.</v>
      </c>
      <c r="J1045">
        <f>_xll.BDP("421032GM Muni","CPN")</f>
        <v>2</v>
      </c>
      <c r="K1045" t="str">
        <f>_xll.BDP("421032GM Muni","MATURITY")</f>
        <v>9/1/2024</v>
      </c>
      <c r="L1045">
        <v>80000</v>
      </c>
      <c r="M1045">
        <f>_xll.BDP("421032GM Muni","YIELD_ON_ISSUE_DATE")</f>
        <v>2.1</v>
      </c>
      <c r="N1045">
        <f>_xll.BDP("421032GM Muni","YTW_SPREAD_TO_MATURITY_AT_ISSU")</f>
        <v>51.398465753424659</v>
      </c>
      <c r="O1045" t="str">
        <f>_xll.BDP("421032GM Muni","BVAL_MID_YTM")</f>
        <v>#N/A Authorization</v>
      </c>
      <c r="P1045" t="str">
        <f>_xll.BDP("421032GM Muni","MUNI_TAX_PROV")</f>
        <v>FED BQ</v>
      </c>
      <c r="Q1045" t="str">
        <f>_xll.BDP("421032GM Muni","MUNI_FED_TAX")</f>
        <v>N</v>
      </c>
      <c r="R1045" t="str">
        <f>_xll.BDP("421032GM Muni","MUNI_MSRB_VOLUME")</f>
        <v>#N/A N/A</v>
      </c>
      <c r="S1045" t="str">
        <f>_xll.BDP("421032GM Muni","BB_COMPOSITE")</f>
        <v>#N/A N/A</v>
      </c>
      <c r="T1045">
        <f>_xll.BDP("421032GM Muni","LQA_LIQUIDITY_SCORE")</f>
        <v>55</v>
      </c>
    </row>
    <row r="1046" spans="1:20" x14ac:dyDescent="0.25">
      <c r="A1046" t="str">
        <f>_xll.BDP("421033DJ Muni","ID_CUSIP")</f>
        <v>421033DJ7</v>
      </c>
      <c r="B1046" t="s">
        <v>341</v>
      </c>
      <c r="C1046" t="str">
        <f>_xll.BDP("421033DJ Muni","INSURANCE_STATUS")</f>
        <v>Y</v>
      </c>
      <c r="D1046" t="str">
        <f>_xll.BDP("421033DJ Muni","STATE_CODE")</f>
        <v>TX</v>
      </c>
      <c r="E1046" t="str">
        <f>_xll.BDP("421033DJ Muni","COUNTY_LOCATION_ISSUER")</f>
        <v>Hays, TX</v>
      </c>
      <c r="F1046">
        <f>_xll.BDP("421033DJ Muni","DUR_ADJ_MID")</f>
        <v>1.0554303821066411</v>
      </c>
      <c r="G1046">
        <f>_xll.BDP("421033DJ Muni","SPREAD_AT_ISSUANCE_TO_WORST")</f>
        <v>59.91265753424657</v>
      </c>
      <c r="H1046" t="str">
        <f>_xll.BDP("421033DJ Muni","ISSUE_DT")</f>
        <v>11/1/2017</v>
      </c>
      <c r="I1046" t="str">
        <f>_xll.BDS("421033DJ Muni","MUNI_PURPOSE_SCHED", "aggregate=y")</f>
        <v>WATER UTILITY IMPS. SEWER IMPS.</v>
      </c>
      <c r="J1046">
        <f>_xll.BDP("421033DJ Muni","CPN")</f>
        <v>2</v>
      </c>
      <c r="K1046" t="str">
        <f>_xll.BDP("421033DJ Muni","MATURITY")</f>
        <v>9/1/2023</v>
      </c>
      <c r="L1046">
        <v>365000</v>
      </c>
      <c r="M1046">
        <f>_xll.BDP("421033DJ Muni","YIELD_ON_ISSUE_DATE")</f>
        <v>2.15</v>
      </c>
      <c r="N1046">
        <f>_xll.BDP("421033DJ Muni","YTW_SPREAD_TO_MATURITY_AT_ISSU")</f>
        <v>59.91265753424657</v>
      </c>
      <c r="O1046" t="str">
        <f>_xll.BDP("421033DJ Muni","BVAL_MID_YTM")</f>
        <v>#N/A Authorization</v>
      </c>
      <c r="P1046" t="str">
        <f>_xll.BDP("421033DJ Muni","MUNI_TAX_PROV")</f>
        <v>FED BQ</v>
      </c>
      <c r="Q1046" t="str">
        <f>_xll.BDP("421033DJ Muni","MUNI_FED_TAX")</f>
        <v>N</v>
      </c>
      <c r="R1046" t="str">
        <f>_xll.BDP("421033DJ Muni","MUNI_MSRB_VOLUME")</f>
        <v>#N/A N/A</v>
      </c>
      <c r="S1046" t="str">
        <f>_xll.BDP("421033DJ Muni","BB_COMPOSITE")</f>
        <v>AA-</v>
      </c>
      <c r="T1046">
        <f>_xll.BDP("421033DJ Muni","LQA_LIQUIDITY_SCORE")</f>
        <v>80</v>
      </c>
    </row>
    <row r="1047" spans="1:20" x14ac:dyDescent="0.25">
      <c r="A1047" t="str">
        <f>_xll.BDP("421033DK Muni","ID_CUSIP")</f>
        <v>421033DK4</v>
      </c>
      <c r="B1047" t="s">
        <v>341</v>
      </c>
      <c r="C1047" t="str">
        <f>_xll.BDP("421033DK Muni","INSURANCE_STATUS")</f>
        <v>Y</v>
      </c>
      <c r="D1047" t="str">
        <f>_xll.BDP("421033DK Muni","STATE_CODE")</f>
        <v>TX</v>
      </c>
      <c r="E1047" t="str">
        <f>_xll.BDP("421033DK Muni","COUNTY_LOCATION_ISSUER")</f>
        <v>Hays, TX</v>
      </c>
      <c r="F1047">
        <f>_xll.BDP("421033DK Muni","DUR_ADJ_MID")</f>
        <v>2.0064894602667045</v>
      </c>
      <c r="G1047">
        <f>_xll.BDP("421033DK Muni","SPREAD_AT_ISSUANCE_TO_WORST")</f>
        <v>57.432164383561648</v>
      </c>
      <c r="H1047" t="str">
        <f>_xll.BDP("421033DK Muni","ISSUE_DT")</f>
        <v>11/1/2017</v>
      </c>
      <c r="I1047" t="str">
        <f>_xll.BDS("421033DK Muni","MUNI_PURPOSE_SCHED", "aggregate=y")</f>
        <v>WATER UTILITY IMPS. SEWER IMPS.</v>
      </c>
      <c r="J1047">
        <f>_xll.BDP("421033DK Muni","CPN")</f>
        <v>2.125</v>
      </c>
      <c r="K1047" t="str">
        <f>_xll.BDP("421033DK Muni","MATURITY")</f>
        <v>9/1/2024</v>
      </c>
      <c r="L1047">
        <v>385000</v>
      </c>
      <c r="M1047">
        <f>_xll.BDP("421033DK Muni","YIELD_ON_ISSUE_DATE")</f>
        <v>2.25</v>
      </c>
      <c r="N1047">
        <f>_xll.BDP("421033DK Muni","YTW_SPREAD_TO_MATURITY_AT_ISSU")</f>
        <v>57.432164383561648</v>
      </c>
      <c r="O1047" t="str">
        <f>_xll.BDP("421033DK Muni","BVAL_MID_YTM")</f>
        <v>#N/A Authorization</v>
      </c>
      <c r="P1047" t="str">
        <f>_xll.BDP("421033DK Muni","MUNI_TAX_PROV")</f>
        <v>FED BQ</v>
      </c>
      <c r="Q1047" t="str">
        <f>_xll.BDP("421033DK Muni","MUNI_FED_TAX")</f>
        <v>N</v>
      </c>
      <c r="R1047" t="str">
        <f>_xll.BDP("421033DK Muni","MUNI_MSRB_VOLUME")</f>
        <v>#N/A N/A</v>
      </c>
      <c r="S1047" t="str">
        <f>_xll.BDP("421033DK Muni","BB_COMPOSITE")</f>
        <v>AA-</v>
      </c>
      <c r="T1047">
        <f>_xll.BDP("421033DK Muni","LQA_LIQUIDITY_SCORE")</f>
        <v>67</v>
      </c>
    </row>
    <row r="1048" spans="1:20" x14ac:dyDescent="0.25">
      <c r="A1048" t="str">
        <f>_xll.BDP("236649HN Muni","ID_CUSIP")</f>
        <v>236649HN2</v>
      </c>
      <c r="B1048" t="s">
        <v>133</v>
      </c>
      <c r="C1048" t="str">
        <f>_xll.BDP("236649HN Muni","INSURANCE_STATUS")</f>
        <v>N</v>
      </c>
      <c r="D1048" t="str">
        <f>_xll.BDP("236649HN Muni","STATE_CODE")</f>
        <v>KY</v>
      </c>
      <c r="E1048" t="str">
        <f>_xll.BDP("236649HN Muni","COUNTY_LOCATION_ISSUER")</f>
        <v>Boyle, KY</v>
      </c>
      <c r="F1048">
        <f>_xll.BDP("236649HN Muni","DUR_ADJ_MID")</f>
        <v>2.8000352274128359</v>
      </c>
      <c r="G1048">
        <f>_xll.BDP("236649HN Muni","SPREAD_AT_ISSUANCE_TO_WORST")</f>
        <v>18.800779371130606</v>
      </c>
      <c r="H1048" t="str">
        <f>_xll.BDP("236649HN Muni","ISSUE_DT")</f>
        <v>9/28/2017</v>
      </c>
      <c r="I1048" t="str">
        <f>_xll.BDS("236649HN Muni","MUNI_PURPOSE_SCHED", "aggregate=y")</f>
        <v>PUBLIC IMPS. WATER UTILITY IMPS.</v>
      </c>
      <c r="J1048">
        <f>_xll.BDP("236649HN Muni","CPN")</f>
        <v>5</v>
      </c>
      <c r="K1048" t="str">
        <f>_xll.BDP("236649HN Muni","MATURITY")</f>
        <v>8/1/2025</v>
      </c>
      <c r="L1048">
        <v>415000</v>
      </c>
      <c r="M1048">
        <f>_xll.BDP("236649HN Muni","YIELD_ON_ISSUE_DATE")</f>
        <v>1.75</v>
      </c>
      <c r="N1048">
        <f>_xll.BDP("236649HN Muni","YTW_SPREAD_TO_MATURITY_AT_ISSU")</f>
        <v>18.800779371130606</v>
      </c>
      <c r="O1048" t="str">
        <f>_xll.BDP("236649HN Muni","BVAL_MID_YTM")</f>
        <v>#N/A Authorization</v>
      </c>
      <c r="P1048" t="str">
        <f>_xll.BDP("236649HN Muni","MUNI_TAX_PROV")</f>
        <v>FED BQ/ST TAX-EXEMPT</v>
      </c>
      <c r="Q1048" t="str">
        <f>_xll.BDP("236649HN Muni","MUNI_FED_TAX")</f>
        <v>N</v>
      </c>
      <c r="R1048" t="str">
        <f>_xll.BDP("236649HN Muni","MUNI_MSRB_VOLUME")</f>
        <v>#N/A N/A</v>
      </c>
      <c r="S1048" t="str">
        <f>_xll.BDP("236649HN Muni","BB_COMPOSITE")</f>
        <v>#N/A N/A</v>
      </c>
      <c r="T1048">
        <f>_xll.BDP("236649HN Muni","LQA_LIQUIDITY_SCORE")</f>
        <v>78</v>
      </c>
    </row>
    <row r="1049" spans="1:20" x14ac:dyDescent="0.25">
      <c r="A1049" t="str">
        <f>_xll.BDP("236649HQ Muni","ID_CUSIP")</f>
        <v>236649HQ5</v>
      </c>
      <c r="B1049" t="s">
        <v>133</v>
      </c>
      <c r="C1049" t="str">
        <f>_xll.BDP("236649HQ Muni","INSURANCE_STATUS")</f>
        <v>N</v>
      </c>
      <c r="D1049" t="str">
        <f>_xll.BDP("236649HQ Muni","STATE_CODE")</f>
        <v>KY</v>
      </c>
      <c r="E1049" t="str">
        <f>_xll.BDP("236649HQ Muni","COUNTY_LOCATION_ISSUER")</f>
        <v>Boyle, KY</v>
      </c>
      <c r="F1049">
        <f>_xll.BDP("236649HQ Muni","DUR_ADJ_MID")</f>
        <v>4.4700823938709515</v>
      </c>
      <c r="G1049">
        <f>_xll.BDP("236649HQ Muni","SPREAD_AT_ISSUANCE_TO_WORST")</f>
        <v>24.06869861544547</v>
      </c>
      <c r="H1049" t="str">
        <f>_xll.BDP("236649HQ Muni","ISSUE_DT")</f>
        <v>9/28/2017</v>
      </c>
      <c r="I1049" t="str">
        <f>_xll.BDS("236649HQ Muni","MUNI_PURPOSE_SCHED", "aggregate=y")</f>
        <v>PUBLIC IMPS. WATER UTILITY IMPS.</v>
      </c>
      <c r="J1049">
        <f>_xll.BDP("236649HQ Muni","CPN")</f>
        <v>5</v>
      </c>
      <c r="K1049" t="str">
        <f>_xll.BDP("236649HQ Muni","MATURITY")</f>
        <v>8/1/2027</v>
      </c>
      <c r="L1049">
        <v>460000</v>
      </c>
      <c r="M1049">
        <f>_xll.BDP("236649HQ Muni","YIELD_ON_ISSUE_DATE")</f>
        <v>2.0499999999999998</v>
      </c>
      <c r="N1049">
        <f>_xll.BDP("236649HQ Muni","YTW_SPREAD_TO_MATURITY_AT_ISSU")</f>
        <v>24.06869861544547</v>
      </c>
      <c r="O1049" t="str">
        <f>_xll.BDP("236649HQ Muni","BVAL_MID_YTM")</f>
        <v>#N/A Authorization</v>
      </c>
      <c r="P1049" t="str">
        <f>_xll.BDP("236649HQ Muni","MUNI_TAX_PROV")</f>
        <v>FED BQ/ST TAX-EXEMPT</v>
      </c>
      <c r="Q1049" t="str">
        <f>_xll.BDP("236649HQ Muni","MUNI_FED_TAX")</f>
        <v>N</v>
      </c>
      <c r="R1049" t="str">
        <f>_xll.BDP("236649HQ Muni","MUNI_MSRB_VOLUME")</f>
        <v>#N/A N/A</v>
      </c>
      <c r="S1049" t="str">
        <f>_xll.BDP("236649HQ Muni","BB_COMPOSITE")</f>
        <v>#N/A N/A</v>
      </c>
      <c r="T1049">
        <f>_xll.BDP("236649HQ Muni","LQA_LIQUIDITY_SCORE")</f>
        <v>59</v>
      </c>
    </row>
    <row r="1050" spans="1:20" x14ac:dyDescent="0.25">
      <c r="A1050" t="str">
        <f>_xll.BDP("424672WN Muni","ID_CUSIP")</f>
        <v>424672WN9</v>
      </c>
      <c r="B1050" t="s">
        <v>51</v>
      </c>
      <c r="C1050" t="str">
        <f>_xll.BDP("424672WN Muni","INSURANCE_STATUS")</f>
        <v>Y</v>
      </c>
      <c r="D1050" t="str">
        <f>_xll.BDP("424672WN Muni","STATE_CODE")</f>
        <v>NY</v>
      </c>
      <c r="E1050" t="str">
        <f>_xll.BDP("424672WN Muni","COUNTY_LOCATION_ISSUER")</f>
        <v>Nassau, NY</v>
      </c>
      <c r="F1050">
        <f>_xll.BDP("424672WN Muni","DUR_ADJ_MID")</f>
        <v>1.593251889503317</v>
      </c>
      <c r="G1050">
        <f>_xll.BDP("424672WN Muni","SPREAD_AT_ISSUANCE_TO_WORST")</f>
        <v>27.004282601910077</v>
      </c>
      <c r="H1050" t="str">
        <f>_xll.BDP("424672WN Muni","ISSUE_DT")</f>
        <v>4/13/2017</v>
      </c>
      <c r="I1050" t="str">
        <f>_xll.BDS("424672WN Muni","MUNI_PURPOSE_SCHED", "aggregate=y")</f>
        <v>PUBLIC IMPS. HIGHWAY IMPS. WATER UTILITY IMPS.</v>
      </c>
      <c r="J1050">
        <f>_xll.BDP("424672WN Muni","CPN")</f>
        <v>4</v>
      </c>
      <c r="K1050" t="str">
        <f>_xll.BDP("424672WN Muni","MATURITY")</f>
        <v>4/1/2024</v>
      </c>
      <c r="L1050">
        <v>6070000</v>
      </c>
      <c r="M1050">
        <f>_xll.BDP("424672WN Muni","YIELD_ON_ISSUE_DATE")</f>
        <v>2.1</v>
      </c>
      <c r="N1050">
        <f>_xll.BDP("424672WN Muni","YTW_SPREAD_TO_MATURITY_AT_ISSU")</f>
        <v>27.004282601910077</v>
      </c>
      <c r="O1050" t="str">
        <f>_xll.BDP("424672WN Muni","BVAL_MID_YTM")</f>
        <v>#N/A Authorization</v>
      </c>
      <c r="P1050" t="str">
        <f>_xll.BDP("424672WN Muni","MUNI_TAX_PROV")</f>
        <v>FED &amp; ST TAX-EXEMPT</v>
      </c>
      <c r="Q1050" t="str">
        <f>_xll.BDP("424672WN Muni","MUNI_FED_TAX")</f>
        <v>N</v>
      </c>
      <c r="R1050">
        <f>_xll.BDP("424672WN Muni","MUNI_MSRB_VOLUME")</f>
        <v>160000</v>
      </c>
      <c r="S1050" t="str">
        <f>_xll.BDP("424672WN Muni","BB_COMPOSITE")</f>
        <v>#N/A N/A</v>
      </c>
      <c r="T1050">
        <f>_xll.BDP("424672WN Muni","LQA_LIQUIDITY_SCORE")</f>
        <v>88</v>
      </c>
    </row>
    <row r="1051" spans="1:20" x14ac:dyDescent="0.25">
      <c r="A1051" t="str">
        <f>_xll.BDP("235586BW Muni","ID_CUSIP")</f>
        <v>235586BW3</v>
      </c>
      <c r="B1051" t="s">
        <v>121</v>
      </c>
      <c r="C1051" t="str">
        <f>_xll.BDP("235586BW Muni","INSURANCE_STATUS")</f>
        <v>N</v>
      </c>
      <c r="D1051" t="str">
        <f>_xll.BDP("235586BW Muni","STATE_CODE")</f>
        <v>GA</v>
      </c>
      <c r="E1051" t="str">
        <f>_xll.BDP("235586BW Muni","COUNTY_LOCATION_ISSUER")</f>
        <v>Whitfield, GA</v>
      </c>
      <c r="F1051">
        <f>_xll.BDP("235586BW Muni","DUR_ADJ_MID")</f>
        <v>3.2411459211258529</v>
      </c>
      <c r="G1051">
        <f>_xll.BDP("235586BW Muni","SPREAD_AT_ISSUANCE_TO_WORST")</f>
        <v>35.198465753424671</v>
      </c>
      <c r="H1051" t="str">
        <f>_xll.BDP("235586BW Muni","ISSUE_DT")</f>
        <v>11/21/2017</v>
      </c>
      <c r="I1051" t="str">
        <f>_xll.BDS("235586BW Muni","MUNI_PURPOSE_SCHED", "aggregate=y")</f>
        <v>WATER UTILITY IMPS. SEWER IMPS. MULT. UTILITY IMPS.</v>
      </c>
      <c r="J1051">
        <f>_xll.BDP("235586BW Muni","CPN")</f>
        <v>5</v>
      </c>
      <c r="K1051" t="str">
        <f>_xll.BDP("235586BW Muni","MATURITY")</f>
        <v>3/1/2026</v>
      </c>
      <c r="L1051">
        <v>2850000</v>
      </c>
      <c r="M1051">
        <f>_xll.BDP("235586BW Muni","YIELD_ON_ISSUE_DATE")</f>
        <v>2.1800000000000002</v>
      </c>
      <c r="N1051">
        <f>_xll.BDP("235586BW Muni","YTW_SPREAD_TO_MATURITY_AT_ISSU")</f>
        <v>35.198465753424671</v>
      </c>
      <c r="O1051" t="str">
        <f>_xll.BDP("235586BW Muni","BVAL_MID_YTM")</f>
        <v>#N/A Authorization</v>
      </c>
      <c r="P1051" t="str">
        <f>_xll.BDP("235586BW Muni","MUNI_TAX_PROV")</f>
        <v>FED &amp; ST TAX-EXEMPT</v>
      </c>
      <c r="Q1051" t="str">
        <f>_xll.BDP("235586BW Muni","MUNI_FED_TAX")</f>
        <v>N</v>
      </c>
      <c r="R1051">
        <f>_xll.BDP("235586BW Muni","MUNI_MSRB_VOLUME")</f>
        <v>190000</v>
      </c>
      <c r="S1051" t="str">
        <f>_xll.BDP("235586BW Muni","BB_COMPOSITE")</f>
        <v>A-</v>
      </c>
      <c r="T1051">
        <f>_xll.BDP("235586BW Muni","LQA_LIQUIDITY_SCORE")</f>
        <v>56</v>
      </c>
    </row>
    <row r="1052" spans="1:20" x14ac:dyDescent="0.25">
      <c r="A1052" t="str">
        <f>_xll.BDP("421032GK Muni","ID_CUSIP")</f>
        <v>421032GK3</v>
      </c>
      <c r="B1052" t="s">
        <v>340</v>
      </c>
      <c r="C1052" t="str">
        <f>_xll.BDP("421032GK Muni","INSURANCE_STATUS")</f>
        <v>Y</v>
      </c>
      <c r="D1052" t="str">
        <f>_xll.BDP("421032GK Muni","STATE_CODE")</f>
        <v>TX</v>
      </c>
      <c r="E1052" t="str">
        <f>_xll.BDP("421032GK Muni","COUNTY_LOCATION_ISSUER")</f>
        <v>Travis, TX</v>
      </c>
      <c r="F1052">
        <f>_xll.BDP("421032GK Muni","DUR_ADJ_MID")</f>
        <v>8.0467414134631501E-2</v>
      </c>
      <c r="G1052">
        <f>_xll.BDP("421032GK Muni","SPREAD_AT_ISSUANCE_TO_WORST")</f>
        <v>51.650550684931517</v>
      </c>
      <c r="H1052" t="str">
        <f>_xll.BDP("421032GK Muni","ISSUE_DT")</f>
        <v>11/1/2017</v>
      </c>
      <c r="I1052" t="str">
        <f>_xll.BDS("421032GK Muni","MUNI_PURPOSE_SCHED", "aggregate=y")</f>
        <v>WATER UTILITY IMPS. SEWER IMPS.</v>
      </c>
      <c r="J1052">
        <f>_xll.BDP("421032GK Muni","CPN")</f>
        <v>2</v>
      </c>
      <c r="K1052" t="str">
        <f>_xll.BDP("421032GK Muni","MATURITY")</f>
        <v>9/1/2022</v>
      </c>
      <c r="L1052">
        <v>70000</v>
      </c>
      <c r="M1052">
        <f>_xll.BDP("421032GK Muni","YIELD_ON_ISSUE_DATE")</f>
        <v>1.85</v>
      </c>
      <c r="N1052">
        <f>_xll.BDP("421032GK Muni","YTW_SPREAD_TO_MATURITY_AT_ISSU")</f>
        <v>51.650550684931517</v>
      </c>
      <c r="O1052" t="str">
        <f>_xll.BDP("421032GK Muni","BVAL_MID_YTM")</f>
        <v>#N/A Authorization</v>
      </c>
      <c r="P1052" t="str">
        <f>_xll.BDP("421032GK Muni","MUNI_TAX_PROV")</f>
        <v>FED BQ</v>
      </c>
      <c r="Q1052" t="str">
        <f>_xll.BDP("421032GK Muni","MUNI_FED_TAX")</f>
        <v>N</v>
      </c>
      <c r="R1052" t="str">
        <f>_xll.BDP("421032GK Muni","MUNI_MSRB_VOLUME")</f>
        <v>#N/A N/A</v>
      </c>
      <c r="S1052" t="str">
        <f>_xll.BDP("421032GK Muni","BB_COMPOSITE")</f>
        <v>#N/A N/A</v>
      </c>
      <c r="T1052">
        <f>_xll.BDP("421032GK Muni","LQA_LIQUIDITY_SCORE")</f>
        <v>98</v>
      </c>
    </row>
    <row r="1053" spans="1:20" x14ac:dyDescent="0.25">
      <c r="A1053" t="str">
        <f>_xll.BDP("421033DH Muni","ID_CUSIP")</f>
        <v>421033DH1</v>
      </c>
      <c r="B1053" t="s">
        <v>341</v>
      </c>
      <c r="C1053" t="str">
        <f>_xll.BDP("421033DH Muni","INSURANCE_STATUS")</f>
        <v>Y</v>
      </c>
      <c r="D1053" t="str">
        <f>_xll.BDP("421033DH Muni","STATE_CODE")</f>
        <v>TX</v>
      </c>
      <c r="E1053" t="str">
        <f>_xll.BDP("421033DH Muni","COUNTY_LOCATION_ISSUER")</f>
        <v>Hays, TX</v>
      </c>
      <c r="F1053">
        <f>_xll.BDP("421033DH Muni","DUR_ADJ_MID")</f>
        <v>8.0467493894193734E-2</v>
      </c>
      <c r="G1053">
        <f>_xll.BDP("421033DH Muni","SPREAD_AT_ISSUANCE_TO_WORST")</f>
        <v>57.045835616438346</v>
      </c>
      <c r="H1053" t="str">
        <f>_xll.BDP("421033DH Muni","ISSUE_DT")</f>
        <v>11/1/2017</v>
      </c>
      <c r="I1053" t="str">
        <f>_xll.BDS("421033DH Muni","MUNI_PURPOSE_SCHED", "aggregate=y")</f>
        <v>WATER UTILITY IMPS. SEWER IMPS.</v>
      </c>
      <c r="J1053">
        <f>_xll.BDP("421033DH Muni","CPN")</f>
        <v>2</v>
      </c>
      <c r="K1053" t="str">
        <f>_xll.BDP("421033DH Muni","MATURITY")</f>
        <v>9/1/2022</v>
      </c>
      <c r="L1053">
        <v>350000</v>
      </c>
      <c r="M1053">
        <f>_xll.BDP("421033DH Muni","YIELD_ON_ISSUE_DATE")</f>
        <v>2</v>
      </c>
      <c r="N1053">
        <f>_xll.BDP("421033DH Muni","YTW_SPREAD_TO_MATURITY_AT_ISSU")</f>
        <v>57.045835616438346</v>
      </c>
      <c r="O1053" t="str">
        <f>_xll.BDP("421033DH Muni","BVAL_MID_YTM")</f>
        <v>#N/A Authorization</v>
      </c>
      <c r="P1053" t="str">
        <f>_xll.BDP("421033DH Muni","MUNI_TAX_PROV")</f>
        <v>FED BQ</v>
      </c>
      <c r="Q1053" t="str">
        <f>_xll.BDP("421033DH Muni","MUNI_FED_TAX")</f>
        <v>N</v>
      </c>
      <c r="R1053" t="str">
        <f>_xll.BDP("421033DH Muni","MUNI_MSRB_VOLUME")</f>
        <v>#N/A N/A</v>
      </c>
      <c r="S1053" t="str">
        <f>_xll.BDP("421033DH Muni","BB_COMPOSITE")</f>
        <v>AA-</v>
      </c>
      <c r="T1053">
        <f>_xll.BDP("421033DH Muni","LQA_LIQUIDITY_SCORE")</f>
        <v>99</v>
      </c>
    </row>
    <row r="1054" spans="1:20" x14ac:dyDescent="0.25">
      <c r="A1054" t="str">
        <f>_xll.BDP("194749CF Muni","ID_CUSIP")</f>
        <v>194749CF2</v>
      </c>
      <c r="B1054" t="s">
        <v>52</v>
      </c>
      <c r="C1054" t="str">
        <f>_xll.BDP("194749CF Muni","INSURANCE_STATUS")</f>
        <v>N</v>
      </c>
      <c r="D1054" t="str">
        <f>_xll.BDP("194749CF Muni","STATE_CODE")</f>
        <v>TX</v>
      </c>
      <c r="E1054" t="str">
        <f>_xll.BDP("194749CF Muni","COUNTY_LOCATION_ISSUER")</f>
        <v>Collin, TX</v>
      </c>
      <c r="F1054">
        <f>_xll.BDP("194749CF Muni","DUR_ADJ_MID")</f>
        <v>1.0858748275519148</v>
      </c>
      <c r="G1054">
        <f>_xll.BDP("194749CF Muni","SPREAD_AT_ISSUANCE_TO_WORST")</f>
        <v>115.08044960384025</v>
      </c>
      <c r="H1054" t="str">
        <f>_xll.BDP("194749CF Muni","ISSUE_DT")</f>
        <v>9/15/2017</v>
      </c>
      <c r="I1054" t="str">
        <f>_xll.BDS("194749CF Muni","MUNI_PURPOSE_SCHED", "aggregate=y")</f>
        <v>WATER UTILITY IMPS. SEWER IMPS.</v>
      </c>
      <c r="J1054">
        <f>_xll.BDP("194749CF Muni","CPN")</f>
        <v>3</v>
      </c>
      <c r="K1054" t="str">
        <f>_xll.BDP("194749CF Muni","MATURITY")</f>
        <v>9/15/2023</v>
      </c>
      <c r="L1054">
        <v>155000</v>
      </c>
      <c r="M1054">
        <f>_xll.BDP("194749CF Muni","YIELD_ON_ISSUE_DATE")</f>
        <v>2.4000000000000004</v>
      </c>
      <c r="N1054">
        <f>_xll.BDP("194749CF Muni","YTW_SPREAD_TO_MATURITY_AT_ISSU")</f>
        <v>115.08044960384025</v>
      </c>
      <c r="O1054" t="str">
        <f>_xll.BDP("194749CF Muni","BVAL_MID_YTM")</f>
        <v>#N/A Authorization</v>
      </c>
      <c r="P1054" t="str">
        <f>_xll.BDP("194749CF Muni","MUNI_TAX_PROV")</f>
        <v>FED BQ</v>
      </c>
      <c r="Q1054" t="str">
        <f>_xll.BDP("194749CF Muni","MUNI_FED_TAX")</f>
        <v>N</v>
      </c>
      <c r="R1054" t="str">
        <f>_xll.BDP("194749CF Muni","MUNI_MSRB_VOLUME")</f>
        <v>#N/A N/A</v>
      </c>
      <c r="S1054" t="str">
        <f>_xll.BDP("194749CF Muni","BB_COMPOSITE")</f>
        <v>#N/A N/A</v>
      </c>
      <c r="T1054">
        <f>_xll.BDP("194749CF Muni","LQA_LIQUIDITY_SCORE")</f>
        <v>86</v>
      </c>
    </row>
    <row r="1055" spans="1:20" x14ac:dyDescent="0.25">
      <c r="A1055" t="str">
        <f>_xll.BDP("194749CH Muni","ID_CUSIP")</f>
        <v>194749CH8</v>
      </c>
      <c r="B1055" t="s">
        <v>52</v>
      </c>
      <c r="C1055" t="str">
        <f>_xll.BDP("194749CH Muni","INSURANCE_STATUS")</f>
        <v>N</v>
      </c>
      <c r="D1055" t="str">
        <f>_xll.BDP("194749CH Muni","STATE_CODE")</f>
        <v>TX</v>
      </c>
      <c r="E1055" t="str">
        <f>_xll.BDP("194749CH Muni","COUNTY_LOCATION_ISSUER")</f>
        <v>Collin, TX</v>
      </c>
      <c r="F1055">
        <f>_xll.BDP("194749CH Muni","DUR_ADJ_MID")</f>
        <v>2.9327269431988454</v>
      </c>
      <c r="G1055">
        <f>_xll.BDP("194749CH Muni","SPREAD_AT_ISSUANCE_TO_WORST")</f>
        <v>125.25092608423741</v>
      </c>
      <c r="H1055" t="str">
        <f>_xll.BDP("194749CH Muni","ISSUE_DT")</f>
        <v>9/15/2017</v>
      </c>
      <c r="I1055" t="str">
        <f>_xll.BDS("194749CH Muni","MUNI_PURPOSE_SCHED", "aggregate=y")</f>
        <v>WATER UTILITY IMPS. SEWER IMPS.</v>
      </c>
      <c r="J1055">
        <f>_xll.BDP("194749CH Muni","CPN")</f>
        <v>3</v>
      </c>
      <c r="K1055" t="str">
        <f>_xll.BDP("194749CH Muni","MATURITY")</f>
        <v>9/15/2025</v>
      </c>
      <c r="L1055">
        <v>155000</v>
      </c>
      <c r="M1055">
        <f>_xll.BDP("194749CH Muni","YIELD_ON_ISSUE_DATE")</f>
        <v>2.8000000000000003</v>
      </c>
      <c r="N1055">
        <f>_xll.BDP("194749CH Muni","YTW_SPREAD_TO_MATURITY_AT_ISSU")</f>
        <v>125.25092608423741</v>
      </c>
      <c r="O1055" t="str">
        <f>_xll.BDP("194749CH Muni","BVAL_MID_YTM")</f>
        <v>#N/A Authorization</v>
      </c>
      <c r="P1055" t="str">
        <f>_xll.BDP("194749CH Muni","MUNI_TAX_PROV")</f>
        <v>FED BQ</v>
      </c>
      <c r="Q1055" t="str">
        <f>_xll.BDP("194749CH Muni","MUNI_FED_TAX")</f>
        <v>N</v>
      </c>
      <c r="R1055" t="str">
        <f>_xll.BDP("194749CH Muni","MUNI_MSRB_VOLUME")</f>
        <v>#N/A N/A</v>
      </c>
      <c r="S1055" t="str">
        <f>_xll.BDP("194749CH Muni","BB_COMPOSITE")</f>
        <v>#N/A N/A</v>
      </c>
      <c r="T1055">
        <f>_xll.BDP("194749CH Muni","LQA_LIQUIDITY_SCORE")</f>
        <v>60</v>
      </c>
    </row>
    <row r="1056" spans="1:20" x14ac:dyDescent="0.25">
      <c r="A1056" t="str">
        <f>_xll.BDP("271101DF Muni","ID_CUSIP")</f>
        <v>271101DF1</v>
      </c>
      <c r="B1056" t="s">
        <v>342</v>
      </c>
      <c r="C1056" t="str">
        <f>_xll.BDP("271101DF Muni","INSURANCE_STATUS")</f>
        <v>N</v>
      </c>
      <c r="D1056" t="str">
        <f>_xll.BDP("271101DF Muni","STATE_CODE")</f>
        <v>NY</v>
      </c>
      <c r="E1056" t="str">
        <f>_xll.BDP("271101DF Muni","COUNTY_LOCATION_ISSUER")</f>
        <v>Ontario, NY</v>
      </c>
      <c r="F1056">
        <f>_xll.BDP("271101DF Muni","DUR_ADJ_MID")</f>
        <v>1.3329947364945787</v>
      </c>
      <c r="G1056">
        <f>_xll.BDP("271101DF Muni","SPREAD_AT_ISSUANCE_TO_WORST")</f>
        <v>68.476506849315072</v>
      </c>
      <c r="H1056" t="str">
        <f>_xll.BDP("271101DF Muni","ISSUE_DT")</f>
        <v>12/28/2017</v>
      </c>
      <c r="I1056" t="str">
        <f>_xll.BDS("271101DF Muni","MUNI_PURPOSE_SCHED", "aggregate=y")</f>
        <v>WATER UTILITY IMPS.</v>
      </c>
      <c r="J1056">
        <f>_xll.BDP("271101DF Muni","CPN")</f>
        <v>3.5</v>
      </c>
      <c r="K1056" t="str">
        <f>_xll.BDP("271101DF Muni","MATURITY")</f>
        <v>12/15/2023</v>
      </c>
      <c r="L1056">
        <v>10000</v>
      </c>
      <c r="M1056">
        <f>_xll.BDP("271101DF Muni","YIELD_ON_ISSUE_DATE")</f>
        <v>2.35</v>
      </c>
      <c r="N1056">
        <f>_xll.BDP("271101DF Muni","YTW_SPREAD_TO_MATURITY_AT_ISSU")</f>
        <v>68.476506849315072</v>
      </c>
      <c r="O1056" t="str">
        <f>_xll.BDP("271101DF Muni","BVAL_MID_YTM")</f>
        <v>#N/A Authorization</v>
      </c>
      <c r="P1056" t="str">
        <f>_xll.BDP("271101DF Muni","MUNI_TAX_PROV")</f>
        <v>FED BQ/ST TAX-EXEMPT</v>
      </c>
      <c r="Q1056" t="str">
        <f>_xll.BDP("271101DF Muni","MUNI_FED_TAX")</f>
        <v>N</v>
      </c>
      <c r="R1056" t="str">
        <f>_xll.BDP("271101DF Muni","MUNI_MSRB_VOLUME")</f>
        <v>#N/A N/A</v>
      </c>
      <c r="S1056" t="str">
        <f>_xll.BDP("271101DF Muni","BB_COMPOSITE")</f>
        <v>#N/A N/A</v>
      </c>
      <c r="T1056">
        <f>_xll.BDP("271101DF Muni","LQA_LIQUIDITY_SCORE")</f>
        <v>89</v>
      </c>
    </row>
    <row r="1057" spans="1:20" x14ac:dyDescent="0.25">
      <c r="A1057" t="str">
        <f>_xll.BDP("27373CAD Muni","ID_CUSIP")</f>
        <v>27373CAD7</v>
      </c>
      <c r="B1057" t="s">
        <v>343</v>
      </c>
      <c r="C1057" t="str">
        <f>_xll.BDP("27373CAD Muni","INSURANCE_STATUS")</f>
        <v>N</v>
      </c>
      <c r="D1057" t="str">
        <f>_xll.BDP("27373CAD Muni","STATE_CODE")</f>
        <v>TX</v>
      </c>
      <c r="E1057" t="str">
        <f>_xll.BDP("27373CAD Muni","COUNTY_LOCATION_ISSUER")</f>
        <v>#N/A Field Not Applicable</v>
      </c>
      <c r="F1057">
        <f>_xll.BDP("27373CAD Muni","DUR_ADJ_MID")</f>
        <v>8.0448019844787291E-2</v>
      </c>
      <c r="G1057">
        <f>_xll.BDP("27373CAD Muni","SPREAD_AT_ISSUANCE_TO_WORST")</f>
        <v>90.472551410213512</v>
      </c>
      <c r="H1057" t="str">
        <f>_xll.BDP("27373CAD Muni","ISSUE_DT")</f>
        <v>6/1/2017</v>
      </c>
      <c r="I1057" t="str">
        <f>_xll.BDS("27373CAD Muni","MUNI_PURPOSE_SCHED", "aggregate=y")</f>
        <v>REFUNDING NOTES WATER UTILITY IMPS.</v>
      </c>
      <c r="J1057">
        <f>_xll.BDP("27373CAD Muni","CPN")</f>
        <v>2.2999999999999998</v>
      </c>
      <c r="K1057" t="str">
        <f>_xll.BDP("27373CAD Muni","MATURITY")</f>
        <v>9/1/2022</v>
      </c>
      <c r="L1057">
        <v>60000</v>
      </c>
      <c r="M1057">
        <f>_xll.BDP("27373CAD Muni","YIELD_ON_ISSUE_DATE")</f>
        <v>2.3000000000000003</v>
      </c>
      <c r="N1057">
        <f>_xll.BDP("27373CAD Muni","YTW_SPREAD_TO_MATURITY_AT_ISSU")</f>
        <v>90.472551410213512</v>
      </c>
      <c r="O1057" t="str">
        <f>_xll.BDP("27373CAD Muni","BVAL_MID_YTM")</f>
        <v>#N/A Authorization</v>
      </c>
      <c r="P1057" t="str">
        <f>_xll.BDP("27373CAD Muni","MUNI_TAX_PROV")</f>
        <v>FED BQ</v>
      </c>
      <c r="Q1057" t="str">
        <f>_xll.BDP("27373CAD Muni","MUNI_FED_TAX")</f>
        <v>N</v>
      </c>
      <c r="R1057" t="str">
        <f>_xll.BDP("27373CAD Muni","MUNI_MSRB_VOLUME")</f>
        <v>#N/A N/A</v>
      </c>
      <c r="S1057" t="str">
        <f>_xll.BDP("27373CAD Muni","BB_COMPOSITE")</f>
        <v>#N/A N/A</v>
      </c>
      <c r="T1057">
        <f>_xll.BDP("27373CAD Muni","LQA_LIQUIDITY_SCORE")</f>
        <v>91</v>
      </c>
    </row>
    <row r="1058" spans="1:20" x14ac:dyDescent="0.25">
      <c r="A1058" t="str">
        <f>_xll.BDP("27373CAF Muni","ID_CUSIP")</f>
        <v>27373CAF2</v>
      </c>
      <c r="B1058" t="s">
        <v>343</v>
      </c>
      <c r="C1058" t="str">
        <f>_xll.BDP("27373CAF Muni","INSURANCE_STATUS")</f>
        <v>N</v>
      </c>
      <c r="D1058" t="str">
        <f>_xll.BDP("27373CAF Muni","STATE_CODE")</f>
        <v>TX</v>
      </c>
      <c r="E1058" t="str">
        <f>_xll.BDP("27373CAF Muni","COUNTY_LOCATION_ISSUER")</f>
        <v>#N/A Field Not Applicable</v>
      </c>
      <c r="F1058">
        <f>_xll.BDP("27373CAF Muni","DUR_ADJ_MID")</f>
        <v>1.9900705717840561</v>
      </c>
      <c r="G1058">
        <f>_xll.BDP("27373CAF Muni","SPREAD_AT_ISSUANCE_TO_WORST")</f>
        <v>97.813218834633346</v>
      </c>
      <c r="H1058" t="str">
        <f>_xll.BDP("27373CAF Muni","ISSUE_DT")</f>
        <v>6/1/2017</v>
      </c>
      <c r="I1058" t="str">
        <f>_xll.BDS("27373CAF Muni","MUNI_PURPOSE_SCHED", "aggregate=y")</f>
        <v>REFUNDING NOTES WATER UTILITY IMPS.</v>
      </c>
      <c r="J1058">
        <f>_xll.BDP("27373CAF Muni","CPN")</f>
        <v>2.7</v>
      </c>
      <c r="K1058" t="str">
        <f>_xll.BDP("27373CAF Muni","MATURITY")</f>
        <v>9/1/2024</v>
      </c>
      <c r="L1058">
        <v>65000</v>
      </c>
      <c r="M1058">
        <f>_xll.BDP("27373CAF Muni","YIELD_ON_ISSUE_DATE")</f>
        <v>2.7</v>
      </c>
      <c r="N1058">
        <f>_xll.BDP("27373CAF Muni","YTW_SPREAD_TO_MATURITY_AT_ISSU")</f>
        <v>97.813218834633346</v>
      </c>
      <c r="O1058" t="str">
        <f>_xll.BDP("27373CAF Muni","BVAL_MID_YTM")</f>
        <v>#N/A Authorization</v>
      </c>
      <c r="P1058" t="str">
        <f>_xll.BDP("27373CAF Muni","MUNI_TAX_PROV")</f>
        <v>FED BQ</v>
      </c>
      <c r="Q1058" t="str">
        <f>_xll.BDP("27373CAF Muni","MUNI_FED_TAX")</f>
        <v>N</v>
      </c>
      <c r="R1058" t="str">
        <f>_xll.BDP("27373CAF Muni","MUNI_MSRB_VOLUME")</f>
        <v>#N/A N/A</v>
      </c>
      <c r="S1058" t="str">
        <f>_xll.BDP("27373CAF Muni","BB_COMPOSITE")</f>
        <v>#N/A N/A</v>
      </c>
      <c r="T1058">
        <f>_xll.BDP("27373CAF Muni","LQA_LIQUIDITY_SCORE")</f>
        <v>53</v>
      </c>
    </row>
    <row r="1059" spans="1:20" x14ac:dyDescent="0.25">
      <c r="A1059" t="str">
        <f>_xll.BDP("236649HL Muni","ID_CUSIP")</f>
        <v>236649HL6</v>
      </c>
      <c r="B1059" t="s">
        <v>133</v>
      </c>
      <c r="C1059" t="str">
        <f>_xll.BDP("236649HL Muni","INSURANCE_STATUS")</f>
        <v>N</v>
      </c>
      <c r="D1059" t="str">
        <f>_xll.BDP("236649HL Muni","STATE_CODE")</f>
        <v>KY</v>
      </c>
      <c r="E1059" t="str">
        <f>_xll.BDP("236649HL Muni","COUNTY_LOCATION_ISSUER")</f>
        <v>Boyle, KY</v>
      </c>
      <c r="F1059">
        <f>_xll.BDP("236649HL Muni","DUR_ADJ_MID")</f>
        <v>0.97706812816315913</v>
      </c>
      <c r="G1059">
        <f>_xll.BDP("236649HL Muni","SPREAD_AT_ISSUANCE_TO_WORST")</f>
        <v>13.966600692632225</v>
      </c>
      <c r="H1059" t="str">
        <f>_xll.BDP("236649HL Muni","ISSUE_DT")</f>
        <v>9/28/2017</v>
      </c>
      <c r="I1059" t="str">
        <f>_xll.BDS("236649HL Muni","MUNI_PURPOSE_SCHED", "aggregate=y")</f>
        <v>PUBLIC IMPS. WATER UTILITY IMPS.</v>
      </c>
      <c r="J1059">
        <f>_xll.BDP("236649HL Muni","CPN")</f>
        <v>5</v>
      </c>
      <c r="K1059" t="str">
        <f>_xll.BDP("236649HL Muni","MATURITY")</f>
        <v>8/1/2023</v>
      </c>
      <c r="L1059">
        <v>375000</v>
      </c>
      <c r="M1059">
        <f>_xll.BDP("236649HL Muni","YIELD_ON_ISSUE_DATE")</f>
        <v>1.4000000000000001</v>
      </c>
      <c r="N1059">
        <f>_xll.BDP("236649HL Muni","YTW_SPREAD_TO_MATURITY_AT_ISSU")</f>
        <v>13.966600692632225</v>
      </c>
      <c r="O1059" t="str">
        <f>_xll.BDP("236649HL Muni","BVAL_MID_YTM")</f>
        <v>#N/A Authorization</v>
      </c>
      <c r="P1059" t="str">
        <f>_xll.BDP("236649HL Muni","MUNI_TAX_PROV")</f>
        <v>FED BQ/ST TAX-EXEMPT</v>
      </c>
      <c r="Q1059" t="str">
        <f>_xll.BDP("236649HL Muni","MUNI_FED_TAX")</f>
        <v>N</v>
      </c>
      <c r="R1059" t="str">
        <f>_xll.BDP("236649HL Muni","MUNI_MSRB_VOLUME")</f>
        <v>#N/A N/A</v>
      </c>
      <c r="S1059" t="str">
        <f>_xll.BDP("236649HL Muni","BB_COMPOSITE")</f>
        <v>#N/A N/A</v>
      </c>
      <c r="T1059">
        <f>_xll.BDP("236649HL Muni","LQA_LIQUIDITY_SCORE")</f>
        <v>91</v>
      </c>
    </row>
    <row r="1060" spans="1:20" x14ac:dyDescent="0.25">
      <c r="A1060" t="str">
        <f>_xll.BDP("236649HM Muni","ID_CUSIP")</f>
        <v>236649HM4</v>
      </c>
      <c r="B1060" t="s">
        <v>133</v>
      </c>
      <c r="C1060" t="str">
        <f>_xll.BDP("236649HM Muni","INSURANCE_STATUS")</f>
        <v>N</v>
      </c>
      <c r="D1060" t="str">
        <f>_xll.BDP("236649HM Muni","STATE_CODE")</f>
        <v>KY</v>
      </c>
      <c r="E1060" t="str">
        <f>_xll.BDP("236649HM Muni","COUNTY_LOCATION_ISSUER")</f>
        <v>Boyle, KY</v>
      </c>
      <c r="F1060">
        <f>_xll.BDP("236649HM Muni","DUR_ADJ_MID")</f>
        <v>1.909213270290032</v>
      </c>
      <c r="G1060">
        <f>_xll.BDP("236649HM Muni","SPREAD_AT_ISSUANCE_TO_WORST")</f>
        <v>18.920123315639593</v>
      </c>
      <c r="H1060" t="str">
        <f>_xll.BDP("236649HM Muni","ISSUE_DT")</f>
        <v>9/28/2017</v>
      </c>
      <c r="I1060" t="str">
        <f>_xll.BDS("236649HM Muni","MUNI_PURPOSE_SCHED", "aggregate=y")</f>
        <v>PUBLIC IMPS. WATER UTILITY IMPS.</v>
      </c>
      <c r="J1060">
        <f>_xll.BDP("236649HM Muni","CPN")</f>
        <v>5</v>
      </c>
      <c r="K1060" t="str">
        <f>_xll.BDP("236649HM Muni","MATURITY")</f>
        <v>8/1/2024</v>
      </c>
      <c r="L1060">
        <v>395000</v>
      </c>
      <c r="M1060">
        <f>_xll.BDP("236649HM Muni","YIELD_ON_ISSUE_DATE")</f>
        <v>1.6</v>
      </c>
      <c r="N1060">
        <f>_xll.BDP("236649HM Muni","YTW_SPREAD_TO_MATURITY_AT_ISSU")</f>
        <v>18.920123315639593</v>
      </c>
      <c r="O1060" t="str">
        <f>_xll.BDP("236649HM Muni","BVAL_MID_YTM")</f>
        <v>#N/A Authorization</v>
      </c>
      <c r="P1060" t="str">
        <f>_xll.BDP("236649HM Muni","MUNI_TAX_PROV")</f>
        <v>FED BQ/ST TAX-EXEMPT</v>
      </c>
      <c r="Q1060" t="str">
        <f>_xll.BDP("236649HM Muni","MUNI_FED_TAX")</f>
        <v>N</v>
      </c>
      <c r="R1060" t="str">
        <f>_xll.BDP("236649HM Muni","MUNI_MSRB_VOLUME")</f>
        <v>#N/A N/A</v>
      </c>
      <c r="S1060" t="str">
        <f>_xll.BDP("236649HM Muni","BB_COMPOSITE")</f>
        <v>#N/A N/A</v>
      </c>
      <c r="T1060">
        <f>_xll.BDP("236649HM Muni","LQA_LIQUIDITY_SCORE")</f>
        <v>86</v>
      </c>
    </row>
    <row r="1061" spans="1:20" x14ac:dyDescent="0.25">
      <c r="A1061" t="str">
        <f>_xll.BDP("236649HP Muni","ID_CUSIP")</f>
        <v>236649HP7</v>
      </c>
      <c r="B1061" t="s">
        <v>133</v>
      </c>
      <c r="C1061" t="str">
        <f>_xll.BDP("236649HP Muni","INSURANCE_STATUS")</f>
        <v>N</v>
      </c>
      <c r="D1061" t="str">
        <f>_xll.BDP("236649HP Muni","STATE_CODE")</f>
        <v>KY</v>
      </c>
      <c r="E1061" t="str">
        <f>_xll.BDP("236649HP Muni","COUNTY_LOCATION_ISSUER")</f>
        <v>Boyle, KY</v>
      </c>
      <c r="F1061">
        <f>_xll.BDP("236649HP Muni","DUR_ADJ_MID")</f>
        <v>3.6527224326047918</v>
      </c>
      <c r="G1061">
        <f>_xll.BDP("236649HP Muni","SPREAD_AT_ISSUANCE_TO_WORST")</f>
        <v>20.0939244418066</v>
      </c>
      <c r="H1061" t="str">
        <f>_xll.BDP("236649HP Muni","ISSUE_DT")</f>
        <v>9/28/2017</v>
      </c>
      <c r="I1061" t="str">
        <f>_xll.BDS("236649HP Muni","MUNI_PURPOSE_SCHED", "aggregate=y")</f>
        <v>PUBLIC IMPS. WATER UTILITY IMPS.</v>
      </c>
      <c r="J1061">
        <f>_xll.BDP("236649HP Muni","CPN")</f>
        <v>5</v>
      </c>
      <c r="K1061" t="str">
        <f>_xll.BDP("236649HP Muni","MATURITY")</f>
        <v>8/1/2026</v>
      </c>
      <c r="L1061">
        <v>430000</v>
      </c>
      <c r="M1061">
        <f>_xll.BDP("236649HP Muni","YIELD_ON_ISSUE_DATE")</f>
        <v>1.9000000000000001</v>
      </c>
      <c r="N1061">
        <f>_xll.BDP("236649HP Muni","YTW_SPREAD_TO_MATURITY_AT_ISSU")</f>
        <v>20.0939244418066</v>
      </c>
      <c r="O1061" t="str">
        <f>_xll.BDP("236649HP Muni","BVAL_MID_YTM")</f>
        <v>#N/A Authorization</v>
      </c>
      <c r="P1061" t="str">
        <f>_xll.BDP("236649HP Muni","MUNI_TAX_PROV")</f>
        <v>FED BQ/ST TAX-EXEMPT</v>
      </c>
      <c r="Q1061" t="str">
        <f>_xll.BDP("236649HP Muni","MUNI_FED_TAX")</f>
        <v>N</v>
      </c>
      <c r="R1061" t="str">
        <f>_xll.BDP("236649HP Muni","MUNI_MSRB_VOLUME")</f>
        <v>#N/A N/A</v>
      </c>
      <c r="S1061" t="str">
        <f>_xll.BDP("236649HP Muni","BB_COMPOSITE")</f>
        <v>#N/A N/A</v>
      </c>
      <c r="T1061">
        <f>_xll.BDP("236649HP Muni","LQA_LIQUIDITY_SCORE")</f>
        <v>67</v>
      </c>
    </row>
    <row r="1062" spans="1:20" x14ac:dyDescent="0.25">
      <c r="A1062" t="str">
        <f>_xll.BDP("24170PPK Muni","ID_CUSIP")</f>
        <v>24170PPK8</v>
      </c>
      <c r="B1062" t="s">
        <v>308</v>
      </c>
      <c r="C1062" t="str">
        <f>_xll.BDP("24170PPK Muni","INSURANCE_STATUS")</f>
        <v>N</v>
      </c>
      <c r="D1062" t="str">
        <f>_xll.BDP("24170PPK Muni","STATE_CODE")</f>
        <v>TX</v>
      </c>
      <c r="E1062" t="str">
        <f>_xll.BDP("24170PPK Muni","COUNTY_LOCATION_ISSUER")</f>
        <v>Dallas, TX</v>
      </c>
      <c r="F1062">
        <f>_xll.BDP("24170PPK Muni","DUR_ADJ_MID")</f>
        <v>1.4946672627671704</v>
      </c>
      <c r="G1062">
        <f>_xll.BDP("24170PPK Muni","SPREAD_AT_ISSUANCE_TO_WORST")</f>
        <v>31.672719105321832</v>
      </c>
      <c r="H1062" t="str">
        <f>_xll.BDP("24170PPK Muni","ISSUE_DT")</f>
        <v>6/1/2017</v>
      </c>
      <c r="I1062" t="str">
        <f>_xll.BDS("24170PPK Muni","MUNI_PURPOSE_SCHED", "aggregate=y")</f>
        <v>PUBLIC IMPS. WATER UTILITY IMPS. SEWER IMPS.</v>
      </c>
      <c r="J1062">
        <f>_xll.BDP("24170PPK Muni","CPN")</f>
        <v>2</v>
      </c>
      <c r="K1062" t="str">
        <f>_xll.BDP("24170PPK Muni","MATURITY")</f>
        <v>2/15/2024</v>
      </c>
      <c r="L1062">
        <v>205000</v>
      </c>
      <c r="M1062">
        <f>_xll.BDP("24170PPK Muni","YIELD_ON_ISSUE_DATE")</f>
        <v>1.72</v>
      </c>
      <c r="N1062">
        <f>_xll.BDP("24170PPK Muni","YTW_SPREAD_TO_MATURITY_AT_ISSU")</f>
        <v>31.672719105321832</v>
      </c>
      <c r="O1062" t="str">
        <f>_xll.BDP("24170PPK Muni","BVAL_MID_YTM")</f>
        <v>#N/A Authorization</v>
      </c>
      <c r="P1062" t="str">
        <f>_xll.BDP("24170PPK Muni","MUNI_TAX_PROV")</f>
        <v>FED TAX-EXEMPT</v>
      </c>
      <c r="Q1062" t="str">
        <f>_xll.BDP("24170PPK Muni","MUNI_FED_TAX")</f>
        <v>N</v>
      </c>
      <c r="R1062" t="str">
        <f>_xll.BDP("24170PPK Muni","MUNI_MSRB_VOLUME")</f>
        <v>#N/A N/A</v>
      </c>
      <c r="S1062" t="str">
        <f>_xll.BDP("24170PPK Muni","BB_COMPOSITE")</f>
        <v>#N/A N/A</v>
      </c>
      <c r="T1062">
        <f>_xll.BDP("24170PPK Muni","LQA_LIQUIDITY_SCORE")</f>
        <v>61</v>
      </c>
    </row>
    <row r="1063" spans="1:20" x14ac:dyDescent="0.25">
      <c r="A1063" t="str">
        <f>_xll.BDP("24170PPM Muni","ID_CUSIP")</f>
        <v>24170PPM4</v>
      </c>
      <c r="B1063" t="s">
        <v>308</v>
      </c>
      <c r="C1063" t="str">
        <f>_xll.BDP("24170PPM Muni","INSURANCE_STATUS")</f>
        <v>N</v>
      </c>
      <c r="D1063" t="str">
        <f>_xll.BDP("24170PPM Muni","STATE_CODE")</f>
        <v>TX</v>
      </c>
      <c r="E1063" t="str">
        <f>_xll.BDP("24170PPM Muni","COUNTY_LOCATION_ISSUER")</f>
        <v>Dallas, TX</v>
      </c>
      <c r="F1063">
        <f>_xll.BDP("24170PPM Muni","DUR_ADJ_MID")</f>
        <v>3.308221643704373</v>
      </c>
      <c r="G1063">
        <f>_xll.BDP("24170PPM Muni","SPREAD_AT_ISSUANCE_TO_WORST")</f>
        <v>38.37317264161473</v>
      </c>
      <c r="H1063" t="str">
        <f>_xll.BDP("24170PPM Muni","ISSUE_DT")</f>
        <v>6/1/2017</v>
      </c>
      <c r="I1063" t="str">
        <f>_xll.BDS("24170PPM Muni","MUNI_PURPOSE_SCHED", "aggregate=y")</f>
        <v>PUBLIC IMPS. WATER UTILITY IMPS. SEWER IMPS.</v>
      </c>
      <c r="J1063">
        <f>_xll.BDP("24170PPM Muni","CPN")</f>
        <v>3</v>
      </c>
      <c r="K1063" t="str">
        <f>_xll.BDP("24170PPM Muni","MATURITY")</f>
        <v>2/15/2026</v>
      </c>
      <c r="L1063">
        <v>215000</v>
      </c>
      <c r="M1063">
        <f>_xll.BDP("24170PPM Muni","YIELD_ON_ISSUE_DATE")</f>
        <v>2.09</v>
      </c>
      <c r="N1063">
        <f>_xll.BDP("24170PPM Muni","YTW_SPREAD_TO_MATURITY_AT_ISSU")</f>
        <v>38.37317264161473</v>
      </c>
      <c r="O1063" t="str">
        <f>_xll.BDP("24170PPM Muni","BVAL_MID_YTM")</f>
        <v>#N/A Authorization</v>
      </c>
      <c r="P1063" t="str">
        <f>_xll.BDP("24170PPM Muni","MUNI_TAX_PROV")</f>
        <v>FED TAX-EXEMPT</v>
      </c>
      <c r="Q1063" t="str">
        <f>_xll.BDP("24170PPM Muni","MUNI_FED_TAX")</f>
        <v>N</v>
      </c>
      <c r="R1063" t="str">
        <f>_xll.BDP("24170PPM Muni","MUNI_MSRB_VOLUME")</f>
        <v>#N/A N/A</v>
      </c>
      <c r="S1063" t="str">
        <f>_xll.BDP("24170PPM Muni","BB_COMPOSITE")</f>
        <v>#N/A N/A</v>
      </c>
      <c r="T1063">
        <f>_xll.BDP("24170PPM Muni","LQA_LIQUIDITY_SCORE")</f>
        <v>62</v>
      </c>
    </row>
    <row r="1064" spans="1:20" x14ac:dyDescent="0.25">
      <c r="A1064" t="str">
        <f>_xll.BDP("219399LE Muni","ID_CUSIP")</f>
        <v>219399LE0</v>
      </c>
      <c r="B1064" t="s">
        <v>344</v>
      </c>
      <c r="C1064" t="str">
        <f>_xll.BDP("219399LE Muni","INSURANCE_STATUS")</f>
        <v>Y</v>
      </c>
      <c r="D1064" t="str">
        <f>_xll.BDP("219399LE Muni","STATE_CODE")</f>
        <v>NY</v>
      </c>
      <c r="E1064" t="str">
        <f>_xll.BDP("219399LE Muni","COUNTY_LOCATION_ISSUER")</f>
        <v>Steuben, NY</v>
      </c>
      <c r="F1064">
        <f>_xll.BDP("219399LE Muni","DUR_ADJ_MID")</f>
        <v>1.421060819189061</v>
      </c>
      <c r="G1064">
        <f>_xll.BDP("219399LE Muni","SPREAD_AT_ISSUANCE_TO_WORST")</f>
        <v>15.134155474218836</v>
      </c>
      <c r="H1064" t="str">
        <f>_xll.BDP("219399LE Muni","ISSUE_DT")</f>
        <v>1/24/2017</v>
      </c>
      <c r="I1064" t="str">
        <f>_xll.BDS("219399LE Muni","MUNI_PURPOSE_SCHED", "aggregate=y")</f>
        <v>PUBLIC IMPS. WATER UTILITY IMPS. SEWER IMPS.</v>
      </c>
      <c r="J1064">
        <f>_xll.BDP("219399LE Muni","CPN")</f>
        <v>2.625</v>
      </c>
      <c r="K1064" t="str">
        <f>_xll.BDP("219399LE Muni","MATURITY")</f>
        <v>1/15/2024</v>
      </c>
      <c r="L1064">
        <v>105000</v>
      </c>
      <c r="M1064">
        <f>_xll.BDP("219399LE Muni","YIELD_ON_ISSUE_DATE")</f>
        <v>2.1</v>
      </c>
      <c r="N1064">
        <f>_xll.BDP("219399LE Muni","YTW_SPREAD_TO_MATURITY_AT_ISSU")</f>
        <v>15.134155474218836</v>
      </c>
      <c r="O1064" t="str">
        <f>_xll.BDP("219399LE Muni","BVAL_MID_YTM")</f>
        <v>#N/A Authorization</v>
      </c>
      <c r="P1064" t="str">
        <f>_xll.BDP("219399LE Muni","MUNI_TAX_PROV")</f>
        <v>FED BQ/ST TAX-EXEMPT</v>
      </c>
      <c r="Q1064" t="str">
        <f>_xll.BDP("219399LE Muni","MUNI_FED_TAX")</f>
        <v>N</v>
      </c>
      <c r="R1064" t="str">
        <f>_xll.BDP("219399LE Muni","MUNI_MSRB_VOLUME")</f>
        <v>#N/A N/A</v>
      </c>
      <c r="S1064" t="str">
        <f>_xll.BDP("219399LE Muni","BB_COMPOSITE")</f>
        <v>AA-</v>
      </c>
      <c r="T1064">
        <f>_xll.BDP("219399LE Muni","LQA_LIQUIDITY_SCORE")</f>
        <v>82</v>
      </c>
    </row>
    <row r="1065" spans="1:20" x14ac:dyDescent="0.25">
      <c r="A1065" t="str">
        <f>_xll.BDP("219399LF Muni","ID_CUSIP")</f>
        <v>219399LF7</v>
      </c>
      <c r="B1065" t="s">
        <v>344</v>
      </c>
      <c r="C1065" t="str">
        <f>_xll.BDP("219399LF Muni","INSURANCE_STATUS")</f>
        <v>Y</v>
      </c>
      <c r="D1065" t="str">
        <f>_xll.BDP("219399LF Muni","STATE_CODE")</f>
        <v>NY</v>
      </c>
      <c r="E1065" t="str">
        <f>_xll.BDP("219399LF Muni","COUNTY_LOCATION_ISSUER")</f>
        <v>Steuben, NY</v>
      </c>
      <c r="F1065">
        <f>_xll.BDP("219399LF Muni","DUR_ADJ_MID")</f>
        <v>2.363686370331382</v>
      </c>
      <c r="G1065">
        <f>_xll.BDP("219399LF Muni","SPREAD_AT_ISSUANCE_TO_WORST")</f>
        <v>12.537548476494997</v>
      </c>
      <c r="H1065" t="str">
        <f>_xll.BDP("219399LF Muni","ISSUE_DT")</f>
        <v>1/24/2017</v>
      </c>
      <c r="I1065" t="str">
        <f>_xll.BDS("219399LF Muni","MUNI_PURPOSE_SCHED", "aggregate=y")</f>
        <v>PUBLIC IMPS. WATER UTILITY IMPS. SEWER IMPS.</v>
      </c>
      <c r="J1065">
        <f>_xll.BDP("219399LF Muni","CPN")</f>
        <v>2.75</v>
      </c>
      <c r="K1065" t="str">
        <f>_xll.BDP("219399LF Muni","MATURITY")</f>
        <v>1/15/2025</v>
      </c>
      <c r="L1065">
        <v>105000</v>
      </c>
      <c r="M1065">
        <f>_xll.BDP("219399LF Muni","YIELD_ON_ISSUE_DATE")</f>
        <v>2.2000000000000002</v>
      </c>
      <c r="N1065">
        <f>_xll.BDP("219399LF Muni","YTW_SPREAD_TO_MATURITY_AT_ISSU")</f>
        <v>12.537548476494997</v>
      </c>
      <c r="O1065" t="str">
        <f>_xll.BDP("219399LF Muni","BVAL_MID_YTM")</f>
        <v>#N/A Authorization</v>
      </c>
      <c r="P1065" t="str">
        <f>_xll.BDP("219399LF Muni","MUNI_TAX_PROV")</f>
        <v>FED BQ/ST TAX-EXEMPT</v>
      </c>
      <c r="Q1065" t="str">
        <f>_xll.BDP("219399LF Muni","MUNI_FED_TAX")</f>
        <v>N</v>
      </c>
      <c r="R1065" t="str">
        <f>_xll.BDP("219399LF Muni","MUNI_MSRB_VOLUME")</f>
        <v>#N/A N/A</v>
      </c>
      <c r="S1065" t="str">
        <f>_xll.BDP("219399LF Muni","BB_COMPOSITE")</f>
        <v>AA-</v>
      </c>
      <c r="T1065">
        <f>_xll.BDP("219399LF Muni","LQA_LIQUIDITY_SCORE")</f>
        <v>73</v>
      </c>
    </row>
    <row r="1066" spans="1:20" x14ac:dyDescent="0.25">
      <c r="A1066" t="str">
        <f>_xll.BDP("221843DC Muni","ID_CUSIP")</f>
        <v>221843DC6</v>
      </c>
      <c r="B1066" t="s">
        <v>313</v>
      </c>
      <c r="C1066" t="str">
        <f>_xll.BDP("221843DC Muni","INSURANCE_STATUS")</f>
        <v>Y</v>
      </c>
      <c r="D1066" t="str">
        <f>_xll.BDP("221843DC Muni","STATE_CODE")</f>
        <v>TX</v>
      </c>
      <c r="E1066" t="str">
        <f>_xll.BDP("221843DC Muni","COUNTY_LOCATION_ISSUER")</f>
        <v>Travis, TX</v>
      </c>
      <c r="F1066">
        <f>_xll.BDP("221843DC Muni","DUR_ADJ_MID")</f>
        <v>8.0457607726620958E-2</v>
      </c>
      <c r="G1066">
        <f>_xll.BDP("221843DC Muni","SPREAD_AT_ISSUANCE_TO_WORST")</f>
        <v>56.608452054794526</v>
      </c>
      <c r="H1066" t="str">
        <f>_xll.BDP("221843DC Muni","ISSUE_DT")</f>
        <v>11/14/2017</v>
      </c>
      <c r="I1066" t="str">
        <f>_xll.BDS("221843DC Muni","MUNI_PURPOSE_SCHED", "aggregate=y")</f>
        <v>WATER UTILITY IMPS. SEWER IMPS.</v>
      </c>
      <c r="J1066">
        <f>_xll.BDP("221843DC Muni","CPN")</f>
        <v>4</v>
      </c>
      <c r="K1066" t="str">
        <f>_xll.BDP("221843DC Muni","MATURITY")</f>
        <v>9/1/2022</v>
      </c>
      <c r="L1066">
        <v>145000</v>
      </c>
      <c r="M1066">
        <f>_xll.BDP("221843DC Muni","YIELD_ON_ISSUE_DATE")</f>
        <v>1.9000000000000001</v>
      </c>
      <c r="N1066">
        <f>_xll.BDP("221843DC Muni","YTW_SPREAD_TO_MATURITY_AT_ISSU")</f>
        <v>56.608452054794526</v>
      </c>
      <c r="O1066" t="str">
        <f>_xll.BDP("221843DC Muni","BVAL_MID_YTM")</f>
        <v>#N/A Authorization</v>
      </c>
      <c r="P1066" t="str">
        <f>_xll.BDP("221843DC Muni","MUNI_TAX_PROV")</f>
        <v>FED BQ</v>
      </c>
      <c r="Q1066" t="str">
        <f>_xll.BDP("221843DC Muni","MUNI_FED_TAX")</f>
        <v>N</v>
      </c>
      <c r="R1066" t="str">
        <f>_xll.BDP("221843DC Muni","MUNI_MSRB_VOLUME")</f>
        <v>#N/A N/A</v>
      </c>
      <c r="S1066" t="str">
        <f>_xll.BDP("221843DC Muni","BB_COMPOSITE")</f>
        <v>AA-</v>
      </c>
      <c r="T1066">
        <f>_xll.BDP("221843DC Muni","LQA_LIQUIDITY_SCORE")</f>
        <v>98</v>
      </c>
    </row>
    <row r="1067" spans="1:20" x14ac:dyDescent="0.25">
      <c r="A1067" t="str">
        <f>_xll.BDP("221843DE Muni","ID_CUSIP")</f>
        <v>221843DE2</v>
      </c>
      <c r="B1067" t="s">
        <v>313</v>
      </c>
      <c r="C1067" t="str">
        <f>_xll.BDP("221843DE Muni","INSURANCE_STATUS")</f>
        <v>Y</v>
      </c>
      <c r="D1067" t="str">
        <f>_xll.BDP("221843DE Muni","STATE_CODE")</f>
        <v>TX</v>
      </c>
      <c r="E1067" t="str">
        <f>_xll.BDP("221843DE Muni","COUNTY_LOCATION_ISSUER")</f>
        <v>Travis, TX</v>
      </c>
      <c r="F1067">
        <f>_xll.BDP("221843DE Muni","DUR_ADJ_MID")</f>
        <v>1.9852083381835819</v>
      </c>
      <c r="G1067">
        <f>_xll.BDP("221843DE Muni","SPREAD_AT_ISSUANCE_TO_WORST")</f>
        <v>61.413353424657544</v>
      </c>
      <c r="H1067" t="str">
        <f>_xll.BDP("221843DE Muni","ISSUE_DT")</f>
        <v>11/14/2017</v>
      </c>
      <c r="I1067" t="str">
        <f>_xll.BDS("221843DE Muni","MUNI_PURPOSE_SCHED", "aggregate=y")</f>
        <v>WATER UTILITY IMPS. SEWER IMPS.</v>
      </c>
      <c r="J1067">
        <f>_xll.BDP("221843DE Muni","CPN")</f>
        <v>3</v>
      </c>
      <c r="K1067" t="str">
        <f>_xll.BDP("221843DE Muni","MATURITY")</f>
        <v>9/1/2024</v>
      </c>
      <c r="L1067">
        <v>160000</v>
      </c>
      <c r="M1067">
        <f>_xll.BDP("221843DE Muni","YIELD_ON_ISSUE_DATE")</f>
        <v>2.2000000000000002</v>
      </c>
      <c r="N1067">
        <f>_xll.BDP("221843DE Muni","YTW_SPREAD_TO_MATURITY_AT_ISSU")</f>
        <v>61.413353424657544</v>
      </c>
      <c r="O1067" t="str">
        <f>_xll.BDP("221843DE Muni","BVAL_MID_YTM")</f>
        <v>#N/A Authorization</v>
      </c>
      <c r="P1067" t="str">
        <f>_xll.BDP("221843DE Muni","MUNI_TAX_PROV")</f>
        <v>FED BQ</v>
      </c>
      <c r="Q1067" t="str">
        <f>_xll.BDP("221843DE Muni","MUNI_FED_TAX")</f>
        <v>N</v>
      </c>
      <c r="R1067" t="str">
        <f>_xll.BDP("221843DE Muni","MUNI_MSRB_VOLUME")</f>
        <v>#N/A N/A</v>
      </c>
      <c r="S1067" t="str">
        <f>_xll.BDP("221843DE Muni","BB_COMPOSITE")</f>
        <v>AA-</v>
      </c>
      <c r="T1067">
        <f>_xll.BDP("221843DE Muni","LQA_LIQUIDITY_SCORE")</f>
        <v>72</v>
      </c>
    </row>
    <row r="1068" spans="1:20" x14ac:dyDescent="0.25">
      <c r="A1068" t="str">
        <f>_xll.BDP("544060FN Muni","ID_CUSIP")</f>
        <v>544060FN1</v>
      </c>
      <c r="B1068" t="s">
        <v>345</v>
      </c>
      <c r="C1068" t="str">
        <f>_xll.BDP("544060FN Muni","INSURANCE_STATUS")</f>
        <v>N</v>
      </c>
      <c r="D1068" t="str">
        <f>_xll.BDP("544060FN Muni","STATE_CODE")</f>
        <v>TX</v>
      </c>
      <c r="E1068" t="str">
        <f>_xll.BDP("544060FN Muni","COUNTY_LOCATION_ISSUER")</f>
        <v>McLennan, TX</v>
      </c>
      <c r="F1068">
        <f>_xll.BDP("544060FN Muni","DUR_ADJ_MID")</f>
        <v>0.52523922922107102</v>
      </c>
      <c r="G1068">
        <f>_xll.BDP("544060FN Muni","SPREAD_AT_ISSUANCE_TO_WORST")</f>
        <v>33.374095890410956</v>
      </c>
      <c r="H1068" t="str">
        <f>_xll.BDP("544060FN Muni","ISSUE_DT")</f>
        <v>12/1/2017</v>
      </c>
      <c r="I1068" t="str">
        <f>_xll.BDS("544060FN Muni","MUNI_PURPOSE_SCHED", "aggregate=y")</f>
        <v>WATER UTILITY IMPS. SEWER IMPS.</v>
      </c>
      <c r="J1068">
        <f>_xll.BDP("544060FN Muni","CPN")</f>
        <v>3</v>
      </c>
      <c r="K1068" t="str">
        <f>_xll.BDP("544060FN Muni","MATURITY")</f>
        <v>2/15/2023</v>
      </c>
      <c r="L1068">
        <v>35000</v>
      </c>
      <c r="M1068">
        <f>_xll.BDP("544060FN Muni","YIELD_ON_ISSUE_DATE")</f>
        <v>2</v>
      </c>
      <c r="N1068">
        <f>_xll.BDP("544060FN Muni","YTW_SPREAD_TO_MATURITY_AT_ISSU")</f>
        <v>33.374095890410956</v>
      </c>
      <c r="O1068" t="str">
        <f>_xll.BDP("544060FN Muni","BVAL_MID_YTM")</f>
        <v>#N/A Authorization</v>
      </c>
      <c r="P1068" t="str">
        <f>_xll.BDP("544060FN Muni","MUNI_TAX_PROV")</f>
        <v>FED BQ</v>
      </c>
      <c r="Q1068" t="str">
        <f>_xll.BDP("544060FN Muni","MUNI_FED_TAX")</f>
        <v>N</v>
      </c>
      <c r="R1068" t="str">
        <f>_xll.BDP("544060FN Muni","MUNI_MSRB_VOLUME")</f>
        <v>#N/A N/A</v>
      </c>
      <c r="S1068" t="str">
        <f>_xll.BDP("544060FN Muni","BB_COMPOSITE")</f>
        <v>#N/A N/A</v>
      </c>
      <c r="T1068">
        <f>_xll.BDP("544060FN Muni","LQA_LIQUIDITY_SCORE")</f>
        <v>87</v>
      </c>
    </row>
    <row r="1069" spans="1:20" x14ac:dyDescent="0.25">
      <c r="A1069" t="str">
        <f>_xll.BDP("544060FP Muni","ID_CUSIP")</f>
        <v>544060FP6</v>
      </c>
      <c r="B1069" t="s">
        <v>345</v>
      </c>
      <c r="C1069" t="str">
        <f>_xll.BDP("544060FP Muni","INSURANCE_STATUS")</f>
        <v>N</v>
      </c>
      <c r="D1069" t="str">
        <f>_xll.BDP("544060FP Muni","STATE_CODE")</f>
        <v>TX</v>
      </c>
      <c r="E1069" t="str">
        <f>_xll.BDP("544060FP Muni","COUNTY_LOCATION_ISSUER")</f>
        <v>McLennan, TX</v>
      </c>
      <c r="F1069">
        <f>_xll.BDP("544060FP Muni","DUR_ADJ_MID")</f>
        <v>1.4787127404535467</v>
      </c>
      <c r="G1069">
        <f>_xll.BDP("544060FP Muni","SPREAD_AT_ISSUANCE_TO_WORST")</f>
        <v>37.316690410958905</v>
      </c>
      <c r="H1069" t="str">
        <f>_xll.BDP("544060FP Muni","ISSUE_DT")</f>
        <v>12/1/2017</v>
      </c>
      <c r="I1069" t="str">
        <f>_xll.BDS("544060FP Muni","MUNI_PURPOSE_SCHED", "aggregate=y")</f>
        <v>WATER UTILITY IMPS. SEWER IMPS.</v>
      </c>
      <c r="J1069">
        <f>_xll.BDP("544060FP Muni","CPN")</f>
        <v>3</v>
      </c>
      <c r="K1069" t="str">
        <f>_xll.BDP("544060FP Muni","MATURITY")</f>
        <v>2/15/2024</v>
      </c>
      <c r="L1069">
        <v>40000</v>
      </c>
      <c r="M1069">
        <f>_xll.BDP("544060FP Muni","YIELD_ON_ISSUE_DATE")</f>
        <v>2.1</v>
      </c>
      <c r="N1069">
        <f>_xll.BDP("544060FP Muni","YTW_SPREAD_TO_MATURITY_AT_ISSU")</f>
        <v>37.316690410958905</v>
      </c>
      <c r="O1069" t="str">
        <f>_xll.BDP("544060FP Muni","BVAL_MID_YTM")</f>
        <v>#N/A Authorization</v>
      </c>
      <c r="P1069" t="str">
        <f>_xll.BDP("544060FP Muni","MUNI_TAX_PROV")</f>
        <v>FED BQ</v>
      </c>
      <c r="Q1069" t="str">
        <f>_xll.BDP("544060FP Muni","MUNI_FED_TAX")</f>
        <v>N</v>
      </c>
      <c r="R1069" t="str">
        <f>_xll.BDP("544060FP Muni","MUNI_MSRB_VOLUME")</f>
        <v>#N/A N/A</v>
      </c>
      <c r="S1069" t="str">
        <f>_xll.BDP("544060FP Muni","BB_COMPOSITE")</f>
        <v>#N/A N/A</v>
      </c>
      <c r="T1069">
        <f>_xll.BDP("544060FP Muni","LQA_LIQUIDITY_SCORE")</f>
        <v>74</v>
      </c>
    </row>
    <row r="1070" spans="1:20" x14ac:dyDescent="0.25">
      <c r="A1070" t="str">
        <f>_xll.BDP("544060FQ Muni","ID_CUSIP")</f>
        <v>544060FQ4</v>
      </c>
      <c r="B1070" t="s">
        <v>345</v>
      </c>
      <c r="C1070" t="str">
        <f>_xll.BDP("544060FQ Muni","INSURANCE_STATUS")</f>
        <v>N</v>
      </c>
      <c r="D1070" t="str">
        <f>_xll.BDP("544060FQ Muni","STATE_CODE")</f>
        <v>TX</v>
      </c>
      <c r="E1070" t="str">
        <f>_xll.BDP("544060FQ Muni","COUNTY_LOCATION_ISSUER")</f>
        <v>McLennan, TX</v>
      </c>
      <c r="F1070">
        <f>_xll.BDP("544060FQ Muni","DUR_ADJ_MID")</f>
        <v>2.4042917236183445</v>
      </c>
      <c r="G1070">
        <f>_xll.BDP("544060FQ Muni","SPREAD_AT_ISSUANCE_TO_WORST")</f>
        <v>39.698021917808227</v>
      </c>
      <c r="H1070" t="str">
        <f>_xll.BDP("544060FQ Muni","ISSUE_DT")</f>
        <v>12/1/2017</v>
      </c>
      <c r="I1070" t="str">
        <f>_xll.BDS("544060FQ Muni","MUNI_PURPOSE_SCHED", "aggregate=y")</f>
        <v>WATER UTILITY IMPS. SEWER IMPS.</v>
      </c>
      <c r="J1070">
        <f>_xll.BDP("544060FQ Muni","CPN")</f>
        <v>3</v>
      </c>
      <c r="K1070" t="str">
        <f>_xll.BDP("544060FQ Muni","MATURITY")</f>
        <v>2/15/2025</v>
      </c>
      <c r="L1070">
        <v>40000</v>
      </c>
      <c r="M1070">
        <f>_xll.BDP("544060FQ Muni","YIELD_ON_ISSUE_DATE")</f>
        <v>2.2000000000000002</v>
      </c>
      <c r="N1070">
        <f>_xll.BDP("544060FQ Muni","YTW_SPREAD_TO_MATURITY_AT_ISSU")</f>
        <v>39.698021917808227</v>
      </c>
      <c r="O1070" t="str">
        <f>_xll.BDP("544060FQ Muni","BVAL_MID_YTM")</f>
        <v>#N/A Authorization</v>
      </c>
      <c r="P1070" t="str">
        <f>_xll.BDP("544060FQ Muni","MUNI_TAX_PROV")</f>
        <v>FED BQ</v>
      </c>
      <c r="Q1070" t="str">
        <f>_xll.BDP("544060FQ Muni","MUNI_FED_TAX")</f>
        <v>N</v>
      </c>
      <c r="R1070" t="str">
        <f>_xll.BDP("544060FQ Muni","MUNI_MSRB_VOLUME")</f>
        <v>#N/A N/A</v>
      </c>
      <c r="S1070" t="str">
        <f>_xll.BDP("544060FQ Muni","BB_COMPOSITE")</f>
        <v>#N/A N/A</v>
      </c>
      <c r="T1070">
        <f>_xll.BDP("544060FQ Muni","LQA_LIQUIDITY_SCORE")</f>
        <v>64</v>
      </c>
    </row>
    <row r="1071" spans="1:20" x14ac:dyDescent="0.25">
      <c r="A1071" t="str">
        <f>_xll.BDP("544060FR Muni","ID_CUSIP")</f>
        <v>544060FR2</v>
      </c>
      <c r="B1071" t="s">
        <v>345</v>
      </c>
      <c r="C1071" t="str">
        <f>_xll.BDP("544060FR Muni","INSURANCE_STATUS")</f>
        <v>N</v>
      </c>
      <c r="D1071" t="str">
        <f>_xll.BDP("544060FR Muni","STATE_CODE")</f>
        <v>TX</v>
      </c>
      <c r="E1071" t="str">
        <f>_xll.BDP("544060FR Muni","COUNTY_LOCATION_ISSUER")</f>
        <v>McLennan, TX</v>
      </c>
      <c r="F1071">
        <f>_xll.BDP("544060FR Muni","DUR_ADJ_MID")</f>
        <v>3.3034697283337189</v>
      </c>
      <c r="G1071">
        <f>_xll.BDP("544060FR Muni","SPREAD_AT_ISSUANCE_TO_WORST")</f>
        <v>40.987284931506828</v>
      </c>
      <c r="H1071" t="str">
        <f>_xll.BDP("544060FR Muni","ISSUE_DT")</f>
        <v>12/1/2017</v>
      </c>
      <c r="I1071" t="str">
        <f>_xll.BDS("544060FR Muni","MUNI_PURPOSE_SCHED", "aggregate=y")</f>
        <v>WATER UTILITY IMPS. SEWER IMPS.</v>
      </c>
      <c r="J1071">
        <f>_xll.BDP("544060FR Muni","CPN")</f>
        <v>3</v>
      </c>
      <c r="K1071" t="str">
        <f>_xll.BDP("544060FR Muni","MATURITY")</f>
        <v>2/15/2026</v>
      </c>
      <c r="L1071">
        <v>40000</v>
      </c>
      <c r="M1071">
        <f>_xll.BDP("544060FR Muni","YIELD_ON_ISSUE_DATE")</f>
        <v>2.3000000000000003</v>
      </c>
      <c r="N1071">
        <f>_xll.BDP("544060FR Muni","YTW_SPREAD_TO_MATURITY_AT_ISSU")</f>
        <v>40.987284931506828</v>
      </c>
      <c r="O1071" t="str">
        <f>_xll.BDP("544060FR Muni","BVAL_MID_YTM")</f>
        <v>#N/A Authorization</v>
      </c>
      <c r="P1071" t="str">
        <f>_xll.BDP("544060FR Muni","MUNI_TAX_PROV")</f>
        <v>FED BQ</v>
      </c>
      <c r="Q1071" t="str">
        <f>_xll.BDP("544060FR Muni","MUNI_FED_TAX")</f>
        <v>N</v>
      </c>
      <c r="R1071" t="str">
        <f>_xll.BDP("544060FR Muni","MUNI_MSRB_VOLUME")</f>
        <v>#N/A N/A</v>
      </c>
      <c r="S1071" t="str">
        <f>_xll.BDP("544060FR Muni","BB_COMPOSITE")</f>
        <v>#N/A N/A</v>
      </c>
      <c r="T1071">
        <f>_xll.BDP("544060FR Muni","LQA_LIQUIDITY_SCORE")</f>
        <v>53</v>
      </c>
    </row>
    <row r="1072" spans="1:20" x14ac:dyDescent="0.25">
      <c r="A1072" t="str">
        <f>_xll.BDP("544060FS Muni","ID_CUSIP")</f>
        <v>544060FS0</v>
      </c>
      <c r="B1072" t="s">
        <v>345</v>
      </c>
      <c r="C1072" t="str">
        <f>_xll.BDP("544060FS Muni","INSURANCE_STATUS")</f>
        <v>N</v>
      </c>
      <c r="D1072" t="str">
        <f>_xll.BDP("544060FS Muni","STATE_CODE")</f>
        <v>TX</v>
      </c>
      <c r="E1072" t="str">
        <f>_xll.BDP("544060FS Muni","COUNTY_LOCATION_ISSUER")</f>
        <v>McLennan, TX</v>
      </c>
      <c r="F1072">
        <f>_xll.BDP("544060FS Muni","DUR_ADJ_MID")</f>
        <v>4.1768167572000738</v>
      </c>
      <c r="G1072">
        <f>_xll.BDP("544060FS Muni","SPREAD_AT_ISSUANCE_TO_WORST")</f>
        <v>48.781265753424677</v>
      </c>
      <c r="H1072" t="str">
        <f>_xll.BDP("544060FS Muni","ISSUE_DT")</f>
        <v>12/1/2017</v>
      </c>
      <c r="I1072" t="str">
        <f>_xll.BDS("544060FS Muni","MUNI_PURPOSE_SCHED", "aggregate=y")</f>
        <v>WATER UTILITY IMPS. SEWER IMPS.</v>
      </c>
      <c r="J1072">
        <f>_xll.BDP("544060FS Muni","CPN")</f>
        <v>3</v>
      </c>
      <c r="K1072" t="str">
        <f>_xll.BDP("544060FS Muni","MATURITY")</f>
        <v>2/15/2027</v>
      </c>
      <c r="L1072">
        <v>40000</v>
      </c>
      <c r="M1072">
        <f>_xll.BDP("544060FS Muni","YIELD_ON_ISSUE_DATE")</f>
        <v>2.4500000000000002</v>
      </c>
      <c r="N1072">
        <f>_xll.BDP("544060FS Muni","YTW_SPREAD_TO_MATURITY_AT_ISSU")</f>
        <v>48.781265753424677</v>
      </c>
      <c r="O1072" t="str">
        <f>_xll.BDP("544060FS Muni","BVAL_MID_YTM")</f>
        <v>#N/A Authorization</v>
      </c>
      <c r="P1072" t="str">
        <f>_xll.BDP("544060FS Muni","MUNI_TAX_PROV")</f>
        <v>FED BQ</v>
      </c>
      <c r="Q1072" t="str">
        <f>_xll.BDP("544060FS Muni","MUNI_FED_TAX")</f>
        <v>N</v>
      </c>
      <c r="R1072" t="str">
        <f>_xll.BDP("544060FS Muni","MUNI_MSRB_VOLUME")</f>
        <v>#N/A N/A</v>
      </c>
      <c r="S1072" t="str">
        <f>_xll.BDP("544060FS Muni","BB_COMPOSITE")</f>
        <v>#N/A N/A</v>
      </c>
      <c r="T1072">
        <f>_xll.BDP("544060FS Muni","LQA_LIQUIDITY_SCORE")</f>
        <v>45</v>
      </c>
    </row>
    <row r="1073" spans="1:20" x14ac:dyDescent="0.25">
      <c r="A1073" t="str">
        <f>_xll.BDP("4437262N Muni","ID_CUSIP")</f>
        <v>4437262N3</v>
      </c>
      <c r="B1073" t="s">
        <v>285</v>
      </c>
      <c r="C1073" t="str">
        <f>_xll.BDP("4437262N Muni","INSURANCE_STATUS")</f>
        <v>N</v>
      </c>
      <c r="D1073" t="str">
        <f>_xll.BDP("4437262N Muni","STATE_CODE")</f>
        <v>NJ</v>
      </c>
      <c r="E1073" t="str">
        <f>_xll.BDP("4437262N Muni","COUNTY_LOCATION_ISSUER")</f>
        <v>Hudson, NJ</v>
      </c>
      <c r="F1073">
        <f>_xll.BDP("4437262N Muni","DUR_ADJ_MID")</f>
        <v>3.5721398833299176</v>
      </c>
      <c r="G1073">
        <f>_xll.BDP("4437262N Muni","SPREAD_AT_ISSUANCE_TO_WORST")</f>
        <v>9.4701315112500684</v>
      </c>
      <c r="H1073" t="str">
        <f>_xll.BDP("4437262N Muni","ISSUE_DT")</f>
        <v>7/7/2017</v>
      </c>
      <c r="I1073" t="str">
        <f>_xll.BDS("4437262N Muni","MUNI_PURPOSE_SCHED", "aggregate=y")</f>
        <v>UNIV. &amp; COLLEGE IMPS. WATER UTILITY IMPS.</v>
      </c>
      <c r="J1073">
        <f>_xll.BDP("4437262N Muni","CPN")</f>
        <v>5</v>
      </c>
      <c r="K1073" t="str">
        <f>_xll.BDP("4437262N Muni","MATURITY")</f>
        <v>7/1/2026</v>
      </c>
      <c r="L1073">
        <v>210000</v>
      </c>
      <c r="M1073">
        <f>_xll.BDP("4437262N Muni","YIELD_ON_ISSUE_DATE")</f>
        <v>1.87</v>
      </c>
      <c r="N1073">
        <f>_xll.BDP("4437262N Muni","YTW_SPREAD_TO_MATURITY_AT_ISSU")</f>
        <v>9.4701315112500684</v>
      </c>
      <c r="O1073" t="str">
        <f>_xll.BDP("4437262N Muni","BVAL_MID_YTM")</f>
        <v>#N/A Authorization</v>
      </c>
      <c r="P1073" t="str">
        <f>_xll.BDP("4437262N Muni","MUNI_TAX_PROV")</f>
        <v>FED &amp; ST TAX-EXEMPT</v>
      </c>
      <c r="Q1073" t="str">
        <f>_xll.BDP("4437262N Muni","MUNI_FED_TAX")</f>
        <v>N</v>
      </c>
      <c r="R1073">
        <f>_xll.BDP("4437262N Muni","MUNI_MSRB_VOLUME")</f>
        <v>60000</v>
      </c>
      <c r="S1073" t="str">
        <f>_xll.BDP("4437262N Muni","BB_COMPOSITE")</f>
        <v>#N/A N/A</v>
      </c>
      <c r="T1073">
        <f>_xll.BDP("4437262N Muni","LQA_LIQUIDITY_SCORE")</f>
        <v>67</v>
      </c>
    </row>
    <row r="1074" spans="1:20" x14ac:dyDescent="0.25">
      <c r="A1074" t="str">
        <f>_xll.BDP("443852UP Muni","ID_CUSIP")</f>
        <v>443852UP1</v>
      </c>
      <c r="B1074" t="s">
        <v>286</v>
      </c>
      <c r="C1074" t="str">
        <f>_xll.BDP("443852UP Muni","INSURANCE_STATUS")</f>
        <v>N</v>
      </c>
      <c r="D1074" t="str">
        <f>_xll.BDP("443852UP Muni","STATE_CODE")</f>
        <v>MA</v>
      </c>
      <c r="E1074" t="str">
        <f>_xll.BDP("443852UP Muni","COUNTY_LOCATION_ISSUER")</f>
        <v>Middlesex, MA</v>
      </c>
      <c r="F1074">
        <f>_xll.BDP("443852UP Muni","DUR_ADJ_MID")</f>
        <v>0.81815266456377034</v>
      </c>
      <c r="G1074">
        <f>_xll.BDP("443852UP Muni","SPREAD_AT_ISSUANCE_TO_WORST")</f>
        <v>7.0000282016346782</v>
      </c>
      <c r="H1074" t="str">
        <f>_xll.BDP("443852UP Muni","ISSUE_DT")</f>
        <v>6/15/2017</v>
      </c>
      <c r="I1074" t="str">
        <f>_xll.BDS("443852UP Muni","MUNI_PURPOSE_SCHED", "aggregate=y")</f>
        <v>PUBLIC IMPS. WATER UTILITY IMPS. SEWER IMPS.</v>
      </c>
      <c r="J1074">
        <f>_xll.BDP("443852UP Muni","CPN")</f>
        <v>3</v>
      </c>
      <c r="K1074" t="str">
        <f>_xll.BDP("443852UP Muni","MATURITY")</f>
        <v>6/1/2023</v>
      </c>
      <c r="L1074">
        <v>260000</v>
      </c>
      <c r="M1074">
        <f>_xll.BDP("443852UP Muni","YIELD_ON_ISSUE_DATE")</f>
        <v>1.4000000000000001</v>
      </c>
      <c r="N1074">
        <f>_xll.BDP("443852UP Muni","YTW_SPREAD_TO_MATURITY_AT_ISSU")</f>
        <v>7.0000282016346782</v>
      </c>
      <c r="O1074" t="str">
        <f>_xll.BDP("443852UP Muni","BVAL_MID_YTM")</f>
        <v>#N/A Authorization</v>
      </c>
      <c r="P1074" t="str">
        <f>_xll.BDP("443852UP Muni","MUNI_TAX_PROV")</f>
        <v>FED BQ/ST TAX-EXEMPT</v>
      </c>
      <c r="Q1074" t="str">
        <f>_xll.BDP("443852UP Muni","MUNI_FED_TAX")</f>
        <v>N</v>
      </c>
      <c r="R1074" t="str">
        <f>_xll.BDP("443852UP Muni","MUNI_MSRB_VOLUME")</f>
        <v>#N/A N/A</v>
      </c>
      <c r="S1074" t="str">
        <f>_xll.BDP("443852UP Muni","BB_COMPOSITE")</f>
        <v>#N/A N/A</v>
      </c>
      <c r="T1074">
        <f>_xll.BDP("443852UP Muni","LQA_LIQUIDITY_SCORE")</f>
        <v>91</v>
      </c>
    </row>
    <row r="1075" spans="1:20" x14ac:dyDescent="0.25">
      <c r="A1075" t="str">
        <f>_xll.BDP("260183F8 Muni","ID_CUSIP")</f>
        <v>260183F86</v>
      </c>
      <c r="B1075" t="s">
        <v>346</v>
      </c>
      <c r="C1075" t="str">
        <f>_xll.BDP("260183F8 Muni","INSURANCE_STATUS")</f>
        <v>N</v>
      </c>
      <c r="D1075" t="str">
        <f>_xll.BDP("260183F8 Muni","STATE_CODE")</f>
        <v>NH</v>
      </c>
      <c r="E1075" t="str">
        <f>_xll.BDP("260183F8 Muni","COUNTY_LOCATION_ISSUER")</f>
        <v>Strafford, NH</v>
      </c>
      <c r="F1075">
        <f>_xll.BDP("260183F8 Muni","DUR_ADJ_MID")</f>
        <v>1.3412573837335959</v>
      </c>
      <c r="G1075">
        <f>_xll.BDP("260183F8 Muni","SPREAD_AT_ISSUANCE_TO_WORST")</f>
        <v>-3.0432328767123318</v>
      </c>
      <c r="H1075" t="str">
        <f>_xll.BDP("260183F8 Muni","ISSUE_DT")</f>
        <v>11/30/2017</v>
      </c>
      <c r="I1075" t="str">
        <f>_xll.BDS("260183F8 Muni","MUNI_PURPOSE_SCHED", "aggregate=y")</f>
        <v>PUBLIC IMPS. SEWER IMPS. WATER UTILITY IMPS.</v>
      </c>
      <c r="J1075">
        <f>_xll.BDP("260183F8 Muni","CPN")</f>
        <v>2.5</v>
      </c>
      <c r="K1075" t="str">
        <f>_xll.BDP("260183F8 Muni","MATURITY")</f>
        <v>12/15/2023</v>
      </c>
      <c r="L1075">
        <v>530000</v>
      </c>
      <c r="M1075">
        <f>_xll.BDP("260183F8 Muni","YIELD_ON_ISSUE_DATE")</f>
        <v>1.53</v>
      </c>
      <c r="N1075">
        <f>_xll.BDP("260183F8 Muni","YTW_SPREAD_TO_MATURITY_AT_ISSU")</f>
        <v>-3.0432328767123318</v>
      </c>
      <c r="O1075" t="str">
        <f>_xll.BDP("260183F8 Muni","BVAL_MID_YTM")</f>
        <v>#N/A Authorization</v>
      </c>
      <c r="P1075" t="str">
        <f>_xll.BDP("260183F8 Muni","MUNI_TAX_PROV")</f>
        <v>FED &amp; ST TAX-EXEMPT</v>
      </c>
      <c r="Q1075" t="str">
        <f>_xll.BDP("260183F8 Muni","MUNI_FED_TAX")</f>
        <v>N</v>
      </c>
      <c r="R1075" t="str">
        <f>_xll.BDP("260183F8 Muni","MUNI_MSRB_VOLUME")</f>
        <v>#N/A N/A</v>
      </c>
      <c r="S1075" t="str">
        <f>_xll.BDP("260183F8 Muni","BB_COMPOSITE")</f>
        <v>#N/A N/A</v>
      </c>
      <c r="T1075">
        <f>_xll.BDP("260183F8 Muni","LQA_LIQUIDITY_SCORE")</f>
        <v>81</v>
      </c>
    </row>
    <row r="1076" spans="1:20" x14ac:dyDescent="0.25">
      <c r="A1076" t="str">
        <f>_xll.BDP("260183F9 Muni","ID_CUSIP")</f>
        <v>260183F94</v>
      </c>
      <c r="B1076" t="s">
        <v>346</v>
      </c>
      <c r="C1076" t="str">
        <f>_xll.BDP("260183F9 Muni","INSURANCE_STATUS")</f>
        <v>N</v>
      </c>
      <c r="D1076" t="str">
        <f>_xll.BDP("260183F9 Muni","STATE_CODE")</f>
        <v>NH</v>
      </c>
      <c r="E1076" t="str">
        <f>_xll.BDP("260183F9 Muni","COUNTY_LOCATION_ISSUER")</f>
        <v>Strafford, NH</v>
      </c>
      <c r="F1076">
        <f>_xll.BDP("260183F9 Muni","DUR_ADJ_MID")</f>
        <v>2.2372142916556315</v>
      </c>
      <c r="G1076">
        <f>_xll.BDP("260183F9 Muni","SPREAD_AT_ISSUANCE_TO_WORST")</f>
        <v>-4.2115068493150831</v>
      </c>
      <c r="H1076" t="str">
        <f>_xll.BDP("260183F9 Muni","ISSUE_DT")</f>
        <v>11/30/2017</v>
      </c>
      <c r="I1076" t="str">
        <f>_xll.BDS("260183F9 Muni","MUNI_PURPOSE_SCHED", "aggregate=y")</f>
        <v>PUBLIC IMPS. SEWER IMPS. WATER UTILITY IMPS.</v>
      </c>
      <c r="J1076">
        <f>_xll.BDP("260183F9 Muni","CPN")</f>
        <v>5</v>
      </c>
      <c r="K1076" t="str">
        <f>_xll.BDP("260183F9 Muni","MATURITY")</f>
        <v>12/15/2024</v>
      </c>
      <c r="L1076">
        <v>525000</v>
      </c>
      <c r="M1076">
        <f>_xll.BDP("260183F9 Muni","YIELD_ON_ISSUE_DATE")</f>
        <v>1.6300000000000001</v>
      </c>
      <c r="N1076">
        <f>_xll.BDP("260183F9 Muni","YTW_SPREAD_TO_MATURITY_AT_ISSU")</f>
        <v>-4.2115068493150831</v>
      </c>
      <c r="O1076" t="str">
        <f>_xll.BDP("260183F9 Muni","BVAL_MID_YTM")</f>
        <v>#N/A Authorization</v>
      </c>
      <c r="P1076" t="str">
        <f>_xll.BDP("260183F9 Muni","MUNI_TAX_PROV")</f>
        <v>FED &amp; ST TAX-EXEMPT</v>
      </c>
      <c r="Q1076" t="str">
        <f>_xll.BDP("260183F9 Muni","MUNI_FED_TAX")</f>
        <v>N</v>
      </c>
      <c r="R1076" t="str">
        <f>_xll.BDP("260183F9 Muni","MUNI_MSRB_VOLUME")</f>
        <v>#N/A N/A</v>
      </c>
      <c r="S1076" t="str">
        <f>_xll.BDP("260183F9 Muni","BB_COMPOSITE")</f>
        <v>#N/A N/A</v>
      </c>
      <c r="T1076">
        <f>_xll.BDP("260183F9 Muni","LQA_LIQUIDITY_SCORE")</f>
        <v>84</v>
      </c>
    </row>
    <row r="1077" spans="1:20" x14ac:dyDescent="0.25">
      <c r="A1077" t="str">
        <f>_xll.BDP("260183G2 Muni","ID_CUSIP")</f>
        <v>260183G28</v>
      </c>
      <c r="B1077" t="s">
        <v>346</v>
      </c>
      <c r="C1077" t="str">
        <f>_xll.BDP("260183G2 Muni","INSURANCE_STATUS")</f>
        <v>N</v>
      </c>
      <c r="D1077" t="str">
        <f>_xll.BDP("260183G2 Muni","STATE_CODE")</f>
        <v>NH</v>
      </c>
      <c r="E1077" t="str">
        <f>_xll.BDP("260183G2 Muni","COUNTY_LOCATION_ISSUER")</f>
        <v>Strafford, NH</v>
      </c>
      <c r="F1077">
        <f>_xll.BDP("260183G2 Muni","DUR_ADJ_MID")</f>
        <v>3.1111566367220731</v>
      </c>
      <c r="G1077">
        <f>_xll.BDP("260183G2 Muni","SPREAD_AT_ISSUANCE_TO_WORST")</f>
        <v>-2.2299315068493142</v>
      </c>
      <c r="H1077" t="str">
        <f>_xll.BDP("260183G2 Muni","ISSUE_DT")</f>
        <v>11/30/2017</v>
      </c>
      <c r="I1077" t="str">
        <f>_xll.BDS("260183G2 Muni","MUNI_PURPOSE_SCHED", "aggregate=y")</f>
        <v>PUBLIC IMPS. SEWER IMPS. WATER UTILITY IMPS.</v>
      </c>
      <c r="J1077">
        <f>_xll.BDP("260183G2 Muni","CPN")</f>
        <v>5</v>
      </c>
      <c r="K1077" t="str">
        <f>_xll.BDP("260183G2 Muni","MATURITY")</f>
        <v>12/15/2025</v>
      </c>
      <c r="L1077">
        <v>525000</v>
      </c>
      <c r="M1077">
        <f>_xll.BDP("260183G2 Muni","YIELD_ON_ISSUE_DATE")</f>
        <v>1.76</v>
      </c>
      <c r="N1077">
        <f>_xll.BDP("260183G2 Muni","YTW_SPREAD_TO_MATURITY_AT_ISSU")</f>
        <v>-2.2299315068493142</v>
      </c>
      <c r="O1077" t="str">
        <f>_xll.BDP("260183G2 Muni","BVAL_MID_YTM")</f>
        <v>#N/A Authorization</v>
      </c>
      <c r="P1077" t="str">
        <f>_xll.BDP("260183G2 Muni","MUNI_TAX_PROV")</f>
        <v>FED &amp; ST TAX-EXEMPT</v>
      </c>
      <c r="Q1077" t="str">
        <f>_xll.BDP("260183G2 Muni","MUNI_FED_TAX")</f>
        <v>N</v>
      </c>
      <c r="R1077" t="str">
        <f>_xll.BDP("260183G2 Muni","MUNI_MSRB_VOLUME")</f>
        <v>#N/A N/A</v>
      </c>
      <c r="S1077" t="str">
        <f>_xll.BDP("260183G2 Muni","BB_COMPOSITE")</f>
        <v>#N/A N/A</v>
      </c>
      <c r="T1077">
        <f>_xll.BDP("260183G2 Muni","LQA_LIQUIDITY_SCORE")</f>
        <v>77</v>
      </c>
    </row>
    <row r="1078" spans="1:20" x14ac:dyDescent="0.25">
      <c r="A1078" t="str">
        <f>_xll.BDP("260183G3 Muni","ID_CUSIP")</f>
        <v>260183G36</v>
      </c>
      <c r="B1078" t="s">
        <v>346</v>
      </c>
      <c r="C1078" t="str">
        <f>_xll.BDP("260183G3 Muni","INSURANCE_STATUS")</f>
        <v>N</v>
      </c>
      <c r="D1078" t="str">
        <f>_xll.BDP("260183G3 Muni","STATE_CODE")</f>
        <v>NH</v>
      </c>
      <c r="E1078" t="str">
        <f>_xll.BDP("260183G3 Muni","COUNTY_LOCATION_ISSUER")</f>
        <v>Strafford, NH</v>
      </c>
      <c r="F1078">
        <f>_xll.BDP("260183G3 Muni","DUR_ADJ_MID")</f>
        <v>3.9490401384150657</v>
      </c>
      <c r="G1078">
        <f>_xll.BDP("260183G3 Muni","SPREAD_AT_ISSUANCE_TO_WORST")</f>
        <v>0.50663013698628578</v>
      </c>
      <c r="H1078" t="str">
        <f>_xll.BDP("260183G3 Muni","ISSUE_DT")</f>
        <v>11/30/2017</v>
      </c>
      <c r="I1078" t="str">
        <f>_xll.BDS("260183G3 Muni","MUNI_PURPOSE_SCHED", "aggregate=y")</f>
        <v>PUBLIC IMPS. SEWER IMPS. WATER UTILITY IMPS.</v>
      </c>
      <c r="J1078">
        <f>_xll.BDP("260183G3 Muni","CPN")</f>
        <v>5</v>
      </c>
      <c r="K1078" t="str">
        <f>_xll.BDP("260183G3 Muni","MATURITY")</f>
        <v>12/15/2026</v>
      </c>
      <c r="L1078">
        <v>525000</v>
      </c>
      <c r="M1078">
        <f>_xll.BDP("260183G3 Muni","YIELD_ON_ISSUE_DATE")</f>
        <v>1.05</v>
      </c>
      <c r="N1078">
        <f>_xll.BDP("260183G3 Muni","YTW_SPREAD_TO_MATURITY_AT_ISSU")</f>
        <v>0.50663013698628578</v>
      </c>
      <c r="O1078" t="str">
        <f>_xll.BDP("260183G3 Muni","BVAL_MID_YTM")</f>
        <v>#N/A Authorization</v>
      </c>
      <c r="P1078" t="str">
        <f>_xll.BDP("260183G3 Muni","MUNI_TAX_PROV")</f>
        <v>FED &amp; ST TAX-EXEMPT</v>
      </c>
      <c r="Q1078" t="str">
        <f>_xll.BDP("260183G3 Muni","MUNI_FED_TAX")</f>
        <v>N</v>
      </c>
      <c r="R1078" t="str">
        <f>_xll.BDP("260183G3 Muni","MUNI_MSRB_VOLUME")</f>
        <v>#N/A N/A</v>
      </c>
      <c r="S1078" t="str">
        <f>_xll.BDP("260183G3 Muni","BB_COMPOSITE")</f>
        <v>#N/A N/A</v>
      </c>
      <c r="T1078">
        <f>_xll.BDP("260183G3 Muni","LQA_LIQUIDITY_SCORE")</f>
        <v>71</v>
      </c>
    </row>
    <row r="1079" spans="1:20" x14ac:dyDescent="0.25">
      <c r="A1079" t="str">
        <f>_xll.BDP("260183G4 Muni","ID_CUSIP")</f>
        <v>260183G44</v>
      </c>
      <c r="B1079" t="s">
        <v>346</v>
      </c>
      <c r="C1079" t="str">
        <f>_xll.BDP("260183G4 Muni","INSURANCE_STATUS")</f>
        <v>N</v>
      </c>
      <c r="D1079" t="str">
        <f>_xll.BDP("260183G4 Muni","STATE_CODE")</f>
        <v>NH</v>
      </c>
      <c r="E1079" t="str">
        <f>_xll.BDP("260183G4 Muni","COUNTY_LOCATION_ISSUER")</f>
        <v>Strafford, NH</v>
      </c>
      <c r="F1079">
        <f>_xll.BDP("260183G4 Muni","DUR_ADJ_MID")</f>
        <v>4.7534289340621338</v>
      </c>
      <c r="G1079">
        <f>_xll.BDP("260183G4 Muni","SPREAD_AT_ISSUANCE_TO_WORST")</f>
        <v>5.1651369863013663</v>
      </c>
      <c r="H1079" t="str">
        <f>_xll.BDP("260183G4 Muni","ISSUE_DT")</f>
        <v>11/30/2017</v>
      </c>
      <c r="I1079" t="str">
        <f>_xll.BDS("260183G4 Muni","MUNI_PURPOSE_SCHED", "aggregate=y")</f>
        <v>PUBLIC IMPS. SEWER IMPS. WATER UTILITY IMPS.</v>
      </c>
      <c r="J1079">
        <f>_xll.BDP("260183G4 Muni","CPN")</f>
        <v>5</v>
      </c>
      <c r="K1079" t="str">
        <f>_xll.BDP("260183G4 Muni","MATURITY")</f>
        <v>12/15/2027</v>
      </c>
      <c r="L1079">
        <v>525000</v>
      </c>
      <c r="M1079">
        <f>_xll.BDP("260183G4 Muni","YIELD_ON_ISSUE_DATE")</f>
        <v>2</v>
      </c>
      <c r="N1079">
        <f>_xll.BDP("260183G4 Muni","YTW_SPREAD_TO_MATURITY_AT_ISSU")</f>
        <v>5.1651369863013663</v>
      </c>
      <c r="O1079" t="str">
        <f>_xll.BDP("260183G4 Muni","BVAL_MID_YTM")</f>
        <v>#N/A Authorization</v>
      </c>
      <c r="P1079" t="str">
        <f>_xll.BDP("260183G4 Muni","MUNI_TAX_PROV")</f>
        <v>FED &amp; ST TAX-EXEMPT</v>
      </c>
      <c r="Q1079" t="str">
        <f>_xll.BDP("260183G4 Muni","MUNI_FED_TAX")</f>
        <v>N</v>
      </c>
      <c r="R1079" t="str">
        <f>_xll.BDP("260183G4 Muni","MUNI_MSRB_VOLUME")</f>
        <v>#N/A N/A</v>
      </c>
      <c r="S1079" t="str">
        <f>_xll.BDP("260183G4 Muni","BB_COMPOSITE")</f>
        <v>#N/A N/A</v>
      </c>
      <c r="T1079">
        <f>_xll.BDP("260183G4 Muni","LQA_LIQUIDITY_SCORE")</f>
        <v>66</v>
      </c>
    </row>
    <row r="1080" spans="1:20" x14ac:dyDescent="0.25">
      <c r="A1080" t="str">
        <f>_xll.BDP("260655MB Muni","ID_CUSIP")</f>
        <v>260655MB8</v>
      </c>
      <c r="B1080" t="s">
        <v>347</v>
      </c>
      <c r="C1080" t="str">
        <f>_xll.BDP("260655MB Muni","INSURANCE_STATUS")</f>
        <v>Y</v>
      </c>
      <c r="D1080" t="str">
        <f>_xll.BDP("260655MB Muni","STATE_CODE")</f>
        <v>TX</v>
      </c>
      <c r="E1080" t="str">
        <f>_xll.BDP("260655MB Muni","COUNTY_LOCATION_ISSUER")</f>
        <v>Harris, TX</v>
      </c>
      <c r="F1080">
        <f>_xll.BDP("260655MB Muni","DUR_ADJ_MID")</f>
        <v>1.0398966960556724</v>
      </c>
      <c r="G1080">
        <f>_xll.BDP("260655MB Muni","SPREAD_AT_ISSUANCE_TO_WORST")</f>
        <v>45.784852054794499</v>
      </c>
      <c r="H1080" t="str">
        <f>_xll.BDP("260655MB Muni","ISSUE_DT")</f>
        <v>12/1/2017</v>
      </c>
      <c r="I1080" t="str">
        <f>_xll.BDS("260655MB Muni","MUNI_PURPOSE_SCHED", "aggregate=y")</f>
        <v>PUBLIC IMPS. WATER UTILITY IMPS. SEWER IMPS.</v>
      </c>
      <c r="J1080">
        <f>_xll.BDP("260655MB Muni","CPN")</f>
        <v>4.5</v>
      </c>
      <c r="K1080" t="str">
        <f>_xll.BDP("260655MB Muni","MATURITY")</f>
        <v>9/1/2023</v>
      </c>
      <c r="L1080">
        <v>500000</v>
      </c>
      <c r="M1080">
        <f>_xll.BDP("260655MB Muni","YIELD_ON_ISSUE_DATE")</f>
        <v>2.0699999999999998</v>
      </c>
      <c r="N1080">
        <f>_xll.BDP("260655MB Muni","YTW_SPREAD_TO_MATURITY_AT_ISSU")</f>
        <v>45.784852054794499</v>
      </c>
      <c r="O1080" t="str">
        <f>_xll.BDP("260655MB Muni","BVAL_MID_YTM")</f>
        <v>#N/A Authorization</v>
      </c>
      <c r="P1080" t="str">
        <f>_xll.BDP("260655MB Muni","MUNI_TAX_PROV")</f>
        <v>FED TAX-EXEMPT</v>
      </c>
      <c r="Q1080" t="str">
        <f>_xll.BDP("260655MB Muni","MUNI_FED_TAX")</f>
        <v>N</v>
      </c>
      <c r="R1080" t="str">
        <f>_xll.BDP("260655MB Muni","MUNI_MSRB_VOLUME")</f>
        <v>#N/A N/A</v>
      </c>
      <c r="S1080" t="str">
        <f>_xll.BDP("260655MB Muni","BB_COMPOSITE")</f>
        <v>A+</v>
      </c>
      <c r="T1080">
        <f>_xll.BDP("260655MB Muni","LQA_LIQUIDITY_SCORE")</f>
        <v>90</v>
      </c>
    </row>
    <row r="1081" spans="1:20" x14ac:dyDescent="0.25">
      <c r="A1081" t="str">
        <f>_xll.BDP("39238R7B Muni","ID_CUSIP")</f>
        <v>39238R7B2</v>
      </c>
      <c r="B1081" t="s">
        <v>348</v>
      </c>
      <c r="C1081" t="str">
        <f>_xll.BDP("39238R7B Muni","INSURANCE_STATUS")</f>
        <v>Y</v>
      </c>
      <c r="D1081" t="str">
        <f>_xll.BDP("39238R7B Muni","STATE_CODE")</f>
        <v>TX</v>
      </c>
      <c r="E1081" t="str">
        <f>_xll.BDP("39238R7B Muni","COUNTY_LOCATION_ISSUER")</f>
        <v>Grayson, TX</v>
      </c>
      <c r="F1081">
        <f>_xll.BDP("39238R7B Muni","DUR_ADJ_MID")</f>
        <v>1.1409175584101237</v>
      </c>
      <c r="G1081">
        <f>_xll.BDP("39238R7B Muni","SPREAD_AT_ISSUANCE_TO_WORST")</f>
        <v>29.883652094466683</v>
      </c>
      <c r="H1081" t="str">
        <f>_xll.BDP("39238R7B Muni","ISSUE_DT")</f>
        <v>6/29/2017</v>
      </c>
      <c r="I1081" t="str">
        <f>_xll.BDS("39238R7B Muni","MUNI_PURPOSE_SCHED", "aggregate=y")</f>
        <v>WATER UTILITY IMPS. SEWER IMPS.</v>
      </c>
      <c r="J1081">
        <f>_xll.BDP("39238R7B Muni","CPN")</f>
        <v>2</v>
      </c>
      <c r="K1081" t="str">
        <f>_xll.BDP("39238R7B Muni","MATURITY")</f>
        <v>10/1/2023</v>
      </c>
      <c r="L1081">
        <v>280000</v>
      </c>
      <c r="M1081">
        <f>_xll.BDP("39238R7B Muni","YIELD_ON_ISSUE_DATE")</f>
        <v>1.7000000000000002</v>
      </c>
      <c r="N1081">
        <f>_xll.BDP("39238R7B Muni","YTW_SPREAD_TO_MATURITY_AT_ISSU")</f>
        <v>29.883652094466683</v>
      </c>
      <c r="O1081" t="str">
        <f>_xll.BDP("39238R7B Muni","BVAL_MID_YTM")</f>
        <v>#N/A Authorization</v>
      </c>
      <c r="P1081" t="str">
        <f>_xll.BDP("39238R7B Muni","MUNI_TAX_PROV")</f>
        <v>FED TAX-EXEMPT</v>
      </c>
      <c r="Q1081" t="str">
        <f>_xll.BDP("39238R7B Muni","MUNI_FED_TAX")</f>
        <v>N</v>
      </c>
      <c r="R1081" t="str">
        <f>_xll.BDP("39238R7B Muni","MUNI_MSRB_VOLUME")</f>
        <v>#N/A N/A</v>
      </c>
      <c r="S1081" t="str">
        <f>_xll.BDP("39238R7B Muni","BB_COMPOSITE")</f>
        <v>#N/A N/A</v>
      </c>
      <c r="T1081">
        <f>_xll.BDP("39238R7B Muni","LQA_LIQUIDITY_SCORE")</f>
        <v>81</v>
      </c>
    </row>
    <row r="1082" spans="1:20" x14ac:dyDescent="0.25">
      <c r="A1082" t="str">
        <f>_xll.BDP("39238R7D Muni","ID_CUSIP")</f>
        <v>39238R7D8</v>
      </c>
      <c r="B1082" t="s">
        <v>348</v>
      </c>
      <c r="C1082" t="str">
        <f>_xll.BDP("39238R7D Muni","INSURANCE_STATUS")</f>
        <v>Y</v>
      </c>
      <c r="D1082" t="str">
        <f>_xll.BDP("39238R7D Muni","STATE_CODE")</f>
        <v>TX</v>
      </c>
      <c r="E1082" t="str">
        <f>_xll.BDP("39238R7D Muni","COUNTY_LOCATION_ISSUER")</f>
        <v>Grayson, TX</v>
      </c>
      <c r="F1082">
        <f>_xll.BDP("39238R7D Muni","DUR_ADJ_MID")</f>
        <v>2.9465101445008011</v>
      </c>
      <c r="G1082">
        <f>_xll.BDP("39238R7D Muni","SPREAD_AT_ISSUANCE_TO_WORST")</f>
        <v>31.6559803960875</v>
      </c>
      <c r="H1082" t="str">
        <f>_xll.BDP("39238R7D Muni","ISSUE_DT")</f>
        <v>6/29/2017</v>
      </c>
      <c r="I1082" t="str">
        <f>_xll.BDS("39238R7D Muni","MUNI_PURPOSE_SCHED", "aggregate=y")</f>
        <v>WATER UTILITY IMPS. SEWER IMPS.</v>
      </c>
      <c r="J1082">
        <f>_xll.BDP("39238R7D Muni","CPN")</f>
        <v>4</v>
      </c>
      <c r="K1082" t="str">
        <f>_xll.BDP("39238R7D Muni","MATURITY")</f>
        <v>10/1/2025</v>
      </c>
      <c r="L1082">
        <v>300000</v>
      </c>
      <c r="M1082">
        <f>_xll.BDP("39238R7D Muni","YIELD_ON_ISSUE_DATE")</f>
        <v>2.0300000000000002</v>
      </c>
      <c r="N1082">
        <f>_xll.BDP("39238R7D Muni","YTW_SPREAD_TO_MATURITY_AT_ISSU")</f>
        <v>31.6559803960875</v>
      </c>
      <c r="O1082" t="str">
        <f>_xll.BDP("39238R7D Muni","BVAL_MID_YTM")</f>
        <v>#N/A Authorization</v>
      </c>
      <c r="P1082" t="str">
        <f>_xll.BDP("39238R7D Muni","MUNI_TAX_PROV")</f>
        <v>FED TAX-EXEMPT</v>
      </c>
      <c r="Q1082" t="str">
        <f>_xll.BDP("39238R7D Muni","MUNI_FED_TAX")</f>
        <v>N</v>
      </c>
      <c r="R1082">
        <f>_xll.BDP("39238R7D Muni","MUNI_MSRB_VOLUME")</f>
        <v>50000</v>
      </c>
      <c r="S1082" t="str">
        <f>_xll.BDP("39238R7D Muni","BB_COMPOSITE")</f>
        <v>#N/A N/A</v>
      </c>
      <c r="T1082">
        <f>_xll.BDP("39238R7D Muni","LQA_LIQUIDITY_SCORE")</f>
        <v>72</v>
      </c>
    </row>
    <row r="1083" spans="1:20" x14ac:dyDescent="0.25">
      <c r="A1083" t="str">
        <f>_xll.BDP("265705EQ Muni","ID_CUSIP")</f>
        <v>265705EQ2</v>
      </c>
      <c r="B1083" t="s">
        <v>240</v>
      </c>
      <c r="C1083" t="str">
        <f>_xll.BDP("265705EQ Muni","INSURANCE_STATUS")</f>
        <v>N</v>
      </c>
      <c r="D1083" t="str">
        <f>_xll.BDP("265705EQ Muni","STATE_CODE")</f>
        <v>TN</v>
      </c>
      <c r="E1083" t="str">
        <f>_xll.BDP("265705EQ Muni","COUNTY_LOCATION_ISSUER")</f>
        <v>Davidson, TN</v>
      </c>
      <c r="F1083">
        <f>_xll.BDP("265705EQ Muni","DUR_ADJ_MID")</f>
        <v>0.57179374328892618</v>
      </c>
      <c r="G1083">
        <f>_xll.BDP("265705EQ Muni","SPREAD_AT_ISSUANCE_TO_WORST")</f>
        <v>22.207005120345947</v>
      </c>
      <c r="H1083" t="str">
        <f>_xll.BDP("265705EQ Muni","ISSUE_DT")</f>
        <v>10/5/2017</v>
      </c>
      <c r="I1083" t="str">
        <f>_xll.BDS("265705EQ Muni","MUNI_PURPOSE_SCHED", "aggregate=y")</f>
        <v>PUBLIC IMPS. WATER UTILITY IMPS. SEWER IMPS.</v>
      </c>
      <c r="J1083">
        <f>_xll.BDP("265705EQ Muni","CPN")</f>
        <v>2</v>
      </c>
      <c r="K1083" t="str">
        <f>_xll.BDP("265705EQ Muni","MATURITY")</f>
        <v>3/1/2023</v>
      </c>
      <c r="L1083">
        <v>75000</v>
      </c>
      <c r="M1083">
        <f>_xll.BDP("265705EQ Muni","YIELD_ON_ISSUE_DATE")</f>
        <v>1.45</v>
      </c>
      <c r="N1083">
        <f>_xll.BDP("265705EQ Muni","YTW_SPREAD_TO_MATURITY_AT_ISSU")</f>
        <v>22.207005120345947</v>
      </c>
      <c r="O1083" t="str">
        <f>_xll.BDP("265705EQ Muni","BVAL_MID_YTM")</f>
        <v>#N/A Authorization</v>
      </c>
      <c r="P1083" t="str">
        <f>_xll.BDP("265705EQ Muni","MUNI_TAX_PROV")</f>
        <v>FED BQ/ST TAX-EXEMPT</v>
      </c>
      <c r="Q1083" t="str">
        <f>_xll.BDP("265705EQ Muni","MUNI_FED_TAX")</f>
        <v>N</v>
      </c>
      <c r="R1083" t="str">
        <f>_xll.BDP("265705EQ Muni","MUNI_MSRB_VOLUME")</f>
        <v>#N/A N/A</v>
      </c>
      <c r="S1083" t="str">
        <f>_xll.BDP("265705EQ Muni","BB_COMPOSITE")</f>
        <v>AA-</v>
      </c>
      <c r="T1083">
        <f>_xll.BDP("265705EQ Muni","LQA_LIQUIDITY_SCORE")</f>
        <v>72</v>
      </c>
    </row>
    <row r="1084" spans="1:20" x14ac:dyDescent="0.25">
      <c r="A1084" t="str">
        <f>_xll.BDP("559315BA Muni","ID_CUSIP")</f>
        <v>559315BA3</v>
      </c>
      <c r="B1084" t="s">
        <v>349</v>
      </c>
      <c r="C1084" t="str">
        <f>_xll.BDP("559315BA Muni","INSURANCE_STATUS")</f>
        <v>N</v>
      </c>
      <c r="D1084" t="str">
        <f>_xll.BDP("559315BA Muni","STATE_CODE")</f>
        <v>UT</v>
      </c>
      <c r="E1084" t="str">
        <f>_xll.BDP("559315BA Muni","COUNTY_LOCATION_ISSUER")</f>
        <v>Salt Lake, UT</v>
      </c>
      <c r="F1084">
        <f>_xll.BDP("559315BA Muni","DUR_ADJ_MID")</f>
        <v>0.81576413172142981</v>
      </c>
      <c r="G1084">
        <f>_xll.BDP("559315BA Muni","SPREAD_AT_ISSUANCE_TO_WORST")</f>
        <v>7.9787169827806315</v>
      </c>
      <c r="H1084" t="str">
        <f>_xll.BDP("559315BA Muni","ISSUE_DT")</f>
        <v>9/20/2017</v>
      </c>
      <c r="I1084" t="str">
        <f>_xll.BDS("559315BA Muni","MUNI_PURPOSE_SCHED", "aggregate=y")</f>
        <v>PUBLIC IMPS. WATER UTILITY IMPS. SEWER IMPS.</v>
      </c>
      <c r="J1084">
        <f>_xll.BDP("559315BA Muni","CPN")</f>
        <v>4</v>
      </c>
      <c r="K1084" t="str">
        <f>_xll.BDP("559315BA Muni","MATURITY")</f>
        <v>6/1/2023</v>
      </c>
      <c r="L1084">
        <v>585000</v>
      </c>
      <c r="M1084">
        <f>_xll.BDP("559315BA Muni","YIELD_ON_ISSUE_DATE")</f>
        <v>1.29</v>
      </c>
      <c r="N1084">
        <f>_xll.BDP("559315BA Muni","YTW_SPREAD_TO_MATURITY_AT_ISSU")</f>
        <v>7.9787169827806315</v>
      </c>
      <c r="O1084" t="str">
        <f>_xll.BDP("559315BA Muni","BVAL_MID_YTM")</f>
        <v>#N/A Authorization</v>
      </c>
      <c r="P1084" t="str">
        <f>_xll.BDP("559315BA Muni","MUNI_TAX_PROV")</f>
        <v>FED &amp; ST TAX-EXEMPT</v>
      </c>
      <c r="Q1084" t="str">
        <f>_xll.BDP("559315BA Muni","MUNI_FED_TAX")</f>
        <v>N</v>
      </c>
      <c r="R1084" t="str">
        <f>_xll.BDP("559315BA Muni","MUNI_MSRB_VOLUME")</f>
        <v>#N/A N/A</v>
      </c>
      <c r="S1084" t="str">
        <f>_xll.BDP("559315BA Muni","BB_COMPOSITE")</f>
        <v>#N/A N/A</v>
      </c>
      <c r="T1084">
        <f>_xll.BDP("559315BA Muni","LQA_LIQUIDITY_SCORE")</f>
        <v>89</v>
      </c>
    </row>
    <row r="1085" spans="1:20" x14ac:dyDescent="0.25">
      <c r="A1085" t="str">
        <f>_xll.BDP("559315BB Muni","ID_CUSIP")</f>
        <v>559315BB1</v>
      </c>
      <c r="B1085" t="s">
        <v>349</v>
      </c>
      <c r="C1085" t="str">
        <f>_xll.BDP("559315BB Muni","INSURANCE_STATUS")</f>
        <v>N</v>
      </c>
      <c r="D1085" t="str">
        <f>_xll.BDP("559315BB Muni","STATE_CODE")</f>
        <v>UT</v>
      </c>
      <c r="E1085" t="str">
        <f>_xll.BDP("559315BB Muni","COUNTY_LOCATION_ISSUER")</f>
        <v>Salt Lake, UT</v>
      </c>
      <c r="F1085">
        <f>_xll.BDP("559315BB Muni","DUR_ADJ_MID")</f>
        <v>1.7599669869329062</v>
      </c>
      <c r="G1085">
        <f>_xll.BDP("559315BB Muni","SPREAD_AT_ISSUANCE_TO_WORST")</f>
        <v>7.9324228063157864</v>
      </c>
      <c r="H1085" t="str">
        <f>_xll.BDP("559315BB Muni","ISSUE_DT")</f>
        <v>9/20/2017</v>
      </c>
      <c r="I1085" t="str">
        <f>_xll.BDS("559315BB Muni","MUNI_PURPOSE_SCHED", "aggregate=y")</f>
        <v>PUBLIC IMPS. WATER UTILITY IMPS. SEWER IMPS.</v>
      </c>
      <c r="J1085">
        <f>_xll.BDP("559315BB Muni","CPN")</f>
        <v>4</v>
      </c>
      <c r="K1085" t="str">
        <f>_xll.BDP("559315BB Muni","MATURITY")</f>
        <v>6/1/2024</v>
      </c>
      <c r="L1085">
        <v>610000</v>
      </c>
      <c r="M1085">
        <f>_xll.BDP("559315BB Muni","YIELD_ON_ISSUE_DATE")</f>
        <v>1.44</v>
      </c>
      <c r="N1085">
        <f>_xll.BDP("559315BB Muni","YTW_SPREAD_TO_MATURITY_AT_ISSU")</f>
        <v>7.9324228063157864</v>
      </c>
      <c r="O1085" t="str">
        <f>_xll.BDP("559315BB Muni","BVAL_MID_YTM")</f>
        <v>#N/A Authorization</v>
      </c>
      <c r="P1085" t="str">
        <f>_xll.BDP("559315BB Muni","MUNI_TAX_PROV")</f>
        <v>FED &amp; ST TAX-EXEMPT</v>
      </c>
      <c r="Q1085" t="str">
        <f>_xll.BDP("559315BB Muni","MUNI_FED_TAX")</f>
        <v>N</v>
      </c>
      <c r="R1085" t="str">
        <f>_xll.BDP("559315BB Muni","MUNI_MSRB_VOLUME")</f>
        <v>#N/A N/A</v>
      </c>
      <c r="S1085" t="str">
        <f>_xll.BDP("559315BB Muni","BB_COMPOSITE")</f>
        <v>#N/A N/A</v>
      </c>
      <c r="T1085">
        <f>_xll.BDP("559315BB Muni","LQA_LIQUIDITY_SCORE")</f>
        <v>81</v>
      </c>
    </row>
    <row r="1086" spans="1:20" x14ac:dyDescent="0.25">
      <c r="A1086" t="str">
        <f>_xll.BDP("559315BC Muni","ID_CUSIP")</f>
        <v>559315BC9</v>
      </c>
      <c r="B1086" t="s">
        <v>349</v>
      </c>
      <c r="C1086" t="str">
        <f>_xll.BDP("559315BC Muni","INSURANCE_STATUS")</f>
        <v>N</v>
      </c>
      <c r="D1086" t="str">
        <f>_xll.BDP("559315BC Muni","STATE_CODE")</f>
        <v>UT</v>
      </c>
      <c r="E1086" t="str">
        <f>_xll.BDP("559315BC Muni","COUNTY_LOCATION_ISSUER")</f>
        <v>Salt Lake, UT</v>
      </c>
      <c r="F1086">
        <f>_xll.BDP("559315BC Muni","DUR_ADJ_MID")</f>
        <v>2.6698123339836806</v>
      </c>
      <c r="G1086">
        <f>_xll.BDP("559315BC Muni","SPREAD_AT_ISSUANCE_TO_WORST")</f>
        <v>8.7387764747766319</v>
      </c>
      <c r="H1086" t="str">
        <f>_xll.BDP("559315BC Muni","ISSUE_DT")</f>
        <v>9/20/2017</v>
      </c>
      <c r="I1086" t="str">
        <f>_xll.BDS("559315BC Muni","MUNI_PURPOSE_SCHED", "aggregate=y")</f>
        <v>PUBLIC IMPS. WATER UTILITY IMPS. SEWER IMPS.</v>
      </c>
      <c r="J1086">
        <f>_xll.BDP("559315BC Muni","CPN")</f>
        <v>4</v>
      </c>
      <c r="K1086" t="str">
        <f>_xll.BDP("559315BC Muni","MATURITY")</f>
        <v>6/1/2025</v>
      </c>
      <c r="L1086">
        <v>635000</v>
      </c>
      <c r="M1086">
        <f>_xll.BDP("559315BC Muni","YIELD_ON_ISSUE_DATE")</f>
        <v>1.6</v>
      </c>
      <c r="N1086">
        <f>_xll.BDP("559315BC Muni","YTW_SPREAD_TO_MATURITY_AT_ISSU")</f>
        <v>8.7387764747766319</v>
      </c>
      <c r="O1086" t="str">
        <f>_xll.BDP("559315BC Muni","BVAL_MID_YTM")</f>
        <v>#N/A Authorization</v>
      </c>
      <c r="P1086" t="str">
        <f>_xll.BDP("559315BC Muni","MUNI_TAX_PROV")</f>
        <v>FED &amp; ST TAX-EXEMPT</v>
      </c>
      <c r="Q1086" t="str">
        <f>_xll.BDP("559315BC Muni","MUNI_FED_TAX")</f>
        <v>N</v>
      </c>
      <c r="R1086" t="str">
        <f>_xll.BDP("559315BC Muni","MUNI_MSRB_VOLUME")</f>
        <v>#N/A N/A</v>
      </c>
      <c r="S1086" t="str">
        <f>_xll.BDP("559315BC Muni","BB_COMPOSITE")</f>
        <v>#N/A N/A</v>
      </c>
      <c r="T1086">
        <f>_xll.BDP("559315BC Muni","LQA_LIQUIDITY_SCORE")</f>
        <v>72</v>
      </c>
    </row>
    <row r="1087" spans="1:20" x14ac:dyDescent="0.25">
      <c r="A1087" t="str">
        <f>_xll.BDP("559315BD Muni","ID_CUSIP")</f>
        <v>559315BD7</v>
      </c>
      <c r="B1087" t="s">
        <v>349</v>
      </c>
      <c r="C1087" t="str">
        <f>_xll.BDP("559315BD Muni","INSURANCE_STATUS")</f>
        <v>N</v>
      </c>
      <c r="D1087" t="str">
        <f>_xll.BDP("559315BD Muni","STATE_CODE")</f>
        <v>UT</v>
      </c>
      <c r="E1087" t="str">
        <f>_xll.BDP("559315BD Muni","COUNTY_LOCATION_ISSUER")</f>
        <v>Salt Lake, UT</v>
      </c>
      <c r="F1087">
        <f>_xll.BDP("559315BD Muni","DUR_ADJ_MID")</f>
        <v>3.5472224380546704</v>
      </c>
      <c r="G1087">
        <f>_xll.BDP("559315BD Muni","SPREAD_AT_ISSUANCE_TO_WORST")</f>
        <v>7.7153750491954165</v>
      </c>
      <c r="H1087" t="str">
        <f>_xll.BDP("559315BD Muni","ISSUE_DT")</f>
        <v>9/20/2017</v>
      </c>
      <c r="I1087" t="str">
        <f>_xll.BDS("559315BD Muni","MUNI_PURPOSE_SCHED", "aggregate=y")</f>
        <v>PUBLIC IMPS. WATER UTILITY IMPS. SEWER IMPS.</v>
      </c>
      <c r="J1087">
        <f>_xll.BDP("559315BD Muni","CPN")</f>
        <v>4</v>
      </c>
      <c r="K1087" t="str">
        <f>_xll.BDP("559315BD Muni","MATURITY")</f>
        <v>6/1/2026</v>
      </c>
      <c r="L1087">
        <v>660000</v>
      </c>
      <c r="M1087">
        <f>_xll.BDP("559315BD Muni","YIELD_ON_ISSUE_DATE")</f>
        <v>1.73</v>
      </c>
      <c r="N1087">
        <f>_xll.BDP("559315BD Muni","YTW_SPREAD_TO_MATURITY_AT_ISSU")</f>
        <v>7.7153750491954165</v>
      </c>
      <c r="O1087" t="str">
        <f>_xll.BDP("559315BD Muni","BVAL_MID_YTM")</f>
        <v>#N/A Authorization</v>
      </c>
      <c r="P1087" t="str">
        <f>_xll.BDP("559315BD Muni","MUNI_TAX_PROV")</f>
        <v>FED &amp; ST TAX-EXEMPT</v>
      </c>
      <c r="Q1087" t="str">
        <f>_xll.BDP("559315BD Muni","MUNI_FED_TAX")</f>
        <v>N</v>
      </c>
      <c r="R1087" t="str">
        <f>_xll.BDP("559315BD Muni","MUNI_MSRB_VOLUME")</f>
        <v>#N/A N/A</v>
      </c>
      <c r="S1087" t="str">
        <f>_xll.BDP("559315BD Muni","BB_COMPOSITE")</f>
        <v>#N/A N/A</v>
      </c>
      <c r="T1087">
        <f>_xll.BDP("559315BD Muni","LQA_LIQUIDITY_SCORE")</f>
        <v>63</v>
      </c>
    </row>
    <row r="1088" spans="1:20" x14ac:dyDescent="0.25">
      <c r="A1088" t="str">
        <f>_xll.BDP("559315BE Muni","ID_CUSIP")</f>
        <v>559315BE5</v>
      </c>
      <c r="B1088" t="s">
        <v>349</v>
      </c>
      <c r="C1088" t="str">
        <f>_xll.BDP("559315BE Muni","INSURANCE_STATUS")</f>
        <v>N</v>
      </c>
      <c r="D1088" t="str">
        <f>_xll.BDP("559315BE Muni","STATE_CODE")</f>
        <v>UT</v>
      </c>
      <c r="E1088" t="str">
        <f>_xll.BDP("559315BE Muni","COUNTY_LOCATION_ISSUER")</f>
        <v>Salt Lake, UT</v>
      </c>
      <c r="F1088">
        <f>_xll.BDP("559315BE Muni","DUR_ADJ_MID")</f>
        <v>4.394032671529299</v>
      </c>
      <c r="G1088">
        <f>_xll.BDP("559315BE Muni","SPREAD_AT_ISSUANCE_TO_WORST")</f>
        <v>13.140453350007464</v>
      </c>
      <c r="H1088" t="str">
        <f>_xll.BDP("559315BE Muni","ISSUE_DT")</f>
        <v>9/20/2017</v>
      </c>
      <c r="I1088" t="str">
        <f>_xll.BDS("559315BE Muni","MUNI_PURPOSE_SCHED", "aggregate=y")</f>
        <v>PUBLIC IMPS. WATER UTILITY IMPS. SEWER IMPS.</v>
      </c>
      <c r="J1088">
        <f>_xll.BDP("559315BE Muni","CPN")</f>
        <v>4</v>
      </c>
      <c r="K1088" t="str">
        <f>_xll.BDP("559315BE Muni","MATURITY")</f>
        <v>6/1/2027</v>
      </c>
      <c r="L1088">
        <v>690000</v>
      </c>
      <c r="M1088">
        <f>_xll.BDP("559315BE Muni","YIELD_ON_ISSUE_DATE")</f>
        <v>1.9000000000000001</v>
      </c>
      <c r="N1088">
        <f>_xll.BDP("559315BE Muni","YTW_SPREAD_TO_MATURITY_AT_ISSU")</f>
        <v>13.140453350007464</v>
      </c>
      <c r="O1088" t="str">
        <f>_xll.BDP("559315BE Muni","BVAL_MID_YTM")</f>
        <v>#N/A Authorization</v>
      </c>
      <c r="P1088" t="str">
        <f>_xll.BDP("559315BE Muni","MUNI_TAX_PROV")</f>
        <v>FED &amp; ST TAX-EXEMPT</v>
      </c>
      <c r="Q1088" t="str">
        <f>_xll.BDP("559315BE Muni","MUNI_FED_TAX")</f>
        <v>N</v>
      </c>
      <c r="R1088" t="str">
        <f>_xll.BDP("559315BE Muni","MUNI_MSRB_VOLUME")</f>
        <v>#N/A N/A</v>
      </c>
      <c r="S1088" t="str">
        <f>_xll.BDP("559315BE Muni","BB_COMPOSITE")</f>
        <v>#N/A N/A</v>
      </c>
      <c r="T1088">
        <f>_xll.BDP("559315BE Muni","LQA_LIQUIDITY_SCORE")</f>
        <v>54</v>
      </c>
    </row>
    <row r="1089" spans="1:20" x14ac:dyDescent="0.25">
      <c r="A1089" t="str">
        <f>_xll.BDP("414511FK Muni","ID_CUSIP")</f>
        <v>414511FK6</v>
      </c>
      <c r="B1089" t="s">
        <v>315</v>
      </c>
      <c r="C1089" t="str">
        <f>_xll.BDP("414511FK Muni","INSURANCE_STATUS")</f>
        <v>Y</v>
      </c>
      <c r="D1089" t="str">
        <f>_xll.BDP("414511FK Muni","STATE_CODE")</f>
        <v>TX</v>
      </c>
      <c r="E1089" t="str">
        <f>_xll.BDP("414511FK Muni","COUNTY_LOCATION_ISSUER")</f>
        <v>Harris, TX</v>
      </c>
      <c r="F1089">
        <f>_xll.BDP("414511FK Muni","DUR_ADJ_MID")</f>
        <v>1.5266365968249769</v>
      </c>
      <c r="G1089">
        <f>_xll.BDP("414511FK Muni","SPREAD_AT_ISSUANCE_TO_WORST")</f>
        <v>46.236507294210007</v>
      </c>
      <c r="H1089" t="str">
        <f>_xll.BDP("414511FK Muni","ISSUE_DT")</f>
        <v>4/1/2017</v>
      </c>
      <c r="I1089" t="str">
        <f>_xll.BDS("414511FK Muni","MUNI_PURPOSE_SCHED", "aggregate=y")</f>
        <v>WATER UTILITY IMPS. SEWER IMPS.</v>
      </c>
      <c r="J1089">
        <f>_xll.BDP("414511FK Muni","CPN")</f>
        <v>2.5</v>
      </c>
      <c r="K1089" t="str">
        <f>_xll.BDP("414511FK Muni","MATURITY")</f>
        <v>3/1/2024</v>
      </c>
      <c r="L1089">
        <v>245000</v>
      </c>
      <c r="M1089">
        <f>_xll.BDP("414511FK Muni","YIELD_ON_ISSUE_DATE")</f>
        <v>2.5</v>
      </c>
      <c r="N1089">
        <f>_xll.BDP("414511FK Muni","YTW_SPREAD_TO_MATURITY_AT_ISSU")</f>
        <v>46.236507294210007</v>
      </c>
      <c r="O1089" t="str">
        <f>_xll.BDP("414511FK Muni","BVAL_MID_YTM")</f>
        <v>#N/A Authorization</v>
      </c>
      <c r="P1089" t="str">
        <f>_xll.BDP("414511FK Muni","MUNI_TAX_PROV")</f>
        <v>FED BQ</v>
      </c>
      <c r="Q1089" t="str">
        <f>_xll.BDP("414511FK Muni","MUNI_FED_TAX")</f>
        <v>N</v>
      </c>
      <c r="R1089" t="str">
        <f>_xll.BDP("414511FK Muni","MUNI_MSRB_VOLUME")</f>
        <v>#N/A N/A</v>
      </c>
      <c r="S1089" t="str">
        <f>_xll.BDP("414511FK Muni","BB_COMPOSITE")</f>
        <v>#N/A N/A</v>
      </c>
      <c r="T1089">
        <f>_xll.BDP("414511FK Muni","LQA_LIQUIDITY_SCORE")</f>
        <v>80</v>
      </c>
    </row>
    <row r="1090" spans="1:20" x14ac:dyDescent="0.25">
      <c r="A1090" t="str">
        <f>_xll.BDP("414513JS Muni","ID_CUSIP")</f>
        <v>414513JS1</v>
      </c>
      <c r="B1090" t="s">
        <v>316</v>
      </c>
      <c r="C1090" t="str">
        <f>_xll.BDP("414513JS Muni","INSURANCE_STATUS")</f>
        <v>Y</v>
      </c>
      <c r="D1090" t="str">
        <f>_xll.BDP("414513JS Muni","STATE_CODE")</f>
        <v>TX</v>
      </c>
      <c r="E1090" t="str">
        <f>_xll.BDP("414513JS Muni","COUNTY_LOCATION_ISSUER")</f>
        <v>Harris, TX</v>
      </c>
      <c r="F1090">
        <f>_xll.BDP("414513JS Muni","DUR_ADJ_MID")</f>
        <v>1.1251682024549421</v>
      </c>
      <c r="G1090">
        <f>_xll.BDP("414513JS Muni","SPREAD_AT_ISSUANCE_TO_WORST")</f>
        <v>35.888481498374873</v>
      </c>
      <c r="H1090" t="str">
        <f>_xll.BDP("414513JS Muni","ISSUE_DT")</f>
        <v>9/1/2017</v>
      </c>
      <c r="I1090" t="str">
        <f>_xll.BDS("414513JS Muni","MUNI_PURPOSE_SCHED", "aggregate=y")</f>
        <v>WATER UTILITY IMPS. SEWER IMPS.</v>
      </c>
      <c r="J1090">
        <f>_xll.BDP("414513JS Muni","CPN")</f>
        <v>4</v>
      </c>
      <c r="K1090" t="str">
        <f>_xll.BDP("414513JS Muni","MATURITY")</f>
        <v>10/1/2023</v>
      </c>
      <c r="L1090">
        <v>100000</v>
      </c>
      <c r="M1090">
        <f>_xll.BDP("414513JS Muni","YIELD_ON_ISSUE_DATE")</f>
        <v>1.6500000000000001</v>
      </c>
      <c r="N1090">
        <f>_xll.BDP("414513JS Muni","YTW_SPREAD_TO_MATURITY_AT_ISSU")</f>
        <v>35.888481498374873</v>
      </c>
      <c r="O1090" t="str">
        <f>_xll.BDP("414513JS Muni","BVAL_MID_YTM")</f>
        <v>#N/A Authorization</v>
      </c>
      <c r="P1090" t="str">
        <f>_xll.BDP("414513JS Muni","MUNI_TAX_PROV")</f>
        <v>FED BQ</v>
      </c>
      <c r="Q1090" t="str">
        <f>_xll.BDP("414513JS Muni","MUNI_FED_TAX")</f>
        <v>N</v>
      </c>
      <c r="R1090" t="str">
        <f>_xll.BDP("414513JS Muni","MUNI_MSRB_VOLUME")</f>
        <v>#N/A N/A</v>
      </c>
      <c r="S1090" t="str">
        <f>_xll.BDP("414513JS Muni","BB_COMPOSITE")</f>
        <v>#N/A N/A</v>
      </c>
      <c r="T1090">
        <f>_xll.BDP("414513JS Muni","LQA_LIQUIDITY_SCORE")</f>
        <v>92</v>
      </c>
    </row>
    <row r="1091" spans="1:20" x14ac:dyDescent="0.25">
      <c r="A1091" t="str">
        <f>_xll.BDP("414521DF Muni","ID_CUSIP")</f>
        <v>414521DF8</v>
      </c>
      <c r="B1091" t="s">
        <v>317</v>
      </c>
      <c r="C1091" t="str">
        <f>_xll.BDP("414521DF Muni","INSURANCE_STATUS")</f>
        <v>Y</v>
      </c>
      <c r="D1091" t="str">
        <f>_xll.BDP("414521DF Muni","STATE_CODE")</f>
        <v>TX</v>
      </c>
      <c r="E1091" t="str">
        <f>_xll.BDP("414521DF Muni","COUNTY_LOCATION_ISSUER")</f>
        <v>Harris, TX</v>
      </c>
      <c r="F1091">
        <f>_xll.BDP("414521DF Muni","DUR_ADJ_MID")</f>
        <v>8.0467407411458788E-2</v>
      </c>
      <c r="G1091">
        <f>_xll.BDP("414521DF Muni","SPREAD_AT_ISSUANCE_TO_WORST")</f>
        <v>46.914959291714588</v>
      </c>
      <c r="H1091" t="str">
        <f>_xll.BDP("414521DF Muni","ISSUE_DT")</f>
        <v>2/1/2017</v>
      </c>
      <c r="I1091" t="str">
        <f>_xll.BDS("414521DF Muni","MUNI_PURPOSE_SCHED", "aggregate=y")</f>
        <v>WATER UTILITY IMPS. SEWER IMPS.</v>
      </c>
      <c r="J1091">
        <f>_xll.BDP("414521DF Muni","CPN")</f>
        <v>3</v>
      </c>
      <c r="K1091" t="str">
        <f>_xll.BDP("414521DF Muni","MATURITY")</f>
        <v>9/1/2022</v>
      </c>
      <c r="L1091">
        <v>100000</v>
      </c>
      <c r="M1091">
        <f>_xll.BDP("414521DF Muni","YIELD_ON_ISSUE_DATE")</f>
        <v>2.25</v>
      </c>
      <c r="N1091">
        <f>_xll.BDP("414521DF Muni","YTW_SPREAD_TO_MATURITY_AT_ISSU")</f>
        <v>46.914959291714588</v>
      </c>
      <c r="O1091" t="str">
        <f>_xll.BDP("414521DF Muni","BVAL_MID_YTM")</f>
        <v>#N/A Authorization</v>
      </c>
      <c r="P1091" t="str">
        <f>_xll.BDP("414521DF Muni","MUNI_TAX_PROV")</f>
        <v>FED BQ</v>
      </c>
      <c r="Q1091" t="str">
        <f>_xll.BDP("414521DF Muni","MUNI_FED_TAX")</f>
        <v>N</v>
      </c>
      <c r="R1091" t="str">
        <f>_xll.BDP("414521DF Muni","MUNI_MSRB_VOLUME")</f>
        <v>#N/A N/A</v>
      </c>
      <c r="S1091" t="str">
        <f>_xll.BDP("414521DF Muni","BB_COMPOSITE")</f>
        <v>#N/A N/A</v>
      </c>
      <c r="T1091">
        <f>_xll.BDP("414521DF Muni","LQA_LIQUIDITY_SCORE")</f>
        <v>82</v>
      </c>
    </row>
    <row r="1092" spans="1:20" x14ac:dyDescent="0.25">
      <c r="A1092" t="str">
        <f>_xll.BDP("41453RCB Muni","ID_CUSIP")</f>
        <v>41453RCB0</v>
      </c>
      <c r="B1092" t="s">
        <v>318</v>
      </c>
      <c r="C1092" t="str">
        <f>_xll.BDP("41453RCB Muni","INSURANCE_STATUS")</f>
        <v>N</v>
      </c>
      <c r="D1092" t="str">
        <f>_xll.BDP("41453RCB Muni","STATE_CODE")</f>
        <v>TX</v>
      </c>
      <c r="E1092" t="str">
        <f>_xll.BDP("41453RCB Muni","COUNTY_LOCATION_ISSUER")</f>
        <v>Harris, TX</v>
      </c>
      <c r="F1092">
        <f>_xll.BDP("41453RCB Muni","DUR_ADJ_MID")</f>
        <v>8.0459446508113708E-2</v>
      </c>
      <c r="G1092">
        <f>_xll.BDP("41453RCB Muni","SPREAD_AT_ISSUANCE_TO_WORST")</f>
        <v>96.66712506677537</v>
      </c>
      <c r="H1092" t="str">
        <f>_xll.BDP("41453RCB Muni","ISSUE_DT")</f>
        <v>8/1/2017</v>
      </c>
      <c r="I1092" t="str">
        <f>_xll.BDS("41453RCB Muni","MUNI_PURPOSE_SCHED", "aggregate=y")</f>
        <v>WATER UTILITY IMPS. SEWER IMPS.</v>
      </c>
      <c r="J1092">
        <f>_xll.BDP("41453RCB Muni","CPN")</f>
        <v>2.25</v>
      </c>
      <c r="K1092" t="str">
        <f>_xll.BDP("41453RCB Muni","MATURITY")</f>
        <v>9/1/2022</v>
      </c>
      <c r="L1092">
        <v>150000</v>
      </c>
      <c r="M1092">
        <f>_xll.BDP("41453RCB Muni","YIELD_ON_ISSUE_DATE")</f>
        <v>2.35</v>
      </c>
      <c r="N1092">
        <f>_xll.BDP("41453RCB Muni","YTW_SPREAD_TO_MATURITY_AT_ISSU")</f>
        <v>96.66712506677537</v>
      </c>
      <c r="O1092" t="str">
        <f>_xll.BDP("41453RCB Muni","BVAL_MID_YTM")</f>
        <v>#N/A Authorization</v>
      </c>
      <c r="P1092" t="str">
        <f>_xll.BDP("41453RCB Muni","MUNI_TAX_PROV")</f>
        <v>FED BQ</v>
      </c>
      <c r="Q1092" t="str">
        <f>_xll.BDP("41453RCB Muni","MUNI_FED_TAX")</f>
        <v>N</v>
      </c>
      <c r="R1092" t="str">
        <f>_xll.BDP("41453RCB Muni","MUNI_MSRB_VOLUME")</f>
        <v>#N/A N/A</v>
      </c>
      <c r="S1092" t="str">
        <f>_xll.BDP("41453RCB Muni","BB_COMPOSITE")</f>
        <v>#N/A N/A</v>
      </c>
      <c r="T1092">
        <f>_xll.BDP("41453RCB Muni","LQA_LIQUIDITY_SCORE")</f>
        <v>99</v>
      </c>
    </row>
    <row r="1093" spans="1:20" x14ac:dyDescent="0.25">
      <c r="A1093" t="str">
        <f>_xll.BDP("41453TBE Muni","ID_CUSIP")</f>
        <v>41453TBE1</v>
      </c>
      <c r="B1093" t="s">
        <v>319</v>
      </c>
      <c r="C1093" t="str">
        <f>_xll.BDP("41453TBE Muni","INSURANCE_STATUS")</f>
        <v>N</v>
      </c>
      <c r="D1093" t="str">
        <f>_xll.BDP("41453TBE Muni","STATE_CODE")</f>
        <v>TX</v>
      </c>
      <c r="E1093" t="str">
        <f>_xll.BDP("41453TBE Muni","COUNTY_LOCATION_ISSUER")</f>
        <v>Harris, TX</v>
      </c>
      <c r="F1093">
        <f>_xll.BDP("41453TBE Muni","DUR_ADJ_MID")</f>
        <v>8.0459470903986502E-2</v>
      </c>
      <c r="G1093">
        <f>_xll.BDP("41453TBE Muni","SPREAD_AT_ISSUANCE_TO_WORST")</f>
        <v>103.87682252678221</v>
      </c>
      <c r="H1093" t="str">
        <f>_xll.BDP("41453TBE Muni","ISSUE_DT")</f>
        <v>9/1/2017</v>
      </c>
      <c r="I1093" t="str">
        <f>_xll.BDS("41453TBE Muni","MUNI_PURPOSE_SCHED", "aggregate=y")</f>
        <v>PUBLIC IMPS. WATER UTILITY IMPS.</v>
      </c>
      <c r="J1093">
        <f>_xll.BDP("41453TBE Muni","CPN")</f>
        <v>3</v>
      </c>
      <c r="K1093" t="str">
        <f>_xll.BDP("41453TBE Muni","MATURITY")</f>
        <v>9/1/2022</v>
      </c>
      <c r="L1093">
        <v>260000</v>
      </c>
      <c r="M1093">
        <f>_xll.BDP("41453TBE Muni","YIELD_ON_ISSUE_DATE")</f>
        <v>2.2000000000000002</v>
      </c>
      <c r="N1093">
        <f>_xll.BDP("41453TBE Muni","YTW_SPREAD_TO_MATURITY_AT_ISSU")</f>
        <v>103.87682252678221</v>
      </c>
      <c r="O1093" t="str">
        <f>_xll.BDP("41453TBE Muni","BVAL_MID_YTM")</f>
        <v>#N/A Authorization</v>
      </c>
      <c r="P1093" t="str">
        <f>_xll.BDP("41453TBE Muni","MUNI_TAX_PROV")</f>
        <v>FED BQ</v>
      </c>
      <c r="Q1093" t="str">
        <f>_xll.BDP("41453TBE Muni","MUNI_FED_TAX")</f>
        <v>N</v>
      </c>
      <c r="R1093" t="str">
        <f>_xll.BDP("41453TBE Muni","MUNI_MSRB_VOLUME")</f>
        <v>#N/A N/A</v>
      </c>
      <c r="S1093" t="str">
        <f>_xll.BDP("41453TBE Muni","BB_COMPOSITE")</f>
        <v>#N/A N/A</v>
      </c>
      <c r="T1093">
        <f>_xll.BDP("41453TBE Muni","LQA_LIQUIDITY_SCORE")</f>
        <v>98</v>
      </c>
    </row>
    <row r="1094" spans="1:20" x14ac:dyDescent="0.25">
      <c r="A1094" t="str">
        <f>_xll.BDP("41453TBF Muni","ID_CUSIP")</f>
        <v>41453TBF8</v>
      </c>
      <c r="B1094" t="s">
        <v>319</v>
      </c>
      <c r="C1094" t="str">
        <f>_xll.BDP("41453TBF Muni","INSURANCE_STATUS")</f>
        <v>N</v>
      </c>
      <c r="D1094" t="str">
        <f>_xll.BDP("41453TBF Muni","STATE_CODE")</f>
        <v>TX</v>
      </c>
      <c r="E1094" t="str">
        <f>_xll.BDP("41453TBF Muni","COUNTY_LOCATION_ISSUER")</f>
        <v>Harris, TX</v>
      </c>
      <c r="F1094">
        <f>_xll.BDP("41453TBF Muni","DUR_ADJ_MID")</f>
        <v>1.0477482866223664</v>
      </c>
      <c r="G1094">
        <f>_xll.BDP("41453TBF Muni","SPREAD_AT_ISSUANCE_TO_WORST")</f>
        <v>109.11132521272258</v>
      </c>
      <c r="H1094" t="str">
        <f>_xll.BDP("41453TBF Muni","ISSUE_DT")</f>
        <v>9/1/2017</v>
      </c>
      <c r="I1094" t="str">
        <f>_xll.BDS("41453TBF Muni","MUNI_PURPOSE_SCHED", "aggregate=y")</f>
        <v>PUBLIC IMPS. WATER UTILITY IMPS.</v>
      </c>
      <c r="J1094">
        <f>_xll.BDP("41453TBF Muni","CPN")</f>
        <v>3</v>
      </c>
      <c r="K1094" t="str">
        <f>_xll.BDP("41453TBF Muni","MATURITY")</f>
        <v>9/1/2023</v>
      </c>
      <c r="L1094">
        <v>260000</v>
      </c>
      <c r="M1094">
        <f>_xll.BDP("41453TBF Muni","YIELD_ON_ISSUE_DATE")</f>
        <v>2.4000000000000004</v>
      </c>
      <c r="N1094">
        <f>_xll.BDP("41453TBF Muni","YTW_SPREAD_TO_MATURITY_AT_ISSU")</f>
        <v>109.11132521272258</v>
      </c>
      <c r="O1094" t="str">
        <f>_xll.BDP("41453TBF Muni","BVAL_MID_YTM")</f>
        <v>#N/A Authorization</v>
      </c>
      <c r="P1094" t="str">
        <f>_xll.BDP("41453TBF Muni","MUNI_TAX_PROV")</f>
        <v>FED BQ</v>
      </c>
      <c r="Q1094" t="str">
        <f>_xll.BDP("41453TBF Muni","MUNI_FED_TAX")</f>
        <v>N</v>
      </c>
      <c r="R1094" t="str">
        <f>_xll.BDP("41453TBF Muni","MUNI_MSRB_VOLUME")</f>
        <v>#N/A N/A</v>
      </c>
      <c r="S1094" t="str">
        <f>_xll.BDP("41453TBF Muni","BB_COMPOSITE")</f>
        <v>#N/A N/A</v>
      </c>
      <c r="T1094">
        <f>_xll.BDP("41453TBF Muni","LQA_LIQUIDITY_SCORE")</f>
        <v>81</v>
      </c>
    </row>
    <row r="1095" spans="1:20" x14ac:dyDescent="0.25">
      <c r="A1095" t="str">
        <f>_xll.BDP("41453TBG Muni","ID_CUSIP")</f>
        <v>41453TBG6</v>
      </c>
      <c r="B1095" t="s">
        <v>319</v>
      </c>
      <c r="C1095" t="str">
        <f>_xll.BDP("41453TBG Muni","INSURANCE_STATUS")</f>
        <v>N</v>
      </c>
      <c r="D1095" t="str">
        <f>_xll.BDP("41453TBG Muni","STATE_CODE")</f>
        <v>TX</v>
      </c>
      <c r="E1095" t="str">
        <f>_xll.BDP("41453TBG Muni","COUNTY_LOCATION_ISSUER")</f>
        <v>Harris, TX</v>
      </c>
      <c r="F1095">
        <f>_xll.BDP("41453TBG Muni","DUR_ADJ_MID")</f>
        <v>1.985277408980713</v>
      </c>
      <c r="G1095">
        <f>_xll.BDP("41453TBG Muni","SPREAD_AT_ISSUANCE_TO_WORST")</f>
        <v>114.01423726458239</v>
      </c>
      <c r="H1095" t="str">
        <f>_xll.BDP("41453TBG Muni","ISSUE_DT")</f>
        <v>9/1/2017</v>
      </c>
      <c r="I1095" t="str">
        <f>_xll.BDS("41453TBG Muni","MUNI_PURPOSE_SCHED", "aggregate=y")</f>
        <v>PUBLIC IMPS. WATER UTILITY IMPS.</v>
      </c>
      <c r="J1095">
        <f>_xll.BDP("41453TBG Muni","CPN")</f>
        <v>3</v>
      </c>
      <c r="K1095" t="str">
        <f>_xll.BDP("41453TBG Muni","MATURITY")</f>
        <v>9/1/2024</v>
      </c>
      <c r="L1095">
        <v>260000</v>
      </c>
      <c r="M1095">
        <f>_xll.BDP("41453TBG Muni","YIELD_ON_ISSUE_DATE")</f>
        <v>2.6</v>
      </c>
      <c r="N1095">
        <f>_xll.BDP("41453TBG Muni","YTW_SPREAD_TO_MATURITY_AT_ISSU")</f>
        <v>114.01423726458239</v>
      </c>
      <c r="O1095" t="str">
        <f>_xll.BDP("41453TBG Muni","BVAL_MID_YTM")</f>
        <v>#N/A Authorization</v>
      </c>
      <c r="P1095" t="str">
        <f>_xll.BDP("41453TBG Muni","MUNI_TAX_PROV")</f>
        <v>FED BQ</v>
      </c>
      <c r="Q1095" t="str">
        <f>_xll.BDP("41453TBG Muni","MUNI_FED_TAX")</f>
        <v>N</v>
      </c>
      <c r="R1095" t="str">
        <f>_xll.BDP("41453TBG Muni","MUNI_MSRB_VOLUME")</f>
        <v>#N/A N/A</v>
      </c>
      <c r="S1095" t="str">
        <f>_xll.BDP("41453TBG Muni","BB_COMPOSITE")</f>
        <v>#N/A N/A</v>
      </c>
      <c r="T1095">
        <f>_xll.BDP("41453TBG Muni","LQA_LIQUIDITY_SCORE")</f>
        <v>68</v>
      </c>
    </row>
    <row r="1096" spans="1:20" x14ac:dyDescent="0.25">
      <c r="A1096" t="str">
        <f>_xll.BDP("41423RBJ Muni","ID_CUSIP")</f>
        <v>41423RBJ1</v>
      </c>
      <c r="B1096" t="s">
        <v>335</v>
      </c>
      <c r="C1096" t="str">
        <f>_xll.BDP("41423RBJ Muni","INSURANCE_STATUS")</f>
        <v>Y</v>
      </c>
      <c r="D1096" t="str">
        <f>_xll.BDP("41423RBJ Muni","STATE_CODE")</f>
        <v>TX</v>
      </c>
      <c r="E1096" t="str">
        <f>_xll.BDP("41423RBJ Muni","COUNTY_LOCATION_ISSUER")</f>
        <v>Harris, TX</v>
      </c>
      <c r="F1096">
        <f>_xll.BDP("41423RBJ Muni","DUR_ADJ_MID")</f>
        <v>1.9873795501799392</v>
      </c>
      <c r="G1096">
        <f>_xll.BDP("41423RBJ Muni","SPREAD_AT_ISSUANCE_TO_WORST")</f>
        <v>91.045611347700699</v>
      </c>
      <c r="H1096" t="str">
        <f>_xll.BDP("41423RBJ Muni","ISSUE_DT")</f>
        <v>5/1/2017</v>
      </c>
      <c r="I1096" t="str">
        <f>_xll.BDS("41423RBJ Muni","MUNI_PURPOSE_SCHED", "aggregate=y")</f>
        <v>WATER UTILITY IMPS. SEWER IMPS.</v>
      </c>
      <c r="J1096">
        <f>_xll.BDP("41423RBJ Muni","CPN")</f>
        <v>3</v>
      </c>
      <c r="K1096" t="str">
        <f>_xll.BDP("41423RBJ Muni","MATURITY")</f>
        <v>9/1/2024</v>
      </c>
      <c r="L1096">
        <v>110000</v>
      </c>
      <c r="M1096">
        <f>_xll.BDP("41423RBJ Muni","YIELD_ON_ISSUE_DATE")</f>
        <v>2.8000000000000003</v>
      </c>
      <c r="N1096">
        <f>_xll.BDP("41423RBJ Muni","YTW_SPREAD_TO_MATURITY_AT_ISSU")</f>
        <v>91.045611347700699</v>
      </c>
      <c r="O1096" t="str">
        <f>_xll.BDP("41423RBJ Muni","BVAL_MID_YTM")</f>
        <v>#N/A Authorization</v>
      </c>
      <c r="P1096" t="str">
        <f>_xll.BDP("41423RBJ Muni","MUNI_TAX_PROV")</f>
        <v>FED BQ</v>
      </c>
      <c r="Q1096" t="str">
        <f>_xll.BDP("41423RBJ Muni","MUNI_FED_TAX")</f>
        <v>N</v>
      </c>
      <c r="R1096" t="str">
        <f>_xll.BDP("41423RBJ Muni","MUNI_MSRB_VOLUME")</f>
        <v>#N/A N/A</v>
      </c>
      <c r="S1096" t="str">
        <f>_xll.BDP("41423RBJ Muni","BB_COMPOSITE")</f>
        <v>#N/A N/A</v>
      </c>
      <c r="T1096">
        <f>_xll.BDP("41423RBJ Muni","LQA_LIQUIDITY_SCORE")</f>
        <v>79</v>
      </c>
    </row>
    <row r="1097" spans="1:20" x14ac:dyDescent="0.25">
      <c r="A1097" t="str">
        <f>_xll.BDP("41424LAE Muni","ID_CUSIP")</f>
        <v>41424LAE5</v>
      </c>
      <c r="B1097" t="s">
        <v>120</v>
      </c>
      <c r="C1097" t="str">
        <f>_xll.BDP("41424LAE Muni","INSURANCE_STATUS")</f>
        <v>Y</v>
      </c>
      <c r="D1097" t="str">
        <f>_xll.BDP("41424LAE Muni","STATE_CODE")</f>
        <v>TX</v>
      </c>
      <c r="E1097" t="str">
        <f>_xll.BDP("41424LAE Muni","COUNTY_LOCATION_ISSUER")</f>
        <v>#N/A Field Not Applicable</v>
      </c>
      <c r="F1097">
        <f>_xll.BDP("41424LAE Muni","DUR_ADJ_MID")</f>
        <v>1.0353740150105906</v>
      </c>
      <c r="G1097">
        <f>_xll.BDP("41424LAE Muni","SPREAD_AT_ISSUANCE_TO_WORST")</f>
        <v>66.642613242156216</v>
      </c>
      <c r="H1097" t="str">
        <f>_xll.BDP("41424LAE Muni","ISSUE_DT")</f>
        <v>5/1/2017</v>
      </c>
      <c r="I1097" t="str">
        <f>_xll.BDS("41424LAE Muni","MUNI_PURPOSE_SCHED", "aggregate=y")</f>
        <v>REFUNDING NOTES WATER UTILITY IMPS. SEWER IMPS.</v>
      </c>
      <c r="J1097">
        <f>_xll.BDP("41424LAE Muni","CPN")</f>
        <v>5</v>
      </c>
      <c r="K1097" t="str">
        <f>_xll.BDP("41424LAE Muni","MATURITY")</f>
        <v>9/1/2023</v>
      </c>
      <c r="L1097">
        <v>135000</v>
      </c>
      <c r="M1097">
        <f>_xll.BDP("41424LAE Muni","YIELD_ON_ISSUE_DATE")</f>
        <v>2.4000000000000004</v>
      </c>
      <c r="N1097">
        <f>_xll.BDP("41424LAE Muni","YTW_SPREAD_TO_MATURITY_AT_ISSU")</f>
        <v>66.642613242156216</v>
      </c>
      <c r="O1097" t="str">
        <f>_xll.BDP("41424LAE Muni","BVAL_MID_YTM")</f>
        <v>#N/A Authorization</v>
      </c>
      <c r="P1097" t="str">
        <f>_xll.BDP("41424LAE Muni","MUNI_TAX_PROV")</f>
        <v>FED TAX-EXEMPT</v>
      </c>
      <c r="Q1097" t="str">
        <f>_xll.BDP("41424LAE Muni","MUNI_FED_TAX")</f>
        <v>N</v>
      </c>
      <c r="R1097" t="str">
        <f>_xll.BDP("41424LAE Muni","MUNI_MSRB_VOLUME")</f>
        <v>#N/A N/A</v>
      </c>
      <c r="S1097" t="str">
        <f>_xll.BDP("41424LAE Muni","BB_COMPOSITE")</f>
        <v>#N/A N/A</v>
      </c>
      <c r="T1097">
        <f>_xll.BDP("41424LAE Muni","LQA_LIQUIDITY_SCORE")</f>
        <v>89</v>
      </c>
    </row>
    <row r="1098" spans="1:20" x14ac:dyDescent="0.25">
      <c r="A1098" t="str">
        <f>_xll.BDP("41425EBF Muni","ID_CUSIP")</f>
        <v>41425EBF6</v>
      </c>
      <c r="B1098" t="s">
        <v>336</v>
      </c>
      <c r="C1098" t="str">
        <f>_xll.BDP("41425EBF Muni","INSURANCE_STATUS")</f>
        <v>N</v>
      </c>
      <c r="D1098" t="str">
        <f>_xll.BDP("41425EBF Muni","STATE_CODE")</f>
        <v>TX</v>
      </c>
      <c r="E1098" t="str">
        <f>_xll.BDP("41425EBF Muni","COUNTY_LOCATION_ISSUER")</f>
        <v>#N/A Field Not Applicable</v>
      </c>
      <c r="F1098">
        <f>_xll.BDP("41425EBF Muni","DUR_ADJ_MID")</f>
        <v>8.0455794854330479E-2</v>
      </c>
      <c r="G1098">
        <f>_xll.BDP("41425EBF Muni","SPREAD_AT_ISSUANCE_TO_WORST")</f>
        <v>87.794039613105596</v>
      </c>
      <c r="H1098" t="str">
        <f>_xll.BDP("41425EBF Muni","ISSUE_DT")</f>
        <v>4/1/2017</v>
      </c>
      <c r="I1098" t="str">
        <f>_xll.BDS("41425EBF Muni","MUNI_PURPOSE_SCHED", "aggregate=y")</f>
        <v>WATER UTILITY IMPS. SEWER IMPS. PUBLIC IMPS.</v>
      </c>
      <c r="J1098">
        <f>_xll.BDP("41425EBF Muni","CPN")</f>
        <v>2.5</v>
      </c>
      <c r="K1098" t="str">
        <f>_xll.BDP("41425EBF Muni","MATURITY")</f>
        <v>9/1/2022</v>
      </c>
      <c r="L1098">
        <v>170000</v>
      </c>
      <c r="M1098">
        <f>_xll.BDP("41425EBF Muni","YIELD_ON_ISSUE_DATE")</f>
        <v>2.5</v>
      </c>
      <c r="N1098">
        <f>_xll.BDP("41425EBF Muni","YTW_SPREAD_TO_MATURITY_AT_ISSU")</f>
        <v>87.794039613105596</v>
      </c>
      <c r="O1098" t="str">
        <f>_xll.BDP("41425EBF Muni","BVAL_MID_YTM")</f>
        <v>#N/A Authorization</v>
      </c>
      <c r="P1098" t="str">
        <f>_xll.BDP("41425EBF Muni","MUNI_TAX_PROV")</f>
        <v>FED BQ</v>
      </c>
      <c r="Q1098" t="str">
        <f>_xll.BDP("41425EBF Muni","MUNI_FED_TAX")</f>
        <v>N</v>
      </c>
      <c r="R1098" t="str">
        <f>_xll.BDP("41425EBF Muni","MUNI_MSRB_VOLUME")</f>
        <v>#N/A N/A</v>
      </c>
      <c r="S1098" t="str">
        <f>_xll.BDP("41425EBF Muni","BB_COMPOSITE")</f>
        <v>#N/A N/A</v>
      </c>
      <c r="T1098">
        <f>_xll.BDP("41425EBF Muni","LQA_LIQUIDITY_SCORE")</f>
        <v>99</v>
      </c>
    </row>
    <row r="1099" spans="1:20" x14ac:dyDescent="0.25">
      <c r="A1099" t="str">
        <f>_xll.BDP("41425UBG Muni","ID_CUSIP")</f>
        <v>41425UBG8</v>
      </c>
      <c r="B1099" t="s">
        <v>337</v>
      </c>
      <c r="C1099" t="str">
        <f>_xll.BDP("41425UBG Muni","INSURANCE_STATUS")</f>
        <v>N</v>
      </c>
      <c r="D1099" t="str">
        <f>_xll.BDP("41425UBG Muni","STATE_CODE")</f>
        <v>TX</v>
      </c>
      <c r="E1099" t="str">
        <f>_xll.BDP("41425UBG Muni","COUNTY_LOCATION_ISSUER")</f>
        <v>Harris, TX</v>
      </c>
      <c r="F1099">
        <f>_xll.BDP("41425UBG Muni","DUR_ADJ_MID")</f>
        <v>1.0464475595924343</v>
      </c>
      <c r="G1099">
        <f>_xll.BDP("41425UBG Muni","SPREAD_AT_ISSUANCE_TO_WORST")</f>
        <v>79.5489824956652</v>
      </c>
      <c r="H1099" t="str">
        <f>_xll.BDP("41425UBG Muni","ISSUE_DT")</f>
        <v>3/15/2017</v>
      </c>
      <c r="I1099" t="str">
        <f>_xll.BDS("41425UBG Muni","MUNI_PURPOSE_SCHED", "aggregate=y")</f>
        <v>WATER UTILITY IMPS. SEWER IMPS. PROPERTY ACQUISITION</v>
      </c>
      <c r="J1099">
        <f>_xll.BDP("41425UBG Muni","CPN")</f>
        <v>3</v>
      </c>
      <c r="K1099" t="str">
        <f>_xll.BDP("41425UBG Muni","MATURITY")</f>
        <v>9/1/2023</v>
      </c>
      <c r="L1099">
        <v>230000</v>
      </c>
      <c r="M1099">
        <f>_xll.BDP("41425UBG Muni","YIELD_ON_ISSUE_DATE")</f>
        <v>2.75</v>
      </c>
      <c r="N1099">
        <f>_xll.BDP("41425UBG Muni","YTW_SPREAD_TO_MATURITY_AT_ISSU")</f>
        <v>79.5489824956652</v>
      </c>
      <c r="O1099" t="str">
        <f>_xll.BDP("41425UBG Muni","BVAL_MID_YTM")</f>
        <v>#N/A Authorization</v>
      </c>
      <c r="P1099" t="str">
        <f>_xll.BDP("41425UBG Muni","MUNI_TAX_PROV")</f>
        <v>FED TAX-EXEMPT</v>
      </c>
      <c r="Q1099" t="str">
        <f>_xll.BDP("41425UBG Muni","MUNI_FED_TAX")</f>
        <v>N</v>
      </c>
      <c r="R1099">
        <f>_xll.BDP("41425UBG Muni","MUNI_MSRB_VOLUME")</f>
        <v>15000</v>
      </c>
      <c r="S1099" t="str">
        <f>_xll.BDP("41425UBG Muni","BB_COMPOSITE")</f>
        <v>#N/A N/A</v>
      </c>
      <c r="T1099">
        <f>_xll.BDP("41425UBG Muni","LQA_LIQUIDITY_SCORE")</f>
        <v>84</v>
      </c>
    </row>
    <row r="1100" spans="1:20" x14ac:dyDescent="0.25">
      <c r="A1100" t="str">
        <f>_xll.BDP("41426HBE Muni","ID_CUSIP")</f>
        <v>41426HBE1</v>
      </c>
      <c r="B1100" t="s">
        <v>350</v>
      </c>
      <c r="C1100" t="str">
        <f>_xll.BDP("41426HBE Muni","INSURANCE_STATUS")</f>
        <v>N</v>
      </c>
      <c r="D1100" t="str">
        <f>_xll.BDP("41426HBE Muni","STATE_CODE")</f>
        <v>TX</v>
      </c>
      <c r="E1100" t="str">
        <f>_xll.BDP("41426HBE Muni","COUNTY_LOCATION_ISSUER")</f>
        <v>Harris, TX</v>
      </c>
      <c r="F1100">
        <f>_xll.BDP("41426HBE Muni","DUR_ADJ_MID")</f>
        <v>0.65140074075565813</v>
      </c>
      <c r="G1100">
        <f>_xll.BDP("41426HBE Muni","SPREAD_AT_ISSUANCE_TO_WORST")</f>
        <v>119.3228493150685</v>
      </c>
      <c r="H1100" t="str">
        <f>_xll.BDP("41426HBE Muni","ISSUE_DT")</f>
        <v>12/1/2017</v>
      </c>
      <c r="I1100" t="str">
        <f>_xll.BDS("41426HBE Muni","MUNI_PURPOSE_SCHED", "aggregate=y")</f>
        <v>REFUNDING NOTES WATER UTILITY IMPS. SEWER IMPS.</v>
      </c>
      <c r="J1100">
        <f>_xll.BDP("41426HBE Muni","CPN")</f>
        <v>2.75</v>
      </c>
      <c r="K1100" t="str">
        <f>_xll.BDP("41426HBE Muni","MATURITY")</f>
        <v>4/1/2023</v>
      </c>
      <c r="L1100">
        <v>75000</v>
      </c>
      <c r="M1100">
        <f>_xll.BDP("41426HBE Muni","YIELD_ON_ISSUE_DATE")</f>
        <v>2.75</v>
      </c>
      <c r="N1100">
        <f>_xll.BDP("41426HBE Muni","YTW_SPREAD_TO_MATURITY_AT_ISSU")</f>
        <v>119.3228493150685</v>
      </c>
      <c r="O1100" t="str">
        <f>_xll.BDP("41426HBE Muni","BVAL_MID_YTM")</f>
        <v>#N/A Authorization</v>
      </c>
      <c r="P1100" t="str">
        <f>_xll.BDP("41426HBE Muni","MUNI_TAX_PROV")</f>
        <v>FED BQ</v>
      </c>
      <c r="Q1100" t="str">
        <f>_xll.BDP("41426HBE Muni","MUNI_FED_TAX")</f>
        <v>N</v>
      </c>
      <c r="R1100" t="str">
        <f>_xll.BDP("41426HBE Muni","MUNI_MSRB_VOLUME")</f>
        <v>#N/A N/A</v>
      </c>
      <c r="S1100" t="str">
        <f>_xll.BDP("41426HBE Muni","BB_COMPOSITE")</f>
        <v>#N/A N/A</v>
      </c>
      <c r="T1100">
        <f>_xll.BDP("41426HBE Muni","LQA_LIQUIDITY_SCORE")</f>
        <v>89</v>
      </c>
    </row>
    <row r="1101" spans="1:20" x14ac:dyDescent="0.25">
      <c r="A1101" t="str">
        <f>_xll.BDP("41426XAE Muni","ID_CUSIP")</f>
        <v>41426XAE7</v>
      </c>
      <c r="B1101" t="s">
        <v>338</v>
      </c>
      <c r="C1101" t="str">
        <f>_xll.BDP("41426XAE Muni","INSURANCE_STATUS")</f>
        <v>N</v>
      </c>
      <c r="D1101" t="str">
        <f>_xll.BDP("41426XAE Muni","STATE_CODE")</f>
        <v>TX</v>
      </c>
      <c r="E1101" t="str">
        <f>_xll.BDP("41426XAE Muni","COUNTY_LOCATION_ISSUER")</f>
        <v>#N/A Field Not Applicable</v>
      </c>
      <c r="F1101">
        <f>_xll.BDP("41426XAE Muni","DUR_ADJ_MID")</f>
        <v>8.0459470903986502E-2</v>
      </c>
      <c r="G1101">
        <f>_xll.BDP("41426XAE Muni","SPREAD_AT_ISSUANCE_TO_WORST")</f>
        <v>77.581751676206622</v>
      </c>
      <c r="H1101" t="str">
        <f>_xll.BDP("41426XAE Muni","ISSUE_DT")</f>
        <v>3/1/2017</v>
      </c>
      <c r="I1101" t="str">
        <f>_xll.BDS("41426XAE Muni","MUNI_PURPOSE_SCHED", "aggregate=y")</f>
        <v>WATER UTILITY IMPS. SEWER IMPS. PROPERTY ACQUISITION</v>
      </c>
      <c r="J1101">
        <f>_xll.BDP("41426XAE Muni","CPN")</f>
        <v>3</v>
      </c>
      <c r="K1101" t="str">
        <f>_xll.BDP("41426XAE Muni","MATURITY")</f>
        <v>9/1/2022</v>
      </c>
      <c r="L1101">
        <v>100000</v>
      </c>
      <c r="M1101">
        <f>_xll.BDP("41426XAE Muni","YIELD_ON_ISSUE_DATE")</f>
        <v>2.5</v>
      </c>
      <c r="N1101">
        <f>_xll.BDP("41426XAE Muni","YTW_SPREAD_TO_MATURITY_AT_ISSU")</f>
        <v>77.581751676206622</v>
      </c>
      <c r="O1101" t="str">
        <f>_xll.BDP("41426XAE Muni","BVAL_MID_YTM")</f>
        <v>#N/A Authorization</v>
      </c>
      <c r="P1101" t="str">
        <f>_xll.BDP("41426XAE Muni","MUNI_TAX_PROV")</f>
        <v>FED BQ</v>
      </c>
      <c r="Q1101" t="str">
        <f>_xll.BDP("41426XAE Muni","MUNI_FED_TAX")</f>
        <v>N</v>
      </c>
      <c r="R1101" t="str">
        <f>_xll.BDP("41426XAE Muni","MUNI_MSRB_VOLUME")</f>
        <v>#N/A N/A</v>
      </c>
      <c r="S1101" t="str">
        <f>_xll.BDP("41426XAE Muni","BB_COMPOSITE")</f>
        <v>#N/A N/A</v>
      </c>
      <c r="T1101">
        <f>_xll.BDP("41426XAE Muni","LQA_LIQUIDITY_SCORE")</f>
        <v>98</v>
      </c>
    </row>
    <row r="1102" spans="1:20" x14ac:dyDescent="0.25">
      <c r="A1102" t="str">
        <f>_xll.BDP("295120AF Muni","ID_CUSIP")</f>
        <v>295120AF6</v>
      </c>
      <c r="B1102" t="s">
        <v>241</v>
      </c>
      <c r="C1102" t="str">
        <f>_xll.BDP("295120AF Muni","INSURANCE_STATUS")</f>
        <v>N</v>
      </c>
      <c r="D1102" t="str">
        <f>_xll.BDP("295120AF Muni","STATE_CODE")</f>
        <v>OH</v>
      </c>
      <c r="E1102" t="str">
        <f>_xll.BDP("295120AF Muni","COUNTY_LOCATION_ISSUER")</f>
        <v>Erie, OH</v>
      </c>
      <c r="F1102">
        <f>_xll.BDP("295120AF Muni","DUR_ADJ_MID")</f>
        <v>0.16365457667741243</v>
      </c>
      <c r="G1102">
        <f>_xll.BDP("295120AF Muni","SPREAD_AT_ISSUANCE_TO_WORST")</f>
        <v>10.57230684931505</v>
      </c>
      <c r="H1102" t="str">
        <f>_xll.BDP("295120AF Muni","ISSUE_DT")</f>
        <v>10/11/2017</v>
      </c>
      <c r="I1102" t="str">
        <f>_xll.BDS("295120AF Muni","MUNI_PURPOSE_SCHED", "aggregate=y")</f>
        <v>CURRENT REFUNDING WATER UTILITY IMPS.</v>
      </c>
      <c r="J1102">
        <f>_xll.BDP("295120AF Muni","CPN")</f>
        <v>5</v>
      </c>
      <c r="K1102" t="str">
        <f>_xll.BDP("295120AF Muni","MATURITY")</f>
        <v>10/1/2022</v>
      </c>
      <c r="L1102">
        <v>705000</v>
      </c>
      <c r="M1102">
        <f>_xll.BDP("295120AF Muni","YIELD_ON_ISSUE_DATE")</f>
        <v>1.3800000000000001</v>
      </c>
      <c r="N1102">
        <f>_xll.BDP("295120AF Muni","YTW_SPREAD_TO_MATURITY_AT_ISSU")</f>
        <v>10.57230684931505</v>
      </c>
      <c r="O1102" t="str">
        <f>_xll.BDP("295120AF Muni","BVAL_MID_YTM")</f>
        <v>#N/A Authorization</v>
      </c>
      <c r="P1102" t="str">
        <f>_xll.BDP("295120AF Muni","MUNI_TAX_PROV")</f>
        <v>FED &amp; ST TAX-EXEMPT</v>
      </c>
      <c r="Q1102" t="str">
        <f>_xll.BDP("295120AF Muni","MUNI_FED_TAX")</f>
        <v>N</v>
      </c>
      <c r="R1102" t="str">
        <f>_xll.BDP("295120AF Muni","MUNI_MSRB_VOLUME")</f>
        <v>#N/A N/A</v>
      </c>
      <c r="S1102" t="str">
        <f>_xll.BDP("295120AF Muni","BB_COMPOSITE")</f>
        <v>#N/A N/A</v>
      </c>
      <c r="T1102">
        <f>_xll.BDP("295120AF Muni","LQA_LIQUIDITY_SCORE")</f>
        <v>96</v>
      </c>
    </row>
    <row r="1103" spans="1:20" x14ac:dyDescent="0.25">
      <c r="A1103" t="str">
        <f>_xll.BDP("295120AH Muni","ID_CUSIP")</f>
        <v>295120AH2</v>
      </c>
      <c r="B1103" t="s">
        <v>241</v>
      </c>
      <c r="C1103" t="str">
        <f>_xll.BDP("295120AH Muni","INSURANCE_STATUS")</f>
        <v>N</v>
      </c>
      <c r="D1103" t="str">
        <f>_xll.BDP("295120AH Muni","STATE_CODE")</f>
        <v>OH</v>
      </c>
      <c r="E1103" t="str">
        <f>_xll.BDP("295120AH Muni","COUNTY_LOCATION_ISSUER")</f>
        <v>Erie, OH</v>
      </c>
      <c r="F1103">
        <f>_xll.BDP("295120AH Muni","DUR_ADJ_MID")</f>
        <v>2.0330732040547819</v>
      </c>
      <c r="G1103">
        <f>_xll.BDP("295120AH Muni","SPREAD_AT_ISSUANCE_TO_WORST")</f>
        <v>12.923241095890404</v>
      </c>
      <c r="H1103" t="str">
        <f>_xll.BDP("295120AH Muni","ISSUE_DT")</f>
        <v>10/11/2017</v>
      </c>
      <c r="I1103" t="str">
        <f>_xll.BDS("295120AH Muni","MUNI_PURPOSE_SCHED", "aggregate=y")</f>
        <v>CURRENT REFUNDING WATER UTILITY IMPS.</v>
      </c>
      <c r="J1103">
        <f>_xll.BDP("295120AH Muni","CPN")</f>
        <v>5</v>
      </c>
      <c r="K1103" t="str">
        <f>_xll.BDP("295120AH Muni","MATURITY")</f>
        <v>10/1/2024</v>
      </c>
      <c r="L1103">
        <v>725000</v>
      </c>
      <c r="M1103">
        <f>_xll.BDP("295120AH Muni","YIELD_ON_ISSUE_DATE")</f>
        <v>1.68</v>
      </c>
      <c r="N1103">
        <f>_xll.BDP("295120AH Muni","YTW_SPREAD_TO_MATURITY_AT_ISSU")</f>
        <v>12.923241095890404</v>
      </c>
      <c r="O1103" t="str">
        <f>_xll.BDP("295120AH Muni","BVAL_MID_YTM")</f>
        <v>#N/A Authorization</v>
      </c>
      <c r="P1103" t="str">
        <f>_xll.BDP("295120AH Muni","MUNI_TAX_PROV")</f>
        <v>FED &amp; ST TAX-EXEMPT</v>
      </c>
      <c r="Q1103" t="str">
        <f>_xll.BDP("295120AH Muni","MUNI_FED_TAX")</f>
        <v>N</v>
      </c>
      <c r="R1103" t="str">
        <f>_xll.BDP("295120AH Muni","MUNI_MSRB_VOLUME")</f>
        <v>#N/A N/A</v>
      </c>
      <c r="S1103" t="str">
        <f>_xll.BDP("295120AH Muni","BB_COMPOSITE")</f>
        <v>#N/A N/A</v>
      </c>
      <c r="T1103">
        <f>_xll.BDP("295120AH Muni","LQA_LIQUIDITY_SCORE")</f>
        <v>80</v>
      </c>
    </row>
    <row r="1104" spans="1:20" x14ac:dyDescent="0.25">
      <c r="A1104" t="str">
        <f>_xll.BDP("219399LD Muni","ID_CUSIP")</f>
        <v>219399LD2</v>
      </c>
      <c r="B1104" t="s">
        <v>344</v>
      </c>
      <c r="C1104" t="str">
        <f>_xll.BDP("219399LD Muni","INSURANCE_STATUS")</f>
        <v>Y</v>
      </c>
      <c r="D1104" t="str">
        <f>_xll.BDP("219399LD Muni","STATE_CODE")</f>
        <v>NY</v>
      </c>
      <c r="E1104" t="str">
        <f>_xll.BDP("219399LD Muni","COUNTY_LOCATION_ISSUER")</f>
        <v>Steuben, NY</v>
      </c>
      <c r="F1104">
        <f>_xll.BDP("219399LD Muni","DUR_ADJ_MID")</f>
        <v>0.45038288858369674</v>
      </c>
      <c r="G1104">
        <f>_xll.BDP("219399LD Muni","SPREAD_AT_ISSUANCE_TO_WORST")</f>
        <v>17.686222249338957</v>
      </c>
      <c r="H1104" t="str">
        <f>_xll.BDP("219399LD Muni","ISSUE_DT")</f>
        <v>1/24/2017</v>
      </c>
      <c r="I1104" t="str">
        <f>_xll.BDS("219399LD Muni","MUNI_PURPOSE_SCHED", "aggregate=y")</f>
        <v>PUBLIC IMPS. WATER UTILITY IMPS. SEWER IMPS.</v>
      </c>
      <c r="J1104">
        <f>_xll.BDP("219399LD Muni","CPN")</f>
        <v>2.5</v>
      </c>
      <c r="K1104" t="str">
        <f>_xll.BDP("219399LD Muni","MATURITY")</f>
        <v>1/15/2023</v>
      </c>
      <c r="L1104">
        <v>105000</v>
      </c>
      <c r="M1104">
        <f>_xll.BDP("219399LD Muni","YIELD_ON_ISSUE_DATE")</f>
        <v>2</v>
      </c>
      <c r="N1104">
        <f>_xll.BDP("219399LD Muni","YTW_SPREAD_TO_MATURITY_AT_ISSU")</f>
        <v>17.686222249338957</v>
      </c>
      <c r="O1104" t="str">
        <f>_xll.BDP("219399LD Muni","BVAL_MID_YTM")</f>
        <v>#N/A Authorization</v>
      </c>
      <c r="P1104" t="str">
        <f>_xll.BDP("219399LD Muni","MUNI_TAX_PROV")</f>
        <v>FED BQ/ST TAX-EXEMPT</v>
      </c>
      <c r="Q1104" t="str">
        <f>_xll.BDP("219399LD Muni","MUNI_FED_TAX")</f>
        <v>N</v>
      </c>
      <c r="R1104" t="str">
        <f>_xll.BDP("219399LD Muni","MUNI_MSRB_VOLUME")</f>
        <v>#N/A N/A</v>
      </c>
      <c r="S1104" t="str">
        <f>_xll.BDP("219399LD Muni","BB_COMPOSITE")</f>
        <v>AA-</v>
      </c>
      <c r="T1104">
        <f>_xll.BDP("219399LD Muni","LQA_LIQUIDITY_SCORE")</f>
        <v>94</v>
      </c>
    </row>
    <row r="1105" spans="1:20" x14ac:dyDescent="0.25">
      <c r="A1105" t="str">
        <f>_xll.BDP("275791GC Muni","ID_CUSIP")</f>
        <v>275791GC9</v>
      </c>
      <c r="B1105" t="s">
        <v>351</v>
      </c>
      <c r="C1105" t="str">
        <f>_xll.BDP("275791GC Muni","INSURANCE_STATUS")</f>
        <v>N</v>
      </c>
      <c r="D1105" t="str">
        <f>_xll.BDP("275791GC Muni","STATE_CODE")</f>
        <v>WA</v>
      </c>
      <c r="E1105" t="str">
        <f>_xll.BDP("275791GC Muni","COUNTY_LOCATION_ISSUER")</f>
        <v>Douglas, WA</v>
      </c>
      <c r="F1105">
        <f>_xll.BDP("275791GC Muni","DUR_ADJ_MID")</f>
        <v>5.5546433128695763E-3</v>
      </c>
      <c r="G1105">
        <f>_xll.BDP("275791GC Muni","SPREAD_AT_ISSUANCE_TO_WORST")</f>
        <v>22.508122543202735</v>
      </c>
      <c r="H1105" t="str">
        <f>_xll.BDP("275791GC Muni","ISSUE_DT")</f>
        <v>5/16/2017</v>
      </c>
      <c r="I1105" t="str">
        <f>_xll.BDS("275791GC Muni","MUNI_PURPOSE_SCHED", "aggregate=y")</f>
        <v>WATER UTILITY IMPS. ADVANCE REFUNDING</v>
      </c>
      <c r="J1105">
        <f>_xll.BDP("275791GC Muni","CPN")</f>
        <v>3</v>
      </c>
      <c r="K1105" t="str">
        <f>_xll.BDP("275791GC Muni","MATURITY")</f>
        <v>8/1/2022</v>
      </c>
      <c r="L1105">
        <v>270000</v>
      </c>
      <c r="M1105">
        <f>_xll.BDP("275791GC Muni","YIELD_ON_ISSUE_DATE")</f>
        <v>1.6600000000000001</v>
      </c>
      <c r="N1105">
        <f>_xll.BDP("275791GC Muni","YTW_SPREAD_TO_MATURITY_AT_ISSU")</f>
        <v>22.508122543202735</v>
      </c>
      <c r="O1105" t="str">
        <f>_xll.BDP("275791GC Muni","BVAL_MID_YTM")</f>
        <v>#N/A Authorization</v>
      </c>
      <c r="P1105" t="str">
        <f>_xll.BDP("275791GC Muni","MUNI_TAX_PROV")</f>
        <v>FED BQ</v>
      </c>
      <c r="Q1105" t="str">
        <f>_xll.BDP("275791GC Muni","MUNI_FED_TAX")</f>
        <v>N</v>
      </c>
      <c r="R1105" t="str">
        <f>_xll.BDP("275791GC Muni","MUNI_MSRB_VOLUME")</f>
        <v>#N/A N/A</v>
      </c>
      <c r="S1105" t="str">
        <f>_xll.BDP("275791GC Muni","BB_COMPOSITE")</f>
        <v>#N/A N/A</v>
      </c>
      <c r="T1105">
        <f>_xll.BDP("275791GC Muni","LQA_LIQUIDITY_SCORE")</f>
        <v>97</v>
      </c>
    </row>
    <row r="1106" spans="1:20" x14ac:dyDescent="0.25">
      <c r="A1106" t="str">
        <f>_xll.BDP("275791GG Muni","ID_CUSIP")</f>
        <v>275791GG0</v>
      </c>
      <c r="B1106" t="s">
        <v>351</v>
      </c>
      <c r="C1106" t="str">
        <f>_xll.BDP("275791GG Muni","INSURANCE_STATUS")</f>
        <v>N</v>
      </c>
      <c r="D1106" t="str">
        <f>_xll.BDP("275791GG Muni","STATE_CODE")</f>
        <v>WA</v>
      </c>
      <c r="E1106" t="str">
        <f>_xll.BDP("275791GG Muni","COUNTY_LOCATION_ISSUER")</f>
        <v>Douglas, WA</v>
      </c>
      <c r="F1106">
        <f>_xll.BDP("275791GG Muni","DUR_ADJ_MID")</f>
        <v>3.7051942967704208</v>
      </c>
      <c r="G1106">
        <f>_xll.BDP("275791GG Muni","SPREAD_AT_ISSUANCE_TO_WORST")</f>
        <v>23.572973504396888</v>
      </c>
      <c r="H1106" t="str">
        <f>_xll.BDP("275791GG Muni","ISSUE_DT")</f>
        <v>5/16/2017</v>
      </c>
      <c r="I1106" t="str">
        <f>_xll.BDS("275791GG Muni","MUNI_PURPOSE_SCHED", "aggregate=y")</f>
        <v>WATER UTILITY IMPS. ADVANCE REFUNDING</v>
      </c>
      <c r="J1106">
        <f>_xll.BDP("275791GG Muni","CPN")</f>
        <v>4</v>
      </c>
      <c r="K1106" t="str">
        <f>_xll.BDP("275791GG Muni","MATURITY")</f>
        <v>8/1/2026</v>
      </c>
      <c r="L1106">
        <v>365000</v>
      </c>
      <c r="M1106">
        <f>_xll.BDP("275791GG Muni","YIELD_ON_ISSUE_DATE")</f>
        <v>2.29</v>
      </c>
      <c r="N1106">
        <f>_xll.BDP("275791GG Muni","YTW_SPREAD_TO_MATURITY_AT_ISSU")</f>
        <v>23.572973504396888</v>
      </c>
      <c r="O1106" t="str">
        <f>_xll.BDP("275791GG Muni","BVAL_MID_YTM")</f>
        <v>#N/A Authorization</v>
      </c>
      <c r="P1106" t="str">
        <f>_xll.BDP("275791GG Muni","MUNI_TAX_PROV")</f>
        <v>FED BQ</v>
      </c>
      <c r="Q1106" t="str">
        <f>_xll.BDP("275791GG Muni","MUNI_FED_TAX")</f>
        <v>N</v>
      </c>
      <c r="R1106" t="str">
        <f>_xll.BDP("275791GG Muni","MUNI_MSRB_VOLUME")</f>
        <v>#N/A N/A</v>
      </c>
      <c r="S1106" t="str">
        <f>_xll.BDP("275791GG Muni","BB_COMPOSITE")</f>
        <v>#N/A N/A</v>
      </c>
      <c r="T1106">
        <f>_xll.BDP("275791GG Muni","LQA_LIQUIDITY_SCORE")</f>
        <v>41</v>
      </c>
    </row>
    <row r="1107" spans="1:20" x14ac:dyDescent="0.25">
      <c r="A1107" t="str">
        <f>_xll.BDP("27627MMQ Muni","ID_CUSIP")</f>
        <v>27627MMQ7</v>
      </c>
      <c r="B1107" t="s">
        <v>352</v>
      </c>
      <c r="C1107" t="str">
        <f>_xll.BDP("27627MMQ Muni","INSURANCE_STATUS")</f>
        <v>N</v>
      </c>
      <c r="D1107" t="str">
        <f>_xll.BDP("27627MMQ Muni","STATE_CODE")</f>
        <v>CA</v>
      </c>
      <c r="E1107" t="str">
        <f>_xll.BDP("27627MMQ Muni","COUNTY_LOCATION_ISSUER")</f>
        <v>Riverside, CA</v>
      </c>
      <c r="F1107">
        <f>_xll.BDP("27627MMQ Muni","DUR_ADJ_MID")</f>
        <v>1.0496165592545441</v>
      </c>
      <c r="G1107">
        <f>_xll.BDP("27627MMQ Muni","SPREAD_AT_ISSUANCE_TO_WORST")</f>
        <v>64.302331506849342</v>
      </c>
      <c r="H1107" t="str">
        <f>_xll.BDP("27627MMQ Muni","ISSUE_DT")</f>
        <v>11/16/2017</v>
      </c>
      <c r="I1107" t="str">
        <f>_xll.BDS("27627MMQ Muni","MUNI_PURPOSE_SCHED", "aggregate=y")</f>
        <v>WATER UTILITY IMPS. SEWER IMPS.</v>
      </c>
      <c r="J1107">
        <f>_xll.BDP("27627MMQ Muni","CPN")</f>
        <v>3</v>
      </c>
      <c r="K1107" t="str">
        <f>_xll.BDP("27627MMQ Muni","MATURITY")</f>
        <v>9/1/2023</v>
      </c>
      <c r="L1107">
        <v>55000</v>
      </c>
      <c r="M1107">
        <f>_xll.BDP("27627MMQ Muni","YIELD_ON_ISSUE_DATE")</f>
        <v>2.1800000000000002</v>
      </c>
      <c r="N1107">
        <f>_xll.BDP("27627MMQ Muni","YTW_SPREAD_TO_MATURITY_AT_ISSU")</f>
        <v>64.302331506849342</v>
      </c>
      <c r="O1107" t="str">
        <f>_xll.BDP("27627MMQ Muni","BVAL_MID_YTM")</f>
        <v>#N/A Authorization</v>
      </c>
      <c r="P1107" t="str">
        <f>_xll.BDP("27627MMQ Muni","MUNI_TAX_PROV")</f>
        <v>FED &amp; ST TAX-EXEMPT</v>
      </c>
      <c r="Q1107" t="str">
        <f>_xll.BDP("27627MMQ Muni","MUNI_FED_TAX")</f>
        <v>N</v>
      </c>
      <c r="R1107" t="str">
        <f>_xll.BDP("27627MMQ Muni","MUNI_MSRB_VOLUME")</f>
        <v>#N/A N/A</v>
      </c>
      <c r="S1107" t="str">
        <f>_xll.BDP("27627MMQ Muni","BB_COMPOSITE")</f>
        <v>#N/A N/A</v>
      </c>
      <c r="T1107">
        <f>_xll.BDP("27627MMQ Muni","LQA_LIQUIDITY_SCORE")</f>
        <v>80</v>
      </c>
    </row>
    <row r="1108" spans="1:20" x14ac:dyDescent="0.25">
      <c r="A1108" t="str">
        <f>_xll.BDP("27627MNN Muni","ID_CUSIP")</f>
        <v>27627MNN3</v>
      </c>
      <c r="B1108" t="s">
        <v>352</v>
      </c>
      <c r="C1108" t="str">
        <f>_xll.BDP("27627MNN Muni","INSURANCE_STATUS")</f>
        <v>N</v>
      </c>
      <c r="D1108" t="str">
        <f>_xll.BDP("27627MNN Muni","STATE_CODE")</f>
        <v>CA</v>
      </c>
      <c r="E1108" t="str">
        <f>_xll.BDP("27627MNN Muni","COUNTY_LOCATION_ISSUER")</f>
        <v>Riverside, CA</v>
      </c>
      <c r="F1108">
        <f>_xll.BDP("27627MNN Muni","DUR_ADJ_MID")</f>
        <v>1.0496165592545441</v>
      </c>
      <c r="G1108">
        <f>_xll.BDP("27627MNN Muni","SPREAD_AT_ISSUANCE_TO_WORST")</f>
        <v>69.302331506849328</v>
      </c>
      <c r="H1108" t="str">
        <f>_xll.BDP("27627MNN Muni","ISSUE_DT")</f>
        <v>11/16/2017</v>
      </c>
      <c r="I1108" t="str">
        <f>_xll.BDS("27627MNN Muni","MUNI_PURPOSE_SCHED", "aggregate=y")</f>
        <v>WATER UTILITY IMPS. SEWER IMPS.</v>
      </c>
      <c r="J1108">
        <f>_xll.BDP("27627MNN Muni","CPN")</f>
        <v>3</v>
      </c>
      <c r="K1108" t="str">
        <f>_xll.BDP("27627MNN Muni","MATURITY")</f>
        <v>9/1/2023</v>
      </c>
      <c r="L1108">
        <v>75000</v>
      </c>
      <c r="M1108">
        <f>_xll.BDP("27627MNN Muni","YIELD_ON_ISSUE_DATE")</f>
        <v>2.23</v>
      </c>
      <c r="N1108">
        <f>_xll.BDP("27627MNN Muni","YTW_SPREAD_TO_MATURITY_AT_ISSU")</f>
        <v>69.302331506849328</v>
      </c>
      <c r="O1108" t="str">
        <f>_xll.BDP("27627MNN Muni","BVAL_MID_YTM")</f>
        <v>#N/A Authorization</v>
      </c>
      <c r="P1108" t="str">
        <f>_xll.BDP("27627MNN Muni","MUNI_TAX_PROV")</f>
        <v>FED &amp; ST TAX-EXEMPT</v>
      </c>
      <c r="Q1108" t="str">
        <f>_xll.BDP("27627MNN Muni","MUNI_FED_TAX")</f>
        <v>N</v>
      </c>
      <c r="R1108" t="str">
        <f>_xll.BDP("27627MNN Muni","MUNI_MSRB_VOLUME")</f>
        <v>#N/A N/A</v>
      </c>
      <c r="S1108" t="str">
        <f>_xll.BDP("27627MNN Muni","BB_COMPOSITE")</f>
        <v>#N/A N/A</v>
      </c>
      <c r="T1108">
        <f>_xll.BDP("27627MNN Muni","LQA_LIQUIDITY_SCORE")</f>
        <v>81</v>
      </c>
    </row>
    <row r="1109" spans="1:20" x14ac:dyDescent="0.25">
      <c r="A1109" t="str">
        <f>_xll.BDP("405108RC Muni","ID_CUSIP")</f>
        <v>405108RC7</v>
      </c>
      <c r="B1109" t="s">
        <v>40</v>
      </c>
      <c r="C1109" t="str">
        <f>_xll.BDP("405108RC Muni","INSURANCE_STATUS")</f>
        <v>N</v>
      </c>
      <c r="D1109" t="str">
        <f>_xll.BDP("405108RC Muni","STATE_CODE")</f>
        <v>MD</v>
      </c>
      <c r="E1109" t="str">
        <f>_xll.BDP("405108RC Muni","COUNTY_LOCATION_ISSUER")</f>
        <v>Washington, MD</v>
      </c>
      <c r="F1109">
        <f>_xll.BDP("405108RC Muni","DUR_ADJ_MID")</f>
        <v>1.756405948531039</v>
      </c>
      <c r="G1109">
        <f>_xll.BDP("405108RC Muni","SPREAD_AT_ISSUANCE_TO_WORST")</f>
        <v>6.9165395627452275</v>
      </c>
      <c r="H1109" t="str">
        <f>_xll.BDP("405108RC Muni","ISSUE_DT")</f>
        <v>6/1/2017</v>
      </c>
      <c r="I1109" t="str">
        <f>_xll.BDS("405108RC Muni","MUNI_PURPOSE_SCHED", "aggregate=y")</f>
        <v>PUBLIC IMPS. WATER UTILITY IMPS. SEWER IMPS.</v>
      </c>
      <c r="J1109">
        <f>_xll.BDP("405108RC Muni","CPN")</f>
        <v>4</v>
      </c>
      <c r="K1109" t="str">
        <f>_xll.BDP("405108RC Muni","MATURITY")</f>
        <v>6/1/2024</v>
      </c>
      <c r="L1109">
        <v>245000</v>
      </c>
      <c r="M1109">
        <f>_xll.BDP("405108RC Muni","YIELD_ON_ISSUE_DATE")</f>
        <v>1.75</v>
      </c>
      <c r="N1109">
        <f>_xll.BDP("405108RC Muni","YTW_SPREAD_TO_MATURITY_AT_ISSU")</f>
        <v>6.9165395627452275</v>
      </c>
      <c r="O1109" t="str">
        <f>_xll.BDP("405108RC Muni","BVAL_MID_YTM")</f>
        <v>#N/A Authorization</v>
      </c>
      <c r="P1109" t="str">
        <f>_xll.BDP("405108RC Muni","MUNI_TAX_PROV")</f>
        <v>FED BQ/ST TAX-EXEMPT</v>
      </c>
      <c r="Q1109" t="str">
        <f>_xll.BDP("405108RC Muni","MUNI_FED_TAX")</f>
        <v>N</v>
      </c>
      <c r="R1109" t="str">
        <f>_xll.BDP("405108RC Muni","MUNI_MSRB_VOLUME")</f>
        <v>#N/A N/A</v>
      </c>
      <c r="S1109" t="str">
        <f>_xll.BDP("405108RC Muni","BB_COMPOSITE")</f>
        <v>AA-</v>
      </c>
      <c r="T1109">
        <f>_xll.BDP("405108RC Muni","LQA_LIQUIDITY_SCORE")</f>
        <v>81</v>
      </c>
    </row>
    <row r="1110" spans="1:20" x14ac:dyDescent="0.25">
      <c r="A1110" t="str">
        <f>_xll.BDP("405108RE Muni","ID_CUSIP")</f>
        <v>405108RE3</v>
      </c>
      <c r="B1110" t="s">
        <v>40</v>
      </c>
      <c r="C1110" t="str">
        <f>_xll.BDP("405108RE Muni","INSURANCE_STATUS")</f>
        <v>N</v>
      </c>
      <c r="D1110" t="str">
        <f>_xll.BDP("405108RE Muni","STATE_CODE")</f>
        <v>MD</v>
      </c>
      <c r="E1110" t="str">
        <f>_xll.BDP("405108RE Muni","COUNTY_LOCATION_ISSUER")</f>
        <v>Washington, MD</v>
      </c>
      <c r="F1110">
        <f>_xll.BDP("405108RE Muni","DUR_ADJ_MID")</f>
        <v>3.594613893095151</v>
      </c>
      <c r="G1110">
        <f>_xll.BDP("405108RE Muni","SPREAD_AT_ISSUANCE_TO_WORST")</f>
        <v>11.20468840208655</v>
      </c>
      <c r="H1110" t="str">
        <f>_xll.BDP("405108RE Muni","ISSUE_DT")</f>
        <v>6/1/2017</v>
      </c>
      <c r="I1110" t="str">
        <f>_xll.BDS("405108RE Muni","MUNI_PURPOSE_SCHED", "aggregate=y")</f>
        <v>PUBLIC IMPS. WATER UTILITY IMPS. SEWER IMPS.</v>
      </c>
      <c r="J1110">
        <f>_xll.BDP("405108RE Muni","CPN")</f>
        <v>3</v>
      </c>
      <c r="K1110" t="str">
        <f>_xll.BDP("405108RE Muni","MATURITY")</f>
        <v>6/1/2026</v>
      </c>
      <c r="L1110">
        <v>270000</v>
      </c>
      <c r="M1110">
        <f>_xll.BDP("405108RE Muni","YIELD_ON_ISSUE_DATE")</f>
        <v>2.1</v>
      </c>
      <c r="N1110">
        <f>_xll.BDP("405108RE Muni","YTW_SPREAD_TO_MATURITY_AT_ISSU")</f>
        <v>11.20468840208655</v>
      </c>
      <c r="O1110" t="str">
        <f>_xll.BDP("405108RE Muni","BVAL_MID_YTM")</f>
        <v>#N/A Authorization</v>
      </c>
      <c r="P1110" t="str">
        <f>_xll.BDP("405108RE Muni","MUNI_TAX_PROV")</f>
        <v>FED BQ/ST TAX-EXEMPT</v>
      </c>
      <c r="Q1110" t="str">
        <f>_xll.BDP("405108RE Muni","MUNI_FED_TAX")</f>
        <v>N</v>
      </c>
      <c r="R1110" t="str">
        <f>_xll.BDP("405108RE Muni","MUNI_MSRB_VOLUME")</f>
        <v>#N/A N/A</v>
      </c>
      <c r="S1110" t="str">
        <f>_xll.BDP("405108RE Muni","BB_COMPOSITE")</f>
        <v>AA-</v>
      </c>
      <c r="T1110">
        <f>_xll.BDP("405108RE Muni","LQA_LIQUIDITY_SCORE")</f>
        <v>63</v>
      </c>
    </row>
    <row r="1111" spans="1:20" x14ac:dyDescent="0.25">
      <c r="A1111" t="str">
        <f>_xll.BDP("405108RY Muni","ID_CUSIP")</f>
        <v>405108RY9</v>
      </c>
      <c r="B1111" t="s">
        <v>40</v>
      </c>
      <c r="C1111" t="str">
        <f>_xll.BDP("405108RY Muni","INSURANCE_STATUS")</f>
        <v>N</v>
      </c>
      <c r="D1111" t="str">
        <f>_xll.BDP("405108RY Muni","STATE_CODE")</f>
        <v>MD</v>
      </c>
      <c r="E1111" t="str">
        <f>_xll.BDP("405108RY Muni","COUNTY_LOCATION_ISSUER")</f>
        <v>Washington, MD</v>
      </c>
      <c r="F1111">
        <f>_xll.BDP("405108RY Muni","DUR_ADJ_MID")</f>
        <v>1.7590135675875955</v>
      </c>
      <c r="G1111">
        <f>_xll.BDP("405108RY Muni","SPREAD_AT_ISSUANCE_TO_WORST")</f>
        <v>44.736537378378394</v>
      </c>
      <c r="H1111" t="str">
        <f>_xll.BDP("405108RY Muni","ISSUE_DT")</f>
        <v>6/1/2017</v>
      </c>
      <c r="I1111" t="str">
        <f>_xll.BDS("405108RY Muni","MUNI_PURPOSE_SCHED", "aggregate=y")</f>
        <v>PUBLIC IMPS. WATER UTILITY IMPS. SEWER IMPS.</v>
      </c>
      <c r="J1111">
        <f>_xll.BDP("405108RY Muni","CPN")</f>
        <v>3</v>
      </c>
      <c r="K1111" t="str">
        <f>_xll.BDP("405108RY Muni","MATURITY")</f>
        <v>6/1/2024</v>
      </c>
      <c r="L1111">
        <v>70000</v>
      </c>
      <c r="M1111">
        <f>_xll.BDP("405108RY Muni","YIELD_ON_ISSUE_DATE")</f>
        <v>2.6</v>
      </c>
      <c r="N1111">
        <f>_xll.BDP("405108RY Muni","YTW_SPREAD_TO_MATURITY_AT_ISSU")</f>
        <v>44.736537378378394</v>
      </c>
      <c r="O1111" t="str">
        <f>_xll.BDP("405108RY Muni","BVAL_MID_YTM")</f>
        <v>#N/A Authorization</v>
      </c>
      <c r="P1111" t="str">
        <f>_xll.BDP("405108RY Muni","MUNI_TAX_PROV")</f>
        <v>FED TAXABLE/ST TAX-EXEMPT</v>
      </c>
      <c r="Q1111" t="str">
        <f>_xll.BDP("405108RY Muni","MUNI_FED_TAX")</f>
        <v>Y</v>
      </c>
      <c r="R1111" t="str">
        <f>_xll.BDP("405108RY Muni","MUNI_MSRB_VOLUME")</f>
        <v>#N/A N/A</v>
      </c>
      <c r="S1111" t="str">
        <f>_xll.BDP("405108RY Muni","BB_COMPOSITE")</f>
        <v>AA-</v>
      </c>
      <c r="T1111">
        <f>_xll.BDP("405108RY Muni","LQA_LIQUIDITY_SCORE")</f>
        <v>76</v>
      </c>
    </row>
    <row r="1112" spans="1:20" x14ac:dyDescent="0.25">
      <c r="A1112" t="str">
        <f>_xll.BDP("406450ZW Muni","ID_CUSIP")</f>
        <v>406450ZW9</v>
      </c>
      <c r="B1112" t="s">
        <v>353</v>
      </c>
      <c r="C1112" t="str">
        <f>_xll.BDP("406450ZW Muni","INSURANCE_STATUS")</f>
        <v>N</v>
      </c>
      <c r="D1112" t="str">
        <f>_xll.BDP("406450ZW Muni","STATE_CODE")</f>
        <v>TX</v>
      </c>
      <c r="E1112" t="str">
        <f>_xll.BDP("406450ZW Muni","COUNTY_LOCATION_ISSUER")</f>
        <v>Tarrant, TX</v>
      </c>
      <c r="F1112">
        <f>_xll.BDP("406450ZW Muni","DUR_ADJ_MID")</f>
        <v>1.4615602711424891</v>
      </c>
      <c r="G1112">
        <f>_xll.BDP("406450ZW Muni","SPREAD_AT_ISSUANCE_TO_WORST")</f>
        <v>25.135756164383572</v>
      </c>
      <c r="H1112" t="str">
        <f>_xll.BDP("406450ZW Muni","ISSUE_DT")</f>
        <v>12/1/2017</v>
      </c>
      <c r="I1112" t="str">
        <f>_xll.BDS("406450ZW Muni","MUNI_PURPOSE_SCHED", "aggregate=y")</f>
        <v>WATER UTILITY IMPS. SEWER IMPS. PUBLIC IMPS.</v>
      </c>
      <c r="J1112">
        <f>_xll.BDP("406450ZW Muni","CPN")</f>
        <v>3</v>
      </c>
      <c r="K1112" t="str">
        <f>_xll.BDP("406450ZW Muni","MATURITY")</f>
        <v>2/1/2024</v>
      </c>
      <c r="L1112">
        <v>450000</v>
      </c>
      <c r="M1112">
        <f>_xll.BDP("406450ZW Muni","YIELD_ON_ISSUE_DATE")</f>
        <v>1.95</v>
      </c>
      <c r="N1112">
        <f>_xll.BDP("406450ZW Muni","YTW_SPREAD_TO_MATURITY_AT_ISSU")</f>
        <v>25.135756164383572</v>
      </c>
      <c r="O1112" t="str">
        <f>_xll.BDP("406450ZW Muni","BVAL_MID_YTM")</f>
        <v>#N/A Authorization</v>
      </c>
      <c r="P1112" t="str">
        <f>_xll.BDP("406450ZW Muni","MUNI_TAX_PROV")</f>
        <v>FED BQ</v>
      </c>
      <c r="Q1112" t="str">
        <f>_xll.BDP("406450ZW Muni","MUNI_FED_TAX")</f>
        <v>N</v>
      </c>
      <c r="R1112" t="str">
        <f>_xll.BDP("406450ZW Muni","MUNI_MSRB_VOLUME")</f>
        <v>#N/A N/A</v>
      </c>
      <c r="S1112" t="str">
        <f>_xll.BDP("406450ZW Muni","BB_COMPOSITE")</f>
        <v>#N/A N/A</v>
      </c>
      <c r="T1112">
        <f>_xll.BDP("406450ZW Muni","LQA_LIQUIDITY_SCORE")</f>
        <v>76</v>
      </c>
    </row>
    <row r="1113" spans="1:20" x14ac:dyDescent="0.25">
      <c r="A1113" t="str">
        <f>_xll.BDP("406450ZZ Muni","ID_CUSIP")</f>
        <v>406450ZZ2</v>
      </c>
      <c r="B1113" t="s">
        <v>353</v>
      </c>
      <c r="C1113" t="str">
        <f>_xll.BDP("406450ZZ Muni","INSURANCE_STATUS")</f>
        <v>N</v>
      </c>
      <c r="D1113" t="str">
        <f>_xll.BDP("406450ZZ Muni","STATE_CODE")</f>
        <v>TX</v>
      </c>
      <c r="E1113" t="str">
        <f>_xll.BDP("406450ZZ Muni","COUNTY_LOCATION_ISSUER")</f>
        <v>Tarrant, TX</v>
      </c>
      <c r="F1113">
        <f>_xll.BDP("406450ZZ Muni","DUR_ADJ_MID")</f>
        <v>4.1286468697961949</v>
      </c>
      <c r="G1113">
        <f>_xll.BDP("406450ZZ Muni","SPREAD_AT_ISSUANCE_TO_WORST")</f>
        <v>28.667172602739743</v>
      </c>
      <c r="H1113" t="str">
        <f>_xll.BDP("406450ZZ Muni","ISSUE_DT")</f>
        <v>12/1/2017</v>
      </c>
      <c r="I1113" t="str">
        <f>_xll.BDS("406450ZZ Muni","MUNI_PURPOSE_SCHED", "aggregate=y")</f>
        <v>WATER UTILITY IMPS. SEWER IMPS. PUBLIC IMPS.</v>
      </c>
      <c r="J1113">
        <f>_xll.BDP("406450ZZ Muni","CPN")</f>
        <v>4</v>
      </c>
      <c r="K1113" t="str">
        <f>_xll.BDP("406450ZZ Muni","MATURITY")</f>
        <v>2/1/2027</v>
      </c>
      <c r="L1113">
        <v>505000</v>
      </c>
      <c r="M1113">
        <f>_xll.BDP("406450ZZ Muni","YIELD_ON_ISSUE_DATE")</f>
        <v>2.2000000000000002</v>
      </c>
      <c r="N1113">
        <f>_xll.BDP("406450ZZ Muni","YTW_SPREAD_TO_MATURITY_AT_ISSU")</f>
        <v>28.667172602739743</v>
      </c>
      <c r="O1113" t="str">
        <f>_xll.BDP("406450ZZ Muni","BVAL_MID_YTM")</f>
        <v>#N/A Authorization</v>
      </c>
      <c r="P1113" t="str">
        <f>_xll.BDP("406450ZZ Muni","MUNI_TAX_PROV")</f>
        <v>FED BQ</v>
      </c>
      <c r="Q1113" t="str">
        <f>_xll.BDP("406450ZZ Muni","MUNI_FED_TAX")</f>
        <v>N</v>
      </c>
      <c r="R1113" t="str">
        <f>_xll.BDP("406450ZZ Muni","MUNI_MSRB_VOLUME")</f>
        <v>#N/A N/A</v>
      </c>
      <c r="S1113" t="str">
        <f>_xll.BDP("406450ZZ Muni","BB_COMPOSITE")</f>
        <v>#N/A N/A</v>
      </c>
      <c r="T1113">
        <f>_xll.BDP("406450ZZ Muni","LQA_LIQUIDITY_SCORE")</f>
        <v>58</v>
      </c>
    </row>
    <row r="1114" spans="1:20" x14ac:dyDescent="0.25">
      <c r="A1114" t="str">
        <f>_xll.BDP("208399H8 Muni","ID_CUSIP")</f>
        <v>208399H81</v>
      </c>
      <c r="B1114" t="s">
        <v>134</v>
      </c>
      <c r="C1114" t="str">
        <f>_xll.BDP("208399H8 Muni","INSURANCE_STATUS")</f>
        <v>N</v>
      </c>
      <c r="D1114" t="str">
        <f>_xll.BDP("208399H8 Muni","STATE_CODE")</f>
        <v>TX</v>
      </c>
      <c r="E1114" t="str">
        <f>_xll.BDP("208399H8 Muni","COUNTY_LOCATION_ISSUER")</f>
        <v>Montgomery, TX</v>
      </c>
      <c r="F1114">
        <f>_xll.BDP("208399H8 Muni","DUR_ADJ_MID")</f>
        <v>3.0678011584863225</v>
      </c>
      <c r="G1114">
        <f>_xll.BDP("208399H8 Muni","SPREAD_AT_ISSUANCE_TO_WORST")</f>
        <v>29.921960676706405</v>
      </c>
      <c r="H1114" t="str">
        <f>_xll.BDP("208399H8 Muni","ISSUE_DT")</f>
        <v>9/1/2017</v>
      </c>
      <c r="I1114" t="str">
        <f>_xll.BDS("208399H8 Muni","MUNI_PURPOSE_SCHED", "aggregate=y")</f>
        <v>PUBLIC IMPS. WATER UTILITY IMPS. SEWER IMPS.</v>
      </c>
      <c r="J1114">
        <f>_xll.BDP("208399H8 Muni","CPN")</f>
        <v>4</v>
      </c>
      <c r="K1114" t="str">
        <f>_xll.BDP("208399H8 Muni","MATURITY")</f>
        <v>11/15/2025</v>
      </c>
      <c r="L1114">
        <v>920000</v>
      </c>
      <c r="M1114">
        <f>_xll.BDP("208399H8 Muni","YIELD_ON_ISSUE_DATE")</f>
        <v>1.92</v>
      </c>
      <c r="N1114">
        <f>_xll.BDP("208399H8 Muni","YTW_SPREAD_TO_MATURITY_AT_ISSU")</f>
        <v>29.921960676706405</v>
      </c>
      <c r="O1114" t="str">
        <f>_xll.BDP("208399H8 Muni","BVAL_MID_YTM")</f>
        <v>#N/A Authorization</v>
      </c>
      <c r="P1114" t="str">
        <f>_xll.BDP("208399H8 Muni","MUNI_TAX_PROV")</f>
        <v>FED TAX-EXEMPT</v>
      </c>
      <c r="Q1114" t="str">
        <f>_xll.BDP("208399H8 Muni","MUNI_FED_TAX")</f>
        <v>N</v>
      </c>
      <c r="R1114" t="str">
        <f>_xll.BDP("208399H8 Muni","MUNI_MSRB_VOLUME")</f>
        <v>#N/A N/A</v>
      </c>
      <c r="S1114" t="str">
        <f>_xll.BDP("208399H8 Muni","BB_COMPOSITE")</f>
        <v>AA+</v>
      </c>
      <c r="T1114">
        <f>_xll.BDP("208399H8 Muni","LQA_LIQUIDITY_SCORE")</f>
        <v>64</v>
      </c>
    </row>
    <row r="1115" spans="1:20" x14ac:dyDescent="0.25">
      <c r="A1115" t="str">
        <f>_xll.BDP("248379VP Muni","ID_CUSIP")</f>
        <v>248379VP1</v>
      </c>
      <c r="B1115" t="s">
        <v>354</v>
      </c>
      <c r="C1115" t="str">
        <f>_xll.BDP("248379VP Muni","INSURANCE_STATUS")</f>
        <v>N</v>
      </c>
      <c r="D1115" t="str">
        <f>_xll.BDP("248379VP Muni","STATE_CODE")</f>
        <v>TX</v>
      </c>
      <c r="E1115" t="str">
        <f>_xll.BDP("248379VP Muni","COUNTY_LOCATION_ISSUER")</f>
        <v>Grayson, TX</v>
      </c>
      <c r="F1115">
        <f>_xll.BDP("248379VP Muni","DUR_ADJ_MID")</f>
        <v>0.52523922922107102</v>
      </c>
      <c r="G1115">
        <f>_xll.BDP("248379VP Muni","SPREAD_AT_ISSUANCE_TO_WORST")</f>
        <v>30.444213174277589</v>
      </c>
      <c r="H1115" t="str">
        <f>_xll.BDP("248379VP Muni","ISSUE_DT")</f>
        <v>5/17/2017</v>
      </c>
      <c r="I1115" t="str">
        <f>_xll.BDS("248379VP Muni","MUNI_PURPOSE_SCHED", "aggregate=y")</f>
        <v>PUBLIC IMPS. WATER UTILITY IMPS. PROPERTY ACQUISITION</v>
      </c>
      <c r="J1115">
        <f>_xll.BDP("248379VP Muni","CPN")</f>
        <v>3</v>
      </c>
      <c r="K1115" t="str">
        <f>_xll.BDP("248379VP Muni","MATURITY")</f>
        <v>2/15/2023</v>
      </c>
      <c r="L1115">
        <v>300000</v>
      </c>
      <c r="M1115">
        <f>_xll.BDP("248379VP Muni","YIELD_ON_ISSUE_DATE")</f>
        <v>1.8</v>
      </c>
      <c r="N1115">
        <f>_xll.BDP("248379VP Muni","YTW_SPREAD_TO_MATURITY_AT_ISSU")</f>
        <v>30.444213174277589</v>
      </c>
      <c r="O1115" t="str">
        <f>_xll.BDP("248379VP Muni","BVAL_MID_YTM")</f>
        <v>#N/A Authorization</v>
      </c>
      <c r="P1115" t="str">
        <f>_xll.BDP("248379VP Muni","MUNI_TAX_PROV")</f>
        <v>FED BQ</v>
      </c>
      <c r="Q1115" t="str">
        <f>_xll.BDP("248379VP Muni","MUNI_FED_TAX")</f>
        <v>N</v>
      </c>
      <c r="R1115" t="str">
        <f>_xll.BDP("248379VP Muni","MUNI_MSRB_VOLUME")</f>
        <v>#N/A N/A</v>
      </c>
      <c r="S1115" t="str">
        <f>_xll.BDP("248379VP Muni","BB_COMPOSITE")</f>
        <v>AA-</v>
      </c>
      <c r="T1115">
        <f>_xll.BDP("248379VP Muni","LQA_LIQUIDITY_SCORE")</f>
        <v>89</v>
      </c>
    </row>
    <row r="1116" spans="1:20" x14ac:dyDescent="0.25">
      <c r="A1116" t="str">
        <f>_xll.BDP("248379VQ Muni","ID_CUSIP")</f>
        <v>248379VQ9</v>
      </c>
      <c r="B1116" t="s">
        <v>354</v>
      </c>
      <c r="C1116" t="str">
        <f>_xll.BDP("248379VQ Muni","INSURANCE_STATUS")</f>
        <v>N</v>
      </c>
      <c r="D1116" t="str">
        <f>_xll.BDP("248379VQ Muni","STATE_CODE")</f>
        <v>TX</v>
      </c>
      <c r="E1116" t="str">
        <f>_xll.BDP("248379VQ Muni","COUNTY_LOCATION_ISSUER")</f>
        <v>Grayson, TX</v>
      </c>
      <c r="F1116">
        <f>_xll.BDP("248379VQ Muni","DUR_ADJ_MID")</f>
        <v>1.4787127404535467</v>
      </c>
      <c r="G1116">
        <f>_xll.BDP("248379VQ Muni","SPREAD_AT_ISSUANCE_TO_WORST")</f>
        <v>23.915077720727584</v>
      </c>
      <c r="H1116" t="str">
        <f>_xll.BDP("248379VQ Muni","ISSUE_DT")</f>
        <v>5/17/2017</v>
      </c>
      <c r="I1116" t="str">
        <f>_xll.BDS("248379VQ Muni","MUNI_PURPOSE_SCHED", "aggregate=y")</f>
        <v>PUBLIC IMPS. WATER UTILITY IMPS. PROPERTY ACQUISITION</v>
      </c>
      <c r="J1116">
        <f>_xll.BDP("248379VQ Muni","CPN")</f>
        <v>3</v>
      </c>
      <c r="K1116" t="str">
        <f>_xll.BDP("248379VQ Muni","MATURITY")</f>
        <v>2/15/2024</v>
      </c>
      <c r="L1116">
        <v>305000</v>
      </c>
      <c r="M1116">
        <f>_xll.BDP("248379VQ Muni","YIELD_ON_ISSUE_DATE")</f>
        <v>1.9000000000000001</v>
      </c>
      <c r="N1116">
        <f>_xll.BDP("248379VQ Muni","YTW_SPREAD_TO_MATURITY_AT_ISSU")</f>
        <v>23.915077720727584</v>
      </c>
      <c r="O1116" t="str">
        <f>_xll.BDP("248379VQ Muni","BVAL_MID_YTM")</f>
        <v>#N/A Authorization</v>
      </c>
      <c r="P1116" t="str">
        <f>_xll.BDP("248379VQ Muni","MUNI_TAX_PROV")</f>
        <v>FED BQ</v>
      </c>
      <c r="Q1116" t="str">
        <f>_xll.BDP("248379VQ Muni","MUNI_FED_TAX")</f>
        <v>N</v>
      </c>
      <c r="R1116" t="str">
        <f>_xll.BDP("248379VQ Muni","MUNI_MSRB_VOLUME")</f>
        <v>#N/A N/A</v>
      </c>
      <c r="S1116" t="str">
        <f>_xll.BDP("248379VQ Muni","BB_COMPOSITE")</f>
        <v>AA-</v>
      </c>
      <c r="T1116">
        <f>_xll.BDP("248379VQ Muni","LQA_LIQUIDITY_SCORE")</f>
        <v>78</v>
      </c>
    </row>
    <row r="1117" spans="1:20" x14ac:dyDescent="0.25">
      <c r="A1117" t="str">
        <f>_xll.BDP("248379VR Muni","ID_CUSIP")</f>
        <v>248379VR7</v>
      </c>
      <c r="B1117" t="s">
        <v>354</v>
      </c>
      <c r="C1117" t="str">
        <f>_xll.BDP("248379VR Muni","INSURANCE_STATUS")</f>
        <v>N</v>
      </c>
      <c r="D1117" t="str">
        <f>_xll.BDP("248379VR Muni","STATE_CODE")</f>
        <v>TX</v>
      </c>
      <c r="E1117" t="str">
        <f>_xll.BDP("248379VR Muni","COUNTY_LOCATION_ISSUER")</f>
        <v>Grayson, TX</v>
      </c>
      <c r="F1117">
        <f>_xll.BDP("248379VR Muni","DUR_ADJ_MID")</f>
        <v>2.4042917236183445</v>
      </c>
      <c r="G1117">
        <f>_xll.BDP("248379VR Muni","SPREAD_AT_ISSUANCE_TO_WORST")</f>
        <v>17.552099693620459</v>
      </c>
      <c r="H1117" t="str">
        <f>_xll.BDP("248379VR Muni","ISSUE_DT")</f>
        <v>5/17/2017</v>
      </c>
      <c r="I1117" t="str">
        <f>_xll.BDS("248379VR Muni","MUNI_PURPOSE_SCHED", "aggregate=y")</f>
        <v>PUBLIC IMPS. WATER UTILITY IMPS. PROPERTY ACQUISITION</v>
      </c>
      <c r="J1117">
        <f>_xll.BDP("248379VR Muni","CPN")</f>
        <v>3</v>
      </c>
      <c r="K1117" t="str">
        <f>_xll.BDP("248379VR Muni","MATURITY")</f>
        <v>2/15/2025</v>
      </c>
      <c r="L1117">
        <v>315000</v>
      </c>
      <c r="M1117">
        <f>_xll.BDP("248379VR Muni","YIELD_ON_ISSUE_DATE")</f>
        <v>2</v>
      </c>
      <c r="N1117">
        <f>_xll.BDP("248379VR Muni","YTW_SPREAD_TO_MATURITY_AT_ISSU")</f>
        <v>17.552099693620459</v>
      </c>
      <c r="O1117" t="str">
        <f>_xll.BDP("248379VR Muni","BVAL_MID_YTM")</f>
        <v>#N/A Authorization</v>
      </c>
      <c r="P1117" t="str">
        <f>_xll.BDP("248379VR Muni","MUNI_TAX_PROV")</f>
        <v>FED BQ</v>
      </c>
      <c r="Q1117" t="str">
        <f>_xll.BDP("248379VR Muni","MUNI_FED_TAX")</f>
        <v>N</v>
      </c>
      <c r="R1117" t="str">
        <f>_xll.BDP("248379VR Muni","MUNI_MSRB_VOLUME")</f>
        <v>#N/A N/A</v>
      </c>
      <c r="S1117" t="str">
        <f>_xll.BDP("248379VR Muni","BB_COMPOSITE")</f>
        <v>AA-</v>
      </c>
      <c r="T1117">
        <f>_xll.BDP("248379VR Muni","LQA_LIQUIDITY_SCORE")</f>
        <v>69</v>
      </c>
    </row>
    <row r="1118" spans="1:20" x14ac:dyDescent="0.25">
      <c r="A1118" t="str">
        <f>_xll.BDP("248379VS Muni","ID_CUSIP")</f>
        <v>248379VS5</v>
      </c>
      <c r="B1118" t="s">
        <v>354</v>
      </c>
      <c r="C1118" t="str">
        <f>_xll.BDP("248379VS Muni","INSURANCE_STATUS")</f>
        <v>N</v>
      </c>
      <c r="D1118" t="str">
        <f>_xll.BDP("248379VS Muni","STATE_CODE")</f>
        <v>TX</v>
      </c>
      <c r="E1118" t="str">
        <f>_xll.BDP("248379VS Muni","COUNTY_LOCATION_ISSUER")</f>
        <v>Grayson, TX</v>
      </c>
      <c r="F1118">
        <f>_xll.BDP("248379VS Muni","DUR_ADJ_MID")</f>
        <v>3.3034697283337189</v>
      </c>
      <c r="G1118">
        <f>_xll.BDP("248379VS Muni","SPREAD_AT_ISSUANCE_TO_WORST")</f>
        <v>12.73599824382854</v>
      </c>
      <c r="H1118" t="str">
        <f>_xll.BDP("248379VS Muni","ISSUE_DT")</f>
        <v>5/17/2017</v>
      </c>
      <c r="I1118" t="str">
        <f>_xll.BDS("248379VS Muni","MUNI_PURPOSE_SCHED", "aggregate=y")</f>
        <v>PUBLIC IMPS. WATER UTILITY IMPS. PROPERTY ACQUISITION</v>
      </c>
      <c r="J1118">
        <f>_xll.BDP("248379VS Muni","CPN")</f>
        <v>3</v>
      </c>
      <c r="K1118" t="str">
        <f>_xll.BDP("248379VS Muni","MATURITY")</f>
        <v>2/15/2026</v>
      </c>
      <c r="L1118">
        <v>325000</v>
      </c>
      <c r="M1118">
        <f>_xll.BDP("248379VS Muni","YIELD_ON_ISSUE_DATE")</f>
        <v>2.1</v>
      </c>
      <c r="N1118">
        <f>_xll.BDP("248379VS Muni","YTW_SPREAD_TO_MATURITY_AT_ISSU")</f>
        <v>12.73599824382854</v>
      </c>
      <c r="O1118" t="str">
        <f>_xll.BDP("248379VS Muni","BVAL_MID_YTM")</f>
        <v>#N/A Authorization</v>
      </c>
      <c r="P1118" t="str">
        <f>_xll.BDP("248379VS Muni","MUNI_TAX_PROV")</f>
        <v>FED BQ</v>
      </c>
      <c r="Q1118" t="str">
        <f>_xll.BDP("248379VS Muni","MUNI_FED_TAX")</f>
        <v>N</v>
      </c>
      <c r="R1118" t="str">
        <f>_xll.BDP("248379VS Muni","MUNI_MSRB_VOLUME")</f>
        <v>#N/A N/A</v>
      </c>
      <c r="S1118" t="str">
        <f>_xll.BDP("248379VS Muni","BB_COMPOSITE")</f>
        <v>AA-</v>
      </c>
      <c r="T1118">
        <f>_xll.BDP("248379VS Muni","LQA_LIQUIDITY_SCORE")</f>
        <v>60</v>
      </c>
    </row>
    <row r="1119" spans="1:20" x14ac:dyDescent="0.25">
      <c r="A1119" t="str">
        <f>_xll.BDP("24879PPQ Muni","ID_CUSIP")</f>
        <v>24879PPQ9</v>
      </c>
      <c r="B1119" t="s">
        <v>355</v>
      </c>
      <c r="C1119" t="str">
        <f>_xll.BDP("24879PPQ Muni","INSURANCE_STATUS")</f>
        <v>Y</v>
      </c>
      <c r="D1119" t="str">
        <f>_xll.BDP("24879PPQ Muni","STATE_CODE")</f>
        <v>TX</v>
      </c>
      <c r="E1119" t="str">
        <f>_xll.BDP("24879PPQ Muni","COUNTY_LOCATION_ISSUER")</f>
        <v>Denton, TX</v>
      </c>
      <c r="F1119">
        <f>_xll.BDP("24879PPQ Muni","DUR_ADJ_MID")</f>
        <v>0.52918010427832385</v>
      </c>
      <c r="G1119">
        <f>_xll.BDP("24879PPQ Muni","SPREAD_AT_ISSUANCE_TO_WORST")</f>
        <v>45.130986639413017</v>
      </c>
      <c r="H1119" t="str">
        <f>_xll.BDP("24879PPQ Muni","ISSUE_DT")</f>
        <v>6/15/2017</v>
      </c>
      <c r="I1119" t="str">
        <f>_xll.BDS("24879PPQ Muni","MUNI_PURPOSE_SCHED", "aggregate=y")</f>
        <v>WATER UTILITY IMPS. SEWER IMPS.</v>
      </c>
      <c r="J1119">
        <f>_xll.BDP("24879PPQ Muni","CPN")</f>
        <v>2</v>
      </c>
      <c r="K1119" t="str">
        <f>_xll.BDP("24879PPQ Muni","MATURITY")</f>
        <v>2/15/2023</v>
      </c>
      <c r="L1119">
        <v>165000</v>
      </c>
      <c r="M1119">
        <f>_xll.BDP("24879PPQ Muni","YIELD_ON_ISSUE_DATE")</f>
        <v>1.75</v>
      </c>
      <c r="N1119">
        <f>_xll.BDP("24879PPQ Muni","YTW_SPREAD_TO_MATURITY_AT_ISSU")</f>
        <v>45.130986639413017</v>
      </c>
      <c r="O1119" t="str">
        <f>_xll.BDP("24879PPQ Muni","BVAL_MID_YTM")</f>
        <v>#N/A Authorization</v>
      </c>
      <c r="P1119" t="str">
        <f>_xll.BDP("24879PPQ Muni","MUNI_TAX_PROV")</f>
        <v>FED TAX-EXEMPT</v>
      </c>
      <c r="Q1119" t="str">
        <f>_xll.BDP("24879PPQ Muni","MUNI_FED_TAX")</f>
        <v>N</v>
      </c>
      <c r="R1119" t="str">
        <f>_xll.BDP("24879PPQ Muni","MUNI_MSRB_VOLUME")</f>
        <v>#N/A N/A</v>
      </c>
      <c r="S1119" t="str">
        <f>_xll.BDP("24879PPQ Muni","BB_COMPOSITE")</f>
        <v>A+</v>
      </c>
      <c r="T1119">
        <f>_xll.BDP("24879PPQ Muni","LQA_LIQUIDITY_SCORE")</f>
        <v>81</v>
      </c>
    </row>
    <row r="1120" spans="1:20" x14ac:dyDescent="0.25">
      <c r="A1120" t="str">
        <f>_xll.BDP("24879VGA Muni","ID_CUSIP")</f>
        <v>24879VGA1</v>
      </c>
      <c r="B1120" t="s">
        <v>356</v>
      </c>
      <c r="C1120" t="str">
        <f>_xll.BDP("24879VGA Muni","INSURANCE_STATUS")</f>
        <v>Y</v>
      </c>
      <c r="D1120" t="str">
        <f>_xll.BDP("24879VGA Muni","STATE_CODE")</f>
        <v>TX</v>
      </c>
      <c r="E1120" t="str">
        <f>_xll.BDP("24879VGA Muni","COUNTY_LOCATION_ISSUER")</f>
        <v>Denton, TX</v>
      </c>
      <c r="F1120">
        <f>_xll.BDP("24879VGA Muni","DUR_ADJ_MID")</f>
        <v>8.046139857723425E-2</v>
      </c>
      <c r="G1120">
        <f>_xll.BDP("24879VGA Muni","SPREAD_AT_ISSUANCE_TO_WORST")</f>
        <v>60.827813698630152</v>
      </c>
      <c r="H1120" t="str">
        <f>_xll.BDP("24879VGA Muni","ISSUE_DT")</f>
        <v>12/1/2017</v>
      </c>
      <c r="I1120" t="str">
        <f>_xll.BDS("24879VGA Muni","MUNI_PURPOSE_SCHED", "aggregate=y")</f>
        <v>WATER UTILITY IMPS. SEWER IMPS.</v>
      </c>
      <c r="J1120">
        <f>_xll.BDP("24879VGA Muni","CPN")</f>
        <v>4</v>
      </c>
      <c r="K1120" t="str">
        <f>_xll.BDP("24879VGA Muni","MATURITY")</f>
        <v>9/1/2022</v>
      </c>
      <c r="L1120">
        <v>95000</v>
      </c>
      <c r="M1120">
        <f>_xll.BDP("24879VGA Muni","YIELD_ON_ISSUE_DATE")</f>
        <v>2.1</v>
      </c>
      <c r="N1120">
        <f>_xll.BDP("24879VGA Muni","YTW_SPREAD_TO_MATURITY_AT_ISSU")</f>
        <v>60.827813698630152</v>
      </c>
      <c r="O1120" t="str">
        <f>_xll.BDP("24879VGA Muni","BVAL_MID_YTM")</f>
        <v>#N/A Authorization</v>
      </c>
      <c r="P1120" t="str">
        <f>_xll.BDP("24879VGA Muni","MUNI_TAX_PROV")</f>
        <v>FED BQ</v>
      </c>
      <c r="Q1120" t="str">
        <f>_xll.BDP("24879VGA Muni","MUNI_FED_TAX")</f>
        <v>N</v>
      </c>
      <c r="R1120" t="str">
        <f>_xll.BDP("24879VGA Muni","MUNI_MSRB_VOLUME")</f>
        <v>#N/A N/A</v>
      </c>
      <c r="S1120" t="str">
        <f>_xll.BDP("24879VGA Muni","BB_COMPOSITE")</f>
        <v>AA-</v>
      </c>
      <c r="T1120">
        <f>_xll.BDP("24879VGA Muni","LQA_LIQUIDITY_SCORE")</f>
        <v>97</v>
      </c>
    </row>
    <row r="1121" spans="1:20" x14ac:dyDescent="0.25">
      <c r="A1121" t="str">
        <f>_xll.BDP("24879VGB Muni","ID_CUSIP")</f>
        <v>24879VGB9</v>
      </c>
      <c r="B1121" t="s">
        <v>356</v>
      </c>
      <c r="C1121" t="str">
        <f>_xll.BDP("24879VGB Muni","INSURANCE_STATUS")</f>
        <v>Y</v>
      </c>
      <c r="D1121" t="str">
        <f>_xll.BDP("24879VGB Muni","STATE_CODE")</f>
        <v>TX</v>
      </c>
      <c r="E1121" t="str">
        <f>_xll.BDP("24879VGB Muni","COUNTY_LOCATION_ISSUER")</f>
        <v>Denton, TX</v>
      </c>
      <c r="F1121">
        <f>_xll.BDP("24879VGB Muni","DUR_ADJ_MID")</f>
        <v>1.0411050887544022</v>
      </c>
      <c r="G1121">
        <f>_xll.BDP("24879VGB Muni","SPREAD_AT_ISSUANCE_TO_WORST")</f>
        <v>61.762191780821937</v>
      </c>
      <c r="H1121" t="str">
        <f>_xll.BDP("24879VGB Muni","ISSUE_DT")</f>
        <v>12/1/2017</v>
      </c>
      <c r="I1121" t="str">
        <f>_xll.BDS("24879VGB Muni","MUNI_PURPOSE_SCHED", "aggregate=y")</f>
        <v>WATER UTILITY IMPS. SEWER IMPS.</v>
      </c>
      <c r="J1121">
        <f>_xll.BDP("24879VGB Muni","CPN")</f>
        <v>4</v>
      </c>
      <c r="K1121" t="str">
        <f>_xll.BDP("24879VGB Muni","MATURITY")</f>
        <v>9/1/2023</v>
      </c>
      <c r="L1121">
        <v>100000</v>
      </c>
      <c r="M1121">
        <f>_xll.BDP("24879VGB Muni","YIELD_ON_ISSUE_DATE")</f>
        <v>2.2200000000000002</v>
      </c>
      <c r="N1121">
        <f>_xll.BDP("24879VGB Muni","YTW_SPREAD_TO_MATURITY_AT_ISSU")</f>
        <v>61.762191780821937</v>
      </c>
      <c r="O1121" t="str">
        <f>_xll.BDP("24879VGB Muni","BVAL_MID_YTM")</f>
        <v>#N/A Authorization</v>
      </c>
      <c r="P1121" t="str">
        <f>_xll.BDP("24879VGB Muni","MUNI_TAX_PROV")</f>
        <v>FED BQ</v>
      </c>
      <c r="Q1121" t="str">
        <f>_xll.BDP("24879VGB Muni","MUNI_FED_TAX")</f>
        <v>N</v>
      </c>
      <c r="R1121" t="str">
        <f>_xll.BDP("24879VGB Muni","MUNI_MSRB_VOLUME")</f>
        <v>#N/A N/A</v>
      </c>
      <c r="S1121" t="str">
        <f>_xll.BDP("24879VGB Muni","BB_COMPOSITE")</f>
        <v>AA-</v>
      </c>
      <c r="T1121">
        <f>_xll.BDP("24879VGB Muni","LQA_LIQUIDITY_SCORE")</f>
        <v>89</v>
      </c>
    </row>
    <row r="1122" spans="1:20" x14ac:dyDescent="0.25">
      <c r="A1122" t="str">
        <f>_xll.BDP("24879VGC Muni","ID_CUSIP")</f>
        <v>24879VGC7</v>
      </c>
      <c r="B1122" t="s">
        <v>356</v>
      </c>
      <c r="C1122" t="str">
        <f>_xll.BDP("24879VGC Muni","INSURANCE_STATUS")</f>
        <v>Y</v>
      </c>
      <c r="D1122" t="str">
        <f>_xll.BDP("24879VGC Muni","STATE_CODE")</f>
        <v>TX</v>
      </c>
      <c r="E1122" t="str">
        <f>_xll.BDP("24879VGC Muni","COUNTY_LOCATION_ISSUER")</f>
        <v>Denton, TX</v>
      </c>
      <c r="F1122">
        <f>_xll.BDP("24879VGC Muni","DUR_ADJ_MID")</f>
        <v>1.9857325643999886</v>
      </c>
      <c r="G1122">
        <f>_xll.BDP("24879VGC Muni","SPREAD_AT_ISSUANCE_TO_WORST")</f>
        <v>59.346947945205471</v>
      </c>
      <c r="H1122" t="str">
        <f>_xll.BDP("24879VGC Muni","ISSUE_DT")</f>
        <v>12/1/2017</v>
      </c>
      <c r="I1122" t="str">
        <f>_xll.BDS("24879VGC Muni","MUNI_PURPOSE_SCHED", "aggregate=y")</f>
        <v>WATER UTILITY IMPS. SEWER IMPS.</v>
      </c>
      <c r="J1122">
        <f>_xll.BDP("24879VGC Muni","CPN")</f>
        <v>3</v>
      </c>
      <c r="K1122" t="str">
        <f>_xll.BDP("24879VGC Muni","MATURITY")</f>
        <v>9/1/2024</v>
      </c>
      <c r="L1122">
        <v>105000</v>
      </c>
      <c r="M1122">
        <f>_xll.BDP("24879VGC Muni","YIELD_ON_ISSUE_DATE")</f>
        <v>2.3000000000000003</v>
      </c>
      <c r="N1122">
        <f>_xll.BDP("24879VGC Muni","YTW_SPREAD_TO_MATURITY_AT_ISSU")</f>
        <v>59.346947945205471</v>
      </c>
      <c r="O1122" t="str">
        <f>_xll.BDP("24879VGC Muni","BVAL_MID_YTM")</f>
        <v>#N/A Authorization</v>
      </c>
      <c r="P1122" t="str">
        <f>_xll.BDP("24879VGC Muni","MUNI_TAX_PROV")</f>
        <v>FED BQ</v>
      </c>
      <c r="Q1122" t="str">
        <f>_xll.BDP("24879VGC Muni","MUNI_FED_TAX")</f>
        <v>N</v>
      </c>
      <c r="R1122" t="str">
        <f>_xll.BDP("24879VGC Muni","MUNI_MSRB_VOLUME")</f>
        <v>#N/A N/A</v>
      </c>
      <c r="S1122" t="str">
        <f>_xll.BDP("24879VGC Muni","BB_COMPOSITE")</f>
        <v>AA-</v>
      </c>
      <c r="T1122">
        <f>_xll.BDP("24879VGC Muni","LQA_LIQUIDITY_SCORE")</f>
        <v>73</v>
      </c>
    </row>
    <row r="1123" spans="1:20" x14ac:dyDescent="0.25">
      <c r="A1123" t="str">
        <f>_xll.BDP("24879VGD Muni","ID_CUSIP")</f>
        <v>24879VGD5</v>
      </c>
      <c r="B1123" t="s">
        <v>356</v>
      </c>
      <c r="C1123" t="str">
        <f>_xll.BDP("24879VGD Muni","INSURANCE_STATUS")</f>
        <v>Y</v>
      </c>
      <c r="D1123" t="str">
        <f>_xll.BDP("24879VGD Muni","STATE_CODE")</f>
        <v>TX</v>
      </c>
      <c r="E1123" t="str">
        <f>_xll.BDP("24879VGD Muni","COUNTY_LOCATION_ISSUER")</f>
        <v>Denton, TX</v>
      </c>
      <c r="F1123">
        <f>_xll.BDP("24879VGD Muni","DUR_ADJ_MID")</f>
        <v>2.9303182559980949</v>
      </c>
      <c r="G1123">
        <f>_xll.BDP("24879VGD Muni","SPREAD_AT_ISSUANCE_TO_WORST")</f>
        <v>73.219084931506842</v>
      </c>
      <c r="H1123" t="str">
        <f>_xll.BDP("24879VGD Muni","ISSUE_DT")</f>
        <v>12/1/2017</v>
      </c>
      <c r="I1123" t="str">
        <f>_xll.BDS("24879VGD Muni","MUNI_PURPOSE_SCHED", "aggregate=y")</f>
        <v>WATER UTILITY IMPS. SEWER IMPS.</v>
      </c>
      <c r="J1123">
        <f>_xll.BDP("24879VGD Muni","CPN")</f>
        <v>2.25</v>
      </c>
      <c r="K1123" t="str">
        <f>_xll.BDP("24879VGD Muni","MATURITY")</f>
        <v>9/1/2025</v>
      </c>
      <c r="L1123">
        <v>105000</v>
      </c>
      <c r="M1123">
        <f>_xll.BDP("24879VGD Muni","YIELD_ON_ISSUE_DATE")</f>
        <v>2.5500000000000003</v>
      </c>
      <c r="N1123">
        <f>_xll.BDP("24879VGD Muni","YTW_SPREAD_TO_MATURITY_AT_ISSU")</f>
        <v>73.219084931506842</v>
      </c>
      <c r="O1123" t="str">
        <f>_xll.BDP("24879VGD Muni","BVAL_MID_YTM")</f>
        <v>#N/A Authorization</v>
      </c>
      <c r="P1123" t="str">
        <f>_xll.BDP("24879VGD Muni","MUNI_TAX_PROV")</f>
        <v>FED BQ</v>
      </c>
      <c r="Q1123" t="str">
        <f>_xll.BDP("24879VGD Muni","MUNI_FED_TAX")</f>
        <v>N</v>
      </c>
      <c r="R1123" t="str">
        <f>_xll.BDP("24879VGD Muni","MUNI_MSRB_VOLUME")</f>
        <v>#N/A N/A</v>
      </c>
      <c r="S1123" t="str">
        <f>_xll.BDP("24879VGD Muni","BB_COMPOSITE")</f>
        <v>AA-</v>
      </c>
      <c r="T1123">
        <f>_xll.BDP("24879VGD Muni","LQA_LIQUIDITY_SCORE")</f>
        <v>52</v>
      </c>
    </row>
    <row r="1124" spans="1:20" x14ac:dyDescent="0.25">
      <c r="A1124" t="str">
        <f>_xll.BDP("24880AKM Muni","ID_CUSIP")</f>
        <v>24880AKM3</v>
      </c>
      <c r="B1124" t="s">
        <v>187</v>
      </c>
      <c r="C1124" t="str">
        <f>_xll.BDP("24880AKM Muni","INSURANCE_STATUS")</f>
        <v>Y</v>
      </c>
      <c r="D1124" t="str">
        <f>_xll.BDP("24880AKM Muni","STATE_CODE")</f>
        <v>TX</v>
      </c>
      <c r="E1124" t="str">
        <f>_xll.BDP("24880AKM Muni","COUNTY_LOCATION_ISSUER")</f>
        <v>Denton, TX</v>
      </c>
      <c r="F1124">
        <f>_xll.BDP("24880AKM Muni","DUR_ADJ_MID")</f>
        <v>8.0465899476623443E-2</v>
      </c>
      <c r="G1124">
        <f>_xll.BDP("24880AKM Muni","SPREAD_AT_ISSUANCE_TO_WORST")</f>
        <v>76.278340520653558</v>
      </c>
      <c r="H1124" t="str">
        <f>_xll.BDP("24880AKM Muni","ISSUE_DT")</f>
        <v>1/1/2017</v>
      </c>
      <c r="I1124" t="str">
        <f>_xll.BDS("24880AKM Muni","MUNI_PURPOSE_SCHED", "aggregate=y")</f>
        <v>WATER UTILITY IMPS. SEWER IMPS.</v>
      </c>
      <c r="J1124">
        <f>_xll.BDP("24880AKM Muni","CPN")</f>
        <v>3</v>
      </c>
      <c r="K1124" t="str">
        <f>_xll.BDP("24880AKM Muni","MATURITY")</f>
        <v>9/1/2022</v>
      </c>
      <c r="L1124">
        <v>135000</v>
      </c>
      <c r="M1124">
        <f>_xll.BDP("24880AKM Muni","YIELD_ON_ISSUE_DATE")</f>
        <v>2.65</v>
      </c>
      <c r="N1124">
        <f>_xll.BDP("24880AKM Muni","YTW_SPREAD_TO_MATURITY_AT_ISSU")</f>
        <v>76.278340520653558</v>
      </c>
      <c r="O1124" t="str">
        <f>_xll.BDP("24880AKM Muni","BVAL_MID_YTM")</f>
        <v>#N/A Authorization</v>
      </c>
      <c r="P1124" t="str">
        <f>_xll.BDP("24880AKM Muni","MUNI_TAX_PROV")</f>
        <v>FED BQ</v>
      </c>
      <c r="Q1124" t="str">
        <f>_xll.BDP("24880AKM Muni","MUNI_FED_TAX")</f>
        <v>N</v>
      </c>
      <c r="R1124" t="str">
        <f>_xll.BDP("24880AKM Muni","MUNI_MSRB_VOLUME")</f>
        <v>#N/A N/A</v>
      </c>
      <c r="S1124" t="str">
        <f>_xll.BDP("24880AKM Muni","BB_COMPOSITE")</f>
        <v>#N/A N/A</v>
      </c>
      <c r="T1124">
        <f>_xll.BDP("24880AKM Muni","LQA_LIQUIDITY_SCORE")</f>
        <v>98</v>
      </c>
    </row>
    <row r="1125" spans="1:20" x14ac:dyDescent="0.25">
      <c r="A1125" t="str">
        <f>_xll.BDP("24880AKN Muni","ID_CUSIP")</f>
        <v>24880AKN1</v>
      </c>
      <c r="B1125" t="s">
        <v>187</v>
      </c>
      <c r="C1125" t="str">
        <f>_xll.BDP("24880AKN Muni","INSURANCE_STATUS")</f>
        <v>Y</v>
      </c>
      <c r="D1125" t="str">
        <f>_xll.BDP("24880AKN Muni","STATE_CODE")</f>
        <v>TX</v>
      </c>
      <c r="E1125" t="str">
        <f>_xll.BDP("24880AKN Muni","COUNTY_LOCATION_ISSUER")</f>
        <v>Denton, TX</v>
      </c>
      <c r="F1125">
        <f>_xll.BDP("24880AKN Muni","DUR_ADJ_MID")</f>
        <v>1.0482914651772224</v>
      </c>
      <c r="G1125">
        <f>_xll.BDP("24880AKN Muni","SPREAD_AT_ISSUANCE_TO_WORST")</f>
        <v>77.514466852063663</v>
      </c>
      <c r="H1125" t="str">
        <f>_xll.BDP("24880AKN Muni","ISSUE_DT")</f>
        <v>1/1/2017</v>
      </c>
      <c r="I1125" t="str">
        <f>_xll.BDS("24880AKN Muni","MUNI_PURPOSE_SCHED", "aggregate=y")</f>
        <v>WATER UTILITY IMPS. SEWER IMPS.</v>
      </c>
      <c r="J1125">
        <f>_xll.BDP("24880AKN Muni","CPN")</f>
        <v>3</v>
      </c>
      <c r="K1125" t="str">
        <f>_xll.BDP("24880AKN Muni","MATURITY")</f>
        <v>9/1/2023</v>
      </c>
      <c r="L1125">
        <v>140000</v>
      </c>
      <c r="M1125">
        <f>_xll.BDP("24880AKN Muni","YIELD_ON_ISSUE_DATE")</f>
        <v>2.8000000000000003</v>
      </c>
      <c r="N1125">
        <f>_xll.BDP("24880AKN Muni","YTW_SPREAD_TO_MATURITY_AT_ISSU")</f>
        <v>77.514466852063663</v>
      </c>
      <c r="O1125" t="str">
        <f>_xll.BDP("24880AKN Muni","BVAL_MID_YTM")</f>
        <v>#N/A Authorization</v>
      </c>
      <c r="P1125" t="str">
        <f>_xll.BDP("24880AKN Muni","MUNI_TAX_PROV")</f>
        <v>FED BQ</v>
      </c>
      <c r="Q1125" t="str">
        <f>_xll.BDP("24880AKN Muni","MUNI_FED_TAX")</f>
        <v>N</v>
      </c>
      <c r="R1125" t="str">
        <f>_xll.BDP("24880AKN Muni","MUNI_MSRB_VOLUME")</f>
        <v>#N/A N/A</v>
      </c>
      <c r="S1125" t="str">
        <f>_xll.BDP("24880AKN Muni","BB_COMPOSITE")</f>
        <v>#N/A N/A</v>
      </c>
      <c r="T1125">
        <f>_xll.BDP("24880AKN Muni","LQA_LIQUIDITY_SCORE")</f>
        <v>83</v>
      </c>
    </row>
    <row r="1126" spans="1:20" x14ac:dyDescent="0.25">
      <c r="A1126" t="str">
        <f>_xll.BDP("24880AKQ Muni","ID_CUSIP")</f>
        <v>24880AKQ4</v>
      </c>
      <c r="B1126" t="s">
        <v>187</v>
      </c>
      <c r="C1126" t="str">
        <f>_xll.BDP("24880AKQ Muni","INSURANCE_STATUS")</f>
        <v>Y</v>
      </c>
      <c r="D1126" t="str">
        <f>_xll.BDP("24880AKQ Muni","STATE_CODE")</f>
        <v>TX</v>
      </c>
      <c r="E1126" t="str">
        <f>_xll.BDP("24880AKQ Muni","COUNTY_LOCATION_ISSUER")</f>
        <v>Denton, TX</v>
      </c>
      <c r="F1126">
        <f>_xll.BDP("24880AKQ Muni","DUR_ADJ_MID")</f>
        <v>2.8974649257657643</v>
      </c>
      <c r="G1126">
        <f>_xll.BDP("24880AKQ Muni","SPREAD_AT_ISSUANCE_TO_WORST")</f>
        <v>81.196859070263017</v>
      </c>
      <c r="H1126" t="str">
        <f>_xll.BDP("24880AKQ Muni","ISSUE_DT")</f>
        <v>1/1/2017</v>
      </c>
      <c r="I1126" t="str">
        <f>_xll.BDS("24880AKQ Muni","MUNI_PURPOSE_SCHED", "aggregate=y")</f>
        <v>WATER UTILITY IMPS. SEWER IMPS.</v>
      </c>
      <c r="J1126">
        <f>_xll.BDP("24880AKQ Muni","CPN")</f>
        <v>3</v>
      </c>
      <c r="K1126" t="str">
        <f>_xll.BDP("24880AKQ Muni","MATURITY")</f>
        <v>9/1/2025</v>
      </c>
      <c r="L1126">
        <v>155000</v>
      </c>
      <c r="M1126">
        <f>_xll.BDP("24880AKQ Muni","YIELD_ON_ISSUE_DATE")</f>
        <v>3.1</v>
      </c>
      <c r="N1126">
        <f>_xll.BDP("24880AKQ Muni","YTW_SPREAD_TO_MATURITY_AT_ISSU")</f>
        <v>81.196859070263017</v>
      </c>
      <c r="O1126" t="str">
        <f>_xll.BDP("24880AKQ Muni","BVAL_MID_YTM")</f>
        <v>#N/A Authorization</v>
      </c>
      <c r="P1126" t="str">
        <f>_xll.BDP("24880AKQ Muni","MUNI_TAX_PROV")</f>
        <v>FED BQ</v>
      </c>
      <c r="Q1126" t="str">
        <f>_xll.BDP("24880AKQ Muni","MUNI_FED_TAX")</f>
        <v>N</v>
      </c>
      <c r="R1126" t="str">
        <f>_xll.BDP("24880AKQ Muni","MUNI_MSRB_VOLUME")</f>
        <v>#N/A N/A</v>
      </c>
      <c r="S1126" t="str">
        <f>_xll.BDP("24880AKQ Muni","BB_COMPOSITE")</f>
        <v>#N/A N/A</v>
      </c>
      <c r="T1126">
        <f>_xll.BDP("24880AKQ Muni","LQA_LIQUIDITY_SCORE")</f>
        <v>58</v>
      </c>
    </row>
    <row r="1127" spans="1:20" x14ac:dyDescent="0.25">
      <c r="A1127" t="str">
        <f>_xll.BDP("287371FV Muni","ID_CUSIP")</f>
        <v>287371FV5</v>
      </c>
      <c r="B1127" t="s">
        <v>357</v>
      </c>
      <c r="C1127" t="str">
        <f>_xll.BDP("287371FV Muni","INSURANCE_STATUS")</f>
        <v>Y</v>
      </c>
      <c r="D1127" t="str">
        <f>_xll.BDP("287371FV Muni","STATE_CODE")</f>
        <v>MI</v>
      </c>
      <c r="E1127" t="str">
        <f>_xll.BDP("287371FV Muni","COUNTY_LOCATION_ISSUER")</f>
        <v>Antrim, MI</v>
      </c>
      <c r="F1127">
        <f>_xll.BDP("287371FV Muni","DUR_ADJ_MID")</f>
        <v>0.24656978303686727</v>
      </c>
      <c r="G1127">
        <f>_xll.BDP("287371FV Muni","SPREAD_AT_ISSUANCE_TO_WORST")</f>
        <v>34.224936866328278</v>
      </c>
      <c r="H1127" t="str">
        <f>_xll.BDP("287371FV Muni","ISSUE_DT")</f>
        <v>7/11/2017</v>
      </c>
      <c r="I1127" t="str">
        <f>_xll.BDS("287371FV Muni","MUNI_PURPOSE_SCHED", "aggregate=y")</f>
        <v>WATER UTILITY IMPS.</v>
      </c>
      <c r="J1127">
        <f>_xll.BDP("287371FV Muni","CPN")</f>
        <v>3</v>
      </c>
      <c r="K1127" t="str">
        <f>_xll.BDP("287371FV Muni","MATURITY")</f>
        <v>11/1/2022</v>
      </c>
      <c r="L1127">
        <v>145000</v>
      </c>
      <c r="M1127">
        <f>_xll.BDP("287371FV Muni","YIELD_ON_ISSUE_DATE")</f>
        <v>1.6</v>
      </c>
      <c r="N1127">
        <f>_xll.BDP("287371FV Muni","YTW_SPREAD_TO_MATURITY_AT_ISSU")</f>
        <v>34.224936866328278</v>
      </c>
      <c r="O1127" t="str">
        <f>_xll.BDP("287371FV Muni","BVAL_MID_YTM")</f>
        <v>#N/A Authorization</v>
      </c>
      <c r="P1127" t="str">
        <f>_xll.BDP("287371FV Muni","MUNI_TAX_PROV")</f>
        <v>FED BQ/ST TAX-EXEMPT</v>
      </c>
      <c r="Q1127" t="str">
        <f>_xll.BDP("287371FV Muni","MUNI_FED_TAX")</f>
        <v>N</v>
      </c>
      <c r="R1127" t="str">
        <f>_xll.BDP("287371FV Muni","MUNI_MSRB_VOLUME")</f>
        <v>#N/A N/A</v>
      </c>
      <c r="S1127" t="str">
        <f>_xll.BDP("287371FV Muni","BB_COMPOSITE")</f>
        <v>AA</v>
      </c>
      <c r="T1127">
        <f>_xll.BDP("287371FV Muni","LQA_LIQUIDITY_SCORE")</f>
        <v>99</v>
      </c>
    </row>
    <row r="1128" spans="1:20" x14ac:dyDescent="0.25">
      <c r="A1128" t="str">
        <f>_xll.BDP("287371FW Muni","ID_CUSIP")</f>
        <v>287371FW3</v>
      </c>
      <c r="B1128" t="s">
        <v>357</v>
      </c>
      <c r="C1128" t="str">
        <f>_xll.BDP("287371FW Muni","INSURANCE_STATUS")</f>
        <v>Y</v>
      </c>
      <c r="D1128" t="str">
        <f>_xll.BDP("287371FW Muni","STATE_CODE")</f>
        <v>MI</v>
      </c>
      <c r="E1128" t="str">
        <f>_xll.BDP("287371FW Muni","COUNTY_LOCATION_ISSUER")</f>
        <v>Antrim, MI</v>
      </c>
      <c r="F1128">
        <f>_xll.BDP("287371FW Muni","DUR_ADJ_MID")</f>
        <v>1.2150599185835329</v>
      </c>
      <c r="G1128">
        <f>_xll.BDP("287371FW Muni","SPREAD_AT_ISSUANCE_TO_WORST")</f>
        <v>35.023762707895798</v>
      </c>
      <c r="H1128" t="str">
        <f>_xll.BDP("287371FW Muni","ISSUE_DT")</f>
        <v>7/11/2017</v>
      </c>
      <c r="I1128" t="str">
        <f>_xll.BDS("287371FW Muni","MUNI_PURPOSE_SCHED", "aggregate=y")</f>
        <v>WATER UTILITY IMPS.</v>
      </c>
      <c r="J1128">
        <f>_xll.BDP("287371FW Muni","CPN")</f>
        <v>3</v>
      </c>
      <c r="K1128" t="str">
        <f>_xll.BDP("287371FW Muni","MATURITY")</f>
        <v>11/1/2023</v>
      </c>
      <c r="L1128">
        <v>150000</v>
      </c>
      <c r="M1128">
        <f>_xll.BDP("287371FW Muni","YIELD_ON_ISSUE_DATE")</f>
        <v>1.75</v>
      </c>
      <c r="N1128">
        <f>_xll.BDP("287371FW Muni","YTW_SPREAD_TO_MATURITY_AT_ISSU")</f>
        <v>35.023762707895798</v>
      </c>
      <c r="O1128" t="str">
        <f>_xll.BDP("287371FW Muni","BVAL_MID_YTM")</f>
        <v>#N/A Authorization</v>
      </c>
      <c r="P1128" t="str">
        <f>_xll.BDP("287371FW Muni","MUNI_TAX_PROV")</f>
        <v>FED BQ/ST TAX-EXEMPT</v>
      </c>
      <c r="Q1128" t="str">
        <f>_xll.BDP("287371FW Muni","MUNI_FED_TAX")</f>
        <v>N</v>
      </c>
      <c r="R1128" t="str">
        <f>_xll.BDP("287371FW Muni","MUNI_MSRB_VOLUME")</f>
        <v>#N/A N/A</v>
      </c>
      <c r="S1128" t="str">
        <f>_xll.BDP("287371FW Muni","BB_COMPOSITE")</f>
        <v>AA</v>
      </c>
      <c r="T1128">
        <f>_xll.BDP("287371FW Muni","LQA_LIQUIDITY_SCORE")</f>
        <v>88</v>
      </c>
    </row>
    <row r="1129" spans="1:20" x14ac:dyDescent="0.25">
      <c r="A1129" t="str">
        <f>_xll.BDP("287371FX Muni","ID_CUSIP")</f>
        <v>287371FX1</v>
      </c>
      <c r="B1129" t="s">
        <v>357</v>
      </c>
      <c r="C1129" t="str">
        <f>_xll.BDP("287371FX Muni","INSURANCE_STATUS")</f>
        <v>Y</v>
      </c>
      <c r="D1129" t="str">
        <f>_xll.BDP("287371FX Muni","STATE_CODE")</f>
        <v>MI</v>
      </c>
      <c r="E1129" t="str">
        <f>_xll.BDP("287371FX Muni","COUNTY_LOCATION_ISSUER")</f>
        <v>Antrim, MI</v>
      </c>
      <c r="F1129">
        <f>_xll.BDP("287371FX Muni","DUR_ADJ_MID")</f>
        <v>2.1548996472747088</v>
      </c>
      <c r="G1129">
        <f>_xll.BDP("287371FX Muni","SPREAD_AT_ISSUANCE_TO_WORST")</f>
        <v>35.499435727182174</v>
      </c>
      <c r="H1129" t="str">
        <f>_xll.BDP("287371FX Muni","ISSUE_DT")</f>
        <v>7/11/2017</v>
      </c>
      <c r="I1129" t="str">
        <f>_xll.BDS("287371FX Muni","MUNI_PURPOSE_SCHED", "aggregate=y")</f>
        <v>WATER UTILITY IMPS.</v>
      </c>
      <c r="J1129">
        <f>_xll.BDP("287371FX Muni","CPN")</f>
        <v>3</v>
      </c>
      <c r="K1129" t="str">
        <f>_xll.BDP("287371FX Muni","MATURITY")</f>
        <v>11/1/2024</v>
      </c>
      <c r="L1129">
        <v>155000</v>
      </c>
      <c r="M1129">
        <f>_xll.BDP("287371FX Muni","YIELD_ON_ISSUE_DATE")</f>
        <v>1.9000000000000001</v>
      </c>
      <c r="N1129">
        <f>_xll.BDP("287371FX Muni","YTW_SPREAD_TO_MATURITY_AT_ISSU")</f>
        <v>35.499435727182174</v>
      </c>
      <c r="O1129" t="str">
        <f>_xll.BDP("287371FX Muni","BVAL_MID_YTM")</f>
        <v>#N/A Authorization</v>
      </c>
      <c r="P1129" t="str">
        <f>_xll.BDP("287371FX Muni","MUNI_TAX_PROV")</f>
        <v>FED BQ/ST TAX-EXEMPT</v>
      </c>
      <c r="Q1129" t="str">
        <f>_xll.BDP("287371FX Muni","MUNI_FED_TAX")</f>
        <v>N</v>
      </c>
      <c r="R1129" t="str">
        <f>_xll.BDP("287371FX Muni","MUNI_MSRB_VOLUME")</f>
        <v>#N/A N/A</v>
      </c>
      <c r="S1129" t="str">
        <f>_xll.BDP("287371FX Muni","BB_COMPOSITE")</f>
        <v>AA</v>
      </c>
      <c r="T1129">
        <f>_xll.BDP("287371FX Muni","LQA_LIQUIDITY_SCORE")</f>
        <v>78</v>
      </c>
    </row>
    <row r="1130" spans="1:20" x14ac:dyDescent="0.25">
      <c r="A1130" t="str">
        <f>_xll.BDP("287371FY Muni","ID_CUSIP")</f>
        <v>287371FY9</v>
      </c>
      <c r="B1130" t="s">
        <v>357</v>
      </c>
      <c r="C1130" t="str">
        <f>_xll.BDP("287371FY Muni","INSURANCE_STATUS")</f>
        <v>Y</v>
      </c>
      <c r="D1130" t="str">
        <f>_xll.BDP("287371FY Muni","STATE_CODE")</f>
        <v>MI</v>
      </c>
      <c r="E1130" t="str">
        <f>_xll.BDP("287371FY Muni","COUNTY_LOCATION_ISSUER")</f>
        <v>Antrim, MI</v>
      </c>
      <c r="F1130">
        <f>_xll.BDP("287371FY Muni","DUR_ADJ_MID")</f>
        <v>3.0677848075768193</v>
      </c>
      <c r="G1130">
        <f>_xll.BDP("287371FY Muni","SPREAD_AT_ISSUANCE_TO_WORST")</f>
        <v>36.289404220638801</v>
      </c>
      <c r="H1130" t="str">
        <f>_xll.BDP("287371FY Muni","ISSUE_DT")</f>
        <v>7/11/2017</v>
      </c>
      <c r="I1130" t="str">
        <f>_xll.BDS("287371FY Muni","MUNI_PURPOSE_SCHED", "aggregate=y")</f>
        <v>WATER UTILITY IMPS.</v>
      </c>
      <c r="J1130">
        <f>_xll.BDP("287371FY Muni","CPN")</f>
        <v>3</v>
      </c>
      <c r="K1130" t="str">
        <f>_xll.BDP("287371FY Muni","MATURITY")</f>
        <v>11/1/2025</v>
      </c>
      <c r="L1130">
        <v>155000</v>
      </c>
      <c r="M1130">
        <f>_xll.BDP("287371FY Muni","YIELD_ON_ISSUE_DATE")</f>
        <v>2.0499999999999998</v>
      </c>
      <c r="N1130">
        <f>_xll.BDP("287371FY Muni","YTW_SPREAD_TO_MATURITY_AT_ISSU")</f>
        <v>36.289404220638801</v>
      </c>
      <c r="O1130" t="str">
        <f>_xll.BDP("287371FY Muni","BVAL_MID_YTM")</f>
        <v>#N/A Authorization</v>
      </c>
      <c r="P1130" t="str">
        <f>_xll.BDP("287371FY Muni","MUNI_TAX_PROV")</f>
        <v>FED BQ/ST TAX-EXEMPT</v>
      </c>
      <c r="Q1130" t="str">
        <f>_xll.BDP("287371FY Muni","MUNI_FED_TAX")</f>
        <v>N</v>
      </c>
      <c r="R1130" t="str">
        <f>_xll.BDP("287371FY Muni","MUNI_MSRB_VOLUME")</f>
        <v>#N/A N/A</v>
      </c>
      <c r="S1130" t="str">
        <f>_xll.BDP("287371FY Muni","BB_COMPOSITE")</f>
        <v>AA</v>
      </c>
      <c r="T1130">
        <f>_xll.BDP("287371FY Muni","LQA_LIQUIDITY_SCORE")</f>
        <v>69</v>
      </c>
    </row>
    <row r="1131" spans="1:20" x14ac:dyDescent="0.25">
      <c r="A1131" t="str">
        <f>_xll.BDP("287371FZ Muni","ID_CUSIP")</f>
        <v>287371FZ6</v>
      </c>
      <c r="B1131" t="s">
        <v>357</v>
      </c>
      <c r="C1131" t="str">
        <f>_xll.BDP("287371FZ Muni","INSURANCE_STATUS")</f>
        <v>Y</v>
      </c>
      <c r="D1131" t="str">
        <f>_xll.BDP("287371FZ Muni","STATE_CODE")</f>
        <v>MI</v>
      </c>
      <c r="E1131" t="str">
        <f>_xll.BDP("287371FZ Muni","COUNTY_LOCATION_ISSUER")</f>
        <v>Antrim, MI</v>
      </c>
      <c r="F1131">
        <f>_xll.BDP("287371FZ Muni","DUR_ADJ_MID")</f>
        <v>3.9542113657345839</v>
      </c>
      <c r="G1131">
        <f>_xll.BDP("287371FZ Muni","SPREAD_AT_ISSUANCE_TO_WORST")</f>
        <v>38.811837300846676</v>
      </c>
      <c r="H1131" t="str">
        <f>_xll.BDP("287371FZ Muni","ISSUE_DT")</f>
        <v>7/11/2017</v>
      </c>
      <c r="I1131" t="str">
        <f>_xll.BDS("287371FZ Muni","MUNI_PURPOSE_SCHED", "aggregate=y")</f>
        <v>WATER UTILITY IMPS.</v>
      </c>
      <c r="J1131">
        <f>_xll.BDP("287371FZ Muni","CPN")</f>
        <v>3</v>
      </c>
      <c r="K1131" t="str">
        <f>_xll.BDP("287371FZ Muni","MATURITY")</f>
        <v>11/1/2026</v>
      </c>
      <c r="L1131">
        <v>160000</v>
      </c>
      <c r="M1131">
        <f>_xll.BDP("287371FZ Muni","YIELD_ON_ISSUE_DATE")</f>
        <v>2.2000000000000002</v>
      </c>
      <c r="N1131">
        <f>_xll.BDP("287371FZ Muni","YTW_SPREAD_TO_MATURITY_AT_ISSU")</f>
        <v>38.811837300846676</v>
      </c>
      <c r="O1131" t="str">
        <f>_xll.BDP("287371FZ Muni","BVAL_MID_YTM")</f>
        <v>#N/A Authorization</v>
      </c>
      <c r="P1131" t="str">
        <f>_xll.BDP("287371FZ Muni","MUNI_TAX_PROV")</f>
        <v>FED BQ/ST TAX-EXEMPT</v>
      </c>
      <c r="Q1131" t="str">
        <f>_xll.BDP("287371FZ Muni","MUNI_FED_TAX")</f>
        <v>N</v>
      </c>
      <c r="R1131" t="str">
        <f>_xll.BDP("287371FZ Muni","MUNI_MSRB_VOLUME")</f>
        <v>#N/A N/A</v>
      </c>
      <c r="S1131" t="str">
        <f>_xll.BDP("287371FZ Muni","BB_COMPOSITE")</f>
        <v>AA</v>
      </c>
      <c r="T1131">
        <f>_xll.BDP("287371FZ Muni","LQA_LIQUIDITY_SCORE")</f>
        <v>62</v>
      </c>
    </row>
    <row r="1132" spans="1:20" x14ac:dyDescent="0.25">
      <c r="A1132" t="str">
        <f>_xll.BDP("287371GA Muni","ID_CUSIP")</f>
        <v>287371GA0</v>
      </c>
      <c r="B1132" t="s">
        <v>357</v>
      </c>
      <c r="C1132" t="str">
        <f>_xll.BDP("287371GA Muni","INSURANCE_STATUS")</f>
        <v>Y</v>
      </c>
      <c r="D1132" t="str">
        <f>_xll.BDP("287371GA Muni","STATE_CODE")</f>
        <v>MI</v>
      </c>
      <c r="E1132" t="str">
        <f>_xll.BDP("287371GA Muni","COUNTY_LOCATION_ISSUER")</f>
        <v>Antrim, MI</v>
      </c>
      <c r="F1132">
        <f>_xll.BDP("287371GA Muni","DUR_ADJ_MID")</f>
        <v>4.8148701394763558</v>
      </c>
      <c r="G1132">
        <f>_xll.BDP("287371GA Muni","SPREAD_AT_ISSUANCE_TO_WORST")</f>
        <v>42.749704609404745</v>
      </c>
      <c r="H1132" t="str">
        <f>_xll.BDP("287371GA Muni","ISSUE_DT")</f>
        <v>7/11/2017</v>
      </c>
      <c r="I1132" t="str">
        <f>_xll.BDS("287371GA Muni","MUNI_PURPOSE_SCHED", "aggregate=y")</f>
        <v>WATER UTILITY IMPS.</v>
      </c>
      <c r="J1132">
        <f>_xll.BDP("287371GA Muni","CPN")</f>
        <v>3</v>
      </c>
      <c r="K1132" t="str">
        <f>_xll.BDP("287371GA Muni","MATURITY")</f>
        <v>11/1/2027</v>
      </c>
      <c r="L1132">
        <v>165000</v>
      </c>
      <c r="M1132">
        <f>_xll.BDP("287371GA Muni","YIELD_ON_ISSUE_DATE")</f>
        <v>2.35</v>
      </c>
      <c r="N1132">
        <f>_xll.BDP("287371GA Muni","YTW_SPREAD_TO_MATURITY_AT_ISSU")</f>
        <v>42.749704609404745</v>
      </c>
      <c r="O1132" t="str">
        <f>_xll.BDP("287371GA Muni","BVAL_MID_YTM")</f>
        <v>#N/A Authorization</v>
      </c>
      <c r="P1132" t="str">
        <f>_xll.BDP("287371GA Muni","MUNI_TAX_PROV")</f>
        <v>FED BQ/ST TAX-EXEMPT</v>
      </c>
      <c r="Q1132" t="str">
        <f>_xll.BDP("287371GA Muni","MUNI_FED_TAX")</f>
        <v>N</v>
      </c>
      <c r="R1132" t="str">
        <f>_xll.BDP("287371GA Muni","MUNI_MSRB_VOLUME")</f>
        <v>#N/A N/A</v>
      </c>
      <c r="S1132" t="str">
        <f>_xll.BDP("287371GA Muni","BB_COMPOSITE")</f>
        <v>AA</v>
      </c>
      <c r="T1132">
        <f>_xll.BDP("287371GA Muni","LQA_LIQUIDITY_SCORE")</f>
        <v>55</v>
      </c>
    </row>
    <row r="1133" spans="1:20" x14ac:dyDescent="0.25">
      <c r="A1133" t="str">
        <f>_xll.BDP("289425VW Muni","ID_CUSIP")</f>
        <v>289425VW7</v>
      </c>
      <c r="B1133" t="s">
        <v>358</v>
      </c>
      <c r="C1133" t="str">
        <f>_xll.BDP("289425VW Muni","INSURANCE_STATUS")</f>
        <v>N</v>
      </c>
      <c r="D1133" t="str">
        <f>_xll.BDP("289425VW Muni","STATE_CODE")</f>
        <v>IL</v>
      </c>
      <c r="E1133" t="str">
        <f>_xll.BDP("289425VW Muni","COUNTY_LOCATION_ISSUER")</f>
        <v>DuPage, IL</v>
      </c>
      <c r="F1133">
        <f>_xll.BDP("289425VW Muni","DUR_ADJ_MID")</f>
        <v>0.57142389195702836</v>
      </c>
      <c r="G1133">
        <f>_xll.BDP("289425VW Muni","SPREAD_AT_ISSUANCE_TO_WORST")</f>
        <v>43.695247356699916</v>
      </c>
      <c r="H1133" t="str">
        <f>_xll.BDP("289425VW Muni","ISSUE_DT")</f>
        <v>8/1/2017</v>
      </c>
      <c r="I1133" t="str">
        <f>_xll.BDS("289425VW Muni","MUNI_PURPOSE_SCHED", "aggregate=y")</f>
        <v>WATER UTILITY IMPS. SEWER IMPS.</v>
      </c>
      <c r="J1133">
        <f>_xll.BDP("289425VW Muni","CPN")</f>
        <v>2.25</v>
      </c>
      <c r="K1133" t="str">
        <f>_xll.BDP("289425VW Muni","MATURITY")</f>
        <v>3/1/2023</v>
      </c>
      <c r="L1133">
        <v>645000</v>
      </c>
      <c r="M1133">
        <f>_xll.BDP("289425VW Muni","YIELD_ON_ISSUE_DATE")</f>
        <v>1.83</v>
      </c>
      <c r="N1133">
        <f>_xll.BDP("289425VW Muni","YTW_SPREAD_TO_MATURITY_AT_ISSU")</f>
        <v>43.695247356699916</v>
      </c>
      <c r="O1133" t="str">
        <f>_xll.BDP("289425VW Muni","BVAL_MID_YTM")</f>
        <v>#N/A Authorization</v>
      </c>
      <c r="P1133" t="str">
        <f>_xll.BDP("289425VW Muni","MUNI_TAX_PROV")</f>
        <v>FED BQ/ST TAXABLE</v>
      </c>
      <c r="Q1133" t="str">
        <f>_xll.BDP("289425VW Muni","MUNI_FED_TAX")</f>
        <v>N</v>
      </c>
      <c r="R1133" t="str">
        <f>_xll.BDP("289425VW Muni","MUNI_MSRB_VOLUME")</f>
        <v>#N/A N/A</v>
      </c>
      <c r="S1133" t="str">
        <f>_xll.BDP("289425VW Muni","BB_COMPOSITE")</f>
        <v>#N/A N/A</v>
      </c>
      <c r="T1133">
        <f>_xll.BDP("289425VW Muni","LQA_LIQUIDITY_SCORE")</f>
        <v>93</v>
      </c>
    </row>
    <row r="1134" spans="1:20" x14ac:dyDescent="0.25">
      <c r="A1134" t="str">
        <f>_xll.BDP("289425VX Muni","ID_CUSIP")</f>
        <v>289425VX5</v>
      </c>
      <c r="B1134" t="s">
        <v>358</v>
      </c>
      <c r="C1134" t="str">
        <f>_xll.BDP("289425VX Muni","INSURANCE_STATUS")</f>
        <v>N</v>
      </c>
      <c r="D1134" t="str">
        <f>_xll.BDP("289425VX Muni","STATE_CODE")</f>
        <v>IL</v>
      </c>
      <c r="E1134" t="str">
        <f>_xll.BDP("289425VX Muni","COUNTY_LOCATION_ISSUER")</f>
        <v>DuPage, IL</v>
      </c>
      <c r="F1134">
        <f>_xll.BDP("289425VX Muni","DUR_ADJ_MID")</f>
        <v>1.5340192061667168</v>
      </c>
      <c r="G1134">
        <f>_xll.BDP("289425VX Muni","SPREAD_AT_ISSUANCE_TO_WORST")</f>
        <v>43.145762150676582</v>
      </c>
      <c r="H1134" t="str">
        <f>_xll.BDP("289425VX Muni","ISSUE_DT")</f>
        <v>8/1/2017</v>
      </c>
      <c r="I1134" t="str">
        <f>_xll.BDS("289425VX Muni","MUNI_PURPOSE_SCHED", "aggregate=y")</f>
        <v>WATER UTILITY IMPS. SEWER IMPS.</v>
      </c>
      <c r="J1134">
        <f>_xll.BDP("289425VX Muni","CPN")</f>
        <v>2.25</v>
      </c>
      <c r="K1134" t="str">
        <f>_xll.BDP("289425VX Muni","MATURITY")</f>
        <v>3/1/2024</v>
      </c>
      <c r="L1134">
        <v>660000</v>
      </c>
      <c r="M1134">
        <f>_xll.BDP("289425VX Muni","YIELD_ON_ISSUE_DATE")</f>
        <v>1.97</v>
      </c>
      <c r="N1134">
        <f>_xll.BDP("289425VX Muni","YTW_SPREAD_TO_MATURITY_AT_ISSU")</f>
        <v>43.145762150676582</v>
      </c>
      <c r="O1134" t="str">
        <f>_xll.BDP("289425VX Muni","BVAL_MID_YTM")</f>
        <v>#N/A Authorization</v>
      </c>
      <c r="P1134" t="str">
        <f>_xll.BDP("289425VX Muni","MUNI_TAX_PROV")</f>
        <v>FED BQ/ST TAXABLE</v>
      </c>
      <c r="Q1134" t="str">
        <f>_xll.BDP("289425VX Muni","MUNI_FED_TAX")</f>
        <v>N</v>
      </c>
      <c r="R1134" t="str">
        <f>_xll.BDP("289425VX Muni","MUNI_MSRB_VOLUME")</f>
        <v>#N/A N/A</v>
      </c>
      <c r="S1134" t="str">
        <f>_xll.BDP("289425VX Muni","BB_COMPOSITE")</f>
        <v>#N/A N/A</v>
      </c>
      <c r="T1134">
        <f>_xll.BDP("289425VX Muni","LQA_LIQUIDITY_SCORE")</f>
        <v>82</v>
      </c>
    </row>
    <row r="1135" spans="1:20" x14ac:dyDescent="0.25">
      <c r="A1135" t="str">
        <f>_xll.BDP("289425VY Muni","ID_CUSIP")</f>
        <v>289425VY3</v>
      </c>
      <c r="B1135" t="s">
        <v>358</v>
      </c>
      <c r="C1135" t="str">
        <f>_xll.BDP("289425VY Muni","INSURANCE_STATUS")</f>
        <v>N</v>
      </c>
      <c r="D1135" t="str">
        <f>_xll.BDP("289425VY Muni","STATE_CODE")</f>
        <v>IL</v>
      </c>
      <c r="E1135" t="str">
        <f>_xll.BDP("289425VY Muni","COUNTY_LOCATION_ISSUER")</f>
        <v>DuPage, IL</v>
      </c>
      <c r="F1135">
        <f>_xll.BDP("289425VY Muni","DUR_ADJ_MID")</f>
        <v>2.4751694588823261</v>
      </c>
      <c r="G1135">
        <f>_xll.BDP("289425VY Muni","SPREAD_AT_ISSUANCE_TO_WORST")</f>
        <v>40.384376853807488</v>
      </c>
      <c r="H1135" t="str">
        <f>_xll.BDP("289425VY Muni","ISSUE_DT")</f>
        <v>8/1/2017</v>
      </c>
      <c r="I1135" t="str">
        <f>_xll.BDS("289425VY Muni","MUNI_PURPOSE_SCHED", "aggregate=y")</f>
        <v>WATER UTILITY IMPS. SEWER IMPS.</v>
      </c>
      <c r="J1135">
        <f>_xll.BDP("289425VY Muni","CPN")</f>
        <v>2.25</v>
      </c>
      <c r="K1135" t="str">
        <f>_xll.BDP("289425VY Muni","MATURITY")</f>
        <v>3/1/2025</v>
      </c>
      <c r="L1135">
        <v>670000</v>
      </c>
      <c r="M1135">
        <f>_xll.BDP("289425VY Muni","YIELD_ON_ISSUE_DATE")</f>
        <v>2.09</v>
      </c>
      <c r="N1135">
        <f>_xll.BDP("289425VY Muni","YTW_SPREAD_TO_MATURITY_AT_ISSU")</f>
        <v>40.384376853807488</v>
      </c>
      <c r="O1135" t="str">
        <f>_xll.BDP("289425VY Muni","BVAL_MID_YTM")</f>
        <v>#N/A Authorization</v>
      </c>
      <c r="P1135" t="str">
        <f>_xll.BDP("289425VY Muni","MUNI_TAX_PROV")</f>
        <v>FED BQ/ST TAXABLE</v>
      </c>
      <c r="Q1135" t="str">
        <f>_xll.BDP("289425VY Muni","MUNI_FED_TAX")</f>
        <v>N</v>
      </c>
      <c r="R1135" t="str">
        <f>_xll.BDP("289425VY Muni","MUNI_MSRB_VOLUME")</f>
        <v>#N/A N/A</v>
      </c>
      <c r="S1135" t="str">
        <f>_xll.BDP("289425VY Muni","BB_COMPOSITE")</f>
        <v>#N/A N/A</v>
      </c>
      <c r="T1135">
        <f>_xll.BDP("289425VY Muni","LQA_LIQUIDITY_SCORE")</f>
        <v>74</v>
      </c>
    </row>
    <row r="1136" spans="1:20" x14ac:dyDescent="0.25">
      <c r="A1136" t="str">
        <f>_xll.BDP("292507HF Muni","ID_CUSIP")</f>
        <v>292507HF0</v>
      </c>
      <c r="B1136" t="s">
        <v>359</v>
      </c>
      <c r="C1136" t="str">
        <f>_xll.BDP("292507HF Muni","INSURANCE_STATUS")</f>
        <v>Y</v>
      </c>
      <c r="D1136" t="str">
        <f>_xll.BDP("292507HF Muni","STATE_CODE")</f>
        <v>TX</v>
      </c>
      <c r="E1136" t="str">
        <f>_xll.BDP("292507HF Muni","COUNTY_LOCATION_ISSUER")</f>
        <v>Harris, TX</v>
      </c>
      <c r="F1136">
        <f>_xll.BDP("292507HF Muni","DUR_ADJ_MID")</f>
        <v>0.73411924118515737</v>
      </c>
      <c r="G1136">
        <f>_xll.BDP("292507HF Muni","SPREAD_AT_ISSUANCE_TO_WORST")</f>
        <v>51.487139361506841</v>
      </c>
      <c r="H1136" t="str">
        <f>_xll.BDP("292507HF Muni","ISSUE_DT")</f>
        <v>5/1/2017</v>
      </c>
      <c r="I1136" t="str">
        <f>_xll.BDS("292507HF Muni","MUNI_PURPOSE_SCHED", "aggregate=y")</f>
        <v>WATER UTILITY IMPS. SEWER IMPS. RECREATIONAL FAC. IMPS.</v>
      </c>
      <c r="J1136">
        <f>_xll.BDP("292507HF Muni","CPN")</f>
        <v>2.5</v>
      </c>
      <c r="K1136" t="str">
        <f>_xll.BDP("292507HF Muni","MATURITY")</f>
        <v>5/1/2023</v>
      </c>
      <c r="L1136">
        <v>200000</v>
      </c>
      <c r="M1136">
        <f>_xll.BDP("292507HF Muni","YIELD_ON_ISSUE_DATE")</f>
        <v>2.0499999999999998</v>
      </c>
      <c r="N1136">
        <f>_xll.BDP("292507HF Muni","YTW_SPREAD_TO_MATURITY_AT_ISSU")</f>
        <v>51.487139361506841</v>
      </c>
      <c r="O1136" t="str">
        <f>_xll.BDP("292507HF Muni","BVAL_MID_YTM")</f>
        <v>#N/A Authorization</v>
      </c>
      <c r="P1136" t="str">
        <f>_xll.BDP("292507HF Muni","MUNI_TAX_PROV")</f>
        <v>FED BQ</v>
      </c>
      <c r="Q1136" t="str">
        <f>_xll.BDP("292507HF Muni","MUNI_FED_TAX")</f>
        <v>N</v>
      </c>
      <c r="R1136" t="str">
        <f>_xll.BDP("292507HF Muni","MUNI_MSRB_VOLUME")</f>
        <v>#N/A N/A</v>
      </c>
      <c r="S1136" t="str">
        <f>_xll.BDP("292507HF Muni","BB_COMPOSITE")</f>
        <v>#N/A N/A</v>
      </c>
      <c r="T1136">
        <f>_xll.BDP("292507HF Muni","LQA_LIQUIDITY_SCORE")</f>
        <v>93</v>
      </c>
    </row>
    <row r="1137" spans="1:20" x14ac:dyDescent="0.25">
      <c r="A1137" t="str">
        <f>_xll.BDP("292507HG Muni","ID_CUSIP")</f>
        <v>292507HG8</v>
      </c>
      <c r="B1137" t="s">
        <v>359</v>
      </c>
      <c r="C1137" t="str">
        <f>_xll.BDP("292507HG Muni","INSURANCE_STATUS")</f>
        <v>Y</v>
      </c>
      <c r="D1137" t="str">
        <f>_xll.BDP("292507HG Muni","STATE_CODE")</f>
        <v>TX</v>
      </c>
      <c r="E1137" t="str">
        <f>_xll.BDP("292507HG Muni","COUNTY_LOCATION_ISSUER")</f>
        <v>Harris, TX</v>
      </c>
      <c r="F1137">
        <f>_xll.BDP("292507HG Muni","DUR_ADJ_MID")</f>
        <v>1.6910645015592916</v>
      </c>
      <c r="G1137">
        <f>_xll.BDP("292507HG Muni","SPREAD_AT_ISSUANCE_TO_WORST")</f>
        <v>50.148622922077578</v>
      </c>
      <c r="H1137" t="str">
        <f>_xll.BDP("292507HG Muni","ISSUE_DT")</f>
        <v>5/1/2017</v>
      </c>
      <c r="I1137" t="str">
        <f>_xll.BDS("292507HG Muni","MUNI_PURPOSE_SCHED", "aggregate=y")</f>
        <v>WATER UTILITY IMPS. SEWER IMPS. RECREATIONAL FAC. IMPS.</v>
      </c>
      <c r="J1137">
        <f>_xll.BDP("292507HG Muni","CPN")</f>
        <v>2.5</v>
      </c>
      <c r="K1137" t="str">
        <f>_xll.BDP("292507HG Muni","MATURITY")</f>
        <v>5/1/2024</v>
      </c>
      <c r="L1137">
        <v>200000</v>
      </c>
      <c r="M1137">
        <f>_xll.BDP("292507HG Muni","YIELD_ON_ISSUE_DATE")</f>
        <v>2.2000000000000002</v>
      </c>
      <c r="N1137">
        <f>_xll.BDP("292507HG Muni","YTW_SPREAD_TO_MATURITY_AT_ISSU")</f>
        <v>50.148622922077578</v>
      </c>
      <c r="O1137" t="str">
        <f>_xll.BDP("292507HG Muni","BVAL_MID_YTM")</f>
        <v>#N/A Authorization</v>
      </c>
      <c r="P1137" t="str">
        <f>_xll.BDP("292507HG Muni","MUNI_TAX_PROV")</f>
        <v>FED BQ</v>
      </c>
      <c r="Q1137" t="str">
        <f>_xll.BDP("292507HG Muni","MUNI_FED_TAX")</f>
        <v>N</v>
      </c>
      <c r="R1137" t="str">
        <f>_xll.BDP("292507HG Muni","MUNI_MSRB_VOLUME")</f>
        <v>#N/A N/A</v>
      </c>
      <c r="S1137" t="str">
        <f>_xll.BDP("292507HG Muni","BB_COMPOSITE")</f>
        <v>#N/A N/A</v>
      </c>
      <c r="T1137">
        <f>_xll.BDP("292507HG Muni","LQA_LIQUIDITY_SCORE")</f>
        <v>80</v>
      </c>
    </row>
    <row r="1138" spans="1:20" x14ac:dyDescent="0.25">
      <c r="A1138" t="str">
        <f>_xll.BDP("293425YP Muni","ID_CUSIP")</f>
        <v>293425YP3</v>
      </c>
      <c r="B1138" t="s">
        <v>360</v>
      </c>
      <c r="C1138" t="str">
        <f>_xll.BDP("293425YP Muni","INSURANCE_STATUS")</f>
        <v>N</v>
      </c>
      <c r="D1138" t="str">
        <f>_xll.BDP("293425YP Muni","STATE_CODE")</f>
        <v>TX</v>
      </c>
      <c r="E1138" t="str">
        <f>_xll.BDP("293425YP Muni","COUNTY_LOCATION_ISSUER")</f>
        <v>Ellis, TX</v>
      </c>
      <c r="F1138">
        <f>_xll.BDP("293425YP Muni","DUR_ADJ_MID")</f>
        <v>0.49399583088995164</v>
      </c>
      <c r="G1138">
        <f>_xll.BDP("293425YP Muni","SPREAD_AT_ISSUANCE_TO_WORST")</f>
        <v>24.653956853601567</v>
      </c>
      <c r="H1138" t="str">
        <f>_xll.BDP("293425YP Muni","ISSUE_DT")</f>
        <v>8/15/2017</v>
      </c>
      <c r="I1138" t="str">
        <f>_xll.BDS("293425YP Muni","MUNI_PURPOSE_SCHED", "aggregate=y")</f>
        <v>PUBLIC IMPS. WATER UTILITY IMPS. SEWER IMPS.</v>
      </c>
      <c r="J1138">
        <f>_xll.BDP("293425YP Muni","CPN")</f>
        <v>3</v>
      </c>
      <c r="K1138" t="str">
        <f>_xll.BDP("293425YP Muni","MATURITY")</f>
        <v>2/1/2023</v>
      </c>
      <c r="L1138">
        <v>320000</v>
      </c>
      <c r="M1138">
        <f>_xll.BDP("293425YP Muni","YIELD_ON_ISSUE_DATE")</f>
        <v>1.45</v>
      </c>
      <c r="N1138">
        <f>_xll.BDP("293425YP Muni","YTW_SPREAD_TO_MATURITY_AT_ISSU")</f>
        <v>24.653956853601567</v>
      </c>
      <c r="O1138" t="str">
        <f>_xll.BDP("293425YP Muni","BVAL_MID_YTM")</f>
        <v>#N/A Authorization</v>
      </c>
      <c r="P1138" t="str">
        <f>_xll.BDP("293425YP Muni","MUNI_TAX_PROV")</f>
        <v>FED BQ</v>
      </c>
      <c r="Q1138" t="str">
        <f>_xll.BDP("293425YP Muni","MUNI_FED_TAX")</f>
        <v>N</v>
      </c>
      <c r="R1138" t="str">
        <f>_xll.BDP("293425YP Muni","MUNI_MSRB_VOLUME")</f>
        <v>#N/A N/A</v>
      </c>
      <c r="S1138" t="str">
        <f>_xll.BDP("293425YP Muni","BB_COMPOSITE")</f>
        <v>#N/A N/A</v>
      </c>
      <c r="T1138">
        <f>_xll.BDP("293425YP Muni","LQA_LIQUIDITY_SCORE")</f>
        <v>93</v>
      </c>
    </row>
    <row r="1139" spans="1:20" x14ac:dyDescent="0.25">
      <c r="A1139" t="str">
        <f>_xll.BDP("293425YQ Muni","ID_CUSIP")</f>
        <v>293425YQ1</v>
      </c>
      <c r="B1139" t="s">
        <v>360</v>
      </c>
      <c r="C1139" t="str">
        <f>_xll.BDP("293425YQ Muni","INSURANCE_STATUS")</f>
        <v>N</v>
      </c>
      <c r="D1139" t="str">
        <f>_xll.BDP("293425YQ Muni","STATE_CODE")</f>
        <v>TX</v>
      </c>
      <c r="E1139" t="str">
        <f>_xll.BDP("293425YQ Muni","COUNTY_LOCATION_ISSUER")</f>
        <v>Ellis, TX</v>
      </c>
      <c r="F1139">
        <f>_xll.BDP("293425YQ Muni","DUR_ADJ_MID")</f>
        <v>1.4615602711424891</v>
      </c>
      <c r="G1139">
        <f>_xll.BDP("293425YQ Muni","SPREAD_AT_ISSUANCE_TO_WORST")</f>
        <v>24.766109179037876</v>
      </c>
      <c r="H1139" t="str">
        <f>_xll.BDP("293425YQ Muni","ISSUE_DT")</f>
        <v>8/15/2017</v>
      </c>
      <c r="I1139" t="str">
        <f>_xll.BDS("293425YQ Muni","MUNI_PURPOSE_SCHED", "aggregate=y")</f>
        <v>PUBLIC IMPS. WATER UTILITY IMPS. SEWER IMPS.</v>
      </c>
      <c r="J1139">
        <f>_xll.BDP("293425YQ Muni","CPN")</f>
        <v>3</v>
      </c>
      <c r="K1139" t="str">
        <f>_xll.BDP("293425YQ Muni","MATURITY")</f>
        <v>2/1/2024</v>
      </c>
      <c r="L1139">
        <v>330000</v>
      </c>
      <c r="M1139">
        <f>_xll.BDP("293425YQ Muni","YIELD_ON_ISSUE_DATE")</f>
        <v>1.6</v>
      </c>
      <c r="N1139">
        <f>_xll.BDP("293425YQ Muni","YTW_SPREAD_TO_MATURITY_AT_ISSU")</f>
        <v>24.766109179037876</v>
      </c>
      <c r="O1139" t="str">
        <f>_xll.BDP("293425YQ Muni","BVAL_MID_YTM")</f>
        <v>#N/A Authorization</v>
      </c>
      <c r="P1139" t="str">
        <f>_xll.BDP("293425YQ Muni","MUNI_TAX_PROV")</f>
        <v>FED BQ</v>
      </c>
      <c r="Q1139" t="str">
        <f>_xll.BDP("293425YQ Muni","MUNI_FED_TAX")</f>
        <v>N</v>
      </c>
      <c r="R1139" t="str">
        <f>_xll.BDP("293425YQ Muni","MUNI_MSRB_VOLUME")</f>
        <v>#N/A N/A</v>
      </c>
      <c r="S1139" t="str">
        <f>_xll.BDP("293425YQ Muni","BB_COMPOSITE")</f>
        <v>#N/A N/A</v>
      </c>
      <c r="T1139">
        <f>_xll.BDP("293425YQ Muni","LQA_LIQUIDITY_SCORE")</f>
        <v>83</v>
      </c>
    </row>
    <row r="1140" spans="1:20" x14ac:dyDescent="0.25">
      <c r="A1140" t="str">
        <f>_xll.BDP("293425YR Muni","ID_CUSIP")</f>
        <v>293425YR9</v>
      </c>
      <c r="B1140" t="s">
        <v>360</v>
      </c>
      <c r="C1140" t="str">
        <f>_xll.BDP("293425YR Muni","INSURANCE_STATUS")</f>
        <v>N</v>
      </c>
      <c r="D1140" t="str">
        <f>_xll.BDP("293425YR Muni","STATE_CODE")</f>
        <v>TX</v>
      </c>
      <c r="E1140" t="str">
        <f>_xll.BDP("293425YR Muni","COUNTY_LOCATION_ISSUER")</f>
        <v>Ellis, TX</v>
      </c>
      <c r="F1140">
        <f>_xll.BDP("293425YR Muni","DUR_ADJ_MID")</f>
        <v>2.4005942298923202</v>
      </c>
      <c r="G1140">
        <f>_xll.BDP("293425YR Muni","SPREAD_AT_ISSUANCE_TO_WORST")</f>
        <v>24.656294342643935</v>
      </c>
      <c r="H1140" t="str">
        <f>_xll.BDP("293425YR Muni","ISSUE_DT")</f>
        <v>8/15/2017</v>
      </c>
      <c r="I1140" t="str">
        <f>_xll.BDS("293425YR Muni","MUNI_PURPOSE_SCHED", "aggregate=y")</f>
        <v>PUBLIC IMPS. WATER UTILITY IMPS. SEWER IMPS.</v>
      </c>
      <c r="J1140">
        <f>_xll.BDP("293425YR Muni","CPN")</f>
        <v>3</v>
      </c>
      <c r="K1140" t="str">
        <f>_xll.BDP("293425YR Muni","MATURITY")</f>
        <v>2/1/2025</v>
      </c>
      <c r="L1140">
        <v>340000</v>
      </c>
      <c r="M1140">
        <f>_xll.BDP("293425YR Muni","YIELD_ON_ISSUE_DATE")</f>
        <v>1.75</v>
      </c>
      <c r="N1140">
        <f>_xll.BDP("293425YR Muni","YTW_SPREAD_TO_MATURITY_AT_ISSU")</f>
        <v>24.656294342643935</v>
      </c>
      <c r="O1140" t="str">
        <f>_xll.BDP("293425YR Muni","BVAL_MID_YTM")</f>
        <v>#N/A Authorization</v>
      </c>
      <c r="P1140" t="str">
        <f>_xll.BDP("293425YR Muni","MUNI_TAX_PROV")</f>
        <v>FED BQ</v>
      </c>
      <c r="Q1140" t="str">
        <f>_xll.BDP("293425YR Muni","MUNI_FED_TAX")</f>
        <v>N</v>
      </c>
      <c r="R1140" t="str">
        <f>_xll.BDP("293425YR Muni","MUNI_MSRB_VOLUME")</f>
        <v>#N/A N/A</v>
      </c>
      <c r="S1140" t="str">
        <f>_xll.BDP("293425YR Muni","BB_COMPOSITE")</f>
        <v>#N/A N/A</v>
      </c>
      <c r="T1140">
        <f>_xll.BDP("293425YR Muni","LQA_LIQUIDITY_SCORE")</f>
        <v>76</v>
      </c>
    </row>
    <row r="1141" spans="1:20" x14ac:dyDescent="0.25">
      <c r="A1141" t="str">
        <f>_xll.BDP("293425YS Muni","ID_CUSIP")</f>
        <v>293425YS7</v>
      </c>
      <c r="B1141" t="s">
        <v>360</v>
      </c>
      <c r="C1141" t="str">
        <f>_xll.BDP("293425YS Muni","INSURANCE_STATUS")</f>
        <v>N</v>
      </c>
      <c r="D1141" t="str">
        <f>_xll.BDP("293425YS Muni","STATE_CODE")</f>
        <v>TX</v>
      </c>
      <c r="E1141" t="str">
        <f>_xll.BDP("293425YS Muni","COUNTY_LOCATION_ISSUER")</f>
        <v>Ellis, TX</v>
      </c>
      <c r="F1141">
        <f>_xll.BDP("293425YS Muni","DUR_ADJ_MID")</f>
        <v>3.3127173442476363</v>
      </c>
      <c r="G1141">
        <f>_xll.BDP("293425YS Muni","SPREAD_AT_ISSUANCE_TO_WORST")</f>
        <v>25.274640843610996</v>
      </c>
      <c r="H1141" t="str">
        <f>_xll.BDP("293425YS Muni","ISSUE_DT")</f>
        <v>8/15/2017</v>
      </c>
      <c r="I1141" t="str">
        <f>_xll.BDS("293425YS Muni","MUNI_PURPOSE_SCHED", "aggregate=y")</f>
        <v>PUBLIC IMPS. WATER UTILITY IMPS. SEWER IMPS.</v>
      </c>
      <c r="J1141">
        <f>_xll.BDP("293425YS Muni","CPN")</f>
        <v>3</v>
      </c>
      <c r="K1141" t="str">
        <f>_xll.BDP("293425YS Muni","MATURITY")</f>
        <v>2/1/2026</v>
      </c>
      <c r="L1141">
        <v>350000</v>
      </c>
      <c r="M1141">
        <f>_xll.BDP("293425YS Muni","YIELD_ON_ISSUE_DATE")</f>
        <v>1.9000000000000001</v>
      </c>
      <c r="N1141">
        <f>_xll.BDP("293425YS Muni","YTW_SPREAD_TO_MATURITY_AT_ISSU")</f>
        <v>25.274640843610996</v>
      </c>
      <c r="O1141" t="str">
        <f>_xll.BDP("293425YS Muni","BVAL_MID_YTM")</f>
        <v>#N/A Authorization</v>
      </c>
      <c r="P1141" t="str">
        <f>_xll.BDP("293425YS Muni","MUNI_TAX_PROV")</f>
        <v>FED BQ</v>
      </c>
      <c r="Q1141" t="str">
        <f>_xll.BDP("293425YS Muni","MUNI_FED_TAX")</f>
        <v>N</v>
      </c>
      <c r="R1141" t="str">
        <f>_xll.BDP("293425YS Muni","MUNI_MSRB_VOLUME")</f>
        <v>#N/A N/A</v>
      </c>
      <c r="S1141" t="str">
        <f>_xll.BDP("293425YS Muni","BB_COMPOSITE")</f>
        <v>#N/A N/A</v>
      </c>
      <c r="T1141">
        <f>_xll.BDP("293425YS Muni","LQA_LIQUIDITY_SCORE")</f>
        <v>68</v>
      </c>
    </row>
    <row r="1142" spans="1:20" x14ac:dyDescent="0.25">
      <c r="A1142" t="str">
        <f>_xll.BDP("293425YT Muni","ID_CUSIP")</f>
        <v>293425YT5</v>
      </c>
      <c r="B1142" t="s">
        <v>360</v>
      </c>
      <c r="C1142" t="str">
        <f>_xll.BDP("293425YT Muni","INSURANCE_STATUS")</f>
        <v>N</v>
      </c>
      <c r="D1142" t="str">
        <f>_xll.BDP("293425YT Muni","STATE_CODE")</f>
        <v>TX</v>
      </c>
      <c r="E1142" t="str">
        <f>_xll.BDP("293425YT Muni","COUNTY_LOCATION_ISSUER")</f>
        <v>Ellis, TX</v>
      </c>
      <c r="F1142">
        <f>_xll.BDP("293425YT Muni","DUR_ADJ_MID")</f>
        <v>4.1985645470561748</v>
      </c>
      <c r="G1142">
        <f>_xll.BDP("293425YT Muni","SPREAD_AT_ISSUANCE_TO_WORST")</f>
        <v>27.988183797460685</v>
      </c>
      <c r="H1142" t="str">
        <f>_xll.BDP("293425YT Muni","ISSUE_DT")</f>
        <v>8/15/2017</v>
      </c>
      <c r="I1142" t="str">
        <f>_xll.BDS("293425YT Muni","MUNI_PURPOSE_SCHED", "aggregate=y")</f>
        <v>PUBLIC IMPS. WATER UTILITY IMPS. SEWER IMPS.</v>
      </c>
      <c r="J1142">
        <f>_xll.BDP("293425YT Muni","CPN")</f>
        <v>3</v>
      </c>
      <c r="K1142" t="str">
        <f>_xll.BDP("293425YT Muni","MATURITY")</f>
        <v>2/1/2027</v>
      </c>
      <c r="L1142">
        <v>360000</v>
      </c>
      <c r="M1142">
        <f>_xll.BDP("293425YT Muni","YIELD_ON_ISSUE_DATE")</f>
        <v>2.0499999999999998</v>
      </c>
      <c r="N1142">
        <f>_xll.BDP("293425YT Muni","YTW_SPREAD_TO_MATURITY_AT_ISSU")</f>
        <v>27.988183797460685</v>
      </c>
      <c r="O1142" t="str">
        <f>_xll.BDP("293425YT Muni","BVAL_MID_YTM")</f>
        <v>#N/A Authorization</v>
      </c>
      <c r="P1142" t="str">
        <f>_xll.BDP("293425YT Muni","MUNI_TAX_PROV")</f>
        <v>FED BQ</v>
      </c>
      <c r="Q1142" t="str">
        <f>_xll.BDP("293425YT Muni","MUNI_FED_TAX")</f>
        <v>N</v>
      </c>
      <c r="R1142" t="str">
        <f>_xll.BDP("293425YT Muni","MUNI_MSRB_VOLUME")</f>
        <v>#N/A N/A</v>
      </c>
      <c r="S1142" t="str">
        <f>_xll.BDP("293425YT Muni","BB_COMPOSITE")</f>
        <v>#N/A N/A</v>
      </c>
      <c r="T1142">
        <f>_xll.BDP("293425YT Muni","LQA_LIQUIDITY_SCORE")</f>
        <v>62</v>
      </c>
    </row>
    <row r="1143" spans="1:20" x14ac:dyDescent="0.25">
      <c r="A1143" t="str">
        <f>_xll.BDP("354783AF Muni","ID_CUSIP")</f>
        <v>354783AF9</v>
      </c>
      <c r="B1143" t="s">
        <v>361</v>
      </c>
      <c r="C1143" t="str">
        <f>_xll.BDP("354783AF Muni","INSURANCE_STATUS")</f>
        <v>N</v>
      </c>
      <c r="D1143" t="str">
        <f>_xll.BDP("354783AF Muni","STATE_CODE")</f>
        <v>TN</v>
      </c>
      <c r="E1143" t="str">
        <f>_xll.BDP("354783AF Muni","COUNTY_LOCATION_ISSUER")</f>
        <v>Williamson, TN</v>
      </c>
      <c r="F1143">
        <f>_xll.BDP("354783AF Muni","DUR_ADJ_MID")</f>
        <v>0.49445688633386747</v>
      </c>
      <c r="G1143">
        <f>_xll.BDP("354783AF Muni","SPREAD_AT_ISSUANCE_TO_WORST")</f>
        <v>23.554831406945098</v>
      </c>
      <c r="H1143" t="str">
        <f>_xll.BDP("354783AF Muni","ISSUE_DT")</f>
        <v>2/16/2017</v>
      </c>
      <c r="I1143" t="str">
        <f>_xll.BDS("354783AF Muni","MUNI_PURPOSE_SCHED", "aggregate=y")</f>
        <v>WATER UTILITY IMPS. SEWER IMPS.</v>
      </c>
      <c r="J1143">
        <f>_xll.BDP("354783AF Muni","CPN")</f>
        <v>5</v>
      </c>
      <c r="K1143" t="str">
        <f>_xll.BDP("354783AF Muni","MATURITY")</f>
        <v>2/1/2023</v>
      </c>
      <c r="L1143">
        <v>470000</v>
      </c>
      <c r="M1143">
        <f>_xll.BDP("354783AF Muni","YIELD_ON_ISSUE_DATE")</f>
        <v>2.0699999999999998</v>
      </c>
      <c r="N1143">
        <f>_xll.BDP("354783AF Muni","YTW_SPREAD_TO_MATURITY_AT_ISSU")</f>
        <v>23.554831406945098</v>
      </c>
      <c r="O1143" t="str">
        <f>_xll.BDP("354783AF Muni","BVAL_MID_YTM")</f>
        <v>#N/A Authorization</v>
      </c>
      <c r="P1143" t="str">
        <f>_xll.BDP("354783AF Muni","MUNI_TAX_PROV")</f>
        <v>FED &amp; ST TAX-EXEMPT</v>
      </c>
      <c r="Q1143" t="str">
        <f>_xll.BDP("354783AF Muni","MUNI_FED_TAX")</f>
        <v>N</v>
      </c>
      <c r="R1143" t="str">
        <f>_xll.BDP("354783AF Muni","MUNI_MSRB_VOLUME")</f>
        <v>#N/A N/A</v>
      </c>
      <c r="S1143" t="str">
        <f>_xll.BDP("354783AF Muni","BB_COMPOSITE")</f>
        <v>#N/A N/A</v>
      </c>
      <c r="T1143">
        <f>_xll.BDP("354783AF Muni","LQA_LIQUIDITY_SCORE")</f>
        <v>91</v>
      </c>
    </row>
    <row r="1144" spans="1:20" x14ac:dyDescent="0.25">
      <c r="A1144" t="str">
        <f>_xll.BDP("354783AG Muni","ID_CUSIP")</f>
        <v>354783AG7</v>
      </c>
      <c r="B1144" t="s">
        <v>361</v>
      </c>
      <c r="C1144" t="str">
        <f>_xll.BDP("354783AG Muni","INSURANCE_STATUS")</f>
        <v>N</v>
      </c>
      <c r="D1144" t="str">
        <f>_xll.BDP("354783AG Muni","STATE_CODE")</f>
        <v>TN</v>
      </c>
      <c r="E1144" t="str">
        <f>_xll.BDP("354783AG Muni","COUNTY_LOCATION_ISSUER")</f>
        <v>Williamson, TN</v>
      </c>
      <c r="F1144">
        <f>_xll.BDP("354783AG Muni","DUR_ADJ_MID")</f>
        <v>1.4495999149910512</v>
      </c>
      <c r="G1144">
        <f>_xll.BDP("354783AG Muni","SPREAD_AT_ISSUANCE_TO_WORST")</f>
        <v>27.989464582823231</v>
      </c>
      <c r="H1144" t="str">
        <f>_xll.BDP("354783AG Muni","ISSUE_DT")</f>
        <v>2/16/2017</v>
      </c>
      <c r="I1144" t="str">
        <f>_xll.BDS("354783AG Muni","MUNI_PURPOSE_SCHED", "aggregate=y")</f>
        <v>WATER UTILITY IMPS. SEWER IMPS.</v>
      </c>
      <c r="J1144">
        <f>_xll.BDP("354783AG Muni","CPN")</f>
        <v>5</v>
      </c>
      <c r="K1144" t="str">
        <f>_xll.BDP("354783AG Muni","MATURITY")</f>
        <v>2/1/2024</v>
      </c>
      <c r="L1144">
        <v>495000</v>
      </c>
      <c r="M1144">
        <f>_xll.BDP("354783AG Muni","YIELD_ON_ISSUE_DATE")</f>
        <v>2.25</v>
      </c>
      <c r="N1144">
        <f>_xll.BDP("354783AG Muni","YTW_SPREAD_TO_MATURITY_AT_ISSU")</f>
        <v>27.989464582823231</v>
      </c>
      <c r="O1144" t="str">
        <f>_xll.BDP("354783AG Muni","BVAL_MID_YTM")</f>
        <v>#N/A Authorization</v>
      </c>
      <c r="P1144" t="str">
        <f>_xll.BDP("354783AG Muni","MUNI_TAX_PROV")</f>
        <v>FED &amp; ST TAX-EXEMPT</v>
      </c>
      <c r="Q1144" t="str">
        <f>_xll.BDP("354783AG Muni","MUNI_FED_TAX")</f>
        <v>N</v>
      </c>
      <c r="R1144" t="str">
        <f>_xll.BDP("354783AG Muni","MUNI_MSRB_VOLUME")</f>
        <v>#N/A N/A</v>
      </c>
      <c r="S1144" t="str">
        <f>_xll.BDP("354783AG Muni","BB_COMPOSITE")</f>
        <v>#N/A N/A</v>
      </c>
      <c r="T1144">
        <f>_xll.BDP("354783AG Muni","LQA_LIQUIDITY_SCORE")</f>
        <v>83</v>
      </c>
    </row>
    <row r="1145" spans="1:20" x14ac:dyDescent="0.25">
      <c r="A1145" t="str">
        <f>_xll.BDP("354783AH Muni","ID_CUSIP")</f>
        <v>354783AH5</v>
      </c>
      <c r="B1145" t="s">
        <v>361</v>
      </c>
      <c r="C1145" t="str">
        <f>_xll.BDP("354783AH Muni","INSURANCE_STATUS")</f>
        <v>N</v>
      </c>
      <c r="D1145" t="str">
        <f>_xll.BDP("354783AH Muni","STATE_CODE")</f>
        <v>TN</v>
      </c>
      <c r="E1145" t="str">
        <f>_xll.BDP("354783AH Muni","COUNTY_LOCATION_ISSUER")</f>
        <v>Williamson, TN</v>
      </c>
      <c r="F1145">
        <f>_xll.BDP("354783AH Muni","DUR_ADJ_MID")</f>
        <v>2.3612354230157466</v>
      </c>
      <c r="G1145">
        <f>_xll.BDP("354783AH Muni","SPREAD_AT_ISSUANCE_TO_WORST")</f>
        <v>29.634510890266654</v>
      </c>
      <c r="H1145" t="str">
        <f>_xll.BDP("354783AH Muni","ISSUE_DT")</f>
        <v>2/16/2017</v>
      </c>
      <c r="I1145" t="str">
        <f>_xll.BDS("354783AH Muni","MUNI_PURPOSE_SCHED", "aggregate=y")</f>
        <v>WATER UTILITY IMPS. SEWER IMPS.</v>
      </c>
      <c r="J1145">
        <f>_xll.BDP("354783AH Muni","CPN")</f>
        <v>5</v>
      </c>
      <c r="K1145" t="str">
        <f>_xll.BDP("354783AH Muni","MATURITY")</f>
        <v>2/1/2025</v>
      </c>
      <c r="L1145">
        <v>520000</v>
      </c>
      <c r="M1145">
        <f>_xll.BDP("354783AH Muni","YIELD_ON_ISSUE_DATE")</f>
        <v>2.4000000000000004</v>
      </c>
      <c r="N1145">
        <f>_xll.BDP("354783AH Muni","YTW_SPREAD_TO_MATURITY_AT_ISSU")</f>
        <v>29.634510890266654</v>
      </c>
      <c r="O1145" t="str">
        <f>_xll.BDP("354783AH Muni","BVAL_MID_YTM")</f>
        <v>#N/A Authorization</v>
      </c>
      <c r="P1145" t="str">
        <f>_xll.BDP("354783AH Muni","MUNI_TAX_PROV")</f>
        <v>FED &amp; ST TAX-EXEMPT</v>
      </c>
      <c r="Q1145" t="str">
        <f>_xll.BDP("354783AH Muni","MUNI_FED_TAX")</f>
        <v>N</v>
      </c>
      <c r="R1145" t="str">
        <f>_xll.BDP("354783AH Muni","MUNI_MSRB_VOLUME")</f>
        <v>#N/A N/A</v>
      </c>
      <c r="S1145" t="str">
        <f>_xll.BDP("354783AH Muni","BB_COMPOSITE")</f>
        <v>#N/A N/A</v>
      </c>
      <c r="T1145">
        <f>_xll.BDP("354783AH Muni","LQA_LIQUIDITY_SCORE")</f>
        <v>77</v>
      </c>
    </row>
    <row r="1146" spans="1:20" x14ac:dyDescent="0.25">
      <c r="A1146" t="str">
        <f>_xll.BDP("181003NT Muni","ID_CUSIP")</f>
        <v>181003NT7</v>
      </c>
      <c r="B1146" t="s">
        <v>116</v>
      </c>
      <c r="C1146" t="str">
        <f>_xll.BDP("181003NT Muni","INSURANCE_STATUS")</f>
        <v>N</v>
      </c>
      <c r="D1146" t="str">
        <f>_xll.BDP("181003NT Muni","STATE_CODE")</f>
        <v>NV</v>
      </c>
      <c r="E1146" t="str">
        <f>_xll.BDP("181003NT Muni","COUNTY_LOCATION_ISSUER")</f>
        <v>Clark, NV</v>
      </c>
      <c r="F1146">
        <f>_xll.BDP("181003NT Muni","DUR_ADJ_MID")</f>
        <v>0.97832617279499312</v>
      </c>
      <c r="G1146">
        <f>_xll.BDP("181003NT Muni","SPREAD_AT_ISSUANCE_TO_WORST")</f>
        <v>12.647410530619352</v>
      </c>
      <c r="H1146" t="str">
        <f>_xll.BDP("181003NT Muni","ISSUE_DT")</f>
        <v>7/11/2017</v>
      </c>
      <c r="I1146" t="str">
        <f>_xll.BDS("181003NT Muni","MUNI_PURPOSE_SCHED", "aggregate=y")</f>
        <v>PUBLIC IMPS. WATER UTILITY IMPS. SEWER IMPS.</v>
      </c>
      <c r="J1146">
        <f>_xll.BDP("181003NT Muni","CPN")</f>
        <v>5</v>
      </c>
      <c r="K1146" t="str">
        <f>_xll.BDP("181003NT Muni","MATURITY")</f>
        <v>8/1/2023</v>
      </c>
      <c r="L1146">
        <v>610000</v>
      </c>
      <c r="M1146">
        <f>_xll.BDP("181003NT Muni","YIELD_ON_ISSUE_DATE")</f>
        <v>1.49</v>
      </c>
      <c r="N1146">
        <f>_xll.BDP("181003NT Muni","YTW_SPREAD_TO_MATURITY_AT_ISSU")</f>
        <v>12.647410530619352</v>
      </c>
      <c r="O1146" t="str">
        <f>_xll.BDP("181003NT Muni","BVAL_MID_YTM")</f>
        <v>#N/A Authorization</v>
      </c>
      <c r="P1146" t="str">
        <f>_xll.BDP("181003NT Muni","MUNI_TAX_PROV")</f>
        <v>FED &amp; ST TAX-EXEMPT</v>
      </c>
      <c r="Q1146" t="str">
        <f>_xll.BDP("181003NT Muni","MUNI_FED_TAX")</f>
        <v>N</v>
      </c>
      <c r="R1146" t="str">
        <f>_xll.BDP("181003NT Muni","MUNI_MSRB_VOLUME")</f>
        <v>#N/A N/A</v>
      </c>
      <c r="S1146" t="str">
        <f>_xll.BDP("181003NT Muni","BB_COMPOSITE")</f>
        <v>AA+</v>
      </c>
      <c r="T1146">
        <f>_xll.BDP("181003NT Muni","LQA_LIQUIDITY_SCORE")</f>
        <v>83</v>
      </c>
    </row>
    <row r="1147" spans="1:20" x14ac:dyDescent="0.25">
      <c r="A1147" t="str">
        <f>_xll.BDP("181003NX Muni","ID_CUSIP")</f>
        <v>181003NX8</v>
      </c>
      <c r="B1147" t="s">
        <v>116</v>
      </c>
      <c r="C1147" t="str">
        <f>_xll.BDP("181003NX Muni","INSURANCE_STATUS")</f>
        <v>N</v>
      </c>
      <c r="D1147" t="str">
        <f>_xll.BDP("181003NX Muni","STATE_CODE")</f>
        <v>NV</v>
      </c>
      <c r="E1147" t="str">
        <f>_xll.BDP("181003NX Muni","COUNTY_LOCATION_ISSUER")</f>
        <v>Clark, NV</v>
      </c>
      <c r="F1147">
        <f>_xll.BDP("181003NX Muni","DUR_ADJ_MID")</f>
        <v>4.4827637556346875</v>
      </c>
      <c r="G1147">
        <f>_xll.BDP("181003NX Muni","SPREAD_AT_ISSUANCE_TO_WORST")</f>
        <v>12.624472526972541</v>
      </c>
      <c r="H1147" t="str">
        <f>_xll.BDP("181003NX Muni","ISSUE_DT")</f>
        <v>7/11/2017</v>
      </c>
      <c r="I1147" t="str">
        <f>_xll.BDS("181003NX Muni","MUNI_PURPOSE_SCHED", "aggregate=y")</f>
        <v>PUBLIC IMPS. WATER UTILITY IMPS. SEWER IMPS.</v>
      </c>
      <c r="J1147">
        <f>_xll.BDP("181003NX Muni","CPN")</f>
        <v>5</v>
      </c>
      <c r="K1147" t="str">
        <f>_xll.BDP("181003NX Muni","MATURITY")</f>
        <v>8/1/2027</v>
      </c>
      <c r="L1147">
        <v>605000</v>
      </c>
      <c r="M1147">
        <f>_xll.BDP("181003NX Muni","YIELD_ON_ISSUE_DATE")</f>
        <v>2.02</v>
      </c>
      <c r="N1147">
        <f>_xll.BDP("181003NX Muni","YTW_SPREAD_TO_MATURITY_AT_ISSU")</f>
        <v>12.624472526972541</v>
      </c>
      <c r="O1147" t="str">
        <f>_xll.BDP("181003NX Muni","BVAL_MID_YTM")</f>
        <v>#N/A Authorization</v>
      </c>
      <c r="P1147" t="str">
        <f>_xll.BDP("181003NX Muni","MUNI_TAX_PROV")</f>
        <v>FED &amp; ST TAX-EXEMPT</v>
      </c>
      <c r="Q1147" t="str">
        <f>_xll.BDP("181003NX Muni","MUNI_FED_TAX")</f>
        <v>N</v>
      </c>
      <c r="R1147">
        <f>_xll.BDP("181003NX Muni","MUNI_MSRB_VOLUME")</f>
        <v>40000</v>
      </c>
      <c r="S1147" t="str">
        <f>_xll.BDP("181003NX Muni","BB_COMPOSITE")</f>
        <v>AA+</v>
      </c>
      <c r="T1147">
        <f>_xll.BDP("181003NX Muni","LQA_LIQUIDITY_SCORE")</f>
        <v>46</v>
      </c>
    </row>
    <row r="1148" spans="1:20" x14ac:dyDescent="0.25">
      <c r="A1148" t="str">
        <f>_xll.BDP("181126LQ Muni","ID_CUSIP")</f>
        <v>181126LQ4</v>
      </c>
      <c r="B1148" t="s">
        <v>48</v>
      </c>
      <c r="C1148" t="str">
        <f>_xll.BDP("181126LQ Muni","INSURANCE_STATUS")</f>
        <v>N</v>
      </c>
      <c r="D1148" t="str">
        <f>_xll.BDP("181126LQ Muni","STATE_CODE")</f>
        <v>WA</v>
      </c>
      <c r="E1148" t="str">
        <f>_xll.BDP("181126LQ Muni","COUNTY_LOCATION_ISSUER")</f>
        <v>Clark, WA</v>
      </c>
      <c r="F1148">
        <f>_xll.BDP("181126LQ Muni","DUR_ADJ_MID")</f>
        <v>3.1551650889344494</v>
      </c>
      <c r="G1148">
        <f>_xll.BDP("181126LQ Muni","SPREAD_AT_ISSUANCE_TO_WORST")</f>
        <v>35.286308015168501</v>
      </c>
      <c r="H1148" t="str">
        <f>_xll.BDP("181126LQ Muni","ISSUE_DT")</f>
        <v>3/30/2017</v>
      </c>
      <c r="I1148" t="str">
        <f>_xll.BDS("181126LQ Muni","MUNI_PURPOSE_SCHED", "aggregate=y")</f>
        <v>ADVANCE REFUNDING CURRENT REFUNDING WATER UTILITY IMPS.</v>
      </c>
      <c r="J1148">
        <f>_xll.BDP("181126LQ Muni","CPN")</f>
        <v>5</v>
      </c>
      <c r="K1148" t="str">
        <f>_xll.BDP("181126LQ Muni","MATURITY")</f>
        <v>1/1/2026</v>
      </c>
      <c r="L1148">
        <v>2645000</v>
      </c>
      <c r="M1148">
        <f>_xll.BDP("181126LQ Muni","YIELD_ON_ISSUE_DATE")</f>
        <v>2.62</v>
      </c>
      <c r="N1148">
        <f>_xll.BDP("181126LQ Muni","YTW_SPREAD_TO_MATURITY_AT_ISSU")</f>
        <v>35.286308015168501</v>
      </c>
      <c r="O1148" t="str">
        <f>_xll.BDP("181126LQ Muni","BVAL_MID_YTM")</f>
        <v>#N/A Authorization</v>
      </c>
      <c r="P1148" t="str">
        <f>_xll.BDP("181126LQ Muni","MUNI_TAX_PROV")</f>
        <v>FED TAX-EXEMPT</v>
      </c>
      <c r="Q1148" t="str">
        <f>_xll.BDP("181126LQ Muni","MUNI_FED_TAX")</f>
        <v>N</v>
      </c>
      <c r="R1148">
        <f>_xll.BDP("181126LQ Muni","MUNI_MSRB_VOLUME")</f>
        <v>75000</v>
      </c>
      <c r="S1148" t="str">
        <f>_xll.BDP("181126LQ Muni","BB_COMPOSITE")</f>
        <v>AA-</v>
      </c>
      <c r="T1148">
        <f>_xll.BDP("181126LQ Muni","LQA_LIQUIDITY_SCORE")</f>
        <v>74</v>
      </c>
    </row>
    <row r="1149" spans="1:20" x14ac:dyDescent="0.25">
      <c r="A1149" t="str">
        <f>_xll.BDP("312526CR Muni","ID_CUSIP")</f>
        <v>312526CR5</v>
      </c>
      <c r="B1149" t="s">
        <v>362</v>
      </c>
      <c r="C1149" t="str">
        <f>_xll.BDP("312526CR Muni","INSURANCE_STATUS")</f>
        <v>N</v>
      </c>
      <c r="D1149" t="str">
        <f>_xll.BDP("312526CR Muni","STATE_CODE")</f>
        <v>TX</v>
      </c>
      <c r="E1149" t="str">
        <f>_xll.BDP("312526CR Muni","COUNTY_LOCATION_ISSUER")</f>
        <v>Fayette, TX</v>
      </c>
      <c r="F1149">
        <f>_xll.BDP("312526CR Muni","DUR_ADJ_MID")</f>
        <v>0.65130027903492649</v>
      </c>
      <c r="G1149">
        <f>_xll.BDP("312526CR Muni","SPREAD_AT_ISSUANCE_TO_WORST")</f>
        <v>103.16752717822592</v>
      </c>
      <c r="H1149" t="str">
        <f>_xll.BDP("312526CR Muni","ISSUE_DT")</f>
        <v>6/1/2017</v>
      </c>
      <c r="I1149" t="str">
        <f>_xll.BDS("312526CR Muni","MUNI_PURPOSE_SCHED", "aggregate=y")</f>
        <v>WATER UTILITY IMPS. SEWER IMPS.</v>
      </c>
      <c r="J1149">
        <f>_xll.BDP("312526CR Muni","CPN")</f>
        <v>2.5499999999999998</v>
      </c>
      <c r="K1149" t="str">
        <f>_xll.BDP("312526CR Muni","MATURITY")</f>
        <v>4/1/2023</v>
      </c>
      <c r="L1149">
        <v>35000</v>
      </c>
      <c r="M1149">
        <f>_xll.BDP("312526CR Muni","YIELD_ON_ISSUE_DATE")</f>
        <v>2.5500000000000003</v>
      </c>
      <c r="N1149">
        <f>_xll.BDP("312526CR Muni","YTW_SPREAD_TO_MATURITY_AT_ISSU")</f>
        <v>103.16752717822592</v>
      </c>
      <c r="O1149" t="str">
        <f>_xll.BDP("312526CR Muni","BVAL_MID_YTM")</f>
        <v>#N/A Authorization</v>
      </c>
      <c r="P1149" t="str">
        <f>_xll.BDP("312526CR Muni","MUNI_TAX_PROV")</f>
        <v>FED BQ</v>
      </c>
      <c r="Q1149" t="str">
        <f>_xll.BDP("312526CR Muni","MUNI_FED_TAX")</f>
        <v>N</v>
      </c>
      <c r="R1149" t="str">
        <f>_xll.BDP("312526CR Muni","MUNI_MSRB_VOLUME")</f>
        <v>#N/A N/A</v>
      </c>
      <c r="S1149" t="str">
        <f>_xll.BDP("312526CR Muni","BB_COMPOSITE")</f>
        <v>#N/A N/A</v>
      </c>
      <c r="T1149">
        <f>_xll.BDP("312526CR Muni","LQA_LIQUIDITY_SCORE")</f>
        <v>75</v>
      </c>
    </row>
    <row r="1150" spans="1:20" x14ac:dyDescent="0.25">
      <c r="A1150" t="str">
        <f>_xll.BDP("31803QAM Muni","ID_CUSIP")</f>
        <v>31803QAM8</v>
      </c>
      <c r="B1150" t="s">
        <v>363</v>
      </c>
      <c r="C1150" t="str">
        <f>_xll.BDP("31803QAM Muni","INSURANCE_STATUS")</f>
        <v>N</v>
      </c>
      <c r="D1150" t="str">
        <f>_xll.BDP("31803QAM Muni","STATE_CODE")</f>
        <v>KS</v>
      </c>
      <c r="E1150" t="str">
        <f>_xll.BDP("31803QAM Muni","COUNTY_LOCATION_ISSUER")</f>
        <v>Finney, KS</v>
      </c>
      <c r="F1150">
        <f>_xll.BDP("31803QAM Muni","DUR_ADJ_MID")</f>
        <v>0.16314150548774398</v>
      </c>
      <c r="G1150">
        <f>_xll.BDP("31803QAM Muni","SPREAD_AT_ISSUANCE_TO_WORST")</f>
        <v>83.532345104895043</v>
      </c>
      <c r="H1150" t="str">
        <f>_xll.BDP("31803QAM Muni","ISSUE_DT")</f>
        <v>11/29/2017</v>
      </c>
      <c r="I1150" t="str">
        <f>_xll.BDS("31803QAM Muni","MUNI_PURPOSE_SCHED", "aggregate=y")</f>
        <v>WATER UTILITY IMPS. REPAYMENT OF BANK LOAN ADVANCE REFUNDING</v>
      </c>
      <c r="J1150">
        <f>_xll.BDP("31803QAM Muni","CPN")</f>
        <v>3.5</v>
      </c>
      <c r="K1150" t="str">
        <f>_xll.BDP("31803QAM Muni","MATURITY")</f>
        <v>10/1/2022</v>
      </c>
      <c r="L1150">
        <v>15000</v>
      </c>
      <c r="M1150">
        <f>_xll.BDP("31803QAM Muni","YIELD_ON_ISSUE_DATE")</f>
        <v>2.9000000000000004</v>
      </c>
      <c r="N1150">
        <f>_xll.BDP("31803QAM Muni","YTW_SPREAD_TO_MATURITY_AT_ISSU")</f>
        <v>83.532345104895043</v>
      </c>
      <c r="O1150" t="str">
        <f>_xll.BDP("31803QAM Muni","BVAL_MID_YTM")</f>
        <v>#N/A Authorization</v>
      </c>
      <c r="P1150" t="str">
        <f>_xll.BDP("31803QAM Muni","MUNI_TAX_PROV")</f>
        <v>FED TAXABLE/ST TAX-EXEMPT</v>
      </c>
      <c r="Q1150" t="str">
        <f>_xll.BDP("31803QAM Muni","MUNI_FED_TAX")</f>
        <v>Y</v>
      </c>
      <c r="R1150" t="str">
        <f>_xll.BDP("31803QAM Muni","MUNI_MSRB_VOLUME")</f>
        <v>#N/A N/A</v>
      </c>
      <c r="S1150" t="str">
        <f>_xll.BDP("31803QAM Muni","BB_COMPOSITE")</f>
        <v>#N/A N/A</v>
      </c>
      <c r="T1150">
        <f>_xll.BDP("31803QAM Muni","LQA_LIQUIDITY_SCORE")</f>
        <v>88</v>
      </c>
    </row>
    <row r="1151" spans="1:20" x14ac:dyDescent="0.25">
      <c r="A1151" t="str">
        <f>_xll.BDP("31803QAP Muni","ID_CUSIP")</f>
        <v>31803QAP1</v>
      </c>
      <c r="B1151" t="s">
        <v>363</v>
      </c>
      <c r="C1151" t="str">
        <f>_xll.BDP("31803QAP Muni","INSURANCE_STATUS")</f>
        <v>N</v>
      </c>
      <c r="D1151" t="str">
        <f>_xll.BDP("31803QAP Muni","STATE_CODE")</f>
        <v>KS</v>
      </c>
      <c r="E1151" t="str">
        <f>_xll.BDP("31803QAP Muni","COUNTY_LOCATION_ISSUER")</f>
        <v>Finney, KS</v>
      </c>
      <c r="F1151">
        <f>_xll.BDP("31803QAP Muni","DUR_ADJ_MID")</f>
        <v>2.0504559481934077</v>
      </c>
      <c r="G1151">
        <f>_xll.BDP("31803QAP Muni","SPREAD_AT_ISSUANCE_TO_WORST")</f>
        <v>93.265589049247623</v>
      </c>
      <c r="H1151" t="str">
        <f>_xll.BDP("31803QAP Muni","ISSUE_DT")</f>
        <v>11/29/2017</v>
      </c>
      <c r="I1151" t="str">
        <f>_xll.BDS("31803QAP Muni","MUNI_PURPOSE_SCHED", "aggregate=y")</f>
        <v>WATER UTILITY IMPS. REPAYMENT OF BANK LOAN ADVANCE REFUNDING</v>
      </c>
      <c r="J1151">
        <f>_xll.BDP("31803QAP Muni","CPN")</f>
        <v>3.2</v>
      </c>
      <c r="K1151" t="str">
        <f>_xll.BDP("31803QAP Muni","MATURITY")</f>
        <v>10/1/2024</v>
      </c>
      <c r="L1151">
        <v>15000</v>
      </c>
      <c r="M1151">
        <f>_xll.BDP("31803QAP Muni","YIELD_ON_ISSUE_DATE")</f>
        <v>3.2</v>
      </c>
      <c r="N1151">
        <f>_xll.BDP("31803QAP Muni","YTW_SPREAD_TO_MATURITY_AT_ISSU")</f>
        <v>93.265589049247623</v>
      </c>
      <c r="O1151" t="str">
        <f>_xll.BDP("31803QAP Muni","BVAL_MID_YTM")</f>
        <v>#N/A Authorization</v>
      </c>
      <c r="P1151" t="str">
        <f>_xll.BDP("31803QAP Muni","MUNI_TAX_PROV")</f>
        <v>FED TAXABLE/ST TAX-EXEMPT</v>
      </c>
      <c r="Q1151" t="str">
        <f>_xll.BDP("31803QAP Muni","MUNI_FED_TAX")</f>
        <v>Y</v>
      </c>
      <c r="R1151" t="str">
        <f>_xll.BDP("31803QAP Muni","MUNI_MSRB_VOLUME")</f>
        <v>#N/A N/A</v>
      </c>
      <c r="S1151" t="str">
        <f>_xll.BDP("31803QAP Muni","BB_COMPOSITE")</f>
        <v>#N/A N/A</v>
      </c>
      <c r="T1151">
        <f>_xll.BDP("31803QAP Muni","LQA_LIQUIDITY_SCORE")</f>
        <v>60</v>
      </c>
    </row>
    <row r="1152" spans="1:20" x14ac:dyDescent="0.25">
      <c r="A1152" t="str">
        <f>_xll.BDP("18450CSM Muni","ID_CUSIP")</f>
        <v>18450CSM3</v>
      </c>
      <c r="B1152" t="s">
        <v>364</v>
      </c>
      <c r="C1152" t="str">
        <f>_xll.BDP("18450CSM Muni","INSURANCE_STATUS")</f>
        <v>Y</v>
      </c>
      <c r="D1152" t="str">
        <f>_xll.BDP("18450CSM Muni","STATE_CODE")</f>
        <v>TX</v>
      </c>
      <c r="E1152" t="str">
        <f>_xll.BDP("18450CSM Muni","COUNTY_LOCATION_ISSUER")</f>
        <v>Harris, TX</v>
      </c>
      <c r="F1152">
        <f>_xll.BDP("18450CSM Muni","DUR_ADJ_MID")</f>
        <v>0.49442246943719637</v>
      </c>
      <c r="G1152">
        <f>_xll.BDP("18450CSM Muni","SPREAD_AT_ISSUANCE_TO_WORST")</f>
        <v>54.89008219178082</v>
      </c>
      <c r="H1152" t="str">
        <f>_xll.BDP("18450CSM Muni","ISSUE_DT")</f>
        <v>12/1/2017</v>
      </c>
      <c r="I1152" t="str">
        <f>_xll.BDS("18450CSM Muni","MUNI_PURPOSE_SCHED", "aggregate=y")</f>
        <v>WATER UTILITY IMPS. SEWER IMPS.</v>
      </c>
      <c r="J1152">
        <f>_xll.BDP("18450CSM Muni","CPN")</f>
        <v>4.25</v>
      </c>
      <c r="K1152" t="str">
        <f>_xll.BDP("18450CSM Muni","MATURITY")</f>
        <v>2/1/2023</v>
      </c>
      <c r="L1152">
        <v>350000</v>
      </c>
      <c r="M1152">
        <f>_xll.BDP("18450CSM Muni","YIELD_ON_ISSUE_DATE")</f>
        <v>2.1</v>
      </c>
      <c r="N1152">
        <f>_xll.BDP("18450CSM Muni","YTW_SPREAD_TO_MATURITY_AT_ISSU")</f>
        <v>54.89008219178082</v>
      </c>
      <c r="O1152" t="str">
        <f>_xll.BDP("18450CSM Muni","BVAL_MID_YTM")</f>
        <v>#N/A Authorization</v>
      </c>
      <c r="P1152" t="str">
        <f>_xll.BDP("18450CSM Muni","MUNI_TAX_PROV")</f>
        <v>FED TAX-EXEMPT</v>
      </c>
      <c r="Q1152" t="str">
        <f>_xll.BDP("18450CSM Muni","MUNI_FED_TAX")</f>
        <v>N</v>
      </c>
      <c r="R1152" t="str">
        <f>_xll.BDP("18450CSM Muni","MUNI_MSRB_VOLUME")</f>
        <v>#N/A N/A</v>
      </c>
      <c r="S1152" t="str">
        <f>_xll.BDP("18450CSM Muni","BB_COMPOSITE")</f>
        <v>#N/A N/A</v>
      </c>
      <c r="T1152">
        <f>_xll.BDP("18450CSM Muni","LQA_LIQUIDITY_SCORE")</f>
        <v>96</v>
      </c>
    </row>
    <row r="1153" spans="1:20" x14ac:dyDescent="0.25">
      <c r="A1153" t="str">
        <f>_xll.BDP("1845764Z Muni","ID_CUSIP")</f>
        <v>1845764Z6</v>
      </c>
      <c r="B1153" t="s">
        <v>365</v>
      </c>
      <c r="C1153" t="str">
        <f>_xll.BDP("1845764Z Muni","INSURANCE_STATUS")</f>
        <v>Y</v>
      </c>
      <c r="D1153" t="str">
        <f>_xll.BDP("1845764Z Muni","STATE_CODE")</f>
        <v>TX</v>
      </c>
      <c r="E1153" t="str">
        <f>_xll.BDP("1845764Z Muni","COUNTY_LOCATION_ISSUER")</f>
        <v>Harris, TX</v>
      </c>
      <c r="F1153">
        <f>_xll.BDP("1845764Z Muni","DUR_ADJ_MID")</f>
        <v>0.57199365955075587</v>
      </c>
      <c r="G1153">
        <f>_xll.BDP("1845764Z Muni","SPREAD_AT_ISSUANCE_TO_WORST")</f>
        <v>25.801070543471695</v>
      </c>
      <c r="H1153" t="str">
        <f>_xll.BDP("1845764Z Muni","ISSUE_DT")</f>
        <v>2/1/2017</v>
      </c>
      <c r="I1153" t="str">
        <f>_xll.BDS("1845764Z Muni","MUNI_PURPOSE_SCHED", "aggregate=y")</f>
        <v>WATER UTILITY IMPS. SEWER IMPS.</v>
      </c>
      <c r="J1153">
        <f>_xll.BDP("1845764Z Muni","CPN")</f>
        <v>2</v>
      </c>
      <c r="K1153" t="str">
        <f>_xll.BDP("1845764Z Muni","MATURITY")</f>
        <v>3/1/2023</v>
      </c>
      <c r="L1153">
        <v>445000</v>
      </c>
      <c r="M1153">
        <f>_xll.BDP("1845764Z Muni","YIELD_ON_ISSUE_DATE")</f>
        <v>2.02</v>
      </c>
      <c r="N1153">
        <f>_xll.BDP("1845764Z Muni","YTW_SPREAD_TO_MATURITY_AT_ISSU")</f>
        <v>25.801070543471695</v>
      </c>
      <c r="O1153" t="str">
        <f>_xll.BDP("1845764Z Muni","BVAL_MID_YTM")</f>
        <v>#N/A Authorization</v>
      </c>
      <c r="P1153" t="str">
        <f>_xll.BDP("1845764Z Muni","MUNI_TAX_PROV")</f>
        <v>FED TAX-EXEMPT</v>
      </c>
      <c r="Q1153" t="str">
        <f>_xll.BDP("1845764Z Muni","MUNI_FED_TAX")</f>
        <v>N</v>
      </c>
      <c r="R1153" t="str">
        <f>_xll.BDP("1845764Z Muni","MUNI_MSRB_VOLUME")</f>
        <v>#N/A N/A</v>
      </c>
      <c r="S1153" t="str">
        <f>_xll.BDP("1845764Z Muni","BB_COMPOSITE")</f>
        <v>#N/A N/A</v>
      </c>
      <c r="T1153">
        <f>_xll.BDP("1845764Z Muni","LQA_LIQUIDITY_SCORE")</f>
        <v>85</v>
      </c>
    </row>
    <row r="1154" spans="1:20" x14ac:dyDescent="0.25">
      <c r="A1154" t="str">
        <f>_xll.BDP("1845765A Muni","ID_CUSIP")</f>
        <v>1845765A0</v>
      </c>
      <c r="B1154" t="s">
        <v>365</v>
      </c>
      <c r="C1154" t="str">
        <f>_xll.BDP("1845765A Muni","INSURANCE_STATUS")</f>
        <v>Y</v>
      </c>
      <c r="D1154" t="str">
        <f>_xll.BDP("1845765A Muni","STATE_CODE")</f>
        <v>TX</v>
      </c>
      <c r="E1154" t="str">
        <f>_xll.BDP("1845765A Muni","COUNTY_LOCATION_ISSUER")</f>
        <v>Harris, TX</v>
      </c>
      <c r="F1154">
        <f>_xll.BDP("1845765A Muni","DUR_ADJ_MID")</f>
        <v>1.537303616137399</v>
      </c>
      <c r="G1154">
        <f>_xll.BDP("1845765A Muni","SPREAD_AT_ISSUANCE_TO_WORST")</f>
        <v>27.951357200313474</v>
      </c>
      <c r="H1154" t="str">
        <f>_xll.BDP("1845765A Muni","ISSUE_DT")</f>
        <v>2/1/2017</v>
      </c>
      <c r="I1154" t="str">
        <f>_xll.BDS("1845765A Muni","MUNI_PURPOSE_SCHED", "aggregate=y")</f>
        <v>WATER UTILITY IMPS. SEWER IMPS.</v>
      </c>
      <c r="J1154">
        <f>_xll.BDP("1845765A Muni","CPN")</f>
        <v>2</v>
      </c>
      <c r="K1154" t="str">
        <f>_xll.BDP("1845765A Muni","MATURITY")</f>
        <v>3/1/2024</v>
      </c>
      <c r="L1154">
        <v>460000</v>
      </c>
      <c r="M1154">
        <f>_xll.BDP("1845765A Muni","YIELD_ON_ISSUE_DATE")</f>
        <v>2.17</v>
      </c>
      <c r="N1154">
        <f>_xll.BDP("1845765A Muni","YTW_SPREAD_TO_MATURITY_AT_ISSU")</f>
        <v>27.951357200313474</v>
      </c>
      <c r="O1154" t="str">
        <f>_xll.BDP("1845765A Muni","BVAL_MID_YTM")</f>
        <v>#N/A Authorization</v>
      </c>
      <c r="P1154" t="str">
        <f>_xll.BDP("1845765A Muni","MUNI_TAX_PROV")</f>
        <v>FED TAX-EXEMPT</v>
      </c>
      <c r="Q1154" t="str">
        <f>_xll.BDP("1845765A Muni","MUNI_FED_TAX")</f>
        <v>N</v>
      </c>
      <c r="R1154" t="str">
        <f>_xll.BDP("1845765A Muni","MUNI_MSRB_VOLUME")</f>
        <v>#N/A N/A</v>
      </c>
      <c r="S1154" t="str">
        <f>_xll.BDP("1845765A Muni","BB_COMPOSITE")</f>
        <v>#N/A N/A</v>
      </c>
      <c r="T1154">
        <f>_xll.BDP("1845765A Muni","LQA_LIQUIDITY_SCORE")</f>
        <v>70</v>
      </c>
    </row>
    <row r="1155" spans="1:20" x14ac:dyDescent="0.25">
      <c r="A1155" t="str">
        <f>_xll.BDP("1845765B Muni","ID_CUSIP")</f>
        <v>1845765B8</v>
      </c>
      <c r="B1155" t="s">
        <v>365</v>
      </c>
      <c r="C1155" t="str">
        <f>_xll.BDP("1845765B Muni","INSURANCE_STATUS")</f>
        <v>Y</v>
      </c>
      <c r="D1155" t="str">
        <f>_xll.BDP("1845765B Muni","STATE_CODE")</f>
        <v>TX</v>
      </c>
      <c r="E1155" t="str">
        <f>_xll.BDP("1845765B Muni","COUNTY_LOCATION_ISSUER")</f>
        <v>Harris, TX</v>
      </c>
      <c r="F1155">
        <f>_xll.BDP("1845765B Muni","DUR_ADJ_MID")</f>
        <v>2.4495750964824392</v>
      </c>
      <c r="G1155">
        <f>_xll.BDP("1845765B Muni","SPREAD_AT_ISSUANCE_TO_WORST")</f>
        <v>27.420565610808858</v>
      </c>
      <c r="H1155" t="str">
        <f>_xll.BDP("1845765B Muni","ISSUE_DT")</f>
        <v>2/1/2017</v>
      </c>
      <c r="I1155" t="str">
        <f>_xll.BDS("1845765B Muni","MUNI_PURPOSE_SCHED", "aggregate=y")</f>
        <v>WATER UTILITY IMPS. SEWER IMPS.</v>
      </c>
      <c r="J1155">
        <f>_xll.BDP("1845765B Muni","CPN")</f>
        <v>3</v>
      </c>
      <c r="K1155" t="str">
        <f>_xll.BDP("1845765B Muni","MATURITY")</f>
        <v>3/1/2025</v>
      </c>
      <c r="L1155">
        <v>480000</v>
      </c>
      <c r="M1155">
        <f>_xll.BDP("1845765B Muni","YIELD_ON_ISSUE_DATE")</f>
        <v>2.29</v>
      </c>
      <c r="N1155">
        <f>_xll.BDP("1845765B Muni","YTW_SPREAD_TO_MATURITY_AT_ISSU")</f>
        <v>27.420565610808858</v>
      </c>
      <c r="O1155" t="str">
        <f>_xll.BDP("1845765B Muni","BVAL_MID_YTM")</f>
        <v>#N/A Authorization</v>
      </c>
      <c r="P1155" t="str">
        <f>_xll.BDP("1845765B Muni","MUNI_TAX_PROV")</f>
        <v>FED TAX-EXEMPT</v>
      </c>
      <c r="Q1155" t="str">
        <f>_xll.BDP("1845765B Muni","MUNI_FED_TAX")</f>
        <v>N</v>
      </c>
      <c r="R1155">
        <f>_xll.BDP("1845765B Muni","MUNI_MSRB_VOLUME")</f>
        <v>510000</v>
      </c>
      <c r="S1155" t="str">
        <f>_xll.BDP("1845765B Muni","BB_COMPOSITE")</f>
        <v>#N/A N/A</v>
      </c>
      <c r="T1155">
        <f>_xll.BDP("1845765B Muni","LQA_LIQUIDITY_SCORE")</f>
        <v>66</v>
      </c>
    </row>
    <row r="1156" spans="1:20" x14ac:dyDescent="0.25">
      <c r="A1156" t="str">
        <f>_xll.BDP("1845765W Muni","ID_CUSIP")</f>
        <v>1845765W2</v>
      </c>
      <c r="B1156" t="s">
        <v>365</v>
      </c>
      <c r="C1156" t="str">
        <f>_xll.BDP("1845765W Muni","INSURANCE_STATUS")</f>
        <v>Y</v>
      </c>
      <c r="D1156" t="str">
        <f>_xll.BDP("1845765W Muni","STATE_CODE")</f>
        <v>TX</v>
      </c>
      <c r="E1156" t="str">
        <f>_xll.BDP("1845765W Muni","COUNTY_LOCATION_ISSUER")</f>
        <v>Harris, TX</v>
      </c>
      <c r="F1156">
        <f>_xll.BDP("1845765W Muni","DUR_ADJ_MID")</f>
        <v>0.57006243844000282</v>
      </c>
      <c r="G1156">
        <f>_xll.BDP("1845765W Muni","SPREAD_AT_ISSUANCE_TO_WORST")</f>
        <v>26.53433972602739</v>
      </c>
      <c r="H1156" t="str">
        <f>_xll.BDP("1845765W Muni","ISSUE_DT")</f>
        <v>12/1/2017</v>
      </c>
      <c r="I1156" t="str">
        <f>_xll.BDS("1845765W Muni","MUNI_PURPOSE_SCHED", "aggregate=y")</f>
        <v>WATER UTILITY IMPS. SEWER IMPS.</v>
      </c>
      <c r="J1156">
        <f>_xll.BDP("1845765W Muni","CPN")</f>
        <v>3</v>
      </c>
      <c r="K1156" t="str">
        <f>_xll.BDP("1845765W Muni","MATURITY")</f>
        <v>3/1/2023</v>
      </c>
      <c r="L1156">
        <v>545000</v>
      </c>
      <c r="M1156">
        <f>_xll.BDP("1845765W Muni","YIELD_ON_ISSUE_DATE")</f>
        <v>1.74</v>
      </c>
      <c r="N1156">
        <f>_xll.BDP("1845765W Muni","YTW_SPREAD_TO_MATURITY_AT_ISSU")</f>
        <v>26.53433972602739</v>
      </c>
      <c r="O1156" t="str">
        <f>_xll.BDP("1845765W Muni","BVAL_MID_YTM")</f>
        <v>#N/A Authorization</v>
      </c>
      <c r="P1156" t="str">
        <f>_xll.BDP("1845765W Muni","MUNI_TAX_PROV")</f>
        <v>FED TAX-EXEMPT</v>
      </c>
      <c r="Q1156" t="str">
        <f>_xll.BDP("1845765W Muni","MUNI_FED_TAX")</f>
        <v>N</v>
      </c>
      <c r="R1156">
        <f>_xll.BDP("1845765W Muni","MUNI_MSRB_VOLUME")</f>
        <v>120000</v>
      </c>
      <c r="S1156" t="str">
        <f>_xll.BDP("1845765W Muni","BB_COMPOSITE")</f>
        <v>AA-</v>
      </c>
      <c r="T1156">
        <f>_xll.BDP("1845765W Muni","LQA_LIQUIDITY_SCORE")</f>
        <v>92</v>
      </c>
    </row>
    <row r="1157" spans="1:20" x14ac:dyDescent="0.25">
      <c r="A1157" t="str">
        <f>_xll.BDP("1845765X Muni","ID_CUSIP")</f>
        <v>1845765X0</v>
      </c>
      <c r="B1157" t="s">
        <v>365</v>
      </c>
      <c r="C1157" t="str">
        <f>_xll.BDP("1845765X Muni","INSURANCE_STATUS")</f>
        <v>Y</v>
      </c>
      <c r="D1157" t="str">
        <f>_xll.BDP("1845765X Muni","STATE_CODE")</f>
        <v>TX</v>
      </c>
      <c r="E1157" t="str">
        <f>_xll.BDP("1845765X Muni","COUNTY_LOCATION_ISSUER")</f>
        <v>Harris, TX</v>
      </c>
      <c r="F1157">
        <f>_xll.BDP("1845765X Muni","DUR_ADJ_MID")</f>
        <v>1.524707121190388</v>
      </c>
      <c r="G1157">
        <f>_xll.BDP("1845765X Muni","SPREAD_AT_ISSUANCE_TO_WORST")</f>
        <v>28.954356164383576</v>
      </c>
      <c r="H1157" t="str">
        <f>_xll.BDP("1845765X Muni","ISSUE_DT")</f>
        <v>12/1/2017</v>
      </c>
      <c r="I1157" t="str">
        <f>_xll.BDS("1845765X Muni","MUNI_PURPOSE_SCHED", "aggregate=y")</f>
        <v>WATER UTILITY IMPS. SEWER IMPS.</v>
      </c>
      <c r="J1157">
        <f>_xll.BDP("1845765X Muni","CPN")</f>
        <v>3</v>
      </c>
      <c r="K1157" t="str">
        <f>_xll.BDP("1845765X Muni","MATURITY")</f>
        <v>3/1/2024</v>
      </c>
      <c r="L1157">
        <v>560000</v>
      </c>
      <c r="M1157">
        <f>_xll.BDP("1845765X Muni","YIELD_ON_ISSUE_DATE")</f>
        <v>1.87</v>
      </c>
      <c r="N1157">
        <f>_xll.BDP("1845765X Muni","YTW_SPREAD_TO_MATURITY_AT_ISSU")</f>
        <v>28.954356164383576</v>
      </c>
      <c r="O1157" t="str">
        <f>_xll.BDP("1845765X Muni","BVAL_MID_YTM")</f>
        <v>#N/A Authorization</v>
      </c>
      <c r="P1157" t="str">
        <f>_xll.BDP("1845765X Muni","MUNI_TAX_PROV")</f>
        <v>FED TAX-EXEMPT</v>
      </c>
      <c r="Q1157" t="str">
        <f>_xll.BDP("1845765X Muni","MUNI_FED_TAX")</f>
        <v>N</v>
      </c>
      <c r="R1157" t="str">
        <f>_xll.BDP("1845765X Muni","MUNI_MSRB_VOLUME")</f>
        <v>#N/A N/A</v>
      </c>
      <c r="S1157" t="str">
        <f>_xll.BDP("1845765X Muni","BB_COMPOSITE")</f>
        <v>AA-</v>
      </c>
      <c r="T1157">
        <f>_xll.BDP("1845765X Muni","LQA_LIQUIDITY_SCORE")</f>
        <v>84</v>
      </c>
    </row>
    <row r="1158" spans="1:20" x14ac:dyDescent="0.25">
      <c r="A1158" t="str">
        <f>_xll.BDP("1845765Y Muni","ID_CUSIP")</f>
        <v>1845765Y8</v>
      </c>
      <c r="B1158" t="s">
        <v>365</v>
      </c>
      <c r="C1158" t="str">
        <f>_xll.BDP("1845765Y Muni","INSURANCE_STATUS")</f>
        <v>Y</v>
      </c>
      <c r="D1158" t="str">
        <f>_xll.BDP("1845765Y Muni","STATE_CODE")</f>
        <v>TX</v>
      </c>
      <c r="E1158" t="str">
        <f>_xll.BDP("1845765Y Muni","COUNTY_LOCATION_ISSUER")</f>
        <v>Harris, TX</v>
      </c>
      <c r="F1158">
        <f>_xll.BDP("1845765Y Muni","DUR_ADJ_MID")</f>
        <v>2.4515206825566107</v>
      </c>
      <c r="G1158">
        <f>_xll.BDP("1845765Y Muni","SPREAD_AT_ISSUANCE_TO_WORST")</f>
        <v>29.486917808219172</v>
      </c>
      <c r="H1158" t="str">
        <f>_xll.BDP("1845765Y Muni","ISSUE_DT")</f>
        <v>12/1/2017</v>
      </c>
      <c r="I1158" t="str">
        <f>_xll.BDS("1845765Y Muni","MUNI_PURPOSE_SCHED", "aggregate=y")</f>
        <v>WATER UTILITY IMPS. SEWER IMPS.</v>
      </c>
      <c r="J1158">
        <f>_xll.BDP("1845765Y Muni","CPN")</f>
        <v>3</v>
      </c>
      <c r="K1158" t="str">
        <f>_xll.BDP("1845765Y Muni","MATURITY")</f>
        <v>3/1/2025</v>
      </c>
      <c r="L1158">
        <v>580000</v>
      </c>
      <c r="M1158">
        <f>_xll.BDP("1845765Y Muni","YIELD_ON_ISSUE_DATE")</f>
        <v>1.98</v>
      </c>
      <c r="N1158">
        <f>_xll.BDP("1845765Y Muni","YTW_SPREAD_TO_MATURITY_AT_ISSU")</f>
        <v>29.486917808219172</v>
      </c>
      <c r="O1158" t="str">
        <f>_xll.BDP("1845765Y Muni","BVAL_MID_YTM")</f>
        <v>#N/A Authorization</v>
      </c>
      <c r="P1158" t="str">
        <f>_xll.BDP("1845765Y Muni","MUNI_TAX_PROV")</f>
        <v>FED TAX-EXEMPT</v>
      </c>
      <c r="Q1158" t="str">
        <f>_xll.BDP("1845765Y Muni","MUNI_FED_TAX")</f>
        <v>N</v>
      </c>
      <c r="R1158" t="str">
        <f>_xll.BDP("1845765Y Muni","MUNI_MSRB_VOLUME")</f>
        <v>#N/A N/A</v>
      </c>
      <c r="S1158" t="str">
        <f>_xll.BDP("1845765Y Muni","BB_COMPOSITE")</f>
        <v>AA-</v>
      </c>
      <c r="T1158">
        <f>_xll.BDP("1845765Y Muni","LQA_LIQUIDITY_SCORE")</f>
        <v>76</v>
      </c>
    </row>
    <row r="1159" spans="1:20" x14ac:dyDescent="0.25">
      <c r="A1159" t="str">
        <f>_xll.BDP("349515XD Muni","ID_CUSIP")</f>
        <v>349515XD3</v>
      </c>
      <c r="B1159" t="s">
        <v>100</v>
      </c>
      <c r="C1159" t="str">
        <f>_xll.BDP("349515XD Muni","INSURANCE_STATUS")</f>
        <v>N</v>
      </c>
      <c r="D1159" t="str">
        <f>_xll.BDP("349515XD Muni","STATE_CODE")</f>
        <v>TX</v>
      </c>
      <c r="E1159" t="str">
        <f>_xll.BDP("349515XD Muni","COUNTY_LOCATION_ISSUER")</f>
        <v>Tarrant, TX</v>
      </c>
      <c r="F1159">
        <f>_xll.BDP("349515XD Muni","DUR_ADJ_MID")</f>
        <v>2.3424066959624295</v>
      </c>
      <c r="G1159">
        <f>_xll.BDP("349515XD Muni","SPREAD_AT_ISSUANCE_TO_WORST")</f>
        <v>10.30659418486457</v>
      </c>
      <c r="H1159" t="str">
        <f>_xll.BDP("349515XD Muni","ISSUE_DT")</f>
        <v>5/15/2017</v>
      </c>
      <c r="I1159" t="str">
        <f>_xll.BDS("349515XD Muni","MUNI_PURPOSE_SCHED", "aggregate=y")</f>
        <v>WATER UTILITY IMPS. SEWER IMPS. ADVANCE REFUNDING</v>
      </c>
      <c r="J1159">
        <f>_xll.BDP("349515XD Muni","CPN")</f>
        <v>5</v>
      </c>
      <c r="K1159" t="str">
        <f>_xll.BDP("349515XD Muni","MATURITY")</f>
        <v>2/15/2025</v>
      </c>
      <c r="L1159">
        <v>2130000</v>
      </c>
      <c r="M1159">
        <f>_xll.BDP("349515XD Muni","YIELD_ON_ISSUE_DATE")</f>
        <v>1.78</v>
      </c>
      <c r="N1159">
        <f>_xll.BDP("349515XD Muni","YTW_SPREAD_TO_MATURITY_AT_ISSU")</f>
        <v>10.30659418486457</v>
      </c>
      <c r="O1159" t="str">
        <f>_xll.BDP("349515XD Muni","BVAL_MID_YTM")</f>
        <v>#N/A Authorization</v>
      </c>
      <c r="P1159" t="str">
        <f>_xll.BDP("349515XD Muni","MUNI_TAX_PROV")</f>
        <v>FED TAX-EXEMPT</v>
      </c>
      <c r="Q1159" t="str">
        <f>_xll.BDP("349515XD Muni","MUNI_FED_TAX")</f>
        <v>N</v>
      </c>
      <c r="R1159">
        <f>_xll.BDP("349515XD Muni","MUNI_MSRB_VOLUME")</f>
        <v>50000</v>
      </c>
      <c r="S1159" t="str">
        <f>_xll.BDP("349515XD Muni","BB_COMPOSITE")</f>
        <v>AA</v>
      </c>
      <c r="T1159">
        <f>_xll.BDP("349515XD Muni","LQA_LIQUIDITY_SCORE")</f>
        <v>83</v>
      </c>
    </row>
    <row r="1160" spans="1:20" x14ac:dyDescent="0.25">
      <c r="A1160" t="str">
        <f>_xll.BDP("349515XE Muni","ID_CUSIP")</f>
        <v>349515XE1</v>
      </c>
      <c r="B1160" t="s">
        <v>100</v>
      </c>
      <c r="C1160" t="str">
        <f>_xll.BDP("349515XE Muni","INSURANCE_STATUS")</f>
        <v>N</v>
      </c>
      <c r="D1160" t="str">
        <f>_xll.BDP("349515XE Muni","STATE_CODE")</f>
        <v>TX</v>
      </c>
      <c r="E1160" t="str">
        <f>_xll.BDP("349515XE Muni","COUNTY_LOCATION_ISSUER")</f>
        <v>Tarrant, TX</v>
      </c>
      <c r="F1160">
        <f>_xll.BDP("349515XE Muni","DUR_ADJ_MID")</f>
        <v>3.2028294821322518</v>
      </c>
      <c r="G1160">
        <f>_xll.BDP("349515XE Muni","SPREAD_AT_ISSUANCE_TO_WORST")</f>
        <v>14.542450036003562</v>
      </c>
      <c r="H1160" t="str">
        <f>_xll.BDP("349515XE Muni","ISSUE_DT")</f>
        <v>5/15/2017</v>
      </c>
      <c r="I1160" t="str">
        <f>_xll.BDS("349515XE Muni","MUNI_PURPOSE_SCHED", "aggregate=y")</f>
        <v>WATER UTILITY IMPS. SEWER IMPS. ADVANCE REFUNDING</v>
      </c>
      <c r="J1160">
        <f>_xll.BDP("349515XE Muni","CPN")</f>
        <v>5</v>
      </c>
      <c r="K1160" t="str">
        <f>_xll.BDP("349515XE Muni","MATURITY")</f>
        <v>2/15/2026</v>
      </c>
      <c r="L1160">
        <v>2240000</v>
      </c>
      <c r="M1160">
        <f>_xll.BDP("349515XE Muni","YIELD_ON_ISSUE_DATE")</f>
        <v>1.97</v>
      </c>
      <c r="N1160">
        <f>_xll.BDP("349515XE Muni","YTW_SPREAD_TO_MATURITY_AT_ISSU")</f>
        <v>14.542450036003562</v>
      </c>
      <c r="O1160" t="str">
        <f>_xll.BDP("349515XE Muni","BVAL_MID_YTM")</f>
        <v>#N/A Authorization</v>
      </c>
      <c r="P1160" t="str">
        <f>_xll.BDP("349515XE Muni","MUNI_TAX_PROV")</f>
        <v>FED TAX-EXEMPT</v>
      </c>
      <c r="Q1160" t="str">
        <f>_xll.BDP("349515XE Muni","MUNI_FED_TAX")</f>
        <v>N</v>
      </c>
      <c r="R1160" t="str">
        <f>_xll.BDP("349515XE Muni","MUNI_MSRB_VOLUME")</f>
        <v>#N/A N/A</v>
      </c>
      <c r="S1160" t="str">
        <f>_xll.BDP("349515XE Muni","BB_COMPOSITE")</f>
        <v>AA</v>
      </c>
      <c r="T1160">
        <f>_xll.BDP("349515XE Muni","LQA_LIQUIDITY_SCORE")</f>
        <v>76</v>
      </c>
    </row>
    <row r="1161" spans="1:20" x14ac:dyDescent="0.25">
      <c r="A1161" t="str">
        <f>_xll.BDP("349515XF Muni","ID_CUSIP")</f>
        <v>349515XF8</v>
      </c>
      <c r="B1161" t="s">
        <v>100</v>
      </c>
      <c r="C1161" t="str">
        <f>_xll.BDP("349515XF Muni","INSURANCE_STATUS")</f>
        <v>N</v>
      </c>
      <c r="D1161" t="str">
        <f>_xll.BDP("349515XF Muni","STATE_CODE")</f>
        <v>TX</v>
      </c>
      <c r="E1161" t="str">
        <f>_xll.BDP("349515XF Muni","COUNTY_LOCATION_ISSUER")</f>
        <v>Tarrant, TX</v>
      </c>
      <c r="F1161">
        <f>_xll.BDP("349515XF Muni","DUR_ADJ_MID")</f>
        <v>4.0233480763020149</v>
      </c>
      <c r="G1161">
        <f>_xll.BDP("349515XF Muni","SPREAD_AT_ISSUANCE_TO_WORST")</f>
        <v>16.30952142760702</v>
      </c>
      <c r="H1161" t="str">
        <f>_xll.BDP("349515XF Muni","ISSUE_DT")</f>
        <v>5/15/2017</v>
      </c>
      <c r="I1161" t="str">
        <f>_xll.BDS("349515XF Muni","MUNI_PURPOSE_SCHED", "aggregate=y")</f>
        <v>WATER UTILITY IMPS. SEWER IMPS. ADVANCE REFUNDING</v>
      </c>
      <c r="J1161">
        <f>_xll.BDP("349515XF Muni","CPN")</f>
        <v>5</v>
      </c>
      <c r="K1161" t="str">
        <f>_xll.BDP("349515XF Muni","MATURITY")</f>
        <v>2/15/2027</v>
      </c>
      <c r="L1161">
        <v>2350000</v>
      </c>
      <c r="M1161">
        <f>_xll.BDP("349515XF Muni","YIELD_ON_ISSUE_DATE")</f>
        <v>2.11</v>
      </c>
      <c r="N1161">
        <f>_xll.BDP("349515XF Muni","YTW_SPREAD_TO_MATURITY_AT_ISSU")</f>
        <v>16.30952142760702</v>
      </c>
      <c r="O1161" t="str">
        <f>_xll.BDP("349515XF Muni","BVAL_MID_YTM")</f>
        <v>#N/A Authorization</v>
      </c>
      <c r="P1161" t="str">
        <f>_xll.BDP("349515XF Muni","MUNI_TAX_PROV")</f>
        <v>FED TAX-EXEMPT</v>
      </c>
      <c r="Q1161" t="str">
        <f>_xll.BDP("349515XF Muni","MUNI_FED_TAX")</f>
        <v>N</v>
      </c>
      <c r="R1161" t="str">
        <f>_xll.BDP("349515XF Muni","MUNI_MSRB_VOLUME")</f>
        <v>#N/A N/A</v>
      </c>
      <c r="S1161" t="str">
        <f>_xll.BDP("349515XF Muni","BB_COMPOSITE")</f>
        <v>AA</v>
      </c>
      <c r="T1161">
        <f>_xll.BDP("349515XF Muni","LQA_LIQUIDITY_SCORE")</f>
        <v>70</v>
      </c>
    </row>
    <row r="1162" spans="1:20" x14ac:dyDescent="0.25">
      <c r="A1162" t="str">
        <f>_xll.BDP("350832KN Muni","ID_CUSIP")</f>
        <v>350832KN0</v>
      </c>
      <c r="B1162" t="s">
        <v>366</v>
      </c>
      <c r="C1162" t="str">
        <f>_xll.BDP("350832KN Muni","INSURANCE_STATUS")</f>
        <v>Y</v>
      </c>
      <c r="D1162" t="str">
        <f>_xll.BDP("350832KN Muni","STATE_CODE")</f>
        <v>TX</v>
      </c>
      <c r="E1162" t="str">
        <f>_xll.BDP("350832KN Muni","COUNTY_LOCATION_ISSUER")</f>
        <v>Harris, TX</v>
      </c>
      <c r="F1162">
        <f>_xll.BDP("350832KN Muni","DUR_ADJ_MID")</f>
        <v>5.5552221611948165E-3</v>
      </c>
      <c r="G1162">
        <f>_xll.BDP("350832KN Muni","SPREAD_AT_ISSUANCE_TO_WORST")</f>
        <v>25.07684174214193</v>
      </c>
      <c r="H1162" t="str">
        <f>_xll.BDP("350832KN Muni","ISSUE_DT")</f>
        <v>9/1/2017</v>
      </c>
      <c r="I1162" t="str">
        <f>_xll.BDS("350832KN Muni","MUNI_PURPOSE_SCHED", "aggregate=y")</f>
        <v>WATER UTILITY IMPS. SEWER IMPS. PUBLIC IMPS.</v>
      </c>
      <c r="J1162">
        <f>_xll.BDP("350832KN Muni","CPN")</f>
        <v>2</v>
      </c>
      <c r="K1162" t="str">
        <f>_xll.BDP("350832KN Muni","MATURITY")</f>
        <v>8/1/2022</v>
      </c>
      <c r="L1162">
        <v>225000</v>
      </c>
      <c r="M1162">
        <f>_xll.BDP("350832KN Muni","YIELD_ON_ISSUE_DATE")</f>
        <v>1.45</v>
      </c>
      <c r="N1162">
        <f>_xll.BDP("350832KN Muni","YTW_SPREAD_TO_MATURITY_AT_ISSU")</f>
        <v>25.07684174214193</v>
      </c>
      <c r="O1162" t="str">
        <f>_xll.BDP("350832KN Muni","BVAL_MID_YTM")</f>
        <v>#N/A Authorization</v>
      </c>
      <c r="P1162" t="str">
        <f>_xll.BDP("350832KN Muni","MUNI_TAX_PROV")</f>
        <v>FED BQ</v>
      </c>
      <c r="Q1162" t="str">
        <f>_xll.BDP("350832KN Muni","MUNI_FED_TAX")</f>
        <v>N</v>
      </c>
      <c r="R1162" t="str">
        <f>_xll.BDP("350832KN Muni","MUNI_MSRB_VOLUME")</f>
        <v>#N/A N/A</v>
      </c>
      <c r="S1162" t="str">
        <f>_xll.BDP("350832KN Muni","BB_COMPOSITE")</f>
        <v>AA-</v>
      </c>
      <c r="T1162">
        <f>_xll.BDP("350832KN Muni","LQA_LIQUIDITY_SCORE")</f>
        <v>99</v>
      </c>
    </row>
    <row r="1163" spans="1:20" x14ac:dyDescent="0.25">
      <c r="A1163" t="str">
        <f>_xll.BDP("350832KP Muni","ID_CUSIP")</f>
        <v>350832KP5</v>
      </c>
      <c r="B1163" t="s">
        <v>366</v>
      </c>
      <c r="C1163" t="str">
        <f>_xll.BDP("350832KP Muni","INSURANCE_STATUS")</f>
        <v>Y</v>
      </c>
      <c r="D1163" t="str">
        <f>_xll.BDP("350832KP Muni","STATE_CODE")</f>
        <v>TX</v>
      </c>
      <c r="E1163" t="str">
        <f>_xll.BDP("350832KP Muni","COUNTY_LOCATION_ISSUER")</f>
        <v>Harris, TX</v>
      </c>
      <c r="F1163">
        <f>_xll.BDP("350832KP Muni","DUR_ADJ_MID")</f>
        <v>0.98407552193010284</v>
      </c>
      <c r="G1163">
        <f>_xll.BDP("350832KP Muni","SPREAD_AT_ISSUANCE_TO_WORST")</f>
        <v>24.848341881534708</v>
      </c>
      <c r="H1163" t="str">
        <f>_xll.BDP("350832KP Muni","ISSUE_DT")</f>
        <v>9/1/2017</v>
      </c>
      <c r="I1163" t="str">
        <f>_xll.BDS("350832KP Muni","MUNI_PURPOSE_SCHED", "aggregate=y")</f>
        <v>WATER UTILITY IMPS. SEWER IMPS. PUBLIC IMPS.</v>
      </c>
      <c r="J1163">
        <f>_xll.BDP("350832KP Muni","CPN")</f>
        <v>2</v>
      </c>
      <c r="K1163" t="str">
        <f>_xll.BDP("350832KP Muni","MATURITY")</f>
        <v>8/1/2023</v>
      </c>
      <c r="L1163">
        <v>225000</v>
      </c>
      <c r="M1163">
        <f>_xll.BDP("350832KP Muni","YIELD_ON_ISSUE_DATE")</f>
        <v>1.6</v>
      </c>
      <c r="N1163">
        <f>_xll.BDP("350832KP Muni","YTW_SPREAD_TO_MATURITY_AT_ISSU")</f>
        <v>24.848341881534708</v>
      </c>
      <c r="O1163" t="str">
        <f>_xll.BDP("350832KP Muni","BVAL_MID_YTM")</f>
        <v>#N/A Authorization</v>
      </c>
      <c r="P1163" t="str">
        <f>_xll.BDP("350832KP Muni","MUNI_TAX_PROV")</f>
        <v>FED BQ</v>
      </c>
      <c r="Q1163" t="str">
        <f>_xll.BDP("350832KP Muni","MUNI_FED_TAX")</f>
        <v>N</v>
      </c>
      <c r="R1163" t="str">
        <f>_xll.BDP("350832KP Muni","MUNI_MSRB_VOLUME")</f>
        <v>#N/A N/A</v>
      </c>
      <c r="S1163" t="str">
        <f>_xll.BDP("350832KP Muni","BB_COMPOSITE")</f>
        <v>AA-</v>
      </c>
      <c r="T1163">
        <f>_xll.BDP("350832KP Muni","LQA_LIQUIDITY_SCORE")</f>
        <v>83</v>
      </c>
    </row>
    <row r="1164" spans="1:20" x14ac:dyDescent="0.25">
      <c r="A1164" t="str">
        <f>_xll.BDP("350832KQ Muni","ID_CUSIP")</f>
        <v>350832KQ3</v>
      </c>
      <c r="B1164" t="s">
        <v>366</v>
      </c>
      <c r="C1164" t="str">
        <f>_xll.BDP("350832KQ Muni","INSURANCE_STATUS")</f>
        <v>Y</v>
      </c>
      <c r="D1164" t="str">
        <f>_xll.BDP("350832KQ Muni","STATE_CODE")</f>
        <v>TX</v>
      </c>
      <c r="E1164" t="str">
        <f>_xll.BDP("350832KQ Muni","COUNTY_LOCATION_ISSUER")</f>
        <v>Harris, TX</v>
      </c>
      <c r="F1164">
        <f>_xll.BDP("350832KQ Muni","DUR_ADJ_MID")</f>
        <v>1.9490653373266371</v>
      </c>
      <c r="G1164">
        <f>_xll.BDP("350832KQ Muni","SPREAD_AT_ISSUANCE_TO_WORST")</f>
        <v>29.514048972012663</v>
      </c>
      <c r="H1164" t="str">
        <f>_xll.BDP("350832KQ Muni","ISSUE_DT")</f>
        <v>9/1/2017</v>
      </c>
      <c r="I1164" t="str">
        <f>_xll.BDS("350832KQ Muni","MUNI_PURPOSE_SCHED", "aggregate=y")</f>
        <v>WATER UTILITY IMPS. SEWER IMPS. PUBLIC IMPS.</v>
      </c>
      <c r="J1164">
        <f>_xll.BDP("350832KQ Muni","CPN")</f>
        <v>2</v>
      </c>
      <c r="K1164" t="str">
        <f>_xll.BDP("350832KQ Muni","MATURITY")</f>
        <v>8/1/2024</v>
      </c>
      <c r="L1164">
        <v>225000</v>
      </c>
      <c r="M1164">
        <f>_xll.BDP("350832KQ Muni","YIELD_ON_ISSUE_DATE")</f>
        <v>1.8</v>
      </c>
      <c r="N1164">
        <f>_xll.BDP("350832KQ Muni","YTW_SPREAD_TO_MATURITY_AT_ISSU")</f>
        <v>29.514048972012663</v>
      </c>
      <c r="O1164" t="str">
        <f>_xll.BDP("350832KQ Muni","BVAL_MID_YTM")</f>
        <v>#N/A Authorization</v>
      </c>
      <c r="P1164" t="str">
        <f>_xll.BDP("350832KQ Muni","MUNI_TAX_PROV")</f>
        <v>FED BQ</v>
      </c>
      <c r="Q1164" t="str">
        <f>_xll.BDP("350832KQ Muni","MUNI_FED_TAX")</f>
        <v>N</v>
      </c>
      <c r="R1164" t="str">
        <f>_xll.BDP("350832KQ Muni","MUNI_MSRB_VOLUME")</f>
        <v>#N/A N/A</v>
      </c>
      <c r="S1164" t="str">
        <f>_xll.BDP("350832KQ Muni","BB_COMPOSITE")</f>
        <v>AA-</v>
      </c>
      <c r="T1164">
        <f>_xll.BDP("350832KQ Muni","LQA_LIQUIDITY_SCORE")</f>
        <v>73</v>
      </c>
    </row>
    <row r="1165" spans="1:20" x14ac:dyDescent="0.25">
      <c r="A1165" t="str">
        <f>_xll.BDP("35138RAF Muni","ID_CUSIP")</f>
        <v>35138RAF8</v>
      </c>
      <c r="B1165" t="s">
        <v>367</v>
      </c>
      <c r="C1165" t="str">
        <f>_xll.BDP("35138RAF Muni","INSURANCE_STATUS")</f>
        <v>Y</v>
      </c>
      <c r="D1165" t="str">
        <f>_xll.BDP("35138RAF Muni","STATE_CODE")</f>
        <v>WI</v>
      </c>
      <c r="E1165" t="str">
        <f>_xll.BDP("35138RAF Muni","COUNTY_LOCATION_ISSUER")</f>
        <v>Winnebago, WI</v>
      </c>
      <c r="F1165">
        <f>_xll.BDP("35138RAF Muni","DUR_ADJ_MID")</f>
        <v>0.73409150725506767</v>
      </c>
      <c r="G1165">
        <f>_xll.BDP("35138RAF Muni","SPREAD_AT_ISSUANCE_TO_WORST")</f>
        <v>30.166754197747593</v>
      </c>
      <c r="H1165" t="str">
        <f>_xll.BDP("35138RAF Muni","ISSUE_DT")</f>
        <v>4/3/2017</v>
      </c>
      <c r="I1165" t="str">
        <f>_xll.BDS("35138RAF Muni","MUNI_PURPOSE_SCHED", "aggregate=y")</f>
        <v>WATER UTILITY IMPS. SEWER IMPS. CURRENT REFUNDING</v>
      </c>
      <c r="J1165">
        <f>_xll.BDP("35138RAF Muni","CPN")</f>
        <v>3</v>
      </c>
      <c r="K1165" t="str">
        <f>_xll.BDP("35138RAF Muni","MATURITY")</f>
        <v>5/1/2023</v>
      </c>
      <c r="L1165">
        <v>415000</v>
      </c>
      <c r="M1165">
        <f>_xll.BDP("35138RAF Muni","YIELD_ON_ISSUE_DATE")</f>
        <v>2.2000000000000002</v>
      </c>
      <c r="N1165">
        <f>_xll.BDP("35138RAF Muni","YTW_SPREAD_TO_MATURITY_AT_ISSU")</f>
        <v>30.166754197747593</v>
      </c>
      <c r="O1165" t="str">
        <f>_xll.BDP("35138RAF Muni","BVAL_MID_YTM")</f>
        <v>#N/A Authorization</v>
      </c>
      <c r="P1165" t="str">
        <f>_xll.BDP("35138RAF Muni","MUNI_TAX_PROV")</f>
        <v>FED BQ/ST TAXABLE</v>
      </c>
      <c r="Q1165" t="str">
        <f>_xll.BDP("35138RAF Muni","MUNI_FED_TAX")</f>
        <v>N</v>
      </c>
      <c r="R1165">
        <f>_xll.BDP("35138RAF Muni","MUNI_MSRB_VOLUME")</f>
        <v>200000</v>
      </c>
      <c r="S1165" t="str">
        <f>_xll.BDP("35138RAF Muni","BB_COMPOSITE")</f>
        <v>AA-</v>
      </c>
      <c r="T1165">
        <f>_xll.BDP("35138RAF Muni","LQA_LIQUIDITY_SCORE")</f>
        <v>98</v>
      </c>
    </row>
    <row r="1166" spans="1:20" x14ac:dyDescent="0.25">
      <c r="A1166" t="str">
        <f>_xll.BDP("35138RAG Muni","ID_CUSIP")</f>
        <v>35138RAG6</v>
      </c>
      <c r="B1166" t="s">
        <v>367</v>
      </c>
      <c r="C1166" t="str">
        <f>_xll.BDP("35138RAG Muni","INSURANCE_STATUS")</f>
        <v>Y</v>
      </c>
      <c r="D1166" t="str">
        <f>_xll.BDP("35138RAG Muni","STATE_CODE")</f>
        <v>WI</v>
      </c>
      <c r="E1166" t="str">
        <f>_xll.BDP("35138RAG Muni","COUNTY_LOCATION_ISSUER")</f>
        <v>Winnebago, WI</v>
      </c>
      <c r="F1166">
        <f>_xll.BDP("35138RAG Muni","DUR_ADJ_MID")</f>
        <v>1.687102724631375</v>
      </c>
      <c r="G1166">
        <f>_xll.BDP("35138RAG Muni","SPREAD_AT_ISSUANCE_TO_WORST")</f>
        <v>33.51658704586189</v>
      </c>
      <c r="H1166" t="str">
        <f>_xll.BDP("35138RAG Muni","ISSUE_DT")</f>
        <v>4/3/2017</v>
      </c>
      <c r="I1166" t="str">
        <f>_xll.BDS("35138RAG Muni","MUNI_PURPOSE_SCHED", "aggregate=y")</f>
        <v>WATER UTILITY IMPS. SEWER IMPS. CURRENT REFUNDING</v>
      </c>
      <c r="J1166">
        <f>_xll.BDP("35138RAG Muni","CPN")</f>
        <v>3</v>
      </c>
      <c r="K1166" t="str">
        <f>_xll.BDP("35138RAG Muni","MATURITY")</f>
        <v>5/1/2024</v>
      </c>
      <c r="L1166">
        <v>415000</v>
      </c>
      <c r="M1166">
        <f>_xll.BDP("35138RAG Muni","YIELD_ON_ISSUE_DATE")</f>
        <v>2.4000000000000004</v>
      </c>
      <c r="N1166">
        <f>_xll.BDP("35138RAG Muni","YTW_SPREAD_TO_MATURITY_AT_ISSU")</f>
        <v>33.51658704586189</v>
      </c>
      <c r="O1166" t="str">
        <f>_xll.BDP("35138RAG Muni","BVAL_MID_YTM")</f>
        <v>#N/A Authorization</v>
      </c>
      <c r="P1166" t="str">
        <f>_xll.BDP("35138RAG Muni","MUNI_TAX_PROV")</f>
        <v>FED BQ/ST TAXABLE</v>
      </c>
      <c r="Q1166" t="str">
        <f>_xll.BDP("35138RAG Muni","MUNI_FED_TAX")</f>
        <v>N</v>
      </c>
      <c r="R1166" t="str">
        <f>_xll.BDP("35138RAG Muni","MUNI_MSRB_VOLUME")</f>
        <v>#N/A N/A</v>
      </c>
      <c r="S1166" t="str">
        <f>_xll.BDP("35138RAG Muni","BB_COMPOSITE")</f>
        <v>AA-</v>
      </c>
      <c r="T1166">
        <f>_xll.BDP("35138RAG Muni","LQA_LIQUIDITY_SCORE")</f>
        <v>87</v>
      </c>
    </row>
    <row r="1167" spans="1:20" x14ac:dyDescent="0.25">
      <c r="A1167" t="str">
        <f>_xll.BDP("35138RAH Muni","ID_CUSIP")</f>
        <v>35138RAH4</v>
      </c>
      <c r="B1167" t="s">
        <v>367</v>
      </c>
      <c r="C1167" t="str">
        <f>_xll.BDP("35138RAH Muni","INSURANCE_STATUS")</f>
        <v>Y</v>
      </c>
      <c r="D1167" t="str">
        <f>_xll.BDP("35138RAH Muni","STATE_CODE")</f>
        <v>WI</v>
      </c>
      <c r="E1167" t="str">
        <f>_xll.BDP("35138RAH Muni","COUNTY_LOCATION_ISSUER")</f>
        <v>Winnebago, WI</v>
      </c>
      <c r="F1167">
        <f>_xll.BDP("35138RAH Muni","DUR_ADJ_MID")</f>
        <v>2.6126751923001312</v>
      </c>
      <c r="G1167">
        <f>_xll.BDP("35138RAH Muni","SPREAD_AT_ISSUANCE_TO_WORST")</f>
        <v>32.587493892985279</v>
      </c>
      <c r="H1167" t="str">
        <f>_xll.BDP("35138RAH Muni","ISSUE_DT")</f>
        <v>4/3/2017</v>
      </c>
      <c r="I1167" t="str">
        <f>_xll.BDS("35138RAH Muni","MUNI_PURPOSE_SCHED", "aggregate=y")</f>
        <v>WATER UTILITY IMPS. SEWER IMPS. CURRENT REFUNDING</v>
      </c>
      <c r="J1167">
        <f>_xll.BDP("35138RAH Muni","CPN")</f>
        <v>3</v>
      </c>
      <c r="K1167" t="str">
        <f>_xll.BDP("35138RAH Muni","MATURITY")</f>
        <v>5/1/2025</v>
      </c>
      <c r="L1167">
        <v>435000</v>
      </c>
      <c r="M1167">
        <f>_xll.BDP("35138RAH Muni","YIELD_ON_ISSUE_DATE")</f>
        <v>2.5500000000000003</v>
      </c>
      <c r="N1167">
        <f>_xll.BDP("35138RAH Muni","YTW_SPREAD_TO_MATURITY_AT_ISSU")</f>
        <v>32.587493892985279</v>
      </c>
      <c r="O1167" t="str">
        <f>_xll.BDP("35138RAH Muni","BVAL_MID_YTM")</f>
        <v>#N/A Authorization</v>
      </c>
      <c r="P1167" t="str">
        <f>_xll.BDP("35138RAH Muni","MUNI_TAX_PROV")</f>
        <v>FED BQ/ST TAXABLE</v>
      </c>
      <c r="Q1167" t="str">
        <f>_xll.BDP("35138RAH Muni","MUNI_FED_TAX")</f>
        <v>N</v>
      </c>
      <c r="R1167" t="str">
        <f>_xll.BDP("35138RAH Muni","MUNI_MSRB_VOLUME")</f>
        <v>#N/A N/A</v>
      </c>
      <c r="S1167" t="str">
        <f>_xll.BDP("35138RAH Muni","BB_COMPOSITE")</f>
        <v>AA-</v>
      </c>
      <c r="T1167">
        <f>_xll.BDP("35138RAH Muni","LQA_LIQUIDITY_SCORE")</f>
        <v>76</v>
      </c>
    </row>
    <row r="1168" spans="1:20" x14ac:dyDescent="0.25">
      <c r="A1168" t="str">
        <f>_xll.BDP("352882BR Muni","ID_CUSIP")</f>
        <v>352882BR4</v>
      </c>
      <c r="B1168" t="s">
        <v>368</v>
      </c>
      <c r="C1168" t="str">
        <f>_xll.BDP("352882BR Muni","INSURANCE_STATUS")</f>
        <v>N</v>
      </c>
      <c r="D1168" t="str">
        <f>_xll.BDP("352882BR Muni","STATE_CODE")</f>
        <v>MO</v>
      </c>
      <c r="E1168" t="str">
        <f>_xll.BDP("352882BR Muni","COUNTY_LOCATION_ISSUER")</f>
        <v>Franklin, MO</v>
      </c>
      <c r="F1168">
        <f>_xll.BDP("352882BR Muni","DUR_ADJ_MID")</f>
        <v>1.2961635897339965</v>
      </c>
      <c r="G1168">
        <f>_xll.BDP("352882BR Muni","SPREAD_AT_ISSUANCE_TO_WORST")</f>
        <v>52.736907457948504</v>
      </c>
      <c r="H1168" t="str">
        <f>_xll.BDP("352882BR Muni","ISSUE_DT")</f>
        <v>8/16/2017</v>
      </c>
      <c r="I1168" t="str">
        <f>_xll.BDS("352882BR Muni","MUNI_PURPOSE_SCHED", "aggregate=y")</f>
        <v>WATER UTILITY IMPS.</v>
      </c>
      <c r="J1168">
        <f>_xll.BDP("352882BR Muni","CPN")</f>
        <v>3</v>
      </c>
      <c r="K1168" t="str">
        <f>_xll.BDP("352882BR Muni","MATURITY")</f>
        <v>12/1/2023</v>
      </c>
      <c r="L1168">
        <v>105000</v>
      </c>
      <c r="M1168">
        <f>_xll.BDP("352882BR Muni","YIELD_ON_ISSUE_DATE")</f>
        <v>1.93</v>
      </c>
      <c r="N1168">
        <f>_xll.BDP("352882BR Muni","YTW_SPREAD_TO_MATURITY_AT_ISSU")</f>
        <v>52.736907457948504</v>
      </c>
      <c r="O1168" t="str">
        <f>_xll.BDP("352882BR Muni","BVAL_MID_YTM")</f>
        <v>#N/A Authorization</v>
      </c>
      <c r="P1168" t="str">
        <f>_xll.BDP("352882BR Muni","MUNI_TAX_PROV")</f>
        <v>FED BQ/ST TAX-EXEMPT</v>
      </c>
      <c r="Q1168" t="str">
        <f>_xll.BDP("352882BR Muni","MUNI_FED_TAX")</f>
        <v>N</v>
      </c>
      <c r="R1168" t="str">
        <f>_xll.BDP("352882BR Muni","MUNI_MSRB_VOLUME")</f>
        <v>#N/A N/A</v>
      </c>
      <c r="S1168" t="str">
        <f>_xll.BDP("352882BR Muni","BB_COMPOSITE")</f>
        <v>#N/A N/A</v>
      </c>
      <c r="T1168">
        <f>_xll.BDP("352882BR Muni","LQA_LIQUIDITY_SCORE")</f>
        <v>76</v>
      </c>
    </row>
    <row r="1169" spans="1:20" x14ac:dyDescent="0.25">
      <c r="A1169" t="str">
        <f>_xll.BDP("354783AJ Muni","ID_CUSIP")</f>
        <v>354783AJ1</v>
      </c>
      <c r="B1169" t="s">
        <v>361</v>
      </c>
      <c r="C1169" t="str">
        <f>_xll.BDP("354783AJ Muni","INSURANCE_STATUS")</f>
        <v>N</v>
      </c>
      <c r="D1169" t="str">
        <f>_xll.BDP("354783AJ Muni","STATE_CODE")</f>
        <v>TN</v>
      </c>
      <c r="E1169" t="str">
        <f>_xll.BDP("354783AJ Muni","COUNTY_LOCATION_ISSUER")</f>
        <v>Williamson, TN</v>
      </c>
      <c r="F1169">
        <f>_xll.BDP("354783AJ Muni","DUR_ADJ_MID")</f>
        <v>3.2335315697994211</v>
      </c>
      <c r="G1169">
        <f>_xll.BDP("354783AJ Muni","SPREAD_AT_ISSUANCE_TO_WORST")</f>
        <v>28.800287459766771</v>
      </c>
      <c r="H1169" t="str">
        <f>_xll.BDP("354783AJ Muni","ISSUE_DT")</f>
        <v>2/16/2017</v>
      </c>
      <c r="I1169" t="str">
        <f>_xll.BDS("354783AJ Muni","MUNI_PURPOSE_SCHED", "aggregate=y")</f>
        <v>WATER UTILITY IMPS. SEWER IMPS.</v>
      </c>
      <c r="J1169">
        <f>_xll.BDP("354783AJ Muni","CPN")</f>
        <v>5</v>
      </c>
      <c r="K1169" t="str">
        <f>_xll.BDP("354783AJ Muni","MATURITY")</f>
        <v>2/1/2026</v>
      </c>
      <c r="L1169">
        <v>545000</v>
      </c>
      <c r="M1169">
        <f>_xll.BDP("354783AJ Muni","YIELD_ON_ISSUE_DATE")</f>
        <v>2.5100000000000002</v>
      </c>
      <c r="N1169">
        <f>_xll.BDP("354783AJ Muni","YTW_SPREAD_TO_MATURITY_AT_ISSU")</f>
        <v>28.800287459766771</v>
      </c>
      <c r="O1169" t="str">
        <f>_xll.BDP("354783AJ Muni","BVAL_MID_YTM")</f>
        <v>#N/A Authorization</v>
      </c>
      <c r="P1169" t="str">
        <f>_xll.BDP("354783AJ Muni","MUNI_TAX_PROV")</f>
        <v>FED &amp; ST TAX-EXEMPT</v>
      </c>
      <c r="Q1169" t="str">
        <f>_xll.BDP("354783AJ Muni","MUNI_FED_TAX")</f>
        <v>N</v>
      </c>
      <c r="R1169" t="str">
        <f>_xll.BDP("354783AJ Muni","MUNI_MSRB_VOLUME")</f>
        <v>#N/A N/A</v>
      </c>
      <c r="S1169" t="str">
        <f>_xll.BDP("354783AJ Muni","BB_COMPOSITE")</f>
        <v>#N/A N/A</v>
      </c>
      <c r="T1169">
        <f>_xll.BDP("354783AJ Muni","LQA_LIQUIDITY_SCORE")</f>
        <v>70</v>
      </c>
    </row>
    <row r="1170" spans="1:20" x14ac:dyDescent="0.25">
      <c r="A1170" t="str">
        <f>_xll.BDP("354783AK Muni","ID_CUSIP")</f>
        <v>354783AK8</v>
      </c>
      <c r="B1170" t="s">
        <v>361</v>
      </c>
      <c r="C1170" t="str">
        <f>_xll.BDP("354783AK Muni","INSURANCE_STATUS")</f>
        <v>N</v>
      </c>
      <c r="D1170" t="str">
        <f>_xll.BDP("354783AK Muni","STATE_CODE")</f>
        <v>TN</v>
      </c>
      <c r="E1170" t="str">
        <f>_xll.BDP("354783AK Muni","COUNTY_LOCATION_ISSUER")</f>
        <v>Williamson, TN</v>
      </c>
      <c r="F1170">
        <f>_xll.BDP("354783AK Muni","DUR_ADJ_MID")</f>
        <v>4.0693026022487322</v>
      </c>
      <c r="G1170">
        <f>_xll.BDP("354783AK Muni","SPREAD_AT_ISSUANCE_TO_WORST")</f>
        <v>28.739726247586937</v>
      </c>
      <c r="H1170" t="str">
        <f>_xll.BDP("354783AK Muni","ISSUE_DT")</f>
        <v>2/16/2017</v>
      </c>
      <c r="I1170" t="str">
        <f>_xll.BDS("354783AK Muni","MUNI_PURPOSE_SCHED", "aggregate=y")</f>
        <v>WATER UTILITY IMPS. SEWER IMPS.</v>
      </c>
      <c r="J1170">
        <f>_xll.BDP("354783AK Muni","CPN")</f>
        <v>5</v>
      </c>
      <c r="K1170" t="str">
        <f>_xll.BDP("354783AK Muni","MATURITY")</f>
        <v>2/1/2027</v>
      </c>
      <c r="L1170">
        <v>570000</v>
      </c>
      <c r="M1170">
        <f>_xll.BDP("354783AK Muni","YIELD_ON_ISSUE_DATE")</f>
        <v>2.6</v>
      </c>
      <c r="N1170">
        <f>_xll.BDP("354783AK Muni","YTW_SPREAD_TO_MATURITY_AT_ISSU")</f>
        <v>28.739726247586937</v>
      </c>
      <c r="O1170" t="str">
        <f>_xll.BDP("354783AK Muni","BVAL_MID_YTM")</f>
        <v>#N/A Authorization</v>
      </c>
      <c r="P1170" t="str">
        <f>_xll.BDP("354783AK Muni","MUNI_TAX_PROV")</f>
        <v>FED &amp; ST TAX-EXEMPT</v>
      </c>
      <c r="Q1170" t="str">
        <f>_xll.BDP("354783AK Muni","MUNI_FED_TAX")</f>
        <v>N</v>
      </c>
      <c r="R1170" t="str">
        <f>_xll.BDP("354783AK Muni","MUNI_MSRB_VOLUME")</f>
        <v>#N/A N/A</v>
      </c>
      <c r="S1170" t="str">
        <f>_xll.BDP("354783AK Muni","BB_COMPOSITE")</f>
        <v>#N/A N/A</v>
      </c>
      <c r="T1170">
        <f>_xll.BDP("354783AK Muni","LQA_LIQUIDITY_SCORE")</f>
        <v>66</v>
      </c>
    </row>
    <row r="1171" spans="1:20" x14ac:dyDescent="0.25">
      <c r="A1171" t="str">
        <f>_xll.BDP("19679ERM Muni","ID_CUSIP")</f>
        <v>19679ERM3</v>
      </c>
      <c r="B1171" t="s">
        <v>91</v>
      </c>
      <c r="C1171" t="str">
        <f>_xll.BDP("19679ERM Muni","INSURANCE_STATUS")</f>
        <v>N</v>
      </c>
      <c r="D1171" t="str">
        <f>_xll.BDP("19679ERM Muni","STATE_CODE")</f>
        <v>CO</v>
      </c>
      <c r="E1171" t="str">
        <f>_xll.BDP("19679ERM Muni","COUNTY_LOCATION_ISSUER")</f>
        <v>Denver, CO</v>
      </c>
      <c r="F1171">
        <f>_xll.BDP("19679ERM Muni","DUR_ADJ_MID")</f>
        <v>8.0505224871724582E-2</v>
      </c>
      <c r="G1171">
        <f>_xll.BDP("19679ERM Muni","SPREAD_AT_ISSUANCE_TO_WORST")</f>
        <v>-0.954164383561662</v>
      </c>
      <c r="H1171" t="str">
        <f>_xll.BDP("19679ERM Muni","ISSUE_DT")</f>
        <v>11/15/2017</v>
      </c>
      <c r="I1171" t="str">
        <f>_xll.BDS("19679ERM Muni","MUNI_PURPOSE_SCHED", "aggregate=y")</f>
        <v>WATER UTILITY IMPS.</v>
      </c>
      <c r="J1171">
        <f>_xll.BDP("19679ERM Muni","CPN")</f>
        <v>3</v>
      </c>
      <c r="K1171" t="str">
        <f>_xll.BDP("19679ERM Muni","MATURITY")</f>
        <v>9/1/2022</v>
      </c>
      <c r="L1171">
        <v>905000</v>
      </c>
      <c r="M1171">
        <f>_xll.BDP("19679ERM Muni","YIELD_ON_ISSUE_DATE")</f>
        <v>1.42</v>
      </c>
      <c r="N1171">
        <f>_xll.BDP("19679ERM Muni","YTW_SPREAD_TO_MATURITY_AT_ISSU")</f>
        <v>-0.954164383561662</v>
      </c>
      <c r="O1171" t="str">
        <f>_xll.BDP("19679ERM Muni","BVAL_MID_YTM")</f>
        <v>#N/A Authorization</v>
      </c>
      <c r="P1171" t="str">
        <f>_xll.BDP("19679ERM Muni","MUNI_TAX_PROV")</f>
        <v>FED &amp; ST TAX-EXEMPT</v>
      </c>
      <c r="Q1171" t="str">
        <f>_xll.BDP("19679ERM Muni","MUNI_FED_TAX")</f>
        <v>N</v>
      </c>
      <c r="R1171">
        <f>_xll.BDP("19679ERM Muni","MUNI_MSRB_VOLUME")</f>
        <v>300000</v>
      </c>
      <c r="S1171" t="str">
        <f>_xll.BDP("19679ERM Muni","BB_COMPOSITE")</f>
        <v>AAA</v>
      </c>
      <c r="T1171">
        <f>_xll.BDP("19679ERM Muni","LQA_LIQUIDITY_SCORE")</f>
        <v>99</v>
      </c>
    </row>
    <row r="1172" spans="1:20" x14ac:dyDescent="0.25">
      <c r="A1172" t="str">
        <f>_xll.BDP("19679ERP Muni","ID_CUSIP")</f>
        <v>19679ERP6</v>
      </c>
      <c r="B1172" t="s">
        <v>91</v>
      </c>
      <c r="C1172" t="str">
        <f>_xll.BDP("19679ERP Muni","INSURANCE_STATUS")</f>
        <v>N</v>
      </c>
      <c r="D1172" t="str">
        <f>_xll.BDP("19679ERP Muni","STATE_CODE")</f>
        <v>CO</v>
      </c>
      <c r="E1172" t="str">
        <f>_xll.BDP("19679ERP Muni","COUNTY_LOCATION_ISSUER")</f>
        <v>Denver, CO</v>
      </c>
      <c r="F1172">
        <f>_xll.BDP("19679ERP Muni","DUR_ADJ_MID")</f>
        <v>1.9513851106267761</v>
      </c>
      <c r="G1172">
        <f>_xll.BDP("19679ERP Muni","SPREAD_AT_ISSUANCE_TO_WORST")</f>
        <v>-5.5678356164383436</v>
      </c>
      <c r="H1172" t="str">
        <f>_xll.BDP("19679ERP Muni","ISSUE_DT")</f>
        <v>11/15/2017</v>
      </c>
      <c r="I1172" t="str">
        <f>_xll.BDS("19679ERP Muni","MUNI_PURPOSE_SCHED", "aggregate=y")</f>
        <v>WATER UTILITY IMPS.</v>
      </c>
      <c r="J1172">
        <f>_xll.BDP("19679ERP Muni","CPN")</f>
        <v>5</v>
      </c>
      <c r="K1172" t="str">
        <f>_xll.BDP("19679ERP Muni","MATURITY")</f>
        <v>9/1/2024</v>
      </c>
      <c r="L1172">
        <v>855000</v>
      </c>
      <c r="M1172">
        <f>_xll.BDP("19679ERP Muni","YIELD_ON_ISSUE_DATE")</f>
        <v>1.62</v>
      </c>
      <c r="N1172">
        <f>_xll.BDP("19679ERP Muni","YTW_SPREAD_TO_MATURITY_AT_ISSU")</f>
        <v>-5.5678356164383436</v>
      </c>
      <c r="O1172" t="str">
        <f>_xll.BDP("19679ERP Muni","BVAL_MID_YTM")</f>
        <v>#N/A Authorization</v>
      </c>
      <c r="P1172" t="str">
        <f>_xll.BDP("19679ERP Muni","MUNI_TAX_PROV")</f>
        <v>FED &amp; ST TAX-EXEMPT</v>
      </c>
      <c r="Q1172" t="str">
        <f>_xll.BDP("19679ERP Muni","MUNI_FED_TAX")</f>
        <v>N</v>
      </c>
      <c r="R1172">
        <f>_xll.BDP("19679ERP Muni","MUNI_MSRB_VOLUME")</f>
        <v>5000</v>
      </c>
      <c r="S1172" t="str">
        <f>_xll.BDP("19679ERP Muni","BB_COMPOSITE")</f>
        <v>AAA</v>
      </c>
      <c r="T1172">
        <f>_xll.BDP("19679ERP Muni","LQA_LIQUIDITY_SCORE")</f>
        <v>88</v>
      </c>
    </row>
    <row r="1173" spans="1:20" x14ac:dyDescent="0.25">
      <c r="A1173" t="str">
        <f>_xll.BDP("19679ERQ Muni","ID_CUSIP")</f>
        <v>19679ERQ4</v>
      </c>
      <c r="B1173" t="s">
        <v>91</v>
      </c>
      <c r="C1173" t="str">
        <f>_xll.BDP("19679ERQ Muni","INSURANCE_STATUS")</f>
        <v>N</v>
      </c>
      <c r="D1173" t="str">
        <f>_xll.BDP("19679ERQ Muni","STATE_CODE")</f>
        <v>CO</v>
      </c>
      <c r="E1173" t="str">
        <f>_xll.BDP("19679ERQ Muni","COUNTY_LOCATION_ISSUER")</f>
        <v>Denver, CO</v>
      </c>
      <c r="F1173">
        <f>_xll.BDP("19679ERQ Muni","DUR_ADJ_MID")</f>
        <v>2.8257995404511416</v>
      </c>
      <c r="G1173">
        <f>_xll.BDP("19679ERQ Muni","SPREAD_AT_ISSUANCE_TO_WORST")</f>
        <v>-5.1348438356164428</v>
      </c>
      <c r="H1173" t="str">
        <f>_xll.BDP("19679ERQ Muni","ISSUE_DT")</f>
        <v>11/15/2017</v>
      </c>
      <c r="I1173" t="str">
        <f>_xll.BDS("19679ERQ Muni","MUNI_PURPOSE_SCHED", "aggregate=y")</f>
        <v>WATER UTILITY IMPS.</v>
      </c>
      <c r="J1173">
        <f>_xll.BDP("19679ERQ Muni","CPN")</f>
        <v>5</v>
      </c>
      <c r="K1173" t="str">
        <f>_xll.BDP("19679ERQ Muni","MATURITY")</f>
        <v>9/1/2025</v>
      </c>
      <c r="L1173">
        <v>820000</v>
      </c>
      <c r="M1173">
        <f>_xll.BDP("19679ERQ Muni","YIELD_ON_ISSUE_DATE")</f>
        <v>1.75</v>
      </c>
      <c r="N1173">
        <f>_xll.BDP("19679ERQ Muni","YTW_SPREAD_TO_MATURITY_AT_ISSU")</f>
        <v>-5.1348438356164428</v>
      </c>
      <c r="O1173" t="str">
        <f>_xll.BDP("19679ERQ Muni","BVAL_MID_YTM")</f>
        <v>#N/A Authorization</v>
      </c>
      <c r="P1173" t="str">
        <f>_xll.BDP("19679ERQ Muni","MUNI_TAX_PROV")</f>
        <v>FED &amp; ST TAX-EXEMPT</v>
      </c>
      <c r="Q1173" t="str">
        <f>_xll.BDP("19679ERQ Muni","MUNI_FED_TAX")</f>
        <v>N</v>
      </c>
      <c r="R1173">
        <f>_xll.BDP("19679ERQ Muni","MUNI_MSRB_VOLUME")</f>
        <v>770000</v>
      </c>
      <c r="S1173" t="str">
        <f>_xll.BDP("19679ERQ Muni","BB_COMPOSITE")</f>
        <v>AAA</v>
      </c>
      <c r="T1173">
        <f>_xll.BDP("19679ERQ Muni","LQA_LIQUIDITY_SCORE")</f>
        <v>80</v>
      </c>
    </row>
    <row r="1174" spans="1:20" x14ac:dyDescent="0.25">
      <c r="A1174" t="str">
        <f>_xll.BDP("19679ERR Muni","ID_CUSIP")</f>
        <v>19679ERR2</v>
      </c>
      <c r="B1174" t="s">
        <v>91</v>
      </c>
      <c r="C1174" t="str">
        <f>_xll.BDP("19679ERR Muni","INSURANCE_STATUS")</f>
        <v>N</v>
      </c>
      <c r="D1174" t="str">
        <f>_xll.BDP("19679ERR Muni","STATE_CODE")</f>
        <v>CO</v>
      </c>
      <c r="E1174" t="str">
        <f>_xll.BDP("19679ERR Muni","COUNTY_LOCATION_ISSUER")</f>
        <v>Denver, CO</v>
      </c>
      <c r="F1174">
        <f>_xll.BDP("19679ERR Muni","DUR_ADJ_MID")</f>
        <v>3.6642389966198126</v>
      </c>
      <c r="G1174">
        <f>_xll.BDP("19679ERR Muni","SPREAD_AT_ISSUANCE_TO_WORST")</f>
        <v>-6.3169808219177837</v>
      </c>
      <c r="H1174" t="str">
        <f>_xll.BDP("19679ERR Muni","ISSUE_DT")</f>
        <v>11/15/2017</v>
      </c>
      <c r="I1174" t="str">
        <f>_xll.BDS("19679ERR Muni","MUNI_PURPOSE_SCHED", "aggregate=y")</f>
        <v>WATER UTILITY IMPS.</v>
      </c>
      <c r="J1174">
        <f>_xll.BDP("19679ERR Muni","CPN")</f>
        <v>5</v>
      </c>
      <c r="K1174" t="str">
        <f>_xll.BDP("19679ERR Muni","MATURITY")</f>
        <v>9/1/2026</v>
      </c>
      <c r="L1174">
        <v>780000</v>
      </c>
      <c r="M1174">
        <f>_xll.BDP("19679ERR Muni","YIELD_ON_ISSUE_DATE")</f>
        <v>1.85</v>
      </c>
      <c r="N1174">
        <f>_xll.BDP("19679ERR Muni","YTW_SPREAD_TO_MATURITY_AT_ISSU")</f>
        <v>-6.3169808219177837</v>
      </c>
      <c r="O1174" t="str">
        <f>_xll.BDP("19679ERR Muni","BVAL_MID_YTM")</f>
        <v>#N/A Authorization</v>
      </c>
      <c r="P1174" t="str">
        <f>_xll.BDP("19679ERR Muni","MUNI_TAX_PROV")</f>
        <v>FED &amp; ST TAX-EXEMPT</v>
      </c>
      <c r="Q1174" t="str">
        <f>_xll.BDP("19679ERR Muni","MUNI_FED_TAX")</f>
        <v>N</v>
      </c>
      <c r="R1174" t="str">
        <f>_xll.BDP("19679ERR Muni","MUNI_MSRB_VOLUME")</f>
        <v>#N/A N/A</v>
      </c>
      <c r="S1174" t="str">
        <f>_xll.BDP("19679ERR Muni","BB_COMPOSITE")</f>
        <v>AAA</v>
      </c>
      <c r="T1174">
        <f>_xll.BDP("19679ERR Muni","LQA_LIQUIDITY_SCORE")</f>
        <v>74</v>
      </c>
    </row>
    <row r="1175" spans="1:20" x14ac:dyDescent="0.25">
      <c r="A1175" t="str">
        <f>_xll.BDP("197053AF Muni","ID_CUSIP")</f>
        <v>197053AF8</v>
      </c>
      <c r="B1175" t="s">
        <v>106</v>
      </c>
      <c r="C1175" t="str">
        <f>_xll.BDP("197053AF Muni","INSURANCE_STATUS")</f>
        <v>Y</v>
      </c>
      <c r="D1175" t="str">
        <f>_xll.BDP("197053AF Muni","STATE_CODE")</f>
        <v>CA</v>
      </c>
      <c r="E1175" t="str">
        <f>_xll.BDP("197053AF Muni","COUNTY_LOCATION_ISSUER")</f>
        <v>San Bernardino, CA</v>
      </c>
      <c r="F1175">
        <f>_xll.BDP("197053AF Muni","DUR_ADJ_MID")</f>
        <v>0.56994166370693067</v>
      </c>
      <c r="G1175">
        <f>_xll.BDP("197053AF Muni","SPREAD_AT_ISSUANCE_TO_WORST")</f>
        <v>6.0409163514228759</v>
      </c>
      <c r="H1175" t="str">
        <f>_xll.BDP("197053AF Muni","ISSUE_DT")</f>
        <v>12/13/2017</v>
      </c>
      <c r="I1175" t="str">
        <f>_xll.BDS("197053AF Muni","MUNI_PURPOSE_SCHED", "aggregate=y")</f>
        <v>WATER UTILITY IMPS. CURRENT REFUNDING</v>
      </c>
      <c r="J1175">
        <f>_xll.BDP("197053AF Muni","CPN")</f>
        <v>3</v>
      </c>
      <c r="K1175" t="str">
        <f>_xll.BDP("197053AF Muni","MATURITY")</f>
        <v>3/1/2023</v>
      </c>
      <c r="L1175">
        <v>390000</v>
      </c>
      <c r="M1175">
        <f>_xll.BDP("197053AF Muni","YIELD_ON_ISSUE_DATE")</f>
        <v>1.86</v>
      </c>
      <c r="N1175" t="str">
        <f>_xll.BDP("197053AF Muni","YTW_SPREAD_TO_MATURITY_AT_ISSU")</f>
        <v>#N/A N/A</v>
      </c>
      <c r="O1175" t="str">
        <f>_xll.BDP("197053AF Muni","BVAL_MID_YTM")</f>
        <v>#N/A Authorization</v>
      </c>
      <c r="P1175" t="str">
        <f>_xll.BDP("197053AF Muni","MUNI_TAX_PROV")</f>
        <v>FED &amp; ST TAX-EXEMPT</v>
      </c>
      <c r="Q1175" t="str">
        <f>_xll.BDP("197053AF Muni","MUNI_FED_TAX")</f>
        <v>N</v>
      </c>
      <c r="R1175" t="str">
        <f>_xll.BDP("197053AF Muni","MUNI_MSRB_VOLUME")</f>
        <v>#N/A N/A</v>
      </c>
      <c r="S1175" t="str">
        <f>_xll.BDP("197053AF Muni","BB_COMPOSITE")</f>
        <v>#N/A N/A</v>
      </c>
      <c r="T1175">
        <f>_xll.BDP("197053AF Muni","LQA_LIQUIDITY_SCORE")</f>
        <v>98</v>
      </c>
    </row>
    <row r="1176" spans="1:20" x14ac:dyDescent="0.25">
      <c r="A1176" t="str">
        <f>_xll.BDP("197053AG Muni","ID_CUSIP")</f>
        <v>197053AG6</v>
      </c>
      <c r="B1176" t="s">
        <v>106</v>
      </c>
      <c r="C1176" t="str">
        <f>_xll.BDP("197053AG Muni","INSURANCE_STATUS")</f>
        <v>Y</v>
      </c>
      <c r="D1176" t="str">
        <f>_xll.BDP("197053AG Muni","STATE_CODE")</f>
        <v>CA</v>
      </c>
      <c r="E1176" t="str">
        <f>_xll.BDP("197053AG Muni","COUNTY_LOCATION_ISSUER")</f>
        <v>San Bernardino, CA</v>
      </c>
      <c r="F1176">
        <f>_xll.BDP("197053AG Muni","DUR_ADJ_MID")</f>
        <v>1.5244057769289052</v>
      </c>
      <c r="G1176">
        <f>_xll.BDP("197053AG Muni","SPREAD_AT_ISSUANCE_TO_WORST")</f>
        <v>3.9609048399206648</v>
      </c>
      <c r="H1176" t="str">
        <f>_xll.BDP("197053AG Muni","ISSUE_DT")</f>
        <v>12/13/2017</v>
      </c>
      <c r="I1176" t="str">
        <f>_xll.BDS("197053AG Muni","MUNI_PURPOSE_SCHED", "aggregate=y")</f>
        <v>WATER UTILITY IMPS. CURRENT REFUNDING</v>
      </c>
      <c r="J1176">
        <f>_xll.BDP("197053AG Muni","CPN")</f>
        <v>3</v>
      </c>
      <c r="K1176" t="str">
        <f>_xll.BDP("197053AG Muni","MATURITY")</f>
        <v>3/1/2024</v>
      </c>
      <c r="L1176">
        <v>410000</v>
      </c>
      <c r="M1176">
        <f>_xll.BDP("197053AG Muni","YIELD_ON_ISSUE_DATE")</f>
        <v>1.94</v>
      </c>
      <c r="N1176" t="str">
        <f>_xll.BDP("197053AG Muni","YTW_SPREAD_TO_MATURITY_AT_ISSU")</f>
        <v>#N/A N/A</v>
      </c>
      <c r="O1176" t="str">
        <f>_xll.BDP("197053AG Muni","BVAL_MID_YTM")</f>
        <v>#N/A Authorization</v>
      </c>
      <c r="P1176" t="str">
        <f>_xll.BDP("197053AG Muni","MUNI_TAX_PROV")</f>
        <v>FED &amp; ST TAX-EXEMPT</v>
      </c>
      <c r="Q1176" t="str">
        <f>_xll.BDP("197053AG Muni","MUNI_FED_TAX")</f>
        <v>N</v>
      </c>
      <c r="R1176">
        <f>_xll.BDP("197053AG Muni","MUNI_MSRB_VOLUME")</f>
        <v>70000</v>
      </c>
      <c r="S1176" t="str">
        <f>_xll.BDP("197053AG Muni","BB_COMPOSITE")</f>
        <v>#N/A N/A</v>
      </c>
      <c r="T1176">
        <f>_xll.BDP("197053AG Muni","LQA_LIQUIDITY_SCORE")</f>
        <v>86</v>
      </c>
    </row>
    <row r="1177" spans="1:20" x14ac:dyDescent="0.25">
      <c r="A1177" t="str">
        <f>_xll.BDP("197053AH Muni","ID_CUSIP")</f>
        <v>197053AH4</v>
      </c>
      <c r="B1177" t="s">
        <v>106</v>
      </c>
      <c r="C1177" t="str">
        <f>_xll.BDP("197053AH Muni","INSURANCE_STATUS")</f>
        <v>Y</v>
      </c>
      <c r="D1177" t="str">
        <f>_xll.BDP("197053AH Muni","STATE_CODE")</f>
        <v>CA</v>
      </c>
      <c r="E1177" t="str">
        <f>_xll.BDP("197053AH Muni","COUNTY_LOCATION_ISSUER")</f>
        <v>San Bernardino, CA</v>
      </c>
      <c r="F1177">
        <f>_xll.BDP("197053AH Muni","DUR_ADJ_MID")</f>
        <v>2.4509158592001663</v>
      </c>
      <c r="G1177">
        <f>_xll.BDP("197053AH Muni","SPREAD_AT_ISSUANCE_TO_WORST")</f>
        <v>6.0420953476265638</v>
      </c>
      <c r="H1177" t="str">
        <f>_xll.BDP("197053AH Muni","ISSUE_DT")</f>
        <v>12/13/2017</v>
      </c>
      <c r="I1177" t="str">
        <f>_xll.BDS("197053AH Muni","MUNI_PURPOSE_SCHED", "aggregate=y")</f>
        <v>WATER UTILITY IMPS. CURRENT REFUNDING</v>
      </c>
      <c r="J1177">
        <f>_xll.BDP("197053AH Muni","CPN")</f>
        <v>3</v>
      </c>
      <c r="K1177" t="str">
        <f>_xll.BDP("197053AH Muni","MATURITY")</f>
        <v>3/1/2025</v>
      </c>
      <c r="L1177">
        <v>420000</v>
      </c>
      <c r="M1177">
        <f>_xll.BDP("197053AH Muni","YIELD_ON_ISSUE_DATE")</f>
        <v>2.06</v>
      </c>
      <c r="N1177" t="str">
        <f>_xll.BDP("197053AH Muni","YTW_SPREAD_TO_MATURITY_AT_ISSU")</f>
        <v>#N/A N/A</v>
      </c>
      <c r="O1177" t="str">
        <f>_xll.BDP("197053AH Muni","BVAL_MID_YTM")</f>
        <v>#N/A Authorization</v>
      </c>
      <c r="P1177" t="str">
        <f>_xll.BDP("197053AH Muni","MUNI_TAX_PROV")</f>
        <v>FED &amp; ST TAX-EXEMPT</v>
      </c>
      <c r="Q1177" t="str">
        <f>_xll.BDP("197053AH Muni","MUNI_FED_TAX")</f>
        <v>N</v>
      </c>
      <c r="R1177">
        <f>_xll.BDP("197053AH Muni","MUNI_MSRB_VOLUME")</f>
        <v>50000</v>
      </c>
      <c r="S1177" t="str">
        <f>_xll.BDP("197053AH Muni","BB_COMPOSITE")</f>
        <v>#N/A N/A</v>
      </c>
      <c r="T1177">
        <f>_xll.BDP("197053AH Muni","LQA_LIQUIDITY_SCORE")</f>
        <v>77</v>
      </c>
    </row>
    <row r="1178" spans="1:20" x14ac:dyDescent="0.25">
      <c r="A1178" t="str">
        <f>_xll.BDP("197053AK Muni","ID_CUSIP")</f>
        <v>197053AK7</v>
      </c>
      <c r="B1178" t="s">
        <v>106</v>
      </c>
      <c r="C1178" t="str">
        <f>_xll.BDP("197053AK Muni","INSURANCE_STATUS")</f>
        <v>Y</v>
      </c>
      <c r="D1178" t="str">
        <f>_xll.BDP("197053AK Muni","STATE_CODE")</f>
        <v>CA</v>
      </c>
      <c r="E1178" t="str">
        <f>_xll.BDP("197053AK Muni","COUNTY_LOCATION_ISSUER")</f>
        <v>San Bernardino, CA</v>
      </c>
      <c r="F1178">
        <f>_xll.BDP("197053AK Muni","DUR_ADJ_MID")</f>
        <v>4.0610296531295313</v>
      </c>
      <c r="G1178">
        <f>_xll.BDP("197053AK Muni","SPREAD_AT_ISSUANCE_TO_WORST")</f>
        <v>13.699085431556179</v>
      </c>
      <c r="H1178" t="str">
        <f>_xll.BDP("197053AK Muni","ISSUE_DT")</f>
        <v>12/13/2017</v>
      </c>
      <c r="I1178" t="str">
        <f>_xll.BDS("197053AK Muni","MUNI_PURPOSE_SCHED", "aggregate=y")</f>
        <v>WATER UTILITY IMPS. CURRENT REFUNDING</v>
      </c>
      <c r="J1178">
        <f>_xll.BDP("197053AK Muni","CPN")</f>
        <v>5</v>
      </c>
      <c r="K1178" t="str">
        <f>_xll.BDP("197053AK Muni","MATURITY")</f>
        <v>3/1/2027</v>
      </c>
      <c r="L1178">
        <v>455000</v>
      </c>
      <c r="M1178">
        <f>_xll.BDP("197053AK Muni","YIELD_ON_ISSUE_DATE")</f>
        <v>2.3199999999999998</v>
      </c>
      <c r="N1178" t="str">
        <f>_xll.BDP("197053AK Muni","YTW_SPREAD_TO_MATURITY_AT_ISSU")</f>
        <v>#N/A N/A</v>
      </c>
      <c r="O1178" t="str">
        <f>_xll.BDP("197053AK Muni","BVAL_MID_YTM")</f>
        <v>#N/A Authorization</v>
      </c>
      <c r="P1178" t="str">
        <f>_xll.BDP("197053AK Muni","MUNI_TAX_PROV")</f>
        <v>FED &amp; ST TAX-EXEMPT</v>
      </c>
      <c r="Q1178" t="str">
        <f>_xll.BDP("197053AK Muni","MUNI_FED_TAX")</f>
        <v>N</v>
      </c>
      <c r="R1178" t="str">
        <f>_xll.BDP("197053AK Muni","MUNI_MSRB_VOLUME")</f>
        <v>#N/A N/A</v>
      </c>
      <c r="S1178" t="str">
        <f>_xll.BDP("197053AK Muni","BB_COMPOSITE")</f>
        <v>#N/A N/A</v>
      </c>
      <c r="T1178">
        <f>_xll.BDP("197053AK Muni","LQA_LIQUIDITY_SCORE")</f>
        <v>72</v>
      </c>
    </row>
    <row r="1179" spans="1:20" x14ac:dyDescent="0.25">
      <c r="A1179" t="str">
        <f>_xll.BDP("12946RBX Muni","ID_CUSIP")</f>
        <v>12946RBX9</v>
      </c>
      <c r="B1179" t="s">
        <v>369</v>
      </c>
      <c r="C1179" t="str">
        <f>_xll.BDP("12946RBX Muni","INSURANCE_STATUS")</f>
        <v>N</v>
      </c>
      <c r="D1179" t="str">
        <f>_xll.BDP("12946RBX Muni","STATE_CODE")</f>
        <v>WI</v>
      </c>
      <c r="E1179" t="str">
        <f>_xll.BDP("12946RBX Muni","COUNTY_LOCATION_ISSUER")</f>
        <v>Racine, WI</v>
      </c>
      <c r="F1179">
        <f>_xll.BDP("12946RBX Muni","DUR_ADJ_MID")</f>
        <v>2.6132872580041195</v>
      </c>
      <c r="G1179">
        <f>_xll.BDP("12946RBX Muni","SPREAD_AT_ISSUANCE_TO_WORST")</f>
        <v>36.753399999999999</v>
      </c>
      <c r="H1179" t="str">
        <f>_xll.BDP("12946RBX Muni","ISSUE_DT")</f>
        <v>10/18/2017</v>
      </c>
      <c r="I1179" t="str">
        <f>_xll.BDS("12946RBX Muni","MUNI_PURPOSE_SCHED", "aggregate=y")</f>
        <v>WATER UTILITY IMPS. SEWER IMPS.</v>
      </c>
      <c r="J1179">
        <f>_xll.BDP("12946RBX Muni","CPN")</f>
        <v>3</v>
      </c>
      <c r="K1179" t="str">
        <f>_xll.BDP("12946RBX Muni","MATURITY")</f>
        <v>5/1/2025</v>
      </c>
      <c r="L1179">
        <v>315000</v>
      </c>
      <c r="M1179">
        <f>_xll.BDP("12946RBX Muni","YIELD_ON_ISSUE_DATE")</f>
        <v>2</v>
      </c>
      <c r="N1179">
        <f>_xll.BDP("12946RBX Muni","YTW_SPREAD_TO_MATURITY_AT_ISSU")</f>
        <v>36.753399999999999</v>
      </c>
      <c r="O1179" t="str">
        <f>_xll.BDP("12946RBX Muni","BVAL_MID_YTM")</f>
        <v>#N/A Authorization</v>
      </c>
      <c r="P1179" t="str">
        <f>_xll.BDP("12946RBX Muni","MUNI_TAX_PROV")</f>
        <v>FED BQ/ST TAXABLE</v>
      </c>
      <c r="Q1179" t="str">
        <f>_xll.BDP("12946RBX Muni","MUNI_FED_TAX")</f>
        <v>N</v>
      </c>
      <c r="R1179" t="str">
        <f>_xll.BDP("12946RBX Muni","MUNI_MSRB_VOLUME")</f>
        <v>#N/A N/A</v>
      </c>
      <c r="S1179" t="str">
        <f>_xll.BDP("12946RBX Muni","BB_COMPOSITE")</f>
        <v>#N/A N/A</v>
      </c>
      <c r="T1179">
        <f>_xll.BDP("12946RBX Muni","LQA_LIQUIDITY_SCORE")</f>
        <v>54</v>
      </c>
    </row>
    <row r="1180" spans="1:20" x14ac:dyDescent="0.25">
      <c r="A1180" t="str">
        <f>_xll.BDP("13034ASP Muni","ID_CUSIP")</f>
        <v>13034ASP6</v>
      </c>
      <c r="B1180" t="s">
        <v>21</v>
      </c>
      <c r="C1180" t="str">
        <f>_xll.BDP("13034ASP Muni","INSURANCE_STATUS")</f>
        <v>N</v>
      </c>
      <c r="D1180" t="str">
        <f>_xll.BDP("13034ASP Muni","STATE_CODE")</f>
        <v>CA</v>
      </c>
      <c r="E1180" t="str">
        <f>_xll.BDP("13034ASP Muni","COUNTY_LOCATION_ISSUER")</f>
        <v>Sacramento, CA</v>
      </c>
      <c r="F1180">
        <f>_xll.BDP("13034ASP Muni","DUR_ADJ_MID")</f>
        <v>0.1636954246942382</v>
      </c>
      <c r="G1180">
        <f>_xll.BDP("13034ASP Muni","SPREAD_AT_ISSUANCE_TO_WORST")</f>
        <v>-8.4133711862190985</v>
      </c>
      <c r="H1180" t="str">
        <f>_xll.BDP("13034ASP Muni","ISSUE_DT")</f>
        <v>3/23/2017</v>
      </c>
      <c r="I1180" t="str">
        <f>_xll.BDS("13034ASP Muni","MUNI_PURPOSE_SCHED", "aggregate=y")</f>
        <v>GREEN PURPOSE WATER UTILITY IMPS.</v>
      </c>
      <c r="J1180">
        <f>_xll.BDP("13034ASP Muni","CPN")</f>
        <v>3</v>
      </c>
      <c r="K1180" t="str">
        <f>_xll.BDP("13034ASP Muni","MATURITY")</f>
        <v>10/1/2022</v>
      </c>
      <c r="L1180">
        <v>470000</v>
      </c>
      <c r="M1180">
        <f>_xll.BDP("13034ASP Muni","YIELD_ON_ISSUE_DATE")</f>
        <v>1.55</v>
      </c>
      <c r="N1180">
        <f>_xll.BDP("13034ASP Muni","YTW_SPREAD_TO_MATURITY_AT_ISSU")</f>
        <v>-8.4133711862190985</v>
      </c>
      <c r="O1180" t="str">
        <f>_xll.BDP("13034ASP Muni","BVAL_MID_YTM")</f>
        <v>#N/A Authorization</v>
      </c>
      <c r="P1180" t="str">
        <f>_xll.BDP("13034ASP Muni","MUNI_TAX_PROV")</f>
        <v>FED &amp; ST TAX-EXEMPT</v>
      </c>
      <c r="Q1180" t="str">
        <f>_xll.BDP("13034ASP Muni","MUNI_FED_TAX")</f>
        <v>N</v>
      </c>
      <c r="R1180">
        <f>_xll.BDP("13034ASP Muni","MUNI_MSRB_VOLUME")</f>
        <v>150000</v>
      </c>
      <c r="S1180" t="str">
        <f>_xll.BDP("13034ASP Muni","BB_COMPOSITE")</f>
        <v>AAA</v>
      </c>
      <c r="T1180">
        <f>_xll.BDP("13034ASP Muni","LQA_LIQUIDITY_SCORE")</f>
        <v>99</v>
      </c>
    </row>
    <row r="1181" spans="1:20" x14ac:dyDescent="0.25">
      <c r="A1181" t="str">
        <f>_xll.BDP("13034ASQ Muni","ID_CUSIP")</f>
        <v>13034ASQ4</v>
      </c>
      <c r="B1181" t="s">
        <v>21</v>
      </c>
      <c r="C1181" t="str">
        <f>_xll.BDP("13034ASQ Muni","INSURANCE_STATUS")</f>
        <v>N</v>
      </c>
      <c r="D1181" t="str">
        <f>_xll.BDP("13034ASQ Muni","STATE_CODE")</f>
        <v>CA</v>
      </c>
      <c r="E1181" t="str">
        <f>_xll.BDP("13034ASQ Muni","COUNTY_LOCATION_ISSUER")</f>
        <v>Sacramento, CA</v>
      </c>
      <c r="F1181">
        <f>_xll.BDP("13034ASQ Muni","DUR_ADJ_MID")</f>
        <v>1.1276975689544291</v>
      </c>
      <c r="G1181">
        <f>_xll.BDP("13034ASQ Muni","SPREAD_AT_ISSUANCE_TO_WORST")</f>
        <v>-2.7976382589976589</v>
      </c>
      <c r="H1181" t="str">
        <f>_xll.BDP("13034ASQ Muni","ISSUE_DT")</f>
        <v>3/23/2017</v>
      </c>
      <c r="I1181" t="str">
        <f>_xll.BDS("13034ASQ Muni","MUNI_PURPOSE_SCHED", "aggregate=y")</f>
        <v>GREEN PURPOSE WATER UTILITY IMPS.</v>
      </c>
      <c r="J1181">
        <f>_xll.BDP("13034ASQ Muni","CPN")</f>
        <v>4</v>
      </c>
      <c r="K1181" t="str">
        <f>_xll.BDP("13034ASQ Muni","MATURITY")</f>
        <v>10/1/2023</v>
      </c>
      <c r="L1181">
        <v>1835000</v>
      </c>
      <c r="M1181">
        <f>_xll.BDP("13034ASQ Muni","YIELD_ON_ISSUE_DATE")</f>
        <v>1.77</v>
      </c>
      <c r="N1181">
        <f>_xll.BDP("13034ASQ Muni","YTW_SPREAD_TO_MATURITY_AT_ISSU")</f>
        <v>-2.7976382589976589</v>
      </c>
      <c r="O1181" t="str">
        <f>_xll.BDP("13034ASQ Muni","BVAL_MID_YTM")</f>
        <v>#N/A Authorization</v>
      </c>
      <c r="P1181" t="str">
        <f>_xll.BDP("13034ASQ Muni","MUNI_TAX_PROV")</f>
        <v>FED &amp; ST TAX-EXEMPT</v>
      </c>
      <c r="Q1181" t="str">
        <f>_xll.BDP("13034ASQ Muni","MUNI_FED_TAX")</f>
        <v>N</v>
      </c>
      <c r="R1181">
        <f>_xll.BDP("13034ASQ Muni","MUNI_MSRB_VOLUME")</f>
        <v>30000</v>
      </c>
      <c r="S1181" t="str">
        <f>_xll.BDP("13034ASQ Muni","BB_COMPOSITE")</f>
        <v>AAA</v>
      </c>
      <c r="T1181">
        <f>_xll.BDP("13034ASQ Muni","LQA_LIQUIDITY_SCORE")</f>
        <v>93</v>
      </c>
    </row>
    <row r="1182" spans="1:20" x14ac:dyDescent="0.25">
      <c r="A1182" t="str">
        <f>_xll.BDP("13034ASR Muni","ID_CUSIP")</f>
        <v>13034ASR2</v>
      </c>
      <c r="B1182" t="s">
        <v>21</v>
      </c>
      <c r="C1182" t="str">
        <f>_xll.BDP("13034ASR Muni","INSURANCE_STATUS")</f>
        <v>N</v>
      </c>
      <c r="D1182" t="str">
        <f>_xll.BDP("13034ASR Muni","STATE_CODE")</f>
        <v>CA</v>
      </c>
      <c r="E1182" t="str">
        <f>_xll.BDP("13034ASR Muni","COUNTY_LOCATION_ISSUER")</f>
        <v>Sacramento, CA</v>
      </c>
      <c r="F1182">
        <f>_xll.BDP("13034ASR Muni","DUR_ADJ_MID")</f>
        <v>2.0758345771612272</v>
      </c>
      <c r="G1182">
        <f>_xll.BDP("13034ASR Muni","SPREAD_AT_ISSUANCE_TO_WORST")</f>
        <v>1.1478484270493583</v>
      </c>
      <c r="H1182" t="str">
        <f>_xll.BDP("13034ASR Muni","ISSUE_DT")</f>
        <v>3/23/2017</v>
      </c>
      <c r="I1182" t="str">
        <f>_xll.BDS("13034ASR Muni","MUNI_PURPOSE_SCHED", "aggregate=y")</f>
        <v>GREEN PURPOSE WATER UTILITY IMPS.</v>
      </c>
      <c r="J1182">
        <f>_xll.BDP("13034ASR Muni","CPN")</f>
        <v>3</v>
      </c>
      <c r="K1182" t="str">
        <f>_xll.BDP("13034ASR Muni","MATURITY")</f>
        <v>10/1/2024</v>
      </c>
      <c r="L1182">
        <v>260000</v>
      </c>
      <c r="M1182">
        <f>_xll.BDP("13034ASR Muni","YIELD_ON_ISSUE_DATE")</f>
        <v>1.97</v>
      </c>
      <c r="N1182">
        <f>_xll.BDP("13034ASR Muni","YTW_SPREAD_TO_MATURITY_AT_ISSU")</f>
        <v>1.1478484270493583</v>
      </c>
      <c r="O1182" t="str">
        <f>_xll.BDP("13034ASR Muni","BVAL_MID_YTM")</f>
        <v>#N/A Authorization</v>
      </c>
      <c r="P1182" t="str">
        <f>_xll.BDP("13034ASR Muni","MUNI_TAX_PROV")</f>
        <v>FED &amp; ST TAX-EXEMPT</v>
      </c>
      <c r="Q1182" t="str">
        <f>_xll.BDP("13034ASR Muni","MUNI_FED_TAX")</f>
        <v>N</v>
      </c>
      <c r="R1182" t="str">
        <f>_xll.BDP("13034ASR Muni","MUNI_MSRB_VOLUME")</f>
        <v>#N/A N/A</v>
      </c>
      <c r="S1182" t="str">
        <f>_xll.BDP("13034ASR Muni","BB_COMPOSITE")</f>
        <v>AAA</v>
      </c>
      <c r="T1182">
        <f>_xll.BDP("13034ASR Muni","LQA_LIQUIDITY_SCORE")</f>
        <v>80</v>
      </c>
    </row>
    <row r="1183" spans="1:20" x14ac:dyDescent="0.25">
      <c r="A1183" t="str">
        <f>_xll.BDP("13034ASS Muni","ID_CUSIP")</f>
        <v>13034ASS0</v>
      </c>
      <c r="B1183" t="s">
        <v>21</v>
      </c>
      <c r="C1183" t="str">
        <f>_xll.BDP("13034ASS Muni","INSURANCE_STATUS")</f>
        <v>N</v>
      </c>
      <c r="D1183" t="str">
        <f>_xll.BDP("13034ASS Muni","STATE_CODE")</f>
        <v>CA</v>
      </c>
      <c r="E1183" t="str">
        <f>_xll.BDP("13034ASS Muni","COUNTY_LOCATION_ISSUER")</f>
        <v>Sacramento, CA</v>
      </c>
      <c r="F1183">
        <f>_xll.BDP("13034ASS Muni","DUR_ADJ_MID")</f>
        <v>2.9471487916447736</v>
      </c>
      <c r="G1183">
        <f>_xll.BDP("13034ASS Muni","SPREAD_AT_ISSUANCE_TO_WORST")</f>
        <v>3.4497176807526841</v>
      </c>
      <c r="H1183" t="str">
        <f>_xll.BDP("13034ASS Muni","ISSUE_DT")</f>
        <v>3/23/2017</v>
      </c>
      <c r="I1183" t="str">
        <f>_xll.BDS("13034ASS Muni","MUNI_PURPOSE_SCHED", "aggregate=y")</f>
        <v>GREEN PURPOSE WATER UTILITY IMPS.</v>
      </c>
      <c r="J1183">
        <f>_xll.BDP("13034ASS Muni","CPN")</f>
        <v>4</v>
      </c>
      <c r="K1183" t="str">
        <f>_xll.BDP("13034ASS Muni","MATURITY")</f>
        <v>10/1/2025</v>
      </c>
      <c r="L1183">
        <v>535000</v>
      </c>
      <c r="M1183">
        <f>_xll.BDP("13034ASS Muni","YIELD_ON_ISSUE_DATE")</f>
        <v>2.14</v>
      </c>
      <c r="N1183">
        <f>_xll.BDP("13034ASS Muni","YTW_SPREAD_TO_MATURITY_AT_ISSU")</f>
        <v>3.4497176807526841</v>
      </c>
      <c r="O1183" t="str">
        <f>_xll.BDP("13034ASS Muni","BVAL_MID_YTM")</f>
        <v>#N/A Authorization</v>
      </c>
      <c r="P1183" t="str">
        <f>_xll.BDP("13034ASS Muni","MUNI_TAX_PROV")</f>
        <v>FED &amp; ST TAX-EXEMPT</v>
      </c>
      <c r="Q1183" t="str">
        <f>_xll.BDP("13034ASS Muni","MUNI_FED_TAX")</f>
        <v>N</v>
      </c>
      <c r="R1183" t="str">
        <f>_xll.BDP("13034ASS Muni","MUNI_MSRB_VOLUME")</f>
        <v>#N/A N/A</v>
      </c>
      <c r="S1183" t="str">
        <f>_xll.BDP("13034ASS Muni","BB_COMPOSITE")</f>
        <v>AAA</v>
      </c>
      <c r="T1183">
        <f>_xll.BDP("13034ASS Muni","LQA_LIQUIDITY_SCORE")</f>
        <v>76</v>
      </c>
    </row>
    <row r="1184" spans="1:20" x14ac:dyDescent="0.25">
      <c r="A1184" t="str">
        <f>_xll.BDP("13034AST Muni","ID_CUSIP")</f>
        <v>13034AST8</v>
      </c>
      <c r="B1184" t="s">
        <v>21</v>
      </c>
      <c r="C1184" t="str">
        <f>_xll.BDP("13034AST Muni","INSURANCE_STATUS")</f>
        <v>N</v>
      </c>
      <c r="D1184" t="str">
        <f>_xll.BDP("13034AST Muni","STATE_CODE")</f>
        <v>CA</v>
      </c>
      <c r="E1184" t="str">
        <f>_xll.BDP("13034AST Muni","COUNTY_LOCATION_ISSUER")</f>
        <v>Sacramento, CA</v>
      </c>
      <c r="F1184">
        <f>_xll.BDP("13034AST Muni","DUR_ADJ_MID")</f>
        <v>3.8074942724439222</v>
      </c>
      <c r="G1184">
        <f>_xll.BDP("13034AST Muni","SPREAD_AT_ISSUANCE_TO_WORST")</f>
        <v>4.3383690781315654</v>
      </c>
      <c r="H1184" t="str">
        <f>_xll.BDP("13034AST Muni","ISSUE_DT")</f>
        <v>3/23/2017</v>
      </c>
      <c r="I1184" t="str">
        <f>_xll.BDS("13034AST Muni","MUNI_PURPOSE_SCHED", "aggregate=y")</f>
        <v>GREEN PURPOSE WATER UTILITY IMPS.</v>
      </c>
      <c r="J1184">
        <f>_xll.BDP("13034AST Muni","CPN")</f>
        <v>4</v>
      </c>
      <c r="K1184" t="str">
        <f>_xll.BDP("13034AST Muni","MATURITY")</f>
        <v>10/1/2026</v>
      </c>
      <c r="L1184">
        <v>620000</v>
      </c>
      <c r="M1184">
        <f>_xll.BDP("13034AST Muni","YIELD_ON_ISSUE_DATE")</f>
        <v>2.27</v>
      </c>
      <c r="N1184">
        <f>_xll.BDP("13034AST Muni","YTW_SPREAD_TO_MATURITY_AT_ISSU")</f>
        <v>4.3383690781315654</v>
      </c>
      <c r="O1184" t="str">
        <f>_xll.BDP("13034AST Muni","BVAL_MID_YTM")</f>
        <v>#N/A Authorization</v>
      </c>
      <c r="P1184" t="str">
        <f>_xll.BDP("13034AST Muni","MUNI_TAX_PROV")</f>
        <v>FED &amp; ST TAX-EXEMPT</v>
      </c>
      <c r="Q1184" t="str">
        <f>_xll.BDP("13034AST Muni","MUNI_FED_TAX")</f>
        <v>N</v>
      </c>
      <c r="R1184" t="str">
        <f>_xll.BDP("13034AST Muni","MUNI_MSRB_VOLUME")</f>
        <v>#N/A N/A</v>
      </c>
      <c r="S1184" t="str">
        <f>_xll.BDP("13034AST Muni","BB_COMPOSITE")</f>
        <v>AAA</v>
      </c>
      <c r="T1184">
        <f>_xll.BDP("13034AST Muni","LQA_LIQUIDITY_SCORE")</f>
        <v>68</v>
      </c>
    </row>
    <row r="1185" spans="1:20" x14ac:dyDescent="0.25">
      <c r="A1185" t="str">
        <f>_xll.BDP("208399H7 Muni","ID_CUSIP")</f>
        <v>208399H73</v>
      </c>
      <c r="B1185" t="s">
        <v>134</v>
      </c>
      <c r="C1185" t="str">
        <f>_xll.BDP("208399H7 Muni","INSURANCE_STATUS")</f>
        <v>N</v>
      </c>
      <c r="D1185" t="str">
        <f>_xll.BDP("208399H7 Muni","STATE_CODE")</f>
        <v>TX</v>
      </c>
      <c r="E1185" t="str">
        <f>_xll.BDP("208399H7 Muni","COUNTY_LOCATION_ISSUER")</f>
        <v>Montgomery, TX</v>
      </c>
      <c r="F1185">
        <f>_xll.BDP("208399H7 Muni","DUR_ADJ_MID")</f>
        <v>2.2186163840246613</v>
      </c>
      <c r="G1185">
        <f>_xll.BDP("208399H7 Muni","SPREAD_AT_ISSUANCE_TO_WORST")</f>
        <v>27.785466012109804</v>
      </c>
      <c r="H1185" t="str">
        <f>_xll.BDP("208399H7 Muni","ISSUE_DT")</f>
        <v>9/1/2017</v>
      </c>
      <c r="I1185" t="str">
        <f>_xll.BDS("208399H7 Muni","MUNI_PURPOSE_SCHED", "aggregate=y")</f>
        <v>PUBLIC IMPS. WATER UTILITY IMPS. SEWER IMPS.</v>
      </c>
      <c r="J1185">
        <f>_xll.BDP("208399H7 Muni","CPN")</f>
        <v>2</v>
      </c>
      <c r="K1185" t="str">
        <f>_xll.BDP("208399H7 Muni","MATURITY")</f>
        <v>11/15/2024</v>
      </c>
      <c r="L1185">
        <v>890000</v>
      </c>
      <c r="M1185">
        <f>_xll.BDP("208399H7 Muni","YIELD_ON_ISSUE_DATE")</f>
        <v>1.75</v>
      </c>
      <c r="N1185">
        <f>_xll.BDP("208399H7 Muni","YTW_SPREAD_TO_MATURITY_AT_ISSU")</f>
        <v>27.785466012109804</v>
      </c>
      <c r="O1185" t="str">
        <f>_xll.BDP("208399H7 Muni","BVAL_MID_YTM")</f>
        <v>#N/A Authorization</v>
      </c>
      <c r="P1185" t="str">
        <f>_xll.BDP("208399H7 Muni","MUNI_TAX_PROV")</f>
        <v>FED TAX-EXEMPT</v>
      </c>
      <c r="Q1185" t="str">
        <f>_xll.BDP("208399H7 Muni","MUNI_FED_TAX")</f>
        <v>N</v>
      </c>
      <c r="R1185" t="str">
        <f>_xll.BDP("208399H7 Muni","MUNI_MSRB_VOLUME")</f>
        <v>#N/A N/A</v>
      </c>
      <c r="S1185" t="str">
        <f>_xll.BDP("208399H7 Muni","BB_COMPOSITE")</f>
        <v>AA+</v>
      </c>
      <c r="T1185">
        <f>_xll.BDP("208399H7 Muni","LQA_LIQUIDITY_SCORE")</f>
        <v>52</v>
      </c>
    </row>
    <row r="1186" spans="1:20" x14ac:dyDescent="0.25">
      <c r="A1186" t="str">
        <f>_xll.BDP("208399J2 Muni","ID_CUSIP")</f>
        <v>208399J22</v>
      </c>
      <c r="B1186" t="s">
        <v>134</v>
      </c>
      <c r="C1186" t="str">
        <f>_xll.BDP("208399J2 Muni","INSURANCE_STATUS")</f>
        <v>N</v>
      </c>
      <c r="D1186" t="str">
        <f>_xll.BDP("208399J2 Muni","STATE_CODE")</f>
        <v>TX</v>
      </c>
      <c r="E1186" t="str">
        <f>_xll.BDP("208399J2 Muni","COUNTY_LOCATION_ISSUER")</f>
        <v>Montgomery, TX</v>
      </c>
      <c r="F1186">
        <f>_xll.BDP("208399J2 Muni","DUR_ADJ_MID")</f>
        <v>4.6689328843313405</v>
      </c>
      <c r="G1186">
        <f>_xll.BDP("208399J2 Muni","SPREAD_AT_ISSUANCE_TO_WORST")</f>
        <v>34.867148703763107</v>
      </c>
      <c r="H1186" t="str">
        <f>_xll.BDP("208399J2 Muni","ISSUE_DT")</f>
        <v>9/1/2017</v>
      </c>
      <c r="I1186" t="str">
        <f>_xll.BDS("208399J2 Muni","MUNI_PURPOSE_SCHED", "aggregate=y")</f>
        <v>PUBLIC IMPS. WATER UTILITY IMPS. SEWER IMPS.</v>
      </c>
      <c r="J1186">
        <f>_xll.BDP("208399J2 Muni","CPN")</f>
        <v>5</v>
      </c>
      <c r="K1186" t="str">
        <f>_xll.BDP("208399J2 Muni","MATURITY")</f>
        <v>11/15/2027</v>
      </c>
      <c r="L1186">
        <v>1010000</v>
      </c>
      <c r="M1186">
        <f>_xll.BDP("208399J2 Muni","YIELD_ON_ISSUE_DATE")</f>
        <v>2.21</v>
      </c>
      <c r="N1186">
        <f>_xll.BDP("208399J2 Muni","YTW_SPREAD_TO_MATURITY_AT_ISSU")</f>
        <v>34.867148703763107</v>
      </c>
      <c r="O1186" t="str">
        <f>_xll.BDP("208399J2 Muni","BVAL_MID_YTM")</f>
        <v>#N/A Authorization</v>
      </c>
      <c r="P1186" t="str">
        <f>_xll.BDP("208399J2 Muni","MUNI_TAX_PROV")</f>
        <v>FED TAX-EXEMPT</v>
      </c>
      <c r="Q1186" t="str">
        <f>_xll.BDP("208399J2 Muni","MUNI_FED_TAX")</f>
        <v>N</v>
      </c>
      <c r="R1186">
        <f>_xll.BDP("208399J2 Muni","MUNI_MSRB_VOLUME")</f>
        <v>10000</v>
      </c>
      <c r="S1186" t="str">
        <f>_xll.BDP("208399J2 Muni","BB_COMPOSITE")</f>
        <v>AA+</v>
      </c>
      <c r="T1186">
        <f>_xll.BDP("208399J2 Muni","LQA_LIQUIDITY_SCORE")</f>
        <v>58</v>
      </c>
    </row>
    <row r="1187" spans="1:20" x14ac:dyDescent="0.25">
      <c r="A1187" t="str">
        <f>_xll.BDP("12946RBV Muni","ID_CUSIP")</f>
        <v>12946RBV3</v>
      </c>
      <c r="B1187" t="s">
        <v>369</v>
      </c>
      <c r="C1187" t="str">
        <f>_xll.BDP("12946RBV Muni","INSURANCE_STATUS")</f>
        <v>N</v>
      </c>
      <c r="D1187" t="str">
        <f>_xll.BDP("12946RBV Muni","STATE_CODE")</f>
        <v>WI</v>
      </c>
      <c r="E1187" t="str">
        <f>_xll.BDP("12946RBV Muni","COUNTY_LOCATION_ISSUER")</f>
        <v>Racine, WI</v>
      </c>
      <c r="F1187">
        <f>_xll.BDP("12946RBV Muni","DUR_ADJ_MID")</f>
        <v>0.73431093804855263</v>
      </c>
      <c r="G1187">
        <f>_xll.BDP("12946RBV Muni","SPREAD_AT_ISSUANCE_TO_WORST")</f>
        <v>34.668482191780804</v>
      </c>
      <c r="H1187" t="str">
        <f>_xll.BDP("12946RBV Muni","ISSUE_DT")</f>
        <v>10/18/2017</v>
      </c>
      <c r="I1187" t="str">
        <f>_xll.BDS("12946RBV Muni","MUNI_PURPOSE_SCHED", "aggregate=y")</f>
        <v>WATER UTILITY IMPS. SEWER IMPS.</v>
      </c>
      <c r="J1187">
        <f>_xll.BDP("12946RBV Muni","CPN")</f>
        <v>3</v>
      </c>
      <c r="K1187" t="str">
        <f>_xll.BDP("12946RBV Muni","MATURITY")</f>
        <v>5/1/2023</v>
      </c>
      <c r="L1187">
        <v>300000</v>
      </c>
      <c r="M1187">
        <f>_xll.BDP("12946RBV Muni","YIELD_ON_ISSUE_DATE")</f>
        <v>1.7000000000000002</v>
      </c>
      <c r="N1187">
        <f>_xll.BDP("12946RBV Muni","YTW_SPREAD_TO_MATURITY_AT_ISSU")</f>
        <v>34.668482191780804</v>
      </c>
      <c r="O1187" t="str">
        <f>_xll.BDP("12946RBV Muni","BVAL_MID_YTM")</f>
        <v>#N/A Authorization</v>
      </c>
      <c r="P1187" t="str">
        <f>_xll.BDP("12946RBV Muni","MUNI_TAX_PROV")</f>
        <v>FED BQ/ST TAXABLE</v>
      </c>
      <c r="Q1187" t="str">
        <f>_xll.BDP("12946RBV Muni","MUNI_FED_TAX")</f>
        <v>N</v>
      </c>
      <c r="R1187" t="str">
        <f>_xll.BDP("12946RBV Muni","MUNI_MSRB_VOLUME")</f>
        <v>#N/A N/A</v>
      </c>
      <c r="S1187" t="str">
        <f>_xll.BDP("12946RBV Muni","BB_COMPOSITE")</f>
        <v>#N/A N/A</v>
      </c>
      <c r="T1187">
        <f>_xll.BDP("12946RBV Muni","LQA_LIQUIDITY_SCORE")</f>
        <v>80</v>
      </c>
    </row>
    <row r="1188" spans="1:20" x14ac:dyDescent="0.25">
      <c r="A1188" t="str">
        <f>_xll.BDP("12946RBW Muni","ID_CUSIP")</f>
        <v>12946RBW1</v>
      </c>
      <c r="B1188" t="s">
        <v>369</v>
      </c>
      <c r="C1188" t="str">
        <f>_xll.BDP("12946RBW Muni","INSURANCE_STATUS")</f>
        <v>N</v>
      </c>
      <c r="D1188" t="str">
        <f>_xll.BDP("12946RBW Muni","STATE_CODE")</f>
        <v>WI</v>
      </c>
      <c r="E1188" t="str">
        <f>_xll.BDP("12946RBW Muni","COUNTY_LOCATION_ISSUER")</f>
        <v>Racine, WI</v>
      </c>
      <c r="F1188">
        <f>_xll.BDP("12946RBW Muni","DUR_ADJ_MID")</f>
        <v>1.68757117598513</v>
      </c>
      <c r="G1188">
        <f>_xll.BDP("12946RBW Muni","SPREAD_AT_ISSUANCE_TO_WORST")</f>
        <v>35.790999999999997</v>
      </c>
      <c r="H1188" t="str">
        <f>_xll.BDP("12946RBW Muni","ISSUE_DT")</f>
        <v>10/18/2017</v>
      </c>
      <c r="I1188" t="str">
        <f>_xll.BDS("12946RBW Muni","MUNI_PURPOSE_SCHED", "aggregate=y")</f>
        <v>WATER UTILITY IMPS. SEWER IMPS.</v>
      </c>
      <c r="J1188">
        <f>_xll.BDP("12946RBW Muni","CPN")</f>
        <v>3</v>
      </c>
      <c r="K1188" t="str">
        <f>_xll.BDP("12946RBW Muni","MATURITY")</f>
        <v>5/1/2024</v>
      </c>
      <c r="L1188">
        <v>305000</v>
      </c>
      <c r="M1188">
        <f>_xll.BDP("12946RBW Muni","YIELD_ON_ISSUE_DATE")</f>
        <v>1.85</v>
      </c>
      <c r="N1188">
        <f>_xll.BDP("12946RBW Muni","YTW_SPREAD_TO_MATURITY_AT_ISSU")</f>
        <v>35.790999999999997</v>
      </c>
      <c r="O1188" t="str">
        <f>_xll.BDP("12946RBW Muni","BVAL_MID_YTM")</f>
        <v>#N/A Authorization</v>
      </c>
      <c r="P1188" t="str">
        <f>_xll.BDP("12946RBW Muni","MUNI_TAX_PROV")</f>
        <v>FED BQ/ST TAXABLE</v>
      </c>
      <c r="Q1188" t="str">
        <f>_xll.BDP("12946RBW Muni","MUNI_FED_TAX")</f>
        <v>N</v>
      </c>
      <c r="R1188" t="str">
        <f>_xll.BDP("12946RBW Muni","MUNI_MSRB_VOLUME")</f>
        <v>#N/A N/A</v>
      </c>
      <c r="S1188" t="str">
        <f>_xll.BDP("12946RBW Muni","BB_COMPOSITE")</f>
        <v>#N/A N/A</v>
      </c>
      <c r="T1188">
        <f>_xll.BDP("12946RBW Muni","LQA_LIQUIDITY_SCORE")</f>
        <v>70</v>
      </c>
    </row>
    <row r="1189" spans="1:20" x14ac:dyDescent="0.25">
      <c r="A1189" t="str">
        <f>_xll.BDP("12946RBY Muni","ID_CUSIP")</f>
        <v>12946RBY7</v>
      </c>
      <c r="B1189" t="s">
        <v>369</v>
      </c>
      <c r="C1189" t="str">
        <f>_xll.BDP("12946RBY Muni","INSURANCE_STATUS")</f>
        <v>N</v>
      </c>
      <c r="D1189" t="str">
        <f>_xll.BDP("12946RBY Muni","STATE_CODE")</f>
        <v>WI</v>
      </c>
      <c r="E1189" t="str">
        <f>_xll.BDP("12946RBY Muni","COUNTY_LOCATION_ISSUER")</f>
        <v>Racine, WI</v>
      </c>
      <c r="F1189">
        <f>_xll.BDP("12946RBY Muni","DUR_ADJ_MID")</f>
        <v>3.5123064970740785</v>
      </c>
      <c r="G1189">
        <f>_xll.BDP("12946RBY Muni","SPREAD_AT_ISSUANCE_TO_WORST")</f>
        <v>43.629400000000018</v>
      </c>
      <c r="H1189" t="str">
        <f>_xll.BDP("12946RBY Muni","ISSUE_DT")</f>
        <v>10/18/2017</v>
      </c>
      <c r="I1189" t="str">
        <f>_xll.BDS("12946RBY Muni","MUNI_PURPOSE_SCHED", "aggregate=y")</f>
        <v>WATER UTILITY IMPS. SEWER IMPS.</v>
      </c>
      <c r="J1189">
        <f>_xll.BDP("12946RBY Muni","CPN")</f>
        <v>3</v>
      </c>
      <c r="K1189" t="str">
        <f>_xll.BDP("12946RBY Muni","MATURITY")</f>
        <v>5/1/2026</v>
      </c>
      <c r="L1189">
        <v>325000</v>
      </c>
      <c r="M1189">
        <f>_xll.BDP("12946RBY Muni","YIELD_ON_ISSUE_DATE")</f>
        <v>2.2000000000000002</v>
      </c>
      <c r="N1189">
        <f>_xll.BDP("12946RBY Muni","YTW_SPREAD_TO_MATURITY_AT_ISSU")</f>
        <v>43.629400000000018</v>
      </c>
      <c r="O1189" t="str">
        <f>_xll.BDP("12946RBY Muni","BVAL_MID_YTM")</f>
        <v>#N/A Authorization</v>
      </c>
      <c r="P1189" t="str">
        <f>_xll.BDP("12946RBY Muni","MUNI_TAX_PROV")</f>
        <v>FED BQ/ST TAXABLE</v>
      </c>
      <c r="Q1189" t="str">
        <f>_xll.BDP("12946RBY Muni","MUNI_FED_TAX")</f>
        <v>N</v>
      </c>
      <c r="R1189" t="str">
        <f>_xll.BDP("12946RBY Muni","MUNI_MSRB_VOLUME")</f>
        <v>#N/A N/A</v>
      </c>
      <c r="S1189" t="str">
        <f>_xll.BDP("12946RBY Muni","BB_COMPOSITE")</f>
        <v>#N/A N/A</v>
      </c>
      <c r="T1189">
        <f>_xll.BDP("12946RBY Muni","LQA_LIQUIDITY_SCORE")</f>
        <v>41</v>
      </c>
    </row>
    <row r="1190" spans="1:20" x14ac:dyDescent="0.25">
      <c r="A1190" t="str">
        <f>_xll.BDP("12946RBZ Muni","ID_CUSIP")</f>
        <v>12946RBZ4</v>
      </c>
      <c r="B1190" t="s">
        <v>369</v>
      </c>
      <c r="C1190" t="str">
        <f>_xll.BDP("12946RBZ Muni","INSURANCE_STATUS")</f>
        <v>N</v>
      </c>
      <c r="D1190" t="str">
        <f>_xll.BDP("12946RBZ Muni","STATE_CODE")</f>
        <v>WI</v>
      </c>
      <c r="E1190" t="str">
        <f>_xll.BDP("12946RBZ Muni","COUNTY_LOCATION_ISSUER")</f>
        <v>Racine, WI</v>
      </c>
      <c r="F1190">
        <f>_xll.BDP("12946RBZ Muni","DUR_ADJ_MID")</f>
        <v>4.3851834177287206</v>
      </c>
      <c r="G1190">
        <f>_xll.BDP("12946RBZ Muni","SPREAD_AT_ISSUANCE_TO_WORST")</f>
        <v>42.740199999999987</v>
      </c>
      <c r="H1190" t="str">
        <f>_xll.BDP("12946RBZ Muni","ISSUE_DT")</f>
        <v>10/18/2017</v>
      </c>
      <c r="I1190" t="str">
        <f>_xll.BDS("12946RBZ Muni","MUNI_PURPOSE_SCHED", "aggregate=y")</f>
        <v>WATER UTILITY IMPS. SEWER IMPS.</v>
      </c>
      <c r="J1190">
        <f>_xll.BDP("12946RBZ Muni","CPN")</f>
        <v>3</v>
      </c>
      <c r="K1190" t="str">
        <f>_xll.BDP("12946RBZ Muni","MATURITY")</f>
        <v>5/1/2027</v>
      </c>
      <c r="L1190">
        <v>330000</v>
      </c>
      <c r="M1190">
        <f>_xll.BDP("12946RBZ Muni","YIELD_ON_ISSUE_DATE")</f>
        <v>2.3000000000000003</v>
      </c>
      <c r="N1190">
        <f>_xll.BDP("12946RBZ Muni","YTW_SPREAD_TO_MATURITY_AT_ISSU")</f>
        <v>42.740199999999987</v>
      </c>
      <c r="O1190" t="str">
        <f>_xll.BDP("12946RBZ Muni","BVAL_MID_YTM")</f>
        <v>#N/A Authorization</v>
      </c>
      <c r="P1190" t="str">
        <f>_xll.BDP("12946RBZ Muni","MUNI_TAX_PROV")</f>
        <v>FED BQ/ST TAXABLE</v>
      </c>
      <c r="Q1190" t="str">
        <f>_xll.BDP("12946RBZ Muni","MUNI_FED_TAX")</f>
        <v>N</v>
      </c>
      <c r="R1190" t="str">
        <f>_xll.BDP("12946RBZ Muni","MUNI_MSRB_VOLUME")</f>
        <v>#N/A N/A</v>
      </c>
      <c r="S1190" t="str">
        <f>_xll.BDP("12946RBZ Muni","BB_COMPOSITE")</f>
        <v>#N/A N/A</v>
      </c>
      <c r="T1190">
        <f>_xll.BDP("12946RBZ Muni","LQA_LIQUIDITY_SCORE")</f>
        <v>41</v>
      </c>
    </row>
    <row r="1191" spans="1:20" x14ac:dyDescent="0.25">
      <c r="A1191" t="str">
        <f>_xll.BDP("166231BQ Muni","ID_CUSIP")</f>
        <v>166231BQ2</v>
      </c>
      <c r="B1191" t="s">
        <v>97</v>
      </c>
      <c r="C1191" t="str">
        <f>_xll.BDP("166231BQ Muni","INSURANCE_STATUS")</f>
        <v>Y</v>
      </c>
      <c r="D1191" t="str">
        <f>_xll.BDP("166231BQ Muni","STATE_CODE")</f>
        <v>SC</v>
      </c>
      <c r="E1191" t="str">
        <f>_xll.BDP("166231BQ Muni","COUNTY_LOCATION_ISSUER")</f>
        <v>Chester, SC</v>
      </c>
      <c r="F1191">
        <f>_xll.BDP("166231BQ Muni","DUR_ADJ_MID")</f>
        <v>2.695489296740547</v>
      </c>
      <c r="G1191">
        <f>_xll.BDP("166231BQ Muni","SPREAD_AT_ISSUANCE_TO_WORST")</f>
        <v>10.849124314452752</v>
      </c>
      <c r="H1191" t="str">
        <f>_xll.BDP("166231BQ Muni","ISSUE_DT")</f>
        <v>3/8/2017</v>
      </c>
      <c r="I1191" t="str">
        <f>_xll.BDS("166231BQ Muni","MUNI_PURPOSE_SCHED", "aggregate=y")</f>
        <v>CURRENT REFUNDING WATER UTILITY IMPS. REFUNDING NOTES</v>
      </c>
      <c r="J1191">
        <f>_xll.BDP("166231BQ Muni","CPN")</f>
        <v>3</v>
      </c>
      <c r="K1191" t="str">
        <f>_xll.BDP("166231BQ Muni","MATURITY")</f>
        <v>6/1/2025</v>
      </c>
      <c r="L1191">
        <v>275000</v>
      </c>
      <c r="M1191">
        <f>_xll.BDP("166231BQ Muni","YIELD_ON_ISSUE_DATE")</f>
        <v>2.2000000000000002</v>
      </c>
      <c r="N1191">
        <f>_xll.BDP("166231BQ Muni","YTW_SPREAD_TO_MATURITY_AT_ISSU")</f>
        <v>10.849124314452752</v>
      </c>
      <c r="O1191" t="str">
        <f>_xll.BDP("166231BQ Muni","BVAL_MID_YTM")</f>
        <v>#N/A Authorization</v>
      </c>
      <c r="P1191" t="str">
        <f>_xll.BDP("166231BQ Muni","MUNI_TAX_PROV")</f>
        <v>FED BQ/ST TAX-EXEMPT</v>
      </c>
      <c r="Q1191" t="str">
        <f>_xll.BDP("166231BQ Muni","MUNI_FED_TAX")</f>
        <v>N</v>
      </c>
      <c r="R1191" t="str">
        <f>_xll.BDP("166231BQ Muni","MUNI_MSRB_VOLUME")</f>
        <v>#N/A N/A</v>
      </c>
      <c r="S1191" t="str">
        <f>_xll.BDP("166231BQ Muni","BB_COMPOSITE")</f>
        <v>#N/A N/A</v>
      </c>
      <c r="T1191">
        <f>_xll.BDP("166231BQ Muni","LQA_LIQUIDITY_SCORE")</f>
        <v>68</v>
      </c>
    </row>
    <row r="1192" spans="1:20" x14ac:dyDescent="0.25">
      <c r="A1192" t="str">
        <f>_xll.BDP("166231BR Muni","ID_CUSIP")</f>
        <v>166231BR0</v>
      </c>
      <c r="B1192" t="s">
        <v>97</v>
      </c>
      <c r="C1192" t="str">
        <f>_xll.BDP("166231BR Muni","INSURANCE_STATUS")</f>
        <v>Y</v>
      </c>
      <c r="D1192" t="str">
        <f>_xll.BDP("166231BR Muni","STATE_CODE")</f>
        <v>SC</v>
      </c>
      <c r="E1192" t="str">
        <f>_xll.BDP("166231BR Muni","COUNTY_LOCATION_ISSUER")</f>
        <v>Chester, SC</v>
      </c>
      <c r="F1192">
        <f>_xll.BDP("166231BR Muni","DUR_ADJ_MID")</f>
        <v>3.5944423157964827</v>
      </c>
      <c r="G1192">
        <f>_xll.BDP("166231BR Muni","SPREAD_AT_ISSUANCE_TO_WORST")</f>
        <v>8.0175763423599555</v>
      </c>
      <c r="H1192" t="str">
        <f>_xll.BDP("166231BR Muni","ISSUE_DT")</f>
        <v>3/8/2017</v>
      </c>
      <c r="I1192" t="str">
        <f>_xll.BDS("166231BR Muni","MUNI_PURPOSE_SCHED", "aggregate=y")</f>
        <v>CURRENT REFUNDING WATER UTILITY IMPS. REFUNDING NOTES</v>
      </c>
      <c r="J1192">
        <f>_xll.BDP("166231BR Muni","CPN")</f>
        <v>3</v>
      </c>
      <c r="K1192" t="str">
        <f>_xll.BDP("166231BR Muni","MATURITY")</f>
        <v>6/1/2026</v>
      </c>
      <c r="L1192">
        <v>285000</v>
      </c>
      <c r="M1192">
        <f>_xll.BDP("166231BR Muni","YIELD_ON_ISSUE_DATE")</f>
        <v>2.3000000000000003</v>
      </c>
      <c r="N1192">
        <f>_xll.BDP("166231BR Muni","YTW_SPREAD_TO_MATURITY_AT_ISSU")</f>
        <v>8.0175763423599555</v>
      </c>
      <c r="O1192" t="str">
        <f>_xll.BDP("166231BR Muni","BVAL_MID_YTM")</f>
        <v>#N/A Authorization</v>
      </c>
      <c r="P1192" t="str">
        <f>_xll.BDP("166231BR Muni","MUNI_TAX_PROV")</f>
        <v>FED BQ/ST TAX-EXEMPT</v>
      </c>
      <c r="Q1192" t="str">
        <f>_xll.BDP("166231BR Muni","MUNI_FED_TAX")</f>
        <v>N</v>
      </c>
      <c r="R1192" t="str">
        <f>_xll.BDP("166231BR Muni","MUNI_MSRB_VOLUME")</f>
        <v>#N/A N/A</v>
      </c>
      <c r="S1192" t="str">
        <f>_xll.BDP("166231BR Muni","BB_COMPOSITE")</f>
        <v>#N/A N/A</v>
      </c>
      <c r="T1192">
        <f>_xll.BDP("166231BR Muni","LQA_LIQUIDITY_SCORE")</f>
        <v>61</v>
      </c>
    </row>
    <row r="1193" spans="1:20" x14ac:dyDescent="0.25">
      <c r="A1193" t="str">
        <f>_xll.BDP("170473AA Muni","ID_CUSIP")</f>
        <v>170473AA0</v>
      </c>
      <c r="B1193" t="s">
        <v>370</v>
      </c>
      <c r="C1193" t="str">
        <f>_xll.BDP("170473AA Muni","INSURANCE_STATUS")</f>
        <v>Y</v>
      </c>
      <c r="D1193" t="str">
        <f>_xll.BDP("170473AA Muni","STATE_CODE")</f>
        <v>CA</v>
      </c>
      <c r="E1193" t="str">
        <f>_xll.BDP("170473AA Muni","COUNTY_LOCATION_ISSUER")</f>
        <v>Madera, CA</v>
      </c>
      <c r="F1193">
        <f>_xll.BDP("170473AA Muni","DUR_ADJ_MID")</f>
        <v>4.36297080330095</v>
      </c>
      <c r="G1193">
        <f>_xll.BDP("170473AA Muni","SPREAD_AT_ISSUANCE_TO_WORST")</f>
        <v>146.39556985420944</v>
      </c>
      <c r="H1193" t="str">
        <f>_xll.BDP("170473AA Muni","ISSUE_DT")</f>
        <v>6/29/2017</v>
      </c>
      <c r="I1193" t="str">
        <f>_xll.BDS("170473AA Muni","MUNI_PURPOSE_SCHED", "aggregate=y")</f>
        <v>GREEN PURPOSE WATER UTILITY IMPS.</v>
      </c>
      <c r="J1193">
        <f>_xll.BDP("170473AA Muni","CPN")</f>
        <v>3.63</v>
      </c>
      <c r="K1193" t="str">
        <f>_xll.BDP("170473AA Muni","MATURITY")</f>
        <v>6/1/2027</v>
      </c>
      <c r="L1193">
        <v>10000</v>
      </c>
      <c r="M1193">
        <f>_xll.BDP("170473AA Muni","YIELD_ON_ISSUE_DATE")</f>
        <v>3.63</v>
      </c>
      <c r="N1193">
        <f>_xll.BDP("170473AA Muni","YTW_SPREAD_TO_MATURITY_AT_ISSU")</f>
        <v>146.39556985420944</v>
      </c>
      <c r="O1193" t="str">
        <f>_xll.BDP("170473AA Muni","BVAL_MID_YTM")</f>
        <v>#N/A Authorization</v>
      </c>
      <c r="P1193" t="str">
        <f>_xll.BDP("170473AA Muni","MUNI_TAX_PROV")</f>
        <v>FED TAXABLE/ST TAX-EXEMPT</v>
      </c>
      <c r="Q1193" t="str">
        <f>_xll.BDP("170473AA Muni","MUNI_FED_TAX")</f>
        <v>Y</v>
      </c>
      <c r="R1193" t="str">
        <f>_xll.BDP("170473AA Muni","MUNI_MSRB_VOLUME")</f>
        <v>#N/A N/A</v>
      </c>
      <c r="S1193" t="str">
        <f>_xll.BDP("170473AA Muni","BB_COMPOSITE")</f>
        <v>#N/A N/A</v>
      </c>
      <c r="T1193">
        <f>_xll.BDP("170473AA Muni","LQA_LIQUIDITY_SCORE")</f>
        <v>41</v>
      </c>
    </row>
    <row r="1194" spans="1:20" x14ac:dyDescent="0.25">
      <c r="A1194" t="str">
        <f>_xll.BDP("170473AQ Muni","ID_CUSIP")</f>
        <v>170473AQ5</v>
      </c>
      <c r="B1194" t="s">
        <v>370</v>
      </c>
      <c r="C1194" t="str">
        <f>_xll.BDP("170473AQ Muni","INSURANCE_STATUS")</f>
        <v>Y</v>
      </c>
      <c r="D1194" t="str">
        <f>_xll.BDP("170473AQ Muni","STATE_CODE")</f>
        <v>CA</v>
      </c>
      <c r="E1194" t="str">
        <f>_xll.BDP("170473AQ Muni","COUNTY_LOCATION_ISSUER")</f>
        <v>Madera, CA</v>
      </c>
      <c r="F1194">
        <f>_xll.BDP("170473AQ Muni","DUR_ADJ_MID")</f>
        <v>2.6653677493261538</v>
      </c>
      <c r="G1194">
        <f>_xll.BDP("170473AQ Muni","SPREAD_AT_ISSUANCE_TO_WORST")</f>
        <v>47.037601464325604</v>
      </c>
      <c r="H1194" t="str">
        <f>_xll.BDP("170473AQ Muni","ISSUE_DT")</f>
        <v>6/29/2017</v>
      </c>
      <c r="I1194" t="str">
        <f>_xll.BDS("170473AQ Muni","MUNI_PURPOSE_SCHED", "aggregate=y")</f>
        <v>WATER UTILITY IMPS.</v>
      </c>
      <c r="J1194">
        <f>_xll.BDP("170473AQ Muni","CPN")</f>
        <v>4</v>
      </c>
      <c r="K1194" t="str">
        <f>_xll.BDP("170473AQ Muni","MATURITY")</f>
        <v>6/1/2025</v>
      </c>
      <c r="L1194">
        <v>25000</v>
      </c>
      <c r="M1194">
        <f>_xll.BDP("170473AQ Muni","YIELD_ON_ISSUE_DATE")</f>
        <v>2.09</v>
      </c>
      <c r="N1194">
        <f>_xll.BDP("170473AQ Muni","YTW_SPREAD_TO_MATURITY_AT_ISSU")</f>
        <v>47.037601464325604</v>
      </c>
      <c r="O1194" t="str">
        <f>_xll.BDP("170473AQ Muni","BVAL_MID_YTM")</f>
        <v>#N/A Authorization</v>
      </c>
      <c r="P1194" t="str">
        <f>_xll.BDP("170473AQ Muni","MUNI_TAX_PROV")</f>
        <v>FED &amp; ST TAX-EXEMPT</v>
      </c>
      <c r="Q1194" t="str">
        <f>_xll.BDP("170473AQ Muni","MUNI_FED_TAX")</f>
        <v>N</v>
      </c>
      <c r="R1194" t="str">
        <f>_xll.BDP("170473AQ Muni","MUNI_MSRB_VOLUME")</f>
        <v>#N/A N/A</v>
      </c>
      <c r="S1194" t="str">
        <f>_xll.BDP("170473AQ Muni","BB_COMPOSITE")</f>
        <v>#N/A N/A</v>
      </c>
      <c r="T1194">
        <f>_xll.BDP("170473AQ Muni","LQA_LIQUIDITY_SCORE")</f>
        <v>75</v>
      </c>
    </row>
    <row r="1195" spans="1:20" x14ac:dyDescent="0.25">
      <c r="A1195" t="str">
        <f>_xll.BDP("170473AR Muni","ID_CUSIP")</f>
        <v>170473AR3</v>
      </c>
      <c r="B1195" t="s">
        <v>370</v>
      </c>
      <c r="C1195" t="str">
        <f>_xll.BDP("170473AR Muni","INSURANCE_STATUS")</f>
        <v>Y</v>
      </c>
      <c r="D1195" t="str">
        <f>_xll.BDP("170473AR Muni","STATE_CODE")</f>
        <v>CA</v>
      </c>
      <c r="E1195" t="str">
        <f>_xll.BDP("170473AR Muni","COUNTY_LOCATION_ISSUER")</f>
        <v>Madera, CA</v>
      </c>
      <c r="F1195">
        <f>_xll.BDP("170473AR Muni","DUR_ADJ_MID")</f>
        <v>3.540713728643238</v>
      </c>
      <c r="G1195">
        <f>_xll.BDP("170473AR Muni","SPREAD_AT_ISSUANCE_TO_WORST")</f>
        <v>52.286426326595503</v>
      </c>
      <c r="H1195" t="str">
        <f>_xll.BDP("170473AR Muni","ISSUE_DT")</f>
        <v>6/29/2017</v>
      </c>
      <c r="I1195" t="str">
        <f>_xll.BDS("170473AR Muni","MUNI_PURPOSE_SCHED", "aggregate=y")</f>
        <v>WATER UTILITY IMPS.</v>
      </c>
      <c r="J1195">
        <f>_xll.BDP("170473AR Muni","CPN")</f>
        <v>4</v>
      </c>
      <c r="K1195" t="str">
        <f>_xll.BDP("170473AR Muni","MATURITY")</f>
        <v>6/1/2026</v>
      </c>
      <c r="L1195">
        <v>40000</v>
      </c>
      <c r="M1195">
        <f>_xll.BDP("170473AR Muni","YIELD_ON_ISSUE_DATE")</f>
        <v>2.2800000000000002</v>
      </c>
      <c r="N1195">
        <f>_xll.BDP("170473AR Muni","YTW_SPREAD_TO_MATURITY_AT_ISSU")</f>
        <v>52.286426326595503</v>
      </c>
      <c r="O1195" t="str">
        <f>_xll.BDP("170473AR Muni","BVAL_MID_YTM")</f>
        <v>#N/A Authorization</v>
      </c>
      <c r="P1195" t="str">
        <f>_xll.BDP("170473AR Muni","MUNI_TAX_PROV")</f>
        <v>FED &amp; ST TAX-EXEMPT</v>
      </c>
      <c r="Q1195" t="str">
        <f>_xll.BDP("170473AR Muni","MUNI_FED_TAX")</f>
        <v>N</v>
      </c>
      <c r="R1195" t="str">
        <f>_xll.BDP("170473AR Muni","MUNI_MSRB_VOLUME")</f>
        <v>#N/A N/A</v>
      </c>
      <c r="S1195" t="str">
        <f>_xll.BDP("170473AR Muni","BB_COMPOSITE")</f>
        <v>#N/A N/A</v>
      </c>
      <c r="T1195">
        <f>_xll.BDP("170473AR Muni","LQA_LIQUIDITY_SCORE")</f>
        <v>68</v>
      </c>
    </row>
    <row r="1196" spans="1:20" x14ac:dyDescent="0.25">
      <c r="A1196" t="str">
        <f>_xll.BDP("170473AS Muni","ID_CUSIP")</f>
        <v>170473AS1</v>
      </c>
      <c r="B1196" t="s">
        <v>370</v>
      </c>
      <c r="C1196" t="str">
        <f>_xll.BDP("170473AS Muni","INSURANCE_STATUS")</f>
        <v>Y</v>
      </c>
      <c r="D1196" t="str">
        <f>_xll.BDP("170473AS Muni","STATE_CODE")</f>
        <v>CA</v>
      </c>
      <c r="E1196" t="str">
        <f>_xll.BDP("170473AS Muni","COUNTY_LOCATION_ISSUER")</f>
        <v>Madera, CA</v>
      </c>
      <c r="F1196">
        <f>_xll.BDP("170473AS Muni","DUR_ADJ_MID")</f>
        <v>4.3852748037845251</v>
      </c>
      <c r="G1196">
        <f>_xll.BDP("170473AS Muni","SPREAD_AT_ISSUANCE_TO_WORST")</f>
        <v>55.138152535786908</v>
      </c>
      <c r="H1196" t="str">
        <f>_xll.BDP("170473AS Muni","ISSUE_DT")</f>
        <v>6/29/2017</v>
      </c>
      <c r="I1196" t="str">
        <f>_xll.BDS("170473AS Muni","MUNI_PURPOSE_SCHED", "aggregate=y")</f>
        <v>WATER UTILITY IMPS.</v>
      </c>
      <c r="J1196">
        <f>_xll.BDP("170473AS Muni","CPN")</f>
        <v>4</v>
      </c>
      <c r="K1196" t="str">
        <f>_xll.BDP("170473AS Muni","MATURITY")</f>
        <v>6/1/2027</v>
      </c>
      <c r="L1196">
        <v>55000</v>
      </c>
      <c r="M1196">
        <f>_xll.BDP("170473AS Muni","YIELD_ON_ISSUE_DATE")</f>
        <v>2.42</v>
      </c>
      <c r="N1196">
        <f>_xll.BDP("170473AS Muni","YTW_SPREAD_TO_MATURITY_AT_ISSU")</f>
        <v>55.138152535786908</v>
      </c>
      <c r="O1196" t="str">
        <f>_xll.BDP("170473AS Muni","BVAL_MID_YTM")</f>
        <v>#N/A Authorization</v>
      </c>
      <c r="P1196" t="str">
        <f>_xll.BDP("170473AS Muni","MUNI_TAX_PROV")</f>
        <v>FED &amp; ST TAX-EXEMPT</v>
      </c>
      <c r="Q1196" t="str">
        <f>_xll.BDP("170473AS Muni","MUNI_FED_TAX")</f>
        <v>N</v>
      </c>
      <c r="R1196" t="str">
        <f>_xll.BDP("170473AS Muni","MUNI_MSRB_VOLUME")</f>
        <v>#N/A N/A</v>
      </c>
      <c r="S1196" t="str">
        <f>_xll.BDP("170473AS Muni","BB_COMPOSITE")</f>
        <v>#N/A N/A</v>
      </c>
      <c r="T1196">
        <f>_xll.BDP("170473AS Muni","LQA_LIQUIDITY_SCORE")</f>
        <v>60</v>
      </c>
    </row>
    <row r="1197" spans="1:20" x14ac:dyDescent="0.25">
      <c r="A1197" t="str">
        <f>_xll.BDP("171840NF Muni","ID_CUSIP")</f>
        <v>171840NF4</v>
      </c>
      <c r="B1197" t="s">
        <v>371</v>
      </c>
      <c r="C1197" t="str">
        <f>_xll.BDP("171840NF Muni","INSURANCE_STATUS")</f>
        <v>Y</v>
      </c>
      <c r="D1197" t="str">
        <f>_xll.BDP("171840NF Muni","STATE_CODE")</f>
        <v>TX</v>
      </c>
      <c r="E1197" t="str">
        <f>_xll.BDP("171840NF Muni","COUNTY_LOCATION_ISSUER")</f>
        <v>Harris, TX</v>
      </c>
      <c r="F1197">
        <f>_xll.BDP("171840NF Muni","DUR_ADJ_MID")</f>
        <v>0.57192784675617991</v>
      </c>
      <c r="G1197">
        <f>_xll.BDP("171840NF Muni","SPREAD_AT_ISSUANCE_TO_WORST")</f>
        <v>59.059210958904096</v>
      </c>
      <c r="H1197" t="str">
        <f>_xll.BDP("171840NF Muni","ISSUE_DT")</f>
        <v>12/1/2017</v>
      </c>
      <c r="I1197" t="str">
        <f>_xll.BDS("171840NF Muni","MUNI_PURPOSE_SCHED", "aggregate=y")</f>
        <v>SEWER IMPS. WATER UTILITY IMPS. PUBLIC IMPS.</v>
      </c>
      <c r="J1197">
        <f>_xll.BDP("171840NF Muni","CPN")</f>
        <v>2</v>
      </c>
      <c r="K1197" t="str">
        <f>_xll.BDP("171840NF Muni","MATURITY")</f>
        <v>3/1/2023</v>
      </c>
      <c r="L1197">
        <v>55000</v>
      </c>
      <c r="M1197">
        <f>_xll.BDP("171840NF Muni","YIELD_ON_ISSUE_DATE")</f>
        <v>2.15</v>
      </c>
      <c r="N1197">
        <f>_xll.BDP("171840NF Muni","YTW_SPREAD_TO_MATURITY_AT_ISSU")</f>
        <v>59.059210958904096</v>
      </c>
      <c r="O1197" t="str">
        <f>_xll.BDP("171840NF Muni","BVAL_MID_YTM")</f>
        <v>#N/A Authorization</v>
      </c>
      <c r="P1197" t="str">
        <f>_xll.BDP("171840NF Muni","MUNI_TAX_PROV")</f>
        <v>FED BQ</v>
      </c>
      <c r="Q1197" t="str">
        <f>_xll.BDP("171840NF Muni","MUNI_FED_TAX")</f>
        <v>N</v>
      </c>
      <c r="R1197" t="str">
        <f>_xll.BDP("171840NF Muni","MUNI_MSRB_VOLUME")</f>
        <v>#N/A N/A</v>
      </c>
      <c r="S1197" t="str">
        <f>_xll.BDP("171840NF Muni","BB_COMPOSITE")</f>
        <v>AA-</v>
      </c>
      <c r="T1197">
        <f>_xll.BDP("171840NF Muni","LQA_LIQUIDITY_SCORE")</f>
        <v>88</v>
      </c>
    </row>
    <row r="1198" spans="1:20" x14ac:dyDescent="0.25">
      <c r="A1198" t="str">
        <f>_xll.BDP("171840NG Muni","ID_CUSIP")</f>
        <v>171840NG2</v>
      </c>
      <c r="B1198" t="s">
        <v>371</v>
      </c>
      <c r="C1198" t="str">
        <f>_xll.BDP("171840NG Muni","INSURANCE_STATUS")</f>
        <v>Y</v>
      </c>
      <c r="D1198" t="str">
        <f>_xll.BDP("171840NG Muni","STATE_CODE")</f>
        <v>TX</v>
      </c>
      <c r="E1198" t="str">
        <f>_xll.BDP("171840NG Muni","COUNTY_LOCATION_ISSUER")</f>
        <v>Harris, TX</v>
      </c>
      <c r="F1198">
        <f>_xll.BDP("171840NG Muni","DUR_ADJ_MID")</f>
        <v>1.5371671418141188</v>
      </c>
      <c r="G1198">
        <f>_xll.BDP("171840NG Muni","SPREAD_AT_ISSUANCE_TO_WORST")</f>
        <v>58.381597260273985</v>
      </c>
      <c r="H1198" t="str">
        <f>_xll.BDP("171840NG Muni","ISSUE_DT")</f>
        <v>12/1/2017</v>
      </c>
      <c r="I1198" t="str">
        <f>_xll.BDS("171840NG Muni","MUNI_PURPOSE_SCHED", "aggregate=y")</f>
        <v>SEWER IMPS. WATER UTILITY IMPS. PUBLIC IMPS.</v>
      </c>
      <c r="J1198">
        <f>_xll.BDP("171840NG Muni","CPN")</f>
        <v>2</v>
      </c>
      <c r="K1198" t="str">
        <f>_xll.BDP("171840NG Muni","MATURITY")</f>
        <v>3/1/2024</v>
      </c>
      <c r="L1198">
        <v>55000</v>
      </c>
      <c r="M1198">
        <f>_xll.BDP("171840NG Muni","YIELD_ON_ISSUE_DATE")</f>
        <v>2.25</v>
      </c>
      <c r="N1198">
        <f>_xll.BDP("171840NG Muni","YTW_SPREAD_TO_MATURITY_AT_ISSU")</f>
        <v>58.381597260273985</v>
      </c>
      <c r="O1198" t="str">
        <f>_xll.BDP("171840NG Muni","BVAL_MID_YTM")</f>
        <v>#N/A Authorization</v>
      </c>
      <c r="P1198" t="str">
        <f>_xll.BDP("171840NG Muni","MUNI_TAX_PROV")</f>
        <v>FED BQ</v>
      </c>
      <c r="Q1198" t="str">
        <f>_xll.BDP("171840NG Muni","MUNI_FED_TAX")</f>
        <v>N</v>
      </c>
      <c r="R1198">
        <f>_xll.BDP("171840NG Muni","MUNI_MSRB_VOLUME")</f>
        <v>75000</v>
      </c>
      <c r="S1198" t="str">
        <f>_xll.BDP("171840NG Muni","BB_COMPOSITE")</f>
        <v>AA-</v>
      </c>
      <c r="T1198">
        <f>_xll.BDP("171840NG Muni","LQA_LIQUIDITY_SCORE")</f>
        <v>75</v>
      </c>
    </row>
    <row r="1199" spans="1:20" x14ac:dyDescent="0.25">
      <c r="A1199" t="str">
        <f>_xll.BDP("171840NH Muni","ID_CUSIP")</f>
        <v>171840NH0</v>
      </c>
      <c r="B1199" t="s">
        <v>371</v>
      </c>
      <c r="C1199" t="str">
        <f>_xll.BDP("171840NH Muni","INSURANCE_STATUS")</f>
        <v>Y</v>
      </c>
      <c r="D1199" t="str">
        <f>_xll.BDP("171840NH Muni","STATE_CODE")</f>
        <v>TX</v>
      </c>
      <c r="E1199" t="str">
        <f>_xll.BDP("171840NH Muni","COUNTY_LOCATION_ISSUER")</f>
        <v>Harris, TX</v>
      </c>
      <c r="F1199">
        <f>_xll.BDP("171840NH Muni","DUR_ADJ_MID")</f>
        <v>2.4785068893047604</v>
      </c>
      <c r="G1199">
        <f>_xll.BDP("171840NH Muni","SPREAD_AT_ISSUANCE_TO_WORST")</f>
        <v>67.844361643835654</v>
      </c>
      <c r="H1199" t="str">
        <f>_xll.BDP("171840NH Muni","ISSUE_DT")</f>
        <v>12/1/2017</v>
      </c>
      <c r="I1199" t="str">
        <f>_xll.BDS("171840NH Muni","MUNI_PURPOSE_SCHED", "aggregate=y")</f>
        <v>SEWER IMPS. WATER UTILITY IMPS. PUBLIC IMPS.</v>
      </c>
      <c r="J1199">
        <f>_xll.BDP("171840NH Muni","CPN")</f>
        <v>2.125</v>
      </c>
      <c r="K1199" t="str">
        <f>_xll.BDP("171840NH Muni","MATURITY")</f>
        <v>3/1/2025</v>
      </c>
      <c r="L1199">
        <v>60000</v>
      </c>
      <c r="M1199">
        <f>_xll.BDP("171840NH Muni","YIELD_ON_ISSUE_DATE")</f>
        <v>2.4500000000000002</v>
      </c>
      <c r="N1199">
        <f>_xll.BDP("171840NH Muni","YTW_SPREAD_TO_MATURITY_AT_ISSU")</f>
        <v>67.844361643835654</v>
      </c>
      <c r="O1199" t="str">
        <f>_xll.BDP("171840NH Muni","BVAL_MID_YTM")</f>
        <v>#N/A Authorization</v>
      </c>
      <c r="P1199" t="str">
        <f>_xll.BDP("171840NH Muni","MUNI_TAX_PROV")</f>
        <v>FED BQ</v>
      </c>
      <c r="Q1199" t="str">
        <f>_xll.BDP("171840NH Muni","MUNI_FED_TAX")</f>
        <v>N</v>
      </c>
      <c r="R1199" t="str">
        <f>_xll.BDP("171840NH Muni","MUNI_MSRB_VOLUME")</f>
        <v>#N/A N/A</v>
      </c>
      <c r="S1199" t="str">
        <f>_xll.BDP("171840NH Muni","BB_COMPOSITE")</f>
        <v>AA-</v>
      </c>
      <c r="T1199">
        <f>_xll.BDP("171840NH Muni","LQA_LIQUIDITY_SCORE")</f>
        <v>64</v>
      </c>
    </row>
    <row r="1200" spans="1:20" x14ac:dyDescent="0.25">
      <c r="A1200" t="str">
        <f>_xll.BDP("413772BS Muni","ID_CUSIP")</f>
        <v>413772BS2</v>
      </c>
      <c r="B1200" t="s">
        <v>372</v>
      </c>
      <c r="C1200" t="str">
        <f>_xll.BDP("413772BS Muni","INSURANCE_STATUS")</f>
        <v>N</v>
      </c>
      <c r="D1200" t="str">
        <f>_xll.BDP("413772BS Muni","STATE_CODE")</f>
        <v>NY</v>
      </c>
      <c r="E1200" t="str">
        <f>_xll.BDP("413772BS Muni","COUNTY_LOCATION_ISSUER")</f>
        <v>Orange, NY</v>
      </c>
      <c r="F1200">
        <f>_xll.BDP("413772BS Muni","DUR_ADJ_MID")</f>
        <v>3.6099443150494473E-2</v>
      </c>
      <c r="G1200">
        <f>_xll.BDP("413772BS Muni","SPREAD_AT_ISSUANCE_TO_WORST")</f>
        <v>65.541688081937963</v>
      </c>
      <c r="H1200" t="str">
        <f>_xll.BDP("413772BS Muni","ISSUE_DT")</f>
        <v>9/19/2017</v>
      </c>
      <c r="I1200" t="str">
        <f>_xll.BDS("413772BS Muni","MUNI_PURPOSE_SCHED", "aggregate=y")</f>
        <v>WATER UTILITY IMPS. REFUNDING NOTES</v>
      </c>
      <c r="J1200">
        <f>_xll.BDP("413772BS Muni","CPN")</f>
        <v>2.75</v>
      </c>
      <c r="K1200" t="str">
        <f>_xll.BDP("413772BS Muni","MATURITY")</f>
        <v>8/15/2022</v>
      </c>
      <c r="L1200">
        <v>45000</v>
      </c>
      <c r="M1200">
        <f>_xll.BDP("413772BS Muni","YIELD_ON_ISSUE_DATE")</f>
        <v>1.75</v>
      </c>
      <c r="N1200">
        <f>_xll.BDP("413772BS Muni","YTW_SPREAD_TO_MATURITY_AT_ISSU")</f>
        <v>65.541688081937963</v>
      </c>
      <c r="O1200" t="str">
        <f>_xll.BDP("413772BS Muni","BVAL_MID_YTM")</f>
        <v>#N/A Authorization</v>
      </c>
      <c r="P1200" t="str">
        <f>_xll.BDP("413772BS Muni","MUNI_TAX_PROV")</f>
        <v>FED BQ/ST TAX-EXEMPT</v>
      </c>
      <c r="Q1200" t="str">
        <f>_xll.BDP("413772BS Muni","MUNI_FED_TAX")</f>
        <v>N</v>
      </c>
      <c r="R1200" t="str">
        <f>_xll.BDP("413772BS Muni","MUNI_MSRB_VOLUME")</f>
        <v>#N/A N/A</v>
      </c>
      <c r="S1200" t="str">
        <f>_xll.BDP("413772BS Muni","BB_COMPOSITE")</f>
        <v>#N/A N/A</v>
      </c>
      <c r="T1200">
        <f>_xll.BDP("413772BS Muni","LQA_LIQUIDITY_SCORE")</f>
        <v>95</v>
      </c>
    </row>
    <row r="1201" spans="1:20" x14ac:dyDescent="0.25">
      <c r="A1201" t="str">
        <f>_xll.BDP("413772BT Muni","ID_CUSIP")</f>
        <v>413772BT0</v>
      </c>
      <c r="B1201" t="s">
        <v>372</v>
      </c>
      <c r="C1201" t="str">
        <f>_xll.BDP("413772BT Muni","INSURANCE_STATUS")</f>
        <v>N</v>
      </c>
      <c r="D1201" t="str">
        <f>_xll.BDP("413772BT Muni","STATE_CODE")</f>
        <v>NY</v>
      </c>
      <c r="E1201" t="str">
        <f>_xll.BDP("413772BT Muni","COUNTY_LOCATION_ISSUER")</f>
        <v>Orange, NY</v>
      </c>
      <c r="F1201">
        <f>_xll.BDP("413772BT Muni","DUR_ADJ_MID")</f>
        <v>1.008565650028308</v>
      </c>
      <c r="G1201">
        <f>_xll.BDP("413772BT Muni","SPREAD_AT_ISSUANCE_TO_WORST")</f>
        <v>65.954615825355489</v>
      </c>
      <c r="H1201" t="str">
        <f>_xll.BDP("413772BT Muni","ISSUE_DT")</f>
        <v>9/19/2017</v>
      </c>
      <c r="I1201" t="str">
        <f>_xll.BDS("413772BT Muni","MUNI_PURPOSE_SCHED", "aggregate=y")</f>
        <v>WATER UTILITY IMPS. REFUNDING NOTES</v>
      </c>
      <c r="J1201">
        <f>_xll.BDP("413772BT Muni","CPN")</f>
        <v>2.75</v>
      </c>
      <c r="K1201" t="str">
        <f>_xll.BDP("413772BT Muni","MATURITY")</f>
        <v>8/15/2023</v>
      </c>
      <c r="L1201">
        <v>45000</v>
      </c>
      <c r="M1201">
        <f>_xll.BDP("413772BT Muni","YIELD_ON_ISSUE_DATE")</f>
        <v>1.9000000000000001</v>
      </c>
      <c r="N1201">
        <f>_xll.BDP("413772BT Muni","YTW_SPREAD_TO_MATURITY_AT_ISSU")</f>
        <v>65.954615825355489</v>
      </c>
      <c r="O1201" t="str">
        <f>_xll.BDP("413772BT Muni","BVAL_MID_YTM")</f>
        <v>#N/A Authorization</v>
      </c>
      <c r="P1201" t="str">
        <f>_xll.BDP("413772BT Muni","MUNI_TAX_PROV")</f>
        <v>FED BQ/ST TAX-EXEMPT</v>
      </c>
      <c r="Q1201" t="str">
        <f>_xll.BDP("413772BT Muni","MUNI_FED_TAX")</f>
        <v>N</v>
      </c>
      <c r="R1201" t="str">
        <f>_xll.BDP("413772BT Muni","MUNI_MSRB_VOLUME")</f>
        <v>#N/A N/A</v>
      </c>
      <c r="S1201" t="str">
        <f>_xll.BDP("413772BT Muni","BB_COMPOSITE")</f>
        <v>#N/A N/A</v>
      </c>
      <c r="T1201">
        <f>_xll.BDP("413772BT Muni","LQA_LIQUIDITY_SCORE")</f>
        <v>61</v>
      </c>
    </row>
    <row r="1202" spans="1:20" x14ac:dyDescent="0.25">
      <c r="A1202" t="str">
        <f>_xll.BDP("413772BU Muni","ID_CUSIP")</f>
        <v>413772BU7</v>
      </c>
      <c r="B1202" t="s">
        <v>372</v>
      </c>
      <c r="C1202" t="str">
        <f>_xll.BDP("413772BU Muni","INSURANCE_STATUS")</f>
        <v>N</v>
      </c>
      <c r="D1202" t="str">
        <f>_xll.BDP("413772BU Muni","STATE_CODE")</f>
        <v>NY</v>
      </c>
      <c r="E1202" t="str">
        <f>_xll.BDP("413772BU Muni","COUNTY_LOCATION_ISSUER")</f>
        <v>Orange, NY</v>
      </c>
      <c r="F1202">
        <f>_xll.BDP("413772BU Muni","DUR_ADJ_MID")</f>
        <v>1.953283442435285</v>
      </c>
      <c r="G1202">
        <f>_xll.BDP("413772BU Muni","SPREAD_AT_ISSUANCE_TO_WORST")</f>
        <v>70.828132613271194</v>
      </c>
      <c r="H1202" t="str">
        <f>_xll.BDP("413772BU Muni","ISSUE_DT")</f>
        <v>9/19/2017</v>
      </c>
      <c r="I1202" t="str">
        <f>_xll.BDS("413772BU Muni","MUNI_PURPOSE_SCHED", "aggregate=y")</f>
        <v>WATER UTILITY IMPS. REFUNDING NOTES</v>
      </c>
      <c r="J1202">
        <f>_xll.BDP("413772BU Muni","CPN")</f>
        <v>2.75</v>
      </c>
      <c r="K1202" t="str">
        <f>_xll.BDP("413772BU Muni","MATURITY")</f>
        <v>8/15/2024</v>
      </c>
      <c r="L1202">
        <v>45000</v>
      </c>
      <c r="M1202">
        <f>_xll.BDP("413772BU Muni","YIELD_ON_ISSUE_DATE")</f>
        <v>2.1</v>
      </c>
      <c r="N1202">
        <f>_xll.BDP("413772BU Muni","YTW_SPREAD_TO_MATURITY_AT_ISSU")</f>
        <v>70.828132613271194</v>
      </c>
      <c r="O1202" t="str">
        <f>_xll.BDP("413772BU Muni","BVAL_MID_YTM")</f>
        <v>#N/A Authorization</v>
      </c>
      <c r="P1202" t="str">
        <f>_xll.BDP("413772BU Muni","MUNI_TAX_PROV")</f>
        <v>FED BQ/ST TAX-EXEMPT</v>
      </c>
      <c r="Q1202" t="str">
        <f>_xll.BDP("413772BU Muni","MUNI_FED_TAX")</f>
        <v>N</v>
      </c>
      <c r="R1202" t="str">
        <f>_xll.BDP("413772BU Muni","MUNI_MSRB_VOLUME")</f>
        <v>#N/A N/A</v>
      </c>
      <c r="S1202" t="str">
        <f>_xll.BDP("413772BU Muni","BB_COMPOSITE")</f>
        <v>#N/A N/A</v>
      </c>
      <c r="T1202">
        <f>_xll.BDP("413772BU Muni","LQA_LIQUIDITY_SCORE")</f>
        <v>53</v>
      </c>
    </row>
    <row r="1203" spans="1:20" x14ac:dyDescent="0.25">
      <c r="A1203" t="str">
        <f>_xll.BDP("413772BV Muni","ID_CUSIP")</f>
        <v>413772BV5</v>
      </c>
      <c r="B1203" t="s">
        <v>372</v>
      </c>
      <c r="C1203" t="str">
        <f>_xll.BDP("413772BV Muni","INSURANCE_STATUS")</f>
        <v>N</v>
      </c>
      <c r="D1203" t="str">
        <f>_xll.BDP("413772BV Muni","STATE_CODE")</f>
        <v>NY</v>
      </c>
      <c r="E1203" t="str">
        <f>_xll.BDP("413772BV Muni","COUNTY_LOCATION_ISSUER")</f>
        <v>Orange, NY</v>
      </c>
      <c r="F1203">
        <f>_xll.BDP("413772BV Muni","DUR_ADJ_MID")</f>
        <v>2.8733017918061687</v>
      </c>
      <c r="G1203">
        <f>_xll.BDP("413772BV Muni","SPREAD_AT_ISSUANCE_TO_WORST")</f>
        <v>75.61056941356847</v>
      </c>
      <c r="H1203" t="str">
        <f>_xll.BDP("413772BV Muni","ISSUE_DT")</f>
        <v>9/19/2017</v>
      </c>
      <c r="I1203" t="str">
        <f>_xll.BDS("413772BV Muni","MUNI_PURPOSE_SCHED", "aggregate=y")</f>
        <v>WATER UTILITY IMPS. REFUNDING NOTES</v>
      </c>
      <c r="J1203">
        <f>_xll.BDP("413772BV Muni","CPN")</f>
        <v>2.75</v>
      </c>
      <c r="K1203" t="str">
        <f>_xll.BDP("413772BV Muni","MATURITY")</f>
        <v>8/15/2025</v>
      </c>
      <c r="L1203">
        <v>45000</v>
      </c>
      <c r="M1203">
        <f>_xll.BDP("413772BV Muni","YIELD_ON_ISSUE_DATE")</f>
        <v>2.3000000000000003</v>
      </c>
      <c r="N1203">
        <f>_xll.BDP("413772BV Muni","YTW_SPREAD_TO_MATURITY_AT_ISSU")</f>
        <v>75.61056941356847</v>
      </c>
      <c r="O1203" t="str">
        <f>_xll.BDP("413772BV Muni","BVAL_MID_YTM")</f>
        <v>#N/A Authorization</v>
      </c>
      <c r="P1203" t="str">
        <f>_xll.BDP("413772BV Muni","MUNI_TAX_PROV")</f>
        <v>FED BQ/ST TAX-EXEMPT</v>
      </c>
      <c r="Q1203" t="str">
        <f>_xll.BDP("413772BV Muni","MUNI_FED_TAX")</f>
        <v>N</v>
      </c>
      <c r="R1203" t="str">
        <f>_xll.BDP("413772BV Muni","MUNI_MSRB_VOLUME")</f>
        <v>#N/A N/A</v>
      </c>
      <c r="S1203" t="str">
        <f>_xll.BDP("413772BV Muni","BB_COMPOSITE")</f>
        <v>#N/A N/A</v>
      </c>
      <c r="T1203">
        <f>_xll.BDP("413772BV Muni","LQA_LIQUIDITY_SCORE")</f>
        <v>38</v>
      </c>
    </row>
    <row r="1204" spans="1:20" x14ac:dyDescent="0.25">
      <c r="A1204" t="str">
        <f>_xll.BDP("413905DB Muni","ID_CUSIP")</f>
        <v>413905DB3</v>
      </c>
      <c r="B1204" t="s">
        <v>373</v>
      </c>
      <c r="C1204" t="str">
        <f>_xll.BDP("413905DB Muni","INSURANCE_STATUS")</f>
        <v>Y</v>
      </c>
      <c r="D1204" t="str">
        <f>_xll.BDP("413905DB Muni","STATE_CODE")</f>
        <v>TX</v>
      </c>
      <c r="E1204" t="str">
        <f>_xll.BDP("413905DB Muni","COUNTY_LOCATION_ISSUER")</f>
        <v>Harris, TX</v>
      </c>
      <c r="F1204">
        <f>_xll.BDP("413905DB Muni","DUR_ADJ_MID")</f>
        <v>0.52494386866876752</v>
      </c>
      <c r="G1204">
        <f>_xll.BDP("413905DB Muni","SPREAD_AT_ISSUANCE_TO_WORST")</f>
        <v>46.620215847434096</v>
      </c>
      <c r="H1204" t="str">
        <f>_xll.BDP("413905DB Muni","ISSUE_DT")</f>
        <v>1/15/2017</v>
      </c>
      <c r="I1204" t="str">
        <f>_xll.BDS("413905DB Muni","MUNI_PURPOSE_SCHED", "aggregate=y")</f>
        <v>WATER UTILITY IMPS. SEWER IMPS.</v>
      </c>
      <c r="J1204">
        <f>_xll.BDP("413905DB Muni","CPN")</f>
        <v>3</v>
      </c>
      <c r="K1204" t="str">
        <f>_xll.BDP("413905DB Muni","MATURITY")</f>
        <v>2/15/2023</v>
      </c>
      <c r="L1204">
        <v>340000</v>
      </c>
      <c r="M1204">
        <f>_xll.BDP("413905DB Muni","YIELD_ON_ISSUE_DATE")</f>
        <v>2.3000000000000003</v>
      </c>
      <c r="N1204">
        <f>_xll.BDP("413905DB Muni","YTW_SPREAD_TO_MATURITY_AT_ISSU")</f>
        <v>46.620215847434096</v>
      </c>
      <c r="O1204" t="str">
        <f>_xll.BDP("413905DB Muni","BVAL_MID_YTM")</f>
        <v>#N/A Authorization</v>
      </c>
      <c r="P1204" t="str">
        <f>_xll.BDP("413905DB Muni","MUNI_TAX_PROV")</f>
        <v>FED BQ</v>
      </c>
      <c r="Q1204" t="str">
        <f>_xll.BDP("413905DB Muni","MUNI_FED_TAX")</f>
        <v>N</v>
      </c>
      <c r="R1204" t="str">
        <f>_xll.BDP("413905DB Muni","MUNI_MSRB_VOLUME")</f>
        <v>#N/A N/A</v>
      </c>
      <c r="S1204" t="str">
        <f>_xll.BDP("413905DB Muni","BB_COMPOSITE")</f>
        <v>#N/A N/A</v>
      </c>
      <c r="T1204">
        <f>_xll.BDP("413905DB Muni","LQA_LIQUIDITY_SCORE")</f>
        <v>93</v>
      </c>
    </row>
    <row r="1205" spans="1:20" x14ac:dyDescent="0.25">
      <c r="A1205" t="str">
        <f>_xll.BDP("413905DC Muni","ID_CUSIP")</f>
        <v>413905DC1</v>
      </c>
      <c r="B1205" t="s">
        <v>373</v>
      </c>
      <c r="C1205" t="str">
        <f>_xll.BDP("413905DC Muni","INSURANCE_STATUS")</f>
        <v>Y</v>
      </c>
      <c r="D1205" t="str">
        <f>_xll.BDP("413905DC Muni","STATE_CODE")</f>
        <v>TX</v>
      </c>
      <c r="E1205" t="str">
        <f>_xll.BDP("413905DC Muni","COUNTY_LOCATION_ISSUER")</f>
        <v>Harris, TX</v>
      </c>
      <c r="F1205">
        <f>_xll.BDP("413905DC Muni","DUR_ADJ_MID")</f>
        <v>1.4778775875972221</v>
      </c>
      <c r="G1205">
        <f>_xll.BDP("413905DC Muni","SPREAD_AT_ISSUANCE_TO_WORST")</f>
        <v>44.06504431039091</v>
      </c>
      <c r="H1205" t="str">
        <f>_xll.BDP("413905DC Muni","ISSUE_DT")</f>
        <v>1/15/2017</v>
      </c>
      <c r="I1205" t="str">
        <f>_xll.BDS("413905DC Muni","MUNI_PURPOSE_SCHED", "aggregate=y")</f>
        <v>WATER UTILITY IMPS. SEWER IMPS.</v>
      </c>
      <c r="J1205">
        <f>_xll.BDP("413905DC Muni","CPN")</f>
        <v>3</v>
      </c>
      <c r="K1205" t="str">
        <f>_xll.BDP("413905DC Muni","MATURITY")</f>
        <v>2/15/2024</v>
      </c>
      <c r="L1205">
        <v>350000</v>
      </c>
      <c r="M1205">
        <f>_xll.BDP("413905DC Muni","YIELD_ON_ISSUE_DATE")</f>
        <v>2.4000000000000004</v>
      </c>
      <c r="N1205">
        <f>_xll.BDP("413905DC Muni","YTW_SPREAD_TO_MATURITY_AT_ISSU")</f>
        <v>44.06504431039091</v>
      </c>
      <c r="O1205" t="str">
        <f>_xll.BDP("413905DC Muni","BVAL_MID_YTM")</f>
        <v>#N/A Authorization</v>
      </c>
      <c r="P1205" t="str">
        <f>_xll.BDP("413905DC Muni","MUNI_TAX_PROV")</f>
        <v>FED BQ</v>
      </c>
      <c r="Q1205" t="str">
        <f>_xll.BDP("413905DC Muni","MUNI_FED_TAX")</f>
        <v>N</v>
      </c>
      <c r="R1205" t="str">
        <f>_xll.BDP("413905DC Muni","MUNI_MSRB_VOLUME")</f>
        <v>#N/A N/A</v>
      </c>
      <c r="S1205" t="str">
        <f>_xll.BDP("413905DC Muni","BB_COMPOSITE")</f>
        <v>#N/A N/A</v>
      </c>
      <c r="T1205">
        <f>_xll.BDP("413905DC Muni","LQA_LIQUIDITY_SCORE")</f>
        <v>81</v>
      </c>
    </row>
    <row r="1206" spans="1:20" x14ac:dyDescent="0.25">
      <c r="A1206" t="str">
        <f>_xll.BDP("413905DD Muni","ID_CUSIP")</f>
        <v>413905DD9</v>
      </c>
      <c r="B1206" t="s">
        <v>373</v>
      </c>
      <c r="C1206" t="str">
        <f>_xll.BDP("413905DD Muni","INSURANCE_STATUS")</f>
        <v>Y</v>
      </c>
      <c r="D1206" t="str">
        <f>_xll.BDP("413905DD Muni","STATE_CODE")</f>
        <v>TX</v>
      </c>
      <c r="E1206" t="str">
        <f>_xll.BDP("413905DD Muni","COUNTY_LOCATION_ISSUER")</f>
        <v>Harris, TX</v>
      </c>
      <c r="F1206">
        <f>_xll.BDP("413905DD Muni","DUR_ADJ_MID")</f>
        <v>2.4028024918994775</v>
      </c>
      <c r="G1206">
        <f>_xll.BDP("413905DD Muni","SPREAD_AT_ISSUANCE_TO_WORST")</f>
        <v>41.568420941614505</v>
      </c>
      <c r="H1206" t="str">
        <f>_xll.BDP("413905DD Muni","ISSUE_DT")</f>
        <v>1/15/2017</v>
      </c>
      <c r="I1206" t="str">
        <f>_xll.BDS("413905DD Muni","MUNI_PURPOSE_SCHED", "aggregate=y")</f>
        <v>WATER UTILITY IMPS. SEWER IMPS.</v>
      </c>
      <c r="J1206">
        <f>_xll.BDP("413905DD Muni","CPN")</f>
        <v>3</v>
      </c>
      <c r="K1206" t="str">
        <f>_xll.BDP("413905DD Muni","MATURITY")</f>
        <v>2/15/2025</v>
      </c>
      <c r="L1206">
        <v>365000</v>
      </c>
      <c r="M1206">
        <f>_xll.BDP("413905DD Muni","YIELD_ON_ISSUE_DATE")</f>
        <v>2.5</v>
      </c>
      <c r="N1206">
        <f>_xll.BDP("413905DD Muni","YTW_SPREAD_TO_MATURITY_AT_ISSU")</f>
        <v>41.568420941614505</v>
      </c>
      <c r="O1206" t="str">
        <f>_xll.BDP("413905DD Muni","BVAL_MID_YTM")</f>
        <v>#N/A Authorization</v>
      </c>
      <c r="P1206" t="str">
        <f>_xll.BDP("413905DD Muni","MUNI_TAX_PROV")</f>
        <v>FED BQ</v>
      </c>
      <c r="Q1206" t="str">
        <f>_xll.BDP("413905DD Muni","MUNI_FED_TAX")</f>
        <v>N</v>
      </c>
      <c r="R1206" t="str">
        <f>_xll.BDP("413905DD Muni","MUNI_MSRB_VOLUME")</f>
        <v>#N/A N/A</v>
      </c>
      <c r="S1206" t="str">
        <f>_xll.BDP("413905DD Muni","BB_COMPOSITE")</f>
        <v>#N/A N/A</v>
      </c>
      <c r="T1206">
        <f>_xll.BDP("413905DD Muni","LQA_LIQUIDITY_SCORE")</f>
        <v>71</v>
      </c>
    </row>
    <row r="1207" spans="1:20" x14ac:dyDescent="0.25">
      <c r="A1207" t="str">
        <f>_xll.BDP("413905DE Muni","ID_CUSIP")</f>
        <v>413905DE7</v>
      </c>
      <c r="B1207" t="s">
        <v>373</v>
      </c>
      <c r="C1207" t="str">
        <f>_xll.BDP("413905DE Muni","INSURANCE_STATUS")</f>
        <v>Y</v>
      </c>
      <c r="D1207" t="str">
        <f>_xll.BDP("413905DE Muni","STATE_CODE")</f>
        <v>TX</v>
      </c>
      <c r="E1207" t="str">
        <f>_xll.BDP("413905DE Muni","COUNTY_LOCATION_ISSUER")</f>
        <v>Harris, TX</v>
      </c>
      <c r="F1207">
        <f>_xll.BDP("413905DE Muni","DUR_ADJ_MID")</f>
        <v>3.3009213751113351</v>
      </c>
      <c r="G1207">
        <f>_xll.BDP("413905DE Muni","SPREAD_AT_ISSUANCE_TO_WORST")</f>
        <v>40.454520950610508</v>
      </c>
      <c r="H1207" t="str">
        <f>_xll.BDP("413905DE Muni","ISSUE_DT")</f>
        <v>1/15/2017</v>
      </c>
      <c r="I1207" t="str">
        <f>_xll.BDS("413905DE Muni","MUNI_PURPOSE_SCHED", "aggregate=y")</f>
        <v>WATER UTILITY IMPS. SEWER IMPS.</v>
      </c>
      <c r="J1207">
        <f>_xll.BDP("413905DE Muni","CPN")</f>
        <v>3</v>
      </c>
      <c r="K1207" t="str">
        <f>_xll.BDP("413905DE Muni","MATURITY")</f>
        <v>2/15/2026</v>
      </c>
      <c r="L1207">
        <v>375000</v>
      </c>
      <c r="M1207">
        <f>_xll.BDP("413905DE Muni","YIELD_ON_ISSUE_DATE")</f>
        <v>2.6</v>
      </c>
      <c r="N1207">
        <f>_xll.BDP("413905DE Muni","YTW_SPREAD_TO_MATURITY_AT_ISSU")</f>
        <v>40.454520950610508</v>
      </c>
      <c r="O1207" t="str">
        <f>_xll.BDP("413905DE Muni","BVAL_MID_YTM")</f>
        <v>#N/A Authorization</v>
      </c>
      <c r="P1207" t="str">
        <f>_xll.BDP("413905DE Muni","MUNI_TAX_PROV")</f>
        <v>FED BQ</v>
      </c>
      <c r="Q1207" t="str">
        <f>_xll.BDP("413905DE Muni","MUNI_FED_TAX")</f>
        <v>N</v>
      </c>
      <c r="R1207" t="str">
        <f>_xll.BDP("413905DE Muni","MUNI_MSRB_VOLUME")</f>
        <v>#N/A N/A</v>
      </c>
      <c r="S1207" t="str">
        <f>_xll.BDP("413905DE Muni","BB_COMPOSITE")</f>
        <v>#N/A N/A</v>
      </c>
      <c r="T1207">
        <f>_xll.BDP("413905DE Muni","LQA_LIQUIDITY_SCORE")</f>
        <v>62</v>
      </c>
    </row>
    <row r="1208" spans="1:20" x14ac:dyDescent="0.25">
      <c r="A1208" t="str">
        <f>_xll.BDP("413924JW Muni","ID_CUSIP")</f>
        <v>413924JW2</v>
      </c>
      <c r="B1208" t="s">
        <v>374</v>
      </c>
      <c r="C1208" t="str">
        <f>_xll.BDP("413924JW Muni","INSURANCE_STATUS")</f>
        <v>Y</v>
      </c>
      <c r="D1208" t="str">
        <f>_xll.BDP("413924JW Muni","STATE_CODE")</f>
        <v>TX</v>
      </c>
      <c r="E1208" t="str">
        <f>_xll.BDP("413924JW Muni","COUNTY_LOCATION_ISSUER")</f>
        <v>Harris, TX</v>
      </c>
      <c r="F1208">
        <f>_xll.BDP("413924JW Muni","DUR_ADJ_MID")</f>
        <v>8.0470208216011654E-2</v>
      </c>
      <c r="G1208">
        <f>_xll.BDP("413924JW Muni","SPREAD_AT_ISSUANCE_TO_WORST")</f>
        <v>72.585188328070458</v>
      </c>
      <c r="H1208" t="str">
        <f>_xll.BDP("413924JW Muni","ISSUE_DT")</f>
        <v>8/1/2017</v>
      </c>
      <c r="I1208" t="str">
        <f>_xll.BDS("413924JW Muni","MUNI_PURPOSE_SCHED", "aggregate=y")</f>
        <v>WATER UTILITY IMPS. SEWER IMPS.</v>
      </c>
      <c r="J1208">
        <f>_xll.BDP("413924JW Muni","CPN")</f>
        <v>5.75</v>
      </c>
      <c r="K1208" t="str">
        <f>_xll.BDP("413924JW Muni","MATURITY")</f>
        <v>9/1/2022</v>
      </c>
      <c r="L1208">
        <v>25000</v>
      </c>
      <c r="M1208">
        <f>_xll.BDP("413924JW Muni","YIELD_ON_ISSUE_DATE")</f>
        <v>2</v>
      </c>
      <c r="N1208">
        <f>_xll.BDP("413924JW Muni","YTW_SPREAD_TO_MATURITY_AT_ISSU")</f>
        <v>72.585188328070458</v>
      </c>
      <c r="O1208" t="str">
        <f>_xll.BDP("413924JW Muni","BVAL_MID_YTM")</f>
        <v>#N/A Authorization</v>
      </c>
      <c r="P1208" t="str">
        <f>_xll.BDP("413924JW Muni","MUNI_TAX_PROV")</f>
        <v>FED BQ</v>
      </c>
      <c r="Q1208" t="str">
        <f>_xll.BDP("413924JW Muni","MUNI_FED_TAX")</f>
        <v>N</v>
      </c>
      <c r="R1208" t="str">
        <f>_xll.BDP("413924JW Muni","MUNI_MSRB_VOLUME")</f>
        <v>#N/A N/A</v>
      </c>
      <c r="S1208" t="str">
        <f>_xll.BDP("413924JW Muni","BB_COMPOSITE")</f>
        <v>AA-</v>
      </c>
      <c r="T1208">
        <f>_xll.BDP("413924JW Muni","LQA_LIQUIDITY_SCORE")</f>
        <v>96</v>
      </c>
    </row>
    <row r="1209" spans="1:20" x14ac:dyDescent="0.25">
      <c r="A1209" t="str">
        <f>_xll.BDP("413924JX Muni","ID_CUSIP")</f>
        <v>413924JX0</v>
      </c>
      <c r="B1209" t="s">
        <v>374</v>
      </c>
      <c r="C1209" t="str">
        <f>_xll.BDP("413924JX Muni","INSURANCE_STATUS")</f>
        <v>Y</v>
      </c>
      <c r="D1209" t="str">
        <f>_xll.BDP("413924JX Muni","STATE_CODE")</f>
        <v>TX</v>
      </c>
      <c r="E1209" t="str">
        <f>_xll.BDP("413924JX Muni","COUNTY_LOCATION_ISSUER")</f>
        <v>Harris, TX</v>
      </c>
      <c r="F1209">
        <f>_xll.BDP("413924JX Muni","DUR_ADJ_MID")</f>
        <v>1.0303816813696143</v>
      </c>
      <c r="G1209">
        <f>_xll.BDP("413924JX Muni","SPREAD_AT_ISSUANCE_TO_WORST")</f>
        <v>83.301139442728811</v>
      </c>
      <c r="H1209" t="str">
        <f>_xll.BDP("413924JX Muni","ISSUE_DT")</f>
        <v>8/1/2017</v>
      </c>
      <c r="I1209" t="str">
        <f>_xll.BDS("413924JX Muni","MUNI_PURPOSE_SCHED", "aggregate=y")</f>
        <v>WATER UTILITY IMPS. SEWER IMPS.</v>
      </c>
      <c r="J1209">
        <f>_xll.BDP("413924JX Muni","CPN")</f>
        <v>5.75</v>
      </c>
      <c r="K1209" t="str">
        <f>_xll.BDP("413924JX Muni","MATURITY")</f>
        <v>9/1/2023</v>
      </c>
      <c r="L1209">
        <v>25000</v>
      </c>
      <c r="M1209">
        <f>_xll.BDP("413924JX Muni","YIELD_ON_ISSUE_DATE")</f>
        <v>2.25</v>
      </c>
      <c r="N1209">
        <f>_xll.BDP("413924JX Muni","YTW_SPREAD_TO_MATURITY_AT_ISSU")</f>
        <v>83.301139442728811</v>
      </c>
      <c r="O1209" t="str">
        <f>_xll.BDP("413924JX Muni","BVAL_MID_YTM")</f>
        <v>#N/A Authorization</v>
      </c>
      <c r="P1209" t="str">
        <f>_xll.BDP("413924JX Muni","MUNI_TAX_PROV")</f>
        <v>FED BQ</v>
      </c>
      <c r="Q1209" t="str">
        <f>_xll.BDP("413924JX Muni","MUNI_FED_TAX")</f>
        <v>N</v>
      </c>
      <c r="R1209" t="str">
        <f>_xll.BDP("413924JX Muni","MUNI_MSRB_VOLUME")</f>
        <v>#N/A N/A</v>
      </c>
      <c r="S1209" t="str">
        <f>_xll.BDP("413924JX Muni","BB_COMPOSITE")</f>
        <v>AA-</v>
      </c>
      <c r="T1209">
        <f>_xll.BDP("413924JX Muni","LQA_LIQUIDITY_SCORE")</f>
        <v>93</v>
      </c>
    </row>
    <row r="1210" spans="1:20" x14ac:dyDescent="0.25">
      <c r="A1210" t="str">
        <f>_xll.BDP("413924JY Muni","ID_CUSIP")</f>
        <v>413924JY8</v>
      </c>
      <c r="B1210" t="s">
        <v>374</v>
      </c>
      <c r="C1210" t="str">
        <f>_xll.BDP("413924JY Muni","INSURANCE_STATUS")</f>
        <v>Y</v>
      </c>
      <c r="D1210" t="str">
        <f>_xll.BDP("413924JY Muni","STATE_CODE")</f>
        <v>TX</v>
      </c>
      <c r="E1210" t="str">
        <f>_xll.BDP("413924JY Muni","COUNTY_LOCATION_ISSUER")</f>
        <v>Harris, TX</v>
      </c>
      <c r="F1210">
        <f>_xll.BDP("413924JY Muni","DUR_ADJ_MID")</f>
        <v>1.9303552825628787</v>
      </c>
      <c r="G1210">
        <f>_xll.BDP("413924JY Muni","SPREAD_AT_ISSUANCE_TO_WORST")</f>
        <v>83.634052405971886</v>
      </c>
      <c r="H1210" t="str">
        <f>_xll.BDP("413924JY Muni","ISSUE_DT")</f>
        <v>8/1/2017</v>
      </c>
      <c r="I1210" t="str">
        <f>_xll.BDS("413924JY Muni","MUNI_PURPOSE_SCHED", "aggregate=y")</f>
        <v>WATER UTILITY IMPS. SEWER IMPS.</v>
      </c>
      <c r="J1210">
        <f>_xll.BDP("413924JY Muni","CPN")</f>
        <v>5.75</v>
      </c>
      <c r="K1210" t="str">
        <f>_xll.BDP("413924JY Muni","MATURITY")</f>
        <v>9/1/2024</v>
      </c>
      <c r="L1210">
        <v>25000</v>
      </c>
      <c r="M1210">
        <f>_xll.BDP("413924JY Muni","YIELD_ON_ISSUE_DATE")</f>
        <v>2.4000000000000004</v>
      </c>
      <c r="N1210">
        <f>_xll.BDP("413924JY Muni","YTW_SPREAD_TO_MATURITY_AT_ISSU")</f>
        <v>83.634052405971886</v>
      </c>
      <c r="O1210" t="str">
        <f>_xll.BDP("413924JY Muni","BVAL_MID_YTM")</f>
        <v>#N/A Authorization</v>
      </c>
      <c r="P1210" t="str">
        <f>_xll.BDP("413924JY Muni","MUNI_TAX_PROV")</f>
        <v>FED BQ</v>
      </c>
      <c r="Q1210" t="str">
        <f>_xll.BDP("413924JY Muni","MUNI_FED_TAX")</f>
        <v>N</v>
      </c>
      <c r="R1210" t="str">
        <f>_xll.BDP("413924JY Muni","MUNI_MSRB_VOLUME")</f>
        <v>#N/A N/A</v>
      </c>
      <c r="S1210" t="str">
        <f>_xll.BDP("413924JY Muni","BB_COMPOSITE")</f>
        <v>AA-</v>
      </c>
      <c r="T1210">
        <f>_xll.BDP("413924JY Muni","LQA_LIQUIDITY_SCORE")</f>
        <v>85</v>
      </c>
    </row>
    <row r="1211" spans="1:20" x14ac:dyDescent="0.25">
      <c r="A1211" t="str">
        <f>_xll.BDP("413948SG Muni","ID_CUSIP")</f>
        <v>413948SG6</v>
      </c>
      <c r="B1211" t="s">
        <v>375</v>
      </c>
      <c r="C1211" t="str">
        <f>_xll.BDP("413948SG Muni","INSURANCE_STATUS")</f>
        <v>Y</v>
      </c>
      <c r="D1211" t="str">
        <f>_xll.BDP("413948SG Muni","STATE_CODE")</f>
        <v>TX</v>
      </c>
      <c r="E1211" t="str">
        <f>_xll.BDP("413948SG Muni","COUNTY_LOCATION_ISSUER")</f>
        <v>Harris, TX</v>
      </c>
      <c r="F1211">
        <f>_xll.BDP("413948SG Muni","DUR_ADJ_MID")</f>
        <v>8.0471052044698468E-2</v>
      </c>
      <c r="G1211">
        <f>_xll.BDP("413948SG Muni","SPREAD_AT_ISSUANCE_TO_WORST")</f>
        <v>59.06834136290928</v>
      </c>
      <c r="H1211" t="str">
        <f>_xll.BDP("413948SG Muni","ISSUE_DT")</f>
        <v>6/1/2017</v>
      </c>
      <c r="I1211" t="str">
        <f>_xll.BDS("413948SG Muni","MUNI_PURPOSE_SCHED", "aggregate=y")</f>
        <v>WATER UTILITY IMPS. SEWER IMPS.</v>
      </c>
      <c r="J1211">
        <f>_xll.BDP("413948SG Muni","CPN")</f>
        <v>3.25</v>
      </c>
      <c r="K1211" t="str">
        <f>_xll.BDP("413948SG Muni","MATURITY")</f>
        <v>9/1/2022</v>
      </c>
      <c r="L1211">
        <v>25000</v>
      </c>
      <c r="M1211">
        <f>_xll.BDP("413948SG Muni","YIELD_ON_ISSUE_DATE")</f>
        <v>2</v>
      </c>
      <c r="N1211">
        <f>_xll.BDP("413948SG Muni","YTW_SPREAD_TO_MATURITY_AT_ISSU")</f>
        <v>59.06834136290928</v>
      </c>
      <c r="O1211" t="str">
        <f>_xll.BDP("413948SG Muni","BVAL_MID_YTM")</f>
        <v>#N/A Authorization</v>
      </c>
      <c r="P1211" t="str">
        <f>_xll.BDP("413948SG Muni","MUNI_TAX_PROV")</f>
        <v>FED BQ</v>
      </c>
      <c r="Q1211" t="str">
        <f>_xll.BDP("413948SG Muni","MUNI_FED_TAX")</f>
        <v>N</v>
      </c>
      <c r="R1211" t="str">
        <f>_xll.BDP("413948SG Muni","MUNI_MSRB_VOLUME")</f>
        <v>#N/A N/A</v>
      </c>
      <c r="S1211" t="str">
        <f>_xll.BDP("413948SG Muni","BB_COMPOSITE")</f>
        <v>A+</v>
      </c>
      <c r="T1211">
        <f>_xll.BDP("413948SG Muni","LQA_LIQUIDITY_SCORE")</f>
        <v>99</v>
      </c>
    </row>
    <row r="1212" spans="1:20" x14ac:dyDescent="0.25">
      <c r="A1212" t="str">
        <f>_xll.BDP("413948SH Muni","ID_CUSIP")</f>
        <v>413948SH4</v>
      </c>
      <c r="B1212" t="s">
        <v>375</v>
      </c>
      <c r="C1212" t="str">
        <f>_xll.BDP("413948SH Muni","INSURANCE_STATUS")</f>
        <v>Y</v>
      </c>
      <c r="D1212" t="str">
        <f>_xll.BDP("413948SH Muni","STATE_CODE")</f>
        <v>TX</v>
      </c>
      <c r="E1212" t="str">
        <f>_xll.BDP("413948SH Muni","COUNTY_LOCATION_ISSUER")</f>
        <v>Harris, TX</v>
      </c>
      <c r="F1212">
        <f>_xll.BDP("413948SH Muni","DUR_ADJ_MID")</f>
        <v>1.0461417970416387</v>
      </c>
      <c r="G1212">
        <f>_xll.BDP("413948SH Muni","SPREAD_AT_ISSUANCE_TO_WORST")</f>
        <v>57.76003174493902</v>
      </c>
      <c r="H1212" t="str">
        <f>_xll.BDP("413948SH Muni","ISSUE_DT")</f>
        <v>6/1/2017</v>
      </c>
      <c r="I1212" t="str">
        <f>_xll.BDS("413948SH Muni","MUNI_PURPOSE_SCHED", "aggregate=y")</f>
        <v>WATER UTILITY IMPS. SEWER IMPS.</v>
      </c>
      <c r="J1212">
        <f>_xll.BDP("413948SH Muni","CPN")</f>
        <v>3.375</v>
      </c>
      <c r="K1212" t="str">
        <f>_xll.BDP("413948SH Muni","MATURITY")</f>
        <v>9/1/2023</v>
      </c>
      <c r="L1212">
        <v>25000</v>
      </c>
      <c r="M1212">
        <f>_xll.BDP("413948SH Muni","YIELD_ON_ISSUE_DATE")</f>
        <v>2.15</v>
      </c>
      <c r="N1212">
        <f>_xll.BDP("413948SH Muni","YTW_SPREAD_TO_MATURITY_AT_ISSU")</f>
        <v>57.76003174493902</v>
      </c>
      <c r="O1212" t="str">
        <f>_xll.BDP("413948SH Muni","BVAL_MID_YTM")</f>
        <v>#N/A Authorization</v>
      </c>
      <c r="P1212" t="str">
        <f>_xll.BDP("413948SH Muni","MUNI_TAX_PROV")</f>
        <v>FED BQ</v>
      </c>
      <c r="Q1212" t="str">
        <f>_xll.BDP("413948SH Muni","MUNI_FED_TAX")</f>
        <v>N</v>
      </c>
      <c r="R1212" t="str">
        <f>_xll.BDP("413948SH Muni","MUNI_MSRB_VOLUME")</f>
        <v>#N/A N/A</v>
      </c>
      <c r="S1212" t="str">
        <f>_xll.BDP("413948SH Muni","BB_COMPOSITE")</f>
        <v>A+</v>
      </c>
      <c r="T1212">
        <f>_xll.BDP("413948SH Muni","LQA_LIQUIDITY_SCORE")</f>
        <v>89</v>
      </c>
    </row>
    <row r="1213" spans="1:20" x14ac:dyDescent="0.25">
      <c r="A1213" t="str">
        <f>_xll.BDP("413948SJ Muni","ID_CUSIP")</f>
        <v>413948SJ0</v>
      </c>
      <c r="B1213" t="s">
        <v>375</v>
      </c>
      <c r="C1213" t="str">
        <f>_xll.BDP("413948SJ Muni","INSURANCE_STATUS")</f>
        <v>Y</v>
      </c>
      <c r="D1213" t="str">
        <f>_xll.BDP("413948SJ Muni","STATE_CODE")</f>
        <v>TX</v>
      </c>
      <c r="E1213" t="str">
        <f>_xll.BDP("413948SJ Muni","COUNTY_LOCATION_ISSUER")</f>
        <v>Harris, TX</v>
      </c>
      <c r="F1213">
        <f>_xll.BDP("413948SJ Muni","DUR_ADJ_MID")</f>
        <v>1.9791591507411328</v>
      </c>
      <c r="G1213">
        <f>_xll.BDP("413948SJ Muni","SPREAD_AT_ISSUANCE_TO_WORST")</f>
        <v>56.341187853033524</v>
      </c>
      <c r="H1213" t="str">
        <f>_xll.BDP("413948SJ Muni","ISSUE_DT")</f>
        <v>6/1/2017</v>
      </c>
      <c r="I1213" t="str">
        <f>_xll.BDS("413948SJ Muni","MUNI_PURPOSE_SCHED", "aggregate=y")</f>
        <v>WATER UTILITY IMPS. SEWER IMPS.</v>
      </c>
      <c r="J1213">
        <f>_xll.BDP("413948SJ Muni","CPN")</f>
        <v>3.375</v>
      </c>
      <c r="K1213" t="str">
        <f>_xll.BDP("413948SJ Muni","MATURITY")</f>
        <v>9/1/2024</v>
      </c>
      <c r="L1213">
        <v>25000</v>
      </c>
      <c r="M1213">
        <f>_xll.BDP("413948SJ Muni","YIELD_ON_ISSUE_DATE")</f>
        <v>2.3000000000000003</v>
      </c>
      <c r="N1213">
        <f>_xll.BDP("413948SJ Muni","YTW_SPREAD_TO_MATURITY_AT_ISSU")</f>
        <v>56.341187853033524</v>
      </c>
      <c r="O1213" t="str">
        <f>_xll.BDP("413948SJ Muni","BVAL_MID_YTM")</f>
        <v>#N/A Authorization</v>
      </c>
      <c r="P1213" t="str">
        <f>_xll.BDP("413948SJ Muni","MUNI_TAX_PROV")</f>
        <v>FED BQ</v>
      </c>
      <c r="Q1213" t="str">
        <f>_xll.BDP("413948SJ Muni","MUNI_FED_TAX")</f>
        <v>N</v>
      </c>
      <c r="R1213" t="str">
        <f>_xll.BDP("413948SJ Muni","MUNI_MSRB_VOLUME")</f>
        <v>#N/A N/A</v>
      </c>
      <c r="S1213" t="str">
        <f>_xll.BDP("413948SJ Muni","BB_COMPOSITE")</f>
        <v>A+</v>
      </c>
      <c r="T1213">
        <f>_xll.BDP("413948SJ Muni","LQA_LIQUIDITY_SCORE")</f>
        <v>79</v>
      </c>
    </row>
    <row r="1214" spans="1:20" x14ac:dyDescent="0.25">
      <c r="A1214" t="str">
        <f>_xll.BDP("413956JE Muni","ID_CUSIP")</f>
        <v>413956JE4</v>
      </c>
      <c r="B1214" t="s">
        <v>376</v>
      </c>
      <c r="C1214" t="str">
        <f>_xll.BDP("413956JE Muni","INSURANCE_STATUS")</f>
        <v>Y</v>
      </c>
      <c r="D1214" t="str">
        <f>_xll.BDP("413956JE Muni","STATE_CODE")</f>
        <v>TX</v>
      </c>
      <c r="E1214" t="str">
        <f>_xll.BDP("413956JE Muni","COUNTY_LOCATION_ISSUER")</f>
        <v>Harris, TX</v>
      </c>
      <c r="F1214">
        <f>_xll.BDP("413956JE Muni","DUR_ADJ_MID")</f>
        <v>8.0474231561264223E-2</v>
      </c>
      <c r="G1214">
        <f>_xll.BDP("413956JE Muni","SPREAD_AT_ISSUANCE_TO_WORST")</f>
        <v>42.34376712328767</v>
      </c>
      <c r="H1214" t="str">
        <f>_xll.BDP("413956JE Muni","ISSUE_DT")</f>
        <v>12/1/2017</v>
      </c>
      <c r="I1214" t="str">
        <f>_xll.BDS("413956JE Muni","MUNI_PURPOSE_SCHED", "aggregate=y")</f>
        <v>WATER UTILITY IMPS. SEWER IMPS.</v>
      </c>
      <c r="J1214">
        <f>_xll.BDP("413956JE Muni","CPN")</f>
        <v>5</v>
      </c>
      <c r="K1214" t="str">
        <f>_xll.BDP("413956JE Muni","MATURITY")</f>
        <v>9/1/2022</v>
      </c>
      <c r="L1214">
        <v>25000</v>
      </c>
      <c r="M1214">
        <f>_xll.BDP("413956JE Muni","YIELD_ON_ISSUE_DATE")</f>
        <v>1.85</v>
      </c>
      <c r="N1214">
        <f>_xll.BDP("413956JE Muni","YTW_SPREAD_TO_MATURITY_AT_ISSU")</f>
        <v>42.34376712328767</v>
      </c>
      <c r="O1214" t="str">
        <f>_xll.BDP("413956JE Muni","BVAL_MID_YTM")</f>
        <v>#N/A Authorization</v>
      </c>
      <c r="P1214" t="str">
        <f>_xll.BDP("413956JE Muni","MUNI_TAX_PROV")</f>
        <v>FED BQ</v>
      </c>
      <c r="Q1214" t="str">
        <f>_xll.BDP("413956JE Muni","MUNI_FED_TAX")</f>
        <v>N</v>
      </c>
      <c r="R1214" t="str">
        <f>_xll.BDP("413956JE Muni","MUNI_MSRB_VOLUME")</f>
        <v>#N/A N/A</v>
      </c>
      <c r="S1214" t="str">
        <f>_xll.BDP("413956JE Muni","BB_COMPOSITE")</f>
        <v>#N/A N/A</v>
      </c>
      <c r="T1214">
        <f>_xll.BDP("413956JE Muni","LQA_LIQUIDITY_SCORE")</f>
        <v>96</v>
      </c>
    </row>
    <row r="1215" spans="1:20" x14ac:dyDescent="0.25">
      <c r="A1215" t="str">
        <f>_xll.BDP("413956JF Muni","ID_CUSIP")</f>
        <v>413956JF1</v>
      </c>
      <c r="B1215" t="s">
        <v>376</v>
      </c>
      <c r="C1215" t="str">
        <f>_xll.BDP("413956JF Muni","INSURANCE_STATUS")</f>
        <v>Y</v>
      </c>
      <c r="D1215" t="str">
        <f>_xll.BDP("413956JF Muni","STATE_CODE")</f>
        <v>TX</v>
      </c>
      <c r="E1215" t="str">
        <f>_xll.BDP("413956JF Muni","COUNTY_LOCATION_ISSUER")</f>
        <v>Harris, TX</v>
      </c>
      <c r="F1215">
        <f>_xll.BDP("413956JF Muni","DUR_ADJ_MID")</f>
        <v>1.0355609895922471</v>
      </c>
      <c r="G1215">
        <f>_xll.BDP("413956JF Muni","SPREAD_AT_ISSUANCE_TO_WORST")</f>
        <v>45.909931506849318</v>
      </c>
      <c r="H1215" t="str">
        <f>_xll.BDP("413956JF Muni","ISSUE_DT")</f>
        <v>12/1/2017</v>
      </c>
      <c r="I1215" t="str">
        <f>_xll.BDS("413956JF Muni","MUNI_PURPOSE_SCHED", "aggregate=y")</f>
        <v>WATER UTILITY IMPS. SEWER IMPS.</v>
      </c>
      <c r="J1215">
        <f>_xll.BDP("413956JF Muni","CPN")</f>
        <v>5</v>
      </c>
      <c r="K1215" t="str">
        <f>_xll.BDP("413956JF Muni","MATURITY")</f>
        <v>9/1/2023</v>
      </c>
      <c r="L1215">
        <v>25000</v>
      </c>
      <c r="M1215">
        <f>_xll.BDP("413956JF Muni","YIELD_ON_ISSUE_DATE")</f>
        <v>2</v>
      </c>
      <c r="N1215">
        <f>_xll.BDP("413956JF Muni","YTW_SPREAD_TO_MATURITY_AT_ISSU")</f>
        <v>45.909931506849318</v>
      </c>
      <c r="O1215" t="str">
        <f>_xll.BDP("413956JF Muni","BVAL_MID_YTM")</f>
        <v>#N/A Authorization</v>
      </c>
      <c r="P1215" t="str">
        <f>_xll.BDP("413956JF Muni","MUNI_TAX_PROV")</f>
        <v>FED BQ</v>
      </c>
      <c r="Q1215" t="str">
        <f>_xll.BDP("413956JF Muni","MUNI_FED_TAX")</f>
        <v>N</v>
      </c>
      <c r="R1215" t="str">
        <f>_xll.BDP("413956JF Muni","MUNI_MSRB_VOLUME")</f>
        <v>#N/A N/A</v>
      </c>
      <c r="S1215" t="str">
        <f>_xll.BDP("413956JF Muni","BB_COMPOSITE")</f>
        <v>#N/A N/A</v>
      </c>
      <c r="T1215">
        <f>_xll.BDP("413956JF Muni","LQA_LIQUIDITY_SCORE")</f>
        <v>93</v>
      </c>
    </row>
    <row r="1216" spans="1:20" x14ac:dyDescent="0.25">
      <c r="A1216" t="str">
        <f>_xll.BDP("413956JG Muni","ID_CUSIP")</f>
        <v>413956JG9</v>
      </c>
      <c r="B1216" t="s">
        <v>376</v>
      </c>
      <c r="C1216" t="str">
        <f>_xll.BDP("413956JG Muni","INSURANCE_STATUS")</f>
        <v>Y</v>
      </c>
      <c r="D1216" t="str">
        <f>_xll.BDP("413956JG Muni","STATE_CODE")</f>
        <v>TX</v>
      </c>
      <c r="E1216" t="str">
        <f>_xll.BDP("413956JG Muni","COUNTY_LOCATION_ISSUER")</f>
        <v>Harris, TX</v>
      </c>
      <c r="F1216">
        <f>_xll.BDP("413956JG Muni","DUR_ADJ_MID")</f>
        <v>1.9459155708018878</v>
      </c>
      <c r="G1216">
        <f>_xll.BDP("413956JG Muni","SPREAD_AT_ISSUANCE_TO_WORST")</f>
        <v>49.251630136986279</v>
      </c>
      <c r="H1216" t="str">
        <f>_xll.BDP("413956JG Muni","ISSUE_DT")</f>
        <v>12/1/2017</v>
      </c>
      <c r="I1216" t="str">
        <f>_xll.BDS("413956JG Muni","MUNI_PURPOSE_SCHED", "aggregate=y")</f>
        <v>WATER UTILITY IMPS. SEWER IMPS.</v>
      </c>
      <c r="J1216">
        <f>_xll.BDP("413956JG Muni","CPN")</f>
        <v>5</v>
      </c>
      <c r="K1216" t="str">
        <f>_xll.BDP("413956JG Muni","MATURITY")</f>
        <v>9/1/2024</v>
      </c>
      <c r="L1216">
        <v>25000</v>
      </c>
      <c r="M1216">
        <f>_xll.BDP("413956JG Muni","YIELD_ON_ISSUE_DATE")</f>
        <v>2.15</v>
      </c>
      <c r="N1216">
        <f>_xll.BDP("413956JG Muni","YTW_SPREAD_TO_MATURITY_AT_ISSU")</f>
        <v>49.251630136986279</v>
      </c>
      <c r="O1216" t="str">
        <f>_xll.BDP("413956JG Muni","BVAL_MID_YTM")</f>
        <v>#N/A Authorization</v>
      </c>
      <c r="P1216" t="str">
        <f>_xll.BDP("413956JG Muni","MUNI_TAX_PROV")</f>
        <v>FED BQ</v>
      </c>
      <c r="Q1216" t="str">
        <f>_xll.BDP("413956JG Muni","MUNI_FED_TAX")</f>
        <v>N</v>
      </c>
      <c r="R1216" t="str">
        <f>_xll.BDP("413956JG Muni","MUNI_MSRB_VOLUME")</f>
        <v>#N/A N/A</v>
      </c>
      <c r="S1216" t="str">
        <f>_xll.BDP("413956JG Muni","BB_COMPOSITE")</f>
        <v>#N/A N/A</v>
      </c>
      <c r="T1216">
        <f>_xll.BDP("413956JG Muni","LQA_LIQUIDITY_SCORE")</f>
        <v>83</v>
      </c>
    </row>
    <row r="1217" spans="1:20" x14ac:dyDescent="0.25">
      <c r="A1217" t="str">
        <f>_xll.BDP("413958TS Muni","ID_CUSIP")</f>
        <v>413958TS8</v>
      </c>
      <c r="B1217" t="s">
        <v>377</v>
      </c>
      <c r="C1217" t="str">
        <f>_xll.BDP("413958TS Muni","INSURANCE_STATUS")</f>
        <v>Y</v>
      </c>
      <c r="D1217" t="str">
        <f>_xll.BDP("413958TS Muni","STATE_CODE")</f>
        <v>TX</v>
      </c>
      <c r="E1217" t="str">
        <f>_xll.BDP("413958TS Muni","COUNTY_LOCATION_ISSUER")</f>
        <v>Harris, TX</v>
      </c>
      <c r="F1217">
        <f>_xll.BDP("413958TS Muni","DUR_ADJ_MID")</f>
        <v>8.0471242518095412E-2</v>
      </c>
      <c r="G1217">
        <f>_xll.BDP("413958TS Muni","SPREAD_AT_ISSUANCE_TO_WORST")</f>
        <v>42.64470684931505</v>
      </c>
      <c r="H1217" t="str">
        <f>_xll.BDP("413958TS Muni","ISSUE_DT")</f>
        <v>12/1/2017</v>
      </c>
      <c r="I1217" t="str">
        <f>_xll.BDS("413958TS Muni","MUNI_PURPOSE_SCHED", "aggregate=y")</f>
        <v>WATER UTILITY IMPS. SEWER IMPS.</v>
      </c>
      <c r="J1217">
        <f>_xll.BDP("413958TS Muni","CPN")</f>
        <v>2</v>
      </c>
      <c r="K1217" t="str">
        <f>_xll.BDP("413958TS Muni","MATURITY")</f>
        <v>9/1/2022</v>
      </c>
      <c r="L1217">
        <v>200000</v>
      </c>
      <c r="M1217">
        <f>_xll.BDP("413958TS Muni","YIELD_ON_ISSUE_DATE")</f>
        <v>1.9000000000000001</v>
      </c>
      <c r="N1217">
        <f>_xll.BDP("413958TS Muni","YTW_SPREAD_TO_MATURITY_AT_ISSU")</f>
        <v>42.64470684931505</v>
      </c>
      <c r="O1217" t="str">
        <f>_xll.BDP("413958TS Muni","BVAL_MID_YTM")</f>
        <v>#N/A Authorization</v>
      </c>
      <c r="P1217" t="str">
        <f>_xll.BDP("413958TS Muni","MUNI_TAX_PROV")</f>
        <v>FED BQ</v>
      </c>
      <c r="Q1217" t="str">
        <f>_xll.BDP("413958TS Muni","MUNI_FED_TAX")</f>
        <v>N</v>
      </c>
      <c r="R1217" t="str">
        <f>_xll.BDP("413958TS Muni","MUNI_MSRB_VOLUME")</f>
        <v>#N/A N/A</v>
      </c>
      <c r="S1217" t="str">
        <f>_xll.BDP("413958TS Muni","BB_COMPOSITE")</f>
        <v>A+</v>
      </c>
      <c r="T1217">
        <f>_xll.BDP("413958TS Muni","LQA_LIQUIDITY_SCORE")</f>
        <v>90</v>
      </c>
    </row>
    <row r="1218" spans="1:20" x14ac:dyDescent="0.25">
      <c r="A1218" t="str">
        <f>_xll.BDP("413958TT Muni","ID_CUSIP")</f>
        <v>413958TT6</v>
      </c>
      <c r="B1218" t="s">
        <v>377</v>
      </c>
      <c r="C1218" t="str">
        <f>_xll.BDP("413958TT Muni","INSURANCE_STATUS")</f>
        <v>Y</v>
      </c>
      <c r="D1218" t="str">
        <f>_xll.BDP("413958TT Muni","STATE_CODE")</f>
        <v>TX</v>
      </c>
      <c r="E1218" t="str">
        <f>_xll.BDP("413958TT Muni","COUNTY_LOCATION_ISSUER")</f>
        <v>Harris, TX</v>
      </c>
      <c r="F1218">
        <f>_xll.BDP("413958TT Muni","DUR_ADJ_MID")</f>
        <v>1.0557418125715767</v>
      </c>
      <c r="G1218">
        <f>_xll.BDP("413958TT Muni","SPREAD_AT_ISSUANCE_TO_WORST")</f>
        <v>41.598424657534252</v>
      </c>
      <c r="H1218" t="str">
        <f>_xll.BDP("413958TT Muni","ISSUE_DT")</f>
        <v>12/1/2017</v>
      </c>
      <c r="I1218" t="str">
        <f>_xll.BDS("413958TT Muni","MUNI_PURPOSE_SCHED", "aggregate=y")</f>
        <v>WATER UTILITY IMPS. SEWER IMPS.</v>
      </c>
      <c r="J1218">
        <f>_xll.BDP("413958TT Muni","CPN")</f>
        <v>2</v>
      </c>
      <c r="K1218" t="str">
        <f>_xll.BDP("413958TT Muni","MATURITY")</f>
        <v>9/1/2023</v>
      </c>
      <c r="L1218">
        <v>200000</v>
      </c>
      <c r="M1218">
        <f>_xll.BDP("413958TT Muni","YIELD_ON_ISSUE_DATE")</f>
        <v>2</v>
      </c>
      <c r="N1218">
        <f>_xll.BDP("413958TT Muni","YTW_SPREAD_TO_MATURITY_AT_ISSU")</f>
        <v>41.598424657534252</v>
      </c>
      <c r="O1218" t="str">
        <f>_xll.BDP("413958TT Muni","BVAL_MID_YTM")</f>
        <v>#N/A Authorization</v>
      </c>
      <c r="P1218" t="str">
        <f>_xll.BDP("413958TT Muni","MUNI_TAX_PROV")</f>
        <v>FED BQ</v>
      </c>
      <c r="Q1218" t="str">
        <f>_xll.BDP("413958TT Muni","MUNI_FED_TAX")</f>
        <v>N</v>
      </c>
      <c r="R1218">
        <f>_xll.BDP("413958TT Muni","MUNI_MSRB_VOLUME")</f>
        <v>150000</v>
      </c>
      <c r="S1218" t="str">
        <f>_xll.BDP("413958TT Muni","BB_COMPOSITE")</f>
        <v>A+</v>
      </c>
      <c r="T1218">
        <f>_xll.BDP("413958TT Muni","LQA_LIQUIDITY_SCORE")</f>
        <v>85</v>
      </c>
    </row>
    <row r="1219" spans="1:20" x14ac:dyDescent="0.25">
      <c r="A1219" t="str">
        <f>_xll.BDP("413958TU Muni","ID_CUSIP")</f>
        <v>413958TU3</v>
      </c>
      <c r="B1219" t="s">
        <v>377</v>
      </c>
      <c r="C1219" t="str">
        <f>_xll.BDP("413958TU Muni","INSURANCE_STATUS")</f>
        <v>Y</v>
      </c>
      <c r="D1219" t="str">
        <f>_xll.BDP("413958TU Muni","STATE_CODE")</f>
        <v>TX</v>
      </c>
      <c r="E1219" t="str">
        <f>_xll.BDP("413958TU Muni","COUNTY_LOCATION_ISSUER")</f>
        <v>Harris, TX</v>
      </c>
      <c r="F1219">
        <f>_xll.BDP("413958TU Muni","DUR_ADJ_MID")</f>
        <v>1.9873824629731021</v>
      </c>
      <c r="G1219">
        <f>_xll.BDP("413958TU Muni","SPREAD_AT_ISSUANCE_TO_WORST")</f>
        <v>46.247578082191779</v>
      </c>
      <c r="H1219" t="str">
        <f>_xll.BDP("413958TU Muni","ISSUE_DT")</f>
        <v>12/1/2017</v>
      </c>
      <c r="I1219" t="str">
        <f>_xll.BDS("413958TU Muni","MUNI_PURPOSE_SCHED", "aggregate=y")</f>
        <v>WATER UTILITY IMPS. SEWER IMPS.</v>
      </c>
      <c r="J1219">
        <f>_xll.BDP("413958TU Muni","CPN")</f>
        <v>3</v>
      </c>
      <c r="K1219" t="str">
        <f>_xll.BDP("413958TU Muni","MATURITY")</f>
        <v>9/1/2024</v>
      </c>
      <c r="L1219">
        <v>200000</v>
      </c>
      <c r="M1219">
        <f>_xll.BDP("413958TU Muni","YIELD_ON_ISSUE_DATE")</f>
        <v>2.15</v>
      </c>
      <c r="N1219">
        <f>_xll.BDP("413958TU Muni","YTW_SPREAD_TO_MATURITY_AT_ISSU")</f>
        <v>46.247578082191779</v>
      </c>
      <c r="O1219" t="str">
        <f>_xll.BDP("413958TU Muni","BVAL_MID_YTM")</f>
        <v>#N/A Authorization</v>
      </c>
      <c r="P1219" t="str">
        <f>_xll.BDP("413958TU Muni","MUNI_TAX_PROV")</f>
        <v>FED BQ</v>
      </c>
      <c r="Q1219" t="str">
        <f>_xll.BDP("413958TU Muni","MUNI_FED_TAX")</f>
        <v>N</v>
      </c>
      <c r="R1219" t="str">
        <f>_xll.BDP("413958TU Muni","MUNI_MSRB_VOLUME")</f>
        <v>#N/A N/A</v>
      </c>
      <c r="S1219" t="str">
        <f>_xll.BDP("413958TU Muni","BB_COMPOSITE")</f>
        <v>A+</v>
      </c>
      <c r="T1219">
        <f>_xll.BDP("413958TU Muni","LQA_LIQUIDITY_SCORE")</f>
        <v>79</v>
      </c>
    </row>
    <row r="1220" spans="1:20" x14ac:dyDescent="0.25">
      <c r="A1220" t="str">
        <f>_xll.BDP("413959HJ Muni","ID_CUSIP")</f>
        <v>413959HJ9</v>
      </c>
      <c r="B1220" t="s">
        <v>378</v>
      </c>
      <c r="C1220" t="str">
        <f>_xll.BDP("413959HJ Muni","INSURANCE_STATUS")</f>
        <v>Y</v>
      </c>
      <c r="D1220" t="str">
        <f>_xll.BDP("413959HJ Muni","STATE_CODE")</f>
        <v>TX</v>
      </c>
      <c r="E1220" t="str">
        <f>_xll.BDP("413959HJ Muni","COUNTY_LOCATION_ISSUER")</f>
        <v>Harris, TX</v>
      </c>
      <c r="F1220">
        <f>_xll.BDP("413959HJ Muni","DUR_ADJ_MID")</f>
        <v>8.046455027030254E-2</v>
      </c>
      <c r="G1220">
        <f>_xll.BDP("413959HJ Muni","SPREAD_AT_ISSUANCE_TO_WORST")</f>
        <v>58.530445649429133</v>
      </c>
      <c r="H1220" t="str">
        <f>_xll.BDP("413959HJ Muni","ISSUE_DT")</f>
        <v>7/1/2017</v>
      </c>
      <c r="I1220" t="str">
        <f>_xll.BDS("413959HJ Muni","MUNI_PURPOSE_SCHED", "aggregate=y")</f>
        <v>WATER UTILITY IMPS. SEWER IMPS. PUBLIC IMPS.</v>
      </c>
      <c r="J1220">
        <f>_xll.BDP("413959HJ Muni","CPN")</f>
        <v>3</v>
      </c>
      <c r="K1220" t="str">
        <f>_xll.BDP("413959HJ Muni","MATURITY")</f>
        <v>9/1/2022</v>
      </c>
      <c r="L1220">
        <v>160000</v>
      </c>
      <c r="M1220">
        <f>_xll.BDP("413959HJ Muni","YIELD_ON_ISSUE_DATE")</f>
        <v>1.75</v>
      </c>
      <c r="N1220">
        <f>_xll.BDP("413959HJ Muni","YTW_SPREAD_TO_MATURITY_AT_ISSU")</f>
        <v>58.530445649429133</v>
      </c>
      <c r="O1220" t="str">
        <f>_xll.BDP("413959HJ Muni","BVAL_MID_YTM")</f>
        <v>#N/A Authorization</v>
      </c>
      <c r="P1220" t="str">
        <f>_xll.BDP("413959HJ Muni","MUNI_TAX_PROV")</f>
        <v>FED BQ</v>
      </c>
      <c r="Q1220" t="str">
        <f>_xll.BDP("413959HJ Muni","MUNI_FED_TAX")</f>
        <v>N</v>
      </c>
      <c r="R1220" t="str">
        <f>_xll.BDP("413959HJ Muni","MUNI_MSRB_VOLUME")</f>
        <v>#N/A N/A</v>
      </c>
      <c r="S1220" t="str">
        <f>_xll.BDP("413959HJ Muni","BB_COMPOSITE")</f>
        <v>A+</v>
      </c>
      <c r="T1220">
        <f>_xll.BDP("413959HJ Muni","LQA_LIQUIDITY_SCORE")</f>
        <v>99</v>
      </c>
    </row>
    <row r="1221" spans="1:20" x14ac:dyDescent="0.25">
      <c r="A1221" t="str">
        <f>_xll.BDP("413959HK Muni","ID_CUSIP")</f>
        <v>413959HK6</v>
      </c>
      <c r="B1221" t="s">
        <v>378</v>
      </c>
      <c r="C1221" t="str">
        <f>_xll.BDP("413959HK Muni","INSURANCE_STATUS")</f>
        <v>Y</v>
      </c>
      <c r="D1221" t="str">
        <f>_xll.BDP("413959HK Muni","STATE_CODE")</f>
        <v>TX</v>
      </c>
      <c r="E1221" t="str">
        <f>_xll.BDP("413959HK Muni","COUNTY_LOCATION_ISSUER")</f>
        <v>Harris, TX</v>
      </c>
      <c r="F1221">
        <f>_xll.BDP("413959HK Muni","DUR_ADJ_MID")</f>
        <v>1.0481789544489428</v>
      </c>
      <c r="G1221">
        <f>_xll.BDP("413959HK Muni","SPREAD_AT_ISSUANCE_TO_WORST")</f>
        <v>58.398781667388192</v>
      </c>
      <c r="H1221" t="str">
        <f>_xll.BDP("413959HK Muni","ISSUE_DT")</f>
        <v>7/1/2017</v>
      </c>
      <c r="I1221" t="str">
        <f>_xll.BDS("413959HK Muni","MUNI_PURPOSE_SCHED", "aggregate=y")</f>
        <v>WATER UTILITY IMPS. SEWER IMPS. PUBLIC IMPS.</v>
      </c>
      <c r="J1221">
        <f>_xll.BDP("413959HK Muni","CPN")</f>
        <v>3</v>
      </c>
      <c r="K1221" t="str">
        <f>_xll.BDP("413959HK Muni","MATURITY")</f>
        <v>9/1/2023</v>
      </c>
      <c r="L1221">
        <v>160000</v>
      </c>
      <c r="M1221">
        <f>_xll.BDP("413959HK Muni","YIELD_ON_ISSUE_DATE")</f>
        <v>1.9000000000000001</v>
      </c>
      <c r="N1221">
        <f>_xll.BDP("413959HK Muni","YTW_SPREAD_TO_MATURITY_AT_ISSU")</f>
        <v>58.398781667388192</v>
      </c>
      <c r="O1221" t="str">
        <f>_xll.BDP("413959HK Muni","BVAL_MID_YTM")</f>
        <v>#N/A Authorization</v>
      </c>
      <c r="P1221" t="str">
        <f>_xll.BDP("413959HK Muni","MUNI_TAX_PROV")</f>
        <v>FED BQ</v>
      </c>
      <c r="Q1221" t="str">
        <f>_xll.BDP("413959HK Muni","MUNI_FED_TAX")</f>
        <v>N</v>
      </c>
      <c r="R1221" t="str">
        <f>_xll.BDP("413959HK Muni","MUNI_MSRB_VOLUME")</f>
        <v>#N/A N/A</v>
      </c>
      <c r="S1221" t="str">
        <f>_xll.BDP("413959HK Muni","BB_COMPOSITE")</f>
        <v>A+</v>
      </c>
      <c r="T1221">
        <f>_xll.BDP("413959HK Muni","LQA_LIQUIDITY_SCORE")</f>
        <v>89</v>
      </c>
    </row>
    <row r="1222" spans="1:20" x14ac:dyDescent="0.25">
      <c r="A1222" t="str">
        <f>_xll.BDP("413959HL Muni","ID_CUSIP")</f>
        <v>413959HL4</v>
      </c>
      <c r="B1222" t="s">
        <v>378</v>
      </c>
      <c r="C1222" t="str">
        <f>_xll.BDP("413959HL Muni","INSURANCE_STATUS")</f>
        <v>Y</v>
      </c>
      <c r="D1222" t="str">
        <f>_xll.BDP("413959HL Muni","STATE_CODE")</f>
        <v>TX</v>
      </c>
      <c r="E1222" t="str">
        <f>_xll.BDP("413959HL Muni","COUNTY_LOCATION_ISSUER")</f>
        <v>Harris, TX</v>
      </c>
      <c r="F1222">
        <f>_xll.BDP("413959HL Muni","DUR_ADJ_MID")</f>
        <v>1.9862643326839184</v>
      </c>
      <c r="G1222">
        <f>_xll.BDP("413959HL Muni","SPREAD_AT_ISSUANCE_TO_WORST")</f>
        <v>65.622398816258283</v>
      </c>
      <c r="H1222" t="str">
        <f>_xll.BDP("413959HL Muni","ISSUE_DT")</f>
        <v>7/1/2017</v>
      </c>
      <c r="I1222" t="str">
        <f>_xll.BDS("413959HL Muni","MUNI_PURPOSE_SCHED", "aggregate=y")</f>
        <v>WATER UTILITY IMPS. SEWER IMPS. PUBLIC IMPS.</v>
      </c>
      <c r="J1222">
        <f>_xll.BDP("413959HL Muni","CPN")</f>
        <v>3</v>
      </c>
      <c r="K1222" t="str">
        <f>_xll.BDP("413959HL Muni","MATURITY")</f>
        <v>9/1/2024</v>
      </c>
      <c r="L1222">
        <v>160000</v>
      </c>
      <c r="M1222">
        <f>_xll.BDP("413959HL Muni","YIELD_ON_ISSUE_DATE")</f>
        <v>2.125</v>
      </c>
      <c r="N1222">
        <f>_xll.BDP("413959HL Muni","YTW_SPREAD_TO_MATURITY_AT_ISSU")</f>
        <v>65.622398816258283</v>
      </c>
      <c r="O1222" t="str">
        <f>_xll.BDP("413959HL Muni","BVAL_MID_YTM")</f>
        <v>#N/A Authorization</v>
      </c>
      <c r="P1222" t="str">
        <f>_xll.BDP("413959HL Muni","MUNI_TAX_PROV")</f>
        <v>FED BQ</v>
      </c>
      <c r="Q1222" t="str">
        <f>_xll.BDP("413959HL Muni","MUNI_FED_TAX")</f>
        <v>N</v>
      </c>
      <c r="R1222" t="str">
        <f>_xll.BDP("413959HL Muni","MUNI_MSRB_VOLUME")</f>
        <v>#N/A N/A</v>
      </c>
      <c r="S1222" t="str">
        <f>_xll.BDP("413959HL Muni","BB_COMPOSITE")</f>
        <v>A+</v>
      </c>
      <c r="T1222">
        <f>_xll.BDP("413959HL Muni","LQA_LIQUIDITY_SCORE")</f>
        <v>79</v>
      </c>
    </row>
    <row r="1223" spans="1:20" x14ac:dyDescent="0.25">
      <c r="A1223" t="str">
        <f>_xll.BDP("414150TH Muni","ID_CUSIP")</f>
        <v>414150TH5</v>
      </c>
      <c r="B1223" t="s">
        <v>379</v>
      </c>
      <c r="C1223" t="str">
        <f>_xll.BDP("414150TH Muni","INSURANCE_STATUS")</f>
        <v>Y</v>
      </c>
      <c r="D1223" t="str">
        <f>_xll.BDP("414150TH Muni","STATE_CODE")</f>
        <v>TX</v>
      </c>
      <c r="E1223" t="str">
        <f>_xll.BDP("414150TH Muni","COUNTY_LOCATION_ISSUER")</f>
        <v>Harris, TX</v>
      </c>
      <c r="F1223">
        <f>_xll.BDP("414150TH Muni","DUR_ADJ_MID")</f>
        <v>8.0483804398411185E-2</v>
      </c>
      <c r="G1223">
        <f>_xll.BDP("414150TH Muni","SPREAD_AT_ISSUANCE_TO_WORST")</f>
        <v>53.808121306080217</v>
      </c>
      <c r="H1223" t="str">
        <f>_xll.BDP("414150TH Muni","ISSUE_DT")</f>
        <v>6/1/2017</v>
      </c>
      <c r="I1223" t="str">
        <f>_xll.BDS("414150TH Muni","MUNI_PURPOSE_SCHED", "aggregate=y")</f>
        <v>WATER UTILITY IMPS. SEWER IMPS.</v>
      </c>
      <c r="J1223">
        <f>_xll.BDP("414150TH Muni","CPN")</f>
        <v>2</v>
      </c>
      <c r="K1223" t="str">
        <f>_xll.BDP("414150TH Muni","MATURITY")</f>
        <v>9/1/2022</v>
      </c>
      <c r="L1223">
        <v>105000</v>
      </c>
      <c r="M1223">
        <f>_xll.BDP("414150TH Muni","YIELD_ON_ISSUE_DATE")</f>
        <v>1.8</v>
      </c>
      <c r="N1223">
        <f>_xll.BDP("414150TH Muni","YTW_SPREAD_TO_MATURITY_AT_ISSU")</f>
        <v>53.808121306080217</v>
      </c>
      <c r="O1223" t="str">
        <f>_xll.BDP("414150TH Muni","BVAL_MID_YTM")</f>
        <v>#N/A Authorization</v>
      </c>
      <c r="P1223" t="str">
        <f>_xll.BDP("414150TH Muni","MUNI_TAX_PROV")</f>
        <v>FED TAX-EXEMPT</v>
      </c>
      <c r="Q1223" t="str">
        <f>_xll.BDP("414150TH Muni","MUNI_FED_TAX")</f>
        <v>N</v>
      </c>
      <c r="R1223" t="str">
        <f>_xll.BDP("414150TH Muni","MUNI_MSRB_VOLUME")</f>
        <v>#N/A N/A</v>
      </c>
      <c r="S1223" t="str">
        <f>_xll.BDP("414150TH Muni","BB_COMPOSITE")</f>
        <v>AA-</v>
      </c>
      <c r="T1223">
        <f>_xll.BDP("414150TH Muni","LQA_LIQUIDITY_SCORE")</f>
        <v>92</v>
      </c>
    </row>
    <row r="1224" spans="1:20" x14ac:dyDescent="0.25">
      <c r="A1224" t="str">
        <f>_xll.BDP("414150TJ Muni","ID_CUSIP")</f>
        <v>414150TJ1</v>
      </c>
      <c r="B1224" t="s">
        <v>379</v>
      </c>
      <c r="C1224" t="str">
        <f>_xll.BDP("414150TJ Muni","INSURANCE_STATUS")</f>
        <v>Y</v>
      </c>
      <c r="D1224" t="str">
        <f>_xll.BDP("414150TJ Muni","STATE_CODE")</f>
        <v>TX</v>
      </c>
      <c r="E1224" t="str">
        <f>_xll.BDP("414150TJ Muni","COUNTY_LOCATION_ISSUER")</f>
        <v>Harris, TX</v>
      </c>
      <c r="F1224">
        <f>_xll.BDP("414150TJ Muni","DUR_ADJ_MID")</f>
        <v>1.0567401403001748</v>
      </c>
      <c r="G1224">
        <f>_xll.BDP("414150TJ Muni","SPREAD_AT_ISSUANCE_TO_WORST")</f>
        <v>57.822825706679851</v>
      </c>
      <c r="H1224" t="str">
        <f>_xll.BDP("414150TJ Muni","ISSUE_DT")</f>
        <v>6/1/2017</v>
      </c>
      <c r="I1224" t="str">
        <f>_xll.BDS("414150TJ Muni","MUNI_PURPOSE_SCHED", "aggregate=y")</f>
        <v>WATER UTILITY IMPS. SEWER IMPS.</v>
      </c>
      <c r="J1224">
        <f>_xll.BDP("414150TJ Muni","CPN")</f>
        <v>2</v>
      </c>
      <c r="K1224" t="str">
        <f>_xll.BDP("414150TJ Muni","MATURITY")</f>
        <v>9/1/2023</v>
      </c>
      <c r="L1224">
        <v>720000</v>
      </c>
      <c r="M1224">
        <f>_xll.BDP("414150TJ Muni","YIELD_ON_ISSUE_DATE")</f>
        <v>2</v>
      </c>
      <c r="N1224">
        <f>_xll.BDP("414150TJ Muni","YTW_SPREAD_TO_MATURITY_AT_ISSU")</f>
        <v>57.822825706679851</v>
      </c>
      <c r="O1224" t="str">
        <f>_xll.BDP("414150TJ Muni","BVAL_MID_YTM")</f>
        <v>#N/A Authorization</v>
      </c>
      <c r="P1224" t="str">
        <f>_xll.BDP("414150TJ Muni","MUNI_TAX_PROV")</f>
        <v>FED TAX-EXEMPT</v>
      </c>
      <c r="Q1224" t="str">
        <f>_xll.BDP("414150TJ Muni","MUNI_FED_TAX")</f>
        <v>N</v>
      </c>
      <c r="R1224" t="str">
        <f>_xll.BDP("414150TJ Muni","MUNI_MSRB_VOLUME")</f>
        <v>#N/A N/A</v>
      </c>
      <c r="S1224" t="str">
        <f>_xll.BDP("414150TJ Muni","BB_COMPOSITE")</f>
        <v>AA-</v>
      </c>
      <c r="T1224">
        <f>_xll.BDP("414150TJ Muni","LQA_LIQUIDITY_SCORE")</f>
        <v>67</v>
      </c>
    </row>
    <row r="1225" spans="1:20" x14ac:dyDescent="0.25">
      <c r="A1225" t="str">
        <f>_xll.BDP("414150TK Muni","ID_CUSIP")</f>
        <v>414150TK8</v>
      </c>
      <c r="B1225" t="s">
        <v>379</v>
      </c>
      <c r="C1225" t="str">
        <f>_xll.BDP("414150TK Muni","INSURANCE_STATUS")</f>
        <v>Y</v>
      </c>
      <c r="D1225" t="str">
        <f>_xll.BDP("414150TK Muni","STATE_CODE")</f>
        <v>TX</v>
      </c>
      <c r="E1225" t="str">
        <f>_xll.BDP("414150TK Muni","COUNTY_LOCATION_ISSUER")</f>
        <v>Harris, TX</v>
      </c>
      <c r="F1225">
        <f>_xll.BDP("414150TK Muni","DUR_ADJ_MID")</f>
        <v>2.011802961627013</v>
      </c>
      <c r="G1225">
        <f>_xll.BDP("414150TK Muni","SPREAD_AT_ISSUANCE_TO_WORST")</f>
        <v>56.719184477176235</v>
      </c>
      <c r="H1225" t="str">
        <f>_xll.BDP("414150TK Muni","ISSUE_DT")</f>
        <v>6/1/2017</v>
      </c>
      <c r="I1225" t="str">
        <f>_xll.BDS("414150TK Muni","MUNI_PURPOSE_SCHED", "aggregate=y")</f>
        <v>WATER UTILITY IMPS. SEWER IMPS.</v>
      </c>
      <c r="J1225">
        <f>_xll.BDP("414150TK Muni","CPN")</f>
        <v>2</v>
      </c>
      <c r="K1225" t="str">
        <f>_xll.BDP("414150TK Muni","MATURITY")</f>
        <v>9/1/2024</v>
      </c>
      <c r="L1225">
        <v>735000</v>
      </c>
      <c r="M1225">
        <f>_xll.BDP("414150TK Muni","YIELD_ON_ISSUE_DATE")</f>
        <v>2.15</v>
      </c>
      <c r="N1225">
        <f>_xll.BDP("414150TK Muni","YTW_SPREAD_TO_MATURITY_AT_ISSU")</f>
        <v>56.719184477176235</v>
      </c>
      <c r="O1225" t="str">
        <f>_xll.BDP("414150TK Muni","BVAL_MID_YTM")</f>
        <v>#N/A Authorization</v>
      </c>
      <c r="P1225" t="str">
        <f>_xll.BDP("414150TK Muni","MUNI_TAX_PROV")</f>
        <v>FED TAX-EXEMPT</v>
      </c>
      <c r="Q1225" t="str">
        <f>_xll.BDP("414150TK Muni","MUNI_FED_TAX")</f>
        <v>N</v>
      </c>
      <c r="R1225" t="str">
        <f>_xll.BDP("414150TK Muni","MUNI_MSRB_VOLUME")</f>
        <v>#N/A N/A</v>
      </c>
      <c r="S1225" t="str">
        <f>_xll.BDP("414150TK Muni","BB_COMPOSITE")</f>
        <v>AA-</v>
      </c>
      <c r="T1225">
        <f>_xll.BDP("414150TK Muni","LQA_LIQUIDITY_SCORE")</f>
        <v>53</v>
      </c>
    </row>
    <row r="1226" spans="1:20" x14ac:dyDescent="0.25">
      <c r="A1226" t="str">
        <f>_xll.BDP("414150TL Muni","ID_CUSIP")</f>
        <v>414150TL6</v>
      </c>
      <c r="B1226" t="s">
        <v>379</v>
      </c>
      <c r="C1226" t="str">
        <f>_xll.BDP("414150TL Muni","INSURANCE_STATUS")</f>
        <v>Y</v>
      </c>
      <c r="D1226" t="str">
        <f>_xll.BDP("414150TL Muni","STATE_CODE")</f>
        <v>TX</v>
      </c>
      <c r="E1226" t="str">
        <f>_xll.BDP("414150TL Muni","COUNTY_LOCATION_ISSUER")</f>
        <v>Harris, TX</v>
      </c>
      <c r="F1226">
        <f>_xll.BDP("414150TL Muni","DUR_ADJ_MID")</f>
        <v>2.9474068387816588</v>
      </c>
      <c r="G1226">
        <f>_xll.BDP("414150TL Muni","SPREAD_AT_ISSUANCE_TO_WORST")</f>
        <v>61.104082814006034</v>
      </c>
      <c r="H1226" t="str">
        <f>_xll.BDP("414150TL Muni","ISSUE_DT")</f>
        <v>6/1/2017</v>
      </c>
      <c r="I1226" t="str">
        <f>_xll.BDS("414150TL Muni","MUNI_PURPOSE_SCHED", "aggregate=y")</f>
        <v>WATER UTILITY IMPS. SEWER IMPS.</v>
      </c>
      <c r="J1226">
        <f>_xll.BDP("414150TL Muni","CPN")</f>
        <v>2</v>
      </c>
      <c r="K1226" t="str">
        <f>_xll.BDP("414150TL Muni","MATURITY")</f>
        <v>9/1/2025</v>
      </c>
      <c r="L1226">
        <v>1130000</v>
      </c>
      <c r="M1226">
        <f>_xll.BDP("414150TL Muni","YIELD_ON_ISSUE_DATE")</f>
        <v>2.35</v>
      </c>
      <c r="N1226">
        <f>_xll.BDP("414150TL Muni","YTW_SPREAD_TO_MATURITY_AT_ISSU")</f>
        <v>61.104082814006034</v>
      </c>
      <c r="O1226" t="str">
        <f>_xll.BDP("414150TL Muni","BVAL_MID_YTM")</f>
        <v>#N/A Authorization</v>
      </c>
      <c r="P1226" t="str">
        <f>_xll.BDP("414150TL Muni","MUNI_TAX_PROV")</f>
        <v>FED TAX-EXEMPT</v>
      </c>
      <c r="Q1226" t="str">
        <f>_xll.BDP("414150TL Muni","MUNI_FED_TAX")</f>
        <v>N</v>
      </c>
      <c r="R1226">
        <f>_xll.BDP("414150TL Muni","MUNI_MSRB_VOLUME")</f>
        <v>15000</v>
      </c>
      <c r="S1226" t="str">
        <f>_xll.BDP("414150TL Muni","BB_COMPOSITE")</f>
        <v>AA-</v>
      </c>
      <c r="T1226">
        <f>_xll.BDP("414150TL Muni","LQA_LIQUIDITY_SCORE")</f>
        <v>42</v>
      </c>
    </row>
    <row r="1227" spans="1:20" x14ac:dyDescent="0.25">
      <c r="A1227" t="str">
        <f>_xll.BDP("414199PV Muni","ID_CUSIP")</f>
        <v>414199PV5</v>
      </c>
      <c r="B1227" t="s">
        <v>380</v>
      </c>
      <c r="C1227" t="str">
        <f>_xll.BDP("414199PV Muni","INSURANCE_STATUS")</f>
        <v>Y</v>
      </c>
      <c r="D1227" t="str">
        <f>_xll.BDP("414199PV Muni","STATE_CODE")</f>
        <v>TX</v>
      </c>
      <c r="E1227" t="str">
        <f>_xll.BDP("414199PV Muni","COUNTY_LOCATION_ISSUER")</f>
        <v>Harris, TX</v>
      </c>
      <c r="F1227">
        <f>_xll.BDP("414199PV Muni","DUR_ADJ_MID")</f>
        <v>8.049562169731056E-2</v>
      </c>
      <c r="G1227">
        <f>_xll.BDP("414199PV Muni","SPREAD_AT_ISSUANCE_TO_WORST")</f>
        <v>40.827813698630131</v>
      </c>
      <c r="H1227" t="str">
        <f>_xll.BDP("414199PV Muni","ISSUE_DT")</f>
        <v>12/1/2017</v>
      </c>
      <c r="I1227" t="str">
        <f>_xll.BDS("414199PV Muni","MUNI_PURPOSE_SCHED", "aggregate=y")</f>
        <v>WATER UTILITY IMPS. PROPERTY ACQUISITION SEWER IMPS.</v>
      </c>
      <c r="J1227">
        <f>_xll.BDP("414199PV Muni","CPN")</f>
        <v>3</v>
      </c>
      <c r="K1227" t="str">
        <f>_xll.BDP("414199PV Muni","MATURITY")</f>
        <v>9/1/2022</v>
      </c>
      <c r="L1227">
        <v>395000</v>
      </c>
      <c r="M1227">
        <f>_xll.BDP("414199PV Muni","YIELD_ON_ISSUE_DATE")</f>
        <v>1.9000000000000001</v>
      </c>
      <c r="N1227">
        <f>_xll.BDP("414199PV Muni","YTW_SPREAD_TO_MATURITY_AT_ISSU")</f>
        <v>40.827813698630131</v>
      </c>
      <c r="O1227" t="str">
        <f>_xll.BDP("414199PV Muni","BVAL_MID_YTM")</f>
        <v>#N/A Authorization</v>
      </c>
      <c r="P1227" t="str">
        <f>_xll.BDP("414199PV Muni","MUNI_TAX_PROV")</f>
        <v>FED TAX-EXEMPT</v>
      </c>
      <c r="Q1227" t="str">
        <f>_xll.BDP("414199PV Muni","MUNI_FED_TAX")</f>
        <v>N</v>
      </c>
      <c r="R1227" t="str">
        <f>_xll.BDP("414199PV Muni","MUNI_MSRB_VOLUME")</f>
        <v>#N/A N/A</v>
      </c>
      <c r="S1227" t="str">
        <f>_xll.BDP("414199PV Muni","BB_COMPOSITE")</f>
        <v>AA-</v>
      </c>
      <c r="T1227">
        <f>_xll.BDP("414199PV Muni","LQA_LIQUIDITY_SCORE")</f>
        <v>98</v>
      </c>
    </row>
    <row r="1228" spans="1:20" x14ac:dyDescent="0.25">
      <c r="A1228" t="str">
        <f>_xll.BDP("414199PW Muni","ID_CUSIP")</f>
        <v>414199PW3</v>
      </c>
      <c r="B1228" t="s">
        <v>380</v>
      </c>
      <c r="C1228" t="str">
        <f>_xll.BDP("414199PW Muni","INSURANCE_STATUS")</f>
        <v>Y</v>
      </c>
      <c r="D1228" t="str">
        <f>_xll.BDP("414199PW Muni","STATE_CODE")</f>
        <v>TX</v>
      </c>
      <c r="E1228" t="str">
        <f>_xll.BDP("414199PW Muni","COUNTY_LOCATION_ISSUER")</f>
        <v>Harris, TX</v>
      </c>
      <c r="F1228">
        <f>_xll.BDP("414199PW Muni","DUR_ADJ_MID")</f>
        <v>1.050752268121389</v>
      </c>
      <c r="G1228">
        <f>_xll.BDP("414199PW Muni","SPREAD_AT_ISSUANCE_TO_WORST")</f>
        <v>39.762191780821922</v>
      </c>
      <c r="H1228" t="str">
        <f>_xll.BDP("414199PW Muni","ISSUE_DT")</f>
        <v>12/1/2017</v>
      </c>
      <c r="I1228" t="str">
        <f>_xll.BDS("414199PW Muni","MUNI_PURPOSE_SCHED", "aggregate=y")</f>
        <v>WATER UTILITY IMPS. PROPERTY ACQUISITION SEWER IMPS.</v>
      </c>
      <c r="J1228">
        <f>_xll.BDP("414199PW Muni","CPN")</f>
        <v>3</v>
      </c>
      <c r="K1228" t="str">
        <f>_xll.BDP("414199PW Muni","MATURITY")</f>
        <v>9/1/2023</v>
      </c>
      <c r="L1228">
        <v>375000</v>
      </c>
      <c r="M1228">
        <f>_xll.BDP("414199PW Muni","YIELD_ON_ISSUE_DATE")</f>
        <v>2</v>
      </c>
      <c r="N1228">
        <f>_xll.BDP("414199PW Muni","YTW_SPREAD_TO_MATURITY_AT_ISSU")</f>
        <v>39.762191780821922</v>
      </c>
      <c r="O1228" t="str">
        <f>_xll.BDP("414199PW Muni","BVAL_MID_YTM")</f>
        <v>#N/A Authorization</v>
      </c>
      <c r="P1228" t="str">
        <f>_xll.BDP("414199PW Muni","MUNI_TAX_PROV")</f>
        <v>FED TAX-EXEMPT</v>
      </c>
      <c r="Q1228" t="str">
        <f>_xll.BDP("414199PW Muni","MUNI_FED_TAX")</f>
        <v>N</v>
      </c>
      <c r="R1228" t="str">
        <f>_xll.BDP("414199PW Muni","MUNI_MSRB_VOLUME")</f>
        <v>#N/A N/A</v>
      </c>
      <c r="S1228" t="str">
        <f>_xll.BDP("414199PW Muni","BB_COMPOSITE")</f>
        <v>AA-</v>
      </c>
      <c r="T1228">
        <f>_xll.BDP("414199PW Muni","LQA_LIQUIDITY_SCORE")</f>
        <v>92</v>
      </c>
    </row>
    <row r="1229" spans="1:20" x14ac:dyDescent="0.25">
      <c r="A1229" t="str">
        <f>_xll.BDP("414199PX Muni","ID_CUSIP")</f>
        <v>414199PX1</v>
      </c>
      <c r="B1229" t="s">
        <v>380</v>
      </c>
      <c r="C1229" t="str">
        <f>_xll.BDP("414199PX Muni","INSURANCE_STATUS")</f>
        <v>Y</v>
      </c>
      <c r="D1229" t="str">
        <f>_xll.BDP("414199PX Muni","STATE_CODE")</f>
        <v>TX</v>
      </c>
      <c r="E1229" t="str">
        <f>_xll.BDP("414199PX Muni","COUNTY_LOCATION_ISSUER")</f>
        <v>Harris, TX</v>
      </c>
      <c r="F1229">
        <f>_xll.BDP("414199PX Muni","DUR_ADJ_MID")</f>
        <v>1.9914765388336726</v>
      </c>
      <c r="G1229">
        <f>_xll.BDP("414199PX Muni","SPREAD_AT_ISSUANCE_TO_WORST")</f>
        <v>44.346947945205486</v>
      </c>
      <c r="H1229" t="str">
        <f>_xll.BDP("414199PX Muni","ISSUE_DT")</f>
        <v>12/1/2017</v>
      </c>
      <c r="I1229" t="str">
        <f>_xll.BDS("414199PX Muni","MUNI_PURPOSE_SCHED", "aggregate=y")</f>
        <v>WATER UTILITY IMPS. PROPERTY ACQUISITION SEWER IMPS.</v>
      </c>
      <c r="J1229">
        <f>_xll.BDP("414199PX Muni","CPN")</f>
        <v>3</v>
      </c>
      <c r="K1229" t="str">
        <f>_xll.BDP("414199PX Muni","MATURITY")</f>
        <v>9/1/2024</v>
      </c>
      <c r="L1229">
        <v>345000</v>
      </c>
      <c r="M1229">
        <f>_xll.BDP("414199PX Muni","YIELD_ON_ISSUE_DATE")</f>
        <v>2.15</v>
      </c>
      <c r="N1229">
        <f>_xll.BDP("414199PX Muni","YTW_SPREAD_TO_MATURITY_AT_ISSU")</f>
        <v>44.346947945205486</v>
      </c>
      <c r="O1229" t="str">
        <f>_xll.BDP("414199PX Muni","BVAL_MID_YTM")</f>
        <v>#N/A Authorization</v>
      </c>
      <c r="P1229" t="str">
        <f>_xll.BDP("414199PX Muni","MUNI_TAX_PROV")</f>
        <v>FED TAX-EXEMPT</v>
      </c>
      <c r="Q1229" t="str">
        <f>_xll.BDP("414199PX Muni","MUNI_FED_TAX")</f>
        <v>N</v>
      </c>
      <c r="R1229">
        <f>_xll.BDP("414199PX Muni","MUNI_MSRB_VOLUME")</f>
        <v>285000</v>
      </c>
      <c r="S1229" t="str">
        <f>_xll.BDP("414199PX Muni","BB_COMPOSITE")</f>
        <v>AA-</v>
      </c>
      <c r="T1229">
        <f>_xll.BDP("414199PX Muni","LQA_LIQUIDITY_SCORE")</f>
        <v>80</v>
      </c>
    </row>
    <row r="1230" spans="1:20" x14ac:dyDescent="0.25">
      <c r="A1230" t="str">
        <f>_xll.BDP("414199PY Muni","ID_CUSIP")</f>
        <v>414199PY9</v>
      </c>
      <c r="B1230" t="s">
        <v>380</v>
      </c>
      <c r="C1230" t="str">
        <f>_xll.BDP("414199PY Muni","INSURANCE_STATUS")</f>
        <v>Y</v>
      </c>
      <c r="D1230" t="str">
        <f>_xll.BDP("414199PY Muni","STATE_CODE")</f>
        <v>TX</v>
      </c>
      <c r="E1230" t="str">
        <f>_xll.BDP("414199PY Muni","COUNTY_LOCATION_ISSUER")</f>
        <v>Harris, TX</v>
      </c>
      <c r="F1230">
        <f>_xll.BDP("414199PY Muni","DUR_ADJ_MID")</f>
        <v>2.9055469365271578</v>
      </c>
      <c r="G1230">
        <f>_xll.BDP("414199PY Muni","SPREAD_AT_ISSUANCE_TO_WORST")</f>
        <v>43.219084931506856</v>
      </c>
      <c r="H1230" t="str">
        <f>_xll.BDP("414199PY Muni","ISSUE_DT")</f>
        <v>12/1/2017</v>
      </c>
      <c r="I1230" t="str">
        <f>_xll.BDS("414199PY Muni","MUNI_PURPOSE_SCHED", "aggregate=y")</f>
        <v>WATER UTILITY IMPS. PROPERTY ACQUISITION SEWER IMPS.</v>
      </c>
      <c r="J1230">
        <f>_xll.BDP("414199PY Muni","CPN")</f>
        <v>3</v>
      </c>
      <c r="K1230" t="str">
        <f>_xll.BDP("414199PY Muni","MATURITY")</f>
        <v>9/1/2025</v>
      </c>
      <c r="L1230">
        <v>305000</v>
      </c>
      <c r="M1230">
        <f>_xll.BDP("414199PY Muni","YIELD_ON_ISSUE_DATE")</f>
        <v>2.25</v>
      </c>
      <c r="N1230">
        <f>_xll.BDP("414199PY Muni","YTW_SPREAD_TO_MATURITY_AT_ISSU")</f>
        <v>43.219084931506856</v>
      </c>
      <c r="O1230" t="str">
        <f>_xll.BDP("414199PY Muni","BVAL_MID_YTM")</f>
        <v>#N/A Authorization</v>
      </c>
      <c r="P1230" t="str">
        <f>_xll.BDP("414199PY Muni","MUNI_TAX_PROV")</f>
        <v>FED TAX-EXEMPT</v>
      </c>
      <c r="Q1230" t="str">
        <f>_xll.BDP("414199PY Muni","MUNI_FED_TAX")</f>
        <v>N</v>
      </c>
      <c r="R1230" t="str">
        <f>_xll.BDP("414199PY Muni","MUNI_MSRB_VOLUME")</f>
        <v>#N/A N/A</v>
      </c>
      <c r="S1230" t="str">
        <f>_xll.BDP("414199PY Muni","BB_COMPOSITE")</f>
        <v>AA-</v>
      </c>
      <c r="T1230">
        <f>_xll.BDP("414199PY Muni","LQA_LIQUIDITY_SCORE")</f>
        <v>66</v>
      </c>
    </row>
    <row r="1231" spans="1:20" x14ac:dyDescent="0.25">
      <c r="A1231" t="str">
        <f>_xll.BDP("41419KHF Muni","ID_CUSIP")</f>
        <v>41419KHF4</v>
      </c>
      <c r="B1231" t="s">
        <v>381</v>
      </c>
      <c r="C1231" t="str">
        <f>_xll.BDP("41419KHF Muni","INSURANCE_STATUS")</f>
        <v>Y</v>
      </c>
      <c r="D1231" t="str">
        <f>_xll.BDP("41419KHF Muni","STATE_CODE")</f>
        <v>TX</v>
      </c>
      <c r="E1231" t="str">
        <f>_xll.BDP("41419KHF Muni","COUNTY_LOCATION_ISSUER")</f>
        <v>Harris, TX</v>
      </c>
      <c r="F1231">
        <f>_xll.BDP("41419KHF Muni","DUR_ADJ_MID")</f>
        <v>8.0479337951124358E-2</v>
      </c>
      <c r="G1231">
        <f>_xll.BDP("41419KHF Muni","SPREAD_AT_ISSUANCE_TO_WORST")</f>
        <v>29.622432591562987</v>
      </c>
      <c r="H1231" t="str">
        <f>_xll.BDP("41419KHF Muni","ISSUE_DT")</f>
        <v>6/1/2017</v>
      </c>
      <c r="I1231" t="str">
        <f>_xll.BDS("41419KHF Muni","MUNI_PURPOSE_SCHED", "aggregate=y")</f>
        <v>PROPERTY ACQUISITION WATER UTILITY IMPS. SEWER IMPS.</v>
      </c>
      <c r="J1231">
        <f>_xll.BDP("41419KHF Muni","CPN")</f>
        <v>2</v>
      </c>
      <c r="K1231" t="str">
        <f>_xll.BDP("41419KHF Muni","MATURITY")</f>
        <v>9/1/2022</v>
      </c>
      <c r="L1231">
        <v>240000</v>
      </c>
      <c r="M1231">
        <f>_xll.BDP("41419KHF Muni","YIELD_ON_ISSUE_DATE")</f>
        <v>1.6500000000000001</v>
      </c>
      <c r="N1231">
        <f>_xll.BDP("41419KHF Muni","YTW_SPREAD_TO_MATURITY_AT_ISSU")</f>
        <v>29.622432591562987</v>
      </c>
      <c r="O1231" t="str">
        <f>_xll.BDP("41419KHF Muni","BVAL_MID_YTM")</f>
        <v>#N/A Authorization</v>
      </c>
      <c r="P1231" t="str">
        <f>_xll.BDP("41419KHF Muni","MUNI_TAX_PROV")</f>
        <v>FED BQ</v>
      </c>
      <c r="Q1231" t="str">
        <f>_xll.BDP("41419KHF Muni","MUNI_FED_TAX")</f>
        <v>N</v>
      </c>
      <c r="R1231" t="str">
        <f>_xll.BDP("41419KHF Muni","MUNI_MSRB_VOLUME")</f>
        <v>#N/A N/A</v>
      </c>
      <c r="S1231" t="str">
        <f>_xll.BDP("41419KHF Muni","BB_COMPOSITE")</f>
        <v>#N/A N/A</v>
      </c>
      <c r="T1231">
        <f>_xll.BDP("41419KHF Muni","LQA_LIQUIDITY_SCORE")</f>
        <v>97</v>
      </c>
    </row>
    <row r="1232" spans="1:20" x14ac:dyDescent="0.25">
      <c r="A1232" t="str">
        <f>_xll.BDP("41419KHG Muni","ID_CUSIP")</f>
        <v>41419KHG2</v>
      </c>
      <c r="B1232" t="s">
        <v>381</v>
      </c>
      <c r="C1232" t="str">
        <f>_xll.BDP("41419KHG Muni","INSURANCE_STATUS")</f>
        <v>Y</v>
      </c>
      <c r="D1232" t="str">
        <f>_xll.BDP("41419KHG Muni","STATE_CODE")</f>
        <v>TX</v>
      </c>
      <c r="E1232" t="str">
        <f>_xll.BDP("41419KHG Muni","COUNTY_LOCATION_ISSUER")</f>
        <v>Harris, TX</v>
      </c>
      <c r="F1232">
        <f>_xll.BDP("41419KHG Muni","DUR_ADJ_MID")</f>
        <v>1.0564170120050256</v>
      </c>
      <c r="G1232">
        <f>_xll.BDP("41419KHG Muni","SPREAD_AT_ISSUANCE_TO_WORST")</f>
        <v>28.456914339736915</v>
      </c>
      <c r="H1232" t="str">
        <f>_xll.BDP("41419KHG Muni","ISSUE_DT")</f>
        <v>6/1/2017</v>
      </c>
      <c r="I1232" t="str">
        <f>_xll.BDS("41419KHG Muni","MUNI_PURPOSE_SCHED", "aggregate=y")</f>
        <v>PROPERTY ACQUISITION WATER UTILITY IMPS. SEWER IMPS.</v>
      </c>
      <c r="J1232">
        <f>_xll.BDP("41419KHG Muni","CPN")</f>
        <v>2</v>
      </c>
      <c r="K1232" t="str">
        <f>_xll.BDP("41419KHG Muni","MATURITY")</f>
        <v>9/1/2023</v>
      </c>
      <c r="L1232">
        <v>250000</v>
      </c>
      <c r="M1232">
        <f>_xll.BDP("41419KHG Muni","YIELD_ON_ISSUE_DATE")</f>
        <v>1.8</v>
      </c>
      <c r="N1232">
        <f>_xll.BDP("41419KHG Muni","YTW_SPREAD_TO_MATURITY_AT_ISSU")</f>
        <v>28.456914339736915</v>
      </c>
      <c r="O1232" t="str">
        <f>_xll.BDP("41419KHG Muni","BVAL_MID_YTM")</f>
        <v>#N/A Authorization</v>
      </c>
      <c r="P1232" t="str">
        <f>_xll.BDP("41419KHG Muni","MUNI_TAX_PROV")</f>
        <v>FED BQ</v>
      </c>
      <c r="Q1232" t="str">
        <f>_xll.BDP("41419KHG Muni","MUNI_FED_TAX")</f>
        <v>N</v>
      </c>
      <c r="R1232" t="str">
        <f>_xll.BDP("41419KHG Muni","MUNI_MSRB_VOLUME")</f>
        <v>#N/A N/A</v>
      </c>
      <c r="S1232" t="str">
        <f>_xll.BDP("41419KHG Muni","BB_COMPOSITE")</f>
        <v>#N/A N/A</v>
      </c>
      <c r="T1232">
        <f>_xll.BDP("41419KHG Muni","LQA_LIQUIDITY_SCORE")</f>
        <v>66</v>
      </c>
    </row>
    <row r="1233" spans="1:20" x14ac:dyDescent="0.25">
      <c r="A1233" t="str">
        <f>_xll.BDP("41419KHH Muni","ID_CUSIP")</f>
        <v>41419KHH0</v>
      </c>
      <c r="B1233" t="s">
        <v>381</v>
      </c>
      <c r="C1233" t="str">
        <f>_xll.BDP("41419KHH Muni","INSURANCE_STATUS")</f>
        <v>Y</v>
      </c>
      <c r="D1233" t="str">
        <f>_xll.BDP("41419KHH Muni","STATE_CODE")</f>
        <v>TX</v>
      </c>
      <c r="E1233" t="str">
        <f>_xll.BDP("41419KHH Muni","COUNTY_LOCATION_ISSUER")</f>
        <v>Harris, TX</v>
      </c>
      <c r="F1233">
        <f>_xll.BDP("41419KHH Muni","DUR_ADJ_MID")</f>
        <v>2.011322034751319</v>
      </c>
      <c r="G1233">
        <f>_xll.BDP("41419KHH Muni","SPREAD_AT_ISSUANCE_TO_WORST")</f>
        <v>32.21258159763596</v>
      </c>
      <c r="H1233" t="str">
        <f>_xll.BDP("41419KHH Muni","ISSUE_DT")</f>
        <v>6/1/2017</v>
      </c>
      <c r="I1233" t="str">
        <f>_xll.BDS("41419KHH Muni","MUNI_PURPOSE_SCHED", "aggregate=y")</f>
        <v>PROPERTY ACQUISITION WATER UTILITY IMPS. SEWER IMPS.</v>
      </c>
      <c r="J1233">
        <f>_xll.BDP("41419KHH Muni","CPN")</f>
        <v>2</v>
      </c>
      <c r="K1233" t="str">
        <f>_xll.BDP("41419KHH Muni","MATURITY")</f>
        <v>9/1/2024</v>
      </c>
      <c r="L1233">
        <v>260000</v>
      </c>
      <c r="M1233">
        <f>_xll.BDP("41419KHH Muni","YIELD_ON_ISSUE_DATE")</f>
        <v>2</v>
      </c>
      <c r="N1233">
        <f>_xll.BDP("41419KHH Muni","YTW_SPREAD_TO_MATURITY_AT_ISSU")</f>
        <v>32.21258159763596</v>
      </c>
      <c r="O1233" t="str">
        <f>_xll.BDP("41419KHH Muni","BVAL_MID_YTM")</f>
        <v>#N/A Authorization</v>
      </c>
      <c r="P1233" t="str">
        <f>_xll.BDP("41419KHH Muni","MUNI_TAX_PROV")</f>
        <v>FED BQ</v>
      </c>
      <c r="Q1233" t="str">
        <f>_xll.BDP("41419KHH Muni","MUNI_FED_TAX")</f>
        <v>N</v>
      </c>
      <c r="R1233" t="str">
        <f>_xll.BDP("41419KHH Muni","MUNI_MSRB_VOLUME")</f>
        <v>#N/A N/A</v>
      </c>
      <c r="S1233" t="str">
        <f>_xll.BDP("41419KHH Muni","BB_COMPOSITE")</f>
        <v>#N/A N/A</v>
      </c>
      <c r="T1233">
        <f>_xll.BDP("41419KHH Muni","LQA_LIQUIDITY_SCORE")</f>
        <v>61</v>
      </c>
    </row>
    <row r="1234" spans="1:20" x14ac:dyDescent="0.25">
      <c r="A1234" t="str">
        <f>_xll.BDP("41419KHJ Muni","ID_CUSIP")</f>
        <v>41419KHJ6</v>
      </c>
      <c r="B1234" t="s">
        <v>381</v>
      </c>
      <c r="C1234" t="str">
        <f>_xll.BDP("41419KHJ Muni","INSURANCE_STATUS")</f>
        <v>Y</v>
      </c>
      <c r="D1234" t="str">
        <f>_xll.BDP("41419KHJ Muni","STATE_CODE")</f>
        <v>TX</v>
      </c>
      <c r="E1234" t="str">
        <f>_xll.BDP("41419KHJ Muni","COUNTY_LOCATION_ISSUER")</f>
        <v>Harris, TX</v>
      </c>
      <c r="F1234">
        <f>_xll.BDP("41419KHJ Muni","DUR_ADJ_MID")</f>
        <v>2.9396828894752285</v>
      </c>
      <c r="G1234">
        <f>_xll.BDP("41419KHJ Muni","SPREAD_AT_ISSUANCE_TO_WORST")</f>
        <v>31.56043002238864</v>
      </c>
      <c r="H1234" t="str">
        <f>_xll.BDP("41419KHJ Muni","ISSUE_DT")</f>
        <v>6/1/2017</v>
      </c>
      <c r="I1234" t="str">
        <f>_xll.BDS("41419KHJ Muni","MUNI_PURPOSE_SCHED", "aggregate=y")</f>
        <v>PROPERTY ACQUISITION WATER UTILITY IMPS. SEWER IMPS.</v>
      </c>
      <c r="J1234">
        <f>_xll.BDP("41419KHJ Muni","CPN")</f>
        <v>2.15</v>
      </c>
      <c r="K1234" t="str">
        <f>_xll.BDP("41419KHJ Muni","MATURITY")</f>
        <v>9/1/2025</v>
      </c>
      <c r="L1234">
        <v>275000</v>
      </c>
      <c r="M1234">
        <f>_xll.BDP("41419KHJ Muni","YIELD_ON_ISSUE_DATE")</f>
        <v>2.15</v>
      </c>
      <c r="N1234">
        <f>_xll.BDP("41419KHJ Muni","YTW_SPREAD_TO_MATURITY_AT_ISSU")</f>
        <v>31.56043002238864</v>
      </c>
      <c r="O1234" t="str">
        <f>_xll.BDP("41419KHJ Muni","BVAL_MID_YTM")</f>
        <v>#N/A Authorization</v>
      </c>
      <c r="P1234" t="str">
        <f>_xll.BDP("41419KHJ Muni","MUNI_TAX_PROV")</f>
        <v>FED BQ</v>
      </c>
      <c r="Q1234" t="str">
        <f>_xll.BDP("41419KHJ Muni","MUNI_FED_TAX")</f>
        <v>N</v>
      </c>
      <c r="R1234" t="str">
        <f>_xll.BDP("41419KHJ Muni","MUNI_MSRB_VOLUME")</f>
        <v>#N/A N/A</v>
      </c>
      <c r="S1234" t="str">
        <f>_xll.BDP("41419KHJ Muni","BB_COMPOSITE")</f>
        <v>#N/A N/A</v>
      </c>
      <c r="T1234">
        <f>_xll.BDP("41419KHJ Muni","LQA_LIQUIDITY_SCORE")</f>
        <v>52</v>
      </c>
    </row>
    <row r="1235" spans="1:20" x14ac:dyDescent="0.25">
      <c r="A1235" t="str">
        <f>_xll.BDP("41419QCB Muni","ID_CUSIP")</f>
        <v>41419QCB5</v>
      </c>
      <c r="B1235" t="s">
        <v>382</v>
      </c>
      <c r="C1235" t="str">
        <f>_xll.BDP("41419QCB Muni","INSURANCE_STATUS")</f>
        <v>N</v>
      </c>
      <c r="D1235" t="str">
        <f>_xll.BDP("41419QCB Muni","STATE_CODE")</f>
        <v>TX</v>
      </c>
      <c r="E1235" t="str">
        <f>_xll.BDP("41419QCB Muni","COUNTY_LOCATION_ISSUER")</f>
        <v>Harris, TX</v>
      </c>
      <c r="F1235">
        <f>_xll.BDP("41419QCB Muni","DUR_ADJ_MID")</f>
        <v>0.65070763435631762</v>
      </c>
      <c r="G1235">
        <f>_xll.BDP("41419QCB Muni","SPREAD_AT_ISSUANCE_TO_WORST")</f>
        <v>98.349589041095868</v>
      </c>
      <c r="H1235" t="str">
        <f>_xll.BDP("41419QCB Muni","ISSUE_DT")</f>
        <v>12/1/2017</v>
      </c>
      <c r="I1235" t="str">
        <f>_xll.BDS("41419QCB Muni","MUNI_PURPOSE_SCHED", "aggregate=y")</f>
        <v>WATER UTILITY IMPS. SEWER IMPS.</v>
      </c>
      <c r="J1235">
        <f>_xll.BDP("41419QCB Muni","CPN")</f>
        <v>2.8</v>
      </c>
      <c r="K1235" t="str">
        <f>_xll.BDP("41419QCB Muni","MATURITY")</f>
        <v>4/1/2023</v>
      </c>
      <c r="L1235">
        <v>100000</v>
      </c>
      <c r="M1235">
        <f>_xll.BDP("41419QCB Muni","YIELD_ON_ISSUE_DATE")</f>
        <v>2.8000000000000003</v>
      </c>
      <c r="N1235">
        <f>_xll.BDP("41419QCB Muni","YTW_SPREAD_TO_MATURITY_AT_ISSU")</f>
        <v>98.349589041095868</v>
      </c>
      <c r="O1235" t="str">
        <f>_xll.BDP("41419QCB Muni","BVAL_MID_YTM")</f>
        <v>#N/A Authorization</v>
      </c>
      <c r="P1235" t="str">
        <f>_xll.BDP("41419QCB Muni","MUNI_TAX_PROV")</f>
        <v>FED BQ</v>
      </c>
      <c r="Q1235" t="str">
        <f>_xll.BDP("41419QCB Muni","MUNI_FED_TAX")</f>
        <v>N</v>
      </c>
      <c r="R1235" t="str">
        <f>_xll.BDP("41419QCB Muni","MUNI_MSRB_VOLUME")</f>
        <v>#N/A N/A</v>
      </c>
      <c r="S1235" t="str">
        <f>_xll.BDP("41419QCB Muni","BB_COMPOSITE")</f>
        <v>#N/A N/A</v>
      </c>
      <c r="T1235">
        <f>_xll.BDP("41419QCB Muni","LQA_LIQUIDITY_SCORE")</f>
        <v>81</v>
      </c>
    </row>
    <row r="1236" spans="1:20" x14ac:dyDescent="0.25">
      <c r="A1236" t="str">
        <f>_xll.BDP("41419RSS Muni","ID_CUSIP")</f>
        <v>41419RSS9</v>
      </c>
      <c r="B1236" t="s">
        <v>383</v>
      </c>
      <c r="C1236" t="str">
        <f>_xll.BDP("41419RSS Muni","INSURANCE_STATUS")</f>
        <v>Y</v>
      </c>
      <c r="D1236" t="str">
        <f>_xll.BDP("41419RSS Muni","STATE_CODE")</f>
        <v>TX</v>
      </c>
      <c r="E1236" t="str">
        <f>_xll.BDP("41419RSS Muni","COUNTY_LOCATION_ISSUER")</f>
        <v>Harris, TX</v>
      </c>
      <c r="F1236">
        <f>_xll.BDP("41419RSS Muni","DUR_ADJ_MID")</f>
        <v>8.047050265030764E-2</v>
      </c>
      <c r="G1236">
        <f>_xll.BDP("41419RSS Muni","SPREAD_AT_ISSUANCE_TO_WORST")</f>
        <v>45.716553522296223</v>
      </c>
      <c r="H1236" t="str">
        <f>_xll.BDP("41419RSS Muni","ISSUE_DT")</f>
        <v>9/1/2017</v>
      </c>
      <c r="I1236" t="str">
        <f>_xll.BDS("41419RSS Muni","MUNI_PURPOSE_SCHED", "aggregate=y")</f>
        <v>CORRECTIONAL FAC. IMPS. WATER UTILITY IMPS. SEWER IMPS.</v>
      </c>
      <c r="J1236">
        <f>_xll.BDP("41419RSS Muni","CPN")</f>
        <v>3</v>
      </c>
      <c r="K1236" t="str">
        <f>_xll.BDP("41419RSS Muni","MATURITY")</f>
        <v>9/1/2022</v>
      </c>
      <c r="L1236">
        <v>25000</v>
      </c>
      <c r="M1236">
        <f>_xll.BDP("41419RSS Muni","YIELD_ON_ISSUE_DATE")</f>
        <v>1.6</v>
      </c>
      <c r="N1236">
        <f>_xll.BDP("41419RSS Muni","YTW_SPREAD_TO_MATURITY_AT_ISSU")</f>
        <v>45.716553522296223</v>
      </c>
      <c r="O1236" t="str">
        <f>_xll.BDP("41419RSS Muni","BVAL_MID_YTM")</f>
        <v>#N/A Authorization</v>
      </c>
      <c r="P1236" t="str">
        <f>_xll.BDP("41419RSS Muni","MUNI_TAX_PROV")</f>
        <v>FED BQ</v>
      </c>
      <c r="Q1236" t="str">
        <f>_xll.BDP("41419RSS Muni","MUNI_FED_TAX")</f>
        <v>N</v>
      </c>
      <c r="R1236" t="str">
        <f>_xll.BDP("41419RSS Muni","MUNI_MSRB_VOLUME")</f>
        <v>#N/A N/A</v>
      </c>
      <c r="S1236" t="str">
        <f>_xll.BDP("41419RSS Muni","BB_COMPOSITE")</f>
        <v>A+</v>
      </c>
      <c r="T1236">
        <f>_xll.BDP("41419RSS Muni","LQA_LIQUIDITY_SCORE")</f>
        <v>99</v>
      </c>
    </row>
    <row r="1237" spans="1:20" x14ac:dyDescent="0.25">
      <c r="A1237" t="str">
        <f>_xll.BDP("41419RST Muni","ID_CUSIP")</f>
        <v>41419RST7</v>
      </c>
      <c r="B1237" t="s">
        <v>383</v>
      </c>
      <c r="C1237" t="str">
        <f>_xll.BDP("41419RST Muni","INSURANCE_STATUS")</f>
        <v>Y</v>
      </c>
      <c r="D1237" t="str">
        <f>_xll.BDP("41419RST Muni","STATE_CODE")</f>
        <v>TX</v>
      </c>
      <c r="E1237" t="str">
        <f>_xll.BDP("41419RST Muni","COUNTY_LOCATION_ISSUER")</f>
        <v>Harris, TX</v>
      </c>
      <c r="F1237">
        <f>_xll.BDP("41419RST Muni","DUR_ADJ_MID")</f>
        <v>1.0486728994623224</v>
      </c>
      <c r="G1237">
        <f>_xll.BDP("41419RST Muni","SPREAD_AT_ISSUANCE_TO_WORST")</f>
        <v>45.701434413702316</v>
      </c>
      <c r="H1237" t="str">
        <f>_xll.BDP("41419RST Muni","ISSUE_DT")</f>
        <v>9/1/2017</v>
      </c>
      <c r="I1237" t="str">
        <f>_xll.BDS("41419RST Muni","MUNI_PURPOSE_SCHED", "aggregate=y")</f>
        <v>CORRECTIONAL FAC. IMPS. WATER UTILITY IMPS. SEWER IMPS.</v>
      </c>
      <c r="J1237">
        <f>_xll.BDP("41419RST Muni","CPN")</f>
        <v>3</v>
      </c>
      <c r="K1237" t="str">
        <f>_xll.BDP("41419RST Muni","MATURITY")</f>
        <v>9/1/2023</v>
      </c>
      <c r="L1237">
        <v>25000</v>
      </c>
      <c r="M1237">
        <f>_xll.BDP("41419RST Muni","YIELD_ON_ISSUE_DATE")</f>
        <v>1.75</v>
      </c>
      <c r="N1237">
        <f>_xll.BDP("41419RST Muni","YTW_SPREAD_TO_MATURITY_AT_ISSU")</f>
        <v>45.701434413702316</v>
      </c>
      <c r="O1237" t="str">
        <f>_xll.BDP("41419RST Muni","BVAL_MID_YTM")</f>
        <v>#N/A Authorization</v>
      </c>
      <c r="P1237" t="str">
        <f>_xll.BDP("41419RST Muni","MUNI_TAX_PROV")</f>
        <v>FED BQ</v>
      </c>
      <c r="Q1237" t="str">
        <f>_xll.BDP("41419RST Muni","MUNI_FED_TAX")</f>
        <v>N</v>
      </c>
      <c r="R1237" t="str">
        <f>_xll.BDP("41419RST Muni","MUNI_MSRB_VOLUME")</f>
        <v>#N/A N/A</v>
      </c>
      <c r="S1237" t="str">
        <f>_xll.BDP("41419RST Muni","BB_COMPOSITE")</f>
        <v>A+</v>
      </c>
      <c r="T1237">
        <f>_xll.BDP("41419RST Muni","LQA_LIQUIDITY_SCORE")</f>
        <v>87</v>
      </c>
    </row>
    <row r="1238" spans="1:20" x14ac:dyDescent="0.25">
      <c r="A1238" t="str">
        <f>_xll.BDP("41419RSU Muni","ID_CUSIP")</f>
        <v>41419RSU4</v>
      </c>
      <c r="B1238" t="s">
        <v>383</v>
      </c>
      <c r="C1238" t="str">
        <f>_xll.BDP("41419RSU Muni","INSURANCE_STATUS")</f>
        <v>Y</v>
      </c>
      <c r="D1238" t="str">
        <f>_xll.BDP("41419RSU Muni","STATE_CODE")</f>
        <v>TX</v>
      </c>
      <c r="E1238" t="str">
        <f>_xll.BDP("41419RSU Muni","COUNTY_LOCATION_ISSUER")</f>
        <v>Harris, TX</v>
      </c>
      <c r="F1238">
        <f>_xll.BDP("41419RSU Muni","DUR_ADJ_MID")</f>
        <v>1.9872595849603678</v>
      </c>
      <c r="G1238">
        <f>_xll.BDP("41419RSU Muni","SPREAD_AT_ISSUANCE_TO_WORST")</f>
        <v>45.366575889905562</v>
      </c>
      <c r="H1238" t="str">
        <f>_xll.BDP("41419RSU Muni","ISSUE_DT")</f>
        <v>9/1/2017</v>
      </c>
      <c r="I1238" t="str">
        <f>_xll.BDS("41419RSU Muni","MUNI_PURPOSE_SCHED", "aggregate=y")</f>
        <v>CORRECTIONAL FAC. IMPS. WATER UTILITY IMPS. SEWER IMPS.</v>
      </c>
      <c r="J1238">
        <f>_xll.BDP("41419RSU Muni","CPN")</f>
        <v>3</v>
      </c>
      <c r="K1238" t="str">
        <f>_xll.BDP("41419RSU Muni","MATURITY")</f>
        <v>9/1/2024</v>
      </c>
      <c r="L1238">
        <v>25000</v>
      </c>
      <c r="M1238">
        <f>_xll.BDP("41419RSU Muni","YIELD_ON_ISSUE_DATE")</f>
        <v>1.9000000000000001</v>
      </c>
      <c r="N1238">
        <f>_xll.BDP("41419RSU Muni","YTW_SPREAD_TO_MATURITY_AT_ISSU")</f>
        <v>45.366575889905562</v>
      </c>
      <c r="O1238" t="str">
        <f>_xll.BDP("41419RSU Muni","BVAL_MID_YTM")</f>
        <v>#N/A Authorization</v>
      </c>
      <c r="P1238" t="str">
        <f>_xll.BDP("41419RSU Muni","MUNI_TAX_PROV")</f>
        <v>FED BQ</v>
      </c>
      <c r="Q1238" t="str">
        <f>_xll.BDP("41419RSU Muni","MUNI_FED_TAX")</f>
        <v>N</v>
      </c>
      <c r="R1238" t="str">
        <f>_xll.BDP("41419RSU Muni","MUNI_MSRB_VOLUME")</f>
        <v>#N/A N/A</v>
      </c>
      <c r="S1238" t="str">
        <f>_xll.BDP("41419RSU Muni","BB_COMPOSITE")</f>
        <v>A+</v>
      </c>
      <c r="T1238">
        <f>_xll.BDP("41419RSU Muni","LQA_LIQUIDITY_SCORE")</f>
        <v>76</v>
      </c>
    </row>
    <row r="1239" spans="1:20" x14ac:dyDescent="0.25">
      <c r="A1239" t="str">
        <f>_xll.BDP("275791GE Muni","ID_CUSIP")</f>
        <v>275791GE5</v>
      </c>
      <c r="B1239" t="s">
        <v>351</v>
      </c>
      <c r="C1239" t="str">
        <f>_xll.BDP("275791GE Muni","INSURANCE_STATUS")</f>
        <v>N</v>
      </c>
      <c r="D1239" t="str">
        <f>_xll.BDP("275791GE Muni","STATE_CODE")</f>
        <v>WA</v>
      </c>
      <c r="E1239" t="str">
        <f>_xll.BDP("275791GE Muni","COUNTY_LOCATION_ISSUER")</f>
        <v>Douglas, WA</v>
      </c>
      <c r="F1239">
        <f>_xll.BDP("275791GE Muni","DUR_ADJ_MID")</f>
        <v>1.9225112400198219</v>
      </c>
      <c r="G1239">
        <f>_xll.BDP("275791GE Muni","SPREAD_AT_ISSUANCE_TO_WORST")</f>
        <v>21.230138347027783</v>
      </c>
      <c r="H1239" t="str">
        <f>_xll.BDP("275791GE Muni","ISSUE_DT")</f>
        <v>5/16/2017</v>
      </c>
      <c r="I1239" t="str">
        <f>_xll.BDS("275791GE Muni","MUNI_PURPOSE_SCHED", "aggregate=y")</f>
        <v>WATER UTILITY IMPS. ADVANCE REFUNDING</v>
      </c>
      <c r="J1239">
        <f>_xll.BDP("275791GE Muni","CPN")</f>
        <v>4</v>
      </c>
      <c r="K1239" t="str">
        <f>_xll.BDP("275791GE Muni","MATURITY")</f>
        <v>8/1/2024</v>
      </c>
      <c r="L1239">
        <v>245000</v>
      </c>
      <c r="M1239">
        <f>_xll.BDP("275791GE Muni","YIELD_ON_ISSUE_DATE")</f>
        <v>1.97</v>
      </c>
      <c r="N1239">
        <f>_xll.BDP("275791GE Muni","YTW_SPREAD_TO_MATURITY_AT_ISSU")</f>
        <v>21.230138347027783</v>
      </c>
      <c r="O1239" t="str">
        <f>_xll.BDP("275791GE Muni","BVAL_MID_YTM")</f>
        <v>#N/A Authorization</v>
      </c>
      <c r="P1239" t="str">
        <f>_xll.BDP("275791GE Muni","MUNI_TAX_PROV")</f>
        <v>FED BQ</v>
      </c>
      <c r="Q1239" t="str">
        <f>_xll.BDP("275791GE Muni","MUNI_FED_TAX")</f>
        <v>N</v>
      </c>
      <c r="R1239" t="str">
        <f>_xll.BDP("275791GE Muni","MUNI_MSRB_VOLUME")</f>
        <v>#N/A N/A</v>
      </c>
      <c r="S1239" t="str">
        <f>_xll.BDP("275791GE Muni","BB_COMPOSITE")</f>
        <v>#N/A N/A</v>
      </c>
      <c r="T1239">
        <f>_xll.BDP("275791GE Muni","LQA_LIQUIDITY_SCORE")</f>
        <v>61</v>
      </c>
    </row>
    <row r="1240" spans="1:20" x14ac:dyDescent="0.25">
      <c r="A1240" t="str">
        <f>_xll.BDP("27627MMR Muni","ID_CUSIP")</f>
        <v>27627MMR5</v>
      </c>
      <c r="B1240" t="s">
        <v>352</v>
      </c>
      <c r="C1240" t="str">
        <f>_xll.BDP("27627MMR Muni","INSURANCE_STATUS")</f>
        <v>N</v>
      </c>
      <c r="D1240" t="str">
        <f>_xll.BDP("27627MMR Muni","STATE_CODE")</f>
        <v>CA</v>
      </c>
      <c r="E1240" t="str">
        <f>_xll.BDP("27627MMR Muni","COUNTY_LOCATION_ISSUER")</f>
        <v>Riverside, CA</v>
      </c>
      <c r="F1240">
        <f>_xll.BDP("27627MMR Muni","DUR_ADJ_MID")</f>
        <v>1.9674709896168843</v>
      </c>
      <c r="G1240">
        <f>_xll.BDP("27627MMR Muni","SPREAD_AT_ISSUANCE_TO_WORST")</f>
        <v>69.598167123287652</v>
      </c>
      <c r="H1240" t="str">
        <f>_xll.BDP("27627MMR Muni","ISSUE_DT")</f>
        <v>11/16/2017</v>
      </c>
      <c r="I1240" t="str">
        <f>_xll.BDS("27627MMR Muni","MUNI_PURPOSE_SCHED", "aggregate=y")</f>
        <v>WATER UTILITY IMPS. SEWER IMPS.</v>
      </c>
      <c r="J1240">
        <f>_xll.BDP("27627MMR Muni","CPN")</f>
        <v>4</v>
      </c>
      <c r="K1240" t="str">
        <f>_xll.BDP("27627MMR Muni","MATURITY")</f>
        <v>9/1/2024</v>
      </c>
      <c r="L1240">
        <v>55000</v>
      </c>
      <c r="M1240">
        <f>_xll.BDP("27627MMR Muni","YIELD_ON_ISSUE_DATE")</f>
        <v>2.36</v>
      </c>
      <c r="N1240">
        <f>_xll.BDP("27627MMR Muni","YTW_SPREAD_TO_MATURITY_AT_ISSU")</f>
        <v>69.598167123287652</v>
      </c>
      <c r="O1240" t="str">
        <f>_xll.BDP("27627MMR Muni","BVAL_MID_YTM")</f>
        <v>#N/A Authorization</v>
      </c>
      <c r="P1240" t="str">
        <f>_xll.BDP("27627MMR Muni","MUNI_TAX_PROV")</f>
        <v>FED &amp; ST TAX-EXEMPT</v>
      </c>
      <c r="Q1240" t="str">
        <f>_xll.BDP("27627MMR Muni","MUNI_FED_TAX")</f>
        <v>N</v>
      </c>
      <c r="R1240" t="str">
        <f>_xll.BDP("27627MMR Muni","MUNI_MSRB_VOLUME")</f>
        <v>#N/A N/A</v>
      </c>
      <c r="S1240" t="str">
        <f>_xll.BDP("27627MMR Muni","BB_COMPOSITE")</f>
        <v>#N/A N/A</v>
      </c>
      <c r="T1240">
        <f>_xll.BDP("27627MMR Muni","LQA_LIQUIDITY_SCORE")</f>
        <v>71</v>
      </c>
    </row>
    <row r="1241" spans="1:20" x14ac:dyDescent="0.25">
      <c r="A1241" t="str">
        <f>_xll.BDP("280606AE Muni","ID_CUSIP")</f>
        <v>280606AE4</v>
      </c>
      <c r="B1241" t="s">
        <v>384</v>
      </c>
      <c r="C1241" t="str">
        <f>_xll.BDP("280606AE Muni","INSURANCE_STATUS")</f>
        <v>N</v>
      </c>
      <c r="D1241" t="str">
        <f>_xll.BDP("280606AE Muni","STATE_CODE")</f>
        <v>MN</v>
      </c>
      <c r="E1241" t="str">
        <f>_xll.BDP("280606AE Muni","COUNTY_LOCATION_ISSUER")</f>
        <v>Hennepin, MN</v>
      </c>
      <c r="F1241">
        <f>_xll.BDP("280606AE Muni","DUR_ADJ_MID")</f>
        <v>0.49487923974330145</v>
      </c>
      <c r="G1241">
        <f>_xll.BDP("280606AE Muni","SPREAD_AT_ISSUANCE_TO_WORST")</f>
        <v>5.9100258785813597</v>
      </c>
      <c r="H1241" t="str">
        <f>_xll.BDP("280606AE Muni","ISSUE_DT")</f>
        <v>6/29/2017</v>
      </c>
      <c r="I1241" t="str">
        <f>_xll.BDS("280606AE Muni","MUNI_PURPOSE_SCHED", "aggregate=y")</f>
        <v>WATER UTILITY IMPS. SEWER IMPS. PUBLIC IMPS.</v>
      </c>
      <c r="J1241">
        <f>_xll.BDP("280606AE Muni","CPN")</f>
        <v>4</v>
      </c>
      <c r="K1241" t="str">
        <f>_xll.BDP("280606AE Muni","MATURITY")</f>
        <v>2/1/2023</v>
      </c>
      <c r="L1241">
        <v>760000</v>
      </c>
      <c r="M1241">
        <f>_xll.BDP("280606AE Muni","YIELD_ON_ISSUE_DATE")</f>
        <v>1.3</v>
      </c>
      <c r="N1241">
        <f>_xll.BDP("280606AE Muni","YTW_SPREAD_TO_MATURITY_AT_ISSU")</f>
        <v>5.9100258785813597</v>
      </c>
      <c r="O1241" t="str">
        <f>_xll.BDP("280606AE Muni","BVAL_MID_YTM")</f>
        <v>#N/A Authorization</v>
      </c>
      <c r="P1241" t="str">
        <f>_xll.BDP("280606AE Muni","MUNI_TAX_PROV")</f>
        <v>FED &amp; ST TAX-EXEMPT</v>
      </c>
      <c r="Q1241" t="str">
        <f>_xll.BDP("280606AE Muni","MUNI_FED_TAX")</f>
        <v>N</v>
      </c>
      <c r="R1241">
        <f>_xll.BDP("280606AE Muni","MUNI_MSRB_VOLUME")</f>
        <v>100000</v>
      </c>
      <c r="S1241" t="str">
        <f>_xll.BDP("280606AE Muni","BB_COMPOSITE")</f>
        <v>AAA</v>
      </c>
      <c r="T1241">
        <f>_xll.BDP("280606AE Muni","LQA_LIQUIDITY_SCORE")</f>
        <v>96</v>
      </c>
    </row>
    <row r="1242" spans="1:20" x14ac:dyDescent="0.25">
      <c r="A1242" t="str">
        <f>_xll.BDP("280606AF Muni","ID_CUSIP")</f>
        <v>280606AF1</v>
      </c>
      <c r="B1242" t="s">
        <v>384</v>
      </c>
      <c r="C1242" t="str">
        <f>_xll.BDP("280606AF Muni","INSURANCE_STATUS")</f>
        <v>N</v>
      </c>
      <c r="D1242" t="str">
        <f>_xll.BDP("280606AF Muni","STATE_CODE")</f>
        <v>MN</v>
      </c>
      <c r="E1242" t="str">
        <f>_xll.BDP("280606AF Muni","COUNTY_LOCATION_ISSUER")</f>
        <v>Hennepin, MN</v>
      </c>
      <c r="F1242">
        <f>_xll.BDP("280606AF Muni","DUR_ADJ_MID")</f>
        <v>1.4577155086004041</v>
      </c>
      <c r="G1242">
        <f>_xll.BDP("280606AF Muni","SPREAD_AT_ISSUANCE_TO_WORST")</f>
        <v>0.27422999095547684</v>
      </c>
      <c r="H1242" t="str">
        <f>_xll.BDP("280606AF Muni","ISSUE_DT")</f>
        <v>6/29/2017</v>
      </c>
      <c r="I1242" t="str">
        <f>_xll.BDS("280606AF Muni","MUNI_PURPOSE_SCHED", "aggregate=y")</f>
        <v>WATER UTILITY IMPS. SEWER IMPS. PUBLIC IMPS.</v>
      </c>
      <c r="J1242">
        <f>_xll.BDP("280606AF Muni","CPN")</f>
        <v>4</v>
      </c>
      <c r="K1242" t="str">
        <f>_xll.BDP("280606AF Muni","MATURITY")</f>
        <v>2/1/2024</v>
      </c>
      <c r="L1242">
        <v>785000</v>
      </c>
      <c r="M1242">
        <f>_xll.BDP("280606AF Muni","YIELD_ON_ISSUE_DATE")</f>
        <v>1.4000000000000001</v>
      </c>
      <c r="N1242">
        <f>_xll.BDP("280606AF Muni","YTW_SPREAD_TO_MATURITY_AT_ISSU")</f>
        <v>0.27422999095547684</v>
      </c>
      <c r="O1242" t="str">
        <f>_xll.BDP("280606AF Muni","BVAL_MID_YTM")</f>
        <v>#N/A Authorization</v>
      </c>
      <c r="P1242" t="str">
        <f>_xll.BDP("280606AF Muni","MUNI_TAX_PROV")</f>
        <v>FED &amp; ST TAX-EXEMPT</v>
      </c>
      <c r="Q1242" t="str">
        <f>_xll.BDP("280606AF Muni","MUNI_FED_TAX")</f>
        <v>N</v>
      </c>
      <c r="R1242" t="str">
        <f>_xll.BDP("280606AF Muni","MUNI_MSRB_VOLUME")</f>
        <v>#N/A N/A</v>
      </c>
      <c r="S1242" t="str">
        <f>_xll.BDP("280606AF Muni","BB_COMPOSITE")</f>
        <v>AAA</v>
      </c>
      <c r="T1242">
        <f>_xll.BDP("280606AF Muni","LQA_LIQUIDITY_SCORE")</f>
        <v>87</v>
      </c>
    </row>
    <row r="1243" spans="1:20" x14ac:dyDescent="0.25">
      <c r="A1243" t="str">
        <f>_xll.BDP("271101DE Muni","ID_CUSIP")</f>
        <v>271101DE4</v>
      </c>
      <c r="B1243" t="s">
        <v>342</v>
      </c>
      <c r="C1243" t="str">
        <f>_xll.BDP("271101DE Muni","INSURANCE_STATUS")</f>
        <v>N</v>
      </c>
      <c r="D1243" t="str">
        <f>_xll.BDP("271101DE Muni","STATE_CODE")</f>
        <v>NY</v>
      </c>
      <c r="E1243" t="str">
        <f>_xll.BDP("271101DE Muni","COUNTY_LOCATION_ISSUER")</f>
        <v>Ontario, NY</v>
      </c>
      <c r="F1243">
        <f>_xll.BDP("271101DE Muni","DUR_ADJ_MID")</f>
        <v>0.36798570923643759</v>
      </c>
      <c r="G1243">
        <f>_xll.BDP("271101DE Muni","SPREAD_AT_ISSUANCE_TO_WORST")</f>
        <v>58.30490410958906</v>
      </c>
      <c r="H1243" t="str">
        <f>_xll.BDP("271101DE Muni","ISSUE_DT")</f>
        <v>12/28/2017</v>
      </c>
      <c r="I1243" t="str">
        <f>_xll.BDS("271101DE Muni","MUNI_PURPOSE_SCHED", "aggregate=y")</f>
        <v>WATER UTILITY IMPS.</v>
      </c>
      <c r="J1243">
        <f>_xll.BDP("271101DE Muni","CPN")</f>
        <v>3.5</v>
      </c>
      <c r="K1243" t="str">
        <f>_xll.BDP("271101DE Muni","MATURITY")</f>
        <v>12/15/2022</v>
      </c>
      <c r="L1243">
        <v>10000</v>
      </c>
      <c r="M1243">
        <f>_xll.BDP("271101DE Muni","YIELD_ON_ISSUE_DATE")</f>
        <v>2.2000000000000002</v>
      </c>
      <c r="N1243">
        <f>_xll.BDP("271101DE Muni","YTW_SPREAD_TO_MATURITY_AT_ISSU")</f>
        <v>58.30490410958906</v>
      </c>
      <c r="O1243" t="str">
        <f>_xll.BDP("271101DE Muni","BVAL_MID_YTM")</f>
        <v>#N/A Authorization</v>
      </c>
      <c r="P1243" t="str">
        <f>_xll.BDP("271101DE Muni","MUNI_TAX_PROV")</f>
        <v>FED BQ/ST TAX-EXEMPT</v>
      </c>
      <c r="Q1243" t="str">
        <f>_xll.BDP("271101DE Muni","MUNI_FED_TAX")</f>
        <v>N</v>
      </c>
      <c r="R1243" t="str">
        <f>_xll.BDP("271101DE Muni","MUNI_MSRB_VOLUME")</f>
        <v>#N/A N/A</v>
      </c>
      <c r="S1243" t="str">
        <f>_xll.BDP("271101DE Muni","BB_COMPOSITE")</f>
        <v>#N/A N/A</v>
      </c>
      <c r="T1243">
        <f>_xll.BDP("271101DE Muni","LQA_LIQUIDITY_SCORE")</f>
        <v>97</v>
      </c>
    </row>
    <row r="1244" spans="1:20" x14ac:dyDescent="0.25">
      <c r="A1244" t="str">
        <f>_xll.BDP("271101DG Muni","ID_CUSIP")</f>
        <v>271101DG9</v>
      </c>
      <c r="B1244" t="s">
        <v>342</v>
      </c>
      <c r="C1244" t="str">
        <f>_xll.BDP("271101DG Muni","INSURANCE_STATUS")</f>
        <v>N</v>
      </c>
      <c r="D1244" t="str">
        <f>_xll.BDP("271101DG Muni","STATE_CODE")</f>
        <v>NY</v>
      </c>
      <c r="E1244" t="str">
        <f>_xll.BDP("271101DG Muni","COUNTY_LOCATION_ISSUER")</f>
        <v>Ontario, NY</v>
      </c>
      <c r="F1244">
        <f>_xll.BDP("271101DG Muni","DUR_ADJ_MID")</f>
        <v>2.2655991993815565</v>
      </c>
      <c r="G1244">
        <f>_xll.BDP("271101DG Muni","SPREAD_AT_ISSUANCE_TO_WORST")</f>
        <v>77.048769863013703</v>
      </c>
      <c r="H1244" t="str">
        <f>_xll.BDP("271101DG Muni","ISSUE_DT")</f>
        <v>12/28/2017</v>
      </c>
      <c r="I1244" t="str">
        <f>_xll.BDS("271101DG Muni","MUNI_PURPOSE_SCHED", "aggregate=y")</f>
        <v>WATER UTILITY IMPS.</v>
      </c>
      <c r="J1244">
        <f>_xll.BDP("271101DG Muni","CPN")</f>
        <v>3.5</v>
      </c>
      <c r="K1244" t="str">
        <f>_xll.BDP("271101DG Muni","MATURITY")</f>
        <v>12/15/2024</v>
      </c>
      <c r="L1244">
        <v>10000</v>
      </c>
      <c r="M1244">
        <f>_xll.BDP("271101DG Muni","YIELD_ON_ISSUE_DATE")</f>
        <v>2.5</v>
      </c>
      <c r="N1244">
        <f>_xll.BDP("271101DG Muni","YTW_SPREAD_TO_MATURITY_AT_ISSU")</f>
        <v>77.048769863013703</v>
      </c>
      <c r="O1244" t="str">
        <f>_xll.BDP("271101DG Muni","BVAL_MID_YTM")</f>
        <v>#N/A Authorization</v>
      </c>
      <c r="P1244" t="str">
        <f>_xll.BDP("271101DG Muni","MUNI_TAX_PROV")</f>
        <v>FED BQ/ST TAX-EXEMPT</v>
      </c>
      <c r="Q1244" t="str">
        <f>_xll.BDP("271101DG Muni","MUNI_FED_TAX")</f>
        <v>N</v>
      </c>
      <c r="R1244" t="str">
        <f>_xll.BDP("271101DG Muni","MUNI_MSRB_VOLUME")</f>
        <v>#N/A N/A</v>
      </c>
      <c r="S1244" t="str">
        <f>_xll.BDP("271101DG Muni","BB_COMPOSITE")</f>
        <v>#N/A N/A</v>
      </c>
      <c r="T1244">
        <f>_xll.BDP("271101DG Muni","LQA_LIQUIDITY_SCORE")</f>
        <v>78</v>
      </c>
    </row>
    <row r="1245" spans="1:20" x14ac:dyDescent="0.25">
      <c r="A1245" t="str">
        <f>_xll.BDP("27373CAE Muni","ID_CUSIP")</f>
        <v>27373CAE5</v>
      </c>
      <c r="B1245" t="s">
        <v>343</v>
      </c>
      <c r="C1245" t="str">
        <f>_xll.BDP("27373CAE Muni","INSURANCE_STATUS")</f>
        <v>N</v>
      </c>
      <c r="D1245" t="str">
        <f>_xll.BDP("27373CAE Muni","STATE_CODE")</f>
        <v>TX</v>
      </c>
      <c r="E1245" t="str">
        <f>_xll.BDP("27373CAE Muni","COUNTY_LOCATION_ISSUER")</f>
        <v>#N/A Field Not Applicable</v>
      </c>
      <c r="F1245">
        <f>_xll.BDP("27373CAE Muni","DUR_ADJ_MID")</f>
        <v>1.0502866541697709</v>
      </c>
      <c r="G1245">
        <f>_xll.BDP("27373CAE Muni","SPREAD_AT_ISSUANCE_TO_WORST")</f>
        <v>94.193215084602116</v>
      </c>
      <c r="H1245" t="str">
        <f>_xll.BDP("27373CAE Muni","ISSUE_DT")</f>
        <v>6/1/2017</v>
      </c>
      <c r="I1245" t="str">
        <f>_xll.BDS("27373CAE Muni","MUNI_PURPOSE_SCHED", "aggregate=y")</f>
        <v>REFUNDING NOTES WATER UTILITY IMPS.</v>
      </c>
      <c r="J1245">
        <f>_xll.BDP("27373CAE Muni","CPN")</f>
        <v>2.5</v>
      </c>
      <c r="K1245" t="str">
        <f>_xll.BDP("27373CAE Muni","MATURITY")</f>
        <v>9/1/2023</v>
      </c>
      <c r="L1245">
        <v>60000</v>
      </c>
      <c r="M1245">
        <f>_xll.BDP("27373CAE Muni","YIELD_ON_ISSUE_DATE")</f>
        <v>2.5</v>
      </c>
      <c r="N1245">
        <f>_xll.BDP("27373CAE Muni","YTW_SPREAD_TO_MATURITY_AT_ISSU")</f>
        <v>94.193215084602116</v>
      </c>
      <c r="O1245" t="str">
        <f>_xll.BDP("27373CAE Muni","BVAL_MID_YTM")</f>
        <v>#N/A Authorization</v>
      </c>
      <c r="P1245" t="str">
        <f>_xll.BDP("27373CAE Muni","MUNI_TAX_PROV")</f>
        <v>FED BQ</v>
      </c>
      <c r="Q1245" t="str">
        <f>_xll.BDP("27373CAE Muni","MUNI_FED_TAX")</f>
        <v>N</v>
      </c>
      <c r="R1245" t="str">
        <f>_xll.BDP("27373CAE Muni","MUNI_MSRB_VOLUME")</f>
        <v>#N/A N/A</v>
      </c>
      <c r="S1245" t="str">
        <f>_xll.BDP("27373CAE Muni","BB_COMPOSITE")</f>
        <v>#N/A N/A</v>
      </c>
      <c r="T1245">
        <f>_xll.BDP("27373CAE Muni","LQA_LIQUIDITY_SCORE")</f>
        <v>68</v>
      </c>
    </row>
    <row r="1246" spans="1:20" x14ac:dyDescent="0.25">
      <c r="A1246" t="str">
        <f>_xll.BDP("166231BP Muni","ID_CUSIP")</f>
        <v>166231BP4</v>
      </c>
      <c r="B1246" t="s">
        <v>97</v>
      </c>
      <c r="C1246" t="str">
        <f>_xll.BDP("166231BP Muni","INSURANCE_STATUS")</f>
        <v>Y</v>
      </c>
      <c r="D1246" t="str">
        <f>_xll.BDP("166231BP Muni","STATE_CODE")</f>
        <v>SC</v>
      </c>
      <c r="E1246" t="str">
        <f>_xll.BDP("166231BP Muni","COUNTY_LOCATION_ISSUER")</f>
        <v>Chester, SC</v>
      </c>
      <c r="F1246">
        <f>_xll.BDP("166231BP Muni","DUR_ADJ_MID")</f>
        <v>1.7698077091235009</v>
      </c>
      <c r="G1246">
        <f>_xll.BDP("166231BP Muni","SPREAD_AT_ISSUANCE_TO_WORST")</f>
        <v>15.887344283583049</v>
      </c>
      <c r="H1246" t="str">
        <f>_xll.BDP("166231BP Muni","ISSUE_DT")</f>
        <v>3/8/2017</v>
      </c>
      <c r="I1246" t="str">
        <f>_xll.BDS("166231BP Muni","MUNI_PURPOSE_SCHED", "aggregate=y")</f>
        <v>CURRENT REFUNDING WATER UTILITY IMPS. REFUNDING NOTES</v>
      </c>
      <c r="J1246">
        <f>_xll.BDP("166231BP Muni","CPN")</f>
        <v>3</v>
      </c>
      <c r="K1246" t="str">
        <f>_xll.BDP("166231BP Muni","MATURITY")</f>
        <v>6/1/2024</v>
      </c>
      <c r="L1246">
        <v>440000</v>
      </c>
      <c r="M1246">
        <f>_xll.BDP("166231BP Muni","YIELD_ON_ISSUE_DATE")</f>
        <v>2.1</v>
      </c>
      <c r="N1246">
        <f>_xll.BDP("166231BP Muni","YTW_SPREAD_TO_MATURITY_AT_ISSU")</f>
        <v>15.887344283583049</v>
      </c>
      <c r="O1246" t="str">
        <f>_xll.BDP("166231BP Muni","BVAL_MID_YTM")</f>
        <v>#N/A Authorization</v>
      </c>
      <c r="P1246" t="str">
        <f>_xll.BDP("166231BP Muni","MUNI_TAX_PROV")</f>
        <v>FED BQ/ST TAX-EXEMPT</v>
      </c>
      <c r="Q1246" t="str">
        <f>_xll.BDP("166231BP Muni","MUNI_FED_TAX")</f>
        <v>N</v>
      </c>
      <c r="R1246" t="str">
        <f>_xll.BDP("166231BP Muni","MUNI_MSRB_VOLUME")</f>
        <v>#N/A N/A</v>
      </c>
      <c r="S1246" t="str">
        <f>_xll.BDP("166231BP Muni","BB_COMPOSITE")</f>
        <v>#N/A N/A</v>
      </c>
      <c r="T1246">
        <f>_xll.BDP("166231BP Muni","LQA_LIQUIDITY_SCORE")</f>
        <v>79</v>
      </c>
    </row>
    <row r="1247" spans="1:20" x14ac:dyDescent="0.25">
      <c r="A1247" t="str">
        <f>_xll.BDP("166231BS Muni","ID_CUSIP")</f>
        <v>166231BS8</v>
      </c>
      <c r="B1247" t="s">
        <v>97</v>
      </c>
      <c r="C1247" t="str">
        <f>_xll.BDP("166231BS Muni","INSURANCE_STATUS")</f>
        <v>Y</v>
      </c>
      <c r="D1247" t="str">
        <f>_xll.BDP("166231BS Muni","STATE_CODE")</f>
        <v>SC</v>
      </c>
      <c r="E1247" t="str">
        <f>_xll.BDP("166231BS Muni","COUNTY_LOCATION_ISSUER")</f>
        <v>Chester, SC</v>
      </c>
      <c r="F1247">
        <f>_xll.BDP("166231BS Muni","DUR_ADJ_MID")</f>
        <v>4.4673494147377983</v>
      </c>
      <c r="G1247">
        <f>_xll.BDP("166231BS Muni","SPREAD_AT_ISSUANCE_TO_WORST")</f>
        <v>7.1540421790008857</v>
      </c>
      <c r="H1247" t="str">
        <f>_xll.BDP("166231BS Muni","ISSUE_DT")</f>
        <v>3/8/2017</v>
      </c>
      <c r="I1247" t="str">
        <f>_xll.BDS("166231BS Muni","MUNI_PURPOSE_SCHED", "aggregate=y")</f>
        <v>CURRENT REFUNDING WATER UTILITY IMPS. REFUNDING NOTES</v>
      </c>
      <c r="J1247">
        <f>_xll.BDP("166231BS Muni","CPN")</f>
        <v>3</v>
      </c>
      <c r="K1247" t="str">
        <f>_xll.BDP("166231BS Muni","MATURITY")</f>
        <v>6/1/2027</v>
      </c>
      <c r="L1247">
        <v>295000</v>
      </c>
      <c r="M1247">
        <f>_xll.BDP("166231BS Muni","YIELD_ON_ISSUE_DATE")</f>
        <v>2.4000000000000004</v>
      </c>
      <c r="N1247">
        <f>_xll.BDP("166231BS Muni","YTW_SPREAD_TO_MATURITY_AT_ISSU")</f>
        <v>7.1540421790008857</v>
      </c>
      <c r="O1247" t="str">
        <f>_xll.BDP("166231BS Muni","BVAL_MID_YTM")</f>
        <v>#N/A Authorization</v>
      </c>
      <c r="P1247" t="str">
        <f>_xll.BDP("166231BS Muni","MUNI_TAX_PROV")</f>
        <v>FED BQ/ST TAX-EXEMPT</v>
      </c>
      <c r="Q1247" t="str">
        <f>_xll.BDP("166231BS Muni","MUNI_FED_TAX")</f>
        <v>N</v>
      </c>
      <c r="R1247" t="str">
        <f>_xll.BDP("166231BS Muni","MUNI_MSRB_VOLUME")</f>
        <v>#N/A N/A</v>
      </c>
      <c r="S1247" t="str">
        <f>_xll.BDP("166231BS Muni","BB_COMPOSITE")</f>
        <v>#N/A N/A</v>
      </c>
      <c r="T1247">
        <f>_xll.BDP("166231BS Muni","LQA_LIQUIDITY_SCORE")</f>
        <v>56</v>
      </c>
    </row>
    <row r="1248" spans="1:20" x14ac:dyDescent="0.25">
      <c r="A1248" t="str">
        <f>_xll.BDP("181003NS Muni","ID_CUSIP")</f>
        <v>181003NS9</v>
      </c>
      <c r="B1248" t="s">
        <v>116</v>
      </c>
      <c r="C1248" t="str">
        <f>_xll.BDP("181003NS Muni","INSURANCE_STATUS")</f>
        <v>N</v>
      </c>
      <c r="D1248" t="str">
        <f>_xll.BDP("181003NS Muni","STATE_CODE")</f>
        <v>NV</v>
      </c>
      <c r="E1248" t="str">
        <f>_xll.BDP("181003NS Muni","COUNTY_LOCATION_ISSUER")</f>
        <v>Clark, NV</v>
      </c>
      <c r="F1248">
        <f>_xll.BDP("181003NS Muni","DUR_ADJ_MID")</f>
        <v>5.555299306909324E-3</v>
      </c>
      <c r="G1248">
        <f>_xll.BDP("181003NS Muni","SPREAD_AT_ISSUANCE_TO_WORST")</f>
        <v>13.778176685915122</v>
      </c>
      <c r="H1248" t="str">
        <f>_xll.BDP("181003NS Muni","ISSUE_DT")</f>
        <v>7/11/2017</v>
      </c>
      <c r="I1248" t="str">
        <f>_xll.BDS("181003NS Muni","MUNI_PURPOSE_SCHED", "aggregate=y")</f>
        <v>PUBLIC IMPS. WATER UTILITY IMPS. SEWER IMPS.</v>
      </c>
      <c r="J1248">
        <f>_xll.BDP("181003NS Muni","CPN")</f>
        <v>5</v>
      </c>
      <c r="K1248" t="str">
        <f>_xll.BDP("181003NS Muni","MATURITY")</f>
        <v>8/1/2022</v>
      </c>
      <c r="L1248">
        <v>610000</v>
      </c>
      <c r="M1248">
        <f>_xll.BDP("181003NS Muni","YIELD_ON_ISSUE_DATE")</f>
        <v>1.36</v>
      </c>
      <c r="N1248">
        <f>_xll.BDP("181003NS Muni","YTW_SPREAD_TO_MATURITY_AT_ISSU")</f>
        <v>13.778176685915122</v>
      </c>
      <c r="O1248" t="str">
        <f>_xll.BDP("181003NS Muni","BVAL_MID_YTM")</f>
        <v>#N/A Authorization</v>
      </c>
      <c r="P1248" t="str">
        <f>_xll.BDP("181003NS Muni","MUNI_TAX_PROV")</f>
        <v>FED &amp; ST TAX-EXEMPT</v>
      </c>
      <c r="Q1248" t="str">
        <f>_xll.BDP("181003NS Muni","MUNI_FED_TAX")</f>
        <v>N</v>
      </c>
      <c r="R1248" t="str">
        <f>_xll.BDP("181003NS Muni","MUNI_MSRB_VOLUME")</f>
        <v>#N/A N/A</v>
      </c>
      <c r="S1248" t="str">
        <f>_xll.BDP("181003NS Muni","BB_COMPOSITE")</f>
        <v>AA+</v>
      </c>
      <c r="T1248">
        <f>_xll.BDP("181003NS Muni","LQA_LIQUIDITY_SCORE")</f>
        <v>95</v>
      </c>
    </row>
    <row r="1249" spans="1:20" x14ac:dyDescent="0.25">
      <c r="A1249" t="str">
        <f>_xll.BDP("181003NU Muni","ID_CUSIP")</f>
        <v>181003NU4</v>
      </c>
      <c r="B1249" t="s">
        <v>116</v>
      </c>
      <c r="C1249" t="str">
        <f>_xll.BDP("181003NU Muni","INSURANCE_STATUS")</f>
        <v>N</v>
      </c>
      <c r="D1249" t="str">
        <f>_xll.BDP("181003NU Muni","STATE_CODE")</f>
        <v>NV</v>
      </c>
      <c r="E1249" t="str">
        <f>_xll.BDP("181003NU Muni","COUNTY_LOCATION_ISSUER")</f>
        <v>Clark, NV</v>
      </c>
      <c r="F1249">
        <f>_xll.BDP("181003NU Muni","DUR_ADJ_MID")</f>
        <v>1.9119946824530334</v>
      </c>
      <c r="G1249">
        <f>_xll.BDP("181003NU Muni","SPREAD_AT_ISSUANCE_TO_WORST")</f>
        <v>9.1959520105541657</v>
      </c>
      <c r="H1249" t="str">
        <f>_xll.BDP("181003NU Muni","ISSUE_DT")</f>
        <v>7/11/2017</v>
      </c>
      <c r="I1249" t="str">
        <f>_xll.BDS("181003NU Muni","MUNI_PURPOSE_SCHED", "aggregate=y")</f>
        <v>PUBLIC IMPS. WATER UTILITY IMPS. SEWER IMPS.</v>
      </c>
      <c r="J1249">
        <f>_xll.BDP("181003NU Muni","CPN")</f>
        <v>5</v>
      </c>
      <c r="K1249" t="str">
        <f>_xll.BDP("181003NU Muni","MATURITY")</f>
        <v>8/1/2024</v>
      </c>
      <c r="L1249">
        <v>610000</v>
      </c>
      <c r="M1249">
        <f>_xll.BDP("181003NU Muni","YIELD_ON_ISSUE_DATE")</f>
        <v>1.6</v>
      </c>
      <c r="N1249">
        <f>_xll.BDP("181003NU Muni","YTW_SPREAD_TO_MATURITY_AT_ISSU")</f>
        <v>9.1959520105541657</v>
      </c>
      <c r="O1249" t="str">
        <f>_xll.BDP("181003NU Muni","BVAL_MID_YTM")</f>
        <v>#N/A Authorization</v>
      </c>
      <c r="P1249" t="str">
        <f>_xll.BDP("181003NU Muni","MUNI_TAX_PROV")</f>
        <v>FED &amp; ST TAX-EXEMPT</v>
      </c>
      <c r="Q1249" t="str">
        <f>_xll.BDP("181003NU Muni","MUNI_FED_TAX")</f>
        <v>N</v>
      </c>
      <c r="R1249" t="str">
        <f>_xll.BDP("181003NU Muni","MUNI_MSRB_VOLUME")</f>
        <v>#N/A N/A</v>
      </c>
      <c r="S1249" t="str">
        <f>_xll.BDP("181003NU Muni","BB_COMPOSITE")</f>
        <v>AA+</v>
      </c>
      <c r="T1249">
        <f>_xll.BDP("181003NU Muni","LQA_LIQUIDITY_SCORE")</f>
        <v>74</v>
      </c>
    </row>
    <row r="1250" spans="1:20" x14ac:dyDescent="0.25">
      <c r="A1250" t="str">
        <f>_xll.BDP("181003NW Muni","ID_CUSIP")</f>
        <v>181003NW0</v>
      </c>
      <c r="B1250" t="s">
        <v>116</v>
      </c>
      <c r="C1250" t="str">
        <f>_xll.BDP("181003NW Muni","INSURANCE_STATUS")</f>
        <v>N</v>
      </c>
      <c r="D1250" t="str">
        <f>_xll.BDP("181003NW Muni","STATE_CODE")</f>
        <v>NV</v>
      </c>
      <c r="E1250" t="str">
        <f>_xll.BDP("181003NW Muni","COUNTY_LOCATION_ISSUER")</f>
        <v>Clark, NV</v>
      </c>
      <c r="F1250">
        <f>_xll.BDP("181003NW Muni","DUR_ADJ_MID")</f>
        <v>3.6611996316614941</v>
      </c>
      <c r="G1250">
        <f>_xll.BDP("181003NW Muni","SPREAD_AT_ISSUANCE_TO_WORST")</f>
        <v>13.54812240131098</v>
      </c>
      <c r="H1250" t="str">
        <f>_xll.BDP("181003NW Muni","ISSUE_DT")</f>
        <v>7/11/2017</v>
      </c>
      <c r="I1250" t="str">
        <f>_xll.BDS("181003NW Muni","MUNI_PURPOSE_SCHED", "aggregate=y")</f>
        <v>PUBLIC IMPS. WATER UTILITY IMPS. SEWER IMPS.</v>
      </c>
      <c r="J1250">
        <f>_xll.BDP("181003NW Muni","CPN")</f>
        <v>5</v>
      </c>
      <c r="K1250" t="str">
        <f>_xll.BDP("181003NW Muni","MATURITY")</f>
        <v>8/1/2026</v>
      </c>
      <c r="L1250">
        <v>605000</v>
      </c>
      <c r="M1250">
        <f>_xll.BDP("181003NW Muni","YIELD_ON_ISSUE_DATE")</f>
        <v>1.92</v>
      </c>
      <c r="N1250">
        <f>_xll.BDP("181003NW Muni","YTW_SPREAD_TO_MATURITY_AT_ISSU")</f>
        <v>13.54812240131098</v>
      </c>
      <c r="O1250" t="str">
        <f>_xll.BDP("181003NW Muni","BVAL_MID_YTM")</f>
        <v>#N/A Authorization</v>
      </c>
      <c r="P1250" t="str">
        <f>_xll.BDP("181003NW Muni","MUNI_TAX_PROV")</f>
        <v>FED &amp; ST TAX-EXEMPT</v>
      </c>
      <c r="Q1250" t="str">
        <f>_xll.BDP("181003NW Muni","MUNI_FED_TAX")</f>
        <v>N</v>
      </c>
      <c r="R1250" t="str">
        <f>_xll.BDP("181003NW Muni","MUNI_MSRB_VOLUME")</f>
        <v>#N/A N/A</v>
      </c>
      <c r="S1250" t="str">
        <f>_xll.BDP("181003NW Muni","BB_COMPOSITE")</f>
        <v>AA+</v>
      </c>
      <c r="T1250">
        <f>_xll.BDP("181003NW Muni","LQA_LIQUIDITY_SCORE")</f>
        <v>55</v>
      </c>
    </row>
    <row r="1251" spans="1:20" x14ac:dyDescent="0.25">
      <c r="A1251" t="str">
        <f>_xll.BDP("181126LP Muni","ID_CUSIP")</f>
        <v>181126LP6</v>
      </c>
      <c r="B1251" t="s">
        <v>48</v>
      </c>
      <c r="C1251" t="str">
        <f>_xll.BDP("181126LP Muni","INSURANCE_STATUS")</f>
        <v>N</v>
      </c>
      <c r="D1251" t="str">
        <f>_xll.BDP("181126LP Muni","STATE_CODE")</f>
        <v>WA</v>
      </c>
      <c r="E1251" t="str">
        <f>_xll.BDP("181126LP Muni","COUNTY_LOCATION_ISSUER")</f>
        <v>Clark, WA</v>
      </c>
      <c r="F1251">
        <f>_xll.BDP("181126LP Muni","DUR_ADJ_MID")</f>
        <v>2.2811981919893758</v>
      </c>
      <c r="G1251">
        <f>_xll.BDP("181126LP Muni","SPREAD_AT_ISSUANCE_TO_WORST")</f>
        <v>34.634501505577433</v>
      </c>
      <c r="H1251" t="str">
        <f>_xll.BDP("181126LP Muni","ISSUE_DT")</f>
        <v>3/30/2017</v>
      </c>
      <c r="I1251" t="str">
        <f>_xll.BDS("181126LP Muni","MUNI_PURPOSE_SCHED", "aggregate=y")</f>
        <v>ADVANCE REFUNDING CURRENT REFUNDING WATER UTILITY IMPS.</v>
      </c>
      <c r="J1251">
        <f>_xll.BDP("181126LP Muni","CPN")</f>
        <v>5</v>
      </c>
      <c r="K1251" t="str">
        <f>_xll.BDP("181126LP Muni","MATURITY")</f>
        <v>1/1/2025</v>
      </c>
      <c r="L1251">
        <v>2515000</v>
      </c>
      <c r="M1251">
        <f>_xll.BDP("181126LP Muni","YIELD_ON_ISSUE_DATE")</f>
        <v>2.4700000000000002</v>
      </c>
      <c r="N1251">
        <f>_xll.BDP("181126LP Muni","YTW_SPREAD_TO_MATURITY_AT_ISSU")</f>
        <v>34.634501505577433</v>
      </c>
      <c r="O1251" t="str">
        <f>_xll.BDP("181126LP Muni","BVAL_MID_YTM")</f>
        <v>#N/A Authorization</v>
      </c>
      <c r="P1251" t="str">
        <f>_xll.BDP("181126LP Muni","MUNI_TAX_PROV")</f>
        <v>FED TAX-EXEMPT</v>
      </c>
      <c r="Q1251" t="str">
        <f>_xll.BDP("181126LP Muni","MUNI_FED_TAX")</f>
        <v>N</v>
      </c>
      <c r="R1251">
        <f>_xll.BDP("181126LP Muni","MUNI_MSRB_VOLUME")</f>
        <v>70000</v>
      </c>
      <c r="S1251" t="str">
        <f>_xll.BDP("181126LP Muni","BB_COMPOSITE")</f>
        <v>AA-</v>
      </c>
      <c r="T1251">
        <f>_xll.BDP("181126LP Muni","LQA_LIQUIDITY_SCORE")</f>
        <v>80</v>
      </c>
    </row>
    <row r="1252" spans="1:20" x14ac:dyDescent="0.25">
      <c r="A1252" t="str">
        <f>_xll.BDP("181126LR Muni","ID_CUSIP")</f>
        <v>181126LR2</v>
      </c>
      <c r="B1252" t="s">
        <v>48</v>
      </c>
      <c r="C1252" t="str">
        <f>_xll.BDP("181126LR Muni","INSURANCE_STATUS")</f>
        <v>N</v>
      </c>
      <c r="D1252" t="str">
        <f>_xll.BDP("181126LR Muni","STATE_CODE")</f>
        <v>WA</v>
      </c>
      <c r="E1252" t="str">
        <f>_xll.BDP("181126LR Muni","COUNTY_LOCATION_ISSUER")</f>
        <v>Clark, WA</v>
      </c>
      <c r="F1252">
        <f>_xll.BDP("181126LR Muni","DUR_ADJ_MID")</f>
        <v>3.9929784015620564</v>
      </c>
      <c r="G1252">
        <f>_xll.BDP("181126LR Muni","SPREAD_AT_ISSUANCE_TO_WORST")</f>
        <v>33.861168160188448</v>
      </c>
      <c r="H1252" t="str">
        <f>_xll.BDP("181126LR Muni","ISSUE_DT")</f>
        <v>3/30/2017</v>
      </c>
      <c r="I1252" t="str">
        <f>_xll.BDS("181126LR Muni","MUNI_PURPOSE_SCHED", "aggregate=y")</f>
        <v>ADVANCE REFUNDING CURRENT REFUNDING WATER UTILITY IMPS.</v>
      </c>
      <c r="J1252">
        <f>_xll.BDP("181126LR Muni","CPN")</f>
        <v>5</v>
      </c>
      <c r="K1252" t="str">
        <f>_xll.BDP("181126LR Muni","MATURITY")</f>
        <v>1/1/2027</v>
      </c>
      <c r="L1252">
        <v>2775000</v>
      </c>
      <c r="M1252">
        <f>_xll.BDP("181126LR Muni","YIELD_ON_ISSUE_DATE")</f>
        <v>2.72</v>
      </c>
      <c r="N1252">
        <f>_xll.BDP("181126LR Muni","YTW_SPREAD_TO_MATURITY_AT_ISSU")</f>
        <v>33.861168160188448</v>
      </c>
      <c r="O1252" t="str">
        <f>_xll.BDP("181126LR Muni","BVAL_MID_YTM")</f>
        <v>#N/A Authorization</v>
      </c>
      <c r="P1252" t="str">
        <f>_xll.BDP("181126LR Muni","MUNI_TAX_PROV")</f>
        <v>FED TAX-EXEMPT</v>
      </c>
      <c r="Q1252" t="str">
        <f>_xll.BDP("181126LR Muni","MUNI_FED_TAX")</f>
        <v>N</v>
      </c>
      <c r="R1252">
        <f>_xll.BDP("181126LR Muni","MUNI_MSRB_VOLUME")</f>
        <v>50000</v>
      </c>
      <c r="S1252" t="str">
        <f>_xll.BDP("181126LR Muni","BB_COMPOSITE")</f>
        <v>AA-</v>
      </c>
      <c r="T1252">
        <f>_xll.BDP("181126LR Muni","LQA_LIQUIDITY_SCORE")</f>
        <v>67</v>
      </c>
    </row>
    <row r="1253" spans="1:20" x14ac:dyDescent="0.25">
      <c r="A1253" t="str">
        <f>_xll.BDP("312526CS Muni","ID_CUSIP")</f>
        <v>312526CS3</v>
      </c>
      <c r="B1253" t="s">
        <v>362</v>
      </c>
      <c r="C1253" t="str">
        <f>_xll.BDP("312526CS Muni","INSURANCE_STATUS")</f>
        <v>N</v>
      </c>
      <c r="D1253" t="str">
        <f>_xll.BDP("312526CS Muni","STATE_CODE")</f>
        <v>TX</v>
      </c>
      <c r="E1253" t="str">
        <f>_xll.BDP("312526CS Muni","COUNTY_LOCATION_ISSUER")</f>
        <v>Fayette, TX</v>
      </c>
      <c r="F1253">
        <f>_xll.BDP("312526CS Muni","DUR_ADJ_MID")</f>
        <v>1.6043902270604811</v>
      </c>
      <c r="G1253">
        <f>_xll.BDP("312526CS Muni","SPREAD_AT_ISSUANCE_TO_WORST")</f>
        <v>106.79021343337534</v>
      </c>
      <c r="H1253" t="str">
        <f>_xll.BDP("312526CS Muni","ISSUE_DT")</f>
        <v>6/1/2017</v>
      </c>
      <c r="I1253" t="str">
        <f>_xll.BDS("312526CS Muni","MUNI_PURPOSE_SCHED", "aggregate=y")</f>
        <v>WATER UTILITY IMPS. SEWER IMPS.</v>
      </c>
      <c r="J1253">
        <f>_xll.BDP("312526CS Muni","CPN")</f>
        <v>2.75</v>
      </c>
      <c r="K1253" t="str">
        <f>_xll.BDP("312526CS Muni","MATURITY")</f>
        <v>4/1/2024</v>
      </c>
      <c r="L1253">
        <v>35000</v>
      </c>
      <c r="M1253">
        <f>_xll.BDP("312526CS Muni","YIELD_ON_ISSUE_DATE")</f>
        <v>2.75</v>
      </c>
      <c r="N1253">
        <f>_xll.BDP("312526CS Muni","YTW_SPREAD_TO_MATURITY_AT_ISSU")</f>
        <v>106.79021343337534</v>
      </c>
      <c r="O1253" t="str">
        <f>_xll.BDP("312526CS Muni","BVAL_MID_YTM")</f>
        <v>#N/A Authorization</v>
      </c>
      <c r="P1253" t="str">
        <f>_xll.BDP("312526CS Muni","MUNI_TAX_PROV")</f>
        <v>FED BQ</v>
      </c>
      <c r="Q1253" t="str">
        <f>_xll.BDP("312526CS Muni","MUNI_FED_TAX")</f>
        <v>N</v>
      </c>
      <c r="R1253" t="str">
        <f>_xll.BDP("312526CS Muni","MUNI_MSRB_VOLUME")</f>
        <v>#N/A N/A</v>
      </c>
      <c r="S1253" t="str">
        <f>_xll.BDP("312526CS Muni","BB_COMPOSITE")</f>
        <v>#N/A N/A</v>
      </c>
      <c r="T1253">
        <f>_xll.BDP("312526CS Muni","LQA_LIQUIDITY_SCORE")</f>
        <v>57</v>
      </c>
    </row>
    <row r="1254" spans="1:20" x14ac:dyDescent="0.25">
      <c r="A1254" t="str">
        <f>_xll.BDP("31780CBJ Muni","ID_CUSIP")</f>
        <v>31780CBJ2</v>
      </c>
      <c r="B1254" t="s">
        <v>385</v>
      </c>
      <c r="C1254" t="str">
        <f>_xll.BDP("31780CBJ Muni","INSURANCE_STATUS")</f>
        <v>Y</v>
      </c>
      <c r="D1254" t="str">
        <f>_xll.BDP("31780CBJ Muni","STATE_CODE")</f>
        <v>PA</v>
      </c>
      <c r="E1254" t="str">
        <f>_xll.BDP("31780CBJ Muni","COUNTY_LOCATION_ISSUER")</f>
        <v>Allegheny, PA</v>
      </c>
      <c r="F1254">
        <f>_xll.BDP("31780CBJ Muni","DUR_ADJ_MID")</f>
        <v>0.36781893002767818</v>
      </c>
      <c r="G1254">
        <f>_xll.BDP("31780CBJ Muni","SPREAD_AT_ISSUANCE_TO_WORST")</f>
        <v>39.572719517324352</v>
      </c>
      <c r="H1254" t="str">
        <f>_xll.BDP("31780CBJ Muni","ISSUE_DT")</f>
        <v>9/21/2017</v>
      </c>
      <c r="I1254" t="str">
        <f>_xll.BDS("31780CBJ Muni","MUNI_PURPOSE_SCHED", "aggregate=y")</f>
        <v>WATER UTILITY IMPS. SEWER IMPS. PUBLIC IMPS.</v>
      </c>
      <c r="J1254">
        <f>_xll.BDP("31780CBJ Muni","CPN")</f>
        <v>2</v>
      </c>
      <c r="K1254" t="str">
        <f>_xll.BDP("31780CBJ Muni","MATURITY")</f>
        <v>12/15/2022</v>
      </c>
      <c r="L1254">
        <v>115000</v>
      </c>
      <c r="M1254">
        <f>_xll.BDP("31780CBJ Muni","YIELD_ON_ISSUE_DATE")</f>
        <v>1.55</v>
      </c>
      <c r="N1254">
        <f>_xll.BDP("31780CBJ Muni","YTW_SPREAD_TO_MATURITY_AT_ISSU")</f>
        <v>39.572719517324352</v>
      </c>
      <c r="O1254" t="str">
        <f>_xll.BDP("31780CBJ Muni","BVAL_MID_YTM")</f>
        <v>#N/A Authorization</v>
      </c>
      <c r="P1254" t="str">
        <f>_xll.BDP("31780CBJ Muni","MUNI_TAX_PROV")</f>
        <v>FED BQ/ST TAX-EXEMPT</v>
      </c>
      <c r="Q1254" t="str">
        <f>_xll.BDP("31780CBJ Muni","MUNI_FED_TAX")</f>
        <v>N</v>
      </c>
      <c r="R1254" t="str">
        <f>_xll.BDP("31780CBJ Muni","MUNI_MSRB_VOLUME")</f>
        <v>#N/A N/A</v>
      </c>
      <c r="S1254" t="str">
        <f>_xll.BDP("31780CBJ Muni","BB_COMPOSITE")</f>
        <v>#N/A N/A</v>
      </c>
      <c r="T1254">
        <f>_xll.BDP("31780CBJ Muni","LQA_LIQUIDITY_SCORE")</f>
        <v>97</v>
      </c>
    </row>
    <row r="1255" spans="1:20" x14ac:dyDescent="0.25">
      <c r="A1255" t="str">
        <f>_xll.BDP("31803QAN Muni","ID_CUSIP")</f>
        <v>31803QAN6</v>
      </c>
      <c r="B1255" t="s">
        <v>363</v>
      </c>
      <c r="C1255" t="str">
        <f>_xll.BDP("31803QAN Muni","INSURANCE_STATUS")</f>
        <v>N</v>
      </c>
      <c r="D1255" t="str">
        <f>_xll.BDP("31803QAN Muni","STATE_CODE")</f>
        <v>KS</v>
      </c>
      <c r="E1255" t="str">
        <f>_xll.BDP("31803QAN Muni","COUNTY_LOCATION_ISSUER")</f>
        <v>Finney, KS</v>
      </c>
      <c r="F1255">
        <f>_xll.BDP("31803QAN Muni","DUR_ADJ_MID")</f>
        <v>1.1194298229213546</v>
      </c>
      <c r="G1255">
        <f>_xll.BDP("31803QAN Muni","SPREAD_AT_ISSUANCE_TO_WORST")</f>
        <v>93.271956450068402</v>
      </c>
      <c r="H1255" t="str">
        <f>_xll.BDP("31803QAN Muni","ISSUE_DT")</f>
        <v>11/29/2017</v>
      </c>
      <c r="I1255" t="str">
        <f>_xll.BDS("31803QAN Muni","MUNI_PURPOSE_SCHED", "aggregate=y")</f>
        <v>WATER UTILITY IMPS. REPAYMENT OF BANK LOAN ADVANCE REFUNDING</v>
      </c>
      <c r="J1255">
        <f>_xll.BDP("31803QAN Muni","CPN")</f>
        <v>3.5</v>
      </c>
      <c r="K1255" t="str">
        <f>_xll.BDP("31803QAN Muni","MATURITY")</f>
        <v>10/1/2023</v>
      </c>
      <c r="L1255">
        <v>15000</v>
      </c>
      <c r="M1255">
        <f>_xll.BDP("31803QAN Muni","YIELD_ON_ISSUE_DATE")</f>
        <v>3.1</v>
      </c>
      <c r="N1255">
        <f>_xll.BDP("31803QAN Muni","YTW_SPREAD_TO_MATURITY_AT_ISSU")</f>
        <v>93.271956450068402</v>
      </c>
      <c r="O1255" t="str">
        <f>_xll.BDP("31803QAN Muni","BVAL_MID_YTM")</f>
        <v>#N/A Authorization</v>
      </c>
      <c r="P1255" t="str">
        <f>_xll.BDP("31803QAN Muni","MUNI_TAX_PROV")</f>
        <v>FED TAXABLE/ST TAX-EXEMPT</v>
      </c>
      <c r="Q1255" t="str">
        <f>_xll.BDP("31803QAN Muni","MUNI_FED_TAX")</f>
        <v>Y</v>
      </c>
      <c r="R1255" t="str">
        <f>_xll.BDP("31803QAN Muni","MUNI_MSRB_VOLUME")</f>
        <v>#N/A N/A</v>
      </c>
      <c r="S1255" t="str">
        <f>_xll.BDP("31803QAN Muni","BB_COMPOSITE")</f>
        <v>#N/A N/A</v>
      </c>
      <c r="T1255">
        <f>_xll.BDP("31803QAN Muni","LQA_LIQUIDITY_SCORE")</f>
        <v>74</v>
      </c>
    </row>
    <row r="1256" spans="1:20" x14ac:dyDescent="0.25">
      <c r="A1256" t="str">
        <f>_xll.BDP("352882BQ Muni","ID_CUSIP")</f>
        <v>352882BQ6</v>
      </c>
      <c r="B1256" t="s">
        <v>368</v>
      </c>
      <c r="C1256" t="str">
        <f>_xll.BDP("352882BQ Muni","INSURANCE_STATUS")</f>
        <v>N</v>
      </c>
      <c r="D1256" t="str">
        <f>_xll.BDP("352882BQ Muni","STATE_CODE")</f>
        <v>MO</v>
      </c>
      <c r="E1256" t="str">
        <f>_xll.BDP("352882BQ Muni","COUNTY_LOCATION_ISSUER")</f>
        <v>Franklin, MO</v>
      </c>
      <c r="F1256">
        <f>_xll.BDP("352882BQ Muni","DUR_ADJ_MID")</f>
        <v>0.32911506102240723</v>
      </c>
      <c r="G1256">
        <f>_xll.BDP("352882BQ Muni","SPREAD_AT_ISSUANCE_TO_WORST")</f>
        <v>52.986826498816384</v>
      </c>
      <c r="H1256" t="str">
        <f>_xll.BDP("352882BQ Muni","ISSUE_DT")</f>
        <v>8/16/2017</v>
      </c>
      <c r="I1256" t="str">
        <f>_xll.BDS("352882BQ Muni","MUNI_PURPOSE_SCHED", "aggregate=y")</f>
        <v>WATER UTILITY IMPS.</v>
      </c>
      <c r="J1256">
        <f>_xll.BDP("352882BQ Muni","CPN")</f>
        <v>3</v>
      </c>
      <c r="K1256" t="str">
        <f>_xll.BDP("352882BQ Muni","MATURITY")</f>
        <v>12/1/2022</v>
      </c>
      <c r="L1256">
        <v>105000</v>
      </c>
      <c r="M1256">
        <f>_xll.BDP("352882BQ Muni","YIELD_ON_ISSUE_DATE")</f>
        <v>1.78</v>
      </c>
      <c r="N1256">
        <f>_xll.BDP("352882BQ Muni","YTW_SPREAD_TO_MATURITY_AT_ISSU")</f>
        <v>52.986826498816384</v>
      </c>
      <c r="O1256" t="str">
        <f>_xll.BDP("352882BQ Muni","BVAL_MID_YTM")</f>
        <v>#N/A Authorization</v>
      </c>
      <c r="P1256" t="str">
        <f>_xll.BDP("352882BQ Muni","MUNI_TAX_PROV")</f>
        <v>FED BQ/ST TAX-EXEMPT</v>
      </c>
      <c r="Q1256" t="str">
        <f>_xll.BDP("352882BQ Muni","MUNI_FED_TAX")</f>
        <v>N</v>
      </c>
      <c r="R1256">
        <f>_xll.BDP("352882BQ Muni","MUNI_MSRB_VOLUME")</f>
        <v>90000</v>
      </c>
      <c r="S1256" t="str">
        <f>_xll.BDP("352882BQ Muni","BB_COMPOSITE")</f>
        <v>#N/A N/A</v>
      </c>
      <c r="T1256">
        <f>_xll.BDP("352882BQ Muni","LQA_LIQUIDITY_SCORE")</f>
        <v>93</v>
      </c>
    </row>
    <row r="1257" spans="1:20" x14ac:dyDescent="0.25">
      <c r="A1257" t="str">
        <f>_xll.BDP("352882BS Muni","ID_CUSIP")</f>
        <v>352882BS2</v>
      </c>
      <c r="B1257" t="s">
        <v>368</v>
      </c>
      <c r="C1257" t="str">
        <f>_xll.BDP("352882BS Muni","INSURANCE_STATUS")</f>
        <v>N</v>
      </c>
      <c r="D1257" t="str">
        <f>_xll.BDP("352882BS Muni","STATE_CODE")</f>
        <v>MO</v>
      </c>
      <c r="E1257" t="str">
        <f>_xll.BDP("352882BS Muni","COUNTY_LOCATION_ISSUER")</f>
        <v>Franklin, MO</v>
      </c>
      <c r="F1257">
        <f>_xll.BDP("352882BS Muni","DUR_ADJ_MID")</f>
        <v>2.234955696116145</v>
      </c>
      <c r="G1257">
        <f>_xll.BDP("352882BS Muni","SPREAD_AT_ISSUANCE_TO_WORST")</f>
        <v>57.403246583852741</v>
      </c>
      <c r="H1257" t="str">
        <f>_xll.BDP("352882BS Muni","ISSUE_DT")</f>
        <v>8/16/2017</v>
      </c>
      <c r="I1257" t="str">
        <f>_xll.BDS("352882BS Muni","MUNI_PURPOSE_SCHED", "aggregate=y")</f>
        <v>WATER UTILITY IMPS.</v>
      </c>
      <c r="J1257">
        <f>_xll.BDP("352882BS Muni","CPN")</f>
        <v>3</v>
      </c>
      <c r="K1257" t="str">
        <f>_xll.BDP("352882BS Muni","MATURITY")</f>
        <v>12/1/2024</v>
      </c>
      <c r="L1257">
        <v>110000</v>
      </c>
      <c r="M1257">
        <f>_xll.BDP("352882BS Muni","YIELD_ON_ISSUE_DATE")</f>
        <v>2.13</v>
      </c>
      <c r="N1257">
        <f>_xll.BDP("352882BS Muni","YTW_SPREAD_TO_MATURITY_AT_ISSU")</f>
        <v>57.403246583852741</v>
      </c>
      <c r="O1257" t="str">
        <f>_xll.BDP("352882BS Muni","BVAL_MID_YTM")</f>
        <v>#N/A Authorization</v>
      </c>
      <c r="P1257" t="str">
        <f>_xll.BDP("352882BS Muni","MUNI_TAX_PROV")</f>
        <v>FED BQ/ST TAX-EXEMPT</v>
      </c>
      <c r="Q1257" t="str">
        <f>_xll.BDP("352882BS Muni","MUNI_FED_TAX")</f>
        <v>N</v>
      </c>
      <c r="R1257" t="str">
        <f>_xll.BDP("352882BS Muni","MUNI_MSRB_VOLUME")</f>
        <v>#N/A N/A</v>
      </c>
      <c r="S1257" t="str">
        <f>_xll.BDP("352882BS Muni","BB_COMPOSITE")</f>
        <v>#N/A N/A</v>
      </c>
      <c r="T1257">
        <f>_xll.BDP("352882BS Muni","LQA_LIQUIDITY_SCORE")</f>
        <v>63</v>
      </c>
    </row>
    <row r="1258" spans="1:20" x14ac:dyDescent="0.25">
      <c r="A1258" t="str">
        <f>_xll.BDP("275791GD Muni","ID_CUSIP")</f>
        <v>275791GD7</v>
      </c>
      <c r="B1258" t="s">
        <v>351</v>
      </c>
      <c r="C1258" t="str">
        <f>_xll.BDP("275791GD Muni","INSURANCE_STATUS")</f>
        <v>N</v>
      </c>
      <c r="D1258" t="str">
        <f>_xll.BDP("275791GD Muni","STATE_CODE")</f>
        <v>WA</v>
      </c>
      <c r="E1258" t="str">
        <f>_xll.BDP("275791GD Muni","COUNTY_LOCATION_ISSUER")</f>
        <v>Douglas, WA</v>
      </c>
      <c r="F1258">
        <f>_xll.BDP("275791GD Muni","DUR_ADJ_MID")</f>
        <v>0.97957119006244342</v>
      </c>
      <c r="G1258">
        <f>_xll.BDP("275791GD Muni","SPREAD_AT_ISSUANCE_TO_WORST")</f>
        <v>22.455684991848756</v>
      </c>
      <c r="H1258" t="str">
        <f>_xll.BDP("275791GD Muni","ISSUE_DT")</f>
        <v>5/16/2017</v>
      </c>
      <c r="I1258" t="str">
        <f>_xll.BDS("275791GD Muni","MUNI_PURPOSE_SCHED", "aggregate=y")</f>
        <v>WATER UTILITY IMPS. ADVANCE REFUNDING</v>
      </c>
      <c r="J1258">
        <f>_xll.BDP("275791GD Muni","CPN")</f>
        <v>4</v>
      </c>
      <c r="K1258" t="str">
        <f>_xll.BDP("275791GD Muni","MATURITY")</f>
        <v>8/1/2023</v>
      </c>
      <c r="L1258">
        <v>285000</v>
      </c>
      <c r="M1258">
        <f>_xll.BDP("275791GD Muni","YIELD_ON_ISSUE_DATE")</f>
        <v>1.82</v>
      </c>
      <c r="N1258">
        <f>_xll.BDP("275791GD Muni","YTW_SPREAD_TO_MATURITY_AT_ISSU")</f>
        <v>22.455684991848756</v>
      </c>
      <c r="O1258" t="str">
        <f>_xll.BDP("275791GD Muni","BVAL_MID_YTM")</f>
        <v>#N/A Authorization</v>
      </c>
      <c r="P1258" t="str">
        <f>_xll.BDP("275791GD Muni","MUNI_TAX_PROV")</f>
        <v>FED BQ</v>
      </c>
      <c r="Q1258" t="str">
        <f>_xll.BDP("275791GD Muni","MUNI_FED_TAX")</f>
        <v>N</v>
      </c>
      <c r="R1258" t="str">
        <f>_xll.BDP("275791GD Muni","MUNI_MSRB_VOLUME")</f>
        <v>#N/A N/A</v>
      </c>
      <c r="S1258" t="str">
        <f>_xll.BDP("275791GD Muni","BB_COMPOSITE")</f>
        <v>#N/A N/A</v>
      </c>
      <c r="T1258">
        <f>_xll.BDP("275791GD Muni","LQA_LIQUIDITY_SCORE")</f>
        <v>76</v>
      </c>
    </row>
    <row r="1259" spans="1:20" x14ac:dyDescent="0.25">
      <c r="A1259" t="str">
        <f>_xll.BDP("275791GF Muni","ID_CUSIP")</f>
        <v>275791GF2</v>
      </c>
      <c r="B1259" t="s">
        <v>351</v>
      </c>
      <c r="C1259" t="str">
        <f>_xll.BDP("275791GF Muni","INSURANCE_STATUS")</f>
        <v>N</v>
      </c>
      <c r="D1259" t="str">
        <f>_xll.BDP("275791GF Muni","STATE_CODE")</f>
        <v>WA</v>
      </c>
      <c r="E1259" t="str">
        <f>_xll.BDP("275791GF Muni","COUNTY_LOCATION_ISSUER")</f>
        <v>Douglas, WA</v>
      </c>
      <c r="F1259">
        <f>_xll.BDP("275791GF Muni","DUR_ADJ_MID")</f>
        <v>2.8305877165968112</v>
      </c>
      <c r="G1259">
        <f>_xll.BDP("275791GF Muni","SPREAD_AT_ISSUANCE_TO_WORST")</f>
        <v>24.450194443920982</v>
      </c>
      <c r="H1259" t="str">
        <f>_xll.BDP("275791GF Muni","ISSUE_DT")</f>
        <v>5/16/2017</v>
      </c>
      <c r="I1259" t="str">
        <f>_xll.BDS("275791GF Muni","MUNI_PURPOSE_SCHED", "aggregate=y")</f>
        <v>WATER UTILITY IMPS. ADVANCE REFUNDING</v>
      </c>
      <c r="J1259">
        <f>_xll.BDP("275791GF Muni","CPN")</f>
        <v>4</v>
      </c>
      <c r="K1259" t="str">
        <f>_xll.BDP("275791GF Muni","MATURITY")</f>
        <v>8/1/2025</v>
      </c>
      <c r="L1259">
        <v>355000</v>
      </c>
      <c r="M1259">
        <f>_xll.BDP("275791GF Muni","YIELD_ON_ISSUE_DATE")</f>
        <v>2.16</v>
      </c>
      <c r="N1259">
        <f>_xll.BDP("275791GF Muni","YTW_SPREAD_TO_MATURITY_AT_ISSU")</f>
        <v>24.450194443920982</v>
      </c>
      <c r="O1259" t="str">
        <f>_xll.BDP("275791GF Muni","BVAL_MID_YTM")</f>
        <v>#N/A Authorization</v>
      </c>
      <c r="P1259" t="str">
        <f>_xll.BDP("275791GF Muni","MUNI_TAX_PROV")</f>
        <v>FED BQ</v>
      </c>
      <c r="Q1259" t="str">
        <f>_xll.BDP("275791GF Muni","MUNI_FED_TAX")</f>
        <v>N</v>
      </c>
      <c r="R1259" t="str">
        <f>_xll.BDP("275791GF Muni","MUNI_MSRB_VOLUME")</f>
        <v>#N/A N/A</v>
      </c>
      <c r="S1259" t="str">
        <f>_xll.BDP("275791GF Muni","BB_COMPOSITE")</f>
        <v>#N/A N/A</v>
      </c>
      <c r="T1259">
        <f>_xll.BDP("275791GF Muni","LQA_LIQUIDITY_SCORE")</f>
        <v>49</v>
      </c>
    </row>
    <row r="1260" spans="1:20" x14ac:dyDescent="0.25">
      <c r="A1260" t="str">
        <f>_xll.BDP("27627MMP Muni","ID_CUSIP")</f>
        <v>27627MMP9</v>
      </c>
      <c r="B1260" t="s">
        <v>352</v>
      </c>
      <c r="C1260" t="str">
        <f>_xll.BDP("27627MMP Muni","INSURANCE_STATUS")</f>
        <v>N</v>
      </c>
      <c r="D1260" t="str">
        <f>_xll.BDP("27627MMP Muni","STATE_CODE")</f>
        <v>CA</v>
      </c>
      <c r="E1260" t="str">
        <f>_xll.BDP("27627MMP Muni","COUNTY_LOCATION_ISSUER")</f>
        <v>Riverside, CA</v>
      </c>
      <c r="F1260">
        <f>_xll.BDP("27627MMP Muni","DUR_ADJ_MID")</f>
        <v>8.0482248681893034E-2</v>
      </c>
      <c r="G1260">
        <f>_xll.BDP("27627MMP Muni","SPREAD_AT_ISSUANCE_TO_WORST")</f>
        <v>54.661041095890404</v>
      </c>
      <c r="H1260" t="str">
        <f>_xll.BDP("27627MMP Muni","ISSUE_DT")</f>
        <v>11/16/2017</v>
      </c>
      <c r="I1260" t="str">
        <f>_xll.BDS("27627MMP Muni","MUNI_PURPOSE_SCHED", "aggregate=y")</f>
        <v>WATER UTILITY IMPS. SEWER IMPS.</v>
      </c>
      <c r="J1260">
        <f>_xll.BDP("27627MMP Muni","CPN")</f>
        <v>3</v>
      </c>
      <c r="K1260" t="str">
        <f>_xll.BDP("27627MMP Muni","MATURITY")</f>
        <v>9/1/2022</v>
      </c>
      <c r="L1260">
        <v>55000</v>
      </c>
      <c r="M1260">
        <f>_xll.BDP("27627MMP Muni","YIELD_ON_ISSUE_DATE")</f>
        <v>1.96</v>
      </c>
      <c r="N1260">
        <f>_xll.BDP("27627MMP Muni","YTW_SPREAD_TO_MATURITY_AT_ISSU")</f>
        <v>54.661041095890404</v>
      </c>
      <c r="O1260" t="str">
        <f>_xll.BDP("27627MMP Muni","BVAL_MID_YTM")</f>
        <v>#N/A Authorization</v>
      </c>
      <c r="P1260" t="str">
        <f>_xll.BDP("27627MMP Muni","MUNI_TAX_PROV")</f>
        <v>FED &amp; ST TAX-EXEMPT</v>
      </c>
      <c r="Q1260" t="str">
        <f>_xll.BDP("27627MMP Muni","MUNI_FED_TAX")</f>
        <v>N</v>
      </c>
      <c r="R1260" t="str">
        <f>_xll.BDP("27627MMP Muni","MUNI_MSRB_VOLUME")</f>
        <v>#N/A N/A</v>
      </c>
      <c r="S1260" t="str">
        <f>_xll.BDP("27627MMP Muni","BB_COMPOSITE")</f>
        <v>#N/A N/A</v>
      </c>
      <c r="T1260">
        <f>_xll.BDP("27627MMP Muni","LQA_LIQUIDITY_SCORE")</f>
        <v>96</v>
      </c>
    </row>
    <row r="1261" spans="1:20" x14ac:dyDescent="0.25">
      <c r="A1261" t="str">
        <f>_xll.BDP("27627MNM Muni","ID_CUSIP")</f>
        <v>27627MNM5</v>
      </c>
      <c r="B1261" t="s">
        <v>352</v>
      </c>
      <c r="C1261" t="str">
        <f>_xll.BDP("27627MNM Muni","INSURANCE_STATUS")</f>
        <v>N</v>
      </c>
      <c r="D1261" t="str">
        <f>_xll.BDP("27627MNM Muni","STATE_CODE")</f>
        <v>CA</v>
      </c>
      <c r="E1261" t="str">
        <f>_xll.BDP("27627MNM Muni","COUNTY_LOCATION_ISSUER")</f>
        <v>Riverside, CA</v>
      </c>
      <c r="F1261">
        <f>_xll.BDP("27627MNM Muni","DUR_ADJ_MID")</f>
        <v>8.0482248681893034E-2</v>
      </c>
      <c r="G1261">
        <f>_xll.BDP("27627MNM Muni","SPREAD_AT_ISSUANCE_TO_WORST")</f>
        <v>59.66104109589039</v>
      </c>
      <c r="H1261" t="str">
        <f>_xll.BDP("27627MNM Muni","ISSUE_DT")</f>
        <v>11/16/2017</v>
      </c>
      <c r="I1261" t="str">
        <f>_xll.BDS("27627MNM Muni","MUNI_PURPOSE_SCHED", "aggregate=y")</f>
        <v>WATER UTILITY IMPS. SEWER IMPS.</v>
      </c>
      <c r="J1261">
        <f>_xll.BDP("27627MNM Muni","CPN")</f>
        <v>3</v>
      </c>
      <c r="K1261" t="str">
        <f>_xll.BDP("27627MNM Muni","MATURITY")</f>
        <v>9/1/2022</v>
      </c>
      <c r="L1261">
        <v>70000</v>
      </c>
      <c r="M1261">
        <f>_xll.BDP("27627MNM Muni","YIELD_ON_ISSUE_DATE")</f>
        <v>2.0100000000000002</v>
      </c>
      <c r="N1261">
        <f>_xll.BDP("27627MNM Muni","YTW_SPREAD_TO_MATURITY_AT_ISSU")</f>
        <v>59.66104109589039</v>
      </c>
      <c r="O1261" t="str">
        <f>_xll.BDP("27627MNM Muni","BVAL_MID_YTM")</f>
        <v>#N/A Authorization</v>
      </c>
      <c r="P1261" t="str">
        <f>_xll.BDP("27627MNM Muni","MUNI_TAX_PROV")</f>
        <v>FED &amp; ST TAX-EXEMPT</v>
      </c>
      <c r="Q1261" t="str">
        <f>_xll.BDP("27627MNM Muni","MUNI_FED_TAX")</f>
        <v>N</v>
      </c>
      <c r="R1261" t="str">
        <f>_xll.BDP("27627MNM Muni","MUNI_MSRB_VOLUME")</f>
        <v>#N/A N/A</v>
      </c>
      <c r="S1261" t="str">
        <f>_xll.BDP("27627MNM Muni","BB_COMPOSITE")</f>
        <v>#N/A N/A</v>
      </c>
      <c r="T1261">
        <f>_xll.BDP("27627MNM Muni","LQA_LIQUIDITY_SCORE")</f>
        <v>96</v>
      </c>
    </row>
    <row r="1262" spans="1:20" x14ac:dyDescent="0.25">
      <c r="A1262" t="str">
        <f>_xll.BDP("27627MNP Muni","ID_CUSIP")</f>
        <v>27627MNP8</v>
      </c>
      <c r="B1262" t="s">
        <v>352</v>
      </c>
      <c r="C1262" t="str">
        <f>_xll.BDP("27627MNP Muni","INSURANCE_STATUS")</f>
        <v>N</v>
      </c>
      <c r="D1262" t="str">
        <f>_xll.BDP("27627MNP Muni","STATE_CODE")</f>
        <v>CA</v>
      </c>
      <c r="E1262" t="str">
        <f>_xll.BDP("27627MNP Muni","COUNTY_LOCATION_ISSUER")</f>
        <v>Riverside, CA</v>
      </c>
      <c r="F1262">
        <f>_xll.BDP("27627MNP Muni","DUR_ADJ_MID")</f>
        <v>1.9674709896168843</v>
      </c>
      <c r="G1262">
        <f>_xll.BDP("27627MNP Muni","SPREAD_AT_ISSUANCE_TO_WORST")</f>
        <v>74.598167123287681</v>
      </c>
      <c r="H1262" t="str">
        <f>_xll.BDP("27627MNP Muni","ISSUE_DT")</f>
        <v>11/16/2017</v>
      </c>
      <c r="I1262" t="str">
        <f>_xll.BDS("27627MNP Muni","MUNI_PURPOSE_SCHED", "aggregate=y")</f>
        <v>WATER UTILITY IMPS. SEWER IMPS.</v>
      </c>
      <c r="J1262">
        <f>_xll.BDP("27627MNP Muni","CPN")</f>
        <v>4</v>
      </c>
      <c r="K1262" t="str">
        <f>_xll.BDP("27627MNP Muni","MATURITY")</f>
        <v>9/1/2024</v>
      </c>
      <c r="L1262">
        <v>75000</v>
      </c>
      <c r="M1262">
        <f>_xll.BDP("27627MNP Muni","YIELD_ON_ISSUE_DATE")</f>
        <v>2.41</v>
      </c>
      <c r="N1262">
        <f>_xll.BDP("27627MNP Muni","YTW_SPREAD_TO_MATURITY_AT_ISSU")</f>
        <v>74.598167123287681</v>
      </c>
      <c r="O1262" t="str">
        <f>_xll.BDP("27627MNP Muni","BVAL_MID_YTM")</f>
        <v>#N/A Authorization</v>
      </c>
      <c r="P1262" t="str">
        <f>_xll.BDP("27627MNP Muni","MUNI_TAX_PROV")</f>
        <v>FED &amp; ST TAX-EXEMPT</v>
      </c>
      <c r="Q1262" t="str">
        <f>_xll.BDP("27627MNP Muni","MUNI_FED_TAX")</f>
        <v>N</v>
      </c>
      <c r="R1262" t="str">
        <f>_xll.BDP("27627MNP Muni","MUNI_MSRB_VOLUME")</f>
        <v>#N/A N/A</v>
      </c>
      <c r="S1262" t="str">
        <f>_xll.BDP("27627MNP Muni","BB_COMPOSITE")</f>
        <v>#N/A N/A</v>
      </c>
      <c r="T1262">
        <f>_xll.BDP("27627MNP Muni","LQA_LIQUIDITY_SCORE")</f>
        <v>72</v>
      </c>
    </row>
    <row r="1263" spans="1:20" x14ac:dyDescent="0.25">
      <c r="A1263" t="str">
        <f>_xll.BDP("277484DD Muni","ID_CUSIP")</f>
        <v>277484DD0</v>
      </c>
      <c r="B1263" t="s">
        <v>386</v>
      </c>
      <c r="C1263" t="str">
        <f>_xll.BDP("277484DD Muni","INSURANCE_STATUS")</f>
        <v>N</v>
      </c>
      <c r="D1263" t="str">
        <f>_xll.BDP("277484DD Muni","STATE_CODE")</f>
        <v>AZ</v>
      </c>
      <c r="E1263" t="str">
        <f>_xll.BDP("277484DD Muni","COUNTY_LOCATION_ISSUER")</f>
        <v>Maricopa, AZ</v>
      </c>
      <c r="F1263">
        <f>_xll.BDP("277484DD Muni","DUR_ADJ_MID")</f>
        <v>0.89941361939284514</v>
      </c>
      <c r="G1263">
        <f>_xll.BDP("277484DD Muni","SPREAD_AT_ISSUANCE_TO_WORST")</f>
        <v>141.61030136986301</v>
      </c>
      <c r="H1263" t="str">
        <f>_xll.BDP("277484DD Muni","ISSUE_DT")</f>
        <v>12/7/2017</v>
      </c>
      <c r="I1263" t="str">
        <f>_xll.BDS("277484DD Muni","MUNI_PURPOSE_SCHED", "aggregate=y")</f>
        <v>PUBLIC IMPS. WATER UTILITY IMPS. SEWER IMPS.</v>
      </c>
      <c r="J1263">
        <f>_xll.BDP("277484DD Muni","CPN")</f>
        <v>3</v>
      </c>
      <c r="K1263" t="str">
        <f>_xll.BDP("277484DD Muni","MATURITY")</f>
        <v>7/1/2023</v>
      </c>
      <c r="L1263">
        <v>40000</v>
      </c>
      <c r="M1263">
        <f>_xll.BDP("277484DD Muni","YIELD_ON_ISSUE_DATE")</f>
        <v>3</v>
      </c>
      <c r="N1263">
        <f>_xll.BDP("277484DD Muni","YTW_SPREAD_TO_MATURITY_AT_ISSU")</f>
        <v>141.61030136986301</v>
      </c>
      <c r="O1263" t="str">
        <f>_xll.BDP("277484DD Muni","BVAL_MID_YTM")</f>
        <v>#N/A Authorization</v>
      </c>
      <c r="P1263" t="str">
        <f>_xll.BDP("277484DD Muni","MUNI_TAX_PROV")</f>
        <v>FED BQ/ST TAX-EXEMPT</v>
      </c>
      <c r="Q1263" t="str">
        <f>_xll.BDP("277484DD Muni","MUNI_FED_TAX")</f>
        <v>N</v>
      </c>
      <c r="R1263" t="str">
        <f>_xll.BDP("277484DD Muni","MUNI_MSRB_VOLUME")</f>
        <v>#N/A N/A</v>
      </c>
      <c r="S1263" t="str">
        <f>_xll.BDP("277484DD Muni","BB_COMPOSITE")</f>
        <v>#N/A N/A</v>
      </c>
      <c r="T1263">
        <f>_xll.BDP("277484DD Muni","LQA_LIQUIDITY_SCORE")</f>
        <v>52</v>
      </c>
    </row>
    <row r="1264" spans="1:20" x14ac:dyDescent="0.25">
      <c r="A1264" t="str">
        <f>_xll.BDP("277484DE Muni","ID_CUSIP")</f>
        <v>277484DE8</v>
      </c>
      <c r="B1264" t="s">
        <v>386</v>
      </c>
      <c r="C1264" t="str">
        <f>_xll.BDP("277484DE Muni","INSURANCE_STATUS")</f>
        <v>N</v>
      </c>
      <c r="D1264" t="str">
        <f>_xll.BDP("277484DE Muni","STATE_CODE")</f>
        <v>AZ</v>
      </c>
      <c r="E1264" t="str">
        <f>_xll.BDP("277484DE Muni","COUNTY_LOCATION_ISSUER")</f>
        <v>Maricopa, AZ</v>
      </c>
      <c r="F1264">
        <f>_xll.BDP("277484DE Muni","DUR_ADJ_MID")</f>
        <v>1.850403163203455</v>
      </c>
      <c r="G1264">
        <f>_xll.BDP("277484DE Muni","SPREAD_AT_ISSUANCE_TO_WORST")</f>
        <v>151.09076164383563</v>
      </c>
      <c r="H1264" t="str">
        <f>_xll.BDP("277484DE Muni","ISSUE_DT")</f>
        <v>12/7/2017</v>
      </c>
      <c r="I1264" t="str">
        <f>_xll.BDS("277484DE Muni","MUNI_PURPOSE_SCHED", "aggregate=y")</f>
        <v>PUBLIC IMPS. WATER UTILITY IMPS. SEWER IMPS.</v>
      </c>
      <c r="J1264">
        <f>_xll.BDP("277484DE Muni","CPN")</f>
        <v>3.2</v>
      </c>
      <c r="K1264" t="str">
        <f>_xll.BDP("277484DE Muni","MATURITY")</f>
        <v>7/1/2024</v>
      </c>
      <c r="L1264">
        <v>42000</v>
      </c>
      <c r="M1264">
        <f>_xll.BDP("277484DE Muni","YIELD_ON_ISSUE_DATE")</f>
        <v>3.2</v>
      </c>
      <c r="N1264">
        <f>_xll.BDP("277484DE Muni","YTW_SPREAD_TO_MATURITY_AT_ISSU")</f>
        <v>151.09076164383563</v>
      </c>
      <c r="O1264" t="str">
        <f>_xll.BDP("277484DE Muni","BVAL_MID_YTM")</f>
        <v>#N/A Authorization</v>
      </c>
      <c r="P1264" t="str">
        <f>_xll.BDP("277484DE Muni","MUNI_TAX_PROV")</f>
        <v>FED BQ/ST TAX-EXEMPT</v>
      </c>
      <c r="Q1264" t="str">
        <f>_xll.BDP("277484DE Muni","MUNI_FED_TAX")</f>
        <v>N</v>
      </c>
      <c r="R1264" t="str">
        <f>_xll.BDP("277484DE Muni","MUNI_MSRB_VOLUME")</f>
        <v>#N/A N/A</v>
      </c>
      <c r="S1264" t="str">
        <f>_xll.BDP("277484DE Muni","BB_COMPOSITE")</f>
        <v>#N/A N/A</v>
      </c>
      <c r="T1264">
        <f>_xll.BDP("277484DE Muni","LQA_LIQUIDITY_SCORE")</f>
        <v>29</v>
      </c>
    </row>
    <row r="1265" spans="1:20" x14ac:dyDescent="0.25">
      <c r="A1265" t="str">
        <f>_xll.BDP("277484DF Muni","ID_CUSIP")</f>
        <v>277484DF5</v>
      </c>
      <c r="B1265" t="s">
        <v>386</v>
      </c>
      <c r="C1265" t="str">
        <f>_xll.BDP("277484DF Muni","INSURANCE_STATUS")</f>
        <v>N</v>
      </c>
      <c r="D1265" t="str">
        <f>_xll.BDP("277484DF Muni","STATE_CODE")</f>
        <v>AZ</v>
      </c>
      <c r="E1265" t="str">
        <f>_xll.BDP("277484DF Muni","COUNTY_LOCATION_ISSUER")</f>
        <v>Maricopa, AZ</v>
      </c>
      <c r="F1265">
        <f>_xll.BDP("277484DF Muni","DUR_ADJ_MID")</f>
        <v>2.7666802931767576</v>
      </c>
      <c r="G1265">
        <f>_xll.BDP("277484DF Muni","SPREAD_AT_ISSUANCE_TO_WORST")</f>
        <v>160.14465205479451</v>
      </c>
      <c r="H1265" t="str">
        <f>_xll.BDP("277484DF Muni","ISSUE_DT")</f>
        <v>12/7/2017</v>
      </c>
      <c r="I1265" t="str">
        <f>_xll.BDS("277484DF Muni","MUNI_PURPOSE_SCHED", "aggregate=y")</f>
        <v>PUBLIC IMPS. WATER UTILITY IMPS. SEWER IMPS.</v>
      </c>
      <c r="J1265">
        <f>_xll.BDP("277484DF Muni","CPN")</f>
        <v>3.4</v>
      </c>
      <c r="K1265" t="str">
        <f>_xll.BDP("277484DF Muni","MATURITY")</f>
        <v>7/1/2025</v>
      </c>
      <c r="L1265">
        <v>43000</v>
      </c>
      <c r="M1265">
        <f>_xll.BDP("277484DF Muni","YIELD_ON_ISSUE_DATE")</f>
        <v>3.4000000000000004</v>
      </c>
      <c r="N1265">
        <f>_xll.BDP("277484DF Muni","YTW_SPREAD_TO_MATURITY_AT_ISSU")</f>
        <v>160.14465205479451</v>
      </c>
      <c r="O1265" t="str">
        <f>_xll.BDP("277484DF Muni","BVAL_MID_YTM")</f>
        <v>#N/A Authorization</v>
      </c>
      <c r="P1265" t="str">
        <f>_xll.BDP("277484DF Muni","MUNI_TAX_PROV")</f>
        <v>FED BQ/ST TAX-EXEMPT</v>
      </c>
      <c r="Q1265" t="str">
        <f>_xll.BDP("277484DF Muni","MUNI_FED_TAX")</f>
        <v>N</v>
      </c>
      <c r="R1265" t="str">
        <f>_xll.BDP("277484DF Muni","MUNI_MSRB_VOLUME")</f>
        <v>#N/A N/A</v>
      </c>
      <c r="S1265" t="str">
        <f>_xll.BDP("277484DF Muni","BB_COMPOSITE")</f>
        <v>#N/A N/A</v>
      </c>
      <c r="T1265">
        <f>_xll.BDP("277484DF Muni","LQA_LIQUIDITY_SCORE")</f>
        <v>20</v>
      </c>
    </row>
    <row r="1266" spans="1:20" x14ac:dyDescent="0.25">
      <c r="A1266" t="str">
        <f>_xll.BDP("277484DG Muni","ID_CUSIP")</f>
        <v>277484DG3</v>
      </c>
      <c r="B1266" t="s">
        <v>386</v>
      </c>
      <c r="C1266" t="str">
        <f>_xll.BDP("277484DG Muni","INSURANCE_STATUS")</f>
        <v>N</v>
      </c>
      <c r="D1266" t="str">
        <f>_xll.BDP("277484DG Muni","STATE_CODE")</f>
        <v>AZ</v>
      </c>
      <c r="E1266" t="str">
        <f>_xll.BDP("277484DG Muni","COUNTY_LOCATION_ISSUER")</f>
        <v>Maricopa, AZ</v>
      </c>
      <c r="F1266">
        <f>_xll.BDP("277484DG Muni","DUR_ADJ_MID")</f>
        <v>3.6507651369075549</v>
      </c>
      <c r="G1266">
        <f>_xll.BDP("277484DG Muni","SPREAD_AT_ISSUANCE_TO_WORST")</f>
        <v>159.86631780821918</v>
      </c>
      <c r="H1266" t="str">
        <f>_xll.BDP("277484DG Muni","ISSUE_DT")</f>
        <v>12/7/2017</v>
      </c>
      <c r="I1266" t="str">
        <f>_xll.BDS("277484DG Muni","MUNI_PURPOSE_SCHED", "aggregate=y")</f>
        <v>PUBLIC IMPS. WATER UTILITY IMPS. SEWER IMPS.</v>
      </c>
      <c r="J1266">
        <f>_xll.BDP("277484DG Muni","CPN")</f>
        <v>3.5</v>
      </c>
      <c r="K1266" t="str">
        <f>_xll.BDP("277484DG Muni","MATURITY")</f>
        <v>7/1/2026</v>
      </c>
      <c r="L1266">
        <v>45000</v>
      </c>
      <c r="M1266">
        <f>_xll.BDP("277484DG Muni","YIELD_ON_ISSUE_DATE")</f>
        <v>3.5</v>
      </c>
      <c r="N1266">
        <f>_xll.BDP("277484DG Muni","YTW_SPREAD_TO_MATURITY_AT_ISSU")</f>
        <v>159.86631780821918</v>
      </c>
      <c r="O1266" t="str">
        <f>_xll.BDP("277484DG Muni","BVAL_MID_YTM")</f>
        <v>#N/A Authorization</v>
      </c>
      <c r="P1266" t="str">
        <f>_xll.BDP("277484DG Muni","MUNI_TAX_PROV")</f>
        <v>FED BQ/ST TAX-EXEMPT</v>
      </c>
      <c r="Q1266" t="str">
        <f>_xll.BDP("277484DG Muni","MUNI_FED_TAX")</f>
        <v>N</v>
      </c>
      <c r="R1266" t="str">
        <f>_xll.BDP("277484DG Muni","MUNI_MSRB_VOLUME")</f>
        <v>#N/A N/A</v>
      </c>
      <c r="S1266" t="str">
        <f>_xll.BDP("277484DG Muni","BB_COMPOSITE")</f>
        <v>#N/A N/A</v>
      </c>
      <c r="T1266">
        <f>_xll.BDP("277484DG Muni","LQA_LIQUIDITY_SCORE")</f>
        <v>11</v>
      </c>
    </row>
    <row r="1267" spans="1:20" x14ac:dyDescent="0.25">
      <c r="A1267" t="str">
        <f>_xll.BDP("277484DH Muni","ID_CUSIP")</f>
        <v>277484DH1</v>
      </c>
      <c r="B1267" t="s">
        <v>386</v>
      </c>
      <c r="C1267" t="str">
        <f>_xll.BDP("277484DH Muni","INSURANCE_STATUS")</f>
        <v>N</v>
      </c>
      <c r="D1267" t="str">
        <f>_xll.BDP("277484DH Muni","STATE_CODE")</f>
        <v>AZ</v>
      </c>
      <c r="E1267" t="str">
        <f>_xll.BDP("277484DH Muni","COUNTY_LOCATION_ISSUER")</f>
        <v>Maricopa, AZ</v>
      </c>
      <c r="F1267">
        <f>_xll.BDP("277484DH Muni","DUR_ADJ_MID")</f>
        <v>4.501036134192292</v>
      </c>
      <c r="G1267">
        <f>_xll.BDP("277484DH Muni","SPREAD_AT_ISSUANCE_TO_WORST")</f>
        <v>162.40562739726028</v>
      </c>
      <c r="H1267" t="str">
        <f>_xll.BDP("277484DH Muni","ISSUE_DT")</f>
        <v>12/7/2017</v>
      </c>
      <c r="I1267" t="str">
        <f>_xll.BDS("277484DH Muni","MUNI_PURPOSE_SCHED", "aggregate=y")</f>
        <v>PUBLIC IMPS. WATER UTILITY IMPS. SEWER IMPS.</v>
      </c>
      <c r="J1267">
        <f>_xll.BDP("277484DH Muni","CPN")</f>
        <v>3.6</v>
      </c>
      <c r="K1267" t="str">
        <f>_xll.BDP("277484DH Muni","MATURITY")</f>
        <v>7/1/2027</v>
      </c>
      <c r="L1267">
        <v>46000</v>
      </c>
      <c r="M1267">
        <f>_xll.BDP("277484DH Muni","YIELD_ON_ISSUE_DATE")</f>
        <v>3.6</v>
      </c>
      <c r="N1267">
        <f>_xll.BDP("277484DH Muni","YTW_SPREAD_TO_MATURITY_AT_ISSU")</f>
        <v>162.40562739726028</v>
      </c>
      <c r="O1267" t="str">
        <f>_xll.BDP("277484DH Muni","BVAL_MID_YTM")</f>
        <v>#N/A Authorization</v>
      </c>
      <c r="P1267" t="str">
        <f>_xll.BDP("277484DH Muni","MUNI_TAX_PROV")</f>
        <v>FED BQ/ST TAX-EXEMPT</v>
      </c>
      <c r="Q1267" t="str">
        <f>_xll.BDP("277484DH Muni","MUNI_FED_TAX")</f>
        <v>N</v>
      </c>
      <c r="R1267" t="str">
        <f>_xll.BDP("277484DH Muni","MUNI_MSRB_VOLUME")</f>
        <v>#N/A N/A</v>
      </c>
      <c r="S1267" t="str">
        <f>_xll.BDP("277484DH Muni","BB_COMPOSITE")</f>
        <v>#N/A N/A</v>
      </c>
      <c r="T1267">
        <f>_xll.BDP("277484DH Muni","LQA_LIQUIDITY_SCORE")</f>
        <v>6</v>
      </c>
    </row>
    <row r="1268" spans="1:20" x14ac:dyDescent="0.25">
      <c r="A1268" t="str">
        <f>_xll.BDP("280606AG Muni","ID_CUSIP")</f>
        <v>280606AG9</v>
      </c>
      <c r="B1268" t="s">
        <v>384</v>
      </c>
      <c r="C1268" t="str">
        <f>_xll.BDP("280606AG Muni","INSURANCE_STATUS")</f>
        <v>N</v>
      </c>
      <c r="D1268" t="str">
        <f>_xll.BDP("280606AG Muni","STATE_CODE")</f>
        <v>MN</v>
      </c>
      <c r="E1268" t="str">
        <f>_xll.BDP("280606AG Muni","COUNTY_LOCATION_ISSUER")</f>
        <v>Hennepin, MN</v>
      </c>
      <c r="F1268">
        <f>_xll.BDP("280606AG Muni","DUR_ADJ_MID")</f>
        <v>2.3847215586858614</v>
      </c>
      <c r="G1268">
        <f>_xll.BDP("280606AG Muni","SPREAD_AT_ISSUANCE_TO_WORST")</f>
        <v>-2.4225015899773661</v>
      </c>
      <c r="H1268" t="str">
        <f>_xll.BDP("280606AG Muni","ISSUE_DT")</f>
        <v>6/29/2017</v>
      </c>
      <c r="I1268" t="str">
        <f>_xll.BDS("280606AG Muni","MUNI_PURPOSE_SCHED", "aggregate=y")</f>
        <v>WATER UTILITY IMPS. SEWER IMPS. PUBLIC IMPS.</v>
      </c>
      <c r="J1268">
        <f>_xll.BDP("280606AG Muni","CPN")</f>
        <v>4</v>
      </c>
      <c r="K1268" t="str">
        <f>_xll.BDP("280606AG Muni","MATURITY")</f>
        <v>2/1/2025</v>
      </c>
      <c r="L1268">
        <v>820000</v>
      </c>
      <c r="M1268">
        <f>_xll.BDP("280606AG Muni","YIELD_ON_ISSUE_DATE")</f>
        <v>1.53</v>
      </c>
      <c r="N1268">
        <f>_xll.BDP("280606AG Muni","YTW_SPREAD_TO_MATURITY_AT_ISSU")</f>
        <v>-2.4225015899773661</v>
      </c>
      <c r="O1268" t="str">
        <f>_xll.BDP("280606AG Muni","BVAL_MID_YTM")</f>
        <v>#N/A Authorization</v>
      </c>
      <c r="P1268" t="str">
        <f>_xll.BDP("280606AG Muni","MUNI_TAX_PROV")</f>
        <v>FED &amp; ST TAX-EXEMPT</v>
      </c>
      <c r="Q1268" t="str">
        <f>_xll.BDP("280606AG Muni","MUNI_FED_TAX")</f>
        <v>N</v>
      </c>
      <c r="R1268">
        <f>_xll.BDP("280606AG Muni","MUNI_MSRB_VOLUME")</f>
        <v>260000</v>
      </c>
      <c r="S1268" t="str">
        <f>_xll.BDP("280606AG Muni","BB_COMPOSITE")</f>
        <v>AAA</v>
      </c>
      <c r="T1268">
        <f>_xll.BDP("280606AG Muni","LQA_LIQUIDITY_SCORE")</f>
        <v>79</v>
      </c>
    </row>
    <row r="1269" spans="1:20" x14ac:dyDescent="0.25">
      <c r="A1269" t="str">
        <f>_xll.BDP("280606AH Muni","ID_CUSIP")</f>
        <v>280606AH7</v>
      </c>
      <c r="B1269" t="s">
        <v>384</v>
      </c>
      <c r="C1269" t="str">
        <f>_xll.BDP("280606AH Muni","INSURANCE_STATUS")</f>
        <v>N</v>
      </c>
      <c r="D1269" t="str">
        <f>_xll.BDP("280606AH Muni","STATE_CODE")</f>
        <v>MN</v>
      </c>
      <c r="E1269" t="str">
        <f>_xll.BDP("280606AH Muni","COUNTY_LOCATION_ISSUER")</f>
        <v>Hennepin, MN</v>
      </c>
      <c r="F1269">
        <f>_xll.BDP("280606AH Muni","DUR_ADJ_MID")</f>
        <v>3.2785726899731711</v>
      </c>
      <c r="G1269">
        <f>_xll.BDP("280606AH Muni","SPREAD_AT_ISSUANCE_TO_WORST")</f>
        <v>0.91666067341100721</v>
      </c>
      <c r="H1269" t="str">
        <f>_xll.BDP("280606AH Muni","ISSUE_DT")</f>
        <v>6/29/2017</v>
      </c>
      <c r="I1269" t="str">
        <f>_xll.BDS("280606AH Muni","MUNI_PURPOSE_SCHED", "aggregate=y")</f>
        <v>WATER UTILITY IMPS. SEWER IMPS. PUBLIC IMPS.</v>
      </c>
      <c r="J1269">
        <f>_xll.BDP("280606AH Muni","CPN")</f>
        <v>4</v>
      </c>
      <c r="K1269" t="str">
        <f>_xll.BDP("280606AH Muni","MATURITY")</f>
        <v>2/1/2026</v>
      </c>
      <c r="L1269">
        <v>855000</v>
      </c>
      <c r="M1269">
        <f>_xll.BDP("280606AH Muni","YIELD_ON_ISSUE_DATE")</f>
        <v>1.71</v>
      </c>
      <c r="N1269">
        <f>_xll.BDP("280606AH Muni","YTW_SPREAD_TO_MATURITY_AT_ISSU")</f>
        <v>0.91666067341100721</v>
      </c>
      <c r="O1269" t="str">
        <f>_xll.BDP("280606AH Muni","BVAL_MID_YTM")</f>
        <v>#N/A Authorization</v>
      </c>
      <c r="P1269" t="str">
        <f>_xll.BDP("280606AH Muni","MUNI_TAX_PROV")</f>
        <v>FED &amp; ST TAX-EXEMPT</v>
      </c>
      <c r="Q1269" t="str">
        <f>_xll.BDP("280606AH Muni","MUNI_FED_TAX")</f>
        <v>N</v>
      </c>
      <c r="R1269" t="str">
        <f>_xll.BDP("280606AH Muni","MUNI_MSRB_VOLUME")</f>
        <v>#N/A N/A</v>
      </c>
      <c r="S1269" t="str">
        <f>_xll.BDP("280606AH Muni","BB_COMPOSITE")</f>
        <v>AAA</v>
      </c>
      <c r="T1269">
        <f>_xll.BDP("280606AH Muni","LQA_LIQUIDITY_SCORE")</f>
        <v>70</v>
      </c>
    </row>
    <row r="1270" spans="1:20" x14ac:dyDescent="0.25">
      <c r="A1270" t="str">
        <f>_xll.BDP("28106HAT Muni","ID_CUSIP")</f>
        <v>28106HAT3</v>
      </c>
      <c r="B1270" t="s">
        <v>387</v>
      </c>
      <c r="C1270" t="str">
        <f>_xll.BDP("28106HAT Muni","INSURANCE_STATUS")</f>
        <v>N</v>
      </c>
      <c r="D1270" t="str">
        <f>_xll.BDP("28106HAT Muni","STATE_CODE")</f>
        <v>SC</v>
      </c>
      <c r="E1270" t="str">
        <f>_xll.BDP("28106HAT Muni","COUNTY_LOCATION_ISSUER")</f>
        <v>Colleton, SC</v>
      </c>
      <c r="F1270">
        <f>_xll.BDP("28106HAT Muni","DUR_ADJ_MID")</f>
        <v>0.45005271072641345</v>
      </c>
      <c r="G1270">
        <f>_xll.BDP("28106HAT Muni","SPREAD_AT_ISSUANCE_TO_WORST")</f>
        <v>40.744273822147804</v>
      </c>
      <c r="H1270" t="str">
        <f>_xll.BDP("28106HAT Muni","ISSUE_DT")</f>
        <v>7/18/2017</v>
      </c>
      <c r="I1270" t="str">
        <f>_xll.BDS("28106HAT Muni","MUNI_PURPOSE_SCHED", "aggregate=y")</f>
        <v>WATER UTILITY IMPS.</v>
      </c>
      <c r="J1270">
        <f>_xll.BDP("28106HAT Muni","CPN")</f>
        <v>3</v>
      </c>
      <c r="K1270" t="str">
        <f>_xll.BDP("28106HAT Muni","MATURITY")</f>
        <v>1/15/2023</v>
      </c>
      <c r="L1270">
        <v>165000</v>
      </c>
      <c r="M1270">
        <f>_xll.BDP("28106HAT Muni","YIELD_ON_ISSUE_DATE")</f>
        <v>1.81</v>
      </c>
      <c r="N1270">
        <f>_xll.BDP("28106HAT Muni","YTW_SPREAD_TO_MATURITY_AT_ISSU")</f>
        <v>40.744273822147804</v>
      </c>
      <c r="O1270" t="str">
        <f>_xll.BDP("28106HAT Muni","BVAL_MID_YTM")</f>
        <v>#N/A Authorization</v>
      </c>
      <c r="P1270" t="str">
        <f>_xll.BDP("28106HAT Muni","MUNI_TAX_PROV")</f>
        <v>FED BQ/ST TAX-EXEMPT</v>
      </c>
      <c r="Q1270" t="str">
        <f>_xll.BDP("28106HAT Muni","MUNI_FED_TAX")</f>
        <v>N</v>
      </c>
      <c r="R1270">
        <f>_xll.BDP("28106HAT Muni","MUNI_MSRB_VOLUME")</f>
        <v>15000</v>
      </c>
      <c r="S1270" t="str">
        <f>_xll.BDP("28106HAT Muni","BB_COMPOSITE")</f>
        <v>#N/A N/A</v>
      </c>
      <c r="T1270">
        <f>_xll.BDP("28106HAT Muni","LQA_LIQUIDITY_SCORE")</f>
        <v>22</v>
      </c>
    </row>
    <row r="1271" spans="1:20" x14ac:dyDescent="0.25">
      <c r="A1271" t="str">
        <f>_xll.BDP("28106HAU Muni","ID_CUSIP")</f>
        <v>28106HAU0</v>
      </c>
      <c r="B1271" t="s">
        <v>387</v>
      </c>
      <c r="C1271" t="str">
        <f>_xll.BDP("28106HAU Muni","INSURANCE_STATUS")</f>
        <v>N</v>
      </c>
      <c r="D1271" t="str">
        <f>_xll.BDP("28106HAU Muni","STATE_CODE")</f>
        <v>SC</v>
      </c>
      <c r="E1271" t="str">
        <f>_xll.BDP("28106HAU Muni","COUNTY_LOCATION_ISSUER")</f>
        <v>Colleton, SC</v>
      </c>
      <c r="F1271">
        <f>_xll.BDP("28106HAU Muni","DUR_ADJ_MID")</f>
        <v>1.4172777156205145</v>
      </c>
      <c r="G1271">
        <f>_xll.BDP("28106HAU Muni","SPREAD_AT_ISSUANCE_TO_WORST")</f>
        <v>36.371265839268489</v>
      </c>
      <c r="H1271" t="str">
        <f>_xll.BDP("28106HAU Muni","ISSUE_DT")</f>
        <v>7/18/2017</v>
      </c>
      <c r="I1271" t="str">
        <f>_xll.BDS("28106HAU Muni","MUNI_PURPOSE_SCHED", "aggregate=y")</f>
        <v>WATER UTILITY IMPS.</v>
      </c>
      <c r="J1271">
        <f>_xll.BDP("28106HAU Muni","CPN")</f>
        <v>3</v>
      </c>
      <c r="K1271" t="str">
        <f>_xll.BDP("28106HAU Muni","MATURITY")</f>
        <v>1/15/2024</v>
      </c>
      <c r="L1271">
        <v>170000</v>
      </c>
      <c r="M1271">
        <f>_xll.BDP("28106HAU Muni","YIELD_ON_ISSUE_DATE")</f>
        <v>1.9100000000000001</v>
      </c>
      <c r="N1271">
        <f>_xll.BDP("28106HAU Muni","YTW_SPREAD_TO_MATURITY_AT_ISSU")</f>
        <v>36.371265839268489</v>
      </c>
      <c r="O1271" t="str">
        <f>_xll.BDP("28106HAU Muni","BVAL_MID_YTM")</f>
        <v>#N/A Authorization</v>
      </c>
      <c r="P1271" t="str">
        <f>_xll.BDP("28106HAU Muni","MUNI_TAX_PROV")</f>
        <v>FED BQ/ST TAX-EXEMPT</v>
      </c>
      <c r="Q1271" t="str">
        <f>_xll.BDP("28106HAU Muni","MUNI_FED_TAX")</f>
        <v>N</v>
      </c>
      <c r="R1271" t="str">
        <f>_xll.BDP("28106HAU Muni","MUNI_MSRB_VOLUME")</f>
        <v>#N/A N/A</v>
      </c>
      <c r="S1271" t="str">
        <f>_xll.BDP("28106HAU Muni","BB_COMPOSITE")</f>
        <v>#N/A N/A</v>
      </c>
      <c r="T1271">
        <f>_xll.BDP("28106HAU Muni","LQA_LIQUIDITY_SCORE")</f>
        <v>61</v>
      </c>
    </row>
    <row r="1272" spans="1:20" x14ac:dyDescent="0.25">
      <c r="A1272" t="str">
        <f>_xll.BDP("28106HAV Muni","ID_CUSIP")</f>
        <v>28106HAV8</v>
      </c>
      <c r="B1272" t="s">
        <v>387</v>
      </c>
      <c r="C1272" t="str">
        <f>_xll.BDP("28106HAV Muni","INSURANCE_STATUS")</f>
        <v>N</v>
      </c>
      <c r="D1272" t="str">
        <f>_xll.BDP("28106HAV Muni","STATE_CODE")</f>
        <v>SC</v>
      </c>
      <c r="E1272" t="str">
        <f>_xll.BDP("28106HAV Muni","COUNTY_LOCATION_ISSUER")</f>
        <v>Colleton, SC</v>
      </c>
      <c r="F1272">
        <f>_xll.BDP("28106HAV Muni","DUR_ADJ_MID")</f>
        <v>2.3561190269973205</v>
      </c>
      <c r="G1272">
        <f>_xll.BDP("28106HAV Muni","SPREAD_AT_ISSUANCE_TO_WORST")</f>
        <v>33.720173504909859</v>
      </c>
      <c r="H1272" t="str">
        <f>_xll.BDP("28106HAV Muni","ISSUE_DT")</f>
        <v>7/18/2017</v>
      </c>
      <c r="I1272" t="str">
        <f>_xll.BDS("28106HAV Muni","MUNI_PURPOSE_SCHED", "aggregate=y")</f>
        <v>WATER UTILITY IMPS.</v>
      </c>
      <c r="J1272">
        <f>_xll.BDP("28106HAV Muni","CPN")</f>
        <v>3</v>
      </c>
      <c r="K1272" t="str">
        <f>_xll.BDP("28106HAV Muni","MATURITY")</f>
        <v>1/15/2025</v>
      </c>
      <c r="L1272">
        <v>175000</v>
      </c>
      <c r="M1272">
        <f>_xll.BDP("28106HAV Muni","YIELD_ON_ISSUE_DATE")</f>
        <v>2.0300000000000002</v>
      </c>
      <c r="N1272">
        <f>_xll.BDP("28106HAV Muni","YTW_SPREAD_TO_MATURITY_AT_ISSU")</f>
        <v>33.720173504909859</v>
      </c>
      <c r="O1272" t="str">
        <f>_xll.BDP("28106HAV Muni","BVAL_MID_YTM")</f>
        <v>#N/A Authorization</v>
      </c>
      <c r="P1272" t="str">
        <f>_xll.BDP("28106HAV Muni","MUNI_TAX_PROV")</f>
        <v>FED BQ/ST TAX-EXEMPT</v>
      </c>
      <c r="Q1272" t="str">
        <f>_xll.BDP("28106HAV Muni","MUNI_FED_TAX")</f>
        <v>N</v>
      </c>
      <c r="R1272" t="str">
        <f>_xll.BDP("28106HAV Muni","MUNI_MSRB_VOLUME")</f>
        <v>#N/A N/A</v>
      </c>
      <c r="S1272" t="str">
        <f>_xll.BDP("28106HAV Muni","BB_COMPOSITE")</f>
        <v>#N/A N/A</v>
      </c>
      <c r="T1272">
        <f>_xll.BDP("28106HAV Muni","LQA_LIQUIDITY_SCORE")</f>
        <v>45</v>
      </c>
    </row>
    <row r="1273" spans="1:20" x14ac:dyDescent="0.25">
      <c r="A1273" t="str">
        <f>_xll.BDP("28106HAW Muni","ID_CUSIP")</f>
        <v>28106HAW6</v>
      </c>
      <c r="B1273" t="s">
        <v>387</v>
      </c>
      <c r="C1273" t="str">
        <f>_xll.BDP("28106HAW Muni","INSURANCE_STATUS")</f>
        <v>N</v>
      </c>
      <c r="D1273" t="str">
        <f>_xll.BDP("28106HAW Muni","STATE_CODE")</f>
        <v>SC</v>
      </c>
      <c r="E1273" t="str">
        <f>_xll.BDP("28106HAW Muni","COUNTY_LOCATION_ISSUER")</f>
        <v>Colleton, SC</v>
      </c>
      <c r="F1273">
        <f>_xll.BDP("28106HAW Muni","DUR_ADJ_MID")</f>
        <v>3.267933483394708</v>
      </c>
      <c r="G1273">
        <f>_xll.BDP("28106HAW Muni","SPREAD_AT_ISSUANCE_TO_WORST")</f>
        <v>35.717075808782475</v>
      </c>
      <c r="H1273" t="str">
        <f>_xll.BDP("28106HAW Muni","ISSUE_DT")</f>
        <v>7/18/2017</v>
      </c>
      <c r="I1273" t="str">
        <f>_xll.BDS("28106HAW Muni","MUNI_PURPOSE_SCHED", "aggregate=y")</f>
        <v>WATER UTILITY IMPS.</v>
      </c>
      <c r="J1273">
        <f>_xll.BDP("28106HAW Muni","CPN")</f>
        <v>3</v>
      </c>
      <c r="K1273" t="str">
        <f>_xll.BDP("28106HAW Muni","MATURITY")</f>
        <v>1/15/2026</v>
      </c>
      <c r="L1273">
        <v>180000</v>
      </c>
      <c r="M1273">
        <f>_xll.BDP("28106HAW Muni","YIELD_ON_ISSUE_DATE")</f>
        <v>2.19</v>
      </c>
      <c r="N1273">
        <f>_xll.BDP("28106HAW Muni","YTW_SPREAD_TO_MATURITY_AT_ISSU")</f>
        <v>35.717075808782475</v>
      </c>
      <c r="O1273" t="str">
        <f>_xll.BDP("28106HAW Muni","BVAL_MID_YTM")</f>
        <v>#N/A Authorization</v>
      </c>
      <c r="P1273" t="str">
        <f>_xll.BDP("28106HAW Muni","MUNI_TAX_PROV")</f>
        <v>FED BQ/ST TAX-EXEMPT</v>
      </c>
      <c r="Q1273" t="str">
        <f>_xll.BDP("28106HAW Muni","MUNI_FED_TAX")</f>
        <v>N</v>
      </c>
      <c r="R1273" t="str">
        <f>_xll.BDP("28106HAW Muni","MUNI_MSRB_VOLUME")</f>
        <v>#N/A N/A</v>
      </c>
      <c r="S1273" t="str">
        <f>_xll.BDP("28106HAW Muni","BB_COMPOSITE")</f>
        <v>#N/A N/A</v>
      </c>
      <c r="T1273">
        <f>_xll.BDP("28106HAW Muni","LQA_LIQUIDITY_SCORE")</f>
        <v>34</v>
      </c>
    </row>
    <row r="1274" spans="1:20" x14ac:dyDescent="0.25">
      <c r="A1274" t="str">
        <f>_xll.BDP("20775YCY Muni","ID_CUSIP")</f>
        <v>20775YCY0</v>
      </c>
      <c r="B1274" t="s">
        <v>35</v>
      </c>
      <c r="C1274" t="str">
        <f>_xll.BDP("20775YCY Muni","INSURANCE_STATUS")</f>
        <v>N</v>
      </c>
      <c r="D1274" t="str">
        <f>_xll.BDP("20775YCY Muni","STATE_CODE")</f>
        <v>CT</v>
      </c>
      <c r="E1274" t="str">
        <f>_xll.BDP("20775YCY Muni","COUNTY_LOCATION_ISSUER")</f>
        <v>Hartford, CT</v>
      </c>
      <c r="F1274">
        <f>_xll.BDP("20775YCY Muni","DUR_ADJ_MID")</f>
        <v>0.73119715073906211</v>
      </c>
      <c r="G1274">
        <f>_xll.BDP("20775YCY Muni","SPREAD_AT_ISSUANCE_TO_WORST")</f>
        <v>12.132010607890354</v>
      </c>
      <c r="H1274" t="str">
        <f>_xll.BDP("20775YCY Muni","ISSUE_DT")</f>
        <v>6/15/2017</v>
      </c>
      <c r="I1274" t="str">
        <f>_xll.BDS("20775YCY Muni","MUNI_PURPOSE_SCHED", "aggregate=y")</f>
        <v>GREEN PURPOSE WATER UTILITY IMPS. SEWER IMPS.</v>
      </c>
      <c r="J1274">
        <f>_xll.BDP("20775YCY Muni","CPN")</f>
        <v>5</v>
      </c>
      <c r="K1274" t="str">
        <f>_xll.BDP("20775YCY Muni","MATURITY")</f>
        <v>5/1/2023</v>
      </c>
      <c r="L1274">
        <v>5885000</v>
      </c>
      <c r="M1274">
        <f>_xll.BDP("20775YCY Muni","YIELD_ON_ISSUE_DATE")</f>
        <v>1.42</v>
      </c>
      <c r="N1274">
        <f>_xll.BDP("20775YCY Muni","YTW_SPREAD_TO_MATURITY_AT_ISSU")</f>
        <v>12.132010607890354</v>
      </c>
      <c r="O1274" t="str">
        <f>_xll.BDP("20775YCY Muni","BVAL_MID_YTM")</f>
        <v>#N/A Authorization</v>
      </c>
      <c r="P1274" t="str">
        <f>_xll.BDP("20775YCY Muni","MUNI_TAX_PROV")</f>
        <v>FED &amp; ST TAX-EXEMPT</v>
      </c>
      <c r="Q1274" t="str">
        <f>_xll.BDP("20775YCY Muni","MUNI_FED_TAX")</f>
        <v>N</v>
      </c>
      <c r="R1274">
        <f>_xll.BDP("20775YCY Muni","MUNI_MSRB_VOLUME")</f>
        <v>900000</v>
      </c>
      <c r="S1274" t="str">
        <f>_xll.BDP("20775YCY Muni","BB_COMPOSITE")</f>
        <v>AAA</v>
      </c>
      <c r="T1274">
        <f>_xll.BDP("20775YCY Muni","LQA_LIQUIDITY_SCORE")</f>
        <v>88</v>
      </c>
    </row>
    <row r="1275" spans="1:20" x14ac:dyDescent="0.25">
      <c r="A1275" t="str">
        <f>_xll.BDP("20775YDE Muni","ID_CUSIP")</f>
        <v>20775YDE3</v>
      </c>
      <c r="B1275" t="s">
        <v>35</v>
      </c>
      <c r="C1275" t="str">
        <f>_xll.BDP("20775YDE Muni","INSURANCE_STATUS")</f>
        <v>N</v>
      </c>
      <c r="D1275" t="str">
        <f>_xll.BDP("20775YDE Muni","STATE_CODE")</f>
        <v>CT</v>
      </c>
      <c r="E1275" t="str">
        <f>_xll.BDP("20775YDE Muni","COUNTY_LOCATION_ISSUER")</f>
        <v>Hartford, CT</v>
      </c>
      <c r="F1275">
        <f>_xll.BDP("20775YDE Muni","DUR_ADJ_MID")</f>
        <v>4.3122072252310639</v>
      </c>
      <c r="G1275">
        <f>_xll.BDP("20775YDE Muni","SPREAD_AT_ISSUANCE_TO_WORST")</f>
        <v>17.249330658145535</v>
      </c>
      <c r="H1275" t="str">
        <f>_xll.BDP("20775YDE Muni","ISSUE_DT")</f>
        <v>6/15/2017</v>
      </c>
      <c r="I1275" t="str">
        <f>_xll.BDS("20775YDE Muni","MUNI_PURPOSE_SCHED", "aggregate=y")</f>
        <v>GREEN PURPOSE WATER UTILITY IMPS. SEWER IMPS.</v>
      </c>
      <c r="J1275">
        <f>_xll.BDP("20775YDE Muni","CPN")</f>
        <v>4</v>
      </c>
      <c r="K1275" t="str">
        <f>_xll.BDP("20775YDE Muni","MATURITY")</f>
        <v>5/1/2027</v>
      </c>
      <c r="L1275">
        <v>4055000</v>
      </c>
      <c r="M1275">
        <f>_xll.BDP("20775YDE Muni","YIELD_ON_ISSUE_DATE")</f>
        <v>2.0499999999999998</v>
      </c>
      <c r="N1275">
        <f>_xll.BDP("20775YDE Muni","YTW_SPREAD_TO_MATURITY_AT_ISSU")</f>
        <v>17.249330658145535</v>
      </c>
      <c r="O1275" t="str">
        <f>_xll.BDP("20775YDE Muni","BVAL_MID_YTM")</f>
        <v>#N/A Authorization</v>
      </c>
      <c r="P1275" t="str">
        <f>_xll.BDP("20775YDE Muni","MUNI_TAX_PROV")</f>
        <v>FED &amp; ST TAX-EXEMPT</v>
      </c>
      <c r="Q1275" t="str">
        <f>_xll.BDP("20775YDE Muni","MUNI_FED_TAX")</f>
        <v>N</v>
      </c>
      <c r="R1275">
        <f>_xll.BDP("20775YDE Muni","MUNI_MSRB_VOLUME")</f>
        <v>70000</v>
      </c>
      <c r="S1275" t="str">
        <f>_xll.BDP("20775YDE Muni","BB_COMPOSITE")</f>
        <v>AAA</v>
      </c>
      <c r="T1275">
        <f>_xll.BDP("20775YDE Muni","LQA_LIQUIDITY_SCORE")</f>
        <v>27</v>
      </c>
    </row>
    <row r="1276" spans="1:20" x14ac:dyDescent="0.25">
      <c r="A1276" t="str">
        <f>_xll.BDP("208399H5 Muni","ID_CUSIP")</f>
        <v>208399H57</v>
      </c>
      <c r="B1276" t="s">
        <v>134</v>
      </c>
      <c r="C1276" t="str">
        <f>_xll.BDP("208399H5 Muni","INSURANCE_STATUS")</f>
        <v>N</v>
      </c>
      <c r="D1276" t="str">
        <f>_xll.BDP("208399H5 Muni","STATE_CODE")</f>
        <v>TX</v>
      </c>
      <c r="E1276" t="str">
        <f>_xll.BDP("208399H5 Muni","COUNTY_LOCATION_ISSUER")</f>
        <v>Montgomery, TX</v>
      </c>
      <c r="F1276">
        <f>_xll.BDP("208399H5 Muni","DUR_ADJ_MID")</f>
        <v>0.28541432534510347</v>
      </c>
      <c r="G1276">
        <f>_xll.BDP("208399H5 Muni","SPREAD_AT_ISSUANCE_TO_WORST")</f>
        <v>21.766321736710779</v>
      </c>
      <c r="H1276" t="str">
        <f>_xll.BDP("208399H5 Muni","ISSUE_DT")</f>
        <v>9/1/2017</v>
      </c>
      <c r="I1276" t="str">
        <f>_xll.BDS("208399H5 Muni","MUNI_PURPOSE_SCHED", "aggregate=y")</f>
        <v>PUBLIC IMPS. WATER UTILITY IMPS. SEWER IMPS.</v>
      </c>
      <c r="J1276">
        <f>_xll.BDP("208399H5 Muni","CPN")</f>
        <v>2</v>
      </c>
      <c r="K1276" t="str">
        <f>_xll.BDP("208399H5 Muni","MATURITY")</f>
        <v>11/15/2022</v>
      </c>
      <c r="L1276">
        <v>830000</v>
      </c>
      <c r="M1276">
        <f>_xll.BDP("208399H5 Muni","YIELD_ON_ISSUE_DATE")</f>
        <v>1.3900000000000001</v>
      </c>
      <c r="N1276">
        <f>_xll.BDP("208399H5 Muni","YTW_SPREAD_TO_MATURITY_AT_ISSU")</f>
        <v>21.766321736710779</v>
      </c>
      <c r="O1276" t="str">
        <f>_xll.BDP("208399H5 Muni","BVAL_MID_YTM")</f>
        <v>#N/A Authorization</v>
      </c>
      <c r="P1276" t="str">
        <f>_xll.BDP("208399H5 Muni","MUNI_TAX_PROV")</f>
        <v>FED TAX-EXEMPT</v>
      </c>
      <c r="Q1276" t="str">
        <f>_xll.BDP("208399H5 Muni","MUNI_FED_TAX")</f>
        <v>N</v>
      </c>
      <c r="R1276" t="str">
        <f>_xll.BDP("208399H5 Muni","MUNI_MSRB_VOLUME")</f>
        <v>#N/A N/A</v>
      </c>
      <c r="S1276" t="str">
        <f>_xll.BDP("208399H5 Muni","BB_COMPOSITE")</f>
        <v>AA+</v>
      </c>
      <c r="T1276">
        <f>_xll.BDP("208399H5 Muni","LQA_LIQUIDITY_SCORE")</f>
        <v>87</v>
      </c>
    </row>
    <row r="1277" spans="1:20" x14ac:dyDescent="0.25">
      <c r="A1277" t="str">
        <f>_xll.BDP("20775YDC Muni","ID_CUSIP")</f>
        <v>20775YDC7</v>
      </c>
      <c r="B1277" t="s">
        <v>35</v>
      </c>
      <c r="C1277" t="str">
        <f>_xll.BDP("20775YDC Muni","INSURANCE_STATUS")</f>
        <v>N</v>
      </c>
      <c r="D1277" t="str">
        <f>_xll.BDP("20775YDC Muni","STATE_CODE")</f>
        <v>CT</v>
      </c>
      <c r="E1277" t="str">
        <f>_xll.BDP("20775YDC Muni","COUNTY_LOCATION_ISSUER")</f>
        <v>Hartford, CT</v>
      </c>
      <c r="F1277">
        <f>_xll.BDP("20775YDC Muni","DUR_ADJ_MID")</f>
        <v>3.4652472015343152</v>
      </c>
      <c r="G1277">
        <f>_xll.BDP("20775YDC Muni","SPREAD_AT_ISSUANCE_TO_WORST")</f>
        <v>17.034925909554865</v>
      </c>
      <c r="H1277" t="str">
        <f>_xll.BDP("20775YDC Muni","ISSUE_DT")</f>
        <v>6/15/2017</v>
      </c>
      <c r="I1277" t="str">
        <f>_xll.BDS("20775YDC Muni","MUNI_PURPOSE_SCHED", "aggregate=y")</f>
        <v>GREEN PURPOSE WATER UTILITY IMPS. SEWER IMPS.</v>
      </c>
      <c r="J1277">
        <f>_xll.BDP("20775YDC Muni","CPN")</f>
        <v>4</v>
      </c>
      <c r="K1277" t="str">
        <f>_xll.BDP("20775YDC Muni","MATURITY")</f>
        <v>5/1/2026</v>
      </c>
      <c r="L1277">
        <v>705000</v>
      </c>
      <c r="M1277">
        <f>_xll.BDP("20775YDC Muni","YIELD_ON_ISSUE_DATE")</f>
        <v>1.93</v>
      </c>
      <c r="N1277">
        <f>_xll.BDP("20775YDC Muni","YTW_SPREAD_TO_MATURITY_AT_ISSU")</f>
        <v>17.034925909554865</v>
      </c>
      <c r="O1277" t="str">
        <f>_xll.BDP("20775YDC Muni","BVAL_MID_YTM")</f>
        <v>#N/A Authorization</v>
      </c>
      <c r="P1277" t="str">
        <f>_xll.BDP("20775YDC Muni","MUNI_TAX_PROV")</f>
        <v>FED &amp; ST TAX-EXEMPT</v>
      </c>
      <c r="Q1277" t="str">
        <f>_xll.BDP("20775YDC Muni","MUNI_FED_TAX")</f>
        <v>N</v>
      </c>
      <c r="R1277" t="str">
        <f>_xll.BDP("20775YDC Muni","MUNI_MSRB_VOLUME")</f>
        <v>#N/A N/A</v>
      </c>
      <c r="S1277" t="str">
        <f>_xll.BDP("20775YDC Muni","BB_COMPOSITE")</f>
        <v>AAA</v>
      </c>
      <c r="T1277">
        <f>_xll.BDP("20775YDC Muni","LQA_LIQUIDITY_SCORE")</f>
        <v>58</v>
      </c>
    </row>
    <row r="1278" spans="1:20" x14ac:dyDescent="0.25">
      <c r="A1278" t="str">
        <f>_xll.BDP("208399H9 Muni","ID_CUSIP")</f>
        <v>208399H99</v>
      </c>
      <c r="B1278" t="s">
        <v>134</v>
      </c>
      <c r="C1278" t="str">
        <f>_xll.BDP("208399H9 Muni","INSURANCE_STATUS")</f>
        <v>N</v>
      </c>
      <c r="D1278" t="str">
        <f>_xll.BDP("208399H9 Muni","STATE_CODE")</f>
        <v>TX</v>
      </c>
      <c r="E1278" t="str">
        <f>_xll.BDP("208399H9 Muni","COUNTY_LOCATION_ISSUER")</f>
        <v>Montgomery, TX</v>
      </c>
      <c r="F1278">
        <f>_xll.BDP("208399H9 Muni","DUR_ADJ_MID")</f>
        <v>3.8650413085859667</v>
      </c>
      <c r="G1278">
        <f>_xll.BDP("208399H9 Muni","SPREAD_AT_ISSUANCE_TO_WORST")</f>
        <v>32.906436222898726</v>
      </c>
      <c r="H1278" t="str">
        <f>_xll.BDP("208399H9 Muni","ISSUE_DT")</f>
        <v>9/1/2017</v>
      </c>
      <c r="I1278" t="str">
        <f>_xll.BDS("208399H9 Muni","MUNI_PURPOSE_SCHED", "aggregate=y")</f>
        <v>PUBLIC IMPS. WATER UTILITY IMPS. SEWER IMPS.</v>
      </c>
      <c r="J1278">
        <f>_xll.BDP("208399H9 Muni","CPN")</f>
        <v>5</v>
      </c>
      <c r="K1278" t="str">
        <f>_xll.BDP("208399H9 Muni","MATURITY")</f>
        <v>11/15/2026</v>
      </c>
      <c r="L1278">
        <v>960000</v>
      </c>
      <c r="M1278">
        <f>_xll.BDP("208399H9 Muni","YIELD_ON_ISSUE_DATE")</f>
        <v>2.08</v>
      </c>
      <c r="N1278">
        <f>_xll.BDP("208399H9 Muni","YTW_SPREAD_TO_MATURITY_AT_ISSU")</f>
        <v>32.906436222898726</v>
      </c>
      <c r="O1278" t="str">
        <f>_xll.BDP("208399H9 Muni","BVAL_MID_YTM")</f>
        <v>#N/A Authorization</v>
      </c>
      <c r="P1278" t="str">
        <f>_xll.BDP("208399H9 Muni","MUNI_TAX_PROV")</f>
        <v>FED TAX-EXEMPT</v>
      </c>
      <c r="Q1278" t="str">
        <f>_xll.BDP("208399H9 Muni","MUNI_FED_TAX")</f>
        <v>N</v>
      </c>
      <c r="R1278" t="str">
        <f>_xll.BDP("208399H9 Muni","MUNI_MSRB_VOLUME")</f>
        <v>#N/A N/A</v>
      </c>
      <c r="S1278" t="str">
        <f>_xll.BDP("208399H9 Muni","BB_COMPOSITE")</f>
        <v>AA+</v>
      </c>
      <c r="T1278">
        <f>_xll.BDP("208399H9 Muni","LQA_LIQUIDITY_SCORE")</f>
        <v>64</v>
      </c>
    </row>
    <row r="1279" spans="1:20" x14ac:dyDescent="0.25">
      <c r="A1279" t="str">
        <f>_xll.BDP("186594KY Muni","ID_CUSIP")</f>
        <v>186594KY2</v>
      </c>
      <c r="B1279" t="s">
        <v>186</v>
      </c>
      <c r="C1279" t="str">
        <f>_xll.BDP("186594KY Muni","INSURANCE_STATUS")</f>
        <v>Y</v>
      </c>
      <c r="D1279" t="str">
        <f>_xll.BDP("186594KY Muni","STATE_CODE")</f>
        <v>TX</v>
      </c>
      <c r="E1279" t="str">
        <f>_xll.BDP("186594KY Muni","COUNTY_LOCATION_ISSUER")</f>
        <v>Liberty, TX</v>
      </c>
      <c r="F1279">
        <f>_xll.BDP("186594KY Muni","DUR_ADJ_MID")</f>
        <v>0.56929369164596744</v>
      </c>
      <c r="G1279">
        <f>_xll.BDP("186594KY Muni","SPREAD_AT_ISSUANCE_TO_WORST")</f>
        <v>41.919940652391865</v>
      </c>
      <c r="H1279" t="str">
        <f>_xll.BDP("186594KY Muni","ISSUE_DT")</f>
        <v>8/1/2017</v>
      </c>
      <c r="I1279" t="str">
        <f>_xll.BDS("186594KY Muni","MUNI_PURPOSE_SCHED", "aggregate=y")</f>
        <v>WATER UTILITY IMPS. SEWER IMPS. PRT, AIRPRT &amp; MARINA IMPS</v>
      </c>
      <c r="J1279">
        <f>_xll.BDP("186594KY Muni","CPN")</f>
        <v>3</v>
      </c>
      <c r="K1279" t="str">
        <f>_xll.BDP("186594KY Muni","MATURITY")</f>
        <v>3/1/2023</v>
      </c>
      <c r="L1279">
        <v>290000</v>
      </c>
      <c r="M1279">
        <f>_xll.BDP("186594KY Muni","YIELD_ON_ISSUE_DATE")</f>
        <v>1.8</v>
      </c>
      <c r="N1279">
        <f>_xll.BDP("186594KY Muni","YTW_SPREAD_TO_MATURITY_AT_ISSU")</f>
        <v>41.919940652391865</v>
      </c>
      <c r="O1279" t="str">
        <f>_xll.BDP("186594KY Muni","BVAL_MID_YTM")</f>
        <v>#N/A Authorization</v>
      </c>
      <c r="P1279" t="str">
        <f>_xll.BDP("186594KY Muni","MUNI_TAX_PROV")</f>
        <v>FED BQ</v>
      </c>
      <c r="Q1279" t="str">
        <f>_xll.BDP("186594KY Muni","MUNI_FED_TAX")</f>
        <v>N</v>
      </c>
      <c r="R1279" t="str">
        <f>_xll.BDP("186594KY Muni","MUNI_MSRB_VOLUME")</f>
        <v>#N/A N/A</v>
      </c>
      <c r="S1279" t="str">
        <f>_xll.BDP("186594KY Muni","BB_COMPOSITE")</f>
        <v>AA-</v>
      </c>
      <c r="T1279">
        <f>_xll.BDP("186594KY Muni","LQA_LIQUIDITY_SCORE")</f>
        <v>87</v>
      </c>
    </row>
    <row r="1280" spans="1:20" x14ac:dyDescent="0.25">
      <c r="A1280" t="str">
        <f>_xll.BDP("187882PF Muni","ID_CUSIP")</f>
        <v>187882PF6</v>
      </c>
      <c r="B1280" t="s">
        <v>141</v>
      </c>
      <c r="C1280" t="str">
        <f>_xll.BDP("187882PF Muni","INSURANCE_STATUS")</f>
        <v>N</v>
      </c>
      <c r="D1280" t="str">
        <f>_xll.BDP("187882PF Muni","STATE_CODE")</f>
        <v>MA</v>
      </c>
      <c r="E1280" t="str">
        <f>_xll.BDP("187882PF Muni","COUNTY_LOCATION_ISSUER")</f>
        <v>Worcester, MA</v>
      </c>
      <c r="F1280">
        <f>_xll.BDP("187882PF Muni","DUR_ADJ_MID")</f>
        <v>1.7984723330725196</v>
      </c>
      <c r="G1280">
        <f>_xll.BDP("187882PF Muni","SPREAD_AT_ISSUANCE_TO_WORST")</f>
        <v>10.591761563659352</v>
      </c>
      <c r="H1280" t="str">
        <f>_xll.BDP("187882PF Muni","ISSUE_DT")</f>
        <v>6/29/2017</v>
      </c>
      <c r="I1280" t="str">
        <f>_xll.BDS("187882PF Muni","MUNI_PURPOSE_SCHED", "aggregate=y")</f>
        <v>REFUNDING NOTES PUBLIC IMPS. WATER UTILITY IMPS.</v>
      </c>
      <c r="J1280">
        <f>_xll.BDP("187882PF Muni","CPN")</f>
        <v>4</v>
      </c>
      <c r="K1280" t="str">
        <f>_xll.BDP("187882PF Muni","MATURITY")</f>
        <v>6/15/2024</v>
      </c>
      <c r="L1280">
        <v>245000</v>
      </c>
      <c r="M1280">
        <f>_xll.BDP("187882PF Muni","YIELD_ON_ISSUE_DATE")</f>
        <v>1.6</v>
      </c>
      <c r="N1280">
        <f>_xll.BDP("187882PF Muni","YTW_SPREAD_TO_MATURITY_AT_ISSU")</f>
        <v>10.591761563659352</v>
      </c>
      <c r="O1280" t="str">
        <f>_xll.BDP("187882PF Muni","BVAL_MID_YTM")</f>
        <v>#N/A Authorization</v>
      </c>
      <c r="P1280" t="str">
        <f>_xll.BDP("187882PF Muni","MUNI_TAX_PROV")</f>
        <v>FED BQ/ST TAX-EXEMPT</v>
      </c>
      <c r="Q1280" t="str">
        <f>_xll.BDP("187882PF Muni","MUNI_FED_TAX")</f>
        <v>N</v>
      </c>
      <c r="R1280" t="str">
        <f>_xll.BDP("187882PF Muni","MUNI_MSRB_VOLUME")</f>
        <v>#N/A N/A</v>
      </c>
      <c r="S1280" t="str">
        <f>_xll.BDP("187882PF Muni","BB_COMPOSITE")</f>
        <v>#N/A N/A</v>
      </c>
      <c r="T1280">
        <f>_xll.BDP("187882PF Muni","LQA_LIQUIDITY_SCORE")</f>
        <v>84</v>
      </c>
    </row>
    <row r="1281" spans="1:20" x14ac:dyDescent="0.25">
      <c r="A1281" t="str">
        <f>_xll.BDP("270371GT Muni","ID_CUSIP")</f>
        <v>270371GT8</v>
      </c>
      <c r="B1281" t="s">
        <v>160</v>
      </c>
      <c r="C1281" t="str">
        <f>_xll.BDP("270371GT Muni","INSURANCE_STATUS")</f>
        <v>Y</v>
      </c>
      <c r="D1281" t="str">
        <f>_xll.BDP("270371GT Muni","STATE_CODE")</f>
        <v>SC</v>
      </c>
      <c r="E1281" t="str">
        <f>_xll.BDP("270371GT Muni","COUNTY_LOCATION_ISSUER")</f>
        <v>Pickens, SC</v>
      </c>
      <c r="F1281">
        <f>_xll.BDP("270371GT Muni","DUR_ADJ_MID")</f>
        <v>2.2352795701769805</v>
      </c>
      <c r="G1281">
        <f>_xll.BDP("270371GT Muni","SPREAD_AT_ISSUANCE_TO_WORST")</f>
        <v>50.688458490436375</v>
      </c>
      <c r="H1281" t="str">
        <f>_xll.BDP("270371GT Muni","ISSUE_DT")</f>
        <v>10/12/2017</v>
      </c>
      <c r="I1281" t="str">
        <f>_xll.BDS("270371GT Muni","MUNI_PURPOSE_SCHED", "aggregate=y")</f>
        <v>WATER UTILITY IMPS. SEWER IMPS. ELEC. LT. &amp; PWR. IMPTS.</v>
      </c>
      <c r="J1281">
        <f>_xll.BDP("270371GT Muni","CPN")</f>
        <v>3</v>
      </c>
      <c r="K1281" t="str">
        <f>_xll.BDP("270371GT Muni","MATURITY")</f>
        <v>12/1/2024</v>
      </c>
      <c r="L1281">
        <v>275000</v>
      </c>
      <c r="M1281">
        <f>_xll.BDP("270371GT Muni","YIELD_ON_ISSUE_DATE")</f>
        <v>2.04</v>
      </c>
      <c r="N1281">
        <f>_xll.BDP("270371GT Muni","YTW_SPREAD_TO_MATURITY_AT_ISSU")</f>
        <v>50.688458490436375</v>
      </c>
      <c r="O1281" t="str">
        <f>_xll.BDP("270371GT Muni","BVAL_MID_YTM")</f>
        <v>#N/A Authorization</v>
      </c>
      <c r="P1281" t="str">
        <f>_xll.BDP("270371GT Muni","MUNI_TAX_PROV")</f>
        <v>FED BQ/ST TAX-EXEMPT</v>
      </c>
      <c r="Q1281" t="str">
        <f>_xll.BDP("270371GT Muni","MUNI_FED_TAX")</f>
        <v>N</v>
      </c>
      <c r="R1281" t="str">
        <f>_xll.BDP("270371GT Muni","MUNI_MSRB_VOLUME")</f>
        <v>#N/A N/A</v>
      </c>
      <c r="S1281" t="str">
        <f>_xll.BDP("270371GT Muni","BB_COMPOSITE")</f>
        <v>A+</v>
      </c>
      <c r="T1281">
        <f>_xll.BDP("270371GT Muni","LQA_LIQUIDITY_SCORE")</f>
        <v>65</v>
      </c>
    </row>
    <row r="1282" spans="1:20" x14ac:dyDescent="0.25">
      <c r="A1282" t="str">
        <f>_xll.BDP("271101DH Muni","ID_CUSIP")</f>
        <v>271101DH7</v>
      </c>
      <c r="B1282" t="s">
        <v>342</v>
      </c>
      <c r="C1282" t="str">
        <f>_xll.BDP("271101DH Muni","INSURANCE_STATUS")</f>
        <v>N</v>
      </c>
      <c r="D1282" t="str">
        <f>_xll.BDP("271101DH Muni","STATE_CODE")</f>
        <v>NY</v>
      </c>
      <c r="E1282" t="str">
        <f>_xll.BDP("271101DH Muni","COUNTY_LOCATION_ISSUER")</f>
        <v>Ontario, NY</v>
      </c>
      <c r="F1282">
        <f>_xll.BDP("271101DH Muni","DUR_ADJ_MID")</f>
        <v>3.1676518644913183</v>
      </c>
      <c r="G1282">
        <f>_xll.BDP("271101DH Muni","SPREAD_AT_ISSUANCE_TO_WORST")</f>
        <v>79.353830136986318</v>
      </c>
      <c r="H1282" t="str">
        <f>_xll.BDP("271101DH Muni","ISSUE_DT")</f>
        <v>12/28/2017</v>
      </c>
      <c r="I1282" t="str">
        <f>_xll.BDS("271101DH Muni","MUNI_PURPOSE_SCHED", "aggregate=y")</f>
        <v>WATER UTILITY IMPS.</v>
      </c>
      <c r="J1282">
        <f>_xll.BDP("271101DH Muni","CPN")</f>
        <v>3.5</v>
      </c>
      <c r="K1282" t="str">
        <f>_xll.BDP("271101DH Muni","MATURITY")</f>
        <v>12/15/2025</v>
      </c>
      <c r="L1282">
        <v>10000</v>
      </c>
      <c r="M1282">
        <f>_xll.BDP("271101DH Muni","YIELD_ON_ISSUE_DATE")</f>
        <v>2.6</v>
      </c>
      <c r="N1282">
        <f>_xll.BDP("271101DH Muni","YTW_SPREAD_TO_MATURITY_AT_ISSU")</f>
        <v>79.353830136986318</v>
      </c>
      <c r="O1282" t="str">
        <f>_xll.BDP("271101DH Muni","BVAL_MID_YTM")</f>
        <v>#N/A Authorization</v>
      </c>
      <c r="P1282" t="str">
        <f>_xll.BDP("271101DH Muni","MUNI_TAX_PROV")</f>
        <v>FED BQ/ST TAX-EXEMPT</v>
      </c>
      <c r="Q1282" t="str">
        <f>_xll.BDP("271101DH Muni","MUNI_FED_TAX")</f>
        <v>N</v>
      </c>
      <c r="R1282" t="str">
        <f>_xll.BDP("271101DH Muni","MUNI_MSRB_VOLUME")</f>
        <v>#N/A N/A</v>
      </c>
      <c r="S1282" t="str">
        <f>_xll.BDP("271101DH Muni","BB_COMPOSITE")</f>
        <v>#N/A N/A</v>
      </c>
      <c r="T1282">
        <f>_xll.BDP("271101DH Muni","LQA_LIQUIDITY_SCORE")</f>
        <v>66</v>
      </c>
    </row>
    <row r="1283" spans="1:20" x14ac:dyDescent="0.25">
      <c r="A1283" t="str">
        <f>_xll.BDP("544525VS Muni","ID_CUSIP")</f>
        <v>544525VS4</v>
      </c>
      <c r="B1283" t="s">
        <v>44</v>
      </c>
      <c r="C1283" t="str">
        <f>_xll.BDP("544525VS Muni","INSURANCE_STATUS")</f>
        <v>N</v>
      </c>
      <c r="D1283" t="str">
        <f>_xll.BDP("544525VS Muni","STATE_CODE")</f>
        <v>CA</v>
      </c>
      <c r="E1283" t="str">
        <f>_xll.BDP("544525VS Muni","COUNTY_LOCATION_ISSUER")</f>
        <v>Los Angeles, CA</v>
      </c>
      <c r="F1283">
        <f>_xll.BDP("544525VS Muni","DUR_ADJ_MID")</f>
        <v>1.8296034435329389</v>
      </c>
      <c r="G1283">
        <f>_xll.BDP("544525VS Muni","SPREAD_AT_ISSUANCE_TO_WORST")</f>
        <v>2.5886555105249842</v>
      </c>
      <c r="H1283" t="str">
        <f>_xll.BDP("544525VS Muni","ISSUE_DT")</f>
        <v>5/11/2017</v>
      </c>
      <c r="I1283" t="str">
        <f>_xll.BDS("544525VS Muni","MUNI_PURPOSE_SCHED", "aggregate=y")</f>
        <v>CURRENT REFUNDING WATER UTILITY IMPS. REPAYMENT OF BANK LOAN</v>
      </c>
      <c r="J1283">
        <f>_xll.BDP("544525VS Muni","CPN")</f>
        <v>5</v>
      </c>
      <c r="K1283" t="str">
        <f>_xll.BDP("544525VS Muni","MATURITY")</f>
        <v>7/1/2024</v>
      </c>
      <c r="L1283">
        <v>4725000</v>
      </c>
      <c r="M1283">
        <f>_xll.BDP("544525VS Muni","YIELD_ON_ISSUE_DATE")</f>
        <v>1.77</v>
      </c>
      <c r="N1283">
        <f>_xll.BDP("544525VS Muni","YTW_SPREAD_TO_MATURITY_AT_ISSU")</f>
        <v>2.5886555105249842</v>
      </c>
      <c r="O1283" t="str">
        <f>_xll.BDP("544525VS Muni","BVAL_MID_YTM")</f>
        <v>#N/A Authorization</v>
      </c>
      <c r="P1283" t="str">
        <f>_xll.BDP("544525VS Muni","MUNI_TAX_PROV")</f>
        <v>FED &amp; ST TAX-EXEMPT</v>
      </c>
      <c r="Q1283" t="str">
        <f>_xll.BDP("544525VS Muni","MUNI_FED_TAX")</f>
        <v>N</v>
      </c>
      <c r="R1283">
        <f>_xll.BDP("544525VS Muni","MUNI_MSRB_VOLUME")</f>
        <v>600000</v>
      </c>
      <c r="S1283" t="str">
        <f>_xll.BDP("544525VS Muni","BB_COMPOSITE")</f>
        <v>AA</v>
      </c>
      <c r="T1283">
        <f>_xll.BDP("544525VS Muni","LQA_LIQUIDITY_SCORE")</f>
        <v>82</v>
      </c>
    </row>
    <row r="1284" spans="1:20" x14ac:dyDescent="0.25">
      <c r="A1284" t="str">
        <f>_xll.BDP("34682JQV Muni","ID_CUSIP")</f>
        <v>34682JQV7</v>
      </c>
      <c r="B1284" t="s">
        <v>388</v>
      </c>
      <c r="C1284" t="str">
        <f>_xll.BDP("34682JQV Muni","INSURANCE_STATUS")</f>
        <v>Y</v>
      </c>
      <c r="D1284" t="str">
        <f>_xll.BDP("34682JQV Muni","STATE_CODE")</f>
        <v>TX</v>
      </c>
      <c r="E1284" t="str">
        <f>_xll.BDP("34682JQV Muni","COUNTY_LOCATION_ISSUER")</f>
        <v>Fort Bend, TX</v>
      </c>
      <c r="F1284">
        <f>_xll.BDP("34682JQV Muni","DUR_ADJ_MID")</f>
        <v>8.0489908924576734E-2</v>
      </c>
      <c r="G1284">
        <f>_xll.BDP("34682JQV Muni","SPREAD_AT_ISSUANCE_TO_WORST")</f>
        <v>63.325521226074329</v>
      </c>
      <c r="H1284" t="str">
        <f>_xll.BDP("34682JQV Muni","ISSUE_DT")</f>
        <v>10/1/2017</v>
      </c>
      <c r="I1284" t="str">
        <f>_xll.BDS("34682JQV Muni","MUNI_PURPOSE_SCHED", "aggregate=y")</f>
        <v>WATER UTILITY IMPS. SEWER IMPS.</v>
      </c>
      <c r="J1284">
        <f>_xll.BDP("34682JQV Muni","CPN")</f>
        <v>4</v>
      </c>
      <c r="K1284" t="str">
        <f>_xll.BDP("34682JQV Muni","MATURITY")</f>
        <v>9/1/2022</v>
      </c>
      <c r="L1284">
        <v>95000</v>
      </c>
      <c r="M1284">
        <f>_xll.BDP("34682JQV Muni","YIELD_ON_ISSUE_DATE")</f>
        <v>1.75</v>
      </c>
      <c r="N1284">
        <f>_xll.BDP("34682JQV Muni","YTW_SPREAD_TO_MATURITY_AT_ISSU")</f>
        <v>63.325521226074329</v>
      </c>
      <c r="O1284" t="str">
        <f>_xll.BDP("34682JQV Muni","BVAL_MID_YTM")</f>
        <v>#N/A Authorization</v>
      </c>
      <c r="P1284" t="str">
        <f>_xll.BDP("34682JQV Muni","MUNI_TAX_PROV")</f>
        <v>FED TAX-EXEMPT</v>
      </c>
      <c r="Q1284" t="str">
        <f>_xll.BDP("34682JQV Muni","MUNI_FED_TAX")</f>
        <v>N</v>
      </c>
      <c r="R1284" t="str">
        <f>_xll.BDP("34682JQV Muni","MUNI_MSRB_VOLUME")</f>
        <v>#N/A N/A</v>
      </c>
      <c r="S1284" t="str">
        <f>_xll.BDP("34682JQV Muni","BB_COMPOSITE")</f>
        <v>A+</v>
      </c>
      <c r="T1284">
        <f>_xll.BDP("34682JQV Muni","LQA_LIQUIDITY_SCORE")</f>
        <v>97</v>
      </c>
    </row>
    <row r="1285" spans="1:20" x14ac:dyDescent="0.25">
      <c r="A1285" t="str">
        <f>_xll.BDP("34682JQW Muni","ID_CUSIP")</f>
        <v>34682JQW5</v>
      </c>
      <c r="B1285" t="s">
        <v>388</v>
      </c>
      <c r="C1285" t="str">
        <f>_xll.BDP("34682JQW Muni","INSURANCE_STATUS")</f>
        <v>Y</v>
      </c>
      <c r="D1285" t="str">
        <f>_xll.BDP("34682JQW Muni","STATE_CODE")</f>
        <v>TX</v>
      </c>
      <c r="E1285" t="str">
        <f>_xll.BDP("34682JQW Muni","COUNTY_LOCATION_ISSUER")</f>
        <v>Fort Bend, TX</v>
      </c>
      <c r="F1285">
        <f>_xll.BDP("34682JQW Muni","DUR_ADJ_MID")</f>
        <v>1.0434413213710791</v>
      </c>
      <c r="G1285">
        <f>_xll.BDP("34682JQW Muni","SPREAD_AT_ISSUANCE_TO_WORST")</f>
        <v>63.796339810766867</v>
      </c>
      <c r="H1285" t="str">
        <f>_xll.BDP("34682JQW Muni","ISSUE_DT")</f>
        <v>10/1/2017</v>
      </c>
      <c r="I1285" t="str">
        <f>_xll.BDS("34682JQW Muni","MUNI_PURPOSE_SCHED", "aggregate=y")</f>
        <v>WATER UTILITY IMPS. SEWER IMPS.</v>
      </c>
      <c r="J1285">
        <f>_xll.BDP("34682JQW Muni","CPN")</f>
        <v>4</v>
      </c>
      <c r="K1285" t="str">
        <f>_xll.BDP("34682JQW Muni","MATURITY")</f>
        <v>9/1/2023</v>
      </c>
      <c r="L1285">
        <v>95000</v>
      </c>
      <c r="M1285">
        <f>_xll.BDP("34682JQW Muni","YIELD_ON_ISSUE_DATE")</f>
        <v>1.9000000000000001</v>
      </c>
      <c r="N1285">
        <f>_xll.BDP("34682JQW Muni","YTW_SPREAD_TO_MATURITY_AT_ISSU")</f>
        <v>63.796339810766867</v>
      </c>
      <c r="O1285" t="str">
        <f>_xll.BDP("34682JQW Muni","BVAL_MID_YTM")</f>
        <v>#N/A Authorization</v>
      </c>
      <c r="P1285" t="str">
        <f>_xll.BDP("34682JQW Muni","MUNI_TAX_PROV")</f>
        <v>FED TAX-EXEMPT</v>
      </c>
      <c r="Q1285" t="str">
        <f>_xll.BDP("34682JQW Muni","MUNI_FED_TAX")</f>
        <v>N</v>
      </c>
      <c r="R1285" t="str">
        <f>_xll.BDP("34682JQW Muni","MUNI_MSRB_VOLUME")</f>
        <v>#N/A N/A</v>
      </c>
      <c r="S1285" t="str">
        <f>_xll.BDP("34682JQW Muni","BB_COMPOSITE")</f>
        <v>A+</v>
      </c>
      <c r="T1285">
        <f>_xll.BDP("34682JQW Muni","LQA_LIQUIDITY_SCORE")</f>
        <v>90</v>
      </c>
    </row>
    <row r="1286" spans="1:20" x14ac:dyDescent="0.25">
      <c r="A1286" t="str">
        <f>_xll.BDP("34682JQX Muni","ID_CUSIP")</f>
        <v>34682JQX3</v>
      </c>
      <c r="B1286" t="s">
        <v>388</v>
      </c>
      <c r="C1286" t="str">
        <f>_xll.BDP("34682JQX Muni","INSURANCE_STATUS")</f>
        <v>Y</v>
      </c>
      <c r="D1286" t="str">
        <f>_xll.BDP("34682JQX Muni","STATE_CODE")</f>
        <v>TX</v>
      </c>
      <c r="E1286" t="str">
        <f>_xll.BDP("34682JQX Muni","COUNTY_LOCATION_ISSUER")</f>
        <v>Fort Bend, TX</v>
      </c>
      <c r="F1286">
        <f>_xll.BDP("34682JQX Muni","DUR_ADJ_MID")</f>
        <v>2.0127876192061409</v>
      </c>
      <c r="G1286">
        <f>_xll.BDP("34682JQX Muni","SPREAD_AT_ISSUANCE_TO_WORST")</f>
        <v>63.767323363058367</v>
      </c>
      <c r="H1286" t="str">
        <f>_xll.BDP("34682JQX Muni","ISSUE_DT")</f>
        <v>10/1/2017</v>
      </c>
      <c r="I1286" t="str">
        <f>_xll.BDS("34682JQX Muni","MUNI_PURPOSE_SCHED", "aggregate=y")</f>
        <v>WATER UTILITY IMPS. SEWER IMPS.</v>
      </c>
      <c r="J1286">
        <f>_xll.BDP("34682JQX Muni","CPN")</f>
        <v>2</v>
      </c>
      <c r="K1286" t="str">
        <f>_xll.BDP("34682JQX Muni","MATURITY")</f>
        <v>9/1/2024</v>
      </c>
      <c r="L1286">
        <v>95000</v>
      </c>
      <c r="M1286">
        <f>_xll.BDP("34682JQX Muni","YIELD_ON_ISSUE_DATE")</f>
        <v>2.0499999999999998</v>
      </c>
      <c r="N1286">
        <f>_xll.BDP("34682JQX Muni","YTW_SPREAD_TO_MATURITY_AT_ISSU")</f>
        <v>63.767323363058367</v>
      </c>
      <c r="O1286" t="str">
        <f>_xll.BDP("34682JQX Muni","BVAL_MID_YTM")</f>
        <v>#N/A Authorization</v>
      </c>
      <c r="P1286" t="str">
        <f>_xll.BDP("34682JQX Muni","MUNI_TAX_PROV")</f>
        <v>FED TAX-EXEMPT</v>
      </c>
      <c r="Q1286" t="str">
        <f>_xll.BDP("34682JQX Muni","MUNI_FED_TAX")</f>
        <v>N</v>
      </c>
      <c r="R1286" t="str">
        <f>_xll.BDP("34682JQX Muni","MUNI_MSRB_VOLUME")</f>
        <v>#N/A N/A</v>
      </c>
      <c r="S1286" t="str">
        <f>_xll.BDP("34682JQX Muni","BB_COMPOSITE")</f>
        <v>A+</v>
      </c>
      <c r="T1286">
        <f>_xll.BDP("34682JQX Muni","LQA_LIQUIDITY_SCORE")</f>
        <v>67</v>
      </c>
    </row>
    <row r="1287" spans="1:20" x14ac:dyDescent="0.25">
      <c r="A1287" t="str">
        <f>_xll.BDP("34682JSS Muni","ID_CUSIP")</f>
        <v>34682JSS2</v>
      </c>
      <c r="B1287" t="s">
        <v>388</v>
      </c>
      <c r="C1287" t="str">
        <f>_xll.BDP("34682JSS Muni","INSURANCE_STATUS")</f>
        <v>Y</v>
      </c>
      <c r="D1287" t="str">
        <f>_xll.BDP("34682JSS Muni","STATE_CODE")</f>
        <v>TX</v>
      </c>
      <c r="E1287" t="str">
        <f>_xll.BDP("34682JSS Muni","COUNTY_LOCATION_ISSUER")</f>
        <v>Fort Bend, TX</v>
      </c>
      <c r="F1287">
        <f>_xll.BDP("34682JSS Muni","DUR_ADJ_MID")</f>
        <v>8.0489867728878742E-2</v>
      </c>
      <c r="G1287">
        <f>_xll.BDP("34682JSS Muni","SPREAD_AT_ISSUANCE_TO_WORST")</f>
        <v>37.090441095890412</v>
      </c>
      <c r="H1287" t="str">
        <f>_xll.BDP("34682JSS Muni","ISSUE_DT")</f>
        <v>11/1/2017</v>
      </c>
      <c r="I1287" t="str">
        <f>_xll.BDS("34682JSS Muni","MUNI_PURPOSE_SCHED", "aggregate=y")</f>
        <v>WATER UTILITY IMPS. SEWER IMPS. PUBLIC IMPS.</v>
      </c>
      <c r="J1287">
        <f>_xll.BDP("34682JSS Muni","CPN")</f>
        <v>3</v>
      </c>
      <c r="K1287" t="str">
        <f>_xll.BDP("34682JSS Muni","MATURITY")</f>
        <v>9/1/2022</v>
      </c>
      <c r="L1287">
        <v>310000</v>
      </c>
      <c r="M1287">
        <f>_xll.BDP("34682JSS Muni","YIELD_ON_ISSUE_DATE")</f>
        <v>1.71</v>
      </c>
      <c r="N1287">
        <f>_xll.BDP("34682JSS Muni","YTW_SPREAD_TO_MATURITY_AT_ISSU")</f>
        <v>37.090441095890412</v>
      </c>
      <c r="O1287" t="str">
        <f>_xll.BDP("34682JSS Muni","BVAL_MID_YTM")</f>
        <v>#N/A Authorization</v>
      </c>
      <c r="P1287" t="str">
        <f>_xll.BDP("34682JSS Muni","MUNI_TAX_PROV")</f>
        <v>FED TAX-EXEMPT</v>
      </c>
      <c r="Q1287" t="str">
        <f>_xll.BDP("34682JSS Muni","MUNI_FED_TAX")</f>
        <v>N</v>
      </c>
      <c r="R1287" t="str">
        <f>_xll.BDP("34682JSS Muni","MUNI_MSRB_VOLUME")</f>
        <v>#N/A N/A</v>
      </c>
      <c r="S1287" t="str">
        <f>_xll.BDP("34682JSS Muni","BB_COMPOSITE")</f>
        <v>A+</v>
      </c>
      <c r="T1287">
        <f>_xll.BDP("34682JSS Muni","LQA_LIQUIDITY_SCORE")</f>
        <v>99</v>
      </c>
    </row>
    <row r="1288" spans="1:20" x14ac:dyDescent="0.25">
      <c r="A1288" t="str">
        <f>_xll.BDP("34682JST Muni","ID_CUSIP")</f>
        <v>34682JST0</v>
      </c>
      <c r="B1288" t="s">
        <v>388</v>
      </c>
      <c r="C1288" t="str">
        <f>_xll.BDP("34682JST Muni","INSURANCE_STATUS")</f>
        <v>Y</v>
      </c>
      <c r="D1288" t="str">
        <f>_xll.BDP("34682JST Muni","STATE_CODE")</f>
        <v>TX</v>
      </c>
      <c r="E1288" t="str">
        <f>_xll.BDP("34682JST Muni","COUNTY_LOCATION_ISSUER")</f>
        <v>Fort Bend, TX</v>
      </c>
      <c r="F1288">
        <f>_xll.BDP("34682JST Muni","DUR_ADJ_MID")</f>
        <v>1.0502444653692793</v>
      </c>
      <c r="G1288">
        <f>_xll.BDP("34682JST Muni","SPREAD_AT_ISSUANCE_TO_WORST")</f>
        <v>40.322783561643845</v>
      </c>
      <c r="H1288" t="str">
        <f>_xll.BDP("34682JST Muni","ISSUE_DT")</f>
        <v>11/1/2017</v>
      </c>
      <c r="I1288" t="str">
        <f>_xll.BDS("34682JST Muni","MUNI_PURPOSE_SCHED", "aggregate=y")</f>
        <v>WATER UTILITY IMPS. SEWER IMPS. PUBLIC IMPS.</v>
      </c>
      <c r="J1288">
        <f>_xll.BDP("34682JST Muni","CPN")</f>
        <v>3</v>
      </c>
      <c r="K1288" t="str">
        <f>_xll.BDP("34682JST Muni","MATURITY")</f>
        <v>9/1/2023</v>
      </c>
      <c r="L1288">
        <v>310000</v>
      </c>
      <c r="M1288">
        <f>_xll.BDP("34682JST Muni","YIELD_ON_ISSUE_DATE")</f>
        <v>1.87</v>
      </c>
      <c r="N1288">
        <f>_xll.BDP("34682JST Muni","YTW_SPREAD_TO_MATURITY_AT_ISSU")</f>
        <v>40.322783561643845</v>
      </c>
      <c r="O1288" t="str">
        <f>_xll.BDP("34682JST Muni","BVAL_MID_YTM")</f>
        <v>#N/A Authorization</v>
      </c>
      <c r="P1288" t="str">
        <f>_xll.BDP("34682JST Muni","MUNI_TAX_PROV")</f>
        <v>FED TAX-EXEMPT</v>
      </c>
      <c r="Q1288" t="str">
        <f>_xll.BDP("34682JST Muni","MUNI_FED_TAX")</f>
        <v>N</v>
      </c>
      <c r="R1288" t="str">
        <f>_xll.BDP("34682JST Muni","MUNI_MSRB_VOLUME")</f>
        <v>#N/A N/A</v>
      </c>
      <c r="S1288" t="str">
        <f>_xll.BDP("34682JST Muni","BB_COMPOSITE")</f>
        <v>A+</v>
      </c>
      <c r="T1288">
        <f>_xll.BDP("34682JST Muni","LQA_LIQUIDITY_SCORE")</f>
        <v>88</v>
      </c>
    </row>
    <row r="1289" spans="1:20" x14ac:dyDescent="0.25">
      <c r="A1289" t="str">
        <f>_xll.BDP("34682JSU Muni","ID_CUSIP")</f>
        <v>34682JSU7</v>
      </c>
      <c r="B1289" t="s">
        <v>388</v>
      </c>
      <c r="C1289" t="str">
        <f>_xll.BDP("34682JSU Muni","INSURANCE_STATUS")</f>
        <v>Y</v>
      </c>
      <c r="D1289" t="str">
        <f>_xll.BDP("34682JSU Muni","STATE_CODE")</f>
        <v>TX</v>
      </c>
      <c r="E1289" t="str">
        <f>_xll.BDP("34682JSU Muni","COUNTY_LOCATION_ISSUER")</f>
        <v>Fort Bend, TX</v>
      </c>
      <c r="F1289">
        <f>_xll.BDP("34682JSU Muni","DUR_ADJ_MID")</f>
        <v>1.9902669752050257</v>
      </c>
      <c r="G1289">
        <f>_xll.BDP("34682JSU Muni","SPREAD_AT_ISSUANCE_TO_WORST")</f>
        <v>44.0683698630137</v>
      </c>
      <c r="H1289" t="str">
        <f>_xll.BDP("34682JSU Muni","ISSUE_DT")</f>
        <v>11/1/2017</v>
      </c>
      <c r="I1289" t="str">
        <f>_xll.BDS("34682JSU Muni","MUNI_PURPOSE_SCHED", "aggregate=y")</f>
        <v>WATER UTILITY IMPS. SEWER IMPS. PUBLIC IMPS.</v>
      </c>
      <c r="J1289">
        <f>_xll.BDP("34682JSU Muni","CPN")</f>
        <v>3</v>
      </c>
      <c r="K1289" t="str">
        <f>_xll.BDP("34682JSU Muni","MATURITY")</f>
        <v>9/1/2024</v>
      </c>
      <c r="L1289">
        <v>310000</v>
      </c>
      <c r="M1289">
        <f>_xll.BDP("34682JSU Muni","YIELD_ON_ISSUE_DATE")</f>
        <v>2.04</v>
      </c>
      <c r="N1289">
        <f>_xll.BDP("34682JSU Muni","YTW_SPREAD_TO_MATURITY_AT_ISSU")</f>
        <v>44.0683698630137</v>
      </c>
      <c r="O1289" t="str">
        <f>_xll.BDP("34682JSU Muni","BVAL_MID_YTM")</f>
        <v>#N/A Authorization</v>
      </c>
      <c r="P1289" t="str">
        <f>_xll.BDP("34682JSU Muni","MUNI_TAX_PROV")</f>
        <v>FED TAX-EXEMPT</v>
      </c>
      <c r="Q1289" t="str">
        <f>_xll.BDP("34682JSU Muni","MUNI_FED_TAX")</f>
        <v>N</v>
      </c>
      <c r="R1289" t="str">
        <f>_xll.BDP("34682JSU Muni","MUNI_MSRB_VOLUME")</f>
        <v>#N/A N/A</v>
      </c>
      <c r="S1289" t="str">
        <f>_xll.BDP("34682JSU Muni","BB_COMPOSITE")</f>
        <v>A+</v>
      </c>
      <c r="T1289">
        <f>_xll.BDP("34682JSU Muni","LQA_LIQUIDITY_SCORE")</f>
        <v>78</v>
      </c>
    </row>
    <row r="1290" spans="1:20" x14ac:dyDescent="0.25">
      <c r="A1290" t="str">
        <f>_xll.BDP("34682KBE Muni","ID_CUSIP")</f>
        <v>34682KBE8</v>
      </c>
      <c r="B1290" t="s">
        <v>389</v>
      </c>
      <c r="C1290" t="str">
        <f>_xll.BDP("34682KBE Muni","INSURANCE_STATUS")</f>
        <v>N</v>
      </c>
      <c r="D1290" t="str">
        <f>_xll.BDP("34682KBE Muni","STATE_CODE")</f>
        <v>TX</v>
      </c>
      <c r="E1290" t="str">
        <f>_xll.BDP("34682KBE Muni","COUNTY_LOCATION_ISSUER")</f>
        <v>Harris, TX</v>
      </c>
      <c r="F1290">
        <f>_xll.BDP("34682KBE Muni","DUR_ADJ_MID")</f>
        <v>8.0460764808630209E-2</v>
      </c>
      <c r="G1290">
        <f>_xll.BDP("34682KBE Muni","SPREAD_AT_ISSUANCE_TO_WORST")</f>
        <v>95.342521409402622</v>
      </c>
      <c r="H1290" t="str">
        <f>_xll.BDP("34682KBE Muni","ISSUE_DT")</f>
        <v>5/1/2017</v>
      </c>
      <c r="I1290" t="str">
        <f>_xll.BDS("34682KBE Muni","MUNI_PURPOSE_SCHED", "aggregate=y")</f>
        <v>WATER UTILITY IMPS. SEWER IMPS.</v>
      </c>
      <c r="J1290">
        <f>_xll.BDP("34682KBE Muni","CPN")</f>
        <v>2.4</v>
      </c>
      <c r="K1290" t="str">
        <f>_xll.BDP("34682KBE Muni","MATURITY")</f>
        <v>9/1/2022</v>
      </c>
      <c r="L1290">
        <v>25000</v>
      </c>
      <c r="M1290">
        <f>_xll.BDP("34682KBE Muni","YIELD_ON_ISSUE_DATE")</f>
        <v>2.4000000000000004</v>
      </c>
      <c r="N1290">
        <f>_xll.BDP("34682KBE Muni","YTW_SPREAD_TO_MATURITY_AT_ISSU")</f>
        <v>95.342521409402622</v>
      </c>
      <c r="O1290" t="str">
        <f>_xll.BDP("34682KBE Muni","BVAL_MID_YTM")</f>
        <v>#N/A Authorization</v>
      </c>
      <c r="P1290" t="str">
        <f>_xll.BDP("34682KBE Muni","MUNI_TAX_PROV")</f>
        <v>FED BQ</v>
      </c>
      <c r="Q1290" t="str">
        <f>_xll.BDP("34682KBE Muni","MUNI_FED_TAX")</f>
        <v>N</v>
      </c>
      <c r="R1290" t="str">
        <f>_xll.BDP("34682KBE Muni","MUNI_MSRB_VOLUME")</f>
        <v>#N/A N/A</v>
      </c>
      <c r="S1290" t="str">
        <f>_xll.BDP("34682KBE Muni","BB_COMPOSITE")</f>
        <v>#N/A N/A</v>
      </c>
      <c r="T1290">
        <f>_xll.BDP("34682KBE Muni","LQA_LIQUIDITY_SCORE")</f>
        <v>91</v>
      </c>
    </row>
    <row r="1291" spans="1:20" x14ac:dyDescent="0.25">
      <c r="A1291" t="str">
        <f>_xll.BDP("34682KBF Muni","ID_CUSIP")</f>
        <v>34682KBF5</v>
      </c>
      <c r="B1291" t="s">
        <v>389</v>
      </c>
      <c r="C1291" t="str">
        <f>_xll.BDP("34682KBF Muni","INSURANCE_STATUS")</f>
        <v>N</v>
      </c>
      <c r="D1291" t="str">
        <f>_xll.BDP("34682KBF Muni","STATE_CODE")</f>
        <v>TX</v>
      </c>
      <c r="E1291" t="str">
        <f>_xll.BDP("34682KBF Muni","COUNTY_LOCATION_ISSUER")</f>
        <v>Harris, TX</v>
      </c>
      <c r="F1291">
        <f>_xll.BDP("34682KBF Muni","DUR_ADJ_MID")</f>
        <v>1.0506487952835912</v>
      </c>
      <c r="G1291">
        <f>_xll.BDP("34682KBF Muni","SPREAD_AT_ISSUANCE_TO_WORST")</f>
        <v>99.212045775938833</v>
      </c>
      <c r="H1291" t="str">
        <f>_xll.BDP("34682KBF Muni","ISSUE_DT")</f>
        <v>5/1/2017</v>
      </c>
      <c r="I1291" t="str">
        <f>_xll.BDS("34682KBF Muni","MUNI_PURPOSE_SCHED", "aggregate=y")</f>
        <v>WATER UTILITY IMPS. SEWER IMPS.</v>
      </c>
      <c r="J1291">
        <f>_xll.BDP("34682KBF Muni","CPN")</f>
        <v>2.6</v>
      </c>
      <c r="K1291" t="str">
        <f>_xll.BDP("34682KBF Muni","MATURITY")</f>
        <v>9/1/2023</v>
      </c>
      <c r="L1291">
        <v>25000</v>
      </c>
      <c r="M1291">
        <f>_xll.BDP("34682KBF Muni","YIELD_ON_ISSUE_DATE")</f>
        <v>2.6</v>
      </c>
      <c r="N1291">
        <f>_xll.BDP("34682KBF Muni","YTW_SPREAD_TO_MATURITY_AT_ISSU")</f>
        <v>99.212045775938833</v>
      </c>
      <c r="O1291" t="str">
        <f>_xll.BDP("34682KBF Muni","BVAL_MID_YTM")</f>
        <v>#N/A Authorization</v>
      </c>
      <c r="P1291" t="str">
        <f>_xll.BDP("34682KBF Muni","MUNI_TAX_PROV")</f>
        <v>FED BQ</v>
      </c>
      <c r="Q1291" t="str">
        <f>_xll.BDP("34682KBF Muni","MUNI_FED_TAX")</f>
        <v>N</v>
      </c>
      <c r="R1291" t="str">
        <f>_xll.BDP("34682KBF Muni","MUNI_MSRB_VOLUME")</f>
        <v>#N/A N/A</v>
      </c>
      <c r="S1291" t="str">
        <f>_xll.BDP("34682KBF Muni","BB_COMPOSITE")</f>
        <v>#N/A N/A</v>
      </c>
      <c r="T1291">
        <f>_xll.BDP("34682KBF Muni","LQA_LIQUIDITY_SCORE")</f>
        <v>61</v>
      </c>
    </row>
    <row r="1292" spans="1:20" x14ac:dyDescent="0.25">
      <c r="A1292" t="str">
        <f>_xll.BDP("34682LCZ Muni","ID_CUSIP")</f>
        <v>34682LCZ8</v>
      </c>
      <c r="B1292" t="s">
        <v>390</v>
      </c>
      <c r="C1292" t="str">
        <f>_xll.BDP("34682LCZ Muni","INSURANCE_STATUS")</f>
        <v>Y</v>
      </c>
      <c r="D1292" t="str">
        <f>_xll.BDP("34682LCZ Muni","STATE_CODE")</f>
        <v>TX</v>
      </c>
      <c r="E1292" t="str">
        <f>_xll.BDP("34682LCZ Muni","COUNTY_LOCATION_ISSUER")</f>
        <v>Fort Bend, TX</v>
      </c>
      <c r="F1292">
        <f>_xll.BDP("34682LCZ Muni","DUR_ADJ_MID")</f>
        <v>8.0462346289345538E-2</v>
      </c>
      <c r="G1292">
        <f>_xll.BDP("34682LCZ Muni","SPREAD_AT_ISSUANCE_TO_WORST")</f>
        <v>77.56873537587974</v>
      </c>
      <c r="H1292" t="str">
        <f>_xll.BDP("34682LCZ Muni","ISSUE_DT")</f>
        <v>8/1/2017</v>
      </c>
      <c r="I1292" t="str">
        <f>_xll.BDS("34682LCZ Muni","MUNI_PURPOSE_SCHED", "aggregate=y")</f>
        <v>WATER UTILITY IMPS. SEWER IMPS.</v>
      </c>
      <c r="J1292">
        <f>_xll.BDP("34682LCZ Muni","CPN")</f>
        <v>4</v>
      </c>
      <c r="K1292" t="str">
        <f>_xll.BDP("34682LCZ Muni","MATURITY")</f>
        <v>9/1/2022</v>
      </c>
      <c r="L1292">
        <v>85000</v>
      </c>
      <c r="M1292">
        <f>_xll.BDP("34682LCZ Muni","YIELD_ON_ISSUE_DATE")</f>
        <v>2</v>
      </c>
      <c r="N1292">
        <f>_xll.BDP("34682LCZ Muni","YTW_SPREAD_TO_MATURITY_AT_ISSU")</f>
        <v>77.56873537587974</v>
      </c>
      <c r="O1292" t="str">
        <f>_xll.BDP("34682LCZ Muni","BVAL_MID_YTM")</f>
        <v>#N/A Authorization</v>
      </c>
      <c r="P1292" t="str">
        <f>_xll.BDP("34682LCZ Muni","MUNI_TAX_PROV")</f>
        <v>FED BQ</v>
      </c>
      <c r="Q1292" t="str">
        <f>_xll.BDP("34682LCZ Muni","MUNI_FED_TAX")</f>
        <v>N</v>
      </c>
      <c r="R1292" t="str">
        <f>_xll.BDP("34682LCZ Muni","MUNI_MSRB_VOLUME")</f>
        <v>#N/A N/A</v>
      </c>
      <c r="S1292" t="str">
        <f>_xll.BDP("34682LCZ Muni","BB_COMPOSITE")</f>
        <v>A-</v>
      </c>
      <c r="T1292">
        <f>_xll.BDP("34682LCZ Muni","LQA_LIQUIDITY_SCORE")</f>
        <v>92</v>
      </c>
    </row>
    <row r="1293" spans="1:20" x14ac:dyDescent="0.25">
      <c r="A1293" t="str">
        <f>_xll.BDP("34682LDA Muni","ID_CUSIP")</f>
        <v>34682LDA2</v>
      </c>
      <c r="B1293" t="s">
        <v>390</v>
      </c>
      <c r="C1293" t="str">
        <f>_xll.BDP("34682LDA Muni","INSURANCE_STATUS")</f>
        <v>Y</v>
      </c>
      <c r="D1293" t="str">
        <f>_xll.BDP("34682LDA Muni","STATE_CODE")</f>
        <v>TX</v>
      </c>
      <c r="E1293" t="str">
        <f>_xll.BDP("34682LDA Muni","COUNTY_LOCATION_ISSUER")</f>
        <v>Fort Bend, TX</v>
      </c>
      <c r="F1293">
        <f>_xll.BDP("34682LDA Muni","DUR_ADJ_MID")</f>
        <v>1.0411865196731367</v>
      </c>
      <c r="G1293">
        <f>_xll.BDP("34682LDA Muni","SPREAD_AT_ISSUANCE_TO_WORST")</f>
        <v>73.158908817523212</v>
      </c>
      <c r="H1293" t="str">
        <f>_xll.BDP("34682LDA Muni","ISSUE_DT")</f>
        <v>8/1/2017</v>
      </c>
      <c r="I1293" t="str">
        <f>_xll.BDS("34682LDA Muni","MUNI_PURPOSE_SCHED", "aggregate=y")</f>
        <v>WATER UTILITY IMPS. SEWER IMPS.</v>
      </c>
      <c r="J1293">
        <f>_xll.BDP("34682LDA Muni","CPN")</f>
        <v>4</v>
      </c>
      <c r="K1293" t="str">
        <f>_xll.BDP("34682LDA Muni","MATURITY")</f>
        <v>9/1/2023</v>
      </c>
      <c r="L1293">
        <v>90000</v>
      </c>
      <c r="M1293">
        <f>_xll.BDP("34682LDA Muni","YIELD_ON_ISSUE_DATE")</f>
        <v>2.1</v>
      </c>
      <c r="N1293">
        <f>_xll.BDP("34682LDA Muni","YTW_SPREAD_TO_MATURITY_AT_ISSU")</f>
        <v>73.158908817523212</v>
      </c>
      <c r="O1293" t="str">
        <f>_xll.BDP("34682LDA Muni","BVAL_MID_YTM")</f>
        <v>#N/A Authorization</v>
      </c>
      <c r="P1293" t="str">
        <f>_xll.BDP("34682LDA Muni","MUNI_TAX_PROV")</f>
        <v>FED BQ</v>
      </c>
      <c r="Q1293" t="str">
        <f>_xll.BDP("34682LDA Muni","MUNI_FED_TAX")</f>
        <v>N</v>
      </c>
      <c r="R1293" t="str">
        <f>_xll.BDP("34682LDA Muni","MUNI_MSRB_VOLUME")</f>
        <v>#N/A N/A</v>
      </c>
      <c r="S1293" t="str">
        <f>_xll.BDP("34682LDA Muni","BB_COMPOSITE")</f>
        <v>A-</v>
      </c>
      <c r="T1293">
        <f>_xll.BDP("34682LDA Muni","LQA_LIQUIDITY_SCORE")</f>
        <v>84</v>
      </c>
    </row>
    <row r="1294" spans="1:20" x14ac:dyDescent="0.25">
      <c r="A1294" t="str">
        <f>_xll.BDP("34682LDB Muni","ID_CUSIP")</f>
        <v>34682LDB0</v>
      </c>
      <c r="B1294" t="s">
        <v>390</v>
      </c>
      <c r="C1294" t="str">
        <f>_xll.BDP("34682LDB Muni","INSURANCE_STATUS")</f>
        <v>Y</v>
      </c>
      <c r="D1294" t="str">
        <f>_xll.BDP("34682LDB Muni","STATE_CODE")</f>
        <v>TX</v>
      </c>
      <c r="E1294" t="str">
        <f>_xll.BDP("34682LDB Muni","COUNTY_LOCATION_ISSUER")</f>
        <v>Fort Bend, TX</v>
      </c>
      <c r="F1294">
        <f>_xll.BDP("34682LDB Muni","DUR_ADJ_MID")</f>
        <v>2.0039761122605784</v>
      </c>
      <c r="G1294">
        <f>_xll.BDP("34682LDB Muni","SPREAD_AT_ISSUANCE_TO_WORST")</f>
        <v>68.4563515425112</v>
      </c>
      <c r="H1294" t="str">
        <f>_xll.BDP("34682LDB Muni","ISSUE_DT")</f>
        <v>8/1/2017</v>
      </c>
      <c r="I1294" t="str">
        <f>_xll.BDS("34682LDB Muni","MUNI_PURPOSE_SCHED", "aggregate=y")</f>
        <v>WATER UTILITY IMPS. SEWER IMPS.</v>
      </c>
      <c r="J1294">
        <f>_xll.BDP("34682LDB Muni","CPN")</f>
        <v>2.2000000000000002</v>
      </c>
      <c r="K1294" t="str">
        <f>_xll.BDP("34682LDB Muni","MATURITY")</f>
        <v>9/1/2024</v>
      </c>
      <c r="L1294">
        <v>95000</v>
      </c>
      <c r="M1294">
        <f>_xll.BDP("34682LDB Muni","YIELD_ON_ISSUE_DATE")</f>
        <v>2.2000000000000002</v>
      </c>
      <c r="N1294">
        <f>_xll.BDP("34682LDB Muni","YTW_SPREAD_TO_MATURITY_AT_ISSU")</f>
        <v>68.4563515425112</v>
      </c>
      <c r="O1294" t="str">
        <f>_xll.BDP("34682LDB Muni","BVAL_MID_YTM")</f>
        <v>#N/A Authorization</v>
      </c>
      <c r="P1294" t="str">
        <f>_xll.BDP("34682LDB Muni","MUNI_TAX_PROV")</f>
        <v>FED BQ</v>
      </c>
      <c r="Q1294" t="str">
        <f>_xll.BDP("34682LDB Muni","MUNI_FED_TAX")</f>
        <v>N</v>
      </c>
      <c r="R1294" t="str">
        <f>_xll.BDP("34682LDB Muni","MUNI_MSRB_VOLUME")</f>
        <v>#N/A N/A</v>
      </c>
      <c r="S1294" t="str">
        <f>_xll.BDP("34682LDB Muni","BB_COMPOSITE")</f>
        <v>A-</v>
      </c>
      <c r="T1294">
        <f>_xll.BDP("34682LDB Muni","LQA_LIQUIDITY_SCORE")</f>
        <v>63</v>
      </c>
    </row>
    <row r="1295" spans="1:20" x14ac:dyDescent="0.25">
      <c r="A1295" t="str">
        <f>_xll.BDP("34682MCD Muni","ID_CUSIP")</f>
        <v>34682MCD5</v>
      </c>
      <c r="B1295" t="s">
        <v>391</v>
      </c>
      <c r="C1295" t="str">
        <f>_xll.BDP("34682MCD Muni","INSURANCE_STATUS")</f>
        <v>N</v>
      </c>
      <c r="D1295" t="str">
        <f>_xll.BDP("34682MCD Muni","STATE_CODE")</f>
        <v>TX</v>
      </c>
      <c r="E1295" t="str">
        <f>_xll.BDP("34682MCD Muni","COUNTY_LOCATION_ISSUER")</f>
        <v>Fort Bend, TX</v>
      </c>
      <c r="F1295">
        <f>_xll.BDP("34682MCD Muni","DUR_ADJ_MID")</f>
        <v>0.73293528062167768</v>
      </c>
      <c r="G1295">
        <f>_xll.BDP("34682MCD Muni","SPREAD_AT_ISSUANCE_TO_WORST")</f>
        <v>107.04415341991054</v>
      </c>
      <c r="H1295" t="str">
        <f>_xll.BDP("34682MCD Muni","ISSUE_DT")</f>
        <v>8/1/2017</v>
      </c>
      <c r="I1295" t="str">
        <f>_xll.BDS("34682MCD Muni","MUNI_PURPOSE_SCHED", "aggregate=y")</f>
        <v>SEWER IMPS. WATER UTILITY IMPS.</v>
      </c>
      <c r="J1295">
        <f>_xll.BDP("34682MCD Muni","CPN")</f>
        <v>3</v>
      </c>
      <c r="K1295" t="str">
        <f>_xll.BDP("34682MCD Muni","MATURITY")</f>
        <v>5/1/2023</v>
      </c>
      <c r="L1295">
        <v>40000</v>
      </c>
      <c r="M1295">
        <f>_xll.BDP("34682MCD Muni","YIELD_ON_ISSUE_DATE")</f>
        <v>2.4000000000000004</v>
      </c>
      <c r="N1295">
        <f>_xll.BDP("34682MCD Muni","YTW_SPREAD_TO_MATURITY_AT_ISSU")</f>
        <v>107.04415341991054</v>
      </c>
      <c r="O1295" t="str">
        <f>_xll.BDP("34682MCD Muni","BVAL_MID_YTM")</f>
        <v>#N/A Authorization</v>
      </c>
      <c r="P1295" t="str">
        <f>_xll.BDP("34682MCD Muni","MUNI_TAX_PROV")</f>
        <v>FED BQ</v>
      </c>
      <c r="Q1295" t="str">
        <f>_xll.BDP("34682MCD Muni","MUNI_FED_TAX")</f>
        <v>N</v>
      </c>
      <c r="R1295" t="str">
        <f>_xll.BDP("34682MCD Muni","MUNI_MSRB_VOLUME")</f>
        <v>#N/A N/A</v>
      </c>
      <c r="S1295" t="str">
        <f>_xll.BDP("34682MCD Muni","BB_COMPOSITE")</f>
        <v>#N/A N/A</v>
      </c>
      <c r="T1295">
        <f>_xll.BDP("34682MCD Muni","LQA_LIQUIDITY_SCORE")</f>
        <v>89</v>
      </c>
    </row>
    <row r="1296" spans="1:20" x14ac:dyDescent="0.25">
      <c r="A1296" t="str">
        <f>_xll.BDP("34682MCE Muni","ID_CUSIP")</f>
        <v>34682MCE3</v>
      </c>
      <c r="B1296" t="s">
        <v>391</v>
      </c>
      <c r="C1296" t="str">
        <f>_xll.BDP("34682MCE Muni","INSURANCE_STATUS")</f>
        <v>N</v>
      </c>
      <c r="D1296" t="str">
        <f>_xll.BDP("34682MCE Muni","STATE_CODE")</f>
        <v>TX</v>
      </c>
      <c r="E1296" t="str">
        <f>_xll.BDP("34682MCE Muni","COUNTY_LOCATION_ISSUER")</f>
        <v>Fort Bend, TX</v>
      </c>
      <c r="F1296">
        <f>_xll.BDP("34682MCE Muni","DUR_ADJ_MID")</f>
        <v>1.6842323521923368</v>
      </c>
      <c r="G1296">
        <f>_xll.BDP("34682MCE Muni","SPREAD_AT_ISSUANCE_TO_WORST")</f>
        <v>112.25966230495715</v>
      </c>
      <c r="H1296" t="str">
        <f>_xll.BDP("34682MCE Muni","ISSUE_DT")</f>
        <v>8/1/2017</v>
      </c>
      <c r="I1296" t="str">
        <f>_xll.BDS("34682MCE Muni","MUNI_PURPOSE_SCHED", "aggregate=y")</f>
        <v>SEWER IMPS. WATER UTILITY IMPS.</v>
      </c>
      <c r="J1296">
        <f>_xll.BDP("34682MCE Muni","CPN")</f>
        <v>3</v>
      </c>
      <c r="K1296" t="str">
        <f>_xll.BDP("34682MCE Muni","MATURITY")</f>
        <v>5/1/2024</v>
      </c>
      <c r="L1296">
        <v>40000</v>
      </c>
      <c r="M1296">
        <f>_xll.BDP("34682MCE Muni","YIELD_ON_ISSUE_DATE")</f>
        <v>2.6</v>
      </c>
      <c r="N1296">
        <f>_xll.BDP("34682MCE Muni","YTW_SPREAD_TO_MATURITY_AT_ISSU")</f>
        <v>112.25966230495715</v>
      </c>
      <c r="O1296" t="str">
        <f>_xll.BDP("34682MCE Muni","BVAL_MID_YTM")</f>
        <v>#N/A Authorization</v>
      </c>
      <c r="P1296" t="str">
        <f>_xll.BDP("34682MCE Muni","MUNI_TAX_PROV")</f>
        <v>FED BQ</v>
      </c>
      <c r="Q1296" t="str">
        <f>_xll.BDP("34682MCE Muni","MUNI_FED_TAX")</f>
        <v>N</v>
      </c>
      <c r="R1296" t="str">
        <f>_xll.BDP("34682MCE Muni","MUNI_MSRB_VOLUME")</f>
        <v>#N/A N/A</v>
      </c>
      <c r="S1296" t="str">
        <f>_xll.BDP("34682MCE Muni","BB_COMPOSITE")</f>
        <v>#N/A N/A</v>
      </c>
      <c r="T1296">
        <f>_xll.BDP("34682MCE Muni","LQA_LIQUIDITY_SCORE")</f>
        <v>73</v>
      </c>
    </row>
    <row r="1297" spans="1:20" x14ac:dyDescent="0.25">
      <c r="A1297" t="str">
        <f>_xll.BDP("34682UFZ Muni","ID_CUSIP")</f>
        <v>34682UFZ5</v>
      </c>
      <c r="B1297" t="s">
        <v>392</v>
      </c>
      <c r="C1297" t="str">
        <f>_xll.BDP("34682UFZ Muni","INSURANCE_STATUS")</f>
        <v>Y</v>
      </c>
      <c r="D1297" t="str">
        <f>_xll.BDP("34682UFZ Muni","STATE_CODE")</f>
        <v>TX</v>
      </c>
      <c r="E1297" t="str">
        <f>_xll.BDP("34682UFZ Muni","COUNTY_LOCATION_ISSUER")</f>
        <v>Fort Bend, TX</v>
      </c>
      <c r="F1297">
        <f>_xll.BDP("34682UFZ Muni","DUR_ADJ_MID")</f>
        <v>8.0457165234482361E-2</v>
      </c>
      <c r="G1297">
        <f>_xll.BDP("34682UFZ Muni","SPREAD_AT_ISSUANCE_TO_WORST")</f>
        <v>58.110114143978244</v>
      </c>
      <c r="H1297" t="str">
        <f>_xll.BDP("34682UFZ Muni","ISSUE_DT")</f>
        <v>7/1/2017</v>
      </c>
      <c r="I1297" t="str">
        <f>_xll.BDS("34682UFZ Muni","MUNI_PURPOSE_SCHED", "aggregate=y")</f>
        <v>WATER UTILITY IMPS. SEWER IMPS.</v>
      </c>
      <c r="J1297">
        <f>_xll.BDP("34682UFZ Muni","CPN")</f>
        <v>2</v>
      </c>
      <c r="K1297" t="str">
        <f>_xll.BDP("34682UFZ Muni","MATURITY")</f>
        <v>9/1/2022</v>
      </c>
      <c r="L1297">
        <v>175000</v>
      </c>
      <c r="M1297">
        <f>_xll.BDP("34682UFZ Muni","YIELD_ON_ISSUE_DATE")</f>
        <v>1.8</v>
      </c>
      <c r="N1297">
        <f>_xll.BDP("34682UFZ Muni","YTW_SPREAD_TO_MATURITY_AT_ISSU")</f>
        <v>58.110114143978244</v>
      </c>
      <c r="O1297" t="str">
        <f>_xll.BDP("34682UFZ Muni","BVAL_MID_YTM")</f>
        <v>#N/A Authorization</v>
      </c>
      <c r="P1297" t="str">
        <f>_xll.BDP("34682UFZ Muni","MUNI_TAX_PROV")</f>
        <v>FED BQ</v>
      </c>
      <c r="Q1297" t="str">
        <f>_xll.BDP("34682UFZ Muni","MUNI_FED_TAX")</f>
        <v>N</v>
      </c>
      <c r="R1297">
        <f>_xll.BDP("34682UFZ Muni","MUNI_MSRB_VOLUME")</f>
        <v>125000</v>
      </c>
      <c r="S1297" t="str">
        <f>_xll.BDP("34682UFZ Muni","BB_COMPOSITE")</f>
        <v>A</v>
      </c>
      <c r="T1297">
        <f>_xll.BDP("34682UFZ Muni","LQA_LIQUIDITY_SCORE")</f>
        <v>100</v>
      </c>
    </row>
    <row r="1298" spans="1:20" x14ac:dyDescent="0.25">
      <c r="A1298" t="str">
        <f>_xll.BDP("34682UGA Muni","ID_CUSIP")</f>
        <v>34682UGA9</v>
      </c>
      <c r="B1298" t="s">
        <v>392</v>
      </c>
      <c r="C1298" t="str">
        <f>_xll.BDP("34682UGA Muni","INSURANCE_STATUS")</f>
        <v>Y</v>
      </c>
      <c r="D1298" t="str">
        <f>_xll.BDP("34682UGA Muni","STATE_CODE")</f>
        <v>TX</v>
      </c>
      <c r="E1298" t="str">
        <f>_xll.BDP("34682UGA Muni","COUNTY_LOCATION_ISSUER")</f>
        <v>Fort Bend, TX</v>
      </c>
      <c r="F1298">
        <f>_xll.BDP("34682UGA Muni","DUR_ADJ_MID")</f>
        <v>1.0510494155328611</v>
      </c>
      <c r="G1298">
        <f>_xll.BDP("34682UGA Muni","SPREAD_AT_ISSUANCE_TO_WORST")</f>
        <v>68.301300880457362</v>
      </c>
      <c r="H1298" t="str">
        <f>_xll.BDP("34682UGA Muni","ISSUE_DT")</f>
        <v>7/1/2017</v>
      </c>
      <c r="I1298" t="str">
        <f>_xll.BDS("34682UGA Muni","MUNI_PURPOSE_SCHED", "aggregate=y")</f>
        <v>WATER UTILITY IMPS. SEWER IMPS.</v>
      </c>
      <c r="J1298">
        <f>_xll.BDP("34682UGA Muni","CPN")</f>
        <v>2.5</v>
      </c>
      <c r="K1298" t="str">
        <f>_xll.BDP("34682UGA Muni","MATURITY")</f>
        <v>9/1/2023</v>
      </c>
      <c r="L1298">
        <v>175000</v>
      </c>
      <c r="M1298">
        <f>_xll.BDP("34682UGA Muni","YIELD_ON_ISSUE_DATE")</f>
        <v>2.0499999999999998</v>
      </c>
      <c r="N1298">
        <f>_xll.BDP("34682UGA Muni","YTW_SPREAD_TO_MATURITY_AT_ISSU")</f>
        <v>68.301300880457362</v>
      </c>
      <c r="O1298" t="str">
        <f>_xll.BDP("34682UGA Muni","BVAL_MID_YTM")</f>
        <v>#N/A Authorization</v>
      </c>
      <c r="P1298" t="str">
        <f>_xll.BDP("34682UGA Muni","MUNI_TAX_PROV")</f>
        <v>FED BQ</v>
      </c>
      <c r="Q1298" t="str">
        <f>_xll.BDP("34682UGA Muni","MUNI_FED_TAX")</f>
        <v>N</v>
      </c>
      <c r="R1298" t="str">
        <f>_xll.BDP("34682UGA Muni","MUNI_MSRB_VOLUME")</f>
        <v>#N/A N/A</v>
      </c>
      <c r="S1298" t="str">
        <f>_xll.BDP("34682UGA Muni","BB_COMPOSITE")</f>
        <v>A</v>
      </c>
      <c r="T1298">
        <f>_xll.BDP("34682UGA Muni","LQA_LIQUIDITY_SCORE")</f>
        <v>85</v>
      </c>
    </row>
    <row r="1299" spans="1:20" x14ac:dyDescent="0.25">
      <c r="A1299" t="str">
        <f>_xll.BDP("34682UGB Muni","ID_CUSIP")</f>
        <v>34682UGB7</v>
      </c>
      <c r="B1299" t="s">
        <v>392</v>
      </c>
      <c r="C1299" t="str">
        <f>_xll.BDP("34682UGB Muni","INSURANCE_STATUS")</f>
        <v>Y</v>
      </c>
      <c r="D1299" t="str">
        <f>_xll.BDP("34682UGB Muni","STATE_CODE")</f>
        <v>TX</v>
      </c>
      <c r="E1299" t="str">
        <f>_xll.BDP("34682UGB Muni","COUNTY_LOCATION_ISSUER")</f>
        <v>Fort Bend, TX</v>
      </c>
      <c r="F1299">
        <f>_xll.BDP("34682UGB Muni","DUR_ADJ_MID")</f>
        <v>1.9963042566320881</v>
      </c>
      <c r="G1299">
        <f>_xll.BDP("34682UGB Muni","SPREAD_AT_ISSUANCE_TO_WORST")</f>
        <v>73.293013389831202</v>
      </c>
      <c r="H1299" t="str">
        <f>_xll.BDP("34682UGB Muni","ISSUE_DT")</f>
        <v>7/1/2017</v>
      </c>
      <c r="I1299" t="str">
        <f>_xll.BDS("34682UGB Muni","MUNI_PURPOSE_SCHED", "aggregate=y")</f>
        <v>WATER UTILITY IMPS. SEWER IMPS.</v>
      </c>
      <c r="J1299">
        <f>_xll.BDP("34682UGB Muni","CPN")</f>
        <v>2.5</v>
      </c>
      <c r="K1299" t="str">
        <f>_xll.BDP("34682UGB Muni","MATURITY")</f>
        <v>9/1/2024</v>
      </c>
      <c r="L1299">
        <v>175000</v>
      </c>
      <c r="M1299">
        <f>_xll.BDP("34682UGB Muni","YIELD_ON_ISSUE_DATE")</f>
        <v>2.25</v>
      </c>
      <c r="N1299">
        <f>_xll.BDP("34682UGB Muni","YTW_SPREAD_TO_MATURITY_AT_ISSU")</f>
        <v>73.293013389831202</v>
      </c>
      <c r="O1299" t="str">
        <f>_xll.BDP("34682UGB Muni","BVAL_MID_YTM")</f>
        <v>#N/A Authorization</v>
      </c>
      <c r="P1299" t="str">
        <f>_xll.BDP("34682UGB Muni","MUNI_TAX_PROV")</f>
        <v>FED BQ</v>
      </c>
      <c r="Q1299" t="str">
        <f>_xll.BDP("34682UGB Muni","MUNI_FED_TAX")</f>
        <v>N</v>
      </c>
      <c r="R1299" t="str">
        <f>_xll.BDP("34682UGB Muni","MUNI_MSRB_VOLUME")</f>
        <v>#N/A N/A</v>
      </c>
      <c r="S1299" t="str">
        <f>_xll.BDP("34682UGB Muni","BB_COMPOSITE")</f>
        <v>A</v>
      </c>
      <c r="T1299">
        <f>_xll.BDP("34682UGB Muni","LQA_LIQUIDITY_SCORE")</f>
        <v>72</v>
      </c>
    </row>
    <row r="1300" spans="1:20" x14ac:dyDescent="0.25">
      <c r="A1300" t="str">
        <f>_xll.BDP("34682YKZ Muni","ID_CUSIP")</f>
        <v>34682YKZ1</v>
      </c>
      <c r="B1300" t="s">
        <v>393</v>
      </c>
      <c r="C1300" t="str">
        <f>_xll.BDP("34682YKZ Muni","INSURANCE_STATUS")</f>
        <v>Y</v>
      </c>
      <c r="D1300" t="str">
        <f>_xll.BDP("34682YKZ Muni","STATE_CODE")</f>
        <v>TX</v>
      </c>
      <c r="E1300" t="str">
        <f>_xll.BDP("34682YKZ Muni","COUNTY_LOCATION_ISSUER")</f>
        <v>Harris, TX</v>
      </c>
      <c r="F1300">
        <f>_xll.BDP("34682YKZ Muni","DUR_ADJ_MID")</f>
        <v>8.0471362155151188E-2</v>
      </c>
      <c r="G1300">
        <f>_xll.BDP("34682YKZ Muni","SPREAD_AT_ISSUANCE_TO_WORST")</f>
        <v>52.353671363445727</v>
      </c>
      <c r="H1300" t="str">
        <f>_xll.BDP("34682YKZ Muni","ISSUE_DT")</f>
        <v>8/1/2017</v>
      </c>
      <c r="I1300" t="str">
        <f>_xll.BDS("34682YKZ Muni","MUNI_PURPOSE_SCHED", "aggregate=y")</f>
        <v>WATER UTILITY IMPS. SEWER IMPS. PROPERTY ACQUISITION</v>
      </c>
      <c r="J1300">
        <f>_xll.BDP("34682YKZ Muni","CPN")</f>
        <v>2</v>
      </c>
      <c r="K1300" t="str">
        <f>_xll.BDP("34682YKZ Muni","MATURITY")</f>
        <v>9/1/2022</v>
      </c>
      <c r="L1300">
        <v>225000</v>
      </c>
      <c r="M1300">
        <f>_xll.BDP("34682YKZ Muni","YIELD_ON_ISSUE_DATE")</f>
        <v>1.9000000000000001</v>
      </c>
      <c r="N1300">
        <f>_xll.BDP("34682YKZ Muni","YTW_SPREAD_TO_MATURITY_AT_ISSU")</f>
        <v>52.353671363445727</v>
      </c>
      <c r="O1300" t="str">
        <f>_xll.BDP("34682YKZ Muni","BVAL_MID_YTM")</f>
        <v>#N/A Authorization</v>
      </c>
      <c r="P1300" t="str">
        <f>_xll.BDP("34682YKZ Muni","MUNI_TAX_PROV")</f>
        <v>FED BQ</v>
      </c>
      <c r="Q1300" t="str">
        <f>_xll.BDP("34682YKZ Muni","MUNI_FED_TAX")</f>
        <v>N</v>
      </c>
      <c r="R1300" t="str">
        <f>_xll.BDP("34682YKZ Muni","MUNI_MSRB_VOLUME")</f>
        <v>#N/A N/A</v>
      </c>
      <c r="S1300" t="str">
        <f>_xll.BDP("34682YKZ Muni","BB_COMPOSITE")</f>
        <v>A+</v>
      </c>
      <c r="T1300">
        <f>_xll.BDP("34682YKZ Muni","LQA_LIQUIDITY_SCORE")</f>
        <v>100</v>
      </c>
    </row>
    <row r="1301" spans="1:20" x14ac:dyDescent="0.25">
      <c r="A1301" t="str">
        <f>_xll.BDP("34682YLA Muni","ID_CUSIP")</f>
        <v>34682YLA5</v>
      </c>
      <c r="B1301" t="s">
        <v>393</v>
      </c>
      <c r="C1301" t="str">
        <f>_xll.BDP("34682YLA Muni","INSURANCE_STATUS")</f>
        <v>Y</v>
      </c>
      <c r="D1301" t="str">
        <f>_xll.BDP("34682YLA Muni","STATE_CODE")</f>
        <v>TX</v>
      </c>
      <c r="E1301" t="str">
        <f>_xll.BDP("34682YLA Muni","COUNTY_LOCATION_ISSUER")</f>
        <v>Harris, TX</v>
      </c>
      <c r="F1301">
        <f>_xll.BDP("34682YLA Muni","DUR_ADJ_MID")</f>
        <v>1.055750092526107</v>
      </c>
      <c r="G1301">
        <f>_xll.BDP("34682YLA Muni","SPREAD_AT_ISSUANCE_TO_WORST")</f>
        <v>58.150613371630058</v>
      </c>
      <c r="H1301" t="str">
        <f>_xll.BDP("34682YLA Muni","ISSUE_DT")</f>
        <v>8/1/2017</v>
      </c>
      <c r="I1301" t="str">
        <f>_xll.BDS("34682YLA Muni","MUNI_PURPOSE_SCHED", "aggregate=y")</f>
        <v>WATER UTILITY IMPS. SEWER IMPS. PROPERTY ACQUISITION</v>
      </c>
      <c r="J1301">
        <f>_xll.BDP("34682YLA Muni","CPN")</f>
        <v>2</v>
      </c>
      <c r="K1301" t="str">
        <f>_xll.BDP("34682YLA Muni","MATURITY")</f>
        <v>9/1/2023</v>
      </c>
      <c r="L1301">
        <v>220000</v>
      </c>
      <c r="M1301">
        <f>_xll.BDP("34682YLA Muni","YIELD_ON_ISSUE_DATE")</f>
        <v>2.1</v>
      </c>
      <c r="N1301">
        <f>_xll.BDP("34682YLA Muni","YTW_SPREAD_TO_MATURITY_AT_ISSU")</f>
        <v>58.150613371630058</v>
      </c>
      <c r="O1301" t="str">
        <f>_xll.BDP("34682YLA Muni","BVAL_MID_YTM")</f>
        <v>#N/A Authorization</v>
      </c>
      <c r="P1301" t="str">
        <f>_xll.BDP("34682YLA Muni","MUNI_TAX_PROV")</f>
        <v>FED BQ</v>
      </c>
      <c r="Q1301" t="str">
        <f>_xll.BDP("34682YLA Muni","MUNI_FED_TAX")</f>
        <v>N</v>
      </c>
      <c r="R1301" t="str">
        <f>_xll.BDP("34682YLA Muni","MUNI_MSRB_VOLUME")</f>
        <v>#N/A N/A</v>
      </c>
      <c r="S1301" t="str">
        <f>_xll.BDP("34682YLA Muni","BB_COMPOSITE")</f>
        <v>A+</v>
      </c>
      <c r="T1301">
        <f>_xll.BDP("34682YLA Muni","LQA_LIQUIDITY_SCORE")</f>
        <v>84</v>
      </c>
    </row>
    <row r="1302" spans="1:20" x14ac:dyDescent="0.25">
      <c r="A1302" t="str">
        <f>_xll.BDP("34682YLB Muni","ID_CUSIP")</f>
        <v>34682YLB3</v>
      </c>
      <c r="B1302" t="s">
        <v>393</v>
      </c>
      <c r="C1302" t="str">
        <f>_xll.BDP("34682YLB Muni","INSURANCE_STATUS")</f>
        <v>Y</v>
      </c>
      <c r="D1302" t="str">
        <f>_xll.BDP("34682YLB Muni","STATE_CODE")</f>
        <v>TX</v>
      </c>
      <c r="E1302" t="str">
        <f>_xll.BDP("34682YLB Muni","COUNTY_LOCATION_ISSUER")</f>
        <v>Harris, TX</v>
      </c>
      <c r="F1302">
        <f>_xll.BDP("34682YLB Muni","DUR_ADJ_MID")</f>
        <v>2.0099700888398293</v>
      </c>
      <c r="G1302">
        <f>_xll.BDP("34682YLB Muni","SPREAD_AT_ISSUANCE_TO_WORST")</f>
        <v>53.572692069485761</v>
      </c>
      <c r="H1302" t="str">
        <f>_xll.BDP("34682YLB Muni","ISSUE_DT")</f>
        <v>8/1/2017</v>
      </c>
      <c r="I1302" t="str">
        <f>_xll.BDS("34682YLB Muni","MUNI_PURPOSE_SCHED", "aggregate=y")</f>
        <v>WATER UTILITY IMPS. SEWER IMPS. PROPERTY ACQUISITION</v>
      </c>
      <c r="J1302">
        <f>_xll.BDP("34682YLB Muni","CPN")</f>
        <v>2</v>
      </c>
      <c r="K1302" t="str">
        <f>_xll.BDP("34682YLB Muni","MATURITY")</f>
        <v>9/1/2024</v>
      </c>
      <c r="L1302">
        <v>220000</v>
      </c>
      <c r="M1302">
        <f>_xll.BDP("34682YLB Muni","YIELD_ON_ISSUE_DATE")</f>
        <v>2.2000000000000002</v>
      </c>
      <c r="N1302">
        <f>_xll.BDP("34682YLB Muni","YTW_SPREAD_TO_MATURITY_AT_ISSU")</f>
        <v>53.572692069485761</v>
      </c>
      <c r="O1302" t="str">
        <f>_xll.BDP("34682YLB Muni","BVAL_MID_YTM")</f>
        <v>#N/A Authorization</v>
      </c>
      <c r="P1302" t="str">
        <f>_xll.BDP("34682YLB Muni","MUNI_TAX_PROV")</f>
        <v>FED BQ</v>
      </c>
      <c r="Q1302" t="str">
        <f>_xll.BDP("34682YLB Muni","MUNI_FED_TAX")</f>
        <v>N</v>
      </c>
      <c r="R1302" t="str">
        <f>_xll.BDP("34682YLB Muni","MUNI_MSRB_VOLUME")</f>
        <v>#N/A N/A</v>
      </c>
      <c r="S1302" t="str">
        <f>_xll.BDP("34682YLB Muni","BB_COMPOSITE")</f>
        <v>A+</v>
      </c>
      <c r="T1302">
        <f>_xll.BDP("34682YLB Muni","LQA_LIQUIDITY_SCORE")</f>
        <v>71</v>
      </c>
    </row>
    <row r="1303" spans="1:20" x14ac:dyDescent="0.25">
      <c r="A1303" t="str">
        <f>_xll.BDP("34683CKW Muni","ID_CUSIP")</f>
        <v>34683CKW5</v>
      </c>
      <c r="B1303" t="s">
        <v>146</v>
      </c>
      <c r="C1303" t="str">
        <f>_xll.BDP("34683CKW Muni","INSURANCE_STATUS")</f>
        <v>Y</v>
      </c>
      <c r="D1303" t="str">
        <f>_xll.BDP("34683CKW Muni","STATE_CODE")</f>
        <v>TX</v>
      </c>
      <c r="E1303" t="str">
        <f>_xll.BDP("34683CKW Muni","COUNTY_LOCATION_ISSUER")</f>
        <v>Fort Bend, TX</v>
      </c>
      <c r="F1303">
        <f>_xll.BDP("34683CKW Muni","DUR_ADJ_MID")</f>
        <v>1.0502751509579722</v>
      </c>
      <c r="G1303">
        <f>_xll.BDP("34683CKW Muni","SPREAD_AT_ISSUANCE_TO_WORST")</f>
        <v>71.806379805849588</v>
      </c>
      <c r="H1303" t="str">
        <f>_xll.BDP("34683CKW Muni","ISSUE_DT")</f>
        <v>7/1/2017</v>
      </c>
      <c r="I1303" t="str">
        <f>_xll.BDS("34683CKW Muni","MUNI_PURPOSE_SCHED", "aggregate=y")</f>
        <v>WATER UTILITY IMPS. SEWER IMPS. REFUNDING NOTES</v>
      </c>
      <c r="J1303">
        <f>_xll.BDP("34683CKW Muni","CPN")</f>
        <v>3</v>
      </c>
      <c r="K1303" t="str">
        <f>_xll.BDP("34683CKW Muni","MATURITY")</f>
        <v>9/1/2023</v>
      </c>
      <c r="L1303">
        <v>525000</v>
      </c>
      <c r="M1303">
        <f>_xll.BDP("34683CKW Muni","YIELD_ON_ISSUE_DATE")</f>
        <v>2.15</v>
      </c>
      <c r="N1303">
        <f>_xll.BDP("34683CKW Muni","YTW_SPREAD_TO_MATURITY_AT_ISSU")</f>
        <v>71.806379805849588</v>
      </c>
      <c r="O1303" t="str">
        <f>_xll.BDP("34683CKW Muni","BVAL_MID_YTM")</f>
        <v>#N/A Authorization</v>
      </c>
      <c r="P1303" t="str">
        <f>_xll.BDP("34683CKW Muni","MUNI_TAX_PROV")</f>
        <v>FED TAX-EXEMPT</v>
      </c>
      <c r="Q1303" t="str">
        <f>_xll.BDP("34683CKW Muni","MUNI_FED_TAX")</f>
        <v>N</v>
      </c>
      <c r="R1303" t="str">
        <f>_xll.BDP("34683CKW Muni","MUNI_MSRB_VOLUME")</f>
        <v>#N/A N/A</v>
      </c>
      <c r="S1303" t="str">
        <f>_xll.BDP("34683CKW Muni","BB_COMPOSITE")</f>
        <v>A+</v>
      </c>
      <c r="T1303">
        <f>_xll.BDP("34683CKW Muni","LQA_LIQUIDITY_SCORE")</f>
        <v>88</v>
      </c>
    </row>
    <row r="1304" spans="1:20" x14ac:dyDescent="0.25">
      <c r="A1304" t="str">
        <f>_xll.BDP("34683CKX Muni","ID_CUSIP")</f>
        <v>34683CKX3</v>
      </c>
      <c r="B1304" t="s">
        <v>146</v>
      </c>
      <c r="C1304" t="str">
        <f>_xll.BDP("34683CKX Muni","INSURANCE_STATUS")</f>
        <v>Y</v>
      </c>
      <c r="D1304" t="str">
        <f>_xll.BDP("34683CKX Muni","STATE_CODE")</f>
        <v>TX</v>
      </c>
      <c r="E1304" t="str">
        <f>_xll.BDP("34683CKX Muni","COUNTY_LOCATION_ISSUER")</f>
        <v>Fort Bend, TX</v>
      </c>
      <c r="F1304">
        <f>_xll.BDP("34683CKX Muni","DUR_ADJ_MID")</f>
        <v>1.9903342018637848</v>
      </c>
      <c r="G1304">
        <f>_xll.BDP("34683CKX Muni","SPREAD_AT_ISSUANCE_TO_WORST")</f>
        <v>72.474228207684803</v>
      </c>
      <c r="H1304" t="str">
        <f>_xll.BDP("34683CKX Muni","ISSUE_DT")</f>
        <v>7/1/2017</v>
      </c>
      <c r="I1304" t="str">
        <f>_xll.BDS("34683CKX Muni","MUNI_PURPOSE_SCHED", "aggregate=y")</f>
        <v>WATER UTILITY IMPS. SEWER IMPS. REFUNDING NOTES</v>
      </c>
      <c r="J1304">
        <f>_xll.BDP("34683CKX Muni","CPN")</f>
        <v>3</v>
      </c>
      <c r="K1304" t="str">
        <f>_xll.BDP("34683CKX Muni","MATURITY")</f>
        <v>9/1/2024</v>
      </c>
      <c r="L1304">
        <v>550000</v>
      </c>
      <c r="M1304">
        <f>_xll.BDP("34683CKX Muni","YIELD_ON_ISSUE_DATE")</f>
        <v>2.3000000000000003</v>
      </c>
      <c r="N1304">
        <f>_xll.BDP("34683CKX Muni","YTW_SPREAD_TO_MATURITY_AT_ISSU")</f>
        <v>72.474228207684803</v>
      </c>
      <c r="O1304" t="str">
        <f>_xll.BDP("34683CKX Muni","BVAL_MID_YTM")</f>
        <v>#N/A Authorization</v>
      </c>
      <c r="P1304" t="str">
        <f>_xll.BDP("34683CKX Muni","MUNI_TAX_PROV")</f>
        <v>FED TAX-EXEMPT</v>
      </c>
      <c r="Q1304" t="str">
        <f>_xll.BDP("34683CKX Muni","MUNI_FED_TAX")</f>
        <v>N</v>
      </c>
      <c r="R1304" t="str">
        <f>_xll.BDP("34683CKX Muni","MUNI_MSRB_VOLUME")</f>
        <v>#N/A N/A</v>
      </c>
      <c r="S1304" t="str">
        <f>_xll.BDP("34683CKX Muni","BB_COMPOSITE")</f>
        <v>A+</v>
      </c>
      <c r="T1304">
        <f>_xll.BDP("34683CKX Muni","LQA_LIQUIDITY_SCORE")</f>
        <v>78</v>
      </c>
    </row>
    <row r="1305" spans="1:20" x14ac:dyDescent="0.25">
      <c r="A1305" t="str">
        <f>_xll.BDP("34683DJJ Muni","ID_CUSIP")</f>
        <v>34683DJJ4</v>
      </c>
      <c r="B1305" t="s">
        <v>394</v>
      </c>
      <c r="C1305" t="str">
        <f>_xll.BDP("34683DJJ Muni","INSURANCE_STATUS")</f>
        <v>Y</v>
      </c>
      <c r="D1305" t="str">
        <f>_xll.BDP("34683DJJ Muni","STATE_CODE")</f>
        <v>TX</v>
      </c>
      <c r="E1305" t="str">
        <f>_xll.BDP("34683DJJ Muni","COUNTY_LOCATION_ISSUER")</f>
        <v>Fort Bend, TX</v>
      </c>
      <c r="F1305">
        <f>_xll.BDP("34683DJJ Muni","DUR_ADJ_MID")</f>
        <v>8.0474312174032572E-2</v>
      </c>
      <c r="G1305">
        <f>_xll.BDP("34683DJJ Muni","SPREAD_AT_ISSUANCE_TO_WORST")</f>
        <v>50.827813698630145</v>
      </c>
      <c r="H1305" t="str">
        <f>_xll.BDP("34683DJJ Muni","ISSUE_DT")</f>
        <v>12/1/2017</v>
      </c>
      <c r="I1305" t="str">
        <f>_xll.BDS("34683DJJ Muni","MUNI_PURPOSE_SCHED", "aggregate=y")</f>
        <v>WATER UTILITY IMPS. SEWER IMPS.</v>
      </c>
      <c r="J1305">
        <f>_xll.BDP("34683DJJ Muni","CPN")</f>
        <v>3</v>
      </c>
      <c r="K1305" t="str">
        <f>_xll.BDP("34683DJJ Muni","MATURITY")</f>
        <v>9/1/2022</v>
      </c>
      <c r="L1305">
        <v>200000</v>
      </c>
      <c r="M1305">
        <f>_xll.BDP("34683DJJ Muni","YIELD_ON_ISSUE_DATE")</f>
        <v>2</v>
      </c>
      <c r="N1305">
        <f>_xll.BDP("34683DJJ Muni","YTW_SPREAD_TO_MATURITY_AT_ISSU")</f>
        <v>50.827813698630145</v>
      </c>
      <c r="O1305" t="str">
        <f>_xll.BDP("34683DJJ Muni","BVAL_MID_YTM")</f>
        <v>#N/A Authorization</v>
      </c>
      <c r="P1305" t="str">
        <f>_xll.BDP("34683DJJ Muni","MUNI_TAX_PROV")</f>
        <v>FED BQ</v>
      </c>
      <c r="Q1305" t="str">
        <f>_xll.BDP("34683DJJ Muni","MUNI_FED_TAX")</f>
        <v>N</v>
      </c>
      <c r="R1305" t="str">
        <f>_xll.BDP("34683DJJ Muni","MUNI_MSRB_VOLUME")</f>
        <v>#N/A N/A</v>
      </c>
      <c r="S1305" t="str">
        <f>_xll.BDP("34683DJJ Muni","BB_COMPOSITE")</f>
        <v>A</v>
      </c>
      <c r="T1305">
        <f>_xll.BDP("34683DJJ Muni","LQA_LIQUIDITY_SCORE")</f>
        <v>99</v>
      </c>
    </row>
    <row r="1306" spans="1:20" x14ac:dyDescent="0.25">
      <c r="A1306" t="str">
        <f>_xll.BDP("34683DJK Muni","ID_CUSIP")</f>
        <v>34683DJK1</v>
      </c>
      <c r="B1306" t="s">
        <v>394</v>
      </c>
      <c r="C1306" t="str">
        <f>_xll.BDP("34683DJK Muni","INSURANCE_STATUS")</f>
        <v>Y</v>
      </c>
      <c r="D1306" t="str">
        <f>_xll.BDP("34683DJK Muni","STATE_CODE")</f>
        <v>TX</v>
      </c>
      <c r="E1306" t="str">
        <f>_xll.BDP("34683DJK Muni","COUNTY_LOCATION_ISSUER")</f>
        <v>Fort Bend, TX</v>
      </c>
      <c r="F1306">
        <f>_xll.BDP("34683DJK Muni","DUR_ADJ_MID")</f>
        <v>1.0489864773367461</v>
      </c>
      <c r="G1306">
        <f>_xll.BDP("34683DJK Muni","SPREAD_AT_ISSUANCE_TO_WORST")</f>
        <v>54.762191780821908</v>
      </c>
      <c r="H1306" t="str">
        <f>_xll.BDP("34683DJK Muni","ISSUE_DT")</f>
        <v>12/1/2017</v>
      </c>
      <c r="I1306" t="str">
        <f>_xll.BDS("34683DJK Muni","MUNI_PURPOSE_SCHED", "aggregate=y")</f>
        <v>WATER UTILITY IMPS. SEWER IMPS.</v>
      </c>
      <c r="J1306">
        <f>_xll.BDP("34683DJK Muni","CPN")</f>
        <v>3</v>
      </c>
      <c r="K1306" t="str">
        <f>_xll.BDP("34683DJK Muni","MATURITY")</f>
        <v>9/1/2023</v>
      </c>
      <c r="L1306">
        <v>200000</v>
      </c>
      <c r="M1306">
        <f>_xll.BDP("34683DJK Muni","YIELD_ON_ISSUE_DATE")</f>
        <v>2.15</v>
      </c>
      <c r="N1306">
        <f>_xll.BDP("34683DJK Muni","YTW_SPREAD_TO_MATURITY_AT_ISSU")</f>
        <v>54.762191780821908</v>
      </c>
      <c r="O1306" t="str">
        <f>_xll.BDP("34683DJK Muni","BVAL_MID_YTM")</f>
        <v>#N/A Authorization</v>
      </c>
      <c r="P1306" t="str">
        <f>_xll.BDP("34683DJK Muni","MUNI_TAX_PROV")</f>
        <v>FED BQ</v>
      </c>
      <c r="Q1306" t="str">
        <f>_xll.BDP("34683DJK Muni","MUNI_FED_TAX")</f>
        <v>N</v>
      </c>
      <c r="R1306" t="str">
        <f>_xll.BDP("34683DJK Muni","MUNI_MSRB_VOLUME")</f>
        <v>#N/A N/A</v>
      </c>
      <c r="S1306" t="str">
        <f>_xll.BDP("34683DJK Muni","BB_COMPOSITE")</f>
        <v>A</v>
      </c>
      <c r="T1306">
        <f>_xll.BDP("34683DJK Muni","LQA_LIQUIDITY_SCORE")</f>
        <v>90</v>
      </c>
    </row>
    <row r="1307" spans="1:20" x14ac:dyDescent="0.25">
      <c r="A1307" t="str">
        <f>_xll.BDP("34683DJL Muni","ID_CUSIP")</f>
        <v>34683DJL9</v>
      </c>
      <c r="B1307" t="s">
        <v>394</v>
      </c>
      <c r="C1307" t="str">
        <f>_xll.BDP("34683DJL Muni","INSURANCE_STATUS")</f>
        <v>Y</v>
      </c>
      <c r="D1307" t="str">
        <f>_xll.BDP("34683DJL Muni","STATE_CODE")</f>
        <v>TX</v>
      </c>
      <c r="E1307" t="str">
        <f>_xll.BDP("34683DJL Muni","COUNTY_LOCATION_ISSUER")</f>
        <v>Fort Bend, TX</v>
      </c>
      <c r="F1307">
        <f>_xll.BDP("34683DJL Muni","DUR_ADJ_MID")</f>
        <v>1.9879801084261959</v>
      </c>
      <c r="G1307">
        <f>_xll.BDP("34683DJL Muni","SPREAD_AT_ISSUANCE_TO_WORST")</f>
        <v>59.346947945205471</v>
      </c>
      <c r="H1307" t="str">
        <f>_xll.BDP("34683DJL Muni","ISSUE_DT")</f>
        <v>12/1/2017</v>
      </c>
      <c r="I1307" t="str">
        <f>_xll.BDS("34683DJL Muni","MUNI_PURPOSE_SCHED", "aggregate=y")</f>
        <v>WATER UTILITY IMPS. SEWER IMPS.</v>
      </c>
      <c r="J1307">
        <f>_xll.BDP("34683DJL Muni","CPN")</f>
        <v>3</v>
      </c>
      <c r="K1307" t="str">
        <f>_xll.BDP("34683DJL Muni","MATURITY")</f>
        <v>9/1/2024</v>
      </c>
      <c r="L1307">
        <v>200000</v>
      </c>
      <c r="M1307">
        <f>_xll.BDP("34683DJL Muni","YIELD_ON_ISSUE_DATE")</f>
        <v>2.3000000000000003</v>
      </c>
      <c r="N1307">
        <f>_xll.BDP("34683DJL Muni","YTW_SPREAD_TO_MATURITY_AT_ISSU")</f>
        <v>59.346947945205471</v>
      </c>
      <c r="O1307" t="str">
        <f>_xll.BDP("34683DJL Muni","BVAL_MID_YTM")</f>
        <v>#N/A Authorization</v>
      </c>
      <c r="P1307" t="str">
        <f>_xll.BDP("34683DJL Muni","MUNI_TAX_PROV")</f>
        <v>FED BQ</v>
      </c>
      <c r="Q1307" t="str">
        <f>_xll.BDP("34683DJL Muni","MUNI_FED_TAX")</f>
        <v>N</v>
      </c>
      <c r="R1307" t="str">
        <f>_xll.BDP("34683DJL Muni","MUNI_MSRB_VOLUME")</f>
        <v>#N/A N/A</v>
      </c>
      <c r="S1307" t="str">
        <f>_xll.BDP("34683DJL Muni","BB_COMPOSITE")</f>
        <v>A</v>
      </c>
      <c r="T1307">
        <f>_xll.BDP("34683DJL Muni","LQA_LIQUIDITY_SCORE")</f>
        <v>79</v>
      </c>
    </row>
    <row r="1308" spans="1:20" x14ac:dyDescent="0.25">
      <c r="A1308" t="str">
        <f>_xll.BDP("34683FED Muni","ID_CUSIP")</f>
        <v>34683FED7</v>
      </c>
      <c r="B1308" t="s">
        <v>395</v>
      </c>
      <c r="C1308" t="str">
        <f>_xll.BDP("34683FED Muni","INSURANCE_STATUS")</f>
        <v>Y</v>
      </c>
      <c r="D1308" t="str">
        <f>_xll.BDP("34683FED Muni","STATE_CODE")</f>
        <v>TX</v>
      </c>
      <c r="E1308" t="str">
        <f>_xll.BDP("34683FED Muni","COUNTY_LOCATION_ISSUER")</f>
        <v>Fort Bend, TX</v>
      </c>
      <c r="F1308">
        <f>_xll.BDP("34683FED Muni","DUR_ADJ_MID")</f>
        <v>8.0471282396918767E-2</v>
      </c>
      <c r="G1308">
        <f>_xll.BDP("34683FED Muni","SPREAD_AT_ISSUANCE_TO_WORST")</f>
        <v>47.64387945205479</v>
      </c>
      <c r="H1308" t="str">
        <f>_xll.BDP("34683FED Muni","ISSUE_DT")</f>
        <v>12/1/2017</v>
      </c>
      <c r="I1308" t="str">
        <f>_xll.BDS("34683FED Muni","MUNI_PURPOSE_SCHED", "aggregate=y")</f>
        <v>WATER UTILITY IMPS. SEWER IMPS. REFUNDING NOTES</v>
      </c>
      <c r="J1308">
        <f>_xll.BDP("34683FED Muni","CPN")</f>
        <v>2</v>
      </c>
      <c r="K1308" t="str">
        <f>_xll.BDP("34683FED Muni","MATURITY")</f>
        <v>9/1/2022</v>
      </c>
      <c r="L1308">
        <v>100000</v>
      </c>
      <c r="M1308">
        <f>_xll.BDP("34683FED Muni","YIELD_ON_ISSUE_DATE")</f>
        <v>2</v>
      </c>
      <c r="N1308">
        <f>_xll.BDP("34683FED Muni","YTW_SPREAD_TO_MATURITY_AT_ISSU")</f>
        <v>47.64387945205479</v>
      </c>
      <c r="O1308" t="str">
        <f>_xll.BDP("34683FED Muni","BVAL_MID_YTM")</f>
        <v>#N/A Authorization</v>
      </c>
      <c r="P1308" t="str">
        <f>_xll.BDP("34683FED Muni","MUNI_TAX_PROV")</f>
        <v>FED BQ</v>
      </c>
      <c r="Q1308" t="str">
        <f>_xll.BDP("34683FED Muni","MUNI_FED_TAX")</f>
        <v>N</v>
      </c>
      <c r="R1308" t="str">
        <f>_xll.BDP("34683FED Muni","MUNI_MSRB_VOLUME")</f>
        <v>#N/A N/A</v>
      </c>
      <c r="S1308" t="str">
        <f>_xll.BDP("34683FED Muni","BB_COMPOSITE")</f>
        <v>A+</v>
      </c>
      <c r="T1308">
        <f>_xll.BDP("34683FED Muni","LQA_LIQUIDITY_SCORE")</f>
        <v>96</v>
      </c>
    </row>
    <row r="1309" spans="1:20" x14ac:dyDescent="0.25">
      <c r="A1309" t="str">
        <f>_xll.BDP("34683FEE Muni","ID_CUSIP")</f>
        <v>34683FEE5</v>
      </c>
      <c r="B1309" t="s">
        <v>395</v>
      </c>
      <c r="C1309" t="str">
        <f>_xll.BDP("34683FEE Muni","INSURANCE_STATUS")</f>
        <v>Y</v>
      </c>
      <c r="D1309" t="str">
        <f>_xll.BDP("34683FEE Muni","STATE_CODE")</f>
        <v>TX</v>
      </c>
      <c r="E1309" t="str">
        <f>_xll.BDP("34683FEE Muni","COUNTY_LOCATION_ISSUER")</f>
        <v>Fort Bend, TX</v>
      </c>
      <c r="F1309">
        <f>_xll.BDP("34683FEE Muni","DUR_ADJ_MID")</f>
        <v>1.0487351237832423</v>
      </c>
      <c r="G1309">
        <f>_xll.BDP("34683FEE Muni","SPREAD_AT_ISSUANCE_TO_WORST")</f>
        <v>51.895216438356151</v>
      </c>
      <c r="H1309" t="str">
        <f>_xll.BDP("34683FEE Muni","ISSUE_DT")</f>
        <v>12/1/2017</v>
      </c>
      <c r="I1309" t="str">
        <f>_xll.BDS("34683FEE Muni","MUNI_PURPOSE_SCHED", "aggregate=y")</f>
        <v>WATER UTILITY IMPS. SEWER IMPS. REFUNDING NOTES</v>
      </c>
      <c r="J1309">
        <f>_xll.BDP("34683FEE Muni","CPN")</f>
        <v>3</v>
      </c>
      <c r="K1309" t="str">
        <f>_xll.BDP("34683FEE Muni","MATURITY")</f>
        <v>9/1/2023</v>
      </c>
      <c r="L1309">
        <v>100000</v>
      </c>
      <c r="M1309">
        <f>_xll.BDP("34683FEE Muni","YIELD_ON_ISSUE_DATE")</f>
        <v>2.15</v>
      </c>
      <c r="N1309">
        <f>_xll.BDP("34683FEE Muni","YTW_SPREAD_TO_MATURITY_AT_ISSU")</f>
        <v>51.895216438356151</v>
      </c>
      <c r="O1309" t="str">
        <f>_xll.BDP("34683FEE Muni","BVAL_MID_YTM")</f>
        <v>#N/A Authorization</v>
      </c>
      <c r="P1309" t="str">
        <f>_xll.BDP("34683FEE Muni","MUNI_TAX_PROV")</f>
        <v>FED BQ</v>
      </c>
      <c r="Q1309" t="str">
        <f>_xll.BDP("34683FEE Muni","MUNI_FED_TAX")</f>
        <v>N</v>
      </c>
      <c r="R1309" t="str">
        <f>_xll.BDP("34683FEE Muni","MUNI_MSRB_VOLUME")</f>
        <v>#N/A N/A</v>
      </c>
      <c r="S1309" t="str">
        <f>_xll.BDP("34683FEE Muni","BB_COMPOSITE")</f>
        <v>A+</v>
      </c>
      <c r="T1309">
        <f>_xll.BDP("34683FEE Muni","LQA_LIQUIDITY_SCORE")</f>
        <v>88</v>
      </c>
    </row>
    <row r="1310" spans="1:20" x14ac:dyDescent="0.25">
      <c r="A1310" t="str">
        <f>_xll.BDP("34683FEF Muni","ID_CUSIP")</f>
        <v>34683FEF2</v>
      </c>
      <c r="B1310" t="s">
        <v>395</v>
      </c>
      <c r="C1310" t="str">
        <f>_xll.BDP("34683FEF Muni","INSURANCE_STATUS")</f>
        <v>Y</v>
      </c>
      <c r="D1310" t="str">
        <f>_xll.BDP("34683FEF Muni","STATE_CODE")</f>
        <v>TX</v>
      </c>
      <c r="E1310" t="str">
        <f>_xll.BDP("34683FEF Muni","COUNTY_LOCATION_ISSUER")</f>
        <v>Fort Bend, TX</v>
      </c>
      <c r="F1310">
        <f>_xll.BDP("34683FEF Muni","DUR_ADJ_MID")</f>
        <v>1.9873851109531884</v>
      </c>
      <c r="G1310">
        <f>_xll.BDP("34683FEF Muni","SPREAD_AT_ISSUANCE_TO_WORST")</f>
        <v>56.84104109589039</v>
      </c>
      <c r="H1310" t="str">
        <f>_xll.BDP("34683FEF Muni","ISSUE_DT")</f>
        <v>12/1/2017</v>
      </c>
      <c r="I1310" t="str">
        <f>_xll.BDS("34683FEF Muni","MUNI_PURPOSE_SCHED", "aggregate=y")</f>
        <v>WATER UTILITY IMPS. SEWER IMPS. REFUNDING NOTES</v>
      </c>
      <c r="J1310">
        <f>_xll.BDP("34683FEF Muni","CPN")</f>
        <v>3</v>
      </c>
      <c r="K1310" t="str">
        <f>_xll.BDP("34683FEF Muni","MATURITY")</f>
        <v>9/1/2024</v>
      </c>
      <c r="L1310">
        <v>100000</v>
      </c>
      <c r="M1310">
        <f>_xll.BDP("34683FEF Muni","YIELD_ON_ISSUE_DATE")</f>
        <v>2.3000000000000003</v>
      </c>
      <c r="N1310">
        <f>_xll.BDP("34683FEF Muni","YTW_SPREAD_TO_MATURITY_AT_ISSU")</f>
        <v>56.84104109589039</v>
      </c>
      <c r="O1310" t="str">
        <f>_xll.BDP("34683FEF Muni","BVAL_MID_YTM")</f>
        <v>#N/A Authorization</v>
      </c>
      <c r="P1310" t="str">
        <f>_xll.BDP("34683FEF Muni","MUNI_TAX_PROV")</f>
        <v>FED BQ</v>
      </c>
      <c r="Q1310" t="str">
        <f>_xll.BDP("34683FEF Muni","MUNI_FED_TAX")</f>
        <v>N</v>
      </c>
      <c r="R1310" t="str">
        <f>_xll.BDP("34683FEF Muni","MUNI_MSRB_VOLUME")</f>
        <v>#N/A N/A</v>
      </c>
      <c r="S1310" t="str">
        <f>_xll.BDP("34683FEF Muni","BB_COMPOSITE")</f>
        <v>A+</v>
      </c>
      <c r="T1310">
        <f>_xll.BDP("34683FEF Muni","LQA_LIQUIDITY_SCORE")</f>
        <v>77</v>
      </c>
    </row>
    <row r="1311" spans="1:20" x14ac:dyDescent="0.25">
      <c r="A1311" t="str">
        <f>_xll.BDP("34683FEG Muni","ID_CUSIP")</f>
        <v>34683FEG0</v>
      </c>
      <c r="B1311" t="s">
        <v>395</v>
      </c>
      <c r="C1311" t="str">
        <f>_xll.BDP("34683FEG Muni","INSURANCE_STATUS")</f>
        <v>Y</v>
      </c>
      <c r="D1311" t="str">
        <f>_xll.BDP("34683FEG Muni","STATE_CODE")</f>
        <v>TX</v>
      </c>
      <c r="E1311" t="str">
        <f>_xll.BDP("34683FEG Muni","COUNTY_LOCATION_ISSUER")</f>
        <v>Fort Bend, TX</v>
      </c>
      <c r="F1311">
        <f>_xll.BDP("34683FEG Muni","DUR_ADJ_MID")</f>
        <v>2.8989422282334218</v>
      </c>
      <c r="G1311">
        <f>_xll.BDP("34683FEG Muni","SPREAD_AT_ISSUANCE_TO_WORST")</f>
        <v>61.091904109589045</v>
      </c>
      <c r="H1311" t="str">
        <f>_xll.BDP("34683FEG Muni","ISSUE_DT")</f>
        <v>12/1/2017</v>
      </c>
      <c r="I1311" t="str">
        <f>_xll.BDS("34683FEG Muni","MUNI_PURPOSE_SCHED", "aggregate=y")</f>
        <v>WATER UTILITY IMPS. SEWER IMPS. REFUNDING NOTES</v>
      </c>
      <c r="J1311">
        <f>_xll.BDP("34683FEG Muni","CPN")</f>
        <v>3</v>
      </c>
      <c r="K1311" t="str">
        <f>_xll.BDP("34683FEG Muni","MATURITY")</f>
        <v>9/1/2025</v>
      </c>
      <c r="L1311">
        <v>100000</v>
      </c>
      <c r="M1311">
        <f>_xll.BDP("34683FEG Muni","YIELD_ON_ISSUE_DATE")</f>
        <v>2.4500000000000002</v>
      </c>
      <c r="N1311">
        <f>_xll.BDP("34683FEG Muni","YTW_SPREAD_TO_MATURITY_AT_ISSU")</f>
        <v>61.091904109589045</v>
      </c>
      <c r="O1311" t="str">
        <f>_xll.BDP("34683FEG Muni","BVAL_MID_YTM")</f>
        <v>#N/A Authorization</v>
      </c>
      <c r="P1311" t="str">
        <f>_xll.BDP("34683FEG Muni","MUNI_TAX_PROV")</f>
        <v>FED BQ</v>
      </c>
      <c r="Q1311" t="str">
        <f>_xll.BDP("34683FEG Muni","MUNI_FED_TAX")</f>
        <v>N</v>
      </c>
      <c r="R1311" t="str">
        <f>_xll.BDP("34683FEG Muni","MUNI_MSRB_VOLUME")</f>
        <v>#N/A N/A</v>
      </c>
      <c r="S1311" t="str">
        <f>_xll.BDP("34683FEG Muni","BB_COMPOSITE")</f>
        <v>A+</v>
      </c>
      <c r="T1311">
        <f>_xll.BDP("34683FEG Muni","LQA_LIQUIDITY_SCORE")</f>
        <v>67</v>
      </c>
    </row>
    <row r="1312" spans="1:20" x14ac:dyDescent="0.25">
      <c r="A1312" t="str">
        <f>_xll.BDP("34683JAD Muni","ID_CUSIP")</f>
        <v>34683JAD3</v>
      </c>
      <c r="B1312" t="s">
        <v>396</v>
      </c>
      <c r="C1312" t="str">
        <f>_xll.BDP("34683JAD Muni","INSURANCE_STATUS")</f>
        <v>N</v>
      </c>
      <c r="D1312" t="str">
        <f>_xll.BDP("34683JAD Muni","STATE_CODE")</f>
        <v>TX</v>
      </c>
      <c r="E1312" t="str">
        <f>_xll.BDP("34683JAD Muni","COUNTY_LOCATION_ISSUER")</f>
        <v>Fort Bend, TX</v>
      </c>
      <c r="F1312">
        <f>_xll.BDP("34683JAD Muni","DUR_ADJ_MID")</f>
        <v>8.0470542332712641E-2</v>
      </c>
      <c r="G1312">
        <f>_xll.BDP("34683JAD Muni","SPREAD_AT_ISSUANCE_TO_WORST")</f>
        <v>82.50396463777237</v>
      </c>
      <c r="H1312" t="str">
        <f>_xll.BDP("34683JAD Muni","ISSUE_DT")</f>
        <v>2/1/2017</v>
      </c>
      <c r="I1312" t="str">
        <f>_xll.BDS("34683JAD Muni","MUNI_PURPOSE_SCHED", "aggregate=y")</f>
        <v>WATER UTILITY IMPS. SEWER IMPS. REFUNDING NOTES</v>
      </c>
      <c r="J1312">
        <f>_xll.BDP("34683JAD Muni","CPN")</f>
        <v>3</v>
      </c>
      <c r="K1312" t="str">
        <f>_xll.BDP("34683JAD Muni","MATURITY")</f>
        <v>9/1/2022</v>
      </c>
      <c r="L1312">
        <v>285000</v>
      </c>
      <c r="M1312">
        <f>_xll.BDP("34683JAD Muni","YIELD_ON_ISSUE_DATE")</f>
        <v>2.6</v>
      </c>
      <c r="N1312">
        <f>_xll.BDP("34683JAD Muni","YTW_SPREAD_TO_MATURITY_AT_ISSU")</f>
        <v>82.50396463777237</v>
      </c>
      <c r="O1312" t="str">
        <f>_xll.BDP("34683JAD Muni","BVAL_MID_YTM")</f>
        <v>#N/A Authorization</v>
      </c>
      <c r="P1312" t="str">
        <f>_xll.BDP("34683JAD Muni","MUNI_TAX_PROV")</f>
        <v>FED TAX-EXEMPT</v>
      </c>
      <c r="Q1312" t="str">
        <f>_xll.BDP("34683JAD Muni","MUNI_FED_TAX")</f>
        <v>N</v>
      </c>
      <c r="R1312" t="str">
        <f>_xll.BDP("34683JAD Muni","MUNI_MSRB_VOLUME")</f>
        <v>#N/A N/A</v>
      </c>
      <c r="S1312" t="str">
        <f>_xll.BDP("34683JAD Muni","BB_COMPOSITE")</f>
        <v>#N/A N/A</v>
      </c>
      <c r="T1312">
        <f>_xll.BDP("34683JAD Muni","LQA_LIQUIDITY_SCORE")</f>
        <v>95</v>
      </c>
    </row>
    <row r="1313" spans="1:20" x14ac:dyDescent="0.25">
      <c r="A1313" t="str">
        <f>_xll.BDP("34683JAE Muni","ID_CUSIP")</f>
        <v>34683JAE1</v>
      </c>
      <c r="B1313" t="s">
        <v>396</v>
      </c>
      <c r="C1313" t="str">
        <f>_xll.BDP("34683JAE Muni","INSURANCE_STATUS")</f>
        <v>N</v>
      </c>
      <c r="D1313" t="str">
        <f>_xll.BDP("34683JAE Muni","STATE_CODE")</f>
        <v>TX</v>
      </c>
      <c r="E1313" t="str">
        <f>_xll.BDP("34683JAE Muni","COUNTY_LOCATION_ISSUER")</f>
        <v>Fort Bend, TX</v>
      </c>
      <c r="F1313">
        <f>_xll.BDP("34683JAE Muni","DUR_ADJ_MID")</f>
        <v>1.0486793969766279</v>
      </c>
      <c r="G1313">
        <f>_xll.BDP("34683JAE Muni","SPREAD_AT_ISSUANCE_TO_WORST")</f>
        <v>89.811529796558105</v>
      </c>
      <c r="H1313" t="str">
        <f>_xll.BDP("34683JAE Muni","ISSUE_DT")</f>
        <v>2/1/2017</v>
      </c>
      <c r="I1313" t="str">
        <f>_xll.BDS("34683JAE Muni","MUNI_PURPOSE_SCHED", "aggregate=y")</f>
        <v>WATER UTILITY IMPS. SEWER IMPS. REFUNDING NOTES</v>
      </c>
      <c r="J1313">
        <f>_xll.BDP("34683JAE Muni","CPN")</f>
        <v>3</v>
      </c>
      <c r="K1313" t="str">
        <f>_xll.BDP("34683JAE Muni","MATURITY")</f>
        <v>9/1/2023</v>
      </c>
      <c r="L1313">
        <v>300000</v>
      </c>
      <c r="M1313">
        <f>_xll.BDP("34683JAE Muni","YIELD_ON_ISSUE_DATE")</f>
        <v>2.8000000000000003</v>
      </c>
      <c r="N1313">
        <f>_xll.BDP("34683JAE Muni","YTW_SPREAD_TO_MATURITY_AT_ISSU")</f>
        <v>89.811529796558105</v>
      </c>
      <c r="O1313" t="str">
        <f>_xll.BDP("34683JAE Muni","BVAL_MID_YTM")</f>
        <v>#N/A Authorization</v>
      </c>
      <c r="P1313" t="str">
        <f>_xll.BDP("34683JAE Muni","MUNI_TAX_PROV")</f>
        <v>FED TAX-EXEMPT</v>
      </c>
      <c r="Q1313" t="str">
        <f>_xll.BDP("34683JAE Muni","MUNI_FED_TAX")</f>
        <v>N</v>
      </c>
      <c r="R1313" t="str">
        <f>_xll.BDP("34683JAE Muni","MUNI_MSRB_VOLUME")</f>
        <v>#N/A N/A</v>
      </c>
      <c r="S1313" t="str">
        <f>_xll.BDP("34683JAE Muni","BB_COMPOSITE")</f>
        <v>#N/A N/A</v>
      </c>
      <c r="T1313">
        <f>_xll.BDP("34683JAE Muni","LQA_LIQUIDITY_SCORE")</f>
        <v>73</v>
      </c>
    </row>
    <row r="1314" spans="1:20" x14ac:dyDescent="0.25">
      <c r="A1314" t="str">
        <f>_xll.BDP("34683JAF Muni","ID_CUSIP")</f>
        <v>34683JAF8</v>
      </c>
      <c r="B1314" t="s">
        <v>396</v>
      </c>
      <c r="C1314" t="str">
        <f>_xll.BDP("34683JAF Muni","INSURANCE_STATUS")</f>
        <v>N</v>
      </c>
      <c r="D1314" t="str">
        <f>_xll.BDP("34683JAF Muni","STATE_CODE")</f>
        <v>TX</v>
      </c>
      <c r="E1314" t="str">
        <f>_xll.BDP("34683JAF Muni","COUNTY_LOCATION_ISSUER")</f>
        <v>Fort Bend, TX</v>
      </c>
      <c r="F1314">
        <f>_xll.BDP("34683JAF Muni","DUR_ADJ_MID")</f>
        <v>1.9873334733966641</v>
      </c>
      <c r="G1314">
        <f>_xll.BDP("34683JAF Muni","SPREAD_AT_ISSUANCE_TO_WORST")</f>
        <v>97.202040387753641</v>
      </c>
      <c r="H1314" t="str">
        <f>_xll.BDP("34683JAF Muni","ISSUE_DT")</f>
        <v>2/1/2017</v>
      </c>
      <c r="I1314" t="str">
        <f>_xll.BDS("34683JAF Muni","MUNI_PURPOSE_SCHED", "aggregate=y")</f>
        <v>WATER UTILITY IMPS. SEWER IMPS. REFUNDING NOTES</v>
      </c>
      <c r="J1314">
        <f>_xll.BDP("34683JAF Muni","CPN")</f>
        <v>3</v>
      </c>
      <c r="K1314" t="str">
        <f>_xll.BDP("34683JAF Muni","MATURITY")</f>
        <v>9/1/2024</v>
      </c>
      <c r="L1314">
        <v>315000</v>
      </c>
      <c r="M1314">
        <f>_xll.BDP("34683JAF Muni","YIELD_ON_ISSUE_DATE")</f>
        <v>3</v>
      </c>
      <c r="N1314">
        <f>_xll.BDP("34683JAF Muni","YTW_SPREAD_TO_MATURITY_AT_ISSU")</f>
        <v>97.202040387753641</v>
      </c>
      <c r="O1314" t="str">
        <f>_xll.BDP("34683JAF Muni","BVAL_MID_YTM")</f>
        <v>#N/A Authorization</v>
      </c>
      <c r="P1314" t="str">
        <f>_xll.BDP("34683JAF Muni","MUNI_TAX_PROV")</f>
        <v>FED TAX-EXEMPT</v>
      </c>
      <c r="Q1314" t="str">
        <f>_xll.BDP("34683JAF Muni","MUNI_FED_TAX")</f>
        <v>N</v>
      </c>
      <c r="R1314" t="str">
        <f>_xll.BDP("34683JAF Muni","MUNI_MSRB_VOLUME")</f>
        <v>#N/A N/A</v>
      </c>
      <c r="S1314" t="str">
        <f>_xll.BDP("34683JAF Muni","BB_COMPOSITE")</f>
        <v>#N/A N/A</v>
      </c>
      <c r="T1314">
        <f>_xll.BDP("34683JAF Muni","LQA_LIQUIDITY_SCORE")</f>
        <v>58</v>
      </c>
    </row>
    <row r="1315" spans="1:20" x14ac:dyDescent="0.25">
      <c r="A1315" t="str">
        <f>_xll.BDP("34683JBD Muni","ID_CUSIP")</f>
        <v>34683JBD2</v>
      </c>
      <c r="B1315" t="s">
        <v>396</v>
      </c>
      <c r="C1315" t="str">
        <f>_xll.BDP("34683JBD Muni","INSURANCE_STATUS")</f>
        <v>Y</v>
      </c>
      <c r="D1315" t="str">
        <f>_xll.BDP("34683JBD Muni","STATE_CODE")</f>
        <v>TX</v>
      </c>
      <c r="E1315" t="str">
        <f>_xll.BDP("34683JBD Muni","COUNTY_LOCATION_ISSUER")</f>
        <v>Fort Bend, TX</v>
      </c>
      <c r="F1315">
        <f>_xll.BDP("34683JBD Muni","DUR_ADJ_MID")</f>
        <v>8.0486868347176624E-2</v>
      </c>
      <c r="G1315">
        <f>_xll.BDP("34683JBD Muni","SPREAD_AT_ISSUANCE_TO_WORST")</f>
        <v>57.045835616438346</v>
      </c>
      <c r="H1315" t="str">
        <f>_xll.BDP("34683JBD Muni","ISSUE_DT")</f>
        <v>12/1/2017</v>
      </c>
      <c r="I1315" t="str">
        <f>_xll.BDS("34683JBD Muni","MUNI_PURPOSE_SCHED", "aggregate=y")</f>
        <v>REFUNDING NOTES WATER UTILITY IMPS. SEWER IMPS.</v>
      </c>
      <c r="J1315">
        <f>_xll.BDP("34683JBD Muni","CPN")</f>
        <v>4</v>
      </c>
      <c r="K1315" t="str">
        <f>_xll.BDP("34683JBD Muni","MATURITY")</f>
        <v>9/1/2022</v>
      </c>
      <c r="L1315">
        <v>305000</v>
      </c>
      <c r="M1315">
        <f>_xll.BDP("34683JBD Muni","YIELD_ON_ISSUE_DATE")</f>
        <v>2</v>
      </c>
      <c r="N1315">
        <f>_xll.BDP("34683JBD Muni","YTW_SPREAD_TO_MATURITY_AT_ISSU")</f>
        <v>57.045835616438346</v>
      </c>
      <c r="O1315" t="str">
        <f>_xll.BDP("34683JBD Muni","BVAL_MID_YTM")</f>
        <v>#N/A Authorization</v>
      </c>
      <c r="P1315" t="str">
        <f>_xll.BDP("34683JBD Muni","MUNI_TAX_PROV")</f>
        <v>FED TAX-EXEMPT</v>
      </c>
      <c r="Q1315" t="str">
        <f>_xll.BDP("34683JBD Muni","MUNI_FED_TAX")</f>
        <v>N</v>
      </c>
      <c r="R1315" t="str">
        <f>_xll.BDP("34683JBD Muni","MUNI_MSRB_VOLUME")</f>
        <v>#N/A N/A</v>
      </c>
      <c r="S1315" t="str">
        <f>_xll.BDP("34683JBD Muni","BB_COMPOSITE")</f>
        <v>#N/A N/A</v>
      </c>
      <c r="T1315">
        <f>_xll.BDP("34683JBD Muni","LQA_LIQUIDITY_SCORE")</f>
        <v>95</v>
      </c>
    </row>
    <row r="1316" spans="1:20" x14ac:dyDescent="0.25">
      <c r="A1316" t="str">
        <f>_xll.BDP("34683JBE Muni","ID_CUSIP")</f>
        <v>34683JBE0</v>
      </c>
      <c r="B1316" t="s">
        <v>396</v>
      </c>
      <c r="C1316" t="str">
        <f>_xll.BDP("34683JBE Muni","INSURANCE_STATUS")</f>
        <v>Y</v>
      </c>
      <c r="D1316" t="str">
        <f>_xll.BDP("34683JBE Muni","STATE_CODE")</f>
        <v>TX</v>
      </c>
      <c r="E1316" t="str">
        <f>_xll.BDP("34683JBE Muni","COUNTY_LOCATION_ISSUER")</f>
        <v>Fort Bend, TX</v>
      </c>
      <c r="F1316">
        <f>_xll.BDP("34683JBE Muni","DUR_ADJ_MID")</f>
        <v>1.0432261761061727</v>
      </c>
      <c r="G1316">
        <f>_xll.BDP("34683JBE Muni","SPREAD_AT_ISSUANCE_TO_WORST")</f>
        <v>59.91265753424657</v>
      </c>
      <c r="H1316" t="str">
        <f>_xll.BDP("34683JBE Muni","ISSUE_DT")</f>
        <v>12/1/2017</v>
      </c>
      <c r="I1316" t="str">
        <f>_xll.BDS("34683JBE Muni","MUNI_PURPOSE_SCHED", "aggregate=y")</f>
        <v>REFUNDING NOTES WATER UTILITY IMPS. SEWER IMPS.</v>
      </c>
      <c r="J1316">
        <f>_xll.BDP("34683JBE Muni","CPN")</f>
        <v>4</v>
      </c>
      <c r="K1316" t="str">
        <f>_xll.BDP("34683JBE Muni","MATURITY")</f>
        <v>9/1/2023</v>
      </c>
      <c r="L1316">
        <v>310000</v>
      </c>
      <c r="M1316">
        <f>_xll.BDP("34683JBE Muni","YIELD_ON_ISSUE_DATE")</f>
        <v>2.15</v>
      </c>
      <c r="N1316">
        <f>_xll.BDP("34683JBE Muni","YTW_SPREAD_TO_MATURITY_AT_ISSU")</f>
        <v>59.91265753424657</v>
      </c>
      <c r="O1316" t="str">
        <f>_xll.BDP("34683JBE Muni","BVAL_MID_YTM")</f>
        <v>#N/A Authorization</v>
      </c>
      <c r="P1316" t="str">
        <f>_xll.BDP("34683JBE Muni","MUNI_TAX_PROV")</f>
        <v>FED TAX-EXEMPT</v>
      </c>
      <c r="Q1316" t="str">
        <f>_xll.BDP("34683JBE Muni","MUNI_FED_TAX")</f>
        <v>N</v>
      </c>
      <c r="R1316" t="str">
        <f>_xll.BDP("34683JBE Muni","MUNI_MSRB_VOLUME")</f>
        <v>#N/A N/A</v>
      </c>
      <c r="S1316" t="str">
        <f>_xll.BDP("34683JBE Muni","BB_COMPOSITE")</f>
        <v>#N/A N/A</v>
      </c>
      <c r="T1316">
        <f>_xll.BDP("34683JBE Muni","LQA_LIQUIDITY_SCORE")</f>
        <v>90</v>
      </c>
    </row>
    <row r="1317" spans="1:20" x14ac:dyDescent="0.25">
      <c r="A1317" t="str">
        <f>_xll.BDP("34683JBF Muni","ID_CUSIP")</f>
        <v>34683JBF7</v>
      </c>
      <c r="B1317" t="s">
        <v>396</v>
      </c>
      <c r="C1317" t="str">
        <f>_xll.BDP("34683JBF Muni","INSURANCE_STATUS")</f>
        <v>Y</v>
      </c>
      <c r="D1317" t="str">
        <f>_xll.BDP("34683JBF Muni","STATE_CODE")</f>
        <v>TX</v>
      </c>
      <c r="E1317" t="str">
        <f>_xll.BDP("34683JBF Muni","COUNTY_LOCATION_ISSUER")</f>
        <v>Fort Bend, TX</v>
      </c>
      <c r="F1317">
        <f>_xll.BDP("34683JBF Muni","DUR_ADJ_MID")</f>
        <v>1.9685694646969794</v>
      </c>
      <c r="G1317">
        <f>_xll.BDP("34683JBF Muni","SPREAD_AT_ISSUANCE_TO_WORST")</f>
        <v>62.432164383561627</v>
      </c>
      <c r="H1317" t="str">
        <f>_xll.BDP("34683JBF Muni","ISSUE_DT")</f>
        <v>12/1/2017</v>
      </c>
      <c r="I1317" t="str">
        <f>_xll.BDS("34683JBF Muni","MUNI_PURPOSE_SCHED", "aggregate=y")</f>
        <v>REFUNDING NOTES WATER UTILITY IMPS. SEWER IMPS.</v>
      </c>
      <c r="J1317">
        <f>_xll.BDP("34683JBF Muni","CPN")</f>
        <v>4</v>
      </c>
      <c r="K1317" t="str">
        <f>_xll.BDP("34683JBF Muni","MATURITY")</f>
        <v>9/1/2024</v>
      </c>
      <c r="L1317">
        <v>315000</v>
      </c>
      <c r="M1317">
        <f>_xll.BDP("34683JBF Muni","YIELD_ON_ISSUE_DATE")</f>
        <v>2.3000000000000003</v>
      </c>
      <c r="N1317">
        <f>_xll.BDP("34683JBF Muni","YTW_SPREAD_TO_MATURITY_AT_ISSU")</f>
        <v>62.432164383561627</v>
      </c>
      <c r="O1317" t="str">
        <f>_xll.BDP("34683JBF Muni","BVAL_MID_YTM")</f>
        <v>#N/A Authorization</v>
      </c>
      <c r="P1317" t="str">
        <f>_xll.BDP("34683JBF Muni","MUNI_TAX_PROV")</f>
        <v>FED TAX-EXEMPT</v>
      </c>
      <c r="Q1317" t="str">
        <f>_xll.BDP("34683JBF Muni","MUNI_FED_TAX")</f>
        <v>N</v>
      </c>
      <c r="R1317" t="str">
        <f>_xll.BDP("34683JBF Muni","MUNI_MSRB_VOLUME")</f>
        <v>#N/A N/A</v>
      </c>
      <c r="S1317" t="str">
        <f>_xll.BDP("34683JBF Muni","BB_COMPOSITE")</f>
        <v>#N/A N/A</v>
      </c>
      <c r="T1317">
        <f>_xll.BDP("34683JBF Muni","LQA_LIQUIDITY_SCORE")</f>
        <v>80</v>
      </c>
    </row>
    <row r="1318" spans="1:20" x14ac:dyDescent="0.25">
      <c r="A1318" t="str">
        <f>_xll.BDP("34683JBG Muni","ID_CUSIP")</f>
        <v>34683JBG5</v>
      </c>
      <c r="B1318" t="s">
        <v>396</v>
      </c>
      <c r="C1318" t="str">
        <f>_xll.BDP("34683JBG Muni","INSURANCE_STATUS")</f>
        <v>Y</v>
      </c>
      <c r="D1318" t="str">
        <f>_xll.BDP("34683JBG Muni","STATE_CODE")</f>
        <v>TX</v>
      </c>
      <c r="E1318" t="str">
        <f>_xll.BDP("34683JBG Muni","COUNTY_LOCATION_ISSUER")</f>
        <v>Fort Bend, TX</v>
      </c>
      <c r="F1318">
        <f>_xll.BDP("34683JBG Muni","DUR_ADJ_MID")</f>
        <v>2.9033359910256062</v>
      </c>
      <c r="G1318">
        <f>_xll.BDP("34683JBG Muni","SPREAD_AT_ISSUANCE_TO_WORST")</f>
        <v>69.865156164383563</v>
      </c>
      <c r="H1318" t="str">
        <f>_xll.BDP("34683JBG Muni","ISSUE_DT")</f>
        <v>12/1/2017</v>
      </c>
      <c r="I1318" t="str">
        <f>_xll.BDS("34683JBG Muni","MUNI_PURPOSE_SCHED", "aggregate=y")</f>
        <v>REFUNDING NOTES WATER UTILITY IMPS. SEWER IMPS.</v>
      </c>
      <c r="J1318">
        <f>_xll.BDP("34683JBG Muni","CPN")</f>
        <v>3</v>
      </c>
      <c r="K1318" t="str">
        <f>_xll.BDP("34683JBG Muni","MATURITY")</f>
        <v>9/1/2025</v>
      </c>
      <c r="L1318">
        <v>325000</v>
      </c>
      <c r="M1318">
        <f>_xll.BDP("34683JBG Muni","YIELD_ON_ISSUE_DATE")</f>
        <v>2.5</v>
      </c>
      <c r="N1318">
        <f>_xll.BDP("34683JBG Muni","YTW_SPREAD_TO_MATURITY_AT_ISSU")</f>
        <v>69.865156164383563</v>
      </c>
      <c r="O1318" t="str">
        <f>_xll.BDP("34683JBG Muni","BVAL_MID_YTM")</f>
        <v>#N/A Authorization</v>
      </c>
      <c r="P1318" t="str">
        <f>_xll.BDP("34683JBG Muni","MUNI_TAX_PROV")</f>
        <v>FED TAX-EXEMPT</v>
      </c>
      <c r="Q1318" t="str">
        <f>_xll.BDP("34683JBG Muni","MUNI_FED_TAX")</f>
        <v>N</v>
      </c>
      <c r="R1318" t="str">
        <f>_xll.BDP("34683JBG Muni","MUNI_MSRB_VOLUME")</f>
        <v>#N/A N/A</v>
      </c>
      <c r="S1318" t="str">
        <f>_xll.BDP("34683JBG Muni","BB_COMPOSITE")</f>
        <v>#N/A N/A</v>
      </c>
      <c r="T1318">
        <f>_xll.BDP("34683JBG Muni","LQA_LIQUIDITY_SCORE")</f>
        <v>58</v>
      </c>
    </row>
    <row r="1319" spans="1:20" x14ac:dyDescent="0.25">
      <c r="A1319" t="str">
        <f>_xll.BDP("430434YH Muni","ID_CUSIP")</f>
        <v>430434YH7</v>
      </c>
      <c r="B1319" t="s">
        <v>397</v>
      </c>
      <c r="C1319" t="str">
        <f>_xll.BDP("430434YH Muni","INSURANCE_STATUS")</f>
        <v>N</v>
      </c>
      <c r="D1319" t="str">
        <f>_xll.BDP("430434YH Muni","STATE_CODE")</f>
        <v>IL</v>
      </c>
      <c r="E1319" t="str">
        <f>_xll.BDP("430434YH Muni","COUNTY_LOCATION_ISSUER")</f>
        <v>Lake, IL</v>
      </c>
      <c r="F1319">
        <f>_xll.BDP("430434YH Muni","DUR_ADJ_MID")</f>
        <v>0.40919171570069984</v>
      </c>
      <c r="G1319">
        <f>_xll.BDP("430434YH Muni","SPREAD_AT_ISSUANCE_TO_WORST")</f>
        <v>32.350371401678736</v>
      </c>
      <c r="H1319" t="str">
        <f>_xll.BDP("430434YH Muni","ISSUE_DT")</f>
        <v>2/7/2017</v>
      </c>
      <c r="I1319" t="str">
        <f>_xll.BDS("430434YH Muni","MUNI_PURPOSE_SCHED", "aggregate=y")</f>
        <v>WATER UTILITY IMPS. PUBLIC IMPS.</v>
      </c>
      <c r="J1319">
        <f>_xll.BDP("430434YH Muni","CPN")</f>
        <v>3</v>
      </c>
      <c r="K1319" t="str">
        <f>_xll.BDP("430434YH Muni","MATURITY")</f>
        <v>12/30/2022</v>
      </c>
      <c r="L1319">
        <v>225000</v>
      </c>
      <c r="M1319">
        <f>_xll.BDP("430434YH Muni","YIELD_ON_ISSUE_DATE")</f>
        <v>2.15</v>
      </c>
      <c r="N1319">
        <f>_xll.BDP("430434YH Muni","YTW_SPREAD_TO_MATURITY_AT_ISSU")</f>
        <v>32.350371401678736</v>
      </c>
      <c r="O1319" t="str">
        <f>_xll.BDP("430434YH Muni","BVAL_MID_YTM")</f>
        <v>#N/A Authorization</v>
      </c>
      <c r="P1319" t="str">
        <f>_xll.BDP("430434YH Muni","MUNI_TAX_PROV")</f>
        <v>FED BQ/ST TAXABLE</v>
      </c>
      <c r="Q1319" t="str">
        <f>_xll.BDP("430434YH Muni","MUNI_FED_TAX")</f>
        <v>N</v>
      </c>
      <c r="R1319" t="str">
        <f>_xll.BDP("430434YH Muni","MUNI_MSRB_VOLUME")</f>
        <v>#N/A N/A</v>
      </c>
      <c r="S1319" t="str">
        <f>_xll.BDP("430434YH Muni","BB_COMPOSITE")</f>
        <v>#N/A N/A</v>
      </c>
      <c r="T1319">
        <f>_xll.BDP("430434YH Muni","LQA_LIQUIDITY_SCORE")</f>
        <v>97</v>
      </c>
    </row>
    <row r="1320" spans="1:20" x14ac:dyDescent="0.25">
      <c r="A1320" t="str">
        <f>_xll.BDP("430434YJ Muni","ID_CUSIP")</f>
        <v>430434YJ3</v>
      </c>
      <c r="B1320" t="s">
        <v>397</v>
      </c>
      <c r="C1320" t="str">
        <f>_xll.BDP("430434YJ Muni","INSURANCE_STATUS")</f>
        <v>N</v>
      </c>
      <c r="D1320" t="str">
        <f>_xll.BDP("430434YJ Muni","STATE_CODE")</f>
        <v>IL</v>
      </c>
      <c r="E1320" t="str">
        <f>_xll.BDP("430434YJ Muni","COUNTY_LOCATION_ISSUER")</f>
        <v>Lake, IL</v>
      </c>
      <c r="F1320">
        <f>_xll.BDP("430434YJ Muni","DUR_ADJ_MID")</f>
        <v>1.3773500595737127</v>
      </c>
      <c r="G1320">
        <f>_xll.BDP("430434YJ Muni","SPREAD_AT_ISSUANCE_TO_WORST")</f>
        <v>38.724366394051856</v>
      </c>
      <c r="H1320" t="str">
        <f>_xll.BDP("430434YJ Muni","ISSUE_DT")</f>
        <v>2/7/2017</v>
      </c>
      <c r="I1320" t="str">
        <f>_xll.BDS("430434YJ Muni","MUNI_PURPOSE_SCHED", "aggregate=y")</f>
        <v>WATER UTILITY IMPS. PUBLIC IMPS.</v>
      </c>
      <c r="J1320">
        <f>_xll.BDP("430434YJ Muni","CPN")</f>
        <v>3</v>
      </c>
      <c r="K1320" t="str">
        <f>_xll.BDP("430434YJ Muni","MATURITY")</f>
        <v>12/30/2023</v>
      </c>
      <c r="L1320">
        <v>235000</v>
      </c>
      <c r="M1320">
        <f>_xll.BDP("430434YJ Muni","YIELD_ON_ISSUE_DATE")</f>
        <v>2.35</v>
      </c>
      <c r="N1320">
        <f>_xll.BDP("430434YJ Muni","YTW_SPREAD_TO_MATURITY_AT_ISSU")</f>
        <v>38.724366394051856</v>
      </c>
      <c r="O1320" t="str">
        <f>_xll.BDP("430434YJ Muni","BVAL_MID_YTM")</f>
        <v>#N/A Authorization</v>
      </c>
      <c r="P1320" t="str">
        <f>_xll.BDP("430434YJ Muni","MUNI_TAX_PROV")</f>
        <v>FED BQ/ST TAXABLE</v>
      </c>
      <c r="Q1320" t="str">
        <f>_xll.BDP("430434YJ Muni","MUNI_FED_TAX")</f>
        <v>N</v>
      </c>
      <c r="R1320" t="str">
        <f>_xll.BDP("430434YJ Muni","MUNI_MSRB_VOLUME")</f>
        <v>#N/A N/A</v>
      </c>
      <c r="S1320" t="str">
        <f>_xll.BDP("430434YJ Muni","BB_COMPOSITE")</f>
        <v>#N/A N/A</v>
      </c>
      <c r="T1320">
        <f>_xll.BDP("430434YJ Muni","LQA_LIQUIDITY_SCORE")</f>
        <v>87</v>
      </c>
    </row>
    <row r="1321" spans="1:20" x14ac:dyDescent="0.25">
      <c r="A1321" t="str">
        <f>_xll.BDP("430434YK Muni","ID_CUSIP")</f>
        <v>430434YK0</v>
      </c>
      <c r="B1321" t="s">
        <v>397</v>
      </c>
      <c r="C1321" t="str">
        <f>_xll.BDP("430434YK Muni","INSURANCE_STATUS")</f>
        <v>N</v>
      </c>
      <c r="D1321" t="str">
        <f>_xll.BDP("430434YK Muni","STATE_CODE")</f>
        <v>IL</v>
      </c>
      <c r="E1321" t="str">
        <f>_xll.BDP("430434YK Muni","COUNTY_LOCATION_ISSUER")</f>
        <v>Lake, IL</v>
      </c>
      <c r="F1321">
        <f>_xll.BDP("430434YK Muni","DUR_ADJ_MID")</f>
        <v>2.3174210477296846</v>
      </c>
      <c r="G1321">
        <f>_xll.BDP("430434YK Muni","SPREAD_AT_ISSUANCE_TO_WORST")</f>
        <v>40.230513145548926</v>
      </c>
      <c r="H1321" t="str">
        <f>_xll.BDP("430434YK Muni","ISSUE_DT")</f>
        <v>2/7/2017</v>
      </c>
      <c r="I1321" t="str">
        <f>_xll.BDS("430434YK Muni","MUNI_PURPOSE_SCHED", "aggregate=y")</f>
        <v>WATER UTILITY IMPS. PUBLIC IMPS.</v>
      </c>
      <c r="J1321">
        <f>_xll.BDP("430434YK Muni","CPN")</f>
        <v>3</v>
      </c>
      <c r="K1321" t="str">
        <f>_xll.BDP("430434YK Muni","MATURITY")</f>
        <v>12/30/2024</v>
      </c>
      <c r="L1321">
        <v>240000</v>
      </c>
      <c r="M1321">
        <f>_xll.BDP("430434YK Muni","YIELD_ON_ISSUE_DATE")</f>
        <v>2.5</v>
      </c>
      <c r="N1321">
        <f>_xll.BDP("430434YK Muni","YTW_SPREAD_TO_MATURITY_AT_ISSU")</f>
        <v>40.230513145548926</v>
      </c>
      <c r="O1321" t="str">
        <f>_xll.BDP("430434YK Muni","BVAL_MID_YTM")</f>
        <v>#N/A Authorization</v>
      </c>
      <c r="P1321" t="str">
        <f>_xll.BDP("430434YK Muni","MUNI_TAX_PROV")</f>
        <v>FED BQ/ST TAXABLE</v>
      </c>
      <c r="Q1321" t="str">
        <f>_xll.BDP("430434YK Muni","MUNI_FED_TAX")</f>
        <v>N</v>
      </c>
      <c r="R1321" t="str">
        <f>_xll.BDP("430434YK Muni","MUNI_MSRB_VOLUME")</f>
        <v>#N/A N/A</v>
      </c>
      <c r="S1321" t="str">
        <f>_xll.BDP("430434YK Muni","BB_COMPOSITE")</f>
        <v>#N/A N/A</v>
      </c>
      <c r="T1321">
        <f>_xll.BDP("430434YK Muni","LQA_LIQUIDITY_SCORE")</f>
        <v>80</v>
      </c>
    </row>
    <row r="1322" spans="1:20" x14ac:dyDescent="0.25">
      <c r="A1322" t="str">
        <f>_xll.BDP("430883CL Muni","ID_CUSIP")</f>
        <v>430883CL0</v>
      </c>
      <c r="B1322" t="s">
        <v>398</v>
      </c>
      <c r="C1322" t="str">
        <f>_xll.BDP("430883CL Muni","INSURANCE_STATUS")</f>
        <v>Y</v>
      </c>
      <c r="D1322" t="str">
        <f>_xll.BDP("430883CL Muni","STATE_CODE")</f>
        <v>TX</v>
      </c>
      <c r="E1322" t="str">
        <f>_xll.BDP("430883CL Muni","COUNTY_LOCATION_ISSUER")</f>
        <v>Travis, TX</v>
      </c>
      <c r="F1322">
        <f>_xll.BDP("430883CL Muni","DUR_ADJ_MID")</f>
        <v>8.0458160558394484E-2</v>
      </c>
      <c r="G1322">
        <f>_xll.BDP("430883CL Muni","SPREAD_AT_ISSUANCE_TO_WORST")</f>
        <v>60.343589041095889</v>
      </c>
      <c r="H1322" t="str">
        <f>_xll.BDP("430883CL Muni","ISSUE_DT")</f>
        <v>11/21/2017</v>
      </c>
      <c r="I1322" t="str">
        <f>_xll.BDS("430883CL Muni","MUNI_PURPOSE_SCHED", "aggregate=y")</f>
        <v>WATER UTILITY IMPS. SEWER IMPS. PUBLIC IMPS.</v>
      </c>
      <c r="J1322">
        <f>_xll.BDP("430883CL Muni","CPN")</f>
        <v>4</v>
      </c>
      <c r="K1322" t="str">
        <f>_xll.BDP("430883CL Muni","MATURITY")</f>
        <v>9/1/2022</v>
      </c>
      <c r="L1322">
        <v>155000</v>
      </c>
      <c r="M1322">
        <f>_xll.BDP("430883CL Muni","YIELD_ON_ISSUE_DATE")</f>
        <v>2</v>
      </c>
      <c r="N1322">
        <f>_xll.BDP("430883CL Muni","YTW_SPREAD_TO_MATURITY_AT_ISSU")</f>
        <v>60.343589041095889</v>
      </c>
      <c r="O1322" t="str">
        <f>_xll.BDP("430883CL Muni","BVAL_MID_YTM")</f>
        <v>#N/A Authorization</v>
      </c>
      <c r="P1322" t="str">
        <f>_xll.BDP("430883CL Muni","MUNI_TAX_PROV")</f>
        <v>FED BQ</v>
      </c>
      <c r="Q1322" t="str">
        <f>_xll.BDP("430883CL Muni","MUNI_FED_TAX")</f>
        <v>N</v>
      </c>
      <c r="R1322">
        <f>_xll.BDP("430883CL Muni","MUNI_MSRB_VOLUME")</f>
        <v>30000</v>
      </c>
      <c r="S1322" t="str">
        <f>_xll.BDP("430883CL Muni","BB_COMPOSITE")</f>
        <v>AA-</v>
      </c>
      <c r="T1322">
        <f>_xll.BDP("430883CL Muni","LQA_LIQUIDITY_SCORE")</f>
        <v>98</v>
      </c>
    </row>
    <row r="1323" spans="1:20" x14ac:dyDescent="0.25">
      <c r="A1323" t="str">
        <f>_xll.BDP("430883CM Muni","ID_CUSIP")</f>
        <v>430883CM8</v>
      </c>
      <c r="B1323" t="s">
        <v>398</v>
      </c>
      <c r="C1323" t="str">
        <f>_xll.BDP("430883CM Muni","INSURANCE_STATUS")</f>
        <v>Y</v>
      </c>
      <c r="D1323" t="str">
        <f>_xll.BDP("430883CM Muni","STATE_CODE")</f>
        <v>TX</v>
      </c>
      <c r="E1323" t="str">
        <f>_xll.BDP("430883CM Muni","COUNTY_LOCATION_ISSUER")</f>
        <v>Travis, TX</v>
      </c>
      <c r="F1323">
        <f>_xll.BDP("430883CM Muni","DUR_ADJ_MID")</f>
        <v>1.0408390808703187</v>
      </c>
      <c r="G1323">
        <f>_xll.BDP("430883CM Muni","SPREAD_AT_ISSUANCE_TO_WORST")</f>
        <v>67.850438356164403</v>
      </c>
      <c r="H1323" t="str">
        <f>_xll.BDP("430883CM Muni","ISSUE_DT")</f>
        <v>11/21/2017</v>
      </c>
      <c r="I1323" t="str">
        <f>_xll.BDS("430883CM Muni","MUNI_PURPOSE_SCHED", "aggregate=y")</f>
        <v>WATER UTILITY IMPS. SEWER IMPS. PUBLIC IMPS.</v>
      </c>
      <c r="J1323">
        <f>_xll.BDP("430883CM Muni","CPN")</f>
        <v>4</v>
      </c>
      <c r="K1323" t="str">
        <f>_xll.BDP("430883CM Muni","MATURITY")</f>
        <v>9/1/2023</v>
      </c>
      <c r="L1323">
        <v>155000</v>
      </c>
      <c r="M1323">
        <f>_xll.BDP("430883CM Muni","YIELD_ON_ISSUE_DATE")</f>
        <v>2.2000000000000002</v>
      </c>
      <c r="N1323">
        <f>_xll.BDP("430883CM Muni","YTW_SPREAD_TO_MATURITY_AT_ISSU")</f>
        <v>67.850438356164403</v>
      </c>
      <c r="O1323" t="str">
        <f>_xll.BDP("430883CM Muni","BVAL_MID_YTM")</f>
        <v>#N/A Authorization</v>
      </c>
      <c r="P1323" t="str">
        <f>_xll.BDP("430883CM Muni","MUNI_TAX_PROV")</f>
        <v>FED BQ</v>
      </c>
      <c r="Q1323" t="str">
        <f>_xll.BDP("430883CM Muni","MUNI_FED_TAX")</f>
        <v>N</v>
      </c>
      <c r="R1323" t="str">
        <f>_xll.BDP("430883CM Muni","MUNI_MSRB_VOLUME")</f>
        <v>#N/A N/A</v>
      </c>
      <c r="S1323" t="str">
        <f>_xll.BDP("430883CM Muni","BB_COMPOSITE")</f>
        <v>AA-</v>
      </c>
      <c r="T1323">
        <f>_xll.BDP("430883CM Muni","LQA_LIQUIDITY_SCORE")</f>
        <v>88</v>
      </c>
    </row>
    <row r="1324" spans="1:20" x14ac:dyDescent="0.25">
      <c r="A1324" t="str">
        <f>_xll.BDP("430883CN Muni","ID_CUSIP")</f>
        <v>430883CN6</v>
      </c>
      <c r="B1324" t="s">
        <v>398</v>
      </c>
      <c r="C1324" t="str">
        <f>_xll.BDP("430883CN Muni","INSURANCE_STATUS")</f>
        <v>Y</v>
      </c>
      <c r="D1324" t="str">
        <f>_xll.BDP("430883CN Muni","STATE_CODE")</f>
        <v>TX</v>
      </c>
      <c r="E1324" t="str">
        <f>_xll.BDP("430883CN Muni","COUNTY_LOCATION_ISSUER")</f>
        <v>Travis, TX</v>
      </c>
      <c r="F1324">
        <f>_xll.BDP("430883CN Muni","DUR_ADJ_MID")</f>
        <v>1.9637386914755652</v>
      </c>
      <c r="G1324">
        <f>_xll.BDP("430883CN Muni","SPREAD_AT_ISSUANCE_TO_WORST")</f>
        <v>75.00682191780821</v>
      </c>
      <c r="H1324" t="str">
        <f>_xll.BDP("430883CN Muni","ISSUE_DT")</f>
        <v>11/21/2017</v>
      </c>
      <c r="I1324" t="str">
        <f>_xll.BDS("430883CN Muni","MUNI_PURPOSE_SCHED", "aggregate=y")</f>
        <v>WATER UTILITY IMPS. SEWER IMPS. PUBLIC IMPS.</v>
      </c>
      <c r="J1324">
        <f>_xll.BDP("430883CN Muni","CPN")</f>
        <v>4</v>
      </c>
      <c r="K1324" t="str">
        <f>_xll.BDP("430883CN Muni","MATURITY")</f>
        <v>9/1/2024</v>
      </c>
      <c r="L1324">
        <v>160000</v>
      </c>
      <c r="M1324">
        <f>_xll.BDP("430883CN Muni","YIELD_ON_ISSUE_DATE")</f>
        <v>2.4000000000000004</v>
      </c>
      <c r="N1324">
        <f>_xll.BDP("430883CN Muni","YTW_SPREAD_TO_MATURITY_AT_ISSU")</f>
        <v>75.00682191780821</v>
      </c>
      <c r="O1324" t="str">
        <f>_xll.BDP("430883CN Muni","BVAL_MID_YTM")</f>
        <v>#N/A Authorization</v>
      </c>
      <c r="P1324" t="str">
        <f>_xll.BDP("430883CN Muni","MUNI_TAX_PROV")</f>
        <v>FED BQ</v>
      </c>
      <c r="Q1324" t="str">
        <f>_xll.BDP("430883CN Muni","MUNI_FED_TAX")</f>
        <v>N</v>
      </c>
      <c r="R1324" t="str">
        <f>_xll.BDP("430883CN Muni","MUNI_MSRB_VOLUME")</f>
        <v>#N/A N/A</v>
      </c>
      <c r="S1324" t="str">
        <f>_xll.BDP("430883CN Muni","BB_COMPOSITE")</f>
        <v>AA-</v>
      </c>
      <c r="T1324">
        <f>_xll.BDP("430883CN Muni","LQA_LIQUIDITY_SCORE")</f>
        <v>76</v>
      </c>
    </row>
    <row r="1325" spans="1:20" x14ac:dyDescent="0.25">
      <c r="A1325" t="str">
        <f>_xll.BDP("434452LR Muni","ID_CUSIP")</f>
        <v>434452LR7</v>
      </c>
      <c r="B1325" t="s">
        <v>399</v>
      </c>
      <c r="C1325" t="str">
        <f>_xll.BDP("434452LR Muni","INSURANCE_STATUS")</f>
        <v>N</v>
      </c>
      <c r="D1325" t="str">
        <f>_xll.BDP("434452LR Muni","STATE_CODE")</f>
        <v>IL</v>
      </c>
      <c r="E1325" t="str">
        <f>_xll.BDP("434452LR Muni","COUNTY_LOCATION_ISSUER")</f>
        <v>Cook, IL</v>
      </c>
      <c r="F1325">
        <f>_xll.BDP("434452LR Muni","DUR_ADJ_MID")</f>
        <v>0.32912548247789031</v>
      </c>
      <c r="G1325">
        <f>_xll.BDP("434452LR Muni","SPREAD_AT_ISSUANCE_TO_WORST")</f>
        <v>58.875541512634832</v>
      </c>
      <c r="H1325" t="str">
        <f>_xll.BDP("434452LR Muni","ISSUE_DT")</f>
        <v>9/12/2017</v>
      </c>
      <c r="I1325" t="str">
        <f>_xll.BDS("434452LR Muni","MUNI_PURPOSE_SCHED", "aggregate=y")</f>
        <v>WATER UTILITY IMPS. PUBLIC IMPS.</v>
      </c>
      <c r="J1325">
        <f>_xll.BDP("434452LR Muni","CPN")</f>
        <v>3</v>
      </c>
      <c r="K1325" t="str">
        <f>_xll.BDP("434452LR Muni","MATURITY")</f>
        <v>12/1/2022</v>
      </c>
      <c r="L1325">
        <v>340000</v>
      </c>
      <c r="M1325">
        <f>_xll.BDP("434452LR Muni","YIELD_ON_ISSUE_DATE")</f>
        <v>1.8</v>
      </c>
      <c r="N1325">
        <f>_xll.BDP("434452LR Muni","YTW_SPREAD_TO_MATURITY_AT_ISSU")</f>
        <v>58.875541512634832</v>
      </c>
      <c r="O1325" t="str">
        <f>_xll.BDP("434452LR Muni","BVAL_MID_YTM")</f>
        <v>#N/A Authorization</v>
      </c>
      <c r="P1325" t="str">
        <f>_xll.BDP("434452LR Muni","MUNI_TAX_PROV")</f>
        <v>FED BQ/ST TAXABLE</v>
      </c>
      <c r="Q1325" t="str">
        <f>_xll.BDP("434452LR Muni","MUNI_FED_TAX")</f>
        <v>N</v>
      </c>
      <c r="R1325" t="str">
        <f>_xll.BDP("434452LR Muni","MUNI_MSRB_VOLUME")</f>
        <v>#N/A N/A</v>
      </c>
      <c r="S1325" t="str">
        <f>_xll.BDP("434452LR Muni","BB_COMPOSITE")</f>
        <v>#N/A N/A</v>
      </c>
      <c r="T1325">
        <f>_xll.BDP("434452LR Muni","LQA_LIQUIDITY_SCORE")</f>
        <v>97</v>
      </c>
    </row>
    <row r="1326" spans="1:20" x14ac:dyDescent="0.25">
      <c r="A1326" t="str">
        <f>_xll.BDP("434452LS Muni","ID_CUSIP")</f>
        <v>434452LS5</v>
      </c>
      <c r="B1326" t="s">
        <v>399</v>
      </c>
      <c r="C1326" t="str">
        <f>_xll.BDP("434452LS Muni","INSURANCE_STATUS")</f>
        <v>N</v>
      </c>
      <c r="D1326" t="str">
        <f>_xll.BDP("434452LS Muni","STATE_CODE")</f>
        <v>IL</v>
      </c>
      <c r="E1326" t="str">
        <f>_xll.BDP("434452LS Muni","COUNTY_LOCATION_ISSUER")</f>
        <v>Cook, IL</v>
      </c>
      <c r="F1326">
        <f>_xll.BDP("434452LS Muni","DUR_ADJ_MID")</f>
        <v>1.2961561022030101</v>
      </c>
      <c r="G1326">
        <f>_xll.BDP("434452LS Muni","SPREAD_AT_ISSUANCE_TO_WORST")</f>
        <v>64.031517072070642</v>
      </c>
      <c r="H1326" t="str">
        <f>_xll.BDP("434452LS Muni","ISSUE_DT")</f>
        <v>9/12/2017</v>
      </c>
      <c r="I1326" t="str">
        <f>_xll.BDS("434452LS Muni","MUNI_PURPOSE_SCHED", "aggregate=y")</f>
        <v>WATER UTILITY IMPS. PUBLIC IMPS.</v>
      </c>
      <c r="J1326">
        <f>_xll.BDP("434452LS Muni","CPN")</f>
        <v>3</v>
      </c>
      <c r="K1326" t="str">
        <f>_xll.BDP("434452LS Muni","MATURITY")</f>
        <v>12/1/2023</v>
      </c>
      <c r="L1326">
        <v>345000</v>
      </c>
      <c r="M1326">
        <f>_xll.BDP("434452LS Muni","YIELD_ON_ISSUE_DATE")</f>
        <v>2</v>
      </c>
      <c r="N1326">
        <f>_xll.BDP("434452LS Muni","YTW_SPREAD_TO_MATURITY_AT_ISSU")</f>
        <v>64.031517072070642</v>
      </c>
      <c r="O1326" t="str">
        <f>_xll.BDP("434452LS Muni","BVAL_MID_YTM")</f>
        <v>#N/A Authorization</v>
      </c>
      <c r="P1326" t="str">
        <f>_xll.BDP("434452LS Muni","MUNI_TAX_PROV")</f>
        <v>FED BQ/ST TAXABLE</v>
      </c>
      <c r="Q1326" t="str">
        <f>_xll.BDP("434452LS Muni","MUNI_FED_TAX")</f>
        <v>N</v>
      </c>
      <c r="R1326" t="str">
        <f>_xll.BDP("434452LS Muni","MUNI_MSRB_VOLUME")</f>
        <v>#N/A N/A</v>
      </c>
      <c r="S1326" t="str">
        <f>_xll.BDP("434452LS Muni","BB_COMPOSITE")</f>
        <v>#N/A N/A</v>
      </c>
      <c r="T1326">
        <f>_xll.BDP("434452LS Muni","LQA_LIQUIDITY_SCORE")</f>
        <v>87</v>
      </c>
    </row>
    <row r="1327" spans="1:20" x14ac:dyDescent="0.25">
      <c r="A1327" t="str">
        <f>_xll.BDP("434452LT Muni","ID_CUSIP")</f>
        <v>434452LT3</v>
      </c>
      <c r="B1327" t="s">
        <v>399</v>
      </c>
      <c r="C1327" t="str">
        <f>_xll.BDP("434452LT Muni","INSURANCE_STATUS")</f>
        <v>N</v>
      </c>
      <c r="D1327" t="str">
        <f>_xll.BDP("434452LT Muni","STATE_CODE")</f>
        <v>IL</v>
      </c>
      <c r="E1327" t="str">
        <f>_xll.BDP("434452LT Muni","COUNTY_LOCATION_ISSUER")</f>
        <v>Cook, IL</v>
      </c>
      <c r="F1327">
        <f>_xll.BDP("434452LT Muni","DUR_ADJ_MID")</f>
        <v>2.2346722387114202</v>
      </c>
      <c r="G1327">
        <f>_xll.BDP("434452LT Muni","SPREAD_AT_ISSUANCE_TO_WORST")</f>
        <v>63.890517780427423</v>
      </c>
      <c r="H1327" t="str">
        <f>_xll.BDP("434452LT Muni","ISSUE_DT")</f>
        <v>9/12/2017</v>
      </c>
      <c r="I1327" t="str">
        <f>_xll.BDS("434452LT Muni","MUNI_PURPOSE_SCHED", "aggregate=y")</f>
        <v>WATER UTILITY IMPS. PUBLIC IMPS.</v>
      </c>
      <c r="J1327">
        <f>_xll.BDP("434452LT Muni","CPN")</f>
        <v>3</v>
      </c>
      <c r="K1327" t="str">
        <f>_xll.BDP("434452LT Muni","MATURITY")</f>
        <v>12/1/2024</v>
      </c>
      <c r="L1327">
        <v>355000</v>
      </c>
      <c r="M1327">
        <f>_xll.BDP("434452LT Muni","YIELD_ON_ISSUE_DATE")</f>
        <v>2.15</v>
      </c>
      <c r="N1327">
        <f>_xll.BDP("434452LT Muni","YTW_SPREAD_TO_MATURITY_AT_ISSU")</f>
        <v>63.890517780427423</v>
      </c>
      <c r="O1327" t="str">
        <f>_xll.BDP("434452LT Muni","BVAL_MID_YTM")</f>
        <v>#N/A Authorization</v>
      </c>
      <c r="P1327" t="str">
        <f>_xll.BDP("434452LT Muni","MUNI_TAX_PROV")</f>
        <v>FED BQ/ST TAXABLE</v>
      </c>
      <c r="Q1327" t="str">
        <f>_xll.BDP("434452LT Muni","MUNI_FED_TAX")</f>
        <v>N</v>
      </c>
      <c r="R1327" t="str">
        <f>_xll.BDP("434452LT Muni","MUNI_MSRB_VOLUME")</f>
        <v>#N/A N/A</v>
      </c>
      <c r="S1327" t="str">
        <f>_xll.BDP("434452LT Muni","BB_COMPOSITE")</f>
        <v>#N/A N/A</v>
      </c>
      <c r="T1327">
        <f>_xll.BDP("434452LT Muni","LQA_LIQUIDITY_SCORE")</f>
        <v>77</v>
      </c>
    </row>
    <row r="1328" spans="1:20" x14ac:dyDescent="0.25">
      <c r="A1328" t="str">
        <f>_xll.BDP("434452LU Muni","ID_CUSIP")</f>
        <v>434452LU0</v>
      </c>
      <c r="B1328" t="s">
        <v>399</v>
      </c>
      <c r="C1328" t="str">
        <f>_xll.BDP("434452LU Muni","INSURANCE_STATUS")</f>
        <v>N</v>
      </c>
      <c r="D1328" t="str">
        <f>_xll.BDP("434452LU Muni","STATE_CODE")</f>
        <v>IL</v>
      </c>
      <c r="E1328" t="str">
        <f>_xll.BDP("434452LU Muni","COUNTY_LOCATION_ISSUER")</f>
        <v>Cook, IL</v>
      </c>
      <c r="F1328">
        <f>_xll.BDP("434452LU Muni","DUR_ADJ_MID")</f>
        <v>3.1461535596491199</v>
      </c>
      <c r="G1328">
        <f>_xll.BDP("434452LU Muni","SPREAD_AT_ISSUANCE_TO_WORST")</f>
        <v>64.165626363886147</v>
      </c>
      <c r="H1328" t="str">
        <f>_xll.BDP("434452LU Muni","ISSUE_DT")</f>
        <v>9/12/2017</v>
      </c>
      <c r="I1328" t="str">
        <f>_xll.BDS("434452LU Muni","MUNI_PURPOSE_SCHED", "aggregate=y")</f>
        <v>WATER UTILITY IMPS. PUBLIC IMPS.</v>
      </c>
      <c r="J1328">
        <f>_xll.BDP("434452LU Muni","CPN")</f>
        <v>3</v>
      </c>
      <c r="K1328" t="str">
        <f>_xll.BDP("434452LU Muni","MATURITY")</f>
        <v>12/1/2025</v>
      </c>
      <c r="L1328">
        <v>375000</v>
      </c>
      <c r="M1328">
        <f>_xll.BDP("434452LU Muni","YIELD_ON_ISSUE_DATE")</f>
        <v>2.3000000000000003</v>
      </c>
      <c r="N1328">
        <f>_xll.BDP("434452LU Muni","YTW_SPREAD_TO_MATURITY_AT_ISSU")</f>
        <v>64.165626363886147</v>
      </c>
      <c r="O1328" t="str">
        <f>_xll.BDP("434452LU Muni","BVAL_MID_YTM")</f>
        <v>#N/A Authorization</v>
      </c>
      <c r="P1328" t="str">
        <f>_xll.BDP("434452LU Muni","MUNI_TAX_PROV")</f>
        <v>FED BQ/ST TAXABLE</v>
      </c>
      <c r="Q1328" t="str">
        <f>_xll.BDP("434452LU Muni","MUNI_FED_TAX")</f>
        <v>N</v>
      </c>
      <c r="R1328">
        <f>_xll.BDP("434452LU Muni","MUNI_MSRB_VOLUME")</f>
        <v>50000</v>
      </c>
      <c r="S1328" t="str">
        <f>_xll.BDP("434452LU Muni","BB_COMPOSITE")</f>
        <v>#N/A N/A</v>
      </c>
      <c r="T1328">
        <f>_xll.BDP("434452LU Muni","LQA_LIQUIDITY_SCORE")</f>
        <v>68</v>
      </c>
    </row>
    <row r="1329" spans="1:20" x14ac:dyDescent="0.25">
      <c r="A1329" t="str">
        <f>_xll.BDP("434452LV Muni","ID_CUSIP")</f>
        <v>434452LV8</v>
      </c>
      <c r="B1329" t="s">
        <v>399</v>
      </c>
      <c r="C1329" t="str">
        <f>_xll.BDP("434452LV Muni","INSURANCE_STATUS")</f>
        <v>N</v>
      </c>
      <c r="D1329" t="str">
        <f>_xll.BDP("434452LV Muni","STATE_CODE")</f>
        <v>IL</v>
      </c>
      <c r="E1329" t="str">
        <f>_xll.BDP("434452LV Muni","COUNTY_LOCATION_ISSUER")</f>
        <v>Cook, IL</v>
      </c>
      <c r="F1329">
        <f>_xll.BDP("434452LV Muni","DUR_ADJ_MID")</f>
        <v>4.0315134907023413</v>
      </c>
      <c r="G1329">
        <f>_xll.BDP("434452LV Muni","SPREAD_AT_ISSUANCE_TO_WORST")</f>
        <v>66.329839687986009</v>
      </c>
      <c r="H1329" t="str">
        <f>_xll.BDP("434452LV Muni","ISSUE_DT")</f>
        <v>9/12/2017</v>
      </c>
      <c r="I1329" t="str">
        <f>_xll.BDS("434452LV Muni","MUNI_PURPOSE_SCHED", "aggregate=y")</f>
        <v>WATER UTILITY IMPS. PUBLIC IMPS.</v>
      </c>
      <c r="J1329">
        <f>_xll.BDP("434452LV Muni","CPN")</f>
        <v>3</v>
      </c>
      <c r="K1329" t="str">
        <f>_xll.BDP("434452LV Muni","MATURITY")</f>
        <v>12/1/2026</v>
      </c>
      <c r="L1329">
        <v>380000</v>
      </c>
      <c r="M1329">
        <f>_xll.BDP("434452LV Muni","YIELD_ON_ISSUE_DATE")</f>
        <v>2.4500000000000002</v>
      </c>
      <c r="N1329">
        <f>_xll.BDP("434452LV Muni","YTW_SPREAD_TO_MATURITY_AT_ISSU")</f>
        <v>66.329839687986009</v>
      </c>
      <c r="O1329" t="str">
        <f>_xll.BDP("434452LV Muni","BVAL_MID_YTM")</f>
        <v>#N/A Authorization</v>
      </c>
      <c r="P1329" t="str">
        <f>_xll.BDP("434452LV Muni","MUNI_TAX_PROV")</f>
        <v>FED BQ/ST TAXABLE</v>
      </c>
      <c r="Q1329" t="str">
        <f>_xll.BDP("434452LV Muni","MUNI_FED_TAX")</f>
        <v>N</v>
      </c>
      <c r="R1329" t="str">
        <f>_xll.BDP("434452LV Muni","MUNI_MSRB_VOLUME")</f>
        <v>#N/A N/A</v>
      </c>
      <c r="S1329" t="str">
        <f>_xll.BDP("434452LV Muni","BB_COMPOSITE")</f>
        <v>#N/A N/A</v>
      </c>
      <c r="T1329">
        <f>_xll.BDP("434452LV Muni","LQA_LIQUIDITY_SCORE")</f>
        <v>61</v>
      </c>
    </row>
    <row r="1330" spans="1:20" x14ac:dyDescent="0.25">
      <c r="A1330" t="str">
        <f>_xll.BDP("434830SB Muni","ID_CUSIP")</f>
        <v>434830SB2</v>
      </c>
      <c r="B1330" t="s">
        <v>59</v>
      </c>
      <c r="C1330" t="str">
        <f>_xll.BDP("434830SB Muni","INSURANCE_STATUS")</f>
        <v>N</v>
      </c>
      <c r="D1330" t="str">
        <f>_xll.BDP("434830SB Muni","STATE_CODE")</f>
        <v>MA</v>
      </c>
      <c r="E1330" t="str">
        <f>_xll.BDP("434830SB Muni","COUNTY_LOCATION_ISSUER")</f>
        <v>Worcester, MA</v>
      </c>
      <c r="F1330">
        <f>_xll.BDP("434830SB Muni","DUR_ADJ_MID")</f>
        <v>1.786247495945551</v>
      </c>
      <c r="G1330">
        <f>_xll.BDP("434830SB Muni","SPREAD_AT_ISSUANCE_TO_WORST")</f>
        <v>-1.5594721364631026</v>
      </c>
      <c r="H1330" t="str">
        <f>_xll.BDP("434830SB Muni","ISSUE_DT")</f>
        <v>6/15/2017</v>
      </c>
      <c r="I1330" t="str">
        <f>_xll.BDS("434830SB Muni","MUNI_PURPOSE_SCHED", "aggregate=y")</f>
        <v>REFUNDING NOTES WATER UTILITY IMPS. SEWER IMPS.</v>
      </c>
      <c r="J1330">
        <f>_xll.BDP("434830SB Muni","CPN")</f>
        <v>5</v>
      </c>
      <c r="K1330" t="str">
        <f>_xll.BDP("434830SB Muni","MATURITY")</f>
        <v>6/15/2024</v>
      </c>
      <c r="L1330">
        <v>315000</v>
      </c>
      <c r="M1330">
        <f>_xll.BDP("434830SB Muni","YIELD_ON_ISSUE_DATE")</f>
        <v>1.48</v>
      </c>
      <c r="N1330">
        <f>_xll.BDP("434830SB Muni","YTW_SPREAD_TO_MATURITY_AT_ISSU")</f>
        <v>-1.5594721364631026</v>
      </c>
      <c r="O1330" t="str">
        <f>_xll.BDP("434830SB Muni","BVAL_MID_YTM")</f>
        <v>#N/A Authorization</v>
      </c>
      <c r="P1330" t="str">
        <f>_xll.BDP("434830SB Muni","MUNI_TAX_PROV")</f>
        <v>FED BQ/ST TAX-EXEMPT</v>
      </c>
      <c r="Q1330" t="str">
        <f>_xll.BDP("434830SB Muni","MUNI_FED_TAX")</f>
        <v>N</v>
      </c>
      <c r="R1330" t="str">
        <f>_xll.BDP("434830SB Muni","MUNI_MSRB_VOLUME")</f>
        <v>#N/A N/A</v>
      </c>
      <c r="S1330" t="str">
        <f>_xll.BDP("434830SB Muni","BB_COMPOSITE")</f>
        <v>#N/A N/A</v>
      </c>
      <c r="T1330">
        <f>_xll.BDP("434830SB Muni","LQA_LIQUIDITY_SCORE")</f>
        <v>86</v>
      </c>
    </row>
    <row r="1331" spans="1:20" x14ac:dyDescent="0.25">
      <c r="A1331" t="str">
        <f>_xll.BDP("434830SD Muni","ID_CUSIP")</f>
        <v>434830SD8</v>
      </c>
      <c r="B1331" t="s">
        <v>59</v>
      </c>
      <c r="C1331" t="str">
        <f>_xll.BDP("434830SD Muni","INSURANCE_STATUS")</f>
        <v>N</v>
      </c>
      <c r="D1331" t="str">
        <f>_xll.BDP("434830SD Muni","STATE_CODE")</f>
        <v>MA</v>
      </c>
      <c r="E1331" t="str">
        <f>_xll.BDP("434830SD Muni","COUNTY_LOCATION_ISSUER")</f>
        <v>Worcester, MA</v>
      </c>
      <c r="F1331">
        <f>_xll.BDP("434830SD Muni","DUR_ADJ_MID")</f>
        <v>3.5359366683999935</v>
      </c>
      <c r="G1331">
        <f>_xll.BDP("434830SD Muni","SPREAD_AT_ISSUANCE_TO_WORST")</f>
        <v>0.55903295550225884</v>
      </c>
      <c r="H1331" t="str">
        <f>_xll.BDP("434830SD Muni","ISSUE_DT")</f>
        <v>6/15/2017</v>
      </c>
      <c r="I1331" t="str">
        <f>_xll.BDS("434830SD Muni","MUNI_PURPOSE_SCHED", "aggregate=y")</f>
        <v>REFUNDING NOTES WATER UTILITY IMPS. SEWER IMPS.</v>
      </c>
      <c r="J1331">
        <f>_xll.BDP("434830SD Muni","CPN")</f>
        <v>5</v>
      </c>
      <c r="K1331" t="str">
        <f>_xll.BDP("434830SD Muni","MATURITY")</f>
        <v>6/15/2026</v>
      </c>
      <c r="L1331">
        <v>315000</v>
      </c>
      <c r="M1331">
        <f>_xll.BDP("434830SD Muni","YIELD_ON_ISSUE_DATE")</f>
        <v>1.8</v>
      </c>
      <c r="N1331">
        <f>_xll.BDP("434830SD Muni","YTW_SPREAD_TO_MATURITY_AT_ISSU")</f>
        <v>0.55903295550225884</v>
      </c>
      <c r="O1331" t="str">
        <f>_xll.BDP("434830SD Muni","BVAL_MID_YTM")</f>
        <v>#N/A Authorization</v>
      </c>
      <c r="P1331" t="str">
        <f>_xll.BDP("434830SD Muni","MUNI_TAX_PROV")</f>
        <v>FED BQ/ST TAX-EXEMPT</v>
      </c>
      <c r="Q1331" t="str">
        <f>_xll.BDP("434830SD Muni","MUNI_FED_TAX")</f>
        <v>N</v>
      </c>
      <c r="R1331" t="str">
        <f>_xll.BDP("434830SD Muni","MUNI_MSRB_VOLUME")</f>
        <v>#N/A N/A</v>
      </c>
      <c r="S1331" t="str">
        <f>_xll.BDP("434830SD Muni","BB_COMPOSITE")</f>
        <v>#N/A N/A</v>
      </c>
      <c r="T1331">
        <f>_xll.BDP("434830SD Muni","LQA_LIQUIDITY_SCORE")</f>
        <v>74</v>
      </c>
    </row>
    <row r="1332" spans="1:20" x14ac:dyDescent="0.25">
      <c r="A1332" t="str">
        <f>_xll.BDP("434830SE Muni","ID_CUSIP")</f>
        <v>434830SE6</v>
      </c>
      <c r="B1332" t="s">
        <v>59</v>
      </c>
      <c r="C1332" t="str">
        <f>_xll.BDP("434830SE Muni","INSURANCE_STATUS")</f>
        <v>N</v>
      </c>
      <c r="D1332" t="str">
        <f>_xll.BDP("434830SE Muni","STATE_CODE")</f>
        <v>MA</v>
      </c>
      <c r="E1332" t="str">
        <f>_xll.BDP("434830SE Muni","COUNTY_LOCATION_ISSUER")</f>
        <v>Worcester, MA</v>
      </c>
      <c r="F1332">
        <f>_xll.BDP("434830SE Muni","DUR_ADJ_MID")</f>
        <v>4.3569776710512143</v>
      </c>
      <c r="G1332">
        <f>_xll.BDP("434830SE Muni","SPREAD_AT_ISSUANCE_TO_WORST")</f>
        <v>3.9514537031275054</v>
      </c>
      <c r="H1332" t="str">
        <f>_xll.BDP("434830SE Muni","ISSUE_DT")</f>
        <v>6/15/2017</v>
      </c>
      <c r="I1332" t="str">
        <f>_xll.BDS("434830SE Muni","MUNI_PURPOSE_SCHED", "aggregate=y")</f>
        <v>REFUNDING NOTES WATER UTILITY IMPS. SEWER IMPS.</v>
      </c>
      <c r="J1332">
        <f>_xll.BDP("434830SE Muni","CPN")</f>
        <v>5</v>
      </c>
      <c r="K1332" t="str">
        <f>_xll.BDP("434830SE Muni","MATURITY")</f>
        <v>6/15/2027</v>
      </c>
      <c r="L1332">
        <v>315000</v>
      </c>
      <c r="M1332">
        <f>_xll.BDP("434830SE Muni","YIELD_ON_ISSUE_DATE")</f>
        <v>1.95</v>
      </c>
      <c r="N1332">
        <f>_xll.BDP("434830SE Muni","YTW_SPREAD_TO_MATURITY_AT_ISSU")</f>
        <v>3.9514537031275054</v>
      </c>
      <c r="O1332" t="str">
        <f>_xll.BDP("434830SE Muni","BVAL_MID_YTM")</f>
        <v>#N/A Authorization</v>
      </c>
      <c r="P1332" t="str">
        <f>_xll.BDP("434830SE Muni","MUNI_TAX_PROV")</f>
        <v>FED BQ/ST TAX-EXEMPT</v>
      </c>
      <c r="Q1332" t="str">
        <f>_xll.BDP("434830SE Muni","MUNI_FED_TAX")</f>
        <v>N</v>
      </c>
      <c r="R1332" t="str">
        <f>_xll.BDP("434830SE Muni","MUNI_MSRB_VOLUME")</f>
        <v>#N/A N/A</v>
      </c>
      <c r="S1332" t="str">
        <f>_xll.BDP("434830SE Muni","BB_COMPOSITE")</f>
        <v>#N/A N/A</v>
      </c>
      <c r="T1332">
        <f>_xll.BDP("434830SE Muni","LQA_LIQUIDITY_SCORE")</f>
        <v>70</v>
      </c>
    </row>
    <row r="1333" spans="1:20" x14ac:dyDescent="0.25">
      <c r="A1333" t="str">
        <f>_xll.BDP("602409KD Muni","ID_CUSIP")</f>
        <v>602409KD5</v>
      </c>
      <c r="B1333" t="s">
        <v>103</v>
      </c>
      <c r="C1333" t="str">
        <f>_xll.BDP("602409KD Muni","INSURANCE_STATUS")</f>
        <v>N</v>
      </c>
      <c r="D1333" t="str">
        <f>_xll.BDP("602409KD Muni","STATE_CODE")</f>
        <v>WI</v>
      </c>
      <c r="E1333" t="str">
        <f>_xll.BDP("602409KD Muni","COUNTY_LOCATION_ISSUER")</f>
        <v>Milwaukee, WI</v>
      </c>
      <c r="F1333">
        <f>_xll.BDP("602409KD Muni","DUR_ADJ_MID")</f>
        <v>0.16366289103992185</v>
      </c>
      <c r="G1333">
        <f>_xll.BDP("602409KD Muni","SPREAD_AT_ISSUANCE_TO_WORST")</f>
        <v>9.7406580740415638</v>
      </c>
      <c r="H1333" t="str">
        <f>_xll.BDP("602409KD Muni","ISSUE_DT")</f>
        <v>6/12/2017</v>
      </c>
      <c r="I1333" t="str">
        <f>_xll.BDS("602409KD Muni","MUNI_PURPOSE_SCHED", "aggregate=y")</f>
        <v>WATER UTILITY IMPS. PUBLIC IMPS. SEWER IMPS.</v>
      </c>
      <c r="J1333">
        <f>_xll.BDP("602409KD Muni","CPN")</f>
        <v>5</v>
      </c>
      <c r="K1333" t="str">
        <f>_xll.BDP("602409KD Muni","MATURITY")</f>
        <v>10/1/2022</v>
      </c>
      <c r="L1333">
        <v>2860000</v>
      </c>
      <c r="M1333">
        <f>_xll.BDP("602409KD Muni","YIELD_ON_ISSUE_DATE")</f>
        <v>1.4000000000000001</v>
      </c>
      <c r="N1333">
        <f>_xll.BDP("602409KD Muni","YTW_SPREAD_TO_MATURITY_AT_ISSU")</f>
        <v>9.7406580740415638</v>
      </c>
      <c r="O1333" t="str">
        <f>_xll.BDP("602409KD Muni","BVAL_MID_YTM")</f>
        <v>#N/A Authorization</v>
      </c>
      <c r="P1333" t="str">
        <f>_xll.BDP("602409KD Muni","MUNI_TAX_PROV")</f>
        <v>FED TAX-EXEMPT/ST TAXABLE</v>
      </c>
      <c r="Q1333" t="str">
        <f>_xll.BDP("602409KD Muni","MUNI_FED_TAX")</f>
        <v>N</v>
      </c>
      <c r="R1333">
        <f>_xll.BDP("602409KD Muni","MUNI_MSRB_VOLUME")</f>
        <v>20000</v>
      </c>
      <c r="S1333" t="str">
        <f>_xll.BDP("602409KD Muni","BB_COMPOSITE")</f>
        <v>AA+</v>
      </c>
      <c r="T1333">
        <f>_xll.BDP("602409KD Muni","LQA_LIQUIDITY_SCORE")</f>
        <v>97</v>
      </c>
    </row>
    <row r="1334" spans="1:20" x14ac:dyDescent="0.25">
      <c r="A1334" t="str">
        <f>_xll.BDP("602409KG Muni","ID_CUSIP")</f>
        <v>602409KG8</v>
      </c>
      <c r="B1334" t="s">
        <v>103</v>
      </c>
      <c r="C1334" t="str">
        <f>_xll.BDP("602409KG Muni","INSURANCE_STATUS")</f>
        <v>N</v>
      </c>
      <c r="D1334" t="str">
        <f>_xll.BDP("602409KG Muni","STATE_CODE")</f>
        <v>WI</v>
      </c>
      <c r="E1334" t="str">
        <f>_xll.BDP("602409KG Muni","COUNTY_LOCATION_ISSUER")</f>
        <v>Milwaukee, WI</v>
      </c>
      <c r="F1334">
        <f>_xll.BDP("602409KG Muni","DUR_ADJ_MID")</f>
        <v>2.9084260482511692</v>
      </c>
      <c r="G1334">
        <f>_xll.BDP("602409KG Muni","SPREAD_AT_ISSUANCE_TO_WORST")</f>
        <v>6.0789348042612934</v>
      </c>
      <c r="H1334" t="str">
        <f>_xll.BDP("602409KG Muni","ISSUE_DT")</f>
        <v>6/12/2017</v>
      </c>
      <c r="I1334" t="str">
        <f>_xll.BDS("602409KG Muni","MUNI_PURPOSE_SCHED", "aggregate=y")</f>
        <v>WATER UTILITY IMPS. PUBLIC IMPS. SEWER IMPS.</v>
      </c>
      <c r="J1334">
        <f>_xll.BDP("602409KG Muni","CPN")</f>
        <v>5</v>
      </c>
      <c r="K1334" t="str">
        <f>_xll.BDP("602409KG Muni","MATURITY")</f>
        <v>10/1/2025</v>
      </c>
      <c r="L1334">
        <v>3335000</v>
      </c>
      <c r="M1334">
        <f>_xll.BDP("602409KG Muni","YIELD_ON_ISSUE_DATE")</f>
        <v>1.84</v>
      </c>
      <c r="N1334">
        <f>_xll.BDP("602409KG Muni","YTW_SPREAD_TO_MATURITY_AT_ISSU")</f>
        <v>6.0789348042612934</v>
      </c>
      <c r="O1334" t="str">
        <f>_xll.BDP("602409KG Muni","BVAL_MID_YTM")</f>
        <v>#N/A Authorization</v>
      </c>
      <c r="P1334" t="str">
        <f>_xll.BDP("602409KG Muni","MUNI_TAX_PROV")</f>
        <v>FED TAX-EXEMPT/ST TAXABLE</v>
      </c>
      <c r="Q1334" t="str">
        <f>_xll.BDP("602409KG Muni","MUNI_FED_TAX")</f>
        <v>N</v>
      </c>
      <c r="R1334">
        <f>_xll.BDP("602409KG Muni","MUNI_MSRB_VOLUME")</f>
        <v>150000</v>
      </c>
      <c r="S1334" t="str">
        <f>_xll.BDP("602409KG Muni","BB_COMPOSITE")</f>
        <v>AA+</v>
      </c>
      <c r="T1334">
        <f>_xll.BDP("602409KG Muni","LQA_LIQUIDITY_SCORE")</f>
        <v>74</v>
      </c>
    </row>
    <row r="1335" spans="1:20" x14ac:dyDescent="0.25">
      <c r="A1335" t="str">
        <f>_xll.BDP("602409KH Muni","ID_CUSIP")</f>
        <v>602409KH6</v>
      </c>
      <c r="B1335" t="s">
        <v>103</v>
      </c>
      <c r="C1335" t="str">
        <f>_xll.BDP("602409KH Muni","INSURANCE_STATUS")</f>
        <v>N</v>
      </c>
      <c r="D1335" t="str">
        <f>_xll.BDP("602409KH Muni","STATE_CODE")</f>
        <v>WI</v>
      </c>
      <c r="E1335" t="str">
        <f>_xll.BDP("602409KH Muni","COUNTY_LOCATION_ISSUER")</f>
        <v>Milwaukee, WI</v>
      </c>
      <c r="F1335">
        <f>_xll.BDP("602409KH Muni","DUR_ADJ_MID")</f>
        <v>3.7471930431696641</v>
      </c>
      <c r="G1335">
        <f>_xll.BDP("602409KH Muni","SPREAD_AT_ISSUANCE_TO_WORST")</f>
        <v>8.6398640351847522</v>
      </c>
      <c r="H1335" t="str">
        <f>_xll.BDP("602409KH Muni","ISSUE_DT")</f>
        <v>6/12/2017</v>
      </c>
      <c r="I1335" t="str">
        <f>_xll.BDS("602409KH Muni","MUNI_PURPOSE_SCHED", "aggregate=y")</f>
        <v>WATER UTILITY IMPS. PUBLIC IMPS. SEWER IMPS.</v>
      </c>
      <c r="J1335">
        <f>_xll.BDP("602409KH Muni","CPN")</f>
        <v>5</v>
      </c>
      <c r="K1335" t="str">
        <f>_xll.BDP("602409KH Muni","MATURITY")</f>
        <v>10/1/2026</v>
      </c>
      <c r="L1335">
        <v>3510000</v>
      </c>
      <c r="M1335">
        <f>_xll.BDP("602409KH Muni","YIELD_ON_ISSUE_DATE")</f>
        <v>2</v>
      </c>
      <c r="N1335">
        <f>_xll.BDP("602409KH Muni","YTW_SPREAD_TO_MATURITY_AT_ISSU")</f>
        <v>8.6398640351847522</v>
      </c>
      <c r="O1335" t="str">
        <f>_xll.BDP("602409KH Muni","BVAL_MID_YTM")</f>
        <v>#N/A Authorization</v>
      </c>
      <c r="P1335" t="str">
        <f>_xll.BDP("602409KH Muni","MUNI_TAX_PROV")</f>
        <v>FED TAX-EXEMPT/ST TAXABLE</v>
      </c>
      <c r="Q1335" t="str">
        <f>_xll.BDP("602409KH Muni","MUNI_FED_TAX")</f>
        <v>N</v>
      </c>
      <c r="R1335" t="str">
        <f>_xll.BDP("602409KH Muni","MUNI_MSRB_VOLUME")</f>
        <v>#N/A N/A</v>
      </c>
      <c r="S1335" t="str">
        <f>_xll.BDP("602409KH Muni","BB_COMPOSITE")</f>
        <v>AA+</v>
      </c>
      <c r="T1335">
        <f>_xll.BDP("602409KH Muni","LQA_LIQUIDITY_SCORE")</f>
        <v>66</v>
      </c>
    </row>
    <row r="1336" spans="1:20" x14ac:dyDescent="0.25">
      <c r="A1336" t="str">
        <f>_xll.BDP("602771LK Muni","ID_CUSIP")</f>
        <v>602771LK1</v>
      </c>
      <c r="B1336" t="s">
        <v>400</v>
      </c>
      <c r="C1336" t="str">
        <f>_xll.BDP("602771LK Muni","INSURANCE_STATUS")</f>
        <v>Y</v>
      </c>
      <c r="D1336" t="str">
        <f>_xll.BDP("602771LK Muni","STATE_CODE")</f>
        <v>TX</v>
      </c>
      <c r="E1336" t="str">
        <f>_xll.BDP("602771LK Muni","COUNTY_LOCATION_ISSUER")</f>
        <v>Wood, TX</v>
      </c>
      <c r="F1336">
        <f>_xll.BDP("602771LK Muni","DUR_ADJ_MID")</f>
        <v>8.0482408634252281E-2</v>
      </c>
      <c r="G1336">
        <f>_xll.BDP("602771LK Muni","SPREAD_AT_ISSUANCE_TO_WORST")</f>
        <v>34.528104146302965</v>
      </c>
      <c r="H1336" t="str">
        <f>_xll.BDP("602771LK Muni","ISSUE_DT")</f>
        <v>9/15/2017</v>
      </c>
      <c r="I1336" t="str">
        <f>_xll.BDS("602771LK Muni","MUNI_PURPOSE_SCHED", "aggregate=y")</f>
        <v>WATER UTILITY IMPS. SEWER IMPS.</v>
      </c>
      <c r="J1336">
        <f>_xll.BDP("602771LK Muni","CPN")</f>
        <v>2</v>
      </c>
      <c r="K1336" t="str">
        <f>_xll.BDP("602771LK Muni","MATURITY")</f>
        <v>9/1/2022</v>
      </c>
      <c r="L1336">
        <v>225000</v>
      </c>
      <c r="M1336">
        <f>_xll.BDP("602771LK Muni","YIELD_ON_ISSUE_DATE")</f>
        <v>1.5</v>
      </c>
      <c r="N1336">
        <f>_xll.BDP("602771LK Muni","YTW_SPREAD_TO_MATURITY_AT_ISSU")</f>
        <v>34.528104146302965</v>
      </c>
      <c r="O1336" t="str">
        <f>_xll.BDP("602771LK Muni","BVAL_MID_YTM")</f>
        <v>#N/A Authorization</v>
      </c>
      <c r="P1336" t="str">
        <f>_xll.BDP("602771LK Muni","MUNI_TAX_PROV")</f>
        <v>FED BQ</v>
      </c>
      <c r="Q1336" t="str">
        <f>_xll.BDP("602771LK Muni","MUNI_FED_TAX")</f>
        <v>N</v>
      </c>
      <c r="R1336" t="str">
        <f>_xll.BDP("602771LK Muni","MUNI_MSRB_VOLUME")</f>
        <v>#N/A N/A</v>
      </c>
      <c r="S1336" t="str">
        <f>_xll.BDP("602771LK Muni","BB_COMPOSITE")</f>
        <v>#N/A N/A</v>
      </c>
      <c r="T1336">
        <f>_xll.BDP("602771LK Muni","LQA_LIQUIDITY_SCORE")</f>
        <v>89</v>
      </c>
    </row>
    <row r="1337" spans="1:20" x14ac:dyDescent="0.25">
      <c r="A1337" t="str">
        <f>_xll.BDP("602771LL Muni","ID_CUSIP")</f>
        <v>602771LL9</v>
      </c>
      <c r="B1337" t="s">
        <v>400</v>
      </c>
      <c r="C1337" t="str">
        <f>_xll.BDP("602771LL Muni","INSURANCE_STATUS")</f>
        <v>Y</v>
      </c>
      <c r="D1337" t="str">
        <f>_xll.BDP("602771LL Muni","STATE_CODE")</f>
        <v>TX</v>
      </c>
      <c r="E1337" t="str">
        <f>_xll.BDP("602771LL Muni","COUNTY_LOCATION_ISSUER")</f>
        <v>Wood, TX</v>
      </c>
      <c r="F1337">
        <f>_xll.BDP("602771LL Muni","DUR_ADJ_MID")</f>
        <v>1.0496754747856383</v>
      </c>
      <c r="G1337">
        <f>_xll.BDP("602771LL Muni","SPREAD_AT_ISSUANCE_TO_WORST")</f>
        <v>34.758448896143989</v>
      </c>
      <c r="H1337" t="str">
        <f>_xll.BDP("602771LL Muni","ISSUE_DT")</f>
        <v>9/15/2017</v>
      </c>
      <c r="I1337" t="str">
        <f>_xll.BDS("602771LL Muni","MUNI_PURPOSE_SCHED", "aggregate=y")</f>
        <v>WATER UTILITY IMPS. SEWER IMPS.</v>
      </c>
      <c r="J1337">
        <f>_xll.BDP("602771LL Muni","CPN")</f>
        <v>3</v>
      </c>
      <c r="K1337" t="str">
        <f>_xll.BDP("602771LL Muni","MATURITY")</f>
        <v>9/1/2023</v>
      </c>
      <c r="L1337">
        <v>235000</v>
      </c>
      <c r="M1337">
        <f>_xll.BDP("602771LL Muni","YIELD_ON_ISSUE_DATE")</f>
        <v>1.6500000000000001</v>
      </c>
      <c r="N1337">
        <f>_xll.BDP("602771LL Muni","YTW_SPREAD_TO_MATURITY_AT_ISSU")</f>
        <v>34.758448896143989</v>
      </c>
      <c r="O1337" t="str">
        <f>_xll.BDP("602771LL Muni","BVAL_MID_YTM")</f>
        <v>#N/A Authorization</v>
      </c>
      <c r="P1337" t="str">
        <f>_xll.BDP("602771LL Muni","MUNI_TAX_PROV")</f>
        <v>FED BQ</v>
      </c>
      <c r="Q1337" t="str">
        <f>_xll.BDP("602771LL Muni","MUNI_FED_TAX")</f>
        <v>N</v>
      </c>
      <c r="R1337" t="str">
        <f>_xll.BDP("602771LL Muni","MUNI_MSRB_VOLUME")</f>
        <v>#N/A N/A</v>
      </c>
      <c r="S1337" t="str">
        <f>_xll.BDP("602771LL Muni","BB_COMPOSITE")</f>
        <v>#N/A N/A</v>
      </c>
      <c r="T1337">
        <f>_xll.BDP("602771LL Muni","LQA_LIQUIDITY_SCORE")</f>
        <v>83</v>
      </c>
    </row>
    <row r="1338" spans="1:20" x14ac:dyDescent="0.25">
      <c r="A1338" t="str">
        <f>_xll.BDP("602771LM Muni","ID_CUSIP")</f>
        <v>602771LM7</v>
      </c>
      <c r="B1338" t="s">
        <v>400</v>
      </c>
      <c r="C1338" t="str">
        <f>_xll.BDP("602771LM Muni","INSURANCE_STATUS")</f>
        <v>Y</v>
      </c>
      <c r="D1338" t="str">
        <f>_xll.BDP("602771LM Muni","STATE_CODE")</f>
        <v>TX</v>
      </c>
      <c r="E1338" t="str">
        <f>_xll.BDP("602771LM Muni","COUNTY_LOCATION_ISSUER")</f>
        <v>Wood, TX</v>
      </c>
      <c r="F1338">
        <f>_xll.BDP("602771LM Muni","DUR_ADJ_MID")</f>
        <v>1.9893258768482567</v>
      </c>
      <c r="G1338">
        <f>_xll.BDP("602771LM Muni","SPREAD_AT_ISSUANCE_TO_WORST")</f>
        <v>39.678628978468744</v>
      </c>
      <c r="H1338" t="str">
        <f>_xll.BDP("602771LM Muni","ISSUE_DT")</f>
        <v>9/15/2017</v>
      </c>
      <c r="I1338" t="str">
        <f>_xll.BDS("602771LM Muni","MUNI_PURPOSE_SCHED", "aggregate=y")</f>
        <v>WATER UTILITY IMPS. SEWER IMPS.</v>
      </c>
      <c r="J1338">
        <f>_xll.BDP("602771LM Muni","CPN")</f>
        <v>3</v>
      </c>
      <c r="K1338" t="str">
        <f>_xll.BDP("602771LM Muni","MATURITY")</f>
        <v>9/1/2024</v>
      </c>
      <c r="L1338">
        <v>245000</v>
      </c>
      <c r="M1338">
        <f>_xll.BDP("602771LM Muni","YIELD_ON_ISSUE_DATE")</f>
        <v>1.85</v>
      </c>
      <c r="N1338">
        <f>_xll.BDP("602771LM Muni","YTW_SPREAD_TO_MATURITY_AT_ISSU")</f>
        <v>39.678628978468744</v>
      </c>
      <c r="O1338" t="str">
        <f>_xll.BDP("602771LM Muni","BVAL_MID_YTM")</f>
        <v>#N/A Authorization</v>
      </c>
      <c r="P1338" t="str">
        <f>_xll.BDP("602771LM Muni","MUNI_TAX_PROV")</f>
        <v>FED BQ</v>
      </c>
      <c r="Q1338" t="str">
        <f>_xll.BDP("602771LM Muni","MUNI_FED_TAX")</f>
        <v>N</v>
      </c>
      <c r="R1338" t="str">
        <f>_xll.BDP("602771LM Muni","MUNI_MSRB_VOLUME")</f>
        <v>#N/A N/A</v>
      </c>
      <c r="S1338" t="str">
        <f>_xll.BDP("602771LM Muni","BB_COMPOSITE")</f>
        <v>#N/A N/A</v>
      </c>
      <c r="T1338">
        <f>_xll.BDP("602771LM Muni","LQA_LIQUIDITY_SCORE")</f>
        <v>72</v>
      </c>
    </row>
    <row r="1339" spans="1:20" x14ac:dyDescent="0.25">
      <c r="A1339" t="str">
        <f>_xll.BDP("602771LN Muni","ID_CUSIP")</f>
        <v>602771LN5</v>
      </c>
      <c r="B1339" t="s">
        <v>400</v>
      </c>
      <c r="C1339" t="str">
        <f>_xll.BDP("602771LN Muni","INSURANCE_STATUS")</f>
        <v>Y</v>
      </c>
      <c r="D1339" t="str">
        <f>_xll.BDP("602771LN Muni","STATE_CODE")</f>
        <v>TX</v>
      </c>
      <c r="E1339" t="str">
        <f>_xll.BDP("602771LN Muni","COUNTY_LOCATION_ISSUER")</f>
        <v>Wood, TX</v>
      </c>
      <c r="F1339">
        <f>_xll.BDP("602771LN Muni","DUR_ADJ_MID")</f>
        <v>2.9020004754887849</v>
      </c>
      <c r="G1339">
        <f>_xll.BDP("602771LN Muni","SPREAD_AT_ISSUANCE_TO_WORST")</f>
        <v>39.540371464169645</v>
      </c>
      <c r="H1339" t="str">
        <f>_xll.BDP("602771LN Muni","ISSUE_DT")</f>
        <v>9/15/2017</v>
      </c>
      <c r="I1339" t="str">
        <f>_xll.BDS("602771LN Muni","MUNI_PURPOSE_SCHED", "aggregate=y")</f>
        <v>WATER UTILITY IMPS. SEWER IMPS.</v>
      </c>
      <c r="J1339">
        <f>_xll.BDP("602771LN Muni","CPN")</f>
        <v>3</v>
      </c>
      <c r="K1339" t="str">
        <f>_xll.BDP("602771LN Muni","MATURITY")</f>
        <v>9/1/2025</v>
      </c>
      <c r="L1339">
        <v>240000</v>
      </c>
      <c r="M1339">
        <f>_xll.BDP("602771LN Muni","YIELD_ON_ISSUE_DATE")</f>
        <v>2</v>
      </c>
      <c r="N1339">
        <f>_xll.BDP("602771LN Muni","YTW_SPREAD_TO_MATURITY_AT_ISSU")</f>
        <v>39.540371464169645</v>
      </c>
      <c r="O1339" t="str">
        <f>_xll.BDP("602771LN Muni","BVAL_MID_YTM")</f>
        <v>#N/A Authorization</v>
      </c>
      <c r="P1339" t="str">
        <f>_xll.BDP("602771LN Muni","MUNI_TAX_PROV")</f>
        <v>FED BQ</v>
      </c>
      <c r="Q1339" t="str">
        <f>_xll.BDP("602771LN Muni","MUNI_FED_TAX")</f>
        <v>N</v>
      </c>
      <c r="R1339" t="str">
        <f>_xll.BDP("602771LN Muni","MUNI_MSRB_VOLUME")</f>
        <v>#N/A N/A</v>
      </c>
      <c r="S1339" t="str">
        <f>_xll.BDP("602771LN Muni","BB_COMPOSITE")</f>
        <v>#N/A N/A</v>
      </c>
      <c r="T1339">
        <f>_xll.BDP("602771LN Muni","LQA_LIQUIDITY_SCORE")</f>
        <v>62</v>
      </c>
    </row>
    <row r="1340" spans="1:20" x14ac:dyDescent="0.25">
      <c r="A1340" t="str">
        <f>_xll.BDP("602771LP Muni","ID_CUSIP")</f>
        <v>602771LP0</v>
      </c>
      <c r="B1340" t="s">
        <v>400</v>
      </c>
      <c r="C1340" t="str">
        <f>_xll.BDP("602771LP Muni","INSURANCE_STATUS")</f>
        <v>Y</v>
      </c>
      <c r="D1340" t="str">
        <f>_xll.BDP("602771LP Muni","STATE_CODE")</f>
        <v>TX</v>
      </c>
      <c r="E1340" t="str">
        <f>_xll.BDP("602771LP Muni","COUNTY_LOCATION_ISSUER")</f>
        <v>Wood, TX</v>
      </c>
      <c r="F1340">
        <f>_xll.BDP("602771LP Muni","DUR_ADJ_MID")</f>
        <v>3.7881484994791119</v>
      </c>
      <c r="G1340">
        <f>_xll.BDP("602771LP Muni","SPREAD_AT_ISSUANCE_TO_WORST")</f>
        <v>37.967542249210155</v>
      </c>
      <c r="H1340" t="str">
        <f>_xll.BDP("602771LP Muni","ISSUE_DT")</f>
        <v>9/15/2017</v>
      </c>
      <c r="I1340" t="str">
        <f>_xll.BDS("602771LP Muni","MUNI_PURPOSE_SCHED", "aggregate=y")</f>
        <v>WATER UTILITY IMPS. SEWER IMPS.</v>
      </c>
      <c r="J1340">
        <f>_xll.BDP("602771LP Muni","CPN")</f>
        <v>3</v>
      </c>
      <c r="K1340" t="str">
        <f>_xll.BDP("602771LP Muni","MATURITY")</f>
        <v>9/1/2026</v>
      </c>
      <c r="L1340">
        <v>260000</v>
      </c>
      <c r="M1340">
        <f>_xll.BDP("602771LP Muni","YIELD_ON_ISSUE_DATE")</f>
        <v>2.12</v>
      </c>
      <c r="N1340">
        <f>_xll.BDP("602771LP Muni","YTW_SPREAD_TO_MATURITY_AT_ISSU")</f>
        <v>37.967542249210155</v>
      </c>
      <c r="O1340" t="str">
        <f>_xll.BDP("602771LP Muni","BVAL_MID_YTM")</f>
        <v>#N/A Authorization</v>
      </c>
      <c r="P1340" t="str">
        <f>_xll.BDP("602771LP Muni","MUNI_TAX_PROV")</f>
        <v>FED BQ</v>
      </c>
      <c r="Q1340" t="str">
        <f>_xll.BDP("602771LP Muni","MUNI_FED_TAX")</f>
        <v>N</v>
      </c>
      <c r="R1340" t="str">
        <f>_xll.BDP("602771LP Muni","MUNI_MSRB_VOLUME")</f>
        <v>#N/A N/A</v>
      </c>
      <c r="S1340" t="str">
        <f>_xll.BDP("602771LP Muni","BB_COMPOSITE")</f>
        <v>#N/A N/A</v>
      </c>
      <c r="T1340">
        <f>_xll.BDP("602771LP Muni","LQA_LIQUIDITY_SCORE")</f>
        <v>53</v>
      </c>
    </row>
    <row r="1341" spans="1:20" x14ac:dyDescent="0.25">
      <c r="A1341" t="str">
        <f>_xll.BDP("399658GJ Muni","ID_CUSIP")</f>
        <v>399658GJ6</v>
      </c>
      <c r="B1341" t="s">
        <v>401</v>
      </c>
      <c r="C1341" t="str">
        <f>_xll.BDP("399658GJ Muni","INSURANCE_STATUS")</f>
        <v>N</v>
      </c>
      <c r="D1341" t="str">
        <f>_xll.BDP("399658GJ Muni","STATE_CODE")</f>
        <v>MA</v>
      </c>
      <c r="E1341" t="str">
        <f>_xll.BDP("399658GJ Muni","COUNTY_LOCATION_ISSUER")</f>
        <v>Essex, MA</v>
      </c>
      <c r="F1341">
        <f>_xll.BDP("399658GJ Muni","DUR_ADJ_MID")</f>
        <v>0.85665114233180828</v>
      </c>
      <c r="G1341">
        <f>_xll.BDP("399658GJ Muni","SPREAD_AT_ISSUANCE_TO_WORST")</f>
        <v>1.9269450780589725</v>
      </c>
      <c r="H1341" t="str">
        <f>_xll.BDP("399658GJ Muni","ISSUE_DT")</f>
        <v>6/15/2017</v>
      </c>
      <c r="I1341" t="str">
        <f>_xll.BDS("399658GJ Muni","MUNI_PURPOSE_SCHED", "aggregate=y")</f>
        <v>WATER UTILITY IMPS. PUBLIC IMPS.</v>
      </c>
      <c r="J1341">
        <f>_xll.BDP("399658GJ Muni","CPN")</f>
        <v>3</v>
      </c>
      <c r="K1341" t="str">
        <f>_xll.BDP("399658GJ Muni","MATURITY")</f>
        <v>6/15/2023</v>
      </c>
      <c r="L1341">
        <v>115000</v>
      </c>
      <c r="M1341">
        <f>_xll.BDP("399658GJ Muni","YIELD_ON_ISSUE_DATE")</f>
        <v>1.32</v>
      </c>
      <c r="N1341">
        <f>_xll.BDP("399658GJ Muni","YTW_SPREAD_TO_MATURITY_AT_ISSU")</f>
        <v>1.9269450780589725</v>
      </c>
      <c r="O1341" t="str">
        <f>_xll.BDP("399658GJ Muni","BVAL_MID_YTM")</f>
        <v>#N/A Authorization</v>
      </c>
      <c r="P1341" t="str">
        <f>_xll.BDP("399658GJ Muni","MUNI_TAX_PROV")</f>
        <v>FED BQ/ST TAX-EXEMPT</v>
      </c>
      <c r="Q1341" t="str">
        <f>_xll.BDP("399658GJ Muni","MUNI_FED_TAX")</f>
        <v>N</v>
      </c>
      <c r="R1341" t="str">
        <f>_xll.BDP("399658GJ Muni","MUNI_MSRB_VOLUME")</f>
        <v>#N/A N/A</v>
      </c>
      <c r="S1341" t="str">
        <f>_xll.BDP("399658GJ Muni","BB_COMPOSITE")</f>
        <v>#N/A N/A</v>
      </c>
      <c r="T1341">
        <f>_xll.BDP("399658GJ Muni","LQA_LIQUIDITY_SCORE")</f>
        <v>91</v>
      </c>
    </row>
    <row r="1342" spans="1:20" x14ac:dyDescent="0.25">
      <c r="A1342" t="str">
        <f>_xll.BDP("399658GK Muni","ID_CUSIP")</f>
        <v>399658GK3</v>
      </c>
      <c r="B1342" t="s">
        <v>401</v>
      </c>
      <c r="C1342" t="str">
        <f>_xll.BDP("399658GK Muni","INSURANCE_STATUS")</f>
        <v>N</v>
      </c>
      <c r="D1342" t="str">
        <f>_xll.BDP("399658GK Muni","STATE_CODE")</f>
        <v>MA</v>
      </c>
      <c r="E1342" t="str">
        <f>_xll.BDP("399658GK Muni","COUNTY_LOCATION_ISSUER")</f>
        <v>Essex, MA</v>
      </c>
      <c r="F1342">
        <f>_xll.BDP("399658GK Muni","DUR_ADJ_MID")</f>
        <v>1.8116965849518334</v>
      </c>
      <c r="G1342">
        <f>_xll.BDP("399658GK Muni","SPREAD_AT_ISSUANCE_TO_WORST")</f>
        <v>4.336746426647009</v>
      </c>
      <c r="H1342" t="str">
        <f>_xll.BDP("399658GK Muni","ISSUE_DT")</f>
        <v>6/15/2017</v>
      </c>
      <c r="I1342" t="str">
        <f>_xll.BDS("399658GK Muni","MUNI_PURPOSE_SCHED", "aggregate=y")</f>
        <v>WATER UTILITY IMPS. PUBLIC IMPS.</v>
      </c>
      <c r="J1342">
        <f>_xll.BDP("399658GK Muni","CPN")</f>
        <v>3</v>
      </c>
      <c r="K1342" t="str">
        <f>_xll.BDP("399658GK Muni","MATURITY")</f>
        <v>6/15/2024</v>
      </c>
      <c r="L1342">
        <v>115000</v>
      </c>
      <c r="M1342">
        <f>_xll.BDP("399658GK Muni","YIELD_ON_ISSUE_DATE")</f>
        <v>1.5</v>
      </c>
      <c r="N1342">
        <f>_xll.BDP("399658GK Muni","YTW_SPREAD_TO_MATURITY_AT_ISSU")</f>
        <v>4.336746426647009</v>
      </c>
      <c r="O1342" t="str">
        <f>_xll.BDP("399658GK Muni","BVAL_MID_YTM")</f>
        <v>#N/A Authorization</v>
      </c>
      <c r="P1342" t="str">
        <f>_xll.BDP("399658GK Muni","MUNI_TAX_PROV")</f>
        <v>FED BQ/ST TAX-EXEMPT</v>
      </c>
      <c r="Q1342" t="str">
        <f>_xll.BDP("399658GK Muni","MUNI_FED_TAX")</f>
        <v>N</v>
      </c>
      <c r="R1342" t="str">
        <f>_xll.BDP("399658GK Muni","MUNI_MSRB_VOLUME")</f>
        <v>#N/A N/A</v>
      </c>
      <c r="S1342" t="str">
        <f>_xll.BDP("399658GK Muni","BB_COMPOSITE")</f>
        <v>#N/A N/A</v>
      </c>
      <c r="T1342">
        <f>_xll.BDP("399658GK Muni","LQA_LIQUIDITY_SCORE")</f>
        <v>81</v>
      </c>
    </row>
    <row r="1343" spans="1:20" x14ac:dyDescent="0.25">
      <c r="A1343" t="str">
        <f>_xll.BDP("399658GL Muni","ID_CUSIP")</f>
        <v>399658GL1</v>
      </c>
      <c r="B1343" t="s">
        <v>401</v>
      </c>
      <c r="C1343" t="str">
        <f>_xll.BDP("399658GL Muni","INSURANCE_STATUS")</f>
        <v>N</v>
      </c>
      <c r="D1343" t="str">
        <f>_xll.BDP("399658GL Muni","STATE_CODE")</f>
        <v>MA</v>
      </c>
      <c r="E1343" t="str">
        <f>_xll.BDP("399658GL Muni","COUNTY_LOCATION_ISSUER")</f>
        <v>Essex, MA</v>
      </c>
      <c r="F1343">
        <f>_xll.BDP("399658GL Muni","DUR_ADJ_MID")</f>
        <v>2.7396682028214183</v>
      </c>
      <c r="G1343">
        <f>_xll.BDP("399658GL Muni","SPREAD_AT_ISSUANCE_TO_WORST")</f>
        <v>3.8886787824242264</v>
      </c>
      <c r="H1343" t="str">
        <f>_xll.BDP("399658GL Muni","ISSUE_DT")</f>
        <v>6/15/2017</v>
      </c>
      <c r="I1343" t="str">
        <f>_xll.BDS("399658GL Muni","MUNI_PURPOSE_SCHED", "aggregate=y")</f>
        <v>WATER UTILITY IMPS. PUBLIC IMPS.</v>
      </c>
      <c r="J1343">
        <f>_xll.BDP("399658GL Muni","CPN")</f>
        <v>3</v>
      </c>
      <c r="K1343" t="str">
        <f>_xll.BDP("399658GL Muni","MATURITY")</f>
        <v>6/15/2025</v>
      </c>
      <c r="L1343">
        <v>115000</v>
      </c>
      <c r="M1343">
        <f>_xll.BDP("399658GL Muni","YIELD_ON_ISSUE_DATE")</f>
        <v>1.6500000000000001</v>
      </c>
      <c r="N1343">
        <f>_xll.BDP("399658GL Muni","YTW_SPREAD_TO_MATURITY_AT_ISSU")</f>
        <v>3.8886787824242264</v>
      </c>
      <c r="O1343" t="str">
        <f>_xll.BDP("399658GL Muni","BVAL_MID_YTM")</f>
        <v>#N/A Authorization</v>
      </c>
      <c r="P1343" t="str">
        <f>_xll.BDP("399658GL Muni","MUNI_TAX_PROV")</f>
        <v>FED BQ/ST TAX-EXEMPT</v>
      </c>
      <c r="Q1343" t="str">
        <f>_xll.BDP("399658GL Muni","MUNI_FED_TAX")</f>
        <v>N</v>
      </c>
      <c r="R1343" t="str">
        <f>_xll.BDP("399658GL Muni","MUNI_MSRB_VOLUME")</f>
        <v>#N/A N/A</v>
      </c>
      <c r="S1343" t="str">
        <f>_xll.BDP("399658GL Muni","BB_COMPOSITE")</f>
        <v>#N/A N/A</v>
      </c>
      <c r="T1343">
        <f>_xll.BDP("399658GL Muni","LQA_LIQUIDITY_SCORE")</f>
        <v>70</v>
      </c>
    </row>
    <row r="1344" spans="1:20" x14ac:dyDescent="0.25">
      <c r="A1344" t="str">
        <f>_xll.BDP("399658GM Muni","ID_CUSIP")</f>
        <v>399658GM9</v>
      </c>
      <c r="B1344" t="s">
        <v>401</v>
      </c>
      <c r="C1344" t="str">
        <f>_xll.BDP("399658GM Muni","INSURANCE_STATUS")</f>
        <v>N</v>
      </c>
      <c r="D1344" t="str">
        <f>_xll.BDP("399658GM Muni","STATE_CODE")</f>
        <v>MA</v>
      </c>
      <c r="E1344" t="str">
        <f>_xll.BDP("399658GM Muni","COUNTY_LOCATION_ISSUER")</f>
        <v>Essex, MA</v>
      </c>
      <c r="F1344">
        <f>_xll.BDP("399658GM Muni","DUR_ADJ_MID")</f>
        <v>3.6414378890328423</v>
      </c>
      <c r="G1344">
        <f>_xll.BDP("399658GM Muni","SPREAD_AT_ISSUANCE_TO_WORST")</f>
        <v>9.9564558563988825</v>
      </c>
      <c r="H1344" t="str">
        <f>_xll.BDP("399658GM Muni","ISSUE_DT")</f>
        <v>6/15/2017</v>
      </c>
      <c r="I1344" t="str">
        <f>_xll.BDS("399658GM Muni","MUNI_PURPOSE_SCHED", "aggregate=y")</f>
        <v>WATER UTILITY IMPS. PUBLIC IMPS.</v>
      </c>
      <c r="J1344">
        <f>_xll.BDP("399658GM Muni","CPN")</f>
        <v>3</v>
      </c>
      <c r="K1344" t="str">
        <f>_xll.BDP("399658GM Muni","MATURITY")</f>
        <v>6/15/2026</v>
      </c>
      <c r="L1344">
        <v>115000</v>
      </c>
      <c r="M1344">
        <f>_xll.BDP("399658GM Muni","YIELD_ON_ISSUE_DATE")</f>
        <v>1.85</v>
      </c>
      <c r="N1344">
        <f>_xll.BDP("399658GM Muni","YTW_SPREAD_TO_MATURITY_AT_ISSU")</f>
        <v>9.9564558563988825</v>
      </c>
      <c r="O1344" t="str">
        <f>_xll.BDP("399658GM Muni","BVAL_MID_YTM")</f>
        <v>#N/A Authorization</v>
      </c>
      <c r="P1344" t="str">
        <f>_xll.BDP("399658GM Muni","MUNI_TAX_PROV")</f>
        <v>FED BQ/ST TAX-EXEMPT</v>
      </c>
      <c r="Q1344" t="str">
        <f>_xll.BDP("399658GM Muni","MUNI_FED_TAX")</f>
        <v>N</v>
      </c>
      <c r="R1344" t="str">
        <f>_xll.BDP("399658GM Muni","MUNI_MSRB_VOLUME")</f>
        <v>#N/A N/A</v>
      </c>
      <c r="S1344" t="str">
        <f>_xll.BDP("399658GM Muni","BB_COMPOSITE")</f>
        <v>#N/A N/A</v>
      </c>
      <c r="T1344">
        <f>_xll.BDP("399658GM Muni","LQA_LIQUIDITY_SCORE")</f>
        <v>58</v>
      </c>
    </row>
    <row r="1345" spans="1:20" x14ac:dyDescent="0.25">
      <c r="A1345" t="str">
        <f>_xll.BDP("399658GN Muni","ID_CUSIP")</f>
        <v>399658GN7</v>
      </c>
      <c r="B1345" t="s">
        <v>401</v>
      </c>
      <c r="C1345" t="str">
        <f>_xll.BDP("399658GN Muni","INSURANCE_STATUS")</f>
        <v>N</v>
      </c>
      <c r="D1345" t="str">
        <f>_xll.BDP("399658GN Muni","STATE_CODE")</f>
        <v>MA</v>
      </c>
      <c r="E1345" t="str">
        <f>_xll.BDP("399658GN Muni","COUNTY_LOCATION_ISSUER")</f>
        <v>Essex, MA</v>
      </c>
      <c r="F1345">
        <f>_xll.BDP("399658GN Muni","DUR_ADJ_MID")</f>
        <v>4.5177421963672515</v>
      </c>
      <c r="G1345">
        <f>_xll.BDP("399658GN Muni","SPREAD_AT_ISSUANCE_TO_WORST")</f>
        <v>13.536573328365243</v>
      </c>
      <c r="H1345" t="str">
        <f>_xll.BDP("399658GN Muni","ISSUE_DT")</f>
        <v>6/15/2017</v>
      </c>
      <c r="I1345" t="str">
        <f>_xll.BDS("399658GN Muni","MUNI_PURPOSE_SCHED", "aggregate=y")</f>
        <v>WATER UTILITY IMPS. PUBLIC IMPS.</v>
      </c>
      <c r="J1345">
        <f>_xll.BDP("399658GN Muni","CPN")</f>
        <v>3</v>
      </c>
      <c r="K1345" t="str">
        <f>_xll.BDP("399658GN Muni","MATURITY")</f>
        <v>6/15/2027</v>
      </c>
      <c r="L1345">
        <v>115000</v>
      </c>
      <c r="M1345">
        <f>_xll.BDP("399658GN Muni","YIELD_ON_ISSUE_DATE")</f>
        <v>2</v>
      </c>
      <c r="N1345">
        <f>_xll.BDP("399658GN Muni","YTW_SPREAD_TO_MATURITY_AT_ISSU")</f>
        <v>13.536573328365243</v>
      </c>
      <c r="O1345" t="str">
        <f>_xll.BDP("399658GN Muni","BVAL_MID_YTM")</f>
        <v>#N/A Authorization</v>
      </c>
      <c r="P1345" t="str">
        <f>_xll.BDP("399658GN Muni","MUNI_TAX_PROV")</f>
        <v>FED BQ/ST TAX-EXEMPT</v>
      </c>
      <c r="Q1345" t="str">
        <f>_xll.BDP("399658GN Muni","MUNI_FED_TAX")</f>
        <v>N</v>
      </c>
      <c r="R1345" t="str">
        <f>_xll.BDP("399658GN Muni","MUNI_MSRB_VOLUME")</f>
        <v>#N/A N/A</v>
      </c>
      <c r="S1345" t="str">
        <f>_xll.BDP("399658GN Muni","BB_COMPOSITE")</f>
        <v>#N/A N/A</v>
      </c>
      <c r="T1345">
        <f>_xll.BDP("399658GN Muni","LQA_LIQUIDITY_SCORE")</f>
        <v>45</v>
      </c>
    </row>
    <row r="1346" spans="1:20" x14ac:dyDescent="0.25">
      <c r="A1346" t="str">
        <f>_xll.BDP("400524JV Muni","ID_CUSIP")</f>
        <v>400524JV7</v>
      </c>
      <c r="B1346" t="s">
        <v>402</v>
      </c>
      <c r="C1346" t="str">
        <f>_xll.BDP("400524JV Muni","INSURANCE_STATUS")</f>
        <v>N</v>
      </c>
      <c r="D1346" t="str">
        <f>_xll.BDP("400524JV Muni","STATE_CODE")</f>
        <v>TX</v>
      </c>
      <c r="E1346" t="str">
        <f>_xll.BDP("400524JV Muni","COUNTY_LOCATION_ISSUER")</f>
        <v>Guadalupe, TX</v>
      </c>
      <c r="F1346">
        <f>_xll.BDP("400524JV Muni","DUR_ADJ_MID")</f>
        <v>0.69121242184233811</v>
      </c>
      <c r="G1346">
        <f>_xll.BDP("400524JV Muni","SPREAD_AT_ISSUANCE_TO_WORST")</f>
        <v>27.657975342465747</v>
      </c>
      <c r="H1346" t="str">
        <f>_xll.BDP("400524JV Muni","ISSUE_DT")</f>
        <v>10/15/2017</v>
      </c>
      <c r="I1346" t="str">
        <f>_xll.BDS("400524JV Muni","MUNI_PURPOSE_SCHED", "aggregate=y")</f>
        <v>WATER UTILITY IMPS.</v>
      </c>
      <c r="J1346">
        <f>_xll.BDP("400524JV Muni","CPN")</f>
        <v>3</v>
      </c>
      <c r="K1346" t="str">
        <f>_xll.BDP("400524JV Muni","MATURITY")</f>
        <v>4/15/2023</v>
      </c>
      <c r="L1346">
        <v>115000</v>
      </c>
      <c r="M1346">
        <f>_xll.BDP("400524JV Muni","YIELD_ON_ISSUE_DATE")</f>
        <v>1.72</v>
      </c>
      <c r="N1346">
        <f>_xll.BDP("400524JV Muni","YTW_SPREAD_TO_MATURITY_AT_ISSU")</f>
        <v>27.657975342465747</v>
      </c>
      <c r="O1346" t="str">
        <f>_xll.BDP("400524JV Muni","BVAL_MID_YTM")</f>
        <v>#N/A Authorization</v>
      </c>
      <c r="P1346" t="str">
        <f>_xll.BDP("400524JV Muni","MUNI_TAX_PROV")</f>
        <v>FED TAX-EXEMPT</v>
      </c>
      <c r="Q1346" t="str">
        <f>_xll.BDP("400524JV Muni","MUNI_FED_TAX")</f>
        <v>N</v>
      </c>
      <c r="R1346" t="str">
        <f>_xll.BDP("400524JV Muni","MUNI_MSRB_VOLUME")</f>
        <v>#N/A N/A</v>
      </c>
      <c r="S1346" t="str">
        <f>_xll.BDP("400524JV Muni","BB_COMPOSITE")</f>
        <v>#N/A N/A</v>
      </c>
      <c r="T1346">
        <f>_xll.BDP("400524JV Muni","LQA_LIQUIDITY_SCORE")</f>
        <v>96</v>
      </c>
    </row>
    <row r="1347" spans="1:20" x14ac:dyDescent="0.25">
      <c r="A1347" t="str">
        <f>_xll.BDP("400524JW Muni","ID_CUSIP")</f>
        <v>400524JW5</v>
      </c>
      <c r="B1347" t="s">
        <v>402</v>
      </c>
      <c r="C1347" t="str">
        <f>_xll.BDP("400524JW Muni","INSURANCE_STATUS")</f>
        <v>N</v>
      </c>
      <c r="D1347" t="str">
        <f>_xll.BDP("400524JW Muni","STATE_CODE")</f>
        <v>TX</v>
      </c>
      <c r="E1347" t="str">
        <f>_xll.BDP("400524JW Muni","COUNTY_LOCATION_ISSUER")</f>
        <v>Guadalupe, TX</v>
      </c>
      <c r="F1347">
        <f>_xll.BDP("400524JW Muni","DUR_ADJ_MID")</f>
        <v>1.6328971126698775</v>
      </c>
      <c r="G1347">
        <f>_xll.BDP("400524JW Muni","SPREAD_AT_ISSUANCE_TO_WORST")</f>
        <v>29.071109589041111</v>
      </c>
      <c r="H1347" t="str">
        <f>_xll.BDP("400524JW Muni","ISSUE_DT")</f>
        <v>10/15/2017</v>
      </c>
      <c r="I1347" t="str">
        <f>_xll.BDS("400524JW Muni","MUNI_PURPOSE_SCHED", "aggregate=y")</f>
        <v>WATER UTILITY IMPS.</v>
      </c>
      <c r="J1347">
        <f>_xll.BDP("400524JW Muni","CPN")</f>
        <v>4</v>
      </c>
      <c r="K1347" t="str">
        <f>_xll.BDP("400524JW Muni","MATURITY")</f>
        <v>4/15/2024</v>
      </c>
      <c r="L1347">
        <v>120000</v>
      </c>
      <c r="M1347">
        <f>_xll.BDP("400524JW Muni","YIELD_ON_ISSUE_DATE")</f>
        <v>1.86</v>
      </c>
      <c r="N1347">
        <f>_xll.BDP("400524JW Muni","YTW_SPREAD_TO_MATURITY_AT_ISSU")</f>
        <v>29.071109589041111</v>
      </c>
      <c r="O1347" t="str">
        <f>_xll.BDP("400524JW Muni","BVAL_MID_YTM")</f>
        <v>#N/A Authorization</v>
      </c>
      <c r="P1347" t="str">
        <f>_xll.BDP("400524JW Muni","MUNI_TAX_PROV")</f>
        <v>FED TAX-EXEMPT</v>
      </c>
      <c r="Q1347" t="str">
        <f>_xll.BDP("400524JW Muni","MUNI_FED_TAX")</f>
        <v>N</v>
      </c>
      <c r="R1347" t="str">
        <f>_xll.BDP("400524JW Muni","MUNI_MSRB_VOLUME")</f>
        <v>#N/A N/A</v>
      </c>
      <c r="S1347" t="str">
        <f>_xll.BDP("400524JW Muni","BB_COMPOSITE")</f>
        <v>#N/A N/A</v>
      </c>
      <c r="T1347">
        <f>_xll.BDP("400524JW Muni","LQA_LIQUIDITY_SCORE")</f>
        <v>85</v>
      </c>
    </row>
    <row r="1348" spans="1:20" x14ac:dyDescent="0.25">
      <c r="A1348" t="str">
        <f>_xll.BDP("400524JX Muni","ID_CUSIP")</f>
        <v>400524JX3</v>
      </c>
      <c r="B1348" t="s">
        <v>402</v>
      </c>
      <c r="C1348" t="str">
        <f>_xll.BDP("400524JX Muni","INSURANCE_STATUS")</f>
        <v>N</v>
      </c>
      <c r="D1348" t="str">
        <f>_xll.BDP("400524JX Muni","STATE_CODE")</f>
        <v>TX</v>
      </c>
      <c r="E1348" t="str">
        <f>_xll.BDP("400524JX Muni","COUNTY_LOCATION_ISSUER")</f>
        <v>Guadalupe, TX</v>
      </c>
      <c r="F1348">
        <f>_xll.BDP("400524JX Muni","DUR_ADJ_MID")</f>
        <v>2.5427957891709059</v>
      </c>
      <c r="G1348">
        <f>_xll.BDP("400524JX Muni","SPREAD_AT_ISSUANCE_TO_WORST")</f>
        <v>32.283465753424643</v>
      </c>
      <c r="H1348" t="str">
        <f>_xll.BDP("400524JX Muni","ISSUE_DT")</f>
        <v>10/15/2017</v>
      </c>
      <c r="I1348" t="str">
        <f>_xll.BDS("400524JX Muni","MUNI_PURPOSE_SCHED", "aggregate=y")</f>
        <v>WATER UTILITY IMPS.</v>
      </c>
      <c r="J1348">
        <f>_xll.BDP("400524JX Muni","CPN")</f>
        <v>4</v>
      </c>
      <c r="K1348" t="str">
        <f>_xll.BDP("400524JX Muni","MATURITY")</f>
        <v>4/15/2025</v>
      </c>
      <c r="L1348">
        <v>130000</v>
      </c>
      <c r="M1348">
        <f>_xll.BDP("400524JX Muni","YIELD_ON_ISSUE_DATE")</f>
        <v>2.02</v>
      </c>
      <c r="N1348">
        <f>_xll.BDP("400524JX Muni","YTW_SPREAD_TO_MATURITY_AT_ISSU")</f>
        <v>32.283465753424643</v>
      </c>
      <c r="O1348" t="str">
        <f>_xll.BDP("400524JX Muni","BVAL_MID_YTM")</f>
        <v>#N/A Authorization</v>
      </c>
      <c r="P1348" t="str">
        <f>_xll.BDP("400524JX Muni","MUNI_TAX_PROV")</f>
        <v>FED TAX-EXEMPT</v>
      </c>
      <c r="Q1348" t="str">
        <f>_xll.BDP("400524JX Muni","MUNI_FED_TAX")</f>
        <v>N</v>
      </c>
      <c r="R1348" t="str">
        <f>_xll.BDP("400524JX Muni","MUNI_MSRB_VOLUME")</f>
        <v>#N/A N/A</v>
      </c>
      <c r="S1348" t="str">
        <f>_xll.BDP("400524JX Muni","BB_COMPOSITE")</f>
        <v>#N/A N/A</v>
      </c>
      <c r="T1348">
        <f>_xll.BDP("400524JX Muni","LQA_LIQUIDITY_SCORE")</f>
        <v>73</v>
      </c>
    </row>
    <row r="1349" spans="1:20" x14ac:dyDescent="0.25">
      <c r="A1349" t="str">
        <f>_xll.BDP("400524JY Muni","ID_CUSIP")</f>
        <v>400524JY1</v>
      </c>
      <c r="B1349" t="s">
        <v>402</v>
      </c>
      <c r="C1349" t="str">
        <f>_xll.BDP("400524JY Muni","INSURANCE_STATUS")</f>
        <v>N</v>
      </c>
      <c r="D1349" t="str">
        <f>_xll.BDP("400524JY Muni","STATE_CODE")</f>
        <v>TX</v>
      </c>
      <c r="E1349" t="str">
        <f>_xll.BDP("400524JY Muni","COUNTY_LOCATION_ISSUER")</f>
        <v>Guadalupe, TX</v>
      </c>
      <c r="F1349">
        <f>_xll.BDP("400524JY Muni","DUR_ADJ_MID")</f>
        <v>3.4209748542081515</v>
      </c>
      <c r="G1349">
        <f>_xll.BDP("400524JY Muni","SPREAD_AT_ISSUANCE_TO_WORST")</f>
        <v>36.259753424657546</v>
      </c>
      <c r="H1349" t="str">
        <f>_xll.BDP("400524JY Muni","ISSUE_DT")</f>
        <v>10/15/2017</v>
      </c>
      <c r="I1349" t="str">
        <f>_xll.BDS("400524JY Muni","MUNI_PURPOSE_SCHED", "aggregate=y")</f>
        <v>WATER UTILITY IMPS.</v>
      </c>
      <c r="J1349">
        <f>_xll.BDP("400524JY Muni","CPN")</f>
        <v>4</v>
      </c>
      <c r="K1349" t="str">
        <f>_xll.BDP("400524JY Muni","MATURITY")</f>
        <v>4/15/2026</v>
      </c>
      <c r="L1349">
        <v>135000</v>
      </c>
      <c r="M1349">
        <f>_xll.BDP("400524JY Muni","YIELD_ON_ISSUE_DATE")</f>
        <v>2.1800000000000002</v>
      </c>
      <c r="N1349">
        <f>_xll.BDP("400524JY Muni","YTW_SPREAD_TO_MATURITY_AT_ISSU")</f>
        <v>36.259753424657546</v>
      </c>
      <c r="O1349" t="str">
        <f>_xll.BDP("400524JY Muni","BVAL_MID_YTM")</f>
        <v>#N/A Authorization</v>
      </c>
      <c r="P1349" t="str">
        <f>_xll.BDP("400524JY Muni","MUNI_TAX_PROV")</f>
        <v>FED TAX-EXEMPT</v>
      </c>
      <c r="Q1349" t="str">
        <f>_xll.BDP("400524JY Muni","MUNI_FED_TAX")</f>
        <v>N</v>
      </c>
      <c r="R1349" t="str">
        <f>_xll.BDP("400524JY Muni","MUNI_MSRB_VOLUME")</f>
        <v>#N/A N/A</v>
      </c>
      <c r="S1349" t="str">
        <f>_xll.BDP("400524JY Muni","BB_COMPOSITE")</f>
        <v>#N/A N/A</v>
      </c>
      <c r="T1349">
        <f>_xll.BDP("400524JY Muni","LQA_LIQUIDITY_SCORE")</f>
        <v>62</v>
      </c>
    </row>
    <row r="1350" spans="1:20" x14ac:dyDescent="0.25">
      <c r="A1350" t="str">
        <f>_xll.BDP("587091UN Muni","ID_CUSIP")</f>
        <v>587091UN7</v>
      </c>
      <c r="B1350" t="s">
        <v>117</v>
      </c>
      <c r="C1350" t="str">
        <f>_xll.BDP("587091UN Muni","INSURANCE_STATUS")</f>
        <v>Y</v>
      </c>
      <c r="D1350" t="str">
        <f>_xll.BDP("587091UN Muni","STATE_CODE")</f>
        <v>WI</v>
      </c>
      <c r="E1350" t="str">
        <f>_xll.BDP("587091UN Muni","COUNTY_LOCATION_ISSUER")</f>
        <v>Dunn, WI</v>
      </c>
      <c r="F1350">
        <f>_xll.BDP("587091UN Muni","DUR_ADJ_MID")</f>
        <v>0.16356148791091965</v>
      </c>
      <c r="G1350">
        <f>_xll.BDP("587091UN Muni","SPREAD_AT_ISSUANCE_TO_WORST")</f>
        <v>19.645919943341038</v>
      </c>
      <c r="H1350" t="str">
        <f>_xll.BDP("587091UN Muni","ISSUE_DT")</f>
        <v>5/24/2017</v>
      </c>
      <c r="I1350" t="str">
        <f>_xll.BDS("587091UN Muni","MUNI_PURPOSE_SCHED", "aggregate=y")</f>
        <v>PUBLIC IMPS. RECREATIONAL FAC. IMPS. WATER UTILITY IMPS.</v>
      </c>
      <c r="J1350">
        <f>_xll.BDP("587091UN Muni","CPN")</f>
        <v>3</v>
      </c>
      <c r="K1350" t="str">
        <f>_xll.BDP("587091UN Muni","MATURITY")</f>
        <v>10/1/2022</v>
      </c>
      <c r="L1350">
        <v>80000</v>
      </c>
      <c r="M1350">
        <f>_xll.BDP("587091UN Muni","YIELD_ON_ISSUE_DATE")</f>
        <v>1.6500000000000001</v>
      </c>
      <c r="N1350">
        <f>_xll.BDP("587091UN Muni","YTW_SPREAD_TO_MATURITY_AT_ISSU")</f>
        <v>19.645919943341038</v>
      </c>
      <c r="O1350" t="str">
        <f>_xll.BDP("587091UN Muni","BVAL_MID_YTM")</f>
        <v>#N/A Authorization</v>
      </c>
      <c r="P1350" t="str">
        <f>_xll.BDP("587091UN Muni","MUNI_TAX_PROV")</f>
        <v>FED BQ/ST TAXABLE</v>
      </c>
      <c r="Q1350" t="str">
        <f>_xll.BDP("587091UN Muni","MUNI_FED_TAX")</f>
        <v>N</v>
      </c>
      <c r="R1350" t="str">
        <f>_xll.BDP("587091UN Muni","MUNI_MSRB_VOLUME")</f>
        <v>#N/A N/A</v>
      </c>
      <c r="S1350" t="str">
        <f>_xll.BDP("587091UN Muni","BB_COMPOSITE")</f>
        <v>#N/A N/A</v>
      </c>
      <c r="T1350">
        <f>_xll.BDP("587091UN Muni","LQA_LIQUIDITY_SCORE")</f>
        <v>97</v>
      </c>
    </row>
    <row r="1351" spans="1:20" x14ac:dyDescent="0.25">
      <c r="A1351" t="str">
        <f>_xll.BDP("462115RC Muni","ID_CUSIP")</f>
        <v>462115RC2</v>
      </c>
      <c r="B1351" t="s">
        <v>403</v>
      </c>
      <c r="C1351" t="str">
        <f>_xll.BDP("462115RC Muni","INSURANCE_STATUS")</f>
        <v>N</v>
      </c>
      <c r="D1351" t="str">
        <f>_xll.BDP("462115RC Muni","STATE_CODE")</f>
        <v>MI</v>
      </c>
      <c r="E1351" t="str">
        <f>_xll.BDP("462115RC Muni","COUNTY_LOCATION_ISSUER")</f>
        <v>Ionia, MI</v>
      </c>
      <c r="F1351">
        <f>_xll.BDP("462115RC Muni","DUR_ADJ_MID")</f>
        <v>5.5552590769568574E-3</v>
      </c>
      <c r="G1351">
        <f>_xll.BDP("462115RC Muni","SPREAD_AT_ISSUANCE_TO_WORST")</f>
        <v>33.38453673544597</v>
      </c>
      <c r="H1351" t="str">
        <f>_xll.BDP("462115RC Muni","ISSUE_DT")</f>
        <v>6/27/2017</v>
      </c>
      <c r="I1351" t="str">
        <f>_xll.BDS("462115RC Muni","MUNI_PURPOSE_SCHED", "aggregate=y")</f>
        <v>WATER UTILITY IMPS. SEWER IMPS.</v>
      </c>
      <c r="J1351">
        <f>_xll.BDP("462115RC Muni","CPN")</f>
        <v>3</v>
      </c>
      <c r="K1351" t="str">
        <f>_xll.BDP("462115RC Muni","MATURITY")</f>
        <v>8/1/2022</v>
      </c>
      <c r="L1351">
        <v>240000</v>
      </c>
      <c r="M1351">
        <f>_xll.BDP("462115RC Muni","YIELD_ON_ISSUE_DATE")</f>
        <v>1.5</v>
      </c>
      <c r="N1351">
        <f>_xll.BDP("462115RC Muni","YTW_SPREAD_TO_MATURITY_AT_ISSU")</f>
        <v>33.38453673544597</v>
      </c>
      <c r="O1351" t="str">
        <f>_xll.BDP("462115RC Muni","BVAL_MID_YTM")</f>
        <v>#N/A Authorization</v>
      </c>
      <c r="P1351" t="str">
        <f>_xll.BDP("462115RC Muni","MUNI_TAX_PROV")</f>
        <v>FED &amp; ST TAX-EXEMPT</v>
      </c>
      <c r="Q1351" t="str">
        <f>_xll.BDP("462115RC Muni","MUNI_FED_TAX")</f>
        <v>N</v>
      </c>
      <c r="R1351" t="str">
        <f>_xll.BDP("462115RC Muni","MUNI_MSRB_VOLUME")</f>
        <v>#N/A N/A</v>
      </c>
      <c r="S1351" t="str">
        <f>_xll.BDP("462115RC Muni","BB_COMPOSITE")</f>
        <v>#N/A N/A</v>
      </c>
      <c r="T1351">
        <f>_xll.BDP("462115RC Muni","LQA_LIQUIDITY_SCORE")</f>
        <v>98</v>
      </c>
    </row>
    <row r="1352" spans="1:20" x14ac:dyDescent="0.25">
      <c r="A1352" t="str">
        <f>_xll.BDP("462115RD Muni","ID_CUSIP")</f>
        <v>462115RD0</v>
      </c>
      <c r="B1352" t="s">
        <v>403</v>
      </c>
      <c r="C1352" t="str">
        <f>_xll.BDP("462115RD Muni","INSURANCE_STATUS")</f>
        <v>N</v>
      </c>
      <c r="D1352" t="str">
        <f>_xll.BDP("462115RD Muni","STATE_CODE")</f>
        <v>MI</v>
      </c>
      <c r="E1352" t="str">
        <f>_xll.BDP("462115RD Muni","COUNTY_LOCATION_ISSUER")</f>
        <v>Ionia, MI</v>
      </c>
      <c r="F1352">
        <f>_xll.BDP("462115RD Muni","DUR_ADJ_MID")</f>
        <v>0.98232082266526688</v>
      </c>
      <c r="G1352">
        <f>_xll.BDP("462115RD Muni","SPREAD_AT_ISSUANCE_TO_WORST")</f>
        <v>32.924709187538625</v>
      </c>
      <c r="H1352" t="str">
        <f>_xll.BDP("462115RD Muni","ISSUE_DT")</f>
        <v>6/27/2017</v>
      </c>
      <c r="I1352" t="str">
        <f>_xll.BDS("462115RD Muni","MUNI_PURPOSE_SCHED", "aggregate=y")</f>
        <v>WATER UTILITY IMPS. SEWER IMPS.</v>
      </c>
      <c r="J1352">
        <f>_xll.BDP("462115RD Muni","CPN")</f>
        <v>3</v>
      </c>
      <c r="K1352" t="str">
        <f>_xll.BDP("462115RD Muni","MATURITY")</f>
        <v>8/1/2023</v>
      </c>
      <c r="L1352">
        <v>250000</v>
      </c>
      <c r="M1352">
        <f>_xll.BDP("462115RD Muni","YIELD_ON_ISSUE_DATE")</f>
        <v>1.6500000000000001</v>
      </c>
      <c r="N1352">
        <f>_xll.BDP("462115RD Muni","YTW_SPREAD_TO_MATURITY_AT_ISSU")</f>
        <v>32.924709187538625</v>
      </c>
      <c r="O1352" t="str">
        <f>_xll.BDP("462115RD Muni","BVAL_MID_YTM")</f>
        <v>#N/A Authorization</v>
      </c>
      <c r="P1352" t="str">
        <f>_xll.BDP("462115RD Muni","MUNI_TAX_PROV")</f>
        <v>FED &amp; ST TAX-EXEMPT</v>
      </c>
      <c r="Q1352" t="str">
        <f>_xll.BDP("462115RD Muni","MUNI_FED_TAX")</f>
        <v>N</v>
      </c>
      <c r="R1352" t="str">
        <f>_xll.BDP("462115RD Muni","MUNI_MSRB_VOLUME")</f>
        <v>#N/A N/A</v>
      </c>
      <c r="S1352" t="str">
        <f>_xll.BDP("462115RD Muni","BB_COMPOSITE")</f>
        <v>#N/A N/A</v>
      </c>
      <c r="T1352">
        <f>_xll.BDP("462115RD Muni","LQA_LIQUIDITY_SCORE")</f>
        <v>87</v>
      </c>
    </row>
    <row r="1353" spans="1:20" x14ac:dyDescent="0.25">
      <c r="A1353" t="str">
        <f>_xll.BDP("462115RE Muni","ID_CUSIP")</f>
        <v>462115RE8</v>
      </c>
      <c r="B1353" t="s">
        <v>403</v>
      </c>
      <c r="C1353" t="str">
        <f>_xll.BDP("462115RE Muni","INSURANCE_STATUS")</f>
        <v>N</v>
      </c>
      <c r="D1353" t="str">
        <f>_xll.BDP("462115RE Muni","STATE_CODE")</f>
        <v>MI</v>
      </c>
      <c r="E1353" t="str">
        <f>_xll.BDP("462115RE Muni","COUNTY_LOCATION_ISSUER")</f>
        <v>Ionia, MI</v>
      </c>
      <c r="F1353">
        <f>_xll.BDP("462115RE Muni","DUR_ADJ_MID")</f>
        <v>1.9366688768725859</v>
      </c>
      <c r="G1353">
        <f>_xll.BDP("462115RE Muni","SPREAD_AT_ISSUANCE_TO_WORST")</f>
        <v>32.339777157065598</v>
      </c>
      <c r="H1353" t="str">
        <f>_xll.BDP("462115RE Muni","ISSUE_DT")</f>
        <v>6/27/2017</v>
      </c>
      <c r="I1353" t="str">
        <f>_xll.BDS("462115RE Muni","MUNI_PURPOSE_SCHED", "aggregate=y")</f>
        <v>WATER UTILITY IMPS. SEWER IMPS.</v>
      </c>
      <c r="J1353">
        <f>_xll.BDP("462115RE Muni","CPN")</f>
        <v>3</v>
      </c>
      <c r="K1353" t="str">
        <f>_xll.BDP("462115RE Muni","MATURITY")</f>
        <v>8/1/2024</v>
      </c>
      <c r="L1353">
        <v>260000</v>
      </c>
      <c r="M1353">
        <f>_xll.BDP("462115RE Muni","YIELD_ON_ISSUE_DATE")</f>
        <v>1.8</v>
      </c>
      <c r="N1353">
        <f>_xll.BDP("462115RE Muni","YTW_SPREAD_TO_MATURITY_AT_ISSU")</f>
        <v>32.339777157065598</v>
      </c>
      <c r="O1353" t="str">
        <f>_xll.BDP("462115RE Muni","BVAL_MID_YTM")</f>
        <v>#N/A Authorization</v>
      </c>
      <c r="P1353" t="str">
        <f>_xll.BDP("462115RE Muni","MUNI_TAX_PROV")</f>
        <v>FED &amp; ST TAX-EXEMPT</v>
      </c>
      <c r="Q1353" t="str">
        <f>_xll.BDP("462115RE Muni","MUNI_FED_TAX")</f>
        <v>N</v>
      </c>
      <c r="R1353" t="str">
        <f>_xll.BDP("462115RE Muni","MUNI_MSRB_VOLUME")</f>
        <v>#N/A N/A</v>
      </c>
      <c r="S1353" t="str">
        <f>_xll.BDP("462115RE Muni","BB_COMPOSITE")</f>
        <v>#N/A N/A</v>
      </c>
      <c r="T1353">
        <f>_xll.BDP("462115RE Muni","LQA_LIQUIDITY_SCORE")</f>
        <v>77</v>
      </c>
    </row>
    <row r="1354" spans="1:20" x14ac:dyDescent="0.25">
      <c r="A1354" t="str">
        <f>_xll.BDP("462115RF Muni","ID_CUSIP")</f>
        <v>462115RF5</v>
      </c>
      <c r="B1354" t="s">
        <v>403</v>
      </c>
      <c r="C1354" t="str">
        <f>_xll.BDP("462115RF Muni","INSURANCE_STATUS")</f>
        <v>N</v>
      </c>
      <c r="D1354" t="str">
        <f>_xll.BDP("462115RF Muni","STATE_CODE")</f>
        <v>MI</v>
      </c>
      <c r="E1354" t="str">
        <f>_xll.BDP("462115RF Muni","COUNTY_LOCATION_ISSUER")</f>
        <v>Ionia, MI</v>
      </c>
      <c r="F1354">
        <f>_xll.BDP("462115RF Muni","DUR_ADJ_MID")</f>
        <v>2.8636582527443739</v>
      </c>
      <c r="G1354">
        <f>_xll.BDP("462115RF Muni","SPREAD_AT_ISSUANCE_TO_WORST")</f>
        <v>32.080683120759048</v>
      </c>
      <c r="H1354" t="str">
        <f>_xll.BDP("462115RF Muni","ISSUE_DT")</f>
        <v>6/27/2017</v>
      </c>
      <c r="I1354" t="str">
        <f>_xll.BDS("462115RF Muni","MUNI_PURPOSE_SCHED", "aggregate=y")</f>
        <v>WATER UTILITY IMPS. SEWER IMPS.</v>
      </c>
      <c r="J1354">
        <f>_xll.BDP("462115RF Muni","CPN")</f>
        <v>3</v>
      </c>
      <c r="K1354" t="str">
        <f>_xll.BDP("462115RF Muni","MATURITY")</f>
        <v>8/1/2025</v>
      </c>
      <c r="L1354">
        <v>270000</v>
      </c>
      <c r="M1354">
        <f>_xll.BDP("462115RF Muni","YIELD_ON_ISSUE_DATE")</f>
        <v>1.95</v>
      </c>
      <c r="N1354">
        <f>_xll.BDP("462115RF Muni","YTW_SPREAD_TO_MATURITY_AT_ISSU")</f>
        <v>32.080683120759048</v>
      </c>
      <c r="O1354" t="str">
        <f>_xll.BDP("462115RF Muni","BVAL_MID_YTM")</f>
        <v>#N/A Authorization</v>
      </c>
      <c r="P1354" t="str">
        <f>_xll.BDP("462115RF Muni","MUNI_TAX_PROV")</f>
        <v>FED &amp; ST TAX-EXEMPT</v>
      </c>
      <c r="Q1354" t="str">
        <f>_xll.BDP("462115RF Muni","MUNI_FED_TAX")</f>
        <v>N</v>
      </c>
      <c r="R1354" t="str">
        <f>_xll.BDP("462115RF Muni","MUNI_MSRB_VOLUME")</f>
        <v>#N/A N/A</v>
      </c>
      <c r="S1354" t="str">
        <f>_xll.BDP("462115RF Muni","BB_COMPOSITE")</f>
        <v>#N/A N/A</v>
      </c>
      <c r="T1354">
        <f>_xll.BDP("462115RF Muni","LQA_LIQUIDITY_SCORE")</f>
        <v>62</v>
      </c>
    </row>
    <row r="1355" spans="1:20" x14ac:dyDescent="0.25">
      <c r="A1355" t="str">
        <f>_xll.BDP("462115RG Muni","ID_CUSIP")</f>
        <v>462115RG3</v>
      </c>
      <c r="B1355" t="s">
        <v>403</v>
      </c>
      <c r="C1355" t="str">
        <f>_xll.BDP("462115RG Muni","INSURANCE_STATUS")</f>
        <v>N</v>
      </c>
      <c r="D1355" t="str">
        <f>_xll.BDP("462115RG Muni","STATE_CODE")</f>
        <v>MI</v>
      </c>
      <c r="E1355" t="str">
        <f>_xll.BDP("462115RG Muni","COUNTY_LOCATION_ISSUER")</f>
        <v>Ionia, MI</v>
      </c>
      <c r="F1355">
        <f>_xll.BDP("462115RG Muni","DUR_ADJ_MID")</f>
        <v>3.7638084370182954</v>
      </c>
      <c r="G1355">
        <f>_xll.BDP("462115RG Muni","SPREAD_AT_ISSUANCE_TO_WORST")</f>
        <v>38.488722793707119</v>
      </c>
      <c r="H1355" t="str">
        <f>_xll.BDP("462115RG Muni","ISSUE_DT")</f>
        <v>6/27/2017</v>
      </c>
      <c r="I1355" t="str">
        <f>_xll.BDS("462115RG Muni","MUNI_PURPOSE_SCHED", "aggregate=y")</f>
        <v>WATER UTILITY IMPS. SEWER IMPS.</v>
      </c>
      <c r="J1355">
        <f>_xll.BDP("462115RG Muni","CPN")</f>
        <v>3</v>
      </c>
      <c r="K1355" t="str">
        <f>_xll.BDP("462115RG Muni","MATURITY")</f>
        <v>8/1/2026</v>
      </c>
      <c r="L1355">
        <v>280000</v>
      </c>
      <c r="M1355">
        <f>_xll.BDP("462115RG Muni","YIELD_ON_ISSUE_DATE")</f>
        <v>2.15</v>
      </c>
      <c r="N1355">
        <f>_xll.BDP("462115RG Muni","YTW_SPREAD_TO_MATURITY_AT_ISSU")</f>
        <v>38.488722793707119</v>
      </c>
      <c r="O1355" t="str">
        <f>_xll.BDP("462115RG Muni","BVAL_MID_YTM")</f>
        <v>#N/A Authorization</v>
      </c>
      <c r="P1355" t="str">
        <f>_xll.BDP("462115RG Muni","MUNI_TAX_PROV")</f>
        <v>FED &amp; ST TAX-EXEMPT</v>
      </c>
      <c r="Q1355" t="str">
        <f>_xll.BDP("462115RG Muni","MUNI_FED_TAX")</f>
        <v>N</v>
      </c>
      <c r="R1355">
        <f>_xll.BDP("462115RG Muni","MUNI_MSRB_VOLUME")</f>
        <v>50000</v>
      </c>
      <c r="S1355" t="str">
        <f>_xll.BDP("462115RG Muni","BB_COMPOSITE")</f>
        <v>#N/A N/A</v>
      </c>
      <c r="T1355">
        <f>_xll.BDP("462115RG Muni","LQA_LIQUIDITY_SCORE")</f>
        <v>49</v>
      </c>
    </row>
    <row r="1356" spans="1:20" x14ac:dyDescent="0.25">
      <c r="A1356" t="str">
        <f>_xll.BDP("463777Q9 Muni","ID_CUSIP")</f>
        <v>463777Q96</v>
      </c>
      <c r="B1356" t="s">
        <v>161</v>
      </c>
      <c r="C1356" t="str">
        <f>_xll.BDP("463777Q9 Muni","INSURANCE_STATUS")</f>
        <v>N</v>
      </c>
      <c r="D1356" t="str">
        <f>_xll.BDP("463777Q9 Muni","STATE_CODE")</f>
        <v>TX</v>
      </c>
      <c r="E1356" t="str">
        <f>_xll.BDP("463777Q9 Muni","COUNTY_LOCATION_ISSUER")</f>
        <v>Dallas, TX</v>
      </c>
      <c r="F1356">
        <f>_xll.BDP("463777Q9 Muni","DUR_ADJ_MID")</f>
        <v>1.0776836019194349</v>
      </c>
      <c r="G1356">
        <f>_xll.BDP("463777Q9 Muni","SPREAD_AT_ISSUANCE_TO_WORST")</f>
        <v>27.972518426812563</v>
      </c>
      <c r="H1356" t="str">
        <f>_xll.BDP("463777Q9 Muni","ISSUE_DT")</f>
        <v>3/30/2017</v>
      </c>
      <c r="I1356" t="str">
        <f>_xll.BDS("463777Q9 Muni","MUNI_PURPOSE_SCHED", "aggregate=y")</f>
        <v>PUBLIC IMPS. WATER UTILITY IMPS. SEWER IMPS.</v>
      </c>
      <c r="J1356">
        <f>_xll.BDP("463777Q9 Muni","CPN")</f>
        <v>3.25</v>
      </c>
      <c r="K1356" t="str">
        <f>_xll.BDP("463777Q9 Muni","MATURITY")</f>
        <v>9/15/2023</v>
      </c>
      <c r="L1356">
        <v>1215000</v>
      </c>
      <c r="M1356">
        <f>_xll.BDP("463777Q9 Muni","YIELD_ON_ISSUE_DATE")</f>
        <v>2.5</v>
      </c>
      <c r="N1356">
        <f>_xll.BDP("463777Q9 Muni","YTW_SPREAD_TO_MATURITY_AT_ISSU")</f>
        <v>27.972518426812563</v>
      </c>
      <c r="O1356" t="str">
        <f>_xll.BDP("463777Q9 Muni","BVAL_MID_YTM")</f>
        <v>#N/A Authorization</v>
      </c>
      <c r="P1356" t="str">
        <f>_xll.BDP("463777Q9 Muni","MUNI_TAX_PROV")</f>
        <v>FED TAXABLE</v>
      </c>
      <c r="Q1356" t="str">
        <f>_xll.BDP("463777Q9 Muni","MUNI_FED_TAX")</f>
        <v>Y</v>
      </c>
      <c r="R1356" t="str">
        <f>_xll.BDP("463777Q9 Muni","MUNI_MSRB_VOLUME")</f>
        <v>#N/A N/A</v>
      </c>
      <c r="S1356" t="str">
        <f>_xll.BDP("463777Q9 Muni","BB_COMPOSITE")</f>
        <v>AAA</v>
      </c>
      <c r="T1356">
        <f>_xll.BDP("463777Q9 Muni","LQA_LIQUIDITY_SCORE")</f>
        <v>84</v>
      </c>
    </row>
    <row r="1357" spans="1:20" x14ac:dyDescent="0.25">
      <c r="A1357" t="str">
        <f>_xll.BDP("463777R2 Muni","ID_CUSIP")</f>
        <v>463777R20</v>
      </c>
      <c r="B1357" t="s">
        <v>161</v>
      </c>
      <c r="C1357" t="str">
        <f>_xll.BDP("463777R2 Muni","INSURANCE_STATUS")</f>
        <v>N</v>
      </c>
      <c r="D1357" t="str">
        <f>_xll.BDP("463777R2 Muni","STATE_CODE")</f>
        <v>TX</v>
      </c>
      <c r="E1357" t="str">
        <f>_xll.BDP("463777R2 Muni","COUNTY_LOCATION_ISSUER")</f>
        <v>Dallas, TX</v>
      </c>
      <c r="F1357">
        <f>_xll.BDP("463777R2 Muni","DUR_ADJ_MID")</f>
        <v>2.0073663185441628</v>
      </c>
      <c r="G1357">
        <f>_xll.BDP("463777R2 Muni","SPREAD_AT_ISSUANCE_TO_WORST")</f>
        <v>38.071715309611861</v>
      </c>
      <c r="H1357" t="str">
        <f>_xll.BDP("463777R2 Muni","ISSUE_DT")</f>
        <v>3/30/2017</v>
      </c>
      <c r="I1357" t="str">
        <f>_xll.BDS("463777R2 Muni","MUNI_PURPOSE_SCHED", "aggregate=y")</f>
        <v>PUBLIC IMPS. WATER UTILITY IMPS. SEWER IMPS.</v>
      </c>
      <c r="J1357">
        <f>_xll.BDP("463777R2 Muni","CPN")</f>
        <v>3.25</v>
      </c>
      <c r="K1357" t="str">
        <f>_xll.BDP("463777R2 Muni","MATURITY")</f>
        <v>9/15/2024</v>
      </c>
      <c r="L1357">
        <v>1320000</v>
      </c>
      <c r="M1357">
        <f>_xll.BDP("463777R2 Muni","YIELD_ON_ISSUE_DATE")</f>
        <v>2.7</v>
      </c>
      <c r="N1357">
        <f>_xll.BDP("463777R2 Muni","YTW_SPREAD_TO_MATURITY_AT_ISSU")</f>
        <v>38.071715309611861</v>
      </c>
      <c r="O1357" t="str">
        <f>_xll.BDP("463777R2 Muni","BVAL_MID_YTM")</f>
        <v>#N/A Authorization</v>
      </c>
      <c r="P1357" t="str">
        <f>_xll.BDP("463777R2 Muni","MUNI_TAX_PROV")</f>
        <v>FED TAXABLE</v>
      </c>
      <c r="Q1357" t="str">
        <f>_xll.BDP("463777R2 Muni","MUNI_FED_TAX")</f>
        <v>Y</v>
      </c>
      <c r="R1357" t="str">
        <f>_xll.BDP("463777R2 Muni","MUNI_MSRB_VOLUME")</f>
        <v>#N/A N/A</v>
      </c>
      <c r="S1357" t="str">
        <f>_xll.BDP("463777R2 Muni","BB_COMPOSITE")</f>
        <v>AAA</v>
      </c>
      <c r="T1357">
        <f>_xll.BDP("463777R2 Muni","LQA_LIQUIDITY_SCORE")</f>
        <v>73</v>
      </c>
    </row>
    <row r="1358" spans="1:20" x14ac:dyDescent="0.25">
      <c r="A1358" t="str">
        <f>_xll.BDP("463777R3 Muni","ID_CUSIP")</f>
        <v>463777R38</v>
      </c>
      <c r="B1358" t="s">
        <v>161</v>
      </c>
      <c r="C1358" t="str">
        <f>_xll.BDP("463777R3 Muni","INSURANCE_STATUS")</f>
        <v>N</v>
      </c>
      <c r="D1358" t="str">
        <f>_xll.BDP("463777R3 Muni","STATE_CODE")</f>
        <v>TX</v>
      </c>
      <c r="E1358" t="str">
        <f>_xll.BDP("463777R3 Muni","COUNTY_LOCATION_ISSUER")</f>
        <v>Dallas, TX</v>
      </c>
      <c r="F1358">
        <f>_xll.BDP("463777R3 Muni","DUR_ADJ_MID")</f>
        <v>2.9069240435052595</v>
      </c>
      <c r="G1358">
        <f>_xll.BDP("463777R3 Muni","SPREAD_AT_ISSUANCE_TO_WORST")</f>
        <v>42.522597033271701</v>
      </c>
      <c r="H1358" t="str">
        <f>_xll.BDP("463777R3 Muni","ISSUE_DT")</f>
        <v>3/30/2017</v>
      </c>
      <c r="I1358" t="str">
        <f>_xll.BDS("463777R3 Muni","MUNI_PURPOSE_SCHED", "aggregate=y")</f>
        <v>PUBLIC IMPS. WATER UTILITY IMPS. SEWER IMPS.</v>
      </c>
      <c r="J1358">
        <f>_xll.BDP("463777R3 Muni","CPN")</f>
        <v>3.25</v>
      </c>
      <c r="K1358" t="str">
        <f>_xll.BDP("463777R3 Muni","MATURITY")</f>
        <v>9/15/2025</v>
      </c>
      <c r="L1358">
        <v>1400000</v>
      </c>
      <c r="M1358">
        <f>_xll.BDP("463777R3 Muni","YIELD_ON_ISSUE_DATE")</f>
        <v>2.8000000000000003</v>
      </c>
      <c r="N1358">
        <f>_xll.BDP("463777R3 Muni","YTW_SPREAD_TO_MATURITY_AT_ISSU")</f>
        <v>42.522597033271701</v>
      </c>
      <c r="O1358" t="str">
        <f>_xll.BDP("463777R3 Muni","BVAL_MID_YTM")</f>
        <v>#N/A Authorization</v>
      </c>
      <c r="P1358" t="str">
        <f>_xll.BDP("463777R3 Muni","MUNI_TAX_PROV")</f>
        <v>FED TAXABLE</v>
      </c>
      <c r="Q1358" t="str">
        <f>_xll.BDP("463777R3 Muni","MUNI_FED_TAX")</f>
        <v>Y</v>
      </c>
      <c r="R1358">
        <f>_xll.BDP("463777R3 Muni","MUNI_MSRB_VOLUME")</f>
        <v>30000</v>
      </c>
      <c r="S1358" t="str">
        <f>_xll.BDP("463777R3 Muni","BB_COMPOSITE")</f>
        <v>AAA</v>
      </c>
      <c r="T1358">
        <f>_xll.BDP("463777R3 Muni","LQA_LIQUIDITY_SCORE")</f>
        <v>65</v>
      </c>
    </row>
    <row r="1359" spans="1:20" x14ac:dyDescent="0.25">
      <c r="A1359" t="str">
        <f>_xll.BDP("463777R4 Muni","ID_CUSIP")</f>
        <v>463777R46</v>
      </c>
      <c r="B1359" t="s">
        <v>161</v>
      </c>
      <c r="C1359" t="str">
        <f>_xll.BDP("463777R4 Muni","INSURANCE_STATUS")</f>
        <v>N</v>
      </c>
      <c r="D1359" t="str">
        <f>_xll.BDP("463777R4 Muni","STATE_CODE")</f>
        <v>TX</v>
      </c>
      <c r="E1359" t="str">
        <f>_xll.BDP("463777R4 Muni","COUNTY_LOCATION_ISSUER")</f>
        <v>Dallas, TX</v>
      </c>
      <c r="F1359">
        <f>_xll.BDP("463777R4 Muni","DUR_ADJ_MID")</f>
        <v>3.7765462410650157</v>
      </c>
      <c r="G1359">
        <f>_xll.BDP("463777R4 Muni","SPREAD_AT_ISSUANCE_TO_WORST")</f>
        <v>46.973478756931627</v>
      </c>
      <c r="H1359" t="str">
        <f>_xll.BDP("463777R4 Muni","ISSUE_DT")</f>
        <v>3/30/2017</v>
      </c>
      <c r="I1359" t="str">
        <f>_xll.BDS("463777R4 Muni","MUNI_PURPOSE_SCHED", "aggregate=y")</f>
        <v>PUBLIC IMPS. WATER UTILITY IMPS. SEWER IMPS.</v>
      </c>
      <c r="J1359">
        <f>_xll.BDP("463777R4 Muni","CPN")</f>
        <v>3.25</v>
      </c>
      <c r="K1359" t="str">
        <f>_xll.BDP("463777R4 Muni","MATURITY")</f>
        <v>9/15/2026</v>
      </c>
      <c r="L1359">
        <v>1490000</v>
      </c>
      <c r="M1359">
        <f>_xll.BDP("463777R4 Muni","YIELD_ON_ISSUE_DATE")</f>
        <v>2.9000000000000004</v>
      </c>
      <c r="N1359">
        <f>_xll.BDP("463777R4 Muni","YTW_SPREAD_TO_MATURITY_AT_ISSU")</f>
        <v>46.973478756931627</v>
      </c>
      <c r="O1359" t="str">
        <f>_xll.BDP("463777R4 Muni","BVAL_MID_YTM")</f>
        <v>#N/A Authorization</v>
      </c>
      <c r="P1359" t="str">
        <f>_xll.BDP("463777R4 Muni","MUNI_TAX_PROV")</f>
        <v>FED TAXABLE</v>
      </c>
      <c r="Q1359" t="str">
        <f>_xll.BDP("463777R4 Muni","MUNI_FED_TAX")</f>
        <v>Y</v>
      </c>
      <c r="R1359" t="str">
        <f>_xll.BDP("463777R4 Muni","MUNI_MSRB_VOLUME")</f>
        <v>#N/A N/A</v>
      </c>
      <c r="S1359" t="str">
        <f>_xll.BDP("463777R4 Muni","BB_COMPOSITE")</f>
        <v>AAA</v>
      </c>
      <c r="T1359">
        <f>_xll.BDP("463777R4 Muni","LQA_LIQUIDITY_SCORE")</f>
        <v>56</v>
      </c>
    </row>
    <row r="1360" spans="1:20" x14ac:dyDescent="0.25">
      <c r="A1360" t="str">
        <f>_xll.BDP("463777R5 Muni","ID_CUSIP")</f>
        <v>463777R53</v>
      </c>
      <c r="B1360" t="s">
        <v>161</v>
      </c>
      <c r="C1360" t="str">
        <f>_xll.BDP("463777R5 Muni","INSURANCE_STATUS")</f>
        <v>N</v>
      </c>
      <c r="D1360" t="str">
        <f>_xll.BDP("463777R5 Muni","STATE_CODE")</f>
        <v>TX</v>
      </c>
      <c r="E1360" t="str">
        <f>_xll.BDP("463777R5 Muni","COUNTY_LOCATION_ISSUER")</f>
        <v>Dallas, TX</v>
      </c>
      <c r="F1360">
        <f>_xll.BDP("463777R5 Muni","DUR_ADJ_MID")</f>
        <v>4.6160794759190082</v>
      </c>
      <c r="G1360">
        <f>_xll.BDP("463777R5 Muni","SPREAD_AT_ISSUANCE_TO_WORST")</f>
        <v>52.883888507871333</v>
      </c>
      <c r="H1360" t="str">
        <f>_xll.BDP("463777R5 Muni","ISSUE_DT")</f>
        <v>3/30/2017</v>
      </c>
      <c r="I1360" t="str">
        <f>_xll.BDS("463777R5 Muni","MUNI_PURPOSE_SCHED", "aggregate=y")</f>
        <v>PUBLIC IMPS. WATER UTILITY IMPS. SEWER IMPS.</v>
      </c>
      <c r="J1360">
        <f>_xll.BDP("463777R5 Muni","CPN")</f>
        <v>3.25</v>
      </c>
      <c r="K1360" t="str">
        <f>_xll.BDP("463777R5 Muni","MATURITY")</f>
        <v>9/15/2027</v>
      </c>
      <c r="L1360">
        <v>1580000</v>
      </c>
      <c r="M1360">
        <f>_xll.BDP("463777R5 Muni","YIELD_ON_ISSUE_DATE")</f>
        <v>3</v>
      </c>
      <c r="N1360">
        <f>_xll.BDP("463777R5 Muni","YTW_SPREAD_TO_MATURITY_AT_ISSU")</f>
        <v>52.883888507871333</v>
      </c>
      <c r="O1360" t="str">
        <f>_xll.BDP("463777R5 Muni","BVAL_MID_YTM")</f>
        <v>#N/A Authorization</v>
      </c>
      <c r="P1360" t="str">
        <f>_xll.BDP("463777R5 Muni","MUNI_TAX_PROV")</f>
        <v>FED TAXABLE</v>
      </c>
      <c r="Q1360" t="str">
        <f>_xll.BDP("463777R5 Muni","MUNI_FED_TAX")</f>
        <v>Y</v>
      </c>
      <c r="R1360" t="str">
        <f>_xll.BDP("463777R5 Muni","MUNI_MSRB_VOLUME")</f>
        <v>#N/A N/A</v>
      </c>
      <c r="S1360" t="str">
        <f>_xll.BDP("463777R5 Muni","BB_COMPOSITE")</f>
        <v>AAA</v>
      </c>
      <c r="T1360">
        <f>_xll.BDP("463777R5 Muni","LQA_LIQUIDITY_SCORE")</f>
        <v>51</v>
      </c>
    </row>
    <row r="1361" spans="1:20" x14ac:dyDescent="0.25">
      <c r="A1361" t="str">
        <f>_xll.BDP("463777U5 Muni","ID_CUSIP")</f>
        <v>463777U59</v>
      </c>
      <c r="B1361" t="s">
        <v>161</v>
      </c>
      <c r="C1361" t="str">
        <f>_xll.BDP("463777U5 Muni","INSURANCE_STATUS")</f>
        <v>N</v>
      </c>
      <c r="D1361" t="str">
        <f>_xll.BDP("463777U5 Muni","STATE_CODE")</f>
        <v>TX</v>
      </c>
      <c r="E1361" t="str">
        <f>_xll.BDP("463777U5 Muni","COUNTY_LOCATION_ISSUER")</f>
        <v>Dallas, TX</v>
      </c>
      <c r="F1361">
        <f>_xll.BDP("463777U5 Muni","DUR_ADJ_MID")</f>
        <v>0.11932319560112897</v>
      </c>
      <c r="G1361">
        <f>_xll.BDP("463777U5 Muni","SPREAD_AT_ISSUANCE_TO_WORST")</f>
        <v>10.658253443329379</v>
      </c>
      <c r="H1361" t="str">
        <f>_xll.BDP("463777U5 Muni","ISSUE_DT")</f>
        <v>4/4/2017</v>
      </c>
      <c r="I1361" t="str">
        <f>_xll.BDS("463777U5 Muni","MUNI_PURPOSE_SCHED", "aggregate=y")</f>
        <v>PUBLIC IMPS. RECREATIONAL FAC. IMPS. WATER UTILITY IMPS.</v>
      </c>
      <c r="J1361">
        <f>_xll.BDP("463777U5 Muni","CPN")</f>
        <v>3</v>
      </c>
      <c r="K1361" t="str">
        <f>_xll.BDP("463777U5 Muni","MATURITY")</f>
        <v>9/15/2022</v>
      </c>
      <c r="L1361">
        <v>250000</v>
      </c>
      <c r="M1361">
        <f>_xll.BDP("463777U5 Muni","YIELD_ON_ISSUE_DATE")</f>
        <v>1.78</v>
      </c>
      <c r="N1361">
        <f>_xll.BDP("463777U5 Muni","YTW_SPREAD_TO_MATURITY_AT_ISSU")</f>
        <v>10.658253443329379</v>
      </c>
      <c r="O1361" t="str">
        <f>_xll.BDP("463777U5 Muni","BVAL_MID_YTM")</f>
        <v>#N/A Authorization</v>
      </c>
      <c r="P1361" t="str">
        <f>_xll.BDP("463777U5 Muni","MUNI_TAX_PROV")</f>
        <v>FED TAX-EXEMPT</v>
      </c>
      <c r="Q1361" t="str">
        <f>_xll.BDP("463777U5 Muni","MUNI_FED_TAX")</f>
        <v>N</v>
      </c>
      <c r="R1361" t="str">
        <f>_xll.BDP("463777U5 Muni","MUNI_MSRB_VOLUME")</f>
        <v>#N/A N/A</v>
      </c>
      <c r="S1361" t="str">
        <f>_xll.BDP("463777U5 Muni","BB_COMPOSITE")</f>
        <v>AAA</v>
      </c>
      <c r="T1361">
        <f>_xll.BDP("463777U5 Muni","LQA_LIQUIDITY_SCORE")</f>
        <v>97</v>
      </c>
    </row>
    <row r="1362" spans="1:20" x14ac:dyDescent="0.25">
      <c r="A1362" t="str">
        <f>_xll.BDP("463777U6 Muni","ID_CUSIP")</f>
        <v>463777U67</v>
      </c>
      <c r="B1362" t="s">
        <v>161</v>
      </c>
      <c r="C1362" t="str">
        <f>_xll.BDP("463777U6 Muni","INSURANCE_STATUS")</f>
        <v>N</v>
      </c>
      <c r="D1362" t="str">
        <f>_xll.BDP("463777U6 Muni","STATE_CODE")</f>
        <v>TX</v>
      </c>
      <c r="E1362" t="str">
        <f>_xll.BDP("463777U6 Muni","COUNTY_LOCATION_ISSUER")</f>
        <v>Dallas, TX</v>
      </c>
      <c r="F1362">
        <f>_xll.BDP("463777U6 Muni","DUR_ADJ_MID")</f>
        <v>1.0763910715733334</v>
      </c>
      <c r="G1362">
        <f>_xll.BDP("463777U6 Muni","SPREAD_AT_ISSUANCE_TO_WORST")</f>
        <v>16.30417550127936</v>
      </c>
      <c r="H1362" t="str">
        <f>_xll.BDP("463777U6 Muni","ISSUE_DT")</f>
        <v>4/4/2017</v>
      </c>
      <c r="I1362" t="str">
        <f>_xll.BDS("463777U6 Muni","MUNI_PURPOSE_SCHED", "aggregate=y")</f>
        <v>PUBLIC IMPS. RECREATIONAL FAC. IMPS. WATER UTILITY IMPS.</v>
      </c>
      <c r="J1362">
        <f>_xll.BDP("463777U6 Muni","CPN")</f>
        <v>5</v>
      </c>
      <c r="K1362" t="str">
        <f>_xll.BDP("463777U6 Muni","MATURITY")</f>
        <v>9/15/2023</v>
      </c>
      <c r="L1362">
        <v>255000</v>
      </c>
      <c r="M1362">
        <f>_xll.BDP("463777U6 Muni","YIELD_ON_ISSUE_DATE")</f>
        <v>2</v>
      </c>
      <c r="N1362">
        <f>_xll.BDP("463777U6 Muni","YTW_SPREAD_TO_MATURITY_AT_ISSU")</f>
        <v>16.30417550127936</v>
      </c>
      <c r="O1362" t="str">
        <f>_xll.BDP("463777U6 Muni","BVAL_MID_YTM")</f>
        <v>#N/A Authorization</v>
      </c>
      <c r="P1362" t="str">
        <f>_xll.BDP("463777U6 Muni","MUNI_TAX_PROV")</f>
        <v>FED TAX-EXEMPT</v>
      </c>
      <c r="Q1362" t="str">
        <f>_xll.BDP("463777U6 Muni","MUNI_FED_TAX")</f>
        <v>N</v>
      </c>
      <c r="R1362" t="str">
        <f>_xll.BDP("463777U6 Muni","MUNI_MSRB_VOLUME")</f>
        <v>#N/A N/A</v>
      </c>
      <c r="S1362" t="str">
        <f>_xll.BDP("463777U6 Muni","BB_COMPOSITE")</f>
        <v>AAA</v>
      </c>
      <c r="T1362">
        <f>_xll.BDP("463777U6 Muni","LQA_LIQUIDITY_SCORE")</f>
        <v>90</v>
      </c>
    </row>
    <row r="1363" spans="1:20" x14ac:dyDescent="0.25">
      <c r="A1363" t="str">
        <f>_xll.BDP("463777U7 Muni","ID_CUSIP")</f>
        <v>463777U75</v>
      </c>
      <c r="B1363" t="s">
        <v>161</v>
      </c>
      <c r="C1363" t="str">
        <f>_xll.BDP("463777U7 Muni","INSURANCE_STATUS")</f>
        <v>N</v>
      </c>
      <c r="D1363" t="str">
        <f>_xll.BDP("463777U7 Muni","STATE_CODE")</f>
        <v>TX</v>
      </c>
      <c r="E1363" t="str">
        <f>_xll.BDP("463777U7 Muni","COUNTY_LOCATION_ISSUER")</f>
        <v>Dallas, TX</v>
      </c>
      <c r="F1363">
        <f>_xll.BDP("463777U7 Muni","DUR_ADJ_MID")</f>
        <v>1.9893577529746667</v>
      </c>
      <c r="G1363">
        <f>_xll.BDP("463777U7 Muni","SPREAD_AT_ISSUANCE_TO_WORST")</f>
        <v>25.272731382895387</v>
      </c>
      <c r="H1363" t="str">
        <f>_xll.BDP("463777U7 Muni","ISSUE_DT")</f>
        <v>4/4/2017</v>
      </c>
      <c r="I1363" t="str">
        <f>_xll.BDS("463777U7 Muni","MUNI_PURPOSE_SCHED", "aggregate=y")</f>
        <v>PUBLIC IMPS. RECREATIONAL FAC. IMPS. WATER UTILITY IMPS.</v>
      </c>
      <c r="J1363">
        <f>_xll.BDP("463777U7 Muni","CPN")</f>
        <v>5</v>
      </c>
      <c r="K1363" t="str">
        <f>_xll.BDP("463777U7 Muni","MATURITY")</f>
        <v>9/15/2024</v>
      </c>
      <c r="L1363">
        <v>1590000</v>
      </c>
      <c r="M1363">
        <f>_xll.BDP("463777U7 Muni","YIELD_ON_ISSUE_DATE")</f>
        <v>2.25</v>
      </c>
      <c r="N1363">
        <f>_xll.BDP("463777U7 Muni","YTW_SPREAD_TO_MATURITY_AT_ISSU")</f>
        <v>25.272731382895387</v>
      </c>
      <c r="O1363" t="str">
        <f>_xll.BDP("463777U7 Muni","BVAL_MID_YTM")</f>
        <v>#N/A Authorization</v>
      </c>
      <c r="P1363" t="str">
        <f>_xll.BDP("463777U7 Muni","MUNI_TAX_PROV")</f>
        <v>FED TAX-EXEMPT</v>
      </c>
      <c r="Q1363" t="str">
        <f>_xll.BDP("463777U7 Muni","MUNI_FED_TAX")</f>
        <v>N</v>
      </c>
      <c r="R1363">
        <f>_xll.BDP("463777U7 Muni","MUNI_MSRB_VOLUME")</f>
        <v>150000</v>
      </c>
      <c r="S1363" t="str">
        <f>_xll.BDP("463777U7 Muni","BB_COMPOSITE")</f>
        <v>AAA</v>
      </c>
      <c r="T1363">
        <f>_xll.BDP("463777U7 Muni","LQA_LIQUIDITY_SCORE")</f>
        <v>83</v>
      </c>
    </row>
    <row r="1364" spans="1:20" x14ac:dyDescent="0.25">
      <c r="A1364" t="str">
        <f>_xll.BDP("463777U8 Muni","ID_CUSIP")</f>
        <v>463777U83</v>
      </c>
      <c r="B1364" t="s">
        <v>161</v>
      </c>
      <c r="C1364" t="str">
        <f>_xll.BDP("463777U8 Muni","INSURANCE_STATUS")</f>
        <v>N</v>
      </c>
      <c r="D1364" t="str">
        <f>_xll.BDP("463777U8 Muni","STATE_CODE")</f>
        <v>TX</v>
      </c>
      <c r="E1364" t="str">
        <f>_xll.BDP("463777U8 Muni","COUNTY_LOCATION_ISSUER")</f>
        <v>Dallas, TX</v>
      </c>
      <c r="F1364">
        <f>_xll.BDP("463777U8 Muni","DUR_ADJ_MID")</f>
        <v>2.8633657411189142</v>
      </c>
      <c r="G1364">
        <f>_xll.BDP("463777U8 Muni","SPREAD_AT_ISSUANCE_TO_WORST")</f>
        <v>25.498729941288989</v>
      </c>
      <c r="H1364" t="str">
        <f>_xll.BDP("463777U8 Muni","ISSUE_DT")</f>
        <v>4/4/2017</v>
      </c>
      <c r="I1364" t="str">
        <f>_xll.BDS("463777U8 Muni","MUNI_PURPOSE_SCHED", "aggregate=y")</f>
        <v>PUBLIC IMPS. RECREATIONAL FAC. IMPS. WATER UTILITY IMPS.</v>
      </c>
      <c r="J1364">
        <f>_xll.BDP("463777U8 Muni","CPN")</f>
        <v>5</v>
      </c>
      <c r="K1364" t="str">
        <f>_xll.BDP("463777U8 Muni","MATURITY")</f>
        <v>9/15/2025</v>
      </c>
      <c r="L1364">
        <v>1600000</v>
      </c>
      <c r="M1364">
        <f>_xll.BDP("463777U8 Muni","YIELD_ON_ISSUE_DATE")</f>
        <v>2.4000000000000004</v>
      </c>
      <c r="N1364">
        <f>_xll.BDP("463777U8 Muni","YTW_SPREAD_TO_MATURITY_AT_ISSU")</f>
        <v>25.498729941288989</v>
      </c>
      <c r="O1364" t="str">
        <f>_xll.BDP("463777U8 Muni","BVAL_MID_YTM")</f>
        <v>#N/A Authorization</v>
      </c>
      <c r="P1364" t="str">
        <f>_xll.BDP("463777U8 Muni","MUNI_TAX_PROV")</f>
        <v>FED TAX-EXEMPT</v>
      </c>
      <c r="Q1364" t="str">
        <f>_xll.BDP("463777U8 Muni","MUNI_FED_TAX")</f>
        <v>N</v>
      </c>
      <c r="R1364">
        <f>_xll.BDP("463777U8 Muni","MUNI_MSRB_VOLUME")</f>
        <v>90000</v>
      </c>
      <c r="S1364" t="str">
        <f>_xll.BDP("463777U8 Muni","BB_COMPOSITE")</f>
        <v>AAA</v>
      </c>
      <c r="T1364">
        <f>_xll.BDP("463777U8 Muni","LQA_LIQUIDITY_SCORE")</f>
        <v>74</v>
      </c>
    </row>
    <row r="1365" spans="1:20" x14ac:dyDescent="0.25">
      <c r="A1365" t="str">
        <f>_xll.BDP("463777U9 Muni","ID_CUSIP")</f>
        <v>463777U91</v>
      </c>
      <c r="B1365" t="s">
        <v>161</v>
      </c>
      <c r="C1365" t="str">
        <f>_xll.BDP("463777U9 Muni","INSURANCE_STATUS")</f>
        <v>N</v>
      </c>
      <c r="D1365" t="str">
        <f>_xll.BDP("463777U9 Muni","STATE_CODE")</f>
        <v>TX</v>
      </c>
      <c r="E1365" t="str">
        <f>_xll.BDP("463777U9 Muni","COUNTY_LOCATION_ISSUER")</f>
        <v>Dallas, TX</v>
      </c>
      <c r="F1365">
        <f>_xll.BDP("463777U9 Muni","DUR_ADJ_MID")</f>
        <v>3.701234186167881</v>
      </c>
      <c r="G1365">
        <f>_xll.BDP("463777U9 Muni","SPREAD_AT_ISSUANCE_TO_WORST")</f>
        <v>28.224802459320443</v>
      </c>
      <c r="H1365" t="str">
        <f>_xll.BDP("463777U9 Muni","ISSUE_DT")</f>
        <v>4/4/2017</v>
      </c>
      <c r="I1365" t="str">
        <f>_xll.BDS("463777U9 Muni","MUNI_PURPOSE_SCHED", "aggregate=y")</f>
        <v>PUBLIC IMPS. RECREATIONAL FAC. IMPS. WATER UTILITY IMPS.</v>
      </c>
      <c r="J1365">
        <f>_xll.BDP("463777U9 Muni","CPN")</f>
        <v>5</v>
      </c>
      <c r="K1365" t="str">
        <f>_xll.BDP("463777U9 Muni","MATURITY")</f>
        <v>9/15/2026</v>
      </c>
      <c r="L1365">
        <v>1615000</v>
      </c>
      <c r="M1365">
        <f>_xll.BDP("463777U9 Muni","YIELD_ON_ISSUE_DATE")</f>
        <v>2.5500000000000003</v>
      </c>
      <c r="N1365">
        <f>_xll.BDP("463777U9 Muni","YTW_SPREAD_TO_MATURITY_AT_ISSU")</f>
        <v>28.224802459320443</v>
      </c>
      <c r="O1365" t="str">
        <f>_xll.BDP("463777U9 Muni","BVAL_MID_YTM")</f>
        <v>#N/A Authorization</v>
      </c>
      <c r="P1365" t="str">
        <f>_xll.BDP("463777U9 Muni","MUNI_TAX_PROV")</f>
        <v>FED TAX-EXEMPT</v>
      </c>
      <c r="Q1365" t="str">
        <f>_xll.BDP("463777U9 Muni","MUNI_FED_TAX")</f>
        <v>N</v>
      </c>
      <c r="R1365" t="str">
        <f>_xll.BDP("463777U9 Muni","MUNI_MSRB_VOLUME")</f>
        <v>#N/A N/A</v>
      </c>
      <c r="S1365" t="str">
        <f>_xll.BDP("463777U9 Muni","BB_COMPOSITE")</f>
        <v>AAA</v>
      </c>
      <c r="T1365">
        <f>_xll.BDP("463777U9 Muni","LQA_LIQUIDITY_SCORE")</f>
        <v>68</v>
      </c>
    </row>
    <row r="1366" spans="1:20" x14ac:dyDescent="0.25">
      <c r="A1366" t="str">
        <f>_xll.BDP("463777V2 Muni","ID_CUSIP")</f>
        <v>463777V25</v>
      </c>
      <c r="B1366" t="s">
        <v>161</v>
      </c>
      <c r="C1366" t="str">
        <f>_xll.BDP("463777V2 Muni","INSURANCE_STATUS")</f>
        <v>N</v>
      </c>
      <c r="D1366" t="str">
        <f>_xll.BDP("463777V2 Muni","STATE_CODE")</f>
        <v>TX</v>
      </c>
      <c r="E1366" t="str">
        <f>_xll.BDP("463777V2 Muni","COUNTY_LOCATION_ISSUER")</f>
        <v>Dallas, TX</v>
      </c>
      <c r="F1366">
        <f>_xll.BDP("463777V2 Muni","DUR_ADJ_MID")</f>
        <v>4.5057596922399572</v>
      </c>
      <c r="G1366">
        <f>_xll.BDP("463777V2 Muni","SPREAD_AT_ISSUANCE_TO_WORST")</f>
        <v>26.839032631247363</v>
      </c>
      <c r="H1366" t="str">
        <f>_xll.BDP("463777V2 Muni","ISSUE_DT")</f>
        <v>4/4/2017</v>
      </c>
      <c r="I1366" t="str">
        <f>_xll.BDS("463777V2 Muni","MUNI_PURPOSE_SCHED", "aggregate=y")</f>
        <v>PUBLIC IMPS. RECREATIONAL FAC. IMPS. WATER UTILITY IMPS.</v>
      </c>
      <c r="J1366">
        <f>_xll.BDP("463777V2 Muni","CPN")</f>
        <v>5</v>
      </c>
      <c r="K1366" t="str">
        <f>_xll.BDP("463777V2 Muni","MATURITY")</f>
        <v>9/15/2027</v>
      </c>
      <c r="L1366">
        <v>1630000</v>
      </c>
      <c r="M1366">
        <f>_xll.BDP("463777V2 Muni","YIELD_ON_ISSUE_DATE")</f>
        <v>2.65</v>
      </c>
      <c r="N1366">
        <f>_xll.BDP("463777V2 Muni","YTW_SPREAD_TO_MATURITY_AT_ISSU")</f>
        <v>26.839032631247363</v>
      </c>
      <c r="O1366" t="str">
        <f>_xll.BDP("463777V2 Muni","BVAL_MID_YTM")</f>
        <v>#N/A Authorization</v>
      </c>
      <c r="P1366" t="str">
        <f>_xll.BDP("463777V2 Muni","MUNI_TAX_PROV")</f>
        <v>FED TAX-EXEMPT</v>
      </c>
      <c r="Q1366" t="str">
        <f>_xll.BDP("463777V2 Muni","MUNI_FED_TAX")</f>
        <v>N</v>
      </c>
      <c r="R1366" t="str">
        <f>_xll.BDP("463777V2 Muni","MUNI_MSRB_VOLUME")</f>
        <v>#N/A N/A</v>
      </c>
      <c r="S1366" t="str">
        <f>_xll.BDP("463777V2 Muni","BB_COMPOSITE")</f>
        <v>AAA</v>
      </c>
      <c r="T1366">
        <f>_xll.BDP("463777V2 Muni","LQA_LIQUIDITY_SCORE")</f>
        <v>60</v>
      </c>
    </row>
    <row r="1367" spans="1:20" x14ac:dyDescent="0.25">
      <c r="A1367" t="str">
        <f>_xll.BDP("463831PP Muni","ID_CUSIP")</f>
        <v>463831PP6</v>
      </c>
      <c r="B1367" t="s">
        <v>101</v>
      </c>
      <c r="C1367" t="str">
        <f>_xll.BDP("463831PP Muni","INSURANCE_STATUS")</f>
        <v>N</v>
      </c>
      <c r="D1367" t="str">
        <f>_xll.BDP("463831PP Muni","STATE_CODE")</f>
        <v>TX</v>
      </c>
      <c r="E1367" t="str">
        <f>_xll.BDP("463831PP Muni","COUNTY_LOCATION_ISSUER")</f>
        <v>Dallas, TX</v>
      </c>
      <c r="F1367">
        <f>_xll.BDP("463831PP Muni","DUR_ADJ_MID")</f>
        <v>0.99364591269998359</v>
      </c>
      <c r="G1367">
        <f>_xll.BDP("463831PP Muni","SPREAD_AT_ISSUANCE_TO_WORST")</f>
        <v>27.677814473806794</v>
      </c>
      <c r="H1367" t="str">
        <f>_xll.BDP("463831PP Muni","ISSUE_DT")</f>
        <v>4/4/2017</v>
      </c>
      <c r="I1367" t="str">
        <f>_xll.BDS("463831PP Muni","MUNI_PURPOSE_SCHED", "aggregate=y")</f>
        <v>WATER UTILITY IMPS. SEWER IMPS.</v>
      </c>
      <c r="J1367">
        <f>_xll.BDP("463831PP Muni","CPN")</f>
        <v>5</v>
      </c>
      <c r="K1367" t="str">
        <f>_xll.BDP("463831PP Muni","MATURITY")</f>
        <v>8/15/2023</v>
      </c>
      <c r="L1367">
        <v>820000</v>
      </c>
      <c r="M1367">
        <f>_xll.BDP("463831PP Muni","YIELD_ON_ISSUE_DATE")</f>
        <v>2.1</v>
      </c>
      <c r="N1367">
        <f>_xll.BDP("463831PP Muni","YTW_SPREAD_TO_MATURITY_AT_ISSU")</f>
        <v>27.677814473806794</v>
      </c>
      <c r="O1367" t="str">
        <f>_xll.BDP("463831PP Muni","BVAL_MID_YTM")</f>
        <v>#N/A Authorization</v>
      </c>
      <c r="P1367" t="str">
        <f>_xll.BDP("463831PP Muni","MUNI_TAX_PROV")</f>
        <v>FED TAX-EXEMPT</v>
      </c>
      <c r="Q1367" t="str">
        <f>_xll.BDP("463831PP Muni","MUNI_FED_TAX")</f>
        <v>N</v>
      </c>
      <c r="R1367" t="str">
        <f>_xll.BDP("463831PP Muni","MUNI_MSRB_VOLUME")</f>
        <v>#N/A N/A</v>
      </c>
      <c r="S1367" t="str">
        <f>_xll.BDP("463831PP Muni","BB_COMPOSITE")</f>
        <v>AA</v>
      </c>
      <c r="T1367">
        <f>_xll.BDP("463831PP Muni","LQA_LIQUIDITY_SCORE")</f>
        <v>91</v>
      </c>
    </row>
    <row r="1368" spans="1:20" x14ac:dyDescent="0.25">
      <c r="A1368" t="str">
        <f>_xll.BDP("463831PQ Muni","ID_CUSIP")</f>
        <v>463831PQ4</v>
      </c>
      <c r="B1368" t="s">
        <v>101</v>
      </c>
      <c r="C1368" t="str">
        <f>_xll.BDP("463831PQ Muni","INSURANCE_STATUS")</f>
        <v>N</v>
      </c>
      <c r="D1368" t="str">
        <f>_xll.BDP("463831PQ Muni","STATE_CODE")</f>
        <v>TX</v>
      </c>
      <c r="E1368" t="str">
        <f>_xll.BDP("463831PQ Muni","COUNTY_LOCATION_ISSUER")</f>
        <v>Dallas, TX</v>
      </c>
      <c r="F1368">
        <f>_xll.BDP("463831PQ Muni","DUR_ADJ_MID")</f>
        <v>1.9064883182013372</v>
      </c>
      <c r="G1368">
        <f>_xll.BDP("463831PQ Muni","SPREAD_AT_ISSUANCE_TO_WORST")</f>
        <v>36.617484874047143</v>
      </c>
      <c r="H1368" t="str">
        <f>_xll.BDP("463831PQ Muni","ISSUE_DT")</f>
        <v>4/4/2017</v>
      </c>
      <c r="I1368" t="str">
        <f>_xll.BDS("463831PQ Muni","MUNI_PURPOSE_SCHED", "aggregate=y")</f>
        <v>WATER UTILITY IMPS. SEWER IMPS.</v>
      </c>
      <c r="J1368">
        <f>_xll.BDP("463831PQ Muni","CPN")</f>
        <v>5</v>
      </c>
      <c r="K1368" t="str">
        <f>_xll.BDP("463831PQ Muni","MATURITY")</f>
        <v>8/15/2024</v>
      </c>
      <c r="L1368">
        <v>860000</v>
      </c>
      <c r="M1368">
        <f>_xll.BDP("463831PQ Muni","YIELD_ON_ISSUE_DATE")</f>
        <v>2.35</v>
      </c>
      <c r="N1368">
        <f>_xll.BDP("463831PQ Muni","YTW_SPREAD_TO_MATURITY_AT_ISSU")</f>
        <v>36.617484874047143</v>
      </c>
      <c r="O1368" t="str">
        <f>_xll.BDP("463831PQ Muni","BVAL_MID_YTM")</f>
        <v>#N/A Authorization</v>
      </c>
      <c r="P1368" t="str">
        <f>_xll.BDP("463831PQ Muni","MUNI_TAX_PROV")</f>
        <v>FED TAX-EXEMPT</v>
      </c>
      <c r="Q1368" t="str">
        <f>_xll.BDP("463831PQ Muni","MUNI_FED_TAX")</f>
        <v>N</v>
      </c>
      <c r="R1368" t="str">
        <f>_xll.BDP("463831PQ Muni","MUNI_MSRB_VOLUME")</f>
        <v>#N/A N/A</v>
      </c>
      <c r="S1368" t="str">
        <f>_xll.BDP("463831PQ Muni","BB_COMPOSITE")</f>
        <v>AA</v>
      </c>
      <c r="T1368">
        <f>_xll.BDP("463831PQ Muni","LQA_LIQUIDITY_SCORE")</f>
        <v>85</v>
      </c>
    </row>
    <row r="1369" spans="1:20" x14ac:dyDescent="0.25">
      <c r="A1369" t="str">
        <f>_xll.BDP("463831PR Muni","ID_CUSIP")</f>
        <v>463831PR2</v>
      </c>
      <c r="B1369" t="s">
        <v>101</v>
      </c>
      <c r="C1369" t="str">
        <f>_xll.BDP("463831PR Muni","INSURANCE_STATUS")</f>
        <v>N</v>
      </c>
      <c r="D1369" t="str">
        <f>_xll.BDP("463831PR Muni","STATE_CODE")</f>
        <v>TX</v>
      </c>
      <c r="E1369" t="str">
        <f>_xll.BDP("463831PR Muni","COUNTY_LOCATION_ISSUER")</f>
        <v>Dallas, TX</v>
      </c>
      <c r="F1369">
        <f>_xll.BDP("463831PR Muni","DUR_ADJ_MID")</f>
        <v>2.7803983327017856</v>
      </c>
      <c r="G1369">
        <f>_xll.BDP("463831PR Muni","SPREAD_AT_ISSUANCE_TO_WORST")</f>
        <v>36.679278534537787</v>
      </c>
      <c r="H1369" t="str">
        <f>_xll.BDP("463831PR Muni","ISSUE_DT")</f>
        <v>4/4/2017</v>
      </c>
      <c r="I1369" t="str">
        <f>_xll.BDS("463831PR Muni","MUNI_PURPOSE_SCHED", "aggregate=y")</f>
        <v>WATER UTILITY IMPS. SEWER IMPS.</v>
      </c>
      <c r="J1369">
        <f>_xll.BDP("463831PR Muni","CPN")</f>
        <v>5</v>
      </c>
      <c r="K1369" t="str">
        <f>_xll.BDP("463831PR Muni","MATURITY")</f>
        <v>8/15/2025</v>
      </c>
      <c r="L1369">
        <v>905000</v>
      </c>
      <c r="M1369">
        <f>_xll.BDP("463831PR Muni","YIELD_ON_ISSUE_DATE")</f>
        <v>2.5</v>
      </c>
      <c r="N1369">
        <f>_xll.BDP("463831PR Muni","YTW_SPREAD_TO_MATURITY_AT_ISSU")</f>
        <v>36.679278534537787</v>
      </c>
      <c r="O1369" t="str">
        <f>_xll.BDP("463831PR Muni","BVAL_MID_YTM")</f>
        <v>#N/A Authorization</v>
      </c>
      <c r="P1369" t="str">
        <f>_xll.BDP("463831PR Muni","MUNI_TAX_PROV")</f>
        <v>FED TAX-EXEMPT</v>
      </c>
      <c r="Q1369" t="str">
        <f>_xll.BDP("463831PR Muni","MUNI_FED_TAX")</f>
        <v>N</v>
      </c>
      <c r="R1369" t="str">
        <f>_xll.BDP("463831PR Muni","MUNI_MSRB_VOLUME")</f>
        <v>#N/A N/A</v>
      </c>
      <c r="S1369" t="str">
        <f>_xll.BDP("463831PR Muni","BB_COMPOSITE")</f>
        <v>AA</v>
      </c>
      <c r="T1369">
        <f>_xll.BDP("463831PR Muni","LQA_LIQUIDITY_SCORE")</f>
        <v>76</v>
      </c>
    </row>
    <row r="1370" spans="1:20" x14ac:dyDescent="0.25">
      <c r="A1370" t="str">
        <f>_xll.BDP("463831PS Muni","ID_CUSIP")</f>
        <v>463831PS0</v>
      </c>
      <c r="B1370" t="s">
        <v>101</v>
      </c>
      <c r="C1370" t="str">
        <f>_xll.BDP("463831PS Muni","INSURANCE_STATUS")</f>
        <v>N</v>
      </c>
      <c r="D1370" t="str">
        <f>_xll.BDP("463831PS Muni","STATE_CODE")</f>
        <v>TX</v>
      </c>
      <c r="E1370" t="str">
        <f>_xll.BDP("463831PS Muni","COUNTY_LOCATION_ISSUER")</f>
        <v>Dallas, TX</v>
      </c>
      <c r="F1370">
        <f>_xll.BDP("463831PS Muni","DUR_ADJ_MID")</f>
        <v>3.7516498408627594</v>
      </c>
      <c r="G1370">
        <f>_xll.BDP("463831PS Muni","SPREAD_AT_ISSUANCE_TO_WORST")</f>
        <v>39.153308629595294</v>
      </c>
      <c r="H1370" t="str">
        <f>_xll.BDP("463831PS Muni","ISSUE_DT")</f>
        <v>4/4/2017</v>
      </c>
      <c r="I1370" t="str">
        <f>_xll.BDS("463831PS Muni","MUNI_PURPOSE_SCHED", "aggregate=y")</f>
        <v>WATER UTILITY IMPS. SEWER IMPS.</v>
      </c>
      <c r="J1370">
        <f>_xll.BDP("463831PS Muni","CPN")</f>
        <v>3</v>
      </c>
      <c r="K1370" t="str">
        <f>_xll.BDP("463831PS Muni","MATURITY")</f>
        <v>8/15/2026</v>
      </c>
      <c r="L1370">
        <v>950000</v>
      </c>
      <c r="M1370">
        <f>_xll.BDP("463831PS Muni","YIELD_ON_ISSUE_DATE")</f>
        <v>2.65</v>
      </c>
      <c r="N1370">
        <f>_xll.BDP("463831PS Muni","YTW_SPREAD_TO_MATURITY_AT_ISSU")</f>
        <v>39.153308629595294</v>
      </c>
      <c r="O1370" t="str">
        <f>_xll.BDP("463831PS Muni","BVAL_MID_YTM")</f>
        <v>#N/A Authorization</v>
      </c>
      <c r="P1370" t="str">
        <f>_xll.BDP("463831PS Muni","MUNI_TAX_PROV")</f>
        <v>FED TAX-EXEMPT</v>
      </c>
      <c r="Q1370" t="str">
        <f>_xll.BDP("463831PS Muni","MUNI_FED_TAX")</f>
        <v>N</v>
      </c>
      <c r="R1370" t="str">
        <f>_xll.BDP("463831PS Muni","MUNI_MSRB_VOLUME")</f>
        <v>#N/A N/A</v>
      </c>
      <c r="S1370" t="str">
        <f>_xll.BDP("463831PS Muni","BB_COMPOSITE")</f>
        <v>AA</v>
      </c>
      <c r="T1370">
        <f>_xll.BDP("463831PS Muni","LQA_LIQUIDITY_SCORE")</f>
        <v>59</v>
      </c>
    </row>
    <row r="1371" spans="1:20" x14ac:dyDescent="0.25">
      <c r="A1371" t="str">
        <f>_xll.BDP("463831PT Muni","ID_CUSIP")</f>
        <v>463831PT8</v>
      </c>
      <c r="B1371" t="s">
        <v>101</v>
      </c>
      <c r="C1371" t="str">
        <f>_xll.BDP("463831PT Muni","INSURANCE_STATUS")</f>
        <v>N</v>
      </c>
      <c r="D1371" t="str">
        <f>_xll.BDP("463831PT Muni","STATE_CODE")</f>
        <v>TX</v>
      </c>
      <c r="E1371" t="str">
        <f>_xll.BDP("463831PT Muni","COUNTY_LOCATION_ISSUER")</f>
        <v>Dallas, TX</v>
      </c>
      <c r="F1371">
        <f>_xll.BDP("463831PT Muni","DUR_ADJ_MID")</f>
        <v>4.4217477577113167</v>
      </c>
      <c r="G1371">
        <f>_xll.BDP("463831PT Muni","SPREAD_AT_ISSUANCE_TO_WORST")</f>
        <v>37.837809364121931</v>
      </c>
      <c r="H1371" t="str">
        <f>_xll.BDP("463831PT Muni","ISSUE_DT")</f>
        <v>4/4/2017</v>
      </c>
      <c r="I1371" t="str">
        <f>_xll.BDS("463831PT Muni","MUNI_PURPOSE_SCHED", "aggregate=y")</f>
        <v>WATER UTILITY IMPS. SEWER IMPS.</v>
      </c>
      <c r="J1371">
        <f>_xll.BDP("463831PT Muni","CPN")</f>
        <v>5</v>
      </c>
      <c r="K1371" t="str">
        <f>_xll.BDP("463831PT Muni","MATURITY")</f>
        <v>8/15/2027</v>
      </c>
      <c r="L1371">
        <v>975000</v>
      </c>
      <c r="M1371">
        <f>_xll.BDP("463831PT Muni","YIELD_ON_ISSUE_DATE")</f>
        <v>2.75</v>
      </c>
      <c r="N1371">
        <f>_xll.BDP("463831PT Muni","YTW_SPREAD_TO_MATURITY_AT_ISSU")</f>
        <v>37.837809364121931</v>
      </c>
      <c r="O1371" t="str">
        <f>_xll.BDP("463831PT Muni","BVAL_MID_YTM")</f>
        <v>#N/A Authorization</v>
      </c>
      <c r="P1371" t="str">
        <f>_xll.BDP("463831PT Muni","MUNI_TAX_PROV")</f>
        <v>FED TAX-EXEMPT</v>
      </c>
      <c r="Q1371" t="str">
        <f>_xll.BDP("463831PT Muni","MUNI_FED_TAX")</f>
        <v>N</v>
      </c>
      <c r="R1371">
        <f>_xll.BDP("463831PT Muni","MUNI_MSRB_VOLUME")</f>
        <v>10000</v>
      </c>
      <c r="S1371" t="str">
        <f>_xll.BDP("463831PT Muni","BB_COMPOSITE")</f>
        <v>AA</v>
      </c>
      <c r="T1371">
        <f>_xll.BDP("463831PT Muni","LQA_LIQUIDITY_SCORE")</f>
        <v>62</v>
      </c>
    </row>
    <row r="1372" spans="1:20" x14ac:dyDescent="0.25">
      <c r="A1372" t="str">
        <f>_xll.BDP("49140M4P Muni","ID_CUSIP")</f>
        <v>49140M4P1</v>
      </c>
      <c r="B1372" t="s">
        <v>135</v>
      </c>
      <c r="C1372" t="str">
        <f>_xll.BDP("49140M4P Muni","INSURANCE_STATUS")</f>
        <v>N</v>
      </c>
      <c r="D1372" t="str">
        <f>_xll.BDP("49140M4P Muni","STATE_CODE")</f>
        <v>KY</v>
      </c>
      <c r="E1372" t="str">
        <f>_xll.BDP("49140M4P Muni","COUNTY_LOCATION_ISSUER")</f>
        <v>Warren, KY</v>
      </c>
      <c r="F1372">
        <f>_xll.BDP("49140M4P Muni","DUR_ADJ_MID")</f>
        <v>1.4562427442636201</v>
      </c>
      <c r="G1372">
        <f>_xll.BDP("49140M4P Muni","SPREAD_AT_ISSUANCE_TO_WORST")</f>
        <v>76.400114885172272</v>
      </c>
      <c r="H1372" t="str">
        <f>_xll.BDP("49140M4P Muni","ISSUE_DT")</f>
        <v>7/11/2017</v>
      </c>
      <c r="I1372" t="str">
        <f>_xll.BDS("49140M4P Muni","MUNI_PURPOSE_SCHED", "aggregate=y")</f>
        <v>WATER UTILITY IMPS. SEWER IMPS. CURRENT REFUNDING</v>
      </c>
      <c r="J1372">
        <f>_xll.BDP("49140M4P Muni","CPN")</f>
        <v>4</v>
      </c>
      <c r="K1372" t="str">
        <f>_xll.BDP("49140M4P Muni","MATURITY")</f>
        <v>2/1/2024</v>
      </c>
      <c r="L1372">
        <v>210000</v>
      </c>
      <c r="M1372">
        <f>_xll.BDP("49140M4P Muni","YIELD_ON_ISSUE_DATE")</f>
        <v>2.2000000000000002</v>
      </c>
      <c r="N1372">
        <f>_xll.BDP("49140M4P Muni","YTW_SPREAD_TO_MATURITY_AT_ISSU")</f>
        <v>76.400114885172272</v>
      </c>
      <c r="O1372" t="str">
        <f>_xll.BDP("49140M4P Muni","BVAL_MID_YTM")</f>
        <v>#N/A Authorization</v>
      </c>
      <c r="P1372" t="str">
        <f>_xll.BDP("49140M4P Muni","MUNI_TAX_PROV")</f>
        <v>FED &amp; ST TAX-EXEMPT</v>
      </c>
      <c r="Q1372" t="str">
        <f>_xll.BDP("49140M4P Muni","MUNI_FED_TAX")</f>
        <v>N</v>
      </c>
      <c r="R1372">
        <f>_xll.BDP("49140M4P Muni","MUNI_MSRB_VOLUME")</f>
        <v>40000</v>
      </c>
      <c r="S1372" t="str">
        <f>_xll.BDP("49140M4P Muni","BB_COMPOSITE")</f>
        <v>#N/A N/A</v>
      </c>
      <c r="T1372">
        <f>_xll.BDP("49140M4P Muni","LQA_LIQUIDITY_SCORE")</f>
        <v>77</v>
      </c>
    </row>
    <row r="1373" spans="1:20" x14ac:dyDescent="0.25">
      <c r="A1373" t="str">
        <f>_xll.BDP("49140M4R Muni","ID_CUSIP")</f>
        <v>49140M4R7</v>
      </c>
      <c r="B1373" t="s">
        <v>135</v>
      </c>
      <c r="C1373" t="str">
        <f>_xll.BDP("49140M4R Muni","INSURANCE_STATUS")</f>
        <v>N</v>
      </c>
      <c r="D1373" t="str">
        <f>_xll.BDP("49140M4R Muni","STATE_CODE")</f>
        <v>KY</v>
      </c>
      <c r="E1373" t="str">
        <f>_xll.BDP("49140M4R Muni","COUNTY_LOCATION_ISSUER")</f>
        <v>Warren, KY</v>
      </c>
      <c r="F1373">
        <f>_xll.BDP("49140M4R Muni","DUR_ADJ_MID")</f>
        <v>3.2731766992353486</v>
      </c>
      <c r="G1373">
        <f>_xll.BDP("49140M4R Muni","SPREAD_AT_ISSUANCE_TO_WORST")</f>
        <v>87.898767826528015</v>
      </c>
      <c r="H1373" t="str">
        <f>_xll.BDP("49140M4R Muni","ISSUE_DT")</f>
        <v>7/11/2017</v>
      </c>
      <c r="I1373" t="str">
        <f>_xll.BDS("49140M4R Muni","MUNI_PURPOSE_SCHED", "aggregate=y")</f>
        <v>WATER UTILITY IMPS. SEWER IMPS. CURRENT REFUNDING</v>
      </c>
      <c r="J1373">
        <f>_xll.BDP("49140M4R Muni","CPN")</f>
        <v>4</v>
      </c>
      <c r="K1373" t="str">
        <f>_xll.BDP("49140M4R Muni","MATURITY")</f>
        <v>2/1/2026</v>
      </c>
      <c r="L1373">
        <v>230000</v>
      </c>
      <c r="M1373">
        <f>_xll.BDP("49140M4R Muni","YIELD_ON_ISSUE_DATE")</f>
        <v>2.6</v>
      </c>
      <c r="N1373">
        <f>_xll.BDP("49140M4R Muni","YTW_SPREAD_TO_MATURITY_AT_ISSU")</f>
        <v>87.898767826528015</v>
      </c>
      <c r="O1373" t="str">
        <f>_xll.BDP("49140M4R Muni","BVAL_MID_YTM")</f>
        <v>#N/A Authorization</v>
      </c>
      <c r="P1373" t="str">
        <f>_xll.BDP("49140M4R Muni","MUNI_TAX_PROV")</f>
        <v>FED &amp; ST TAX-EXEMPT</v>
      </c>
      <c r="Q1373" t="str">
        <f>_xll.BDP("49140M4R Muni","MUNI_FED_TAX")</f>
        <v>N</v>
      </c>
      <c r="R1373" t="str">
        <f>_xll.BDP("49140M4R Muni","MUNI_MSRB_VOLUME")</f>
        <v>#N/A N/A</v>
      </c>
      <c r="S1373" t="str">
        <f>_xll.BDP("49140M4R Muni","BB_COMPOSITE")</f>
        <v>#N/A N/A</v>
      </c>
      <c r="T1373">
        <f>_xll.BDP("49140M4R Muni","LQA_LIQUIDITY_SCORE")</f>
        <v>60</v>
      </c>
    </row>
    <row r="1374" spans="1:20" x14ac:dyDescent="0.25">
      <c r="A1374" t="str">
        <f>_xll.BDP("49140M4S Muni","ID_CUSIP")</f>
        <v>49140M4S5</v>
      </c>
      <c r="B1374" t="s">
        <v>135</v>
      </c>
      <c r="C1374" t="str">
        <f>_xll.BDP("49140M4S Muni","INSURANCE_STATUS")</f>
        <v>N</v>
      </c>
      <c r="D1374" t="str">
        <f>_xll.BDP("49140M4S Muni","STATE_CODE")</f>
        <v>KY</v>
      </c>
      <c r="E1374" t="str">
        <f>_xll.BDP("49140M4S Muni","COUNTY_LOCATION_ISSUER")</f>
        <v>Warren, KY</v>
      </c>
      <c r="F1374">
        <f>_xll.BDP("49140M4S Muni","DUR_ADJ_MID")</f>
        <v>4.1327857458558777</v>
      </c>
      <c r="G1374">
        <f>_xll.BDP("49140M4S Muni","SPREAD_AT_ISSUANCE_TO_WORST")</f>
        <v>96.075552200382305</v>
      </c>
      <c r="H1374" t="str">
        <f>_xll.BDP("49140M4S Muni","ISSUE_DT")</f>
        <v>7/11/2017</v>
      </c>
      <c r="I1374" t="str">
        <f>_xll.BDS("49140M4S Muni","MUNI_PURPOSE_SCHED", "aggregate=y")</f>
        <v>WATER UTILITY IMPS. SEWER IMPS. CURRENT REFUNDING</v>
      </c>
      <c r="J1374">
        <f>_xll.BDP("49140M4S Muni","CPN")</f>
        <v>4</v>
      </c>
      <c r="K1374" t="str">
        <f>_xll.BDP("49140M4S Muni","MATURITY")</f>
        <v>2/1/2027</v>
      </c>
      <c r="L1374">
        <v>240000</v>
      </c>
      <c r="M1374">
        <f>_xll.BDP("49140M4S Muni","YIELD_ON_ISSUE_DATE")</f>
        <v>2.8000000000000003</v>
      </c>
      <c r="N1374">
        <f>_xll.BDP("49140M4S Muni","YTW_SPREAD_TO_MATURITY_AT_ISSU")</f>
        <v>96.075552200382305</v>
      </c>
      <c r="O1374" t="str">
        <f>_xll.BDP("49140M4S Muni","BVAL_MID_YTM")</f>
        <v>#N/A Authorization</v>
      </c>
      <c r="P1374" t="str">
        <f>_xll.BDP("49140M4S Muni","MUNI_TAX_PROV")</f>
        <v>FED &amp; ST TAX-EXEMPT</v>
      </c>
      <c r="Q1374" t="str">
        <f>_xll.BDP("49140M4S Muni","MUNI_FED_TAX")</f>
        <v>N</v>
      </c>
      <c r="R1374" t="str">
        <f>_xll.BDP("49140M4S Muni","MUNI_MSRB_VOLUME")</f>
        <v>#N/A N/A</v>
      </c>
      <c r="S1374" t="str">
        <f>_xll.BDP("49140M4S Muni","BB_COMPOSITE")</f>
        <v>#N/A N/A</v>
      </c>
      <c r="T1374">
        <f>_xll.BDP("49140M4S Muni","LQA_LIQUIDITY_SCORE")</f>
        <v>51</v>
      </c>
    </row>
    <row r="1375" spans="1:20" x14ac:dyDescent="0.25">
      <c r="A1375" t="str">
        <f>_xll.BDP("491863FN Muni","ID_CUSIP")</f>
        <v>491863FN1</v>
      </c>
      <c r="B1375" t="s">
        <v>404</v>
      </c>
      <c r="C1375" t="str">
        <f>_xll.BDP("491863FN Muni","INSURANCE_STATUS")</f>
        <v>N</v>
      </c>
      <c r="D1375" t="str">
        <f>_xll.BDP("491863FN Muni","STATE_CODE")</f>
        <v>IA</v>
      </c>
      <c r="E1375" t="str">
        <f>_xll.BDP("491863FN Muni","COUNTY_LOCATION_ISSUER")</f>
        <v>Lee, IA</v>
      </c>
      <c r="F1375">
        <f>_xll.BDP("491863FN Muni","DUR_ADJ_MID")</f>
        <v>1.60293006113123</v>
      </c>
      <c r="G1375">
        <f>_xll.BDP("491863FN Muni","SPREAD_AT_ISSUANCE_TO_WORST")</f>
        <v>48.650230136986309</v>
      </c>
      <c r="H1375" t="str">
        <f>_xll.BDP("491863FN Muni","ISSUE_DT")</f>
        <v>12/1/2017</v>
      </c>
      <c r="I1375" t="str">
        <f>_xll.BDS("491863FN Muni","MUNI_PURPOSE_SCHED", "aggregate=y")</f>
        <v>WATER UTILITY IMPS.</v>
      </c>
      <c r="J1375">
        <f>_xll.BDP("491863FN Muni","CPN")</f>
        <v>3</v>
      </c>
      <c r="K1375" t="str">
        <f>_xll.BDP("491863FN Muni","MATURITY")</f>
        <v>4/1/2024</v>
      </c>
      <c r="L1375">
        <v>380000</v>
      </c>
      <c r="M1375">
        <f>_xll.BDP("491863FN Muni","YIELD_ON_ISSUE_DATE")</f>
        <v>2.15</v>
      </c>
      <c r="N1375">
        <f>_xll.BDP("491863FN Muni","YTW_SPREAD_TO_MATURITY_AT_ISSU")</f>
        <v>48.650230136986309</v>
      </c>
      <c r="O1375" t="str">
        <f>_xll.BDP("491863FN Muni","BVAL_MID_YTM")</f>
        <v>#N/A Authorization</v>
      </c>
      <c r="P1375" t="str">
        <f>_xll.BDP("491863FN Muni","MUNI_TAX_PROV")</f>
        <v>FED BQ/ST TAXABLE</v>
      </c>
      <c r="Q1375" t="str">
        <f>_xll.BDP("491863FN Muni","MUNI_FED_TAX")</f>
        <v>N</v>
      </c>
      <c r="R1375" t="str">
        <f>_xll.BDP("491863FN Muni","MUNI_MSRB_VOLUME")</f>
        <v>#N/A N/A</v>
      </c>
      <c r="S1375" t="str">
        <f>_xll.BDP("491863FN Muni","BB_COMPOSITE")</f>
        <v>#N/A N/A</v>
      </c>
      <c r="T1375">
        <f>_xll.BDP("491863FN Muni","LQA_LIQUIDITY_SCORE")</f>
        <v>83</v>
      </c>
    </row>
    <row r="1376" spans="1:20" x14ac:dyDescent="0.25">
      <c r="A1376" t="str">
        <f>_xll.BDP("492116DV Muni","ID_CUSIP")</f>
        <v>492116DV7</v>
      </c>
      <c r="B1376" t="s">
        <v>405</v>
      </c>
      <c r="C1376" t="str">
        <f>_xll.BDP("492116DV Muni","INSURANCE_STATUS")</f>
        <v>N</v>
      </c>
      <c r="D1376" t="str">
        <f>_xll.BDP("492116DV Muni","STATE_CODE")</f>
        <v>MN</v>
      </c>
      <c r="E1376" t="str">
        <f>_xll.BDP("492116DV Muni","COUNTY_LOCATION_ISSUER")</f>
        <v>Swift, MN</v>
      </c>
      <c r="F1376">
        <f>_xll.BDP("492116DV Muni","DUR_ADJ_MID")</f>
        <v>0.49449011387081349</v>
      </c>
      <c r="G1376">
        <f>_xll.BDP("492116DV Muni","SPREAD_AT_ISSUANCE_TO_WORST")</f>
        <v>85.588821642075715</v>
      </c>
      <c r="H1376" t="str">
        <f>_xll.BDP("492116DV Muni","ISSUE_DT")</f>
        <v>8/28/2017</v>
      </c>
      <c r="I1376" t="str">
        <f>_xll.BDS("492116DV Muni","MUNI_PURPOSE_SCHED", "aggregate=y")</f>
        <v>WATER UTILITY IMPS. SEWER IMPS.</v>
      </c>
      <c r="J1376">
        <f>_xll.BDP("492116DV Muni","CPN")</f>
        <v>3</v>
      </c>
      <c r="K1376" t="str">
        <f>_xll.BDP("492116DV Muni","MATURITY")</f>
        <v>2/1/2023</v>
      </c>
      <c r="L1376">
        <v>120000</v>
      </c>
      <c r="M1376">
        <f>_xll.BDP("492116DV Muni","YIELD_ON_ISSUE_DATE")</f>
        <v>2.15</v>
      </c>
      <c r="N1376">
        <f>_xll.BDP("492116DV Muni","YTW_SPREAD_TO_MATURITY_AT_ISSU")</f>
        <v>85.588821642075715</v>
      </c>
      <c r="O1376" t="str">
        <f>_xll.BDP("492116DV Muni","BVAL_MID_YTM")</f>
        <v>#N/A Authorization</v>
      </c>
      <c r="P1376" t="str">
        <f>_xll.BDP("492116DV Muni","MUNI_TAX_PROV")</f>
        <v>FED BQ/ST TAX-EXEMPT</v>
      </c>
      <c r="Q1376" t="str">
        <f>_xll.BDP("492116DV Muni","MUNI_FED_TAX")</f>
        <v>N</v>
      </c>
      <c r="R1376" t="str">
        <f>_xll.BDP("492116DV Muni","MUNI_MSRB_VOLUME")</f>
        <v>#N/A N/A</v>
      </c>
      <c r="S1376" t="str">
        <f>_xll.BDP("492116DV Muni","BB_COMPOSITE")</f>
        <v>#N/A N/A</v>
      </c>
      <c r="T1376">
        <f>_xll.BDP("492116DV Muni","LQA_LIQUIDITY_SCORE")</f>
        <v>87</v>
      </c>
    </row>
    <row r="1377" spans="1:20" x14ac:dyDescent="0.25">
      <c r="A1377" t="str">
        <f>_xll.BDP("492116DW Muni","ID_CUSIP")</f>
        <v>492116DW5</v>
      </c>
      <c r="B1377" t="s">
        <v>405</v>
      </c>
      <c r="C1377" t="str">
        <f>_xll.BDP("492116DW Muni","INSURANCE_STATUS")</f>
        <v>N</v>
      </c>
      <c r="D1377" t="str">
        <f>_xll.BDP("492116DW Muni","STATE_CODE")</f>
        <v>MN</v>
      </c>
      <c r="E1377" t="str">
        <f>_xll.BDP("492116DW Muni","COUNTY_LOCATION_ISSUER")</f>
        <v>Swift, MN</v>
      </c>
      <c r="F1377">
        <f>_xll.BDP("492116DW Muni","DUR_ADJ_MID")</f>
        <v>1.463069899817067</v>
      </c>
      <c r="G1377">
        <f>_xll.BDP("492116DW Muni","SPREAD_AT_ISSUANCE_TO_WORST")</f>
        <v>85.910630433679302</v>
      </c>
      <c r="H1377" t="str">
        <f>_xll.BDP("492116DW Muni","ISSUE_DT")</f>
        <v>8/28/2017</v>
      </c>
      <c r="I1377" t="str">
        <f>_xll.BDS("492116DW Muni","MUNI_PURPOSE_SCHED", "aggregate=y")</f>
        <v>WATER UTILITY IMPS. SEWER IMPS.</v>
      </c>
      <c r="J1377">
        <f>_xll.BDP("492116DW Muni","CPN")</f>
        <v>3</v>
      </c>
      <c r="K1377" t="str">
        <f>_xll.BDP("492116DW Muni","MATURITY")</f>
        <v>2/1/2024</v>
      </c>
      <c r="L1377">
        <v>120000</v>
      </c>
      <c r="M1377">
        <f>_xll.BDP("492116DW Muni","YIELD_ON_ISSUE_DATE")</f>
        <v>2.3000000000000003</v>
      </c>
      <c r="N1377">
        <f>_xll.BDP("492116DW Muni","YTW_SPREAD_TO_MATURITY_AT_ISSU")</f>
        <v>85.910630433679302</v>
      </c>
      <c r="O1377" t="str">
        <f>_xll.BDP("492116DW Muni","BVAL_MID_YTM")</f>
        <v>#N/A Authorization</v>
      </c>
      <c r="P1377" t="str">
        <f>_xll.BDP("492116DW Muni","MUNI_TAX_PROV")</f>
        <v>FED BQ/ST TAX-EXEMPT</v>
      </c>
      <c r="Q1377" t="str">
        <f>_xll.BDP("492116DW Muni","MUNI_FED_TAX")</f>
        <v>N</v>
      </c>
      <c r="R1377" t="str">
        <f>_xll.BDP("492116DW Muni","MUNI_MSRB_VOLUME")</f>
        <v>#N/A N/A</v>
      </c>
      <c r="S1377" t="str">
        <f>_xll.BDP("492116DW Muni","BB_COMPOSITE")</f>
        <v>#N/A N/A</v>
      </c>
      <c r="T1377">
        <f>_xll.BDP("492116DW Muni","LQA_LIQUIDITY_SCORE")</f>
        <v>70</v>
      </c>
    </row>
    <row r="1378" spans="1:20" x14ac:dyDescent="0.25">
      <c r="A1378" t="str">
        <f>_xll.BDP("492116DX Muni","ID_CUSIP")</f>
        <v>492116DX3</v>
      </c>
      <c r="B1378" t="s">
        <v>405</v>
      </c>
      <c r="C1378" t="str">
        <f>_xll.BDP("492116DX Muni","INSURANCE_STATUS")</f>
        <v>N</v>
      </c>
      <c r="D1378" t="str">
        <f>_xll.BDP("492116DX Muni","STATE_CODE")</f>
        <v>MN</v>
      </c>
      <c r="E1378" t="str">
        <f>_xll.BDP("492116DX Muni","COUNTY_LOCATION_ISSUER")</f>
        <v>Swift, MN</v>
      </c>
      <c r="F1378">
        <f>_xll.BDP("492116DX Muni","DUR_ADJ_MID")</f>
        <v>2.4030521460686178</v>
      </c>
      <c r="G1378">
        <f>_xll.BDP("492116DX Muni","SPREAD_AT_ISSUANCE_TO_WORST")</f>
        <v>85.964091869765596</v>
      </c>
      <c r="H1378" t="str">
        <f>_xll.BDP("492116DX Muni","ISSUE_DT")</f>
        <v>8/28/2017</v>
      </c>
      <c r="I1378" t="str">
        <f>_xll.BDS("492116DX Muni","MUNI_PURPOSE_SCHED", "aggregate=y")</f>
        <v>WATER UTILITY IMPS. SEWER IMPS.</v>
      </c>
      <c r="J1378">
        <f>_xll.BDP("492116DX Muni","CPN")</f>
        <v>3</v>
      </c>
      <c r="K1378" t="str">
        <f>_xll.BDP("492116DX Muni","MATURITY")</f>
        <v>2/1/2025</v>
      </c>
      <c r="L1378">
        <v>130000</v>
      </c>
      <c r="M1378">
        <f>_xll.BDP("492116DX Muni","YIELD_ON_ISSUE_DATE")</f>
        <v>2.4500000000000002</v>
      </c>
      <c r="N1378">
        <f>_xll.BDP("492116DX Muni","YTW_SPREAD_TO_MATURITY_AT_ISSU")</f>
        <v>85.964091869765596</v>
      </c>
      <c r="O1378" t="str">
        <f>_xll.BDP("492116DX Muni","BVAL_MID_YTM")</f>
        <v>#N/A Authorization</v>
      </c>
      <c r="P1378" t="str">
        <f>_xll.BDP("492116DX Muni","MUNI_TAX_PROV")</f>
        <v>FED BQ/ST TAX-EXEMPT</v>
      </c>
      <c r="Q1378" t="str">
        <f>_xll.BDP("492116DX Muni","MUNI_FED_TAX")</f>
        <v>N</v>
      </c>
      <c r="R1378" t="str">
        <f>_xll.BDP("492116DX Muni","MUNI_MSRB_VOLUME")</f>
        <v>#N/A N/A</v>
      </c>
      <c r="S1378" t="str">
        <f>_xll.BDP("492116DX Muni","BB_COMPOSITE")</f>
        <v>#N/A N/A</v>
      </c>
      <c r="T1378">
        <f>_xll.BDP("492116DX Muni","LQA_LIQUIDITY_SCORE")</f>
        <v>58</v>
      </c>
    </row>
    <row r="1379" spans="1:20" x14ac:dyDescent="0.25">
      <c r="A1379" t="str">
        <f>_xll.BDP("492116DY Muni","ID_CUSIP")</f>
        <v>492116DY1</v>
      </c>
      <c r="B1379" t="s">
        <v>405</v>
      </c>
      <c r="C1379" t="str">
        <f>_xll.BDP("492116DY Muni","INSURANCE_STATUS")</f>
        <v>N</v>
      </c>
      <c r="D1379" t="str">
        <f>_xll.BDP("492116DY Muni","STATE_CODE")</f>
        <v>MN</v>
      </c>
      <c r="E1379" t="str">
        <f>_xll.BDP("492116DY Muni","COUNTY_LOCATION_ISSUER")</f>
        <v>Swift, MN</v>
      </c>
      <c r="F1379">
        <f>_xll.BDP("492116DY Muni","DUR_ADJ_MID")</f>
        <v>3.3157033326985896</v>
      </c>
      <c r="G1379">
        <f>_xll.BDP("492116DY Muni","SPREAD_AT_ISSUANCE_TO_WORST")</f>
        <v>86.712510435496199</v>
      </c>
      <c r="H1379" t="str">
        <f>_xll.BDP("492116DY Muni","ISSUE_DT")</f>
        <v>8/28/2017</v>
      </c>
      <c r="I1379" t="str">
        <f>_xll.BDS("492116DY Muni","MUNI_PURPOSE_SCHED", "aggregate=y")</f>
        <v>WATER UTILITY IMPS. SEWER IMPS.</v>
      </c>
      <c r="J1379">
        <f>_xll.BDP("492116DY Muni","CPN")</f>
        <v>3</v>
      </c>
      <c r="K1379" t="str">
        <f>_xll.BDP("492116DY Muni","MATURITY")</f>
        <v>2/1/2026</v>
      </c>
      <c r="L1379">
        <v>135000</v>
      </c>
      <c r="M1379">
        <f>_xll.BDP("492116DY Muni","YIELD_ON_ISSUE_DATE")</f>
        <v>2.6</v>
      </c>
      <c r="N1379">
        <f>_xll.BDP("492116DY Muni","YTW_SPREAD_TO_MATURITY_AT_ISSU")</f>
        <v>86.712510435496199</v>
      </c>
      <c r="O1379" t="str">
        <f>_xll.BDP("492116DY Muni","BVAL_MID_YTM")</f>
        <v>#N/A Authorization</v>
      </c>
      <c r="P1379" t="str">
        <f>_xll.BDP("492116DY Muni","MUNI_TAX_PROV")</f>
        <v>FED BQ/ST TAX-EXEMPT</v>
      </c>
      <c r="Q1379" t="str">
        <f>_xll.BDP("492116DY Muni","MUNI_FED_TAX")</f>
        <v>N</v>
      </c>
      <c r="R1379" t="str">
        <f>_xll.BDP("492116DY Muni","MUNI_MSRB_VOLUME")</f>
        <v>#N/A N/A</v>
      </c>
      <c r="S1379" t="str">
        <f>_xll.BDP("492116DY Muni","BB_COMPOSITE")</f>
        <v>#N/A N/A</v>
      </c>
      <c r="T1379">
        <f>_xll.BDP("492116DY Muni","LQA_LIQUIDITY_SCORE")</f>
        <v>50</v>
      </c>
    </row>
    <row r="1380" spans="1:20" x14ac:dyDescent="0.25">
      <c r="A1380" t="str">
        <f>_xll.BDP("492116DZ Muni","ID_CUSIP")</f>
        <v>492116DZ8</v>
      </c>
      <c r="B1380" t="s">
        <v>405</v>
      </c>
      <c r="C1380" t="str">
        <f>_xll.BDP("492116DZ Muni","INSURANCE_STATUS")</f>
        <v>N</v>
      </c>
      <c r="D1380" t="str">
        <f>_xll.BDP("492116DZ Muni","STATE_CODE")</f>
        <v>MN</v>
      </c>
      <c r="E1380" t="str">
        <f>_xll.BDP("492116DZ Muni","COUNTY_LOCATION_ISSUER")</f>
        <v>Swift, MN</v>
      </c>
      <c r="F1380">
        <f>_xll.BDP("492116DZ Muni","DUR_ADJ_MID")</f>
        <v>4.201474562406168</v>
      </c>
      <c r="G1380">
        <f>_xll.BDP("492116DZ Muni","SPREAD_AT_ISSUANCE_TO_WORST")</f>
        <v>89.60502237686336</v>
      </c>
      <c r="H1380" t="str">
        <f>_xll.BDP("492116DZ Muni","ISSUE_DT")</f>
        <v>8/28/2017</v>
      </c>
      <c r="I1380" t="str">
        <f>_xll.BDS("492116DZ Muni","MUNI_PURPOSE_SCHED", "aggregate=y")</f>
        <v>WATER UTILITY IMPS. SEWER IMPS.</v>
      </c>
      <c r="J1380">
        <f>_xll.BDP("492116DZ Muni","CPN")</f>
        <v>3</v>
      </c>
      <c r="K1380" t="str">
        <f>_xll.BDP("492116DZ Muni","MATURITY")</f>
        <v>2/1/2027</v>
      </c>
      <c r="L1380">
        <v>135000</v>
      </c>
      <c r="M1380">
        <f>_xll.BDP("492116DZ Muni","YIELD_ON_ISSUE_DATE")</f>
        <v>2.75</v>
      </c>
      <c r="N1380">
        <f>_xll.BDP("492116DZ Muni","YTW_SPREAD_TO_MATURITY_AT_ISSU")</f>
        <v>89.60502237686336</v>
      </c>
      <c r="O1380" t="str">
        <f>_xll.BDP("492116DZ Muni","BVAL_MID_YTM")</f>
        <v>#N/A Authorization</v>
      </c>
      <c r="P1380" t="str">
        <f>_xll.BDP("492116DZ Muni","MUNI_TAX_PROV")</f>
        <v>FED BQ/ST TAX-EXEMPT</v>
      </c>
      <c r="Q1380" t="str">
        <f>_xll.BDP("492116DZ Muni","MUNI_FED_TAX")</f>
        <v>N</v>
      </c>
      <c r="R1380" t="str">
        <f>_xll.BDP("492116DZ Muni","MUNI_MSRB_VOLUME")</f>
        <v>#N/A N/A</v>
      </c>
      <c r="S1380" t="str">
        <f>_xll.BDP("492116DZ Muni","BB_COMPOSITE")</f>
        <v>#N/A N/A</v>
      </c>
      <c r="T1380">
        <f>_xll.BDP("492116DZ Muni","LQA_LIQUIDITY_SCORE")</f>
        <v>44</v>
      </c>
    </row>
    <row r="1381" spans="1:20" x14ac:dyDescent="0.25">
      <c r="A1381" t="str">
        <f>_xll.BDP("493851AF Muni","ID_CUSIP")</f>
        <v>493851AF6</v>
      </c>
      <c r="B1381" t="s">
        <v>406</v>
      </c>
      <c r="C1381" t="str">
        <f>_xll.BDP("493851AF Muni","INSURANCE_STATUS")</f>
        <v>N</v>
      </c>
      <c r="D1381" t="str">
        <f>_xll.BDP("493851AF Muni","STATE_CODE")</f>
        <v>WI</v>
      </c>
      <c r="E1381" t="str">
        <f>_xll.BDP("493851AF Muni","COUNTY_LOCATION_ISSUER")</f>
        <v>#N/A Field Not Applicable</v>
      </c>
      <c r="F1381">
        <f>_xll.BDP("493851AF Muni","DUR_ADJ_MID")</f>
        <v>0.73484806503054767</v>
      </c>
      <c r="G1381">
        <f>_xll.BDP("493851AF Muni","SPREAD_AT_ISSUANCE_TO_WORST")</f>
        <v>62.185397260273966</v>
      </c>
      <c r="H1381" t="str">
        <f>_xll.BDP("493851AF Muni","ISSUE_DT")</f>
        <v>12/27/2017</v>
      </c>
      <c r="I1381" t="str">
        <f>_xll.BDS("493851AF Muni","MUNI_PURPOSE_SCHED", "aggregate=y")</f>
        <v>WATER UTILITY IMPS.</v>
      </c>
      <c r="J1381">
        <f>_xll.BDP("493851AF Muni","CPN")</f>
        <v>3</v>
      </c>
      <c r="K1381" t="str">
        <f>_xll.BDP("493851AF Muni","MATURITY")</f>
        <v>5/1/2023</v>
      </c>
      <c r="L1381">
        <v>110000</v>
      </c>
      <c r="M1381">
        <f>_xll.BDP("493851AF Muni","YIELD_ON_ISSUE_DATE")</f>
        <v>2.3000000000000003</v>
      </c>
      <c r="N1381">
        <f>_xll.BDP("493851AF Muni","YTW_SPREAD_TO_MATURITY_AT_ISSU")</f>
        <v>62.185397260273966</v>
      </c>
      <c r="O1381" t="str">
        <f>_xll.BDP("493851AF Muni","BVAL_MID_YTM")</f>
        <v>#N/A Authorization</v>
      </c>
      <c r="P1381" t="str">
        <f>_xll.BDP("493851AF Muni","MUNI_TAX_PROV")</f>
        <v>FED BQ/ST TAXABLE</v>
      </c>
      <c r="Q1381" t="str">
        <f>_xll.BDP("493851AF Muni","MUNI_FED_TAX")</f>
        <v>N</v>
      </c>
      <c r="R1381" t="str">
        <f>_xll.BDP("493851AF Muni","MUNI_MSRB_VOLUME")</f>
        <v>#N/A N/A</v>
      </c>
      <c r="S1381" t="str">
        <f>_xll.BDP("493851AF Muni","BB_COMPOSITE")</f>
        <v>#N/A N/A</v>
      </c>
      <c r="T1381">
        <f>_xll.BDP("493851AF Muni","LQA_LIQUIDITY_SCORE")</f>
        <v>85</v>
      </c>
    </row>
    <row r="1382" spans="1:20" x14ac:dyDescent="0.25">
      <c r="A1382" t="str">
        <f>_xll.BDP("493851AG Muni","ID_CUSIP")</f>
        <v>493851AG4</v>
      </c>
      <c r="B1382" t="s">
        <v>406</v>
      </c>
      <c r="C1382" t="str">
        <f>_xll.BDP("493851AG Muni","INSURANCE_STATUS")</f>
        <v>N</v>
      </c>
      <c r="D1382" t="str">
        <f>_xll.BDP("493851AG Muni","STATE_CODE")</f>
        <v>WI</v>
      </c>
      <c r="E1382" t="str">
        <f>_xll.BDP("493851AG Muni","COUNTY_LOCATION_ISSUER")</f>
        <v>#N/A Field Not Applicable</v>
      </c>
      <c r="F1382">
        <f>_xll.BDP("493851AG Muni","DUR_ADJ_MID")</f>
        <v>1.6888646222020542</v>
      </c>
      <c r="G1382">
        <f>_xll.BDP("493851AG Muni","SPREAD_AT_ISSUANCE_TO_WORST")</f>
        <v>65.803145205479453</v>
      </c>
      <c r="H1382" t="str">
        <f>_xll.BDP("493851AG Muni","ISSUE_DT")</f>
        <v>12/27/2017</v>
      </c>
      <c r="I1382" t="str">
        <f>_xll.BDS("493851AG Muni","MUNI_PURPOSE_SCHED", "aggregate=y")</f>
        <v>WATER UTILITY IMPS.</v>
      </c>
      <c r="J1382">
        <f>_xll.BDP("493851AG Muni","CPN")</f>
        <v>3</v>
      </c>
      <c r="K1382" t="str">
        <f>_xll.BDP("493851AG Muni","MATURITY")</f>
        <v>5/1/2024</v>
      </c>
      <c r="L1382">
        <v>115000</v>
      </c>
      <c r="M1382">
        <f>_xll.BDP("493851AG Muni","YIELD_ON_ISSUE_DATE")</f>
        <v>2.4000000000000004</v>
      </c>
      <c r="N1382">
        <f>_xll.BDP("493851AG Muni","YTW_SPREAD_TO_MATURITY_AT_ISSU")</f>
        <v>65.803145205479453</v>
      </c>
      <c r="O1382" t="str">
        <f>_xll.BDP("493851AG Muni","BVAL_MID_YTM")</f>
        <v>#N/A Authorization</v>
      </c>
      <c r="P1382" t="str">
        <f>_xll.BDP("493851AG Muni","MUNI_TAX_PROV")</f>
        <v>FED BQ/ST TAXABLE</v>
      </c>
      <c r="Q1382" t="str">
        <f>_xll.BDP("493851AG Muni","MUNI_FED_TAX")</f>
        <v>N</v>
      </c>
      <c r="R1382" t="str">
        <f>_xll.BDP("493851AG Muni","MUNI_MSRB_VOLUME")</f>
        <v>#N/A N/A</v>
      </c>
      <c r="S1382" t="str">
        <f>_xll.BDP("493851AG Muni","BB_COMPOSITE")</f>
        <v>#N/A N/A</v>
      </c>
      <c r="T1382">
        <f>_xll.BDP("493851AG Muni","LQA_LIQUIDITY_SCORE")</f>
        <v>72</v>
      </c>
    </row>
    <row r="1383" spans="1:20" x14ac:dyDescent="0.25">
      <c r="A1383" t="str">
        <f>_xll.BDP("494044KP Muni","ID_CUSIP")</f>
        <v>494044KP4</v>
      </c>
      <c r="B1383" t="s">
        <v>407</v>
      </c>
      <c r="C1383" t="str">
        <f>_xll.BDP("494044KP Muni","INSURANCE_STATUS")</f>
        <v>N</v>
      </c>
      <c r="D1383" t="str">
        <f>_xll.BDP("494044KP Muni","STATE_CODE")</f>
        <v>TX</v>
      </c>
      <c r="E1383" t="str">
        <f>_xll.BDP("494044KP Muni","COUNTY_LOCATION_ISSUER")</f>
        <v>Gregg, TX</v>
      </c>
      <c r="F1383">
        <f>_xll.BDP("494044KP Muni","DUR_ADJ_MID")</f>
        <v>0.52273320112801913</v>
      </c>
      <c r="G1383">
        <f>_xll.BDP("494044KP Muni","SPREAD_AT_ISSUANCE_TO_WORST")</f>
        <v>20.742358963697583</v>
      </c>
      <c r="H1383" t="str">
        <f>_xll.BDP("494044KP Muni","ISSUE_DT")</f>
        <v>1/15/2017</v>
      </c>
      <c r="I1383" t="str">
        <f>_xll.BDS("494044KP Muni","MUNI_PURPOSE_SCHED", "aggregate=y")</f>
        <v>WATER UTILITY IMPS. SEWER IMPS.</v>
      </c>
      <c r="J1383">
        <f>_xll.BDP("494044KP Muni","CPN")</f>
        <v>4</v>
      </c>
      <c r="K1383" t="str">
        <f>_xll.BDP("494044KP Muni","MATURITY")</f>
        <v>2/15/2023</v>
      </c>
      <c r="L1383">
        <v>185000</v>
      </c>
      <c r="M1383">
        <f>_xll.BDP("494044KP Muni","YIELD_ON_ISSUE_DATE")</f>
        <v>2.0499999999999998</v>
      </c>
      <c r="N1383">
        <f>_xll.BDP("494044KP Muni","YTW_SPREAD_TO_MATURITY_AT_ISSU")</f>
        <v>20.742358963697583</v>
      </c>
      <c r="O1383" t="str">
        <f>_xll.BDP("494044KP Muni","BVAL_MID_YTM")</f>
        <v>#N/A Authorization</v>
      </c>
      <c r="P1383" t="str">
        <f>_xll.BDP("494044KP Muni","MUNI_TAX_PROV")</f>
        <v>FED BQ</v>
      </c>
      <c r="Q1383" t="str">
        <f>_xll.BDP("494044KP Muni","MUNI_FED_TAX")</f>
        <v>N</v>
      </c>
      <c r="R1383" t="str">
        <f>_xll.BDP("494044KP Muni","MUNI_MSRB_VOLUME")</f>
        <v>#N/A N/A</v>
      </c>
      <c r="S1383" t="str">
        <f>_xll.BDP("494044KP Muni","BB_COMPOSITE")</f>
        <v>#N/A N/A</v>
      </c>
      <c r="T1383">
        <f>_xll.BDP("494044KP Muni","LQA_LIQUIDITY_SCORE")</f>
        <v>86</v>
      </c>
    </row>
    <row r="1384" spans="1:20" x14ac:dyDescent="0.25">
      <c r="A1384" t="str">
        <f>_xll.BDP("494044KQ Muni","ID_CUSIP")</f>
        <v>494044KQ2</v>
      </c>
      <c r="B1384" t="s">
        <v>407</v>
      </c>
      <c r="C1384" t="str">
        <f>_xll.BDP("494044KQ Muni","INSURANCE_STATUS")</f>
        <v>N</v>
      </c>
      <c r="D1384" t="str">
        <f>_xll.BDP("494044KQ Muni","STATE_CODE")</f>
        <v>TX</v>
      </c>
      <c r="E1384" t="str">
        <f>_xll.BDP("494044KQ Muni","COUNTY_LOCATION_ISSUER")</f>
        <v>Gregg, TX</v>
      </c>
      <c r="F1384">
        <f>_xll.BDP("494044KQ Muni","DUR_ADJ_MID")</f>
        <v>1.464965414483876</v>
      </c>
      <c r="G1384">
        <f>_xll.BDP("494044KQ Muni","SPREAD_AT_ISSUANCE_TO_WORST")</f>
        <v>17.088608991153297</v>
      </c>
      <c r="H1384" t="str">
        <f>_xll.BDP("494044KQ Muni","ISSUE_DT")</f>
        <v>1/15/2017</v>
      </c>
      <c r="I1384" t="str">
        <f>_xll.BDS("494044KQ Muni","MUNI_PURPOSE_SCHED", "aggregate=y")</f>
        <v>WATER UTILITY IMPS. SEWER IMPS.</v>
      </c>
      <c r="J1384">
        <f>_xll.BDP("494044KQ Muni","CPN")</f>
        <v>4</v>
      </c>
      <c r="K1384" t="str">
        <f>_xll.BDP("494044KQ Muni","MATURITY")</f>
        <v>2/15/2024</v>
      </c>
      <c r="L1384">
        <v>190000</v>
      </c>
      <c r="M1384">
        <f>_xll.BDP("494044KQ Muni","YIELD_ON_ISSUE_DATE")</f>
        <v>2.15</v>
      </c>
      <c r="N1384">
        <f>_xll.BDP("494044KQ Muni","YTW_SPREAD_TO_MATURITY_AT_ISSU")</f>
        <v>17.088608991153297</v>
      </c>
      <c r="O1384" t="str">
        <f>_xll.BDP("494044KQ Muni","BVAL_MID_YTM")</f>
        <v>#N/A Authorization</v>
      </c>
      <c r="P1384" t="str">
        <f>_xll.BDP("494044KQ Muni","MUNI_TAX_PROV")</f>
        <v>FED BQ</v>
      </c>
      <c r="Q1384" t="str">
        <f>_xll.BDP("494044KQ Muni","MUNI_FED_TAX")</f>
        <v>N</v>
      </c>
      <c r="R1384" t="str">
        <f>_xll.BDP("494044KQ Muni","MUNI_MSRB_VOLUME")</f>
        <v>#N/A N/A</v>
      </c>
      <c r="S1384" t="str">
        <f>_xll.BDP("494044KQ Muni","BB_COMPOSITE")</f>
        <v>#N/A N/A</v>
      </c>
      <c r="T1384">
        <f>_xll.BDP("494044KQ Muni","LQA_LIQUIDITY_SCORE")</f>
        <v>80</v>
      </c>
    </row>
    <row r="1385" spans="1:20" x14ac:dyDescent="0.25">
      <c r="A1385" t="str">
        <f>_xll.BDP("494044KR Muni","ID_CUSIP")</f>
        <v>494044KR0</v>
      </c>
      <c r="B1385" t="s">
        <v>407</v>
      </c>
      <c r="C1385" t="str">
        <f>_xll.BDP("494044KR Muni","INSURANCE_STATUS")</f>
        <v>N</v>
      </c>
      <c r="D1385" t="str">
        <f>_xll.BDP("494044KR Muni","STATE_CODE")</f>
        <v>TX</v>
      </c>
      <c r="E1385" t="str">
        <f>_xll.BDP("494044KR Muni","COUNTY_LOCATION_ISSUER")</f>
        <v>Gregg, TX</v>
      </c>
      <c r="F1385">
        <f>_xll.BDP("494044KR Muni","DUR_ADJ_MID")</f>
        <v>2.372134038450878</v>
      </c>
      <c r="G1385">
        <f>_xll.BDP("494044KR Muni","SPREAD_AT_ISSUANCE_TO_WORST")</f>
        <v>13.589791358705927</v>
      </c>
      <c r="H1385" t="str">
        <f>_xll.BDP("494044KR Muni","ISSUE_DT")</f>
        <v>1/15/2017</v>
      </c>
      <c r="I1385" t="str">
        <f>_xll.BDS("494044KR Muni","MUNI_PURPOSE_SCHED", "aggregate=y")</f>
        <v>WATER UTILITY IMPS. SEWER IMPS.</v>
      </c>
      <c r="J1385">
        <f>_xll.BDP("494044KR Muni","CPN")</f>
        <v>4</v>
      </c>
      <c r="K1385" t="str">
        <f>_xll.BDP("494044KR Muni","MATURITY")</f>
        <v>2/15/2025</v>
      </c>
      <c r="L1385">
        <v>200000</v>
      </c>
      <c r="M1385">
        <f>_xll.BDP("494044KR Muni","YIELD_ON_ISSUE_DATE")</f>
        <v>2.25</v>
      </c>
      <c r="N1385">
        <f>_xll.BDP("494044KR Muni","YTW_SPREAD_TO_MATURITY_AT_ISSU")</f>
        <v>13.589791358705927</v>
      </c>
      <c r="O1385" t="str">
        <f>_xll.BDP("494044KR Muni","BVAL_MID_YTM")</f>
        <v>#N/A Authorization</v>
      </c>
      <c r="P1385" t="str">
        <f>_xll.BDP("494044KR Muni","MUNI_TAX_PROV")</f>
        <v>FED BQ</v>
      </c>
      <c r="Q1385" t="str">
        <f>_xll.BDP("494044KR Muni","MUNI_FED_TAX")</f>
        <v>N</v>
      </c>
      <c r="R1385" t="str">
        <f>_xll.BDP("494044KR Muni","MUNI_MSRB_VOLUME")</f>
        <v>#N/A N/A</v>
      </c>
      <c r="S1385" t="str">
        <f>_xll.BDP("494044KR Muni","BB_COMPOSITE")</f>
        <v>#N/A N/A</v>
      </c>
      <c r="T1385">
        <f>_xll.BDP("494044KR Muni","LQA_LIQUIDITY_SCORE")</f>
        <v>72</v>
      </c>
    </row>
    <row r="1386" spans="1:20" x14ac:dyDescent="0.25">
      <c r="A1386" t="str">
        <f>_xll.BDP("494044KS Muni","ID_CUSIP")</f>
        <v>494044KS8</v>
      </c>
      <c r="B1386" t="s">
        <v>407</v>
      </c>
      <c r="C1386" t="str">
        <f>_xll.BDP("494044KS Muni","INSURANCE_STATUS")</f>
        <v>N</v>
      </c>
      <c r="D1386" t="str">
        <f>_xll.BDP("494044KS Muni","STATE_CODE")</f>
        <v>TX</v>
      </c>
      <c r="E1386" t="str">
        <f>_xll.BDP("494044KS Muni","COUNTY_LOCATION_ISSUER")</f>
        <v>Gregg, TX</v>
      </c>
      <c r="F1386">
        <f>_xll.BDP("494044KS Muni","DUR_ADJ_MID")</f>
        <v>3.3027803813940411</v>
      </c>
      <c r="G1386">
        <f>_xll.BDP("494044KS Muni","SPREAD_AT_ISSUANCE_TO_WORST")</f>
        <v>11.644311723564771</v>
      </c>
      <c r="H1386" t="str">
        <f>_xll.BDP("494044KS Muni","ISSUE_DT")</f>
        <v>1/15/2017</v>
      </c>
      <c r="I1386" t="str">
        <f>_xll.BDS("494044KS Muni","MUNI_PURPOSE_SCHED", "aggregate=y")</f>
        <v>WATER UTILITY IMPS. SEWER IMPS.</v>
      </c>
      <c r="J1386">
        <f>_xll.BDP("494044KS Muni","CPN")</f>
        <v>3</v>
      </c>
      <c r="K1386" t="str">
        <f>_xll.BDP("494044KS Muni","MATURITY")</f>
        <v>2/15/2026</v>
      </c>
      <c r="L1386">
        <v>205000</v>
      </c>
      <c r="M1386">
        <f>_xll.BDP("494044KS Muni","YIELD_ON_ISSUE_DATE")</f>
        <v>2.35</v>
      </c>
      <c r="N1386">
        <f>_xll.BDP("494044KS Muni","YTW_SPREAD_TO_MATURITY_AT_ISSU")</f>
        <v>11.644311723564771</v>
      </c>
      <c r="O1386" t="str">
        <f>_xll.BDP("494044KS Muni","BVAL_MID_YTM")</f>
        <v>#N/A Authorization</v>
      </c>
      <c r="P1386" t="str">
        <f>_xll.BDP("494044KS Muni","MUNI_TAX_PROV")</f>
        <v>FED BQ</v>
      </c>
      <c r="Q1386" t="str">
        <f>_xll.BDP("494044KS Muni","MUNI_FED_TAX")</f>
        <v>N</v>
      </c>
      <c r="R1386" t="str">
        <f>_xll.BDP("494044KS Muni","MUNI_MSRB_VOLUME")</f>
        <v>#N/A N/A</v>
      </c>
      <c r="S1386" t="str">
        <f>_xll.BDP("494044KS Muni","BB_COMPOSITE")</f>
        <v>#N/A N/A</v>
      </c>
      <c r="T1386">
        <f>_xll.BDP("494044KS Muni","LQA_LIQUIDITY_SCORE")</f>
        <v>56</v>
      </c>
    </row>
    <row r="1387" spans="1:20" x14ac:dyDescent="0.25">
      <c r="A1387" t="str">
        <f>_xll.BDP("392411AZ Muni","ID_CUSIP")</f>
        <v>392411AZ7</v>
      </c>
      <c r="B1387" t="s">
        <v>408</v>
      </c>
      <c r="C1387" t="str">
        <f>_xll.BDP("392411AZ Muni","INSURANCE_STATUS")</f>
        <v>Y</v>
      </c>
      <c r="D1387" t="str">
        <f>_xll.BDP("392411AZ Muni","STATE_CODE")</f>
        <v>CO</v>
      </c>
      <c r="E1387" t="str">
        <f>_xll.BDP("392411AZ Muni","COUNTY_LOCATION_ISSUER")</f>
        <v>Jefferson, CO</v>
      </c>
      <c r="F1387">
        <f>_xll.BDP("392411AZ Muni","DUR_ADJ_MID")</f>
        <v>0.32920198852604304</v>
      </c>
      <c r="G1387">
        <f>_xll.BDP("392411AZ Muni","SPREAD_AT_ISSUANCE_TO_WORST")</f>
        <v>32.929643835616453</v>
      </c>
      <c r="H1387" t="str">
        <f>_xll.BDP("392411AZ Muni","ISSUE_DT")</f>
        <v>12/1/2017</v>
      </c>
      <c r="I1387" t="str">
        <f>_xll.BDS("392411AZ Muni","MUNI_PURPOSE_SCHED", "aggregate=y")</f>
        <v>CURRENT REFUNDING WATER UTILITY IMPS.</v>
      </c>
      <c r="J1387">
        <f>_xll.BDP("392411AZ Muni","CPN")</f>
        <v>4</v>
      </c>
      <c r="K1387" t="str">
        <f>_xll.BDP("392411AZ Muni","MATURITY")</f>
        <v>12/1/2022</v>
      </c>
      <c r="L1387">
        <v>85000</v>
      </c>
      <c r="M1387">
        <f>_xll.BDP("392411AZ Muni","YIELD_ON_ISSUE_DATE")</f>
        <v>1.85</v>
      </c>
      <c r="N1387">
        <f>_xll.BDP("392411AZ Muni","YTW_SPREAD_TO_MATURITY_AT_ISSU")</f>
        <v>32.929643835616453</v>
      </c>
      <c r="O1387" t="str">
        <f>_xll.BDP("392411AZ Muni","BVAL_MID_YTM")</f>
        <v>#N/A Authorization</v>
      </c>
      <c r="P1387" t="str">
        <f>_xll.BDP("392411AZ Muni","MUNI_TAX_PROV")</f>
        <v>FED BQ/ST TAX-EXEMPT</v>
      </c>
      <c r="Q1387" t="str">
        <f>_xll.BDP("392411AZ Muni","MUNI_FED_TAX")</f>
        <v>N</v>
      </c>
      <c r="R1387" t="str">
        <f>_xll.BDP("392411AZ Muni","MUNI_MSRB_VOLUME")</f>
        <v>#N/A N/A</v>
      </c>
      <c r="S1387" t="str">
        <f>_xll.BDP("392411AZ Muni","BB_COMPOSITE")</f>
        <v>#N/A N/A</v>
      </c>
      <c r="T1387">
        <f>_xll.BDP("392411AZ Muni","LQA_LIQUIDITY_SCORE")</f>
        <v>91</v>
      </c>
    </row>
    <row r="1388" spans="1:20" x14ac:dyDescent="0.25">
      <c r="A1388" t="str">
        <f>_xll.BDP("393043DX Muni","ID_CUSIP")</f>
        <v>393043DX9</v>
      </c>
      <c r="B1388" t="s">
        <v>409</v>
      </c>
      <c r="C1388" t="str">
        <f>_xll.BDP("393043DX Muni","INSURANCE_STATUS")</f>
        <v>N</v>
      </c>
      <c r="D1388" t="str">
        <f>_xll.BDP("393043DX Muni","STATE_CODE")</f>
        <v>AR</v>
      </c>
      <c r="E1388" t="str">
        <f>_xll.BDP("393043DX Muni","COUNTY_LOCATION_ISSUER")</f>
        <v>Carroll, AR</v>
      </c>
      <c r="F1388">
        <f>_xll.BDP("393043DX Muni","DUR_ADJ_MID")</f>
        <v>3.6525096243866919</v>
      </c>
      <c r="G1388">
        <f>_xll.BDP("393043DX Muni","SPREAD_AT_ISSUANCE_TO_WORST")</f>
        <v>113.18908094012352</v>
      </c>
      <c r="H1388" t="str">
        <f>_xll.BDP("393043DX Muni","ISSUE_DT")</f>
        <v>1/18/2017</v>
      </c>
      <c r="I1388" t="str">
        <f>_xll.BDS("393043DX Muni","MUNI_PURPOSE_SCHED", "aggregate=y")</f>
        <v>WATER UTILITY IMPS. SEWER IMPS.</v>
      </c>
      <c r="J1388">
        <f>_xll.BDP("393043DX Muni","CPN")</f>
        <v>3.375</v>
      </c>
      <c r="K1388" t="str">
        <f>_xll.BDP("393043DX Muni","MATURITY")</f>
        <v>7/1/2026</v>
      </c>
      <c r="L1388">
        <v>75000</v>
      </c>
      <c r="M1388">
        <f>_xll.BDP("393043DX Muni","YIELD_ON_ISSUE_DATE")</f>
        <v>3.6</v>
      </c>
      <c r="N1388">
        <f>_xll.BDP("393043DX Muni","YTW_SPREAD_TO_MATURITY_AT_ISSU")</f>
        <v>113.18908094012352</v>
      </c>
      <c r="O1388" t="str">
        <f>_xll.BDP("393043DX Muni","BVAL_MID_YTM")</f>
        <v>#N/A Authorization</v>
      </c>
      <c r="P1388" t="str">
        <f>_xll.BDP("393043DX Muni","MUNI_TAX_PROV")</f>
        <v>AMT/ST TAX-EXEMPT</v>
      </c>
      <c r="Q1388" t="str">
        <f>_xll.BDP("393043DX Muni","MUNI_FED_TAX")</f>
        <v>N</v>
      </c>
      <c r="R1388" t="str">
        <f>_xll.BDP("393043DX Muni","MUNI_MSRB_VOLUME")</f>
        <v>#N/A N/A</v>
      </c>
      <c r="S1388" t="str">
        <f>_xll.BDP("393043DX Muni","BB_COMPOSITE")</f>
        <v>#N/A N/A</v>
      </c>
      <c r="T1388">
        <f>_xll.BDP("393043DX Muni","LQA_LIQUIDITY_SCORE")</f>
        <v>36</v>
      </c>
    </row>
    <row r="1389" spans="1:20" x14ac:dyDescent="0.25">
      <c r="A1389" t="str">
        <f>_xll.BDP("393043DY Muni","ID_CUSIP")</f>
        <v>393043DY7</v>
      </c>
      <c r="B1389" t="s">
        <v>409</v>
      </c>
      <c r="C1389" t="str">
        <f>_xll.BDP("393043DY Muni","INSURANCE_STATUS")</f>
        <v>N</v>
      </c>
      <c r="D1389" t="str">
        <f>_xll.BDP("393043DY Muni","STATE_CODE")</f>
        <v>AR</v>
      </c>
      <c r="E1389" t="str">
        <f>_xll.BDP("393043DY Muni","COUNTY_LOCATION_ISSUER")</f>
        <v>Carroll, AR</v>
      </c>
      <c r="F1389">
        <f>_xll.BDP("393043DY Muni","DUR_ADJ_MID")</f>
        <v>4.5007952746118445</v>
      </c>
      <c r="G1389">
        <f>_xll.BDP("393043DY Muni","SPREAD_AT_ISSUANCE_TO_WORST")</f>
        <v>116.00327549262927</v>
      </c>
      <c r="H1389" t="str">
        <f>_xll.BDP("393043DY Muni","ISSUE_DT")</f>
        <v>1/18/2017</v>
      </c>
      <c r="I1389" t="str">
        <f>_xll.BDS("393043DY Muni","MUNI_PURPOSE_SCHED", "aggregate=y")</f>
        <v>WATER UTILITY IMPS. SEWER IMPS.</v>
      </c>
      <c r="J1389">
        <f>_xll.BDP("393043DY Muni","CPN")</f>
        <v>3.5</v>
      </c>
      <c r="K1389" t="str">
        <f>_xll.BDP("393043DY Muni","MATURITY")</f>
        <v>7/1/2027</v>
      </c>
      <c r="L1389">
        <v>75000</v>
      </c>
      <c r="M1389">
        <f>_xll.BDP("393043DY Muni","YIELD_ON_ISSUE_DATE")</f>
        <v>3.73</v>
      </c>
      <c r="N1389">
        <f>_xll.BDP("393043DY Muni","YTW_SPREAD_TO_MATURITY_AT_ISSU")</f>
        <v>116.00327549262927</v>
      </c>
      <c r="O1389" t="str">
        <f>_xll.BDP("393043DY Muni","BVAL_MID_YTM")</f>
        <v>#N/A Authorization</v>
      </c>
      <c r="P1389" t="str">
        <f>_xll.BDP("393043DY Muni","MUNI_TAX_PROV")</f>
        <v>AMT/ST TAX-EXEMPT</v>
      </c>
      <c r="Q1389" t="str">
        <f>_xll.BDP("393043DY Muni","MUNI_FED_TAX")</f>
        <v>N</v>
      </c>
      <c r="R1389" t="str">
        <f>_xll.BDP("393043DY Muni","MUNI_MSRB_VOLUME")</f>
        <v>#N/A N/A</v>
      </c>
      <c r="S1389" t="str">
        <f>_xll.BDP("393043DY Muni","BB_COMPOSITE")</f>
        <v>#N/A N/A</v>
      </c>
      <c r="T1389">
        <f>_xll.BDP("393043DY Muni","LQA_LIQUIDITY_SCORE")</f>
        <v>30</v>
      </c>
    </row>
    <row r="1390" spans="1:20" x14ac:dyDescent="0.25">
      <c r="A1390" t="str">
        <f>_xll.BDP("393731BB Muni","ID_CUSIP")</f>
        <v>393731BB9</v>
      </c>
      <c r="B1390" t="s">
        <v>410</v>
      </c>
      <c r="C1390" t="str">
        <f>_xll.BDP("393731BB Muni","INSURANCE_STATUS")</f>
        <v>N</v>
      </c>
      <c r="D1390" t="str">
        <f>_xll.BDP("393731BB Muni","STATE_CODE")</f>
        <v>NY</v>
      </c>
      <c r="E1390" t="str">
        <f>_xll.BDP("393731BB Muni","COUNTY_LOCATION_ISSUER")</f>
        <v>Westchester, NY</v>
      </c>
      <c r="F1390">
        <f>_xll.BDP("393731BB Muni","DUR_ADJ_MID")</f>
        <v>0.69446707605145608</v>
      </c>
      <c r="G1390">
        <f>_xll.BDP("393731BB Muni","SPREAD_AT_ISSUANCE_TO_WORST")</f>
        <v>3.343136986301376</v>
      </c>
      <c r="H1390" t="str">
        <f>_xll.BDP("393731BB Muni","ISSUE_DT")</f>
        <v>11/1/2017</v>
      </c>
      <c r="I1390" t="str">
        <f>_xll.BDS("393731BB Muni","MUNI_PURPOSE_SCHED", "aggregate=y")</f>
        <v>WATER UTILITY IMPS. PUBLIC IMPS.</v>
      </c>
      <c r="J1390">
        <f>_xll.BDP("393731BB Muni","CPN")</f>
        <v>2</v>
      </c>
      <c r="K1390" t="str">
        <f>_xll.BDP("393731BB Muni","MATURITY")</f>
        <v>4/15/2023</v>
      </c>
      <c r="L1390">
        <v>1100000</v>
      </c>
      <c r="M1390">
        <f>_xll.BDP("393731BB Muni","YIELD_ON_ISSUE_DATE")</f>
        <v>1.48</v>
      </c>
      <c r="N1390">
        <f>_xll.BDP("393731BB Muni","YTW_SPREAD_TO_MATURITY_AT_ISSU")</f>
        <v>3.343136986301376</v>
      </c>
      <c r="O1390" t="str">
        <f>_xll.BDP("393731BB Muni","BVAL_MID_YTM")</f>
        <v>#N/A Authorization</v>
      </c>
      <c r="P1390" t="str">
        <f>_xll.BDP("393731BB Muni","MUNI_TAX_PROV")</f>
        <v>FED &amp; ST TAX-EXEMPT</v>
      </c>
      <c r="Q1390" t="str">
        <f>_xll.BDP("393731BB Muni","MUNI_FED_TAX")</f>
        <v>N</v>
      </c>
      <c r="R1390">
        <f>_xll.BDP("393731BB Muni","MUNI_MSRB_VOLUME")</f>
        <v>2125000</v>
      </c>
      <c r="S1390" t="str">
        <f>_xll.BDP("393731BB Muni","BB_COMPOSITE")</f>
        <v>AAA</v>
      </c>
      <c r="T1390">
        <f>_xll.BDP("393731BB Muni","LQA_LIQUIDITY_SCORE")</f>
        <v>71</v>
      </c>
    </row>
    <row r="1391" spans="1:20" x14ac:dyDescent="0.25">
      <c r="A1391" t="str">
        <f>_xll.BDP("393731BC Muni","ID_CUSIP")</f>
        <v>393731BC7</v>
      </c>
      <c r="B1391" t="s">
        <v>410</v>
      </c>
      <c r="C1391" t="str">
        <f>_xll.BDP("393731BC Muni","INSURANCE_STATUS")</f>
        <v>N</v>
      </c>
      <c r="D1391" t="str">
        <f>_xll.BDP("393731BC Muni","STATE_CODE")</f>
        <v>NY</v>
      </c>
      <c r="E1391" t="str">
        <f>_xll.BDP("393731BC Muni","COUNTY_LOCATION_ISSUER")</f>
        <v>Westchester, NY</v>
      </c>
      <c r="F1391">
        <f>_xll.BDP("393731BC Muni","DUR_ADJ_MID")</f>
        <v>1.6619178829547128</v>
      </c>
      <c r="G1391">
        <f>_xll.BDP("393731BC Muni","SPREAD_AT_ISSUANCE_TO_WORST")</f>
        <v>1.7746712328767345</v>
      </c>
      <c r="H1391" t="str">
        <f>_xll.BDP("393731BC Muni","ISSUE_DT")</f>
        <v>11/1/2017</v>
      </c>
      <c r="I1391" t="str">
        <f>_xll.BDS("393731BC Muni","MUNI_PURPOSE_SCHED", "aggregate=y")</f>
        <v>WATER UTILITY IMPS. PUBLIC IMPS.</v>
      </c>
      <c r="J1391">
        <f>_xll.BDP("393731BC Muni","CPN")</f>
        <v>2</v>
      </c>
      <c r="K1391" t="str">
        <f>_xll.BDP("393731BC Muni","MATURITY")</f>
        <v>4/15/2024</v>
      </c>
      <c r="L1391">
        <v>1100000</v>
      </c>
      <c r="M1391">
        <f>_xll.BDP("393731BC Muni","YIELD_ON_ISSUE_DATE")</f>
        <v>1.6</v>
      </c>
      <c r="N1391">
        <f>_xll.BDP("393731BC Muni","YTW_SPREAD_TO_MATURITY_AT_ISSU")</f>
        <v>1.7746712328767345</v>
      </c>
      <c r="O1391" t="str">
        <f>_xll.BDP("393731BC Muni","BVAL_MID_YTM")</f>
        <v>#N/A Authorization</v>
      </c>
      <c r="P1391" t="str">
        <f>_xll.BDP("393731BC Muni","MUNI_TAX_PROV")</f>
        <v>FED &amp; ST TAX-EXEMPT</v>
      </c>
      <c r="Q1391" t="str">
        <f>_xll.BDP("393731BC Muni","MUNI_FED_TAX")</f>
        <v>N</v>
      </c>
      <c r="R1391">
        <f>_xll.BDP("393731BC Muni","MUNI_MSRB_VOLUME")</f>
        <v>100000</v>
      </c>
      <c r="S1391" t="str">
        <f>_xll.BDP("393731BC Muni","BB_COMPOSITE")</f>
        <v>AAA</v>
      </c>
      <c r="T1391">
        <f>_xll.BDP("393731BC Muni","LQA_LIQUIDITY_SCORE")</f>
        <v>54</v>
      </c>
    </row>
    <row r="1392" spans="1:20" x14ac:dyDescent="0.25">
      <c r="A1392" t="str">
        <f>_xll.BDP("393731BD Muni","ID_CUSIP")</f>
        <v>393731BD5</v>
      </c>
      <c r="B1392" t="s">
        <v>410</v>
      </c>
      <c r="C1392" t="str">
        <f>_xll.BDP("393731BD Muni","INSURANCE_STATUS")</f>
        <v>N</v>
      </c>
      <c r="D1392" t="str">
        <f>_xll.BDP("393731BD Muni","STATE_CODE")</f>
        <v>NY</v>
      </c>
      <c r="E1392" t="str">
        <f>_xll.BDP("393731BD Muni","COUNTY_LOCATION_ISSUER")</f>
        <v>Westchester, NY</v>
      </c>
      <c r="F1392">
        <f>_xll.BDP("393731BD Muni","DUR_ADJ_MID")</f>
        <v>2.6102662112286854</v>
      </c>
      <c r="G1392">
        <f>_xll.BDP("393731BD Muni","SPREAD_AT_ISSUANCE_TO_WORST")</f>
        <v>3.0184246575342577</v>
      </c>
      <c r="H1392" t="str">
        <f>_xll.BDP("393731BD Muni","ISSUE_DT")</f>
        <v>11/1/2017</v>
      </c>
      <c r="I1392" t="str">
        <f>_xll.BDS("393731BD Muni","MUNI_PURPOSE_SCHED", "aggregate=y")</f>
        <v>WATER UTILITY IMPS. PUBLIC IMPS.</v>
      </c>
      <c r="J1392">
        <f>_xll.BDP("393731BD Muni","CPN")</f>
        <v>2</v>
      </c>
      <c r="K1392" t="str">
        <f>_xll.BDP("393731BD Muni","MATURITY")</f>
        <v>4/15/2025</v>
      </c>
      <c r="L1392">
        <v>1100000</v>
      </c>
      <c r="M1392">
        <f>_xll.BDP("393731BD Muni","YIELD_ON_ISSUE_DATE")</f>
        <v>1.75</v>
      </c>
      <c r="N1392">
        <f>_xll.BDP("393731BD Muni","YTW_SPREAD_TO_MATURITY_AT_ISSU")</f>
        <v>3.0184246575342577</v>
      </c>
      <c r="O1392" t="str">
        <f>_xll.BDP("393731BD Muni","BVAL_MID_YTM")</f>
        <v>#N/A Authorization</v>
      </c>
      <c r="P1392" t="str">
        <f>_xll.BDP("393731BD Muni","MUNI_TAX_PROV")</f>
        <v>FED &amp; ST TAX-EXEMPT</v>
      </c>
      <c r="Q1392" t="str">
        <f>_xll.BDP("393731BD Muni","MUNI_FED_TAX")</f>
        <v>N</v>
      </c>
      <c r="R1392">
        <f>_xll.BDP("393731BD Muni","MUNI_MSRB_VOLUME")</f>
        <v>45000</v>
      </c>
      <c r="S1392" t="str">
        <f>_xll.BDP("393731BD Muni","BB_COMPOSITE")</f>
        <v>AAA</v>
      </c>
      <c r="T1392">
        <f>_xll.BDP("393731BD Muni","LQA_LIQUIDITY_SCORE")</f>
        <v>62</v>
      </c>
    </row>
    <row r="1393" spans="1:20" x14ac:dyDescent="0.25">
      <c r="A1393" t="str">
        <f>_xll.BDP("394641MZ Muni","ID_CUSIP")</f>
        <v>394641MZ4</v>
      </c>
      <c r="B1393" t="s">
        <v>38</v>
      </c>
      <c r="C1393" t="str">
        <f>_xll.BDP("394641MZ Muni","INSURANCE_STATUS")</f>
        <v>N</v>
      </c>
      <c r="D1393" t="str">
        <f>_xll.BDP("394641MZ Muni","STATE_CODE")</f>
        <v>OH</v>
      </c>
      <c r="E1393" t="str">
        <f>_xll.BDP("394641MZ Muni","COUNTY_LOCATION_ISSUER")</f>
        <v>Greene, OH</v>
      </c>
      <c r="F1393">
        <f>_xll.BDP("394641MZ Muni","DUR_ADJ_MID")</f>
        <v>1.305335296242037</v>
      </c>
      <c r="G1393">
        <f>_xll.BDP("394641MZ Muni","SPREAD_AT_ISSUANCE_TO_WORST")</f>
        <v>11.362537793729466</v>
      </c>
      <c r="H1393" t="str">
        <f>_xll.BDP("394641MZ Muni","ISSUE_DT")</f>
        <v>9/28/2017</v>
      </c>
      <c r="I1393" t="str">
        <f>_xll.BDS("394641MZ Muni","MUNI_PURPOSE_SCHED", "aggregate=y")</f>
        <v>WATER UTILITY IMPS.</v>
      </c>
      <c r="J1393">
        <f>_xll.BDP("394641MZ Muni","CPN")</f>
        <v>2</v>
      </c>
      <c r="K1393" t="str">
        <f>_xll.BDP("394641MZ Muni","MATURITY")</f>
        <v>12/1/2023</v>
      </c>
      <c r="L1393">
        <v>355000</v>
      </c>
      <c r="M1393">
        <f>_xll.BDP("394641MZ Muni","YIELD_ON_ISSUE_DATE")</f>
        <v>1.45</v>
      </c>
      <c r="N1393">
        <f>_xll.BDP("394641MZ Muni","YTW_SPREAD_TO_MATURITY_AT_ISSU")</f>
        <v>11.362537793729466</v>
      </c>
      <c r="O1393" t="str">
        <f>_xll.BDP("394641MZ Muni","BVAL_MID_YTM")</f>
        <v>#N/A Authorization</v>
      </c>
      <c r="P1393" t="str">
        <f>_xll.BDP("394641MZ Muni","MUNI_TAX_PROV")</f>
        <v>FED BQ/ST TAX-EXEMPT</v>
      </c>
      <c r="Q1393" t="str">
        <f>_xll.BDP("394641MZ Muni","MUNI_FED_TAX")</f>
        <v>N</v>
      </c>
      <c r="R1393" t="str">
        <f>_xll.BDP("394641MZ Muni","MUNI_MSRB_VOLUME")</f>
        <v>#N/A N/A</v>
      </c>
      <c r="S1393" t="str">
        <f>_xll.BDP("394641MZ Muni","BB_COMPOSITE")</f>
        <v>#N/A N/A</v>
      </c>
      <c r="T1393">
        <f>_xll.BDP("394641MZ Muni","LQA_LIQUIDITY_SCORE")</f>
        <v>69</v>
      </c>
    </row>
    <row r="1394" spans="1:20" x14ac:dyDescent="0.25">
      <c r="A1394" t="str">
        <f>_xll.BDP("394641NA Muni","ID_CUSIP")</f>
        <v>394641NA8</v>
      </c>
      <c r="B1394" t="s">
        <v>38</v>
      </c>
      <c r="C1394" t="str">
        <f>_xll.BDP("394641NA Muni","INSURANCE_STATUS")</f>
        <v>N</v>
      </c>
      <c r="D1394" t="str">
        <f>_xll.BDP("394641NA Muni","STATE_CODE")</f>
        <v>OH</v>
      </c>
      <c r="E1394" t="str">
        <f>_xll.BDP("394641NA Muni","COUNTY_LOCATION_ISSUER")</f>
        <v>Greene, OH</v>
      </c>
      <c r="F1394">
        <f>_xll.BDP("394641NA Muni","DUR_ADJ_MID")</f>
        <v>2.2615664074327331</v>
      </c>
      <c r="G1394">
        <f>_xll.BDP("394641NA Muni","SPREAD_AT_ISSUANCE_TO_WORST")</f>
        <v>11.629494063858914</v>
      </c>
      <c r="H1394" t="str">
        <f>_xll.BDP("394641NA Muni","ISSUE_DT")</f>
        <v>9/28/2017</v>
      </c>
      <c r="I1394" t="str">
        <f>_xll.BDS("394641NA Muni","MUNI_PURPOSE_SCHED", "aggregate=y")</f>
        <v>WATER UTILITY IMPS.</v>
      </c>
      <c r="J1394">
        <f>_xll.BDP("394641NA Muni","CPN")</f>
        <v>2</v>
      </c>
      <c r="K1394" t="str">
        <f>_xll.BDP("394641NA Muni","MATURITY")</f>
        <v>12/1/2024</v>
      </c>
      <c r="L1394">
        <v>365000</v>
      </c>
      <c r="M1394">
        <f>_xll.BDP("394641NA Muni","YIELD_ON_ISSUE_DATE")</f>
        <v>1.6</v>
      </c>
      <c r="N1394">
        <f>_xll.BDP("394641NA Muni","YTW_SPREAD_TO_MATURITY_AT_ISSU")</f>
        <v>11.629494063858914</v>
      </c>
      <c r="O1394" t="str">
        <f>_xll.BDP("394641NA Muni","BVAL_MID_YTM")</f>
        <v>#N/A Authorization</v>
      </c>
      <c r="P1394" t="str">
        <f>_xll.BDP("394641NA Muni","MUNI_TAX_PROV")</f>
        <v>FED BQ/ST TAX-EXEMPT</v>
      </c>
      <c r="Q1394" t="str">
        <f>_xll.BDP("394641NA Muni","MUNI_FED_TAX")</f>
        <v>N</v>
      </c>
      <c r="R1394">
        <f>_xll.BDP("394641NA Muni","MUNI_MSRB_VOLUME")</f>
        <v>140000</v>
      </c>
      <c r="S1394" t="str">
        <f>_xll.BDP("394641NA Muni","BB_COMPOSITE")</f>
        <v>#N/A N/A</v>
      </c>
      <c r="T1394">
        <f>_xll.BDP("394641NA Muni","LQA_LIQUIDITY_SCORE")</f>
        <v>61</v>
      </c>
    </row>
    <row r="1395" spans="1:20" x14ac:dyDescent="0.25">
      <c r="A1395" t="str">
        <f>_xll.BDP("375064GY Muni","ID_CUSIP")</f>
        <v>375064GY2</v>
      </c>
      <c r="B1395" t="s">
        <v>411</v>
      </c>
      <c r="C1395" t="str">
        <f>_xll.BDP("375064GY Muni","INSURANCE_STATUS")</f>
        <v>Y</v>
      </c>
      <c r="D1395" t="str">
        <f>_xll.BDP("375064GY Muni","STATE_CODE")</f>
        <v>TX</v>
      </c>
      <c r="E1395" t="str">
        <f>_xll.BDP("375064GY Muni","COUNTY_LOCATION_ISSUER")</f>
        <v>Lee, TX</v>
      </c>
      <c r="F1395">
        <f>_xll.BDP("375064GY Muni","DUR_ADJ_MID")</f>
        <v>0.56890249084085664</v>
      </c>
      <c r="G1395">
        <f>_xll.BDP("375064GY Muni","SPREAD_AT_ISSUANCE_TO_WORST")</f>
        <v>40.073615496153245</v>
      </c>
      <c r="H1395" t="str">
        <f>_xll.BDP("375064GY Muni","ISSUE_DT")</f>
        <v>7/15/2017</v>
      </c>
      <c r="I1395" t="str">
        <f>_xll.BDS("375064GY Muni","MUNI_PURPOSE_SCHED", "aggregate=y")</f>
        <v>WATER UTILITY IMPS. SEWER IMPS. PUBLIC IMPS.</v>
      </c>
      <c r="J1395">
        <f>_xll.BDP("375064GY Muni","CPN")</f>
        <v>3</v>
      </c>
      <c r="K1395" t="str">
        <f>_xll.BDP("375064GY Muni","MATURITY")</f>
        <v>3/1/2023</v>
      </c>
      <c r="L1395">
        <v>230000</v>
      </c>
      <c r="M1395">
        <f>_xll.BDP("375064GY Muni","YIELD_ON_ISSUE_DATE")</f>
        <v>1.7000000000000002</v>
      </c>
      <c r="N1395">
        <f>_xll.BDP("375064GY Muni","YTW_SPREAD_TO_MATURITY_AT_ISSU")</f>
        <v>40.073615496153245</v>
      </c>
      <c r="O1395" t="str">
        <f>_xll.BDP("375064GY Muni","BVAL_MID_YTM")</f>
        <v>#N/A Authorization</v>
      </c>
      <c r="P1395" t="str">
        <f>_xll.BDP("375064GY Muni","MUNI_TAX_PROV")</f>
        <v>FED BQ</v>
      </c>
      <c r="Q1395" t="str">
        <f>_xll.BDP("375064GY Muni","MUNI_FED_TAX")</f>
        <v>N</v>
      </c>
      <c r="R1395" t="str">
        <f>_xll.BDP("375064GY Muni","MUNI_MSRB_VOLUME")</f>
        <v>#N/A N/A</v>
      </c>
      <c r="S1395" t="str">
        <f>_xll.BDP("375064GY Muni","BB_COMPOSITE")</f>
        <v>AA-</v>
      </c>
      <c r="T1395">
        <f>_xll.BDP("375064GY Muni","LQA_LIQUIDITY_SCORE")</f>
        <v>76</v>
      </c>
    </row>
    <row r="1396" spans="1:20" x14ac:dyDescent="0.25">
      <c r="A1396" t="str">
        <f>_xll.BDP("375064GZ Muni","ID_CUSIP")</f>
        <v>375064GZ9</v>
      </c>
      <c r="B1396" t="s">
        <v>411</v>
      </c>
      <c r="C1396" t="str">
        <f>_xll.BDP("375064GZ Muni","INSURANCE_STATUS")</f>
        <v>Y</v>
      </c>
      <c r="D1396" t="str">
        <f>_xll.BDP("375064GZ Muni","STATE_CODE")</f>
        <v>TX</v>
      </c>
      <c r="E1396" t="str">
        <f>_xll.BDP("375064GZ Muni","COUNTY_LOCATION_ISSUER")</f>
        <v>Lee, TX</v>
      </c>
      <c r="F1396">
        <f>_xll.BDP("375064GZ Muni","DUR_ADJ_MID")</f>
        <v>1.5216219657525183</v>
      </c>
      <c r="G1396">
        <f>_xll.BDP("375064GZ Muni","SPREAD_AT_ISSUANCE_TO_WORST")</f>
        <v>40.535155829521166</v>
      </c>
      <c r="H1396" t="str">
        <f>_xll.BDP("375064GZ Muni","ISSUE_DT")</f>
        <v>7/15/2017</v>
      </c>
      <c r="I1396" t="str">
        <f>_xll.BDS("375064GZ Muni","MUNI_PURPOSE_SCHED", "aggregate=y")</f>
        <v>WATER UTILITY IMPS. SEWER IMPS. PUBLIC IMPS.</v>
      </c>
      <c r="J1396">
        <f>_xll.BDP("375064GZ Muni","CPN")</f>
        <v>3</v>
      </c>
      <c r="K1396" t="str">
        <f>_xll.BDP("375064GZ Muni","MATURITY")</f>
        <v>3/1/2024</v>
      </c>
      <c r="L1396">
        <v>240000</v>
      </c>
      <c r="M1396">
        <f>_xll.BDP("375064GZ Muni","YIELD_ON_ISSUE_DATE")</f>
        <v>1.85</v>
      </c>
      <c r="N1396">
        <f>_xll.BDP("375064GZ Muni","YTW_SPREAD_TO_MATURITY_AT_ISSU")</f>
        <v>40.535155829521166</v>
      </c>
      <c r="O1396" t="str">
        <f>_xll.BDP("375064GZ Muni","BVAL_MID_YTM")</f>
        <v>#N/A Authorization</v>
      </c>
      <c r="P1396" t="str">
        <f>_xll.BDP("375064GZ Muni","MUNI_TAX_PROV")</f>
        <v>FED BQ</v>
      </c>
      <c r="Q1396" t="str">
        <f>_xll.BDP("375064GZ Muni","MUNI_FED_TAX")</f>
        <v>N</v>
      </c>
      <c r="R1396" t="str">
        <f>_xll.BDP("375064GZ Muni","MUNI_MSRB_VOLUME")</f>
        <v>#N/A N/A</v>
      </c>
      <c r="S1396" t="str">
        <f>_xll.BDP("375064GZ Muni","BB_COMPOSITE")</f>
        <v>AA-</v>
      </c>
      <c r="T1396">
        <f>_xll.BDP("375064GZ Muni","LQA_LIQUIDITY_SCORE")</f>
        <v>78</v>
      </c>
    </row>
    <row r="1397" spans="1:20" x14ac:dyDescent="0.25">
      <c r="A1397" t="str">
        <f>_xll.BDP("375064HA Muni","ID_CUSIP")</f>
        <v>375064HA3</v>
      </c>
      <c r="B1397" t="s">
        <v>411</v>
      </c>
      <c r="C1397" t="str">
        <f>_xll.BDP("375064HA Muni","INSURANCE_STATUS")</f>
        <v>Y</v>
      </c>
      <c r="D1397" t="str">
        <f>_xll.BDP("375064HA Muni","STATE_CODE")</f>
        <v>TX</v>
      </c>
      <c r="E1397" t="str">
        <f>_xll.BDP("375064HA Muni","COUNTY_LOCATION_ISSUER")</f>
        <v>Lee, TX</v>
      </c>
      <c r="F1397">
        <f>_xll.BDP("375064HA Muni","DUR_ADJ_MID")</f>
        <v>2.4463788044598269</v>
      </c>
      <c r="G1397">
        <f>_xll.BDP("375064HA Muni","SPREAD_AT_ISSUANCE_TO_WORST")</f>
        <v>45.873831856187849</v>
      </c>
      <c r="H1397" t="str">
        <f>_xll.BDP("375064HA Muni","ISSUE_DT")</f>
        <v>7/15/2017</v>
      </c>
      <c r="I1397" t="str">
        <f>_xll.BDS("375064HA Muni","MUNI_PURPOSE_SCHED", "aggregate=y")</f>
        <v>WATER UTILITY IMPS. SEWER IMPS. PUBLIC IMPS.</v>
      </c>
      <c r="J1397">
        <f>_xll.BDP("375064HA Muni","CPN")</f>
        <v>3</v>
      </c>
      <c r="K1397" t="str">
        <f>_xll.BDP("375064HA Muni","MATURITY")</f>
        <v>3/1/2025</v>
      </c>
      <c r="L1397">
        <v>245000</v>
      </c>
      <c r="M1397">
        <f>_xll.BDP("375064HA Muni","YIELD_ON_ISSUE_DATE")</f>
        <v>2.0499999999999998</v>
      </c>
      <c r="N1397">
        <f>_xll.BDP("375064HA Muni","YTW_SPREAD_TO_MATURITY_AT_ISSU")</f>
        <v>45.873831856187849</v>
      </c>
      <c r="O1397" t="str">
        <f>_xll.BDP("375064HA Muni","BVAL_MID_YTM")</f>
        <v>#N/A Authorization</v>
      </c>
      <c r="P1397" t="str">
        <f>_xll.BDP("375064HA Muni","MUNI_TAX_PROV")</f>
        <v>FED BQ</v>
      </c>
      <c r="Q1397" t="str">
        <f>_xll.BDP("375064HA Muni","MUNI_FED_TAX")</f>
        <v>N</v>
      </c>
      <c r="R1397" t="str">
        <f>_xll.BDP("375064HA Muni","MUNI_MSRB_VOLUME")</f>
        <v>#N/A N/A</v>
      </c>
      <c r="S1397" t="str">
        <f>_xll.BDP("375064HA Muni","BB_COMPOSITE")</f>
        <v>AA-</v>
      </c>
      <c r="T1397">
        <f>_xll.BDP("375064HA Muni","LQA_LIQUIDITY_SCORE")</f>
        <v>65</v>
      </c>
    </row>
    <row r="1398" spans="1:20" x14ac:dyDescent="0.25">
      <c r="A1398" t="str">
        <f>_xll.BDP("375064HB Muni","ID_CUSIP")</f>
        <v>375064HB1</v>
      </c>
      <c r="B1398" t="s">
        <v>411</v>
      </c>
      <c r="C1398" t="str">
        <f>_xll.BDP("375064HB Muni","INSURANCE_STATUS")</f>
        <v>Y</v>
      </c>
      <c r="D1398" t="str">
        <f>_xll.BDP("375064HB Muni","STATE_CODE")</f>
        <v>TX</v>
      </c>
      <c r="E1398" t="str">
        <f>_xll.BDP("375064HB Muni","COUNTY_LOCATION_ISSUER")</f>
        <v>Lee, TX</v>
      </c>
      <c r="F1398">
        <f>_xll.BDP("375064HB Muni","DUR_ADJ_MID")</f>
        <v>3.3443734961883682</v>
      </c>
      <c r="G1398">
        <f>_xll.BDP("375064HB Muni","SPREAD_AT_ISSUANCE_TO_WORST")</f>
        <v>47.005766268107443</v>
      </c>
      <c r="H1398" t="str">
        <f>_xll.BDP("375064HB Muni","ISSUE_DT")</f>
        <v>7/15/2017</v>
      </c>
      <c r="I1398" t="str">
        <f>_xll.BDS("375064HB Muni","MUNI_PURPOSE_SCHED", "aggregate=y")</f>
        <v>WATER UTILITY IMPS. SEWER IMPS. PUBLIC IMPS.</v>
      </c>
      <c r="J1398">
        <f>_xll.BDP("375064HB Muni","CPN")</f>
        <v>3</v>
      </c>
      <c r="K1398" t="str">
        <f>_xll.BDP("375064HB Muni","MATURITY")</f>
        <v>3/1/2026</v>
      </c>
      <c r="L1398">
        <v>255000</v>
      </c>
      <c r="M1398">
        <f>_xll.BDP("375064HB Muni","YIELD_ON_ISSUE_DATE")</f>
        <v>2.2000000000000002</v>
      </c>
      <c r="N1398">
        <f>_xll.BDP("375064HB Muni","YTW_SPREAD_TO_MATURITY_AT_ISSU")</f>
        <v>47.005766268107443</v>
      </c>
      <c r="O1398" t="str">
        <f>_xll.BDP("375064HB Muni","BVAL_MID_YTM")</f>
        <v>#N/A Authorization</v>
      </c>
      <c r="P1398" t="str">
        <f>_xll.BDP("375064HB Muni","MUNI_TAX_PROV")</f>
        <v>FED BQ</v>
      </c>
      <c r="Q1398" t="str">
        <f>_xll.BDP("375064HB Muni","MUNI_FED_TAX")</f>
        <v>N</v>
      </c>
      <c r="R1398" t="str">
        <f>_xll.BDP("375064HB Muni","MUNI_MSRB_VOLUME")</f>
        <v>#N/A N/A</v>
      </c>
      <c r="S1398" t="str">
        <f>_xll.BDP("375064HB Muni","BB_COMPOSITE")</f>
        <v>AA-</v>
      </c>
      <c r="T1398">
        <f>_xll.BDP("375064HB Muni","LQA_LIQUIDITY_SCORE")</f>
        <v>53</v>
      </c>
    </row>
    <row r="1399" spans="1:20" x14ac:dyDescent="0.25">
      <c r="A1399" t="str">
        <f>_xll.BDP("375064HC Muni","ID_CUSIP")</f>
        <v>375064HC9</v>
      </c>
      <c r="B1399" t="s">
        <v>411</v>
      </c>
      <c r="C1399" t="str">
        <f>_xll.BDP("375064HC Muni","INSURANCE_STATUS")</f>
        <v>Y</v>
      </c>
      <c r="D1399" t="str">
        <f>_xll.BDP("375064HC Muni","STATE_CODE")</f>
        <v>TX</v>
      </c>
      <c r="E1399" t="str">
        <f>_xll.BDP("375064HC Muni","COUNTY_LOCATION_ISSUER")</f>
        <v>Lee, TX</v>
      </c>
      <c r="F1399">
        <f>_xll.BDP("375064HC Muni","DUR_ADJ_MID")</f>
        <v>4.2162073062530858</v>
      </c>
      <c r="G1399">
        <f>_xll.BDP("375064HC Muni","SPREAD_AT_ISSUANCE_TO_WORST")</f>
        <v>50.414321269743525</v>
      </c>
      <c r="H1399" t="str">
        <f>_xll.BDP("375064HC Muni","ISSUE_DT")</f>
        <v>7/15/2017</v>
      </c>
      <c r="I1399" t="str">
        <f>_xll.BDS("375064HC Muni","MUNI_PURPOSE_SCHED", "aggregate=y")</f>
        <v>WATER UTILITY IMPS. SEWER IMPS. PUBLIC IMPS.</v>
      </c>
      <c r="J1399">
        <f>_xll.BDP("375064HC Muni","CPN")</f>
        <v>3</v>
      </c>
      <c r="K1399" t="str">
        <f>_xll.BDP("375064HC Muni","MATURITY")</f>
        <v>3/1/2027</v>
      </c>
      <c r="L1399">
        <v>260000</v>
      </c>
      <c r="M1399">
        <f>_xll.BDP("375064HC Muni","YIELD_ON_ISSUE_DATE")</f>
        <v>2.35</v>
      </c>
      <c r="N1399">
        <f>_xll.BDP("375064HC Muni","YTW_SPREAD_TO_MATURITY_AT_ISSU")</f>
        <v>50.414321269743525</v>
      </c>
      <c r="O1399" t="str">
        <f>_xll.BDP("375064HC Muni","BVAL_MID_YTM")</f>
        <v>#N/A Authorization</v>
      </c>
      <c r="P1399" t="str">
        <f>_xll.BDP("375064HC Muni","MUNI_TAX_PROV")</f>
        <v>FED BQ</v>
      </c>
      <c r="Q1399" t="str">
        <f>_xll.BDP("375064HC Muni","MUNI_FED_TAX")</f>
        <v>N</v>
      </c>
      <c r="R1399" t="str">
        <f>_xll.BDP("375064HC Muni","MUNI_MSRB_VOLUME")</f>
        <v>#N/A N/A</v>
      </c>
      <c r="S1399" t="str">
        <f>_xll.BDP("375064HC Muni","BB_COMPOSITE")</f>
        <v>AA-</v>
      </c>
      <c r="T1399">
        <f>_xll.BDP("375064HC Muni","LQA_LIQUIDITY_SCORE")</f>
        <v>44</v>
      </c>
    </row>
    <row r="1400" spans="1:20" x14ac:dyDescent="0.25">
      <c r="A1400" t="str">
        <f>_xll.BDP("37517HCT Muni","ID_CUSIP")</f>
        <v>37517HCT5</v>
      </c>
      <c r="B1400" t="s">
        <v>412</v>
      </c>
      <c r="C1400" t="str">
        <f>_xll.BDP("37517HCT Muni","INSURANCE_STATUS")</f>
        <v>N</v>
      </c>
      <c r="D1400" t="str">
        <f>_xll.BDP("37517HCT Muni","STATE_CODE")</f>
        <v>WA</v>
      </c>
      <c r="E1400" t="str">
        <f>_xll.BDP("37517HCT Muni","COUNTY_LOCATION_ISSUER")</f>
        <v>Pierce, WA</v>
      </c>
      <c r="F1400">
        <f>_xll.BDP("37517HCT Muni","DUR_ADJ_MID")</f>
        <v>0.16361670958711536</v>
      </c>
      <c r="G1400">
        <f>_xll.BDP("37517HCT Muni","SPREAD_AT_ISSUANCE_TO_WORST")</f>
        <v>12.980041423371102</v>
      </c>
      <c r="H1400" t="str">
        <f>_xll.BDP("37517HCT Muni","ISSUE_DT")</f>
        <v>3/23/2017</v>
      </c>
      <c r="I1400" t="str">
        <f>_xll.BDS("37517HCT Muni","MUNI_PURPOSE_SCHED", "aggregate=y")</f>
        <v>WATER UTILITY IMPS. SEWER IMPS.</v>
      </c>
      <c r="J1400">
        <f>_xll.BDP("37517HCT Muni","CPN")</f>
        <v>3</v>
      </c>
      <c r="K1400" t="str">
        <f>_xll.BDP("37517HCT Muni","MATURITY")</f>
        <v>10/1/2022</v>
      </c>
      <c r="L1400">
        <v>260000</v>
      </c>
      <c r="M1400">
        <f>_xll.BDP("37517HCT Muni","YIELD_ON_ISSUE_DATE")</f>
        <v>1.9000000000000001</v>
      </c>
      <c r="N1400">
        <f>_xll.BDP("37517HCT Muni","YTW_SPREAD_TO_MATURITY_AT_ISSU")</f>
        <v>12.980041423371102</v>
      </c>
      <c r="O1400" t="str">
        <f>_xll.BDP("37517HCT Muni","BVAL_MID_YTM")</f>
        <v>#N/A Authorization</v>
      </c>
      <c r="P1400" t="str">
        <f>_xll.BDP("37517HCT Muni","MUNI_TAX_PROV")</f>
        <v>FED BQ</v>
      </c>
      <c r="Q1400" t="str">
        <f>_xll.BDP("37517HCT Muni","MUNI_FED_TAX")</f>
        <v>N</v>
      </c>
      <c r="R1400" t="str">
        <f>_xll.BDP("37517HCT Muni","MUNI_MSRB_VOLUME")</f>
        <v>#N/A N/A</v>
      </c>
      <c r="S1400" t="str">
        <f>_xll.BDP("37517HCT Muni","BB_COMPOSITE")</f>
        <v>#N/A N/A</v>
      </c>
      <c r="T1400">
        <f>_xll.BDP("37517HCT Muni","LQA_LIQUIDITY_SCORE")</f>
        <v>98</v>
      </c>
    </row>
    <row r="1401" spans="1:20" x14ac:dyDescent="0.25">
      <c r="A1401" t="str">
        <f>_xll.BDP("37517HCU Muni","ID_CUSIP")</f>
        <v>37517HCU2</v>
      </c>
      <c r="B1401" t="s">
        <v>412</v>
      </c>
      <c r="C1401" t="str">
        <f>_xll.BDP("37517HCU Muni","INSURANCE_STATUS")</f>
        <v>N</v>
      </c>
      <c r="D1401" t="str">
        <f>_xll.BDP("37517HCU Muni","STATE_CODE")</f>
        <v>WA</v>
      </c>
      <c r="E1401" t="str">
        <f>_xll.BDP("37517HCU Muni","COUNTY_LOCATION_ISSUER")</f>
        <v>Pierce, WA</v>
      </c>
      <c r="F1401">
        <f>_xll.BDP("37517HCU Muni","DUR_ADJ_MID")</f>
        <v>1.1328458226047624</v>
      </c>
      <c r="G1401">
        <f>_xll.BDP("37517HCU Muni","SPREAD_AT_ISSUANCE_TO_WORST")</f>
        <v>20.554490679609149</v>
      </c>
      <c r="H1401" t="str">
        <f>_xll.BDP("37517HCU Muni","ISSUE_DT")</f>
        <v>3/23/2017</v>
      </c>
      <c r="I1401" t="str">
        <f>_xll.BDS("37517HCU Muni","MUNI_PURPOSE_SCHED", "aggregate=y")</f>
        <v>WATER UTILITY IMPS. SEWER IMPS.</v>
      </c>
      <c r="J1401">
        <f>_xll.BDP("37517HCU Muni","CPN")</f>
        <v>3</v>
      </c>
      <c r="K1401" t="str">
        <f>_xll.BDP("37517HCU Muni","MATURITY")</f>
        <v>10/1/2023</v>
      </c>
      <c r="L1401">
        <v>270000</v>
      </c>
      <c r="M1401">
        <f>_xll.BDP("37517HCU Muni","YIELD_ON_ISSUE_DATE")</f>
        <v>2.14</v>
      </c>
      <c r="N1401">
        <f>_xll.BDP("37517HCU Muni","YTW_SPREAD_TO_MATURITY_AT_ISSU")</f>
        <v>20.554490679609149</v>
      </c>
      <c r="O1401" t="str">
        <f>_xll.BDP("37517HCU Muni","BVAL_MID_YTM")</f>
        <v>#N/A Authorization</v>
      </c>
      <c r="P1401" t="str">
        <f>_xll.BDP("37517HCU Muni","MUNI_TAX_PROV")</f>
        <v>FED BQ</v>
      </c>
      <c r="Q1401" t="str">
        <f>_xll.BDP("37517HCU Muni","MUNI_FED_TAX")</f>
        <v>N</v>
      </c>
      <c r="R1401" t="str">
        <f>_xll.BDP("37517HCU Muni","MUNI_MSRB_VOLUME")</f>
        <v>#N/A N/A</v>
      </c>
      <c r="S1401" t="str">
        <f>_xll.BDP("37517HCU Muni","BB_COMPOSITE")</f>
        <v>#N/A N/A</v>
      </c>
      <c r="T1401">
        <f>_xll.BDP("37517HCU Muni","LQA_LIQUIDITY_SCORE")</f>
        <v>84</v>
      </c>
    </row>
    <row r="1402" spans="1:20" x14ac:dyDescent="0.25">
      <c r="A1402" t="str">
        <f>_xll.BDP("37517HCV Muni","ID_CUSIP")</f>
        <v>37517HCV0</v>
      </c>
      <c r="B1402" t="s">
        <v>412</v>
      </c>
      <c r="C1402" t="str">
        <f>_xll.BDP("37517HCV Muni","INSURANCE_STATUS")</f>
        <v>N</v>
      </c>
      <c r="D1402" t="str">
        <f>_xll.BDP("37517HCV Muni","STATE_CODE")</f>
        <v>WA</v>
      </c>
      <c r="E1402" t="str">
        <f>_xll.BDP("37517HCV Muni","COUNTY_LOCATION_ISSUER")</f>
        <v>Pierce, WA</v>
      </c>
      <c r="F1402">
        <f>_xll.BDP("37517HCV Muni","DUR_ADJ_MID")</f>
        <v>2.0516637560574491</v>
      </c>
      <c r="G1402">
        <f>_xll.BDP("37517HCV Muni","SPREAD_AT_ISSUANCE_TO_WORST")</f>
        <v>25.481247565919762</v>
      </c>
      <c r="H1402" t="str">
        <f>_xll.BDP("37517HCV Muni","ISSUE_DT")</f>
        <v>3/23/2017</v>
      </c>
      <c r="I1402" t="str">
        <f>_xll.BDS("37517HCV Muni","MUNI_PURPOSE_SCHED", "aggregate=y")</f>
        <v>WATER UTILITY IMPS. SEWER IMPS.</v>
      </c>
      <c r="J1402">
        <f>_xll.BDP("37517HCV Muni","CPN")</f>
        <v>4</v>
      </c>
      <c r="K1402" t="str">
        <f>_xll.BDP("37517HCV Muni","MATURITY")</f>
        <v>10/1/2024</v>
      </c>
      <c r="L1402">
        <v>275000</v>
      </c>
      <c r="M1402">
        <f>_xll.BDP("37517HCV Muni","YIELD_ON_ISSUE_DATE")</f>
        <v>2.35</v>
      </c>
      <c r="N1402">
        <f>_xll.BDP("37517HCV Muni","YTW_SPREAD_TO_MATURITY_AT_ISSU")</f>
        <v>25.481247565919762</v>
      </c>
      <c r="O1402" t="str">
        <f>_xll.BDP("37517HCV Muni","BVAL_MID_YTM")</f>
        <v>#N/A Authorization</v>
      </c>
      <c r="P1402" t="str">
        <f>_xll.BDP("37517HCV Muni","MUNI_TAX_PROV")</f>
        <v>FED BQ</v>
      </c>
      <c r="Q1402" t="str">
        <f>_xll.BDP("37517HCV Muni","MUNI_FED_TAX")</f>
        <v>N</v>
      </c>
      <c r="R1402" t="str">
        <f>_xll.BDP("37517HCV Muni","MUNI_MSRB_VOLUME")</f>
        <v>#N/A N/A</v>
      </c>
      <c r="S1402" t="str">
        <f>_xll.BDP("37517HCV Muni","BB_COMPOSITE")</f>
        <v>#N/A N/A</v>
      </c>
      <c r="T1402">
        <f>_xll.BDP("37517HCV Muni","LQA_LIQUIDITY_SCORE")</f>
        <v>80</v>
      </c>
    </row>
    <row r="1403" spans="1:20" x14ac:dyDescent="0.25">
      <c r="A1403" t="str">
        <f>_xll.BDP("37517HCW Muni","ID_CUSIP")</f>
        <v>37517HCW8</v>
      </c>
      <c r="B1403" t="s">
        <v>412</v>
      </c>
      <c r="C1403" t="str">
        <f>_xll.BDP("37517HCW Muni","INSURANCE_STATUS")</f>
        <v>N</v>
      </c>
      <c r="D1403" t="str">
        <f>_xll.BDP("37517HCW Muni","STATE_CODE")</f>
        <v>WA</v>
      </c>
      <c r="E1403" t="str">
        <f>_xll.BDP("37517HCW Muni","COUNTY_LOCATION_ISSUER")</f>
        <v>Pierce, WA</v>
      </c>
      <c r="F1403">
        <f>_xll.BDP("37517HCW Muni","DUR_ADJ_MID")</f>
        <v>2.9437457035565653</v>
      </c>
      <c r="G1403">
        <f>_xll.BDP("37517HCW Muni","SPREAD_AT_ISSUANCE_TO_WORST")</f>
        <v>23.722518513308</v>
      </c>
      <c r="H1403" t="str">
        <f>_xll.BDP("37517HCW Muni","ISSUE_DT")</f>
        <v>3/23/2017</v>
      </c>
      <c r="I1403" t="str">
        <f>_xll.BDS("37517HCW Muni","MUNI_PURPOSE_SCHED", "aggregate=y")</f>
        <v>WATER UTILITY IMPS. SEWER IMPS.</v>
      </c>
      <c r="J1403">
        <f>_xll.BDP("37517HCW Muni","CPN")</f>
        <v>4</v>
      </c>
      <c r="K1403" t="str">
        <f>_xll.BDP("37517HCW Muni","MATURITY")</f>
        <v>10/1/2025</v>
      </c>
      <c r="L1403">
        <v>285000</v>
      </c>
      <c r="M1403">
        <f>_xll.BDP("37517HCW Muni","YIELD_ON_ISSUE_DATE")</f>
        <v>2.48</v>
      </c>
      <c r="N1403">
        <f>_xll.BDP("37517HCW Muni","YTW_SPREAD_TO_MATURITY_AT_ISSU")</f>
        <v>23.722518513308</v>
      </c>
      <c r="O1403" t="str">
        <f>_xll.BDP("37517HCW Muni","BVAL_MID_YTM")</f>
        <v>#N/A Authorization</v>
      </c>
      <c r="P1403" t="str">
        <f>_xll.BDP("37517HCW Muni","MUNI_TAX_PROV")</f>
        <v>FED BQ</v>
      </c>
      <c r="Q1403" t="str">
        <f>_xll.BDP("37517HCW Muni","MUNI_FED_TAX")</f>
        <v>N</v>
      </c>
      <c r="R1403" t="str">
        <f>_xll.BDP("37517HCW Muni","MUNI_MSRB_VOLUME")</f>
        <v>#N/A N/A</v>
      </c>
      <c r="S1403" t="str">
        <f>_xll.BDP("37517HCW Muni","BB_COMPOSITE")</f>
        <v>#N/A N/A</v>
      </c>
      <c r="T1403">
        <f>_xll.BDP("37517HCW Muni","LQA_LIQUIDITY_SCORE")</f>
        <v>73</v>
      </c>
    </row>
    <row r="1404" spans="1:20" x14ac:dyDescent="0.25">
      <c r="A1404" t="str">
        <f>_xll.BDP("37517HCX Muni","ID_CUSIP")</f>
        <v>37517HCX6</v>
      </c>
      <c r="B1404" t="s">
        <v>412</v>
      </c>
      <c r="C1404" t="str">
        <f>_xll.BDP("37517HCX Muni","INSURANCE_STATUS")</f>
        <v>N</v>
      </c>
      <c r="D1404" t="str">
        <f>_xll.BDP("37517HCX Muni","STATE_CODE")</f>
        <v>WA</v>
      </c>
      <c r="E1404" t="str">
        <f>_xll.BDP("37517HCX Muni","COUNTY_LOCATION_ISSUER")</f>
        <v>Pierce, WA</v>
      </c>
      <c r="F1404">
        <f>_xll.BDP("37517HCX Muni","DUR_ADJ_MID")</f>
        <v>3.8039852109325882</v>
      </c>
      <c r="G1404">
        <f>_xll.BDP("37517HCX Muni","SPREAD_AT_ISSUANCE_TO_WORST")</f>
        <v>20.556586930935694</v>
      </c>
      <c r="H1404" t="str">
        <f>_xll.BDP("37517HCX Muni","ISSUE_DT")</f>
        <v>3/23/2017</v>
      </c>
      <c r="I1404" t="str">
        <f>_xll.BDS("37517HCX Muni","MUNI_PURPOSE_SCHED", "aggregate=y")</f>
        <v>WATER UTILITY IMPS. SEWER IMPS.</v>
      </c>
      <c r="J1404">
        <f>_xll.BDP("37517HCX Muni","CPN")</f>
        <v>4</v>
      </c>
      <c r="K1404" t="str">
        <f>_xll.BDP("37517HCX Muni","MATURITY")</f>
        <v>10/1/2026</v>
      </c>
      <c r="L1404">
        <v>300000</v>
      </c>
      <c r="M1404">
        <f>_xll.BDP("37517HCX Muni","YIELD_ON_ISSUE_DATE")</f>
        <v>2.57</v>
      </c>
      <c r="N1404">
        <f>_xll.BDP("37517HCX Muni","YTW_SPREAD_TO_MATURITY_AT_ISSU")</f>
        <v>20.556586930935694</v>
      </c>
      <c r="O1404" t="str">
        <f>_xll.BDP("37517HCX Muni","BVAL_MID_YTM")</f>
        <v>#N/A Authorization</v>
      </c>
      <c r="P1404" t="str">
        <f>_xll.BDP("37517HCX Muni","MUNI_TAX_PROV")</f>
        <v>FED BQ</v>
      </c>
      <c r="Q1404" t="str">
        <f>_xll.BDP("37517HCX Muni","MUNI_FED_TAX")</f>
        <v>N</v>
      </c>
      <c r="R1404" t="str">
        <f>_xll.BDP("37517HCX Muni","MUNI_MSRB_VOLUME")</f>
        <v>#N/A N/A</v>
      </c>
      <c r="S1404" t="str">
        <f>_xll.BDP("37517HCX Muni","BB_COMPOSITE")</f>
        <v>#N/A N/A</v>
      </c>
      <c r="T1404">
        <f>_xll.BDP("37517HCX Muni","LQA_LIQUIDITY_SCORE")</f>
        <v>68</v>
      </c>
    </row>
    <row r="1405" spans="1:20" x14ac:dyDescent="0.25">
      <c r="A1405" t="str">
        <f>_xll.BDP("376093BW Muni","ID_CUSIP")</f>
        <v>376093BW9</v>
      </c>
      <c r="B1405" t="s">
        <v>413</v>
      </c>
      <c r="C1405" t="str">
        <f>_xll.BDP("376093BW Muni","INSURANCE_STATUS")</f>
        <v>N</v>
      </c>
      <c r="D1405" t="str">
        <f>_xll.BDP("376093BW Muni","STATE_CODE")</f>
        <v>NE</v>
      </c>
      <c r="E1405" t="str">
        <f>_xll.BDP("376093BW Muni","COUNTY_LOCATION_ISSUER")</f>
        <v>Hamilton, NE</v>
      </c>
      <c r="F1405">
        <f>_xll.BDP("376093BW Muni","DUR_ADJ_MID")</f>
        <v>0.11930588982631744</v>
      </c>
      <c r="G1405">
        <f>_xll.BDP("376093BW Muni","SPREAD_AT_ISSUANCE_TO_WORST")</f>
        <v>69.872341729610483</v>
      </c>
      <c r="H1405" t="str">
        <f>_xll.BDP("376093BW Muni","ISSUE_DT")</f>
        <v>9/15/2017</v>
      </c>
      <c r="I1405" t="str">
        <f>_xll.BDS("376093BW Muni","MUNI_PURPOSE_SCHED", "aggregate=y")</f>
        <v>WATER UTILITY IMPS.</v>
      </c>
      <c r="J1405">
        <f>_xll.BDP("376093BW Muni","CPN")</f>
        <v>1.85</v>
      </c>
      <c r="K1405" t="str">
        <f>_xll.BDP("376093BW Muni","MATURITY")</f>
        <v>9/15/2022</v>
      </c>
      <c r="L1405">
        <v>20000</v>
      </c>
      <c r="M1405">
        <f>_xll.BDP("376093BW Muni","YIELD_ON_ISSUE_DATE")</f>
        <v>1.85</v>
      </c>
      <c r="N1405">
        <f>_xll.BDP("376093BW Muni","YTW_SPREAD_TO_MATURITY_AT_ISSU")</f>
        <v>69.872341729610483</v>
      </c>
      <c r="O1405" t="str">
        <f>_xll.BDP("376093BW Muni","BVAL_MID_YTM")</f>
        <v>#N/A Authorization</v>
      </c>
      <c r="P1405" t="str">
        <f>_xll.BDP("376093BW Muni","MUNI_TAX_PROV")</f>
        <v>FED BQ/ST TAX-EXEMPT</v>
      </c>
      <c r="Q1405" t="str">
        <f>_xll.BDP("376093BW Muni","MUNI_FED_TAX")</f>
        <v>N</v>
      </c>
      <c r="R1405" t="str">
        <f>_xll.BDP("376093BW Muni","MUNI_MSRB_VOLUME")</f>
        <v>#N/A N/A</v>
      </c>
      <c r="S1405" t="str">
        <f>_xll.BDP("376093BW Muni","BB_COMPOSITE")</f>
        <v>#N/A N/A</v>
      </c>
      <c r="T1405">
        <f>_xll.BDP("376093BW Muni","LQA_LIQUIDITY_SCORE")</f>
        <v>15</v>
      </c>
    </row>
    <row r="1406" spans="1:20" x14ac:dyDescent="0.25">
      <c r="A1406" t="str">
        <f>_xll.BDP("378136X4 Muni","ID_CUSIP")</f>
        <v>378136X42</v>
      </c>
      <c r="B1406" t="s">
        <v>414</v>
      </c>
      <c r="C1406" t="str">
        <f>_xll.BDP("378136X4 Muni","INSURANCE_STATUS")</f>
        <v>Y</v>
      </c>
      <c r="D1406" t="str">
        <f>_xll.BDP("378136X4 Muni","STATE_CODE")</f>
        <v>MN</v>
      </c>
      <c r="E1406" t="str">
        <f>_xll.BDP("378136X4 Muni","COUNTY_LOCATION_ISSUER")</f>
        <v>McLeod, MN</v>
      </c>
      <c r="F1406">
        <f>_xll.BDP("378136X4 Muni","DUR_ADJ_MID")</f>
        <v>5.5552826671751883E-3</v>
      </c>
      <c r="G1406">
        <f>_xll.BDP("378136X4 Muni","SPREAD_AT_ISSUANCE_TO_WORST")</f>
        <v>51.651086057175654</v>
      </c>
      <c r="H1406" t="str">
        <f>_xll.BDP("378136X4 Muni","ISSUE_DT")</f>
        <v>6/13/2017</v>
      </c>
      <c r="I1406" t="str">
        <f>_xll.BDS("378136X4 Muni","MUNI_PURPOSE_SCHED", "aggregate=y")</f>
        <v>PUBLIC IMPS. WATER UTILITY IMPS. SEWER IMPS.</v>
      </c>
      <c r="J1406">
        <f>_xll.BDP("378136X4 Muni","CPN")</f>
        <v>2</v>
      </c>
      <c r="K1406" t="str">
        <f>_xll.BDP("378136X4 Muni","MATURITY")</f>
        <v>8/1/2022</v>
      </c>
      <c r="L1406">
        <v>305000</v>
      </c>
      <c r="M1406">
        <f>_xll.BDP("378136X4 Muni","YIELD_ON_ISSUE_DATE")</f>
        <v>1.75</v>
      </c>
      <c r="N1406">
        <f>_xll.BDP("378136X4 Muni","YTW_SPREAD_TO_MATURITY_AT_ISSU")</f>
        <v>51.651086057175654</v>
      </c>
      <c r="O1406" t="str">
        <f>_xll.BDP("378136X4 Muni","BVAL_MID_YTM")</f>
        <v>#N/A Authorization</v>
      </c>
      <c r="P1406" t="str">
        <f>_xll.BDP("378136X4 Muni","MUNI_TAX_PROV")</f>
        <v>FED BQ/ST TAX-EXEMPT</v>
      </c>
      <c r="Q1406" t="str">
        <f>_xll.BDP("378136X4 Muni","MUNI_FED_TAX")</f>
        <v>N</v>
      </c>
      <c r="R1406" t="str">
        <f>_xll.BDP("378136X4 Muni","MUNI_MSRB_VOLUME")</f>
        <v>#N/A N/A</v>
      </c>
      <c r="S1406" t="str">
        <f>_xll.BDP("378136X4 Muni","BB_COMPOSITE")</f>
        <v>AA-</v>
      </c>
      <c r="T1406">
        <f>_xll.BDP("378136X4 Muni","LQA_LIQUIDITY_SCORE")</f>
        <v>100</v>
      </c>
    </row>
    <row r="1407" spans="1:20" x14ac:dyDescent="0.25">
      <c r="A1407" t="str">
        <f>_xll.BDP("378136X5 Muni","ID_CUSIP")</f>
        <v>378136X59</v>
      </c>
      <c r="B1407" t="s">
        <v>414</v>
      </c>
      <c r="C1407" t="str">
        <f>_xll.BDP("378136X5 Muni","INSURANCE_STATUS")</f>
        <v>Y</v>
      </c>
      <c r="D1407" t="str">
        <f>_xll.BDP("378136X5 Muni","STATE_CODE")</f>
        <v>MN</v>
      </c>
      <c r="E1407" t="str">
        <f>_xll.BDP("378136X5 Muni","COUNTY_LOCATION_ISSUER")</f>
        <v>McLeod, MN</v>
      </c>
      <c r="F1407">
        <f>_xll.BDP("378136X5 Muni","DUR_ADJ_MID")</f>
        <v>0.98271783715335481</v>
      </c>
      <c r="G1407">
        <f>_xll.BDP("378136X5 Muni","SPREAD_AT_ISSUANCE_TO_WORST")</f>
        <v>50.681610764582864</v>
      </c>
      <c r="H1407" t="str">
        <f>_xll.BDP("378136X5 Muni","ISSUE_DT")</f>
        <v>6/13/2017</v>
      </c>
      <c r="I1407" t="str">
        <f>_xll.BDS("378136X5 Muni","MUNI_PURPOSE_SCHED", "aggregate=y")</f>
        <v>PUBLIC IMPS. WATER UTILITY IMPS. SEWER IMPS.</v>
      </c>
      <c r="J1407">
        <f>_xll.BDP("378136X5 Muni","CPN")</f>
        <v>3</v>
      </c>
      <c r="K1407" t="str">
        <f>_xll.BDP("378136X5 Muni","MATURITY")</f>
        <v>8/1/2023</v>
      </c>
      <c r="L1407">
        <v>310000</v>
      </c>
      <c r="M1407">
        <f>_xll.BDP("378136X5 Muni","YIELD_ON_ISSUE_DATE")</f>
        <v>1.9000000000000001</v>
      </c>
      <c r="N1407">
        <f>_xll.BDP("378136X5 Muni","YTW_SPREAD_TO_MATURITY_AT_ISSU")</f>
        <v>50.681610764582864</v>
      </c>
      <c r="O1407" t="str">
        <f>_xll.BDP("378136X5 Muni","BVAL_MID_YTM")</f>
        <v>#N/A Authorization</v>
      </c>
      <c r="P1407" t="str">
        <f>_xll.BDP("378136X5 Muni","MUNI_TAX_PROV")</f>
        <v>FED BQ/ST TAX-EXEMPT</v>
      </c>
      <c r="Q1407" t="str">
        <f>_xll.BDP("378136X5 Muni","MUNI_FED_TAX")</f>
        <v>N</v>
      </c>
      <c r="R1407">
        <f>_xll.BDP("378136X5 Muni","MUNI_MSRB_VOLUME")</f>
        <v>40000</v>
      </c>
      <c r="S1407" t="str">
        <f>_xll.BDP("378136X5 Muni","BB_COMPOSITE")</f>
        <v>AA-</v>
      </c>
      <c r="T1407">
        <f>_xll.BDP("378136X5 Muni","LQA_LIQUIDITY_SCORE")</f>
        <v>92</v>
      </c>
    </row>
    <row r="1408" spans="1:20" x14ac:dyDescent="0.25">
      <c r="A1408" t="str">
        <f>_xll.BDP("378136X6 Muni","ID_CUSIP")</f>
        <v>378136X67</v>
      </c>
      <c r="B1408" t="s">
        <v>414</v>
      </c>
      <c r="C1408" t="str">
        <f>_xll.BDP("378136X6 Muni","INSURANCE_STATUS")</f>
        <v>Y</v>
      </c>
      <c r="D1408" t="str">
        <f>_xll.BDP("378136X6 Muni","STATE_CODE")</f>
        <v>MN</v>
      </c>
      <c r="E1408" t="str">
        <f>_xll.BDP("378136X6 Muni","COUNTY_LOCATION_ISSUER")</f>
        <v>McLeod, MN</v>
      </c>
      <c r="F1408">
        <f>_xll.BDP("378136X6 Muni","DUR_ADJ_MID")</f>
        <v>1.9374134496653301</v>
      </c>
      <c r="G1408">
        <f>_xll.BDP("378136X6 Muni","SPREAD_AT_ISSUANCE_TO_WORST")</f>
        <v>49.592787384357905</v>
      </c>
      <c r="H1408" t="str">
        <f>_xll.BDP("378136X6 Muni","ISSUE_DT")</f>
        <v>6/13/2017</v>
      </c>
      <c r="I1408" t="str">
        <f>_xll.BDS("378136X6 Muni","MUNI_PURPOSE_SCHED", "aggregate=y")</f>
        <v>PUBLIC IMPS. WATER UTILITY IMPS. SEWER IMPS.</v>
      </c>
      <c r="J1408">
        <f>_xll.BDP("378136X6 Muni","CPN")</f>
        <v>3</v>
      </c>
      <c r="K1408" t="str">
        <f>_xll.BDP("378136X6 Muni","MATURITY")</f>
        <v>8/1/2024</v>
      </c>
      <c r="L1408">
        <v>315000</v>
      </c>
      <c r="M1408">
        <f>_xll.BDP("378136X6 Muni","YIELD_ON_ISSUE_DATE")</f>
        <v>2.0499999999999998</v>
      </c>
      <c r="N1408">
        <f>_xll.BDP("378136X6 Muni","YTW_SPREAD_TO_MATURITY_AT_ISSU")</f>
        <v>49.592787384357905</v>
      </c>
      <c r="O1408" t="str">
        <f>_xll.BDP("378136X6 Muni","BVAL_MID_YTM")</f>
        <v>#N/A Authorization</v>
      </c>
      <c r="P1408" t="str">
        <f>_xll.BDP("378136X6 Muni","MUNI_TAX_PROV")</f>
        <v>FED BQ/ST TAX-EXEMPT</v>
      </c>
      <c r="Q1408" t="str">
        <f>_xll.BDP("378136X6 Muni","MUNI_FED_TAX")</f>
        <v>N</v>
      </c>
      <c r="R1408" t="str">
        <f>_xll.BDP("378136X6 Muni","MUNI_MSRB_VOLUME")</f>
        <v>#N/A N/A</v>
      </c>
      <c r="S1408" t="str">
        <f>_xll.BDP("378136X6 Muni","BB_COMPOSITE")</f>
        <v>AA-</v>
      </c>
      <c r="T1408">
        <f>_xll.BDP("378136X6 Muni","LQA_LIQUIDITY_SCORE")</f>
        <v>81</v>
      </c>
    </row>
    <row r="1409" spans="1:20" x14ac:dyDescent="0.25">
      <c r="A1409" t="str">
        <f>_xll.BDP("378136X7 Muni","ID_CUSIP")</f>
        <v>378136X75</v>
      </c>
      <c r="B1409" t="s">
        <v>414</v>
      </c>
      <c r="C1409" t="str">
        <f>_xll.BDP("378136X7 Muni","INSURANCE_STATUS")</f>
        <v>Y</v>
      </c>
      <c r="D1409" t="str">
        <f>_xll.BDP("378136X7 Muni","STATE_CODE")</f>
        <v>MN</v>
      </c>
      <c r="E1409" t="str">
        <f>_xll.BDP("378136X7 Muni","COUNTY_LOCATION_ISSUER")</f>
        <v>McLeod, MN</v>
      </c>
      <c r="F1409">
        <f>_xll.BDP("378136X7 Muni","DUR_ADJ_MID")</f>
        <v>2.86475788294219</v>
      </c>
      <c r="G1409">
        <f>_xll.BDP("378136X7 Muni","SPREAD_AT_ISSUANCE_TO_WORST")</f>
        <v>48.911541476919183</v>
      </c>
      <c r="H1409" t="str">
        <f>_xll.BDP("378136X7 Muni","ISSUE_DT")</f>
        <v>6/13/2017</v>
      </c>
      <c r="I1409" t="str">
        <f>_xll.BDS("378136X7 Muni","MUNI_PURPOSE_SCHED", "aggregate=y")</f>
        <v>PUBLIC IMPS. WATER UTILITY IMPS. SEWER IMPS.</v>
      </c>
      <c r="J1409">
        <f>_xll.BDP("378136X7 Muni","CPN")</f>
        <v>3</v>
      </c>
      <c r="K1409" t="str">
        <f>_xll.BDP("378136X7 Muni","MATURITY")</f>
        <v>8/1/2025</v>
      </c>
      <c r="L1409">
        <v>325000</v>
      </c>
      <c r="M1409">
        <f>_xll.BDP("378136X7 Muni","YIELD_ON_ISSUE_DATE")</f>
        <v>2.2000000000000002</v>
      </c>
      <c r="N1409">
        <f>_xll.BDP("378136X7 Muni","YTW_SPREAD_TO_MATURITY_AT_ISSU")</f>
        <v>48.911541476919183</v>
      </c>
      <c r="O1409" t="str">
        <f>_xll.BDP("378136X7 Muni","BVAL_MID_YTM")</f>
        <v>#N/A Authorization</v>
      </c>
      <c r="P1409" t="str">
        <f>_xll.BDP("378136X7 Muni","MUNI_TAX_PROV")</f>
        <v>FED BQ/ST TAX-EXEMPT</v>
      </c>
      <c r="Q1409" t="str">
        <f>_xll.BDP("378136X7 Muni","MUNI_FED_TAX")</f>
        <v>N</v>
      </c>
      <c r="R1409" t="str">
        <f>_xll.BDP("378136X7 Muni","MUNI_MSRB_VOLUME")</f>
        <v>#N/A N/A</v>
      </c>
      <c r="S1409" t="str">
        <f>_xll.BDP("378136X7 Muni","BB_COMPOSITE")</f>
        <v>AA-</v>
      </c>
      <c r="T1409">
        <f>_xll.BDP("378136X7 Muni","LQA_LIQUIDITY_SCORE")</f>
        <v>71</v>
      </c>
    </row>
    <row r="1410" spans="1:20" x14ac:dyDescent="0.25">
      <c r="A1410" t="str">
        <f>_xll.BDP("378550YH Muni","ID_CUSIP")</f>
        <v>378550YH4</v>
      </c>
      <c r="B1410" t="s">
        <v>415</v>
      </c>
      <c r="C1410" t="str">
        <f>_xll.BDP("378550YH Muni","INSURANCE_STATUS")</f>
        <v>N</v>
      </c>
      <c r="D1410" t="str">
        <f>_xll.BDP("378550YH Muni","STATE_CODE")</f>
        <v>WI</v>
      </c>
      <c r="E1410" t="str">
        <f>_xll.BDP("378550YH Muni","COUNTY_LOCATION_ISSUER")</f>
        <v>Milwaukee, WI</v>
      </c>
      <c r="F1410">
        <f>_xll.BDP("378550YH Muni","DUR_ADJ_MID")</f>
        <v>0.65153307362892521</v>
      </c>
      <c r="G1410">
        <f>_xll.BDP("378550YH Muni","SPREAD_AT_ISSUANCE_TO_WORST")</f>
        <v>27.829516052587433</v>
      </c>
      <c r="H1410" t="str">
        <f>_xll.BDP("378550YH Muni","ISSUE_DT")</f>
        <v>4/17/2017</v>
      </c>
      <c r="I1410" t="str">
        <f>_xll.BDS("378550YH Muni","MUNI_PURPOSE_SCHED", "aggregate=y")</f>
        <v>PUBLIC IMPS. WATER UTILITY IMPS.</v>
      </c>
      <c r="J1410">
        <f>_xll.BDP("378550YH Muni","CPN")</f>
        <v>3</v>
      </c>
      <c r="K1410" t="str">
        <f>_xll.BDP("378550YH Muni","MATURITY")</f>
        <v>4/1/2023</v>
      </c>
      <c r="L1410">
        <v>495000</v>
      </c>
      <c r="M1410">
        <f>_xll.BDP("378550YH Muni","YIELD_ON_ISSUE_DATE")</f>
        <v>2</v>
      </c>
      <c r="N1410">
        <f>_xll.BDP("378550YH Muni","YTW_SPREAD_TO_MATURITY_AT_ISSU")</f>
        <v>27.829516052587433</v>
      </c>
      <c r="O1410" t="str">
        <f>_xll.BDP("378550YH Muni","BVAL_MID_YTM")</f>
        <v>#N/A Authorization</v>
      </c>
      <c r="P1410" t="str">
        <f>_xll.BDP("378550YH Muni","MUNI_TAX_PROV")</f>
        <v>FED BQ/ST TAXABLE</v>
      </c>
      <c r="Q1410" t="str">
        <f>_xll.BDP("378550YH Muni","MUNI_FED_TAX")</f>
        <v>N</v>
      </c>
      <c r="R1410" t="str">
        <f>_xll.BDP("378550YH Muni","MUNI_MSRB_VOLUME")</f>
        <v>#N/A N/A</v>
      </c>
      <c r="S1410" t="str">
        <f>_xll.BDP("378550YH Muni","BB_COMPOSITE")</f>
        <v>#N/A N/A</v>
      </c>
      <c r="T1410">
        <f>_xll.BDP("378550YH Muni","LQA_LIQUIDITY_SCORE")</f>
        <v>91</v>
      </c>
    </row>
    <row r="1411" spans="1:20" x14ac:dyDescent="0.25">
      <c r="A1411" t="str">
        <f>_xll.BDP("378550YJ Muni","ID_CUSIP")</f>
        <v>378550YJ0</v>
      </c>
      <c r="B1411" t="s">
        <v>415</v>
      </c>
      <c r="C1411" t="str">
        <f>_xll.BDP("378550YJ Muni","INSURANCE_STATUS")</f>
        <v>N</v>
      </c>
      <c r="D1411" t="str">
        <f>_xll.BDP("378550YJ Muni","STATE_CODE")</f>
        <v>WI</v>
      </c>
      <c r="E1411" t="str">
        <f>_xll.BDP("378550YJ Muni","COUNTY_LOCATION_ISSUER")</f>
        <v>Milwaukee, WI</v>
      </c>
      <c r="F1411">
        <f>_xll.BDP("378550YJ Muni","DUR_ADJ_MID")</f>
        <v>1.6169267168404349</v>
      </c>
      <c r="G1411">
        <f>_xll.BDP("378550YJ Muni","SPREAD_AT_ISSUANCE_TO_WORST")</f>
        <v>21.065902617491016</v>
      </c>
      <c r="H1411" t="str">
        <f>_xll.BDP("378550YJ Muni","ISSUE_DT")</f>
        <v>4/17/2017</v>
      </c>
      <c r="I1411" t="str">
        <f>_xll.BDS("378550YJ Muni","MUNI_PURPOSE_SCHED", "aggregate=y")</f>
        <v>PUBLIC IMPS. WATER UTILITY IMPS.</v>
      </c>
      <c r="J1411">
        <f>_xll.BDP("378550YJ Muni","CPN")</f>
        <v>2.1</v>
      </c>
      <c r="K1411" t="str">
        <f>_xll.BDP("378550YJ Muni","MATURITY")</f>
        <v>4/1/2024</v>
      </c>
      <c r="L1411">
        <v>600000</v>
      </c>
      <c r="M1411">
        <f>_xll.BDP("378550YJ Muni","YIELD_ON_ISSUE_DATE")</f>
        <v>2.1</v>
      </c>
      <c r="N1411">
        <f>_xll.BDP("378550YJ Muni","YTW_SPREAD_TO_MATURITY_AT_ISSU")</f>
        <v>21.065902617491016</v>
      </c>
      <c r="O1411" t="str">
        <f>_xll.BDP("378550YJ Muni","BVAL_MID_YTM")</f>
        <v>#N/A Authorization</v>
      </c>
      <c r="P1411" t="str">
        <f>_xll.BDP("378550YJ Muni","MUNI_TAX_PROV")</f>
        <v>FED BQ/ST TAXABLE</v>
      </c>
      <c r="Q1411" t="str">
        <f>_xll.BDP("378550YJ Muni","MUNI_FED_TAX")</f>
        <v>N</v>
      </c>
      <c r="R1411" t="str">
        <f>_xll.BDP("378550YJ Muni","MUNI_MSRB_VOLUME")</f>
        <v>#N/A N/A</v>
      </c>
      <c r="S1411" t="str">
        <f>_xll.BDP("378550YJ Muni","BB_COMPOSITE")</f>
        <v>#N/A N/A</v>
      </c>
      <c r="T1411">
        <f>_xll.BDP("378550YJ Muni","LQA_LIQUIDITY_SCORE")</f>
        <v>79</v>
      </c>
    </row>
    <row r="1412" spans="1:20" x14ac:dyDescent="0.25">
      <c r="A1412" t="str">
        <f>_xll.BDP("380270LK Muni","ID_CUSIP")</f>
        <v>380270LK2</v>
      </c>
      <c r="B1412" t="s">
        <v>416</v>
      </c>
      <c r="C1412" t="str">
        <f>_xll.BDP("380270LK Muni","INSURANCE_STATUS")</f>
        <v>N</v>
      </c>
      <c r="D1412" t="str">
        <f>_xll.BDP("380270LK Muni","STATE_CODE")</f>
        <v>KS</v>
      </c>
      <c r="E1412" t="str">
        <f>_xll.BDP("380270LK Muni","COUNTY_LOCATION_ISSUER")</f>
        <v>Sedgwick, KS</v>
      </c>
      <c r="F1412">
        <f>_xll.BDP("380270LK Muni","DUR_ADJ_MID")</f>
        <v>0.16359484076204464</v>
      </c>
      <c r="G1412">
        <f>_xll.BDP("380270LK Muni","SPREAD_AT_ISSUANCE_TO_WORST")</f>
        <v>60.803839238859723</v>
      </c>
      <c r="H1412" t="str">
        <f>_xll.BDP("380270LK Muni","ISSUE_DT")</f>
        <v>6/21/2017</v>
      </c>
      <c r="I1412" t="str">
        <f>_xll.BDS("380270LK Muni","MUNI_PURPOSE_SCHED", "aggregate=y")</f>
        <v>PUBLIC IMPS. WATER UTILITY IMPS. SEWER IMPS.</v>
      </c>
      <c r="J1412">
        <f>_xll.BDP("380270LK Muni","CPN")</f>
        <v>3.75</v>
      </c>
      <c r="K1412" t="str">
        <f>_xll.BDP("380270LK Muni","MATURITY")</f>
        <v>10/1/2022</v>
      </c>
      <c r="L1412">
        <v>30000</v>
      </c>
      <c r="M1412">
        <f>_xll.BDP("380270LK Muni","YIELD_ON_ISSUE_DATE")</f>
        <v>1.8</v>
      </c>
      <c r="N1412">
        <f>_xll.BDP("380270LK Muni","YTW_SPREAD_TO_MATURITY_AT_ISSU")</f>
        <v>60.803839238859723</v>
      </c>
      <c r="O1412" t="str">
        <f>_xll.BDP("380270LK Muni","BVAL_MID_YTM")</f>
        <v>#N/A Authorization</v>
      </c>
      <c r="P1412" t="str">
        <f>_xll.BDP("380270LK Muni","MUNI_TAX_PROV")</f>
        <v>FED BQ/ST TAX-EXEMPT</v>
      </c>
      <c r="Q1412" t="str">
        <f>_xll.BDP("380270LK Muni","MUNI_FED_TAX")</f>
        <v>N</v>
      </c>
      <c r="R1412" t="str">
        <f>_xll.BDP("380270LK Muni","MUNI_MSRB_VOLUME")</f>
        <v>#N/A N/A</v>
      </c>
      <c r="S1412" t="str">
        <f>_xll.BDP("380270LK Muni","BB_COMPOSITE")</f>
        <v>#N/A N/A</v>
      </c>
      <c r="T1412">
        <f>_xll.BDP("380270LK Muni","LQA_LIQUIDITY_SCORE")</f>
        <v>93</v>
      </c>
    </row>
    <row r="1413" spans="1:20" x14ac:dyDescent="0.25">
      <c r="A1413" t="str">
        <f>_xll.BDP("380270LL Muni","ID_CUSIP")</f>
        <v>380270LL0</v>
      </c>
      <c r="B1413" t="s">
        <v>416</v>
      </c>
      <c r="C1413" t="str">
        <f>_xll.BDP("380270LL Muni","INSURANCE_STATUS")</f>
        <v>N</v>
      </c>
      <c r="D1413" t="str">
        <f>_xll.BDP("380270LL Muni","STATE_CODE")</f>
        <v>KS</v>
      </c>
      <c r="E1413" t="str">
        <f>_xll.BDP("380270LL Muni","COUNTY_LOCATION_ISSUER")</f>
        <v>Sedgwick, KS</v>
      </c>
      <c r="F1413">
        <f>_xll.BDP("380270LL Muni","DUR_ADJ_MID")</f>
        <v>1.1289283497355196</v>
      </c>
      <c r="G1413">
        <f>_xll.BDP("380270LL Muni","SPREAD_AT_ISSUANCE_TO_WORST")</f>
        <v>65.32606260622498</v>
      </c>
      <c r="H1413" t="str">
        <f>_xll.BDP("380270LL Muni","ISSUE_DT")</f>
        <v>6/21/2017</v>
      </c>
      <c r="I1413" t="str">
        <f>_xll.BDS("380270LL Muni","MUNI_PURPOSE_SCHED", "aggregate=y")</f>
        <v>PUBLIC IMPS. WATER UTILITY IMPS. SEWER IMPS.</v>
      </c>
      <c r="J1413">
        <f>_xll.BDP("380270LL Muni","CPN")</f>
        <v>3.5</v>
      </c>
      <c r="K1413" t="str">
        <f>_xll.BDP("380270LL Muni","MATURITY")</f>
        <v>10/1/2023</v>
      </c>
      <c r="L1413">
        <v>35000</v>
      </c>
      <c r="M1413">
        <f>_xll.BDP("380270LL Muni","YIELD_ON_ISSUE_DATE")</f>
        <v>2</v>
      </c>
      <c r="N1413">
        <f>_xll.BDP("380270LL Muni","YTW_SPREAD_TO_MATURITY_AT_ISSU")</f>
        <v>65.32606260622498</v>
      </c>
      <c r="O1413" t="str">
        <f>_xll.BDP("380270LL Muni","BVAL_MID_YTM")</f>
        <v>#N/A Authorization</v>
      </c>
      <c r="P1413" t="str">
        <f>_xll.BDP("380270LL Muni","MUNI_TAX_PROV")</f>
        <v>FED BQ/ST TAX-EXEMPT</v>
      </c>
      <c r="Q1413" t="str">
        <f>_xll.BDP("380270LL Muni","MUNI_FED_TAX")</f>
        <v>N</v>
      </c>
      <c r="R1413" t="str">
        <f>_xll.BDP("380270LL Muni","MUNI_MSRB_VOLUME")</f>
        <v>#N/A N/A</v>
      </c>
      <c r="S1413" t="str">
        <f>_xll.BDP("380270LL Muni","BB_COMPOSITE")</f>
        <v>#N/A N/A</v>
      </c>
      <c r="T1413">
        <f>_xll.BDP("380270LL Muni","LQA_LIQUIDITY_SCORE")</f>
        <v>78</v>
      </c>
    </row>
    <row r="1414" spans="1:20" x14ac:dyDescent="0.25">
      <c r="A1414" t="str">
        <f>_xll.BDP("380270LM Muni","ID_CUSIP")</f>
        <v>380270LM8</v>
      </c>
      <c r="B1414" t="s">
        <v>416</v>
      </c>
      <c r="C1414" t="str">
        <f>_xll.BDP("380270LM Muni","INSURANCE_STATUS")</f>
        <v>N</v>
      </c>
      <c r="D1414" t="str">
        <f>_xll.BDP("380270LM Muni","STATE_CODE")</f>
        <v>KS</v>
      </c>
      <c r="E1414" t="str">
        <f>_xll.BDP("380270LM Muni","COUNTY_LOCATION_ISSUER")</f>
        <v>Sedgwick, KS</v>
      </c>
      <c r="F1414">
        <f>_xll.BDP("380270LM Muni","DUR_ADJ_MID")</f>
        <v>2.0912252498273465</v>
      </c>
      <c r="G1414">
        <f>_xll.BDP("380270LM Muni","SPREAD_AT_ISSUANCE_TO_WORST")</f>
        <v>64.747965977396092</v>
      </c>
      <c r="H1414" t="str">
        <f>_xll.BDP("380270LM Muni","ISSUE_DT")</f>
        <v>6/21/2017</v>
      </c>
      <c r="I1414" t="str">
        <f>_xll.BDS("380270LM Muni","MUNI_PURPOSE_SCHED", "aggregate=y")</f>
        <v>PUBLIC IMPS. WATER UTILITY IMPS. SEWER IMPS.</v>
      </c>
      <c r="J1414">
        <f>_xll.BDP("380270LM Muni","CPN")</f>
        <v>2.15</v>
      </c>
      <c r="K1414" t="str">
        <f>_xll.BDP("380270LM Muni","MATURITY")</f>
        <v>10/1/2024</v>
      </c>
      <c r="L1414">
        <v>35000</v>
      </c>
      <c r="M1414">
        <f>_xll.BDP("380270LM Muni","YIELD_ON_ISSUE_DATE")</f>
        <v>2.15</v>
      </c>
      <c r="N1414">
        <f>_xll.BDP("380270LM Muni","YTW_SPREAD_TO_MATURITY_AT_ISSU")</f>
        <v>64.747965977396092</v>
      </c>
      <c r="O1414" t="str">
        <f>_xll.BDP("380270LM Muni","BVAL_MID_YTM")</f>
        <v>#N/A Authorization</v>
      </c>
      <c r="P1414" t="str">
        <f>_xll.BDP("380270LM Muni","MUNI_TAX_PROV")</f>
        <v>FED BQ/ST TAX-EXEMPT</v>
      </c>
      <c r="Q1414" t="str">
        <f>_xll.BDP("380270LM Muni","MUNI_FED_TAX")</f>
        <v>N</v>
      </c>
      <c r="R1414" t="str">
        <f>_xll.BDP("380270LM Muni","MUNI_MSRB_VOLUME")</f>
        <v>#N/A N/A</v>
      </c>
      <c r="S1414" t="str">
        <f>_xll.BDP("380270LM Muni","BB_COMPOSITE")</f>
        <v>#N/A N/A</v>
      </c>
      <c r="T1414">
        <f>_xll.BDP("380270LM Muni","LQA_LIQUIDITY_SCORE")</f>
        <v>51</v>
      </c>
    </row>
    <row r="1415" spans="1:20" x14ac:dyDescent="0.25">
      <c r="A1415" t="str">
        <f>_xll.BDP("380270LN Muni","ID_CUSIP")</f>
        <v>380270LN6</v>
      </c>
      <c r="B1415" t="s">
        <v>416</v>
      </c>
      <c r="C1415" t="str">
        <f>_xll.BDP("380270LN Muni","INSURANCE_STATUS")</f>
        <v>N</v>
      </c>
      <c r="D1415" t="str">
        <f>_xll.BDP("380270LN Muni","STATE_CODE")</f>
        <v>KS</v>
      </c>
      <c r="E1415" t="str">
        <f>_xll.BDP("380270LN Muni","COUNTY_LOCATION_ISSUER")</f>
        <v>Sedgwick, KS</v>
      </c>
      <c r="F1415">
        <f>_xll.BDP("380270LN Muni","DUR_ADJ_MID")</f>
        <v>3.016958763863919</v>
      </c>
      <c r="G1415">
        <f>_xll.BDP("380270LN Muni","SPREAD_AT_ISSUANCE_TO_WORST")</f>
        <v>64.734135559874417</v>
      </c>
      <c r="H1415" t="str">
        <f>_xll.BDP("380270LN Muni","ISSUE_DT")</f>
        <v>6/21/2017</v>
      </c>
      <c r="I1415" t="str">
        <f>_xll.BDS("380270LN Muni","MUNI_PURPOSE_SCHED", "aggregate=y")</f>
        <v>PUBLIC IMPS. WATER UTILITY IMPS. SEWER IMPS.</v>
      </c>
      <c r="J1415">
        <f>_xll.BDP("380270LN Muni","CPN")</f>
        <v>2.2999999999999998</v>
      </c>
      <c r="K1415" t="str">
        <f>_xll.BDP("380270LN Muni","MATURITY")</f>
        <v>10/1/2025</v>
      </c>
      <c r="L1415">
        <v>35000</v>
      </c>
      <c r="M1415">
        <f>_xll.BDP("380270LN Muni","YIELD_ON_ISSUE_DATE")</f>
        <v>2.3000000000000003</v>
      </c>
      <c r="N1415">
        <f>_xll.BDP("380270LN Muni","YTW_SPREAD_TO_MATURITY_AT_ISSU")</f>
        <v>64.734135559874417</v>
      </c>
      <c r="O1415" t="str">
        <f>_xll.BDP("380270LN Muni","BVAL_MID_YTM")</f>
        <v>#N/A Authorization</v>
      </c>
      <c r="P1415" t="str">
        <f>_xll.BDP("380270LN Muni","MUNI_TAX_PROV")</f>
        <v>FED BQ/ST TAX-EXEMPT</v>
      </c>
      <c r="Q1415" t="str">
        <f>_xll.BDP("380270LN Muni","MUNI_FED_TAX")</f>
        <v>N</v>
      </c>
      <c r="R1415">
        <f>_xll.BDP("380270LN Muni","MUNI_MSRB_VOLUME")</f>
        <v>70000</v>
      </c>
      <c r="S1415" t="str">
        <f>_xll.BDP("380270LN Muni","BB_COMPOSITE")</f>
        <v>#N/A N/A</v>
      </c>
      <c r="T1415">
        <f>_xll.BDP("380270LN Muni","LQA_LIQUIDITY_SCORE")</f>
        <v>42</v>
      </c>
    </row>
    <row r="1416" spans="1:20" x14ac:dyDescent="0.25">
      <c r="A1416" t="str">
        <f>_xll.BDP("380270LP Muni","ID_CUSIP")</f>
        <v>380270LP1</v>
      </c>
      <c r="B1416" t="s">
        <v>416</v>
      </c>
      <c r="C1416" t="str">
        <f>_xll.BDP("380270LP Muni","INSURANCE_STATUS")</f>
        <v>N</v>
      </c>
      <c r="D1416" t="str">
        <f>_xll.BDP("380270LP Muni","STATE_CODE")</f>
        <v>KS</v>
      </c>
      <c r="E1416" t="str">
        <f>_xll.BDP("380270LP Muni","COUNTY_LOCATION_ISSUER")</f>
        <v>Sedgwick, KS</v>
      </c>
      <c r="F1416">
        <f>_xll.BDP("380270LP Muni","DUR_ADJ_MID")</f>
        <v>3.9133001859810026</v>
      </c>
      <c r="G1416">
        <f>_xll.BDP("380270LP Muni","SPREAD_AT_ISSUANCE_TO_WORST")</f>
        <v>66.583792648511491</v>
      </c>
      <c r="H1416" t="str">
        <f>_xll.BDP("380270LP Muni","ISSUE_DT")</f>
        <v>6/21/2017</v>
      </c>
      <c r="I1416" t="str">
        <f>_xll.BDS("380270LP Muni","MUNI_PURPOSE_SCHED", "aggregate=y")</f>
        <v>PUBLIC IMPS. WATER UTILITY IMPS. SEWER IMPS.</v>
      </c>
      <c r="J1416">
        <f>_xll.BDP("380270LP Muni","CPN")</f>
        <v>2.4500000000000002</v>
      </c>
      <c r="K1416" t="str">
        <f>_xll.BDP("380270LP Muni","MATURITY")</f>
        <v>10/1/2026</v>
      </c>
      <c r="L1416">
        <v>40000</v>
      </c>
      <c r="M1416">
        <f>_xll.BDP("380270LP Muni","YIELD_ON_ISSUE_DATE")</f>
        <v>2.4500000000000002</v>
      </c>
      <c r="N1416">
        <f>_xll.BDP("380270LP Muni","YTW_SPREAD_TO_MATURITY_AT_ISSU")</f>
        <v>66.583792648511491</v>
      </c>
      <c r="O1416" t="str">
        <f>_xll.BDP("380270LP Muni","BVAL_MID_YTM")</f>
        <v>#N/A Authorization</v>
      </c>
      <c r="P1416" t="str">
        <f>_xll.BDP("380270LP Muni","MUNI_TAX_PROV")</f>
        <v>FED BQ/ST TAX-EXEMPT</v>
      </c>
      <c r="Q1416" t="str">
        <f>_xll.BDP("380270LP Muni","MUNI_FED_TAX")</f>
        <v>N</v>
      </c>
      <c r="R1416">
        <f>_xll.BDP("380270LP Muni","MUNI_MSRB_VOLUME")</f>
        <v>40000</v>
      </c>
      <c r="S1416" t="str">
        <f>_xll.BDP("380270LP Muni","BB_COMPOSITE")</f>
        <v>#N/A N/A</v>
      </c>
      <c r="T1416">
        <f>_xll.BDP("380270LP Muni","LQA_LIQUIDITY_SCORE")</f>
        <v>37</v>
      </c>
    </row>
    <row r="1417" spans="1:20" x14ac:dyDescent="0.25">
      <c r="A1417" t="str">
        <f>_xll.BDP("382505KQ Muni","ID_CUSIP")</f>
        <v>382505KQ7</v>
      </c>
      <c r="B1417" t="s">
        <v>417</v>
      </c>
      <c r="C1417" t="str">
        <f>_xll.BDP("382505KQ Muni","INSURANCE_STATUS")</f>
        <v>N</v>
      </c>
      <c r="D1417" t="str">
        <f>_xll.BDP("382505KQ Muni","STATE_CODE")</f>
        <v>AZ</v>
      </c>
      <c r="E1417" t="str">
        <f>_xll.BDP("382505KQ Muni","COUNTY_LOCATION_ISSUER")</f>
        <v>Maricopa, AZ</v>
      </c>
      <c r="F1417">
        <f>_xll.BDP("382505KQ Muni","DUR_ADJ_MID")</f>
        <v>4.3988605804912178</v>
      </c>
      <c r="G1417">
        <f>_xll.BDP("382505KQ Muni","SPREAD_AT_ISSUANCE_TO_WORST")</f>
        <v>19.405424657534276</v>
      </c>
      <c r="H1417" t="str">
        <f>_xll.BDP("382505KQ Muni","ISSUE_DT")</f>
        <v>11/14/2017</v>
      </c>
      <c r="I1417" t="str">
        <f>_xll.BDS("382505KQ Muni","MUNI_PURPOSE_SCHED", "aggregate=y")</f>
        <v>RECREATIONAL FAC. IMPS. WATER UTILITY IMPS. PUBLIC IMPS.</v>
      </c>
      <c r="J1417">
        <f>_xll.BDP("382505KQ Muni","CPN")</f>
        <v>5</v>
      </c>
      <c r="K1417" t="str">
        <f>_xll.BDP("382505KQ Muni","MATURITY")</f>
        <v>7/1/2027</v>
      </c>
      <c r="L1417">
        <v>1200000</v>
      </c>
      <c r="M1417">
        <f>_xll.BDP("382505KQ Muni","YIELD_ON_ISSUE_DATE")</f>
        <v>2.1800000000000002</v>
      </c>
      <c r="N1417">
        <f>_xll.BDP("382505KQ Muni","YTW_SPREAD_TO_MATURITY_AT_ISSU")</f>
        <v>19.405424657534276</v>
      </c>
      <c r="O1417" t="str">
        <f>_xll.BDP("382505KQ Muni","BVAL_MID_YTM")</f>
        <v>#N/A Authorization</v>
      </c>
      <c r="P1417" t="str">
        <f>_xll.BDP("382505KQ Muni","MUNI_TAX_PROV")</f>
        <v>FED &amp; ST TAX-EXEMPT</v>
      </c>
      <c r="Q1417" t="str">
        <f>_xll.BDP("382505KQ Muni","MUNI_FED_TAX")</f>
        <v>N</v>
      </c>
      <c r="R1417">
        <f>_xll.BDP("382505KQ Muni","MUNI_MSRB_VOLUME")</f>
        <v>45000</v>
      </c>
      <c r="S1417" t="str">
        <f>_xll.BDP("382505KQ Muni","BB_COMPOSITE")</f>
        <v>AA+</v>
      </c>
      <c r="T1417">
        <f>_xll.BDP("382505KQ Muni","LQA_LIQUIDITY_SCORE")</f>
        <v>71</v>
      </c>
    </row>
    <row r="1418" spans="1:20" x14ac:dyDescent="0.25">
      <c r="A1418" t="str">
        <f>_xll.BDP("521769AF Muni","ID_CUSIP")</f>
        <v>521769AF6</v>
      </c>
      <c r="B1418" t="s">
        <v>418</v>
      </c>
      <c r="C1418" t="str">
        <f>_xll.BDP("521769AF Muni","INSURANCE_STATUS")</f>
        <v>N</v>
      </c>
      <c r="D1418" t="str">
        <f>_xll.BDP("521769AF Muni","STATE_CODE")</f>
        <v>TX</v>
      </c>
      <c r="E1418" t="str">
        <f>_xll.BDP("521769AF Muni","COUNTY_LOCATION_ISSUER")</f>
        <v>Galveston, TX</v>
      </c>
      <c r="F1418">
        <f>_xll.BDP("521769AF Muni","DUR_ADJ_MID")</f>
        <v>0.5215857164119887</v>
      </c>
      <c r="G1418">
        <f>_xll.BDP("521769AF Muni","SPREAD_AT_ISSUANCE_TO_WORST")</f>
        <v>16.350820381760876</v>
      </c>
      <c r="H1418" t="str">
        <f>_xll.BDP("521769AF Muni","ISSUE_DT")</f>
        <v>7/1/2017</v>
      </c>
      <c r="I1418" t="str">
        <f>_xll.BDS("521769AF Muni","MUNI_PURPOSE_SCHED", "aggregate=y")</f>
        <v>PUBLIC IMPS. WATER UTILITY IMPS. SEWER IMPS.</v>
      </c>
      <c r="J1418">
        <f>_xll.BDP("521769AF Muni","CPN")</f>
        <v>5</v>
      </c>
      <c r="K1418" t="str">
        <f>_xll.BDP("521769AF Muni","MATURITY")</f>
        <v>2/15/2023</v>
      </c>
      <c r="L1418">
        <v>965000</v>
      </c>
      <c r="M1418">
        <f>_xll.BDP("521769AF Muni","YIELD_ON_ISSUE_DATE")</f>
        <v>1.45</v>
      </c>
      <c r="N1418">
        <f>_xll.BDP("521769AF Muni","YTW_SPREAD_TO_MATURITY_AT_ISSU")</f>
        <v>16.350820381760876</v>
      </c>
      <c r="O1418" t="str">
        <f>_xll.BDP("521769AF Muni","BVAL_MID_YTM")</f>
        <v>#N/A Authorization</v>
      </c>
      <c r="P1418" t="str">
        <f>_xll.BDP("521769AF Muni","MUNI_TAX_PROV")</f>
        <v>FED TAX-EXEMPT</v>
      </c>
      <c r="Q1418" t="str">
        <f>_xll.BDP("521769AF Muni","MUNI_FED_TAX")</f>
        <v>N</v>
      </c>
      <c r="R1418" t="str">
        <f>_xll.BDP("521769AF Muni","MUNI_MSRB_VOLUME")</f>
        <v>#N/A N/A</v>
      </c>
      <c r="S1418" t="str">
        <f>_xll.BDP("521769AF Muni","BB_COMPOSITE")</f>
        <v>AA+</v>
      </c>
      <c r="T1418">
        <f>_xll.BDP("521769AF Muni","LQA_LIQUIDITY_SCORE")</f>
        <v>94</v>
      </c>
    </row>
    <row r="1419" spans="1:20" x14ac:dyDescent="0.25">
      <c r="A1419" t="str">
        <f>_xll.BDP("521769AG Muni","ID_CUSIP")</f>
        <v>521769AG4</v>
      </c>
      <c r="B1419" t="s">
        <v>418</v>
      </c>
      <c r="C1419" t="str">
        <f>_xll.BDP("521769AG Muni","INSURANCE_STATUS")</f>
        <v>N</v>
      </c>
      <c r="D1419" t="str">
        <f>_xll.BDP("521769AG Muni","STATE_CODE")</f>
        <v>TX</v>
      </c>
      <c r="E1419" t="str">
        <f>_xll.BDP("521769AG Muni","COUNTY_LOCATION_ISSUER")</f>
        <v>Galveston, TX</v>
      </c>
      <c r="F1419">
        <f>_xll.BDP("521769AG Muni","DUR_ADJ_MID")</f>
        <v>1.4556414461438019</v>
      </c>
      <c r="G1419">
        <f>_xll.BDP("521769AG Muni","SPREAD_AT_ISSUANCE_TO_WORST")</f>
        <v>17.469695023134602</v>
      </c>
      <c r="H1419" t="str">
        <f>_xll.BDP("521769AG Muni","ISSUE_DT")</f>
        <v>7/1/2017</v>
      </c>
      <c r="I1419" t="str">
        <f>_xll.BDS("521769AG Muni","MUNI_PURPOSE_SCHED", "aggregate=y")</f>
        <v>PUBLIC IMPS. WATER UTILITY IMPS. SEWER IMPS.</v>
      </c>
      <c r="J1419">
        <f>_xll.BDP("521769AG Muni","CPN")</f>
        <v>5</v>
      </c>
      <c r="K1419" t="str">
        <f>_xll.BDP("521769AG Muni","MATURITY")</f>
        <v>2/15/2024</v>
      </c>
      <c r="L1419">
        <v>685000</v>
      </c>
      <c r="M1419">
        <f>_xll.BDP("521769AG Muni","YIELD_ON_ISSUE_DATE")</f>
        <v>1.61</v>
      </c>
      <c r="N1419">
        <f>_xll.BDP("521769AG Muni","YTW_SPREAD_TO_MATURITY_AT_ISSU")</f>
        <v>17.469695023134602</v>
      </c>
      <c r="O1419" t="str">
        <f>_xll.BDP("521769AG Muni","BVAL_MID_YTM")</f>
        <v>#N/A Authorization</v>
      </c>
      <c r="P1419" t="str">
        <f>_xll.BDP("521769AG Muni","MUNI_TAX_PROV")</f>
        <v>FED TAX-EXEMPT</v>
      </c>
      <c r="Q1419" t="str">
        <f>_xll.BDP("521769AG Muni","MUNI_FED_TAX")</f>
        <v>N</v>
      </c>
      <c r="R1419">
        <f>_xll.BDP("521769AG Muni","MUNI_MSRB_VOLUME")</f>
        <v>20000</v>
      </c>
      <c r="S1419" t="str">
        <f>_xll.BDP("521769AG Muni","BB_COMPOSITE")</f>
        <v>AA+</v>
      </c>
      <c r="T1419">
        <f>_xll.BDP("521769AG Muni","LQA_LIQUIDITY_SCORE")</f>
        <v>86</v>
      </c>
    </row>
    <row r="1420" spans="1:20" x14ac:dyDescent="0.25">
      <c r="A1420" t="str">
        <f>_xll.BDP("521769AH Muni","ID_CUSIP")</f>
        <v>521769AH2</v>
      </c>
      <c r="B1420" t="s">
        <v>418</v>
      </c>
      <c r="C1420" t="str">
        <f>_xll.BDP("521769AH Muni","INSURANCE_STATUS")</f>
        <v>N</v>
      </c>
      <c r="D1420" t="str">
        <f>_xll.BDP("521769AH Muni","STATE_CODE")</f>
        <v>TX</v>
      </c>
      <c r="E1420" t="str">
        <f>_xll.BDP("521769AH Muni","COUNTY_LOCATION_ISSUER")</f>
        <v>Galveston, TX</v>
      </c>
      <c r="F1420">
        <f>_xll.BDP("521769AH Muni","DUR_ADJ_MID")</f>
        <v>2.34838458544511</v>
      </c>
      <c r="G1420">
        <f>_xll.BDP("521769AH Muni","SPREAD_AT_ISSUANCE_TO_WORST")</f>
        <v>22.388922386069442</v>
      </c>
      <c r="H1420" t="str">
        <f>_xll.BDP("521769AH Muni","ISSUE_DT")</f>
        <v>7/1/2017</v>
      </c>
      <c r="I1420" t="str">
        <f>_xll.BDS("521769AH Muni","MUNI_PURPOSE_SCHED", "aggregate=y")</f>
        <v>PUBLIC IMPS. WATER UTILITY IMPS. SEWER IMPS.</v>
      </c>
      <c r="J1420">
        <f>_xll.BDP("521769AH Muni","CPN")</f>
        <v>5</v>
      </c>
      <c r="K1420" t="str">
        <f>_xll.BDP("521769AH Muni","MATURITY")</f>
        <v>2/15/2025</v>
      </c>
      <c r="L1420">
        <v>680000</v>
      </c>
      <c r="M1420">
        <f>_xll.BDP("521769AH Muni","YIELD_ON_ISSUE_DATE")</f>
        <v>1.81</v>
      </c>
      <c r="N1420">
        <f>_xll.BDP("521769AH Muni","YTW_SPREAD_TO_MATURITY_AT_ISSU")</f>
        <v>22.388922386069442</v>
      </c>
      <c r="O1420" t="str">
        <f>_xll.BDP("521769AH Muni","BVAL_MID_YTM")</f>
        <v>#N/A Authorization</v>
      </c>
      <c r="P1420" t="str">
        <f>_xll.BDP("521769AH Muni","MUNI_TAX_PROV")</f>
        <v>FED TAX-EXEMPT</v>
      </c>
      <c r="Q1420" t="str">
        <f>_xll.BDP("521769AH Muni","MUNI_FED_TAX")</f>
        <v>N</v>
      </c>
      <c r="R1420" t="str">
        <f>_xll.BDP("521769AH Muni","MUNI_MSRB_VOLUME")</f>
        <v>#N/A N/A</v>
      </c>
      <c r="S1420" t="str">
        <f>_xll.BDP("521769AH Muni","BB_COMPOSITE")</f>
        <v>AA+</v>
      </c>
      <c r="T1420">
        <f>_xll.BDP("521769AH Muni","LQA_LIQUIDITY_SCORE")</f>
        <v>77</v>
      </c>
    </row>
    <row r="1421" spans="1:20" x14ac:dyDescent="0.25">
      <c r="A1421" t="str">
        <f>_xll.BDP("521769AJ Muni","ID_CUSIP")</f>
        <v>521769AJ8</v>
      </c>
      <c r="B1421" t="s">
        <v>418</v>
      </c>
      <c r="C1421" t="str">
        <f>_xll.BDP("521769AJ Muni","INSURANCE_STATUS")</f>
        <v>N</v>
      </c>
      <c r="D1421" t="str">
        <f>_xll.BDP("521769AJ Muni","STATE_CODE")</f>
        <v>TX</v>
      </c>
      <c r="E1421" t="str">
        <f>_xll.BDP("521769AJ Muni","COUNTY_LOCATION_ISSUER")</f>
        <v>Galveston, TX</v>
      </c>
      <c r="F1421">
        <f>_xll.BDP("521769AJ Muni","DUR_ADJ_MID")</f>
        <v>3.2037806989080178</v>
      </c>
      <c r="G1421">
        <f>_xll.BDP("521769AJ Muni","SPREAD_AT_ISSUANCE_TO_WORST")</f>
        <v>28.188199389539825</v>
      </c>
      <c r="H1421" t="str">
        <f>_xll.BDP("521769AJ Muni","ISSUE_DT")</f>
        <v>7/1/2017</v>
      </c>
      <c r="I1421" t="str">
        <f>_xll.BDS("521769AJ Muni","MUNI_PURPOSE_SCHED", "aggregate=y")</f>
        <v>PUBLIC IMPS. WATER UTILITY IMPS. SEWER IMPS.</v>
      </c>
      <c r="J1421">
        <f>_xll.BDP("521769AJ Muni","CPN")</f>
        <v>5</v>
      </c>
      <c r="K1421" t="str">
        <f>_xll.BDP("521769AJ Muni","MATURITY")</f>
        <v>2/15/2026</v>
      </c>
      <c r="L1421">
        <v>1000000</v>
      </c>
      <c r="M1421">
        <f>_xll.BDP("521769AJ Muni","YIELD_ON_ISSUE_DATE")</f>
        <v>2.0100000000000002</v>
      </c>
      <c r="N1421">
        <f>_xll.BDP("521769AJ Muni","YTW_SPREAD_TO_MATURITY_AT_ISSU")</f>
        <v>28.188199389539825</v>
      </c>
      <c r="O1421" t="str">
        <f>_xll.BDP("521769AJ Muni","BVAL_MID_YTM")</f>
        <v>#N/A Authorization</v>
      </c>
      <c r="P1421" t="str">
        <f>_xll.BDP("521769AJ Muni","MUNI_TAX_PROV")</f>
        <v>FED TAX-EXEMPT</v>
      </c>
      <c r="Q1421" t="str">
        <f>_xll.BDP("521769AJ Muni","MUNI_FED_TAX")</f>
        <v>N</v>
      </c>
      <c r="R1421" t="str">
        <f>_xll.BDP("521769AJ Muni","MUNI_MSRB_VOLUME")</f>
        <v>#N/A N/A</v>
      </c>
      <c r="S1421" t="str">
        <f>_xll.BDP("521769AJ Muni","BB_COMPOSITE")</f>
        <v>AA+</v>
      </c>
      <c r="T1421">
        <f>_xll.BDP("521769AJ Muni","LQA_LIQUIDITY_SCORE")</f>
        <v>69</v>
      </c>
    </row>
    <row r="1422" spans="1:20" x14ac:dyDescent="0.25">
      <c r="A1422" t="str">
        <f>_xll.BDP("521769AK Muni","ID_CUSIP")</f>
        <v>521769AK5</v>
      </c>
      <c r="B1422" t="s">
        <v>418</v>
      </c>
      <c r="C1422" t="str">
        <f>_xll.BDP("521769AK Muni","INSURANCE_STATUS")</f>
        <v>N</v>
      </c>
      <c r="D1422" t="str">
        <f>_xll.BDP("521769AK Muni","STATE_CODE")</f>
        <v>TX</v>
      </c>
      <c r="E1422" t="str">
        <f>_xll.BDP("521769AK Muni","COUNTY_LOCATION_ISSUER")</f>
        <v>Galveston, TX</v>
      </c>
      <c r="F1422">
        <f>_xll.BDP("521769AK Muni","DUR_ADJ_MID")</f>
        <v>4.024825337449637</v>
      </c>
      <c r="G1422">
        <f>_xll.BDP("521769AK Muni","SPREAD_AT_ISSUANCE_TO_WORST")</f>
        <v>26.13218719894639</v>
      </c>
      <c r="H1422" t="str">
        <f>_xll.BDP("521769AK Muni","ISSUE_DT")</f>
        <v>7/1/2017</v>
      </c>
      <c r="I1422" t="str">
        <f>_xll.BDS("521769AK Muni","MUNI_PURPOSE_SCHED", "aggregate=y")</f>
        <v>PUBLIC IMPS. WATER UTILITY IMPS. SEWER IMPS.</v>
      </c>
      <c r="J1422">
        <f>_xll.BDP("521769AK Muni","CPN")</f>
        <v>5</v>
      </c>
      <c r="K1422" t="str">
        <f>_xll.BDP("521769AK Muni","MATURITY")</f>
        <v>2/15/2027</v>
      </c>
      <c r="L1422">
        <v>1015000</v>
      </c>
      <c r="M1422">
        <f>_xll.BDP("521769AK Muni","YIELD_ON_ISSUE_DATE")</f>
        <v>2.11</v>
      </c>
      <c r="N1422">
        <f>_xll.BDP("521769AK Muni","YTW_SPREAD_TO_MATURITY_AT_ISSU")</f>
        <v>26.13218719894639</v>
      </c>
      <c r="O1422" t="str">
        <f>_xll.BDP("521769AK Muni","BVAL_MID_YTM")</f>
        <v>#N/A Authorization</v>
      </c>
      <c r="P1422" t="str">
        <f>_xll.BDP("521769AK Muni","MUNI_TAX_PROV")</f>
        <v>FED TAX-EXEMPT</v>
      </c>
      <c r="Q1422" t="str">
        <f>_xll.BDP("521769AK Muni","MUNI_FED_TAX")</f>
        <v>N</v>
      </c>
      <c r="R1422" t="str">
        <f>_xll.BDP("521769AK Muni","MUNI_MSRB_VOLUME")</f>
        <v>#N/A N/A</v>
      </c>
      <c r="S1422" t="str">
        <f>_xll.BDP("521769AK Muni","BB_COMPOSITE")</f>
        <v>AA+</v>
      </c>
      <c r="T1422">
        <f>_xll.BDP("521769AK Muni","LQA_LIQUIDITY_SCORE")</f>
        <v>62</v>
      </c>
    </row>
    <row r="1423" spans="1:20" x14ac:dyDescent="0.25">
      <c r="A1423" t="str">
        <f>_xll.BDP("44780NAJ Muni","ID_CUSIP")</f>
        <v>44780NAJ2</v>
      </c>
      <c r="B1423" t="s">
        <v>419</v>
      </c>
      <c r="C1423" t="str">
        <f>_xll.BDP("44780NAJ Muni","INSURANCE_STATUS")</f>
        <v>Y</v>
      </c>
      <c r="D1423" t="str">
        <f>_xll.BDP("44780NAJ Muni","STATE_CODE")</f>
        <v>UT</v>
      </c>
      <c r="E1423" t="str">
        <f>_xll.BDP("44780NAJ Muni","COUNTY_LOCATION_ISSUER")</f>
        <v>#N/A Field Not Applicable</v>
      </c>
      <c r="F1423">
        <f>_xll.BDP("44780NAJ Muni","DUR_ADJ_MID")</f>
        <v>3.2734663610719164</v>
      </c>
      <c r="G1423">
        <f>_xll.BDP("44780NAJ Muni","SPREAD_AT_ISSUANCE_TO_WORST")</f>
        <v>39.831655638537015</v>
      </c>
      <c r="H1423" t="str">
        <f>_xll.BDP("44780NAJ Muni","ISSUE_DT")</f>
        <v>4/4/2017</v>
      </c>
      <c r="I1423" t="str">
        <f>_xll.BDS("44780NAJ Muni","MUNI_PURPOSE_SCHED", "aggregate=y")</f>
        <v>WATER UTILITY IMPS.</v>
      </c>
      <c r="J1423">
        <f>_xll.BDP("44780NAJ Muni","CPN")</f>
        <v>4</v>
      </c>
      <c r="K1423" t="str">
        <f>_xll.BDP("44780NAJ Muni","MATURITY")</f>
        <v>2/1/2026</v>
      </c>
      <c r="L1423">
        <v>135000</v>
      </c>
      <c r="M1423">
        <f>_xll.BDP("44780NAJ Muni","YIELD_ON_ISSUE_DATE")</f>
        <v>2.65</v>
      </c>
      <c r="N1423">
        <f>_xll.BDP("44780NAJ Muni","YTW_SPREAD_TO_MATURITY_AT_ISSU")</f>
        <v>39.831655638537015</v>
      </c>
      <c r="O1423" t="str">
        <f>_xll.BDP("44780NAJ Muni","BVAL_MID_YTM")</f>
        <v>#N/A Authorization</v>
      </c>
      <c r="P1423" t="str">
        <f>_xll.BDP("44780NAJ Muni","MUNI_TAX_PROV")</f>
        <v>FED BQ/ST TAX-EXEMPT</v>
      </c>
      <c r="Q1423" t="str">
        <f>_xll.BDP("44780NAJ Muni","MUNI_FED_TAX")</f>
        <v>N</v>
      </c>
      <c r="R1423" t="str">
        <f>_xll.BDP("44780NAJ Muni","MUNI_MSRB_VOLUME")</f>
        <v>#N/A N/A</v>
      </c>
      <c r="S1423" t="str">
        <f>_xll.BDP("44780NAJ Muni","BB_COMPOSITE")</f>
        <v>AA-</v>
      </c>
      <c r="T1423">
        <f>_xll.BDP("44780NAJ Muni","LQA_LIQUIDITY_SCORE")</f>
        <v>66</v>
      </c>
    </row>
    <row r="1424" spans="1:20" x14ac:dyDescent="0.25">
      <c r="A1424" t="str">
        <f>_xll.BDP("44780NAK Muni","ID_CUSIP")</f>
        <v>44780NAK9</v>
      </c>
      <c r="B1424" t="s">
        <v>419</v>
      </c>
      <c r="C1424" t="str">
        <f>_xll.BDP("44780NAK Muni","INSURANCE_STATUS")</f>
        <v>Y</v>
      </c>
      <c r="D1424" t="str">
        <f>_xll.BDP("44780NAK Muni","STATE_CODE")</f>
        <v>UT</v>
      </c>
      <c r="E1424" t="str">
        <f>_xll.BDP("44780NAK Muni","COUNTY_LOCATION_ISSUER")</f>
        <v>#N/A Field Not Applicable</v>
      </c>
      <c r="F1424">
        <f>_xll.BDP("44780NAK Muni","DUR_ADJ_MID")</f>
        <v>4.1338379771831022</v>
      </c>
      <c r="G1424">
        <f>_xll.BDP("44780NAK Muni","SPREAD_AT_ISSUANCE_TO_WORST")</f>
        <v>38.441642674999386</v>
      </c>
      <c r="H1424" t="str">
        <f>_xll.BDP("44780NAK Muni","ISSUE_DT")</f>
        <v>4/4/2017</v>
      </c>
      <c r="I1424" t="str">
        <f>_xll.BDS("44780NAK Muni","MUNI_PURPOSE_SCHED", "aggregate=y")</f>
        <v>WATER UTILITY IMPS.</v>
      </c>
      <c r="J1424">
        <f>_xll.BDP("44780NAK Muni","CPN")</f>
        <v>4</v>
      </c>
      <c r="K1424" t="str">
        <f>_xll.BDP("44780NAK Muni","MATURITY")</f>
        <v>2/1/2027</v>
      </c>
      <c r="L1424">
        <v>140000</v>
      </c>
      <c r="M1424">
        <f>_xll.BDP("44780NAK Muni","YIELD_ON_ISSUE_DATE")</f>
        <v>2.75</v>
      </c>
      <c r="N1424">
        <f>_xll.BDP("44780NAK Muni","YTW_SPREAD_TO_MATURITY_AT_ISSU")</f>
        <v>38.441642674999386</v>
      </c>
      <c r="O1424" t="str">
        <f>_xll.BDP("44780NAK Muni","BVAL_MID_YTM")</f>
        <v>#N/A Authorization</v>
      </c>
      <c r="P1424" t="str">
        <f>_xll.BDP("44780NAK Muni","MUNI_TAX_PROV")</f>
        <v>FED BQ/ST TAX-EXEMPT</v>
      </c>
      <c r="Q1424" t="str">
        <f>_xll.BDP("44780NAK Muni","MUNI_FED_TAX")</f>
        <v>N</v>
      </c>
      <c r="R1424" t="str">
        <f>_xll.BDP("44780NAK Muni","MUNI_MSRB_VOLUME")</f>
        <v>#N/A N/A</v>
      </c>
      <c r="S1424" t="str">
        <f>_xll.BDP("44780NAK Muni","BB_COMPOSITE")</f>
        <v>AA-</v>
      </c>
      <c r="T1424">
        <f>_xll.BDP("44780NAK Muni","LQA_LIQUIDITY_SCORE")</f>
        <v>60</v>
      </c>
    </row>
    <row r="1425" spans="1:20" x14ac:dyDescent="0.25">
      <c r="A1425" t="str">
        <f>_xll.BDP("47875PBR Muni","ID_CUSIP")</f>
        <v>47875PBR7</v>
      </c>
      <c r="B1425" t="s">
        <v>147</v>
      </c>
      <c r="C1425" t="str">
        <f>_xll.BDP("47875PBR Muni","INSURANCE_STATUS")</f>
        <v>N</v>
      </c>
      <c r="D1425" t="str">
        <f>_xll.BDP("47875PBR Muni","STATE_CODE")</f>
        <v>KS</v>
      </c>
      <c r="E1425" t="str">
        <f>_xll.BDP("47875PBR Muni","COUNTY_LOCATION_ISSUER")</f>
        <v>Johnson, KS</v>
      </c>
      <c r="F1425">
        <f>_xll.BDP("47875PBR Muni","DUR_ADJ_MID")</f>
        <v>0.41233430497660045</v>
      </c>
      <c r="G1425">
        <f>_xll.BDP("47875PBR Muni","SPREAD_AT_ISSUANCE_TO_WORST")</f>
        <v>6.4799315068493124</v>
      </c>
      <c r="H1425" t="str">
        <f>_xll.BDP("47875PBR Muni","ISSUE_DT")</f>
        <v>11/8/2017</v>
      </c>
      <c r="I1425" t="str">
        <f>_xll.BDS("47875PBR Muni","MUNI_PURPOSE_SCHED", "aggregate=y")</f>
        <v>WATER UTILITY IMPS.</v>
      </c>
      <c r="J1425">
        <f>_xll.BDP("47875PBR Muni","CPN")</f>
        <v>5</v>
      </c>
      <c r="K1425" t="str">
        <f>_xll.BDP("47875PBR Muni","MATURITY")</f>
        <v>1/1/2023</v>
      </c>
      <c r="L1425">
        <v>615000</v>
      </c>
      <c r="M1425">
        <f>_xll.BDP("47875PBR Muni","YIELD_ON_ISSUE_DATE")</f>
        <v>1.48</v>
      </c>
      <c r="N1425">
        <f>_xll.BDP("47875PBR Muni","YTW_SPREAD_TO_MATURITY_AT_ISSU")</f>
        <v>6.4799315068493124</v>
      </c>
      <c r="O1425" t="str">
        <f>_xll.BDP("47875PBR Muni","BVAL_MID_YTM")</f>
        <v>#N/A Authorization</v>
      </c>
      <c r="P1425" t="str">
        <f>_xll.BDP("47875PBR Muni","MUNI_TAX_PROV")</f>
        <v>FED &amp; ST TAX-EXEMPT</v>
      </c>
      <c r="Q1425" t="str">
        <f>_xll.BDP("47875PBR Muni","MUNI_FED_TAX")</f>
        <v>N</v>
      </c>
      <c r="R1425" t="str">
        <f>_xll.BDP("47875PBR Muni","MUNI_MSRB_VOLUME")</f>
        <v>#N/A N/A</v>
      </c>
      <c r="S1425" t="str">
        <f>_xll.BDP("47875PBR Muni","BB_COMPOSITE")</f>
        <v>AAA</v>
      </c>
      <c r="T1425">
        <f>_xll.BDP("47875PBR Muni","LQA_LIQUIDITY_SCORE")</f>
        <v>87</v>
      </c>
    </row>
    <row r="1426" spans="1:20" x14ac:dyDescent="0.25">
      <c r="A1426" t="str">
        <f>_xll.BDP("47875PBS Muni","ID_CUSIP")</f>
        <v>47875PBS5</v>
      </c>
      <c r="B1426" t="s">
        <v>147</v>
      </c>
      <c r="C1426" t="str">
        <f>_xll.BDP("47875PBS Muni","INSURANCE_STATUS")</f>
        <v>N</v>
      </c>
      <c r="D1426" t="str">
        <f>_xll.BDP("47875PBS Muni","STATE_CODE")</f>
        <v>KS</v>
      </c>
      <c r="E1426" t="str">
        <f>_xll.BDP("47875PBS Muni","COUNTY_LOCATION_ISSUER")</f>
        <v>Johnson, KS</v>
      </c>
      <c r="F1426">
        <f>_xll.BDP("47875PBS Muni","DUR_ADJ_MID")</f>
        <v>0.89595208914827151</v>
      </c>
      <c r="G1426">
        <f>_xll.BDP("47875PBS Muni","SPREAD_AT_ISSUANCE_TO_WORST")</f>
        <v>6.842438356164382</v>
      </c>
      <c r="H1426" t="str">
        <f>_xll.BDP("47875PBS Muni","ISSUE_DT")</f>
        <v>11/8/2017</v>
      </c>
      <c r="I1426" t="str">
        <f>_xll.BDS("47875PBS Muni","MUNI_PURPOSE_SCHED", "aggregate=y")</f>
        <v>WATER UTILITY IMPS.</v>
      </c>
      <c r="J1426">
        <f>_xll.BDP("47875PBS Muni","CPN")</f>
        <v>5</v>
      </c>
      <c r="K1426" t="str">
        <f>_xll.BDP("47875PBS Muni","MATURITY")</f>
        <v>7/1/2023</v>
      </c>
      <c r="L1426">
        <v>650000</v>
      </c>
      <c r="M1426">
        <f>_xll.BDP("47875PBS Muni","YIELD_ON_ISSUE_DATE")</f>
        <v>1.55</v>
      </c>
      <c r="N1426">
        <f>_xll.BDP("47875PBS Muni","YTW_SPREAD_TO_MATURITY_AT_ISSU")</f>
        <v>6.842438356164382</v>
      </c>
      <c r="O1426" t="str">
        <f>_xll.BDP("47875PBS Muni","BVAL_MID_YTM")</f>
        <v>#N/A Authorization</v>
      </c>
      <c r="P1426" t="str">
        <f>_xll.BDP("47875PBS Muni","MUNI_TAX_PROV")</f>
        <v>FED &amp; ST TAX-EXEMPT</v>
      </c>
      <c r="Q1426" t="str">
        <f>_xll.BDP("47875PBS Muni","MUNI_FED_TAX")</f>
        <v>N</v>
      </c>
      <c r="R1426">
        <f>_xll.BDP("47875PBS Muni","MUNI_MSRB_VOLUME")</f>
        <v>30000</v>
      </c>
      <c r="S1426" t="str">
        <f>_xll.BDP("47875PBS Muni","BB_COMPOSITE")</f>
        <v>AAA</v>
      </c>
      <c r="T1426">
        <f>_xll.BDP("47875PBS Muni","LQA_LIQUIDITY_SCORE")</f>
        <v>95</v>
      </c>
    </row>
    <row r="1427" spans="1:20" x14ac:dyDescent="0.25">
      <c r="A1427" t="str">
        <f>_xll.BDP("47875PBT Muni","ID_CUSIP")</f>
        <v>47875PBT3</v>
      </c>
      <c r="B1427" t="s">
        <v>147</v>
      </c>
      <c r="C1427" t="str">
        <f>_xll.BDP("47875PBT Muni","INSURANCE_STATUS")</f>
        <v>N</v>
      </c>
      <c r="D1427" t="str">
        <f>_xll.BDP("47875PBT Muni","STATE_CODE")</f>
        <v>KS</v>
      </c>
      <c r="E1427" t="str">
        <f>_xll.BDP("47875PBT Muni","COUNTY_LOCATION_ISSUER")</f>
        <v>Johnson, KS</v>
      </c>
      <c r="F1427">
        <f>_xll.BDP("47875PBT Muni","DUR_ADJ_MID")</f>
        <v>1.3683143689200785</v>
      </c>
      <c r="G1427">
        <f>_xll.BDP("47875PBT Muni","SPREAD_AT_ISSUANCE_TO_WORST")</f>
        <v>5.0011452054794514</v>
      </c>
      <c r="H1427" t="str">
        <f>_xll.BDP("47875PBT Muni","ISSUE_DT")</f>
        <v>11/8/2017</v>
      </c>
      <c r="I1427" t="str">
        <f>_xll.BDS("47875PBT Muni","MUNI_PURPOSE_SCHED", "aggregate=y")</f>
        <v>WATER UTILITY IMPS.</v>
      </c>
      <c r="J1427">
        <f>_xll.BDP("47875PBT Muni","CPN")</f>
        <v>5</v>
      </c>
      <c r="K1427" t="str">
        <f>_xll.BDP("47875PBT Muni","MATURITY")</f>
        <v>1/1/2024</v>
      </c>
      <c r="L1427">
        <v>645000</v>
      </c>
      <c r="M1427">
        <f>_xll.BDP("47875PBT Muni","YIELD_ON_ISSUE_DATE")</f>
        <v>1.6</v>
      </c>
      <c r="N1427">
        <f>_xll.BDP("47875PBT Muni","YTW_SPREAD_TO_MATURITY_AT_ISSU")</f>
        <v>5.0011452054794514</v>
      </c>
      <c r="O1427" t="str">
        <f>_xll.BDP("47875PBT Muni","BVAL_MID_YTM")</f>
        <v>#N/A Authorization</v>
      </c>
      <c r="P1427" t="str">
        <f>_xll.BDP("47875PBT Muni","MUNI_TAX_PROV")</f>
        <v>FED &amp; ST TAX-EXEMPT</v>
      </c>
      <c r="Q1427" t="str">
        <f>_xll.BDP("47875PBT Muni","MUNI_FED_TAX")</f>
        <v>N</v>
      </c>
      <c r="R1427">
        <f>_xll.BDP("47875PBT Muni","MUNI_MSRB_VOLUME")</f>
        <v>520000</v>
      </c>
      <c r="S1427" t="str">
        <f>_xll.BDP("47875PBT Muni","BB_COMPOSITE")</f>
        <v>AAA</v>
      </c>
      <c r="T1427">
        <f>_xll.BDP("47875PBT Muni","LQA_LIQUIDITY_SCORE")</f>
        <v>92</v>
      </c>
    </row>
    <row r="1428" spans="1:20" x14ac:dyDescent="0.25">
      <c r="A1428" t="str">
        <f>_xll.BDP("47875PBU Muni","ID_CUSIP")</f>
        <v>47875PBU0</v>
      </c>
      <c r="B1428" t="s">
        <v>147</v>
      </c>
      <c r="C1428" t="str">
        <f>_xll.BDP("47875PBU Muni","INSURANCE_STATUS")</f>
        <v>N</v>
      </c>
      <c r="D1428" t="str">
        <f>_xll.BDP("47875PBU Muni","STATE_CODE")</f>
        <v>KS</v>
      </c>
      <c r="E1428" t="str">
        <f>_xll.BDP("47875PBU Muni","COUNTY_LOCATION_ISSUER")</f>
        <v>Johnson, KS</v>
      </c>
      <c r="F1428">
        <f>_xll.BDP("47875PBU Muni","DUR_ADJ_MID")</f>
        <v>1.8296572623496838</v>
      </c>
      <c r="G1428">
        <f>_xll.BDP("47875PBU Muni","SPREAD_AT_ISSUANCE_TO_WORST")</f>
        <v>6.1330136986301298</v>
      </c>
      <c r="H1428" t="str">
        <f>_xll.BDP("47875PBU Muni","ISSUE_DT")</f>
        <v>11/8/2017</v>
      </c>
      <c r="I1428" t="str">
        <f>_xll.BDS("47875PBU Muni","MUNI_PURPOSE_SCHED", "aggregate=y")</f>
        <v>WATER UTILITY IMPS.</v>
      </c>
      <c r="J1428">
        <f>_xll.BDP("47875PBU Muni","CPN")</f>
        <v>5</v>
      </c>
      <c r="K1428" t="str">
        <f>_xll.BDP("47875PBU Muni","MATURITY")</f>
        <v>7/1/2024</v>
      </c>
      <c r="L1428">
        <v>675000</v>
      </c>
      <c r="M1428">
        <f>_xll.BDP("47875PBU Muni","YIELD_ON_ISSUE_DATE")</f>
        <v>1.68</v>
      </c>
      <c r="N1428">
        <f>_xll.BDP("47875PBU Muni","YTW_SPREAD_TO_MATURITY_AT_ISSU")</f>
        <v>6.1330136986301298</v>
      </c>
      <c r="O1428" t="str">
        <f>_xll.BDP("47875PBU Muni","BVAL_MID_YTM")</f>
        <v>#N/A Authorization</v>
      </c>
      <c r="P1428" t="str">
        <f>_xll.BDP("47875PBU Muni","MUNI_TAX_PROV")</f>
        <v>FED &amp; ST TAX-EXEMPT</v>
      </c>
      <c r="Q1428" t="str">
        <f>_xll.BDP("47875PBU Muni","MUNI_FED_TAX")</f>
        <v>N</v>
      </c>
      <c r="R1428">
        <f>_xll.BDP("47875PBU Muni","MUNI_MSRB_VOLUME")</f>
        <v>135000</v>
      </c>
      <c r="S1428" t="str">
        <f>_xll.BDP("47875PBU Muni","BB_COMPOSITE")</f>
        <v>AAA</v>
      </c>
      <c r="T1428">
        <f>_xll.BDP("47875PBU Muni","LQA_LIQUIDITY_SCORE")</f>
        <v>87</v>
      </c>
    </row>
    <row r="1429" spans="1:20" x14ac:dyDescent="0.25">
      <c r="A1429" t="str">
        <f>_xll.BDP("47875PBW Muni","ID_CUSIP")</f>
        <v>47875PBW6</v>
      </c>
      <c r="B1429" t="s">
        <v>147</v>
      </c>
      <c r="C1429" t="str">
        <f>_xll.BDP("47875PBW Muni","INSURANCE_STATUS")</f>
        <v>N</v>
      </c>
      <c r="D1429" t="str">
        <f>_xll.BDP("47875PBW Muni","STATE_CODE")</f>
        <v>KS</v>
      </c>
      <c r="E1429" t="str">
        <f>_xll.BDP("47875PBW Muni","COUNTY_LOCATION_ISSUER")</f>
        <v>Johnson, KS</v>
      </c>
      <c r="F1429">
        <f>_xll.BDP("47875PBW Muni","DUR_ADJ_MID")</f>
        <v>2.7225270832716268</v>
      </c>
      <c r="G1429">
        <f>_xll.BDP("47875PBW Muni","SPREAD_AT_ISSUANCE_TO_WORST")</f>
        <v>7.3064931506849451</v>
      </c>
      <c r="H1429" t="str">
        <f>_xll.BDP("47875PBW Muni","ISSUE_DT")</f>
        <v>11/8/2017</v>
      </c>
      <c r="I1429" t="str">
        <f>_xll.BDS("47875PBW Muni","MUNI_PURPOSE_SCHED", "aggregate=y")</f>
        <v>WATER UTILITY IMPS.</v>
      </c>
      <c r="J1429">
        <f>_xll.BDP("47875PBW Muni","CPN")</f>
        <v>5</v>
      </c>
      <c r="K1429" t="str">
        <f>_xll.BDP("47875PBW Muni","MATURITY")</f>
        <v>7/1/2025</v>
      </c>
      <c r="L1429">
        <v>715000</v>
      </c>
      <c r="M1429">
        <f>_xll.BDP("47875PBW Muni","YIELD_ON_ISSUE_DATE")</f>
        <v>1.83</v>
      </c>
      <c r="N1429">
        <f>_xll.BDP("47875PBW Muni","YTW_SPREAD_TO_MATURITY_AT_ISSU")</f>
        <v>7.3064931506849451</v>
      </c>
      <c r="O1429" t="str">
        <f>_xll.BDP("47875PBW Muni","BVAL_MID_YTM")</f>
        <v>#N/A Authorization</v>
      </c>
      <c r="P1429" t="str">
        <f>_xll.BDP("47875PBW Muni","MUNI_TAX_PROV")</f>
        <v>FED &amp; ST TAX-EXEMPT</v>
      </c>
      <c r="Q1429" t="str">
        <f>_xll.BDP("47875PBW Muni","MUNI_FED_TAX")</f>
        <v>N</v>
      </c>
      <c r="R1429" t="str">
        <f>_xll.BDP("47875PBW Muni","MUNI_MSRB_VOLUME")</f>
        <v>#N/A N/A</v>
      </c>
      <c r="S1429" t="str">
        <f>_xll.BDP("47875PBW Muni","BB_COMPOSITE")</f>
        <v>AAA</v>
      </c>
      <c r="T1429">
        <f>_xll.BDP("47875PBW Muni","LQA_LIQUIDITY_SCORE")</f>
        <v>78</v>
      </c>
    </row>
    <row r="1430" spans="1:20" x14ac:dyDescent="0.25">
      <c r="A1430" t="str">
        <f>_xll.BDP("47875PBX Muni","ID_CUSIP")</f>
        <v>47875PBX4</v>
      </c>
      <c r="B1430" t="s">
        <v>147</v>
      </c>
      <c r="C1430" t="str">
        <f>_xll.BDP("47875PBX Muni","INSURANCE_STATUS")</f>
        <v>N</v>
      </c>
      <c r="D1430" t="str">
        <f>_xll.BDP("47875PBX Muni","STATE_CODE")</f>
        <v>KS</v>
      </c>
      <c r="E1430" t="str">
        <f>_xll.BDP("47875PBX Muni","COUNTY_LOCATION_ISSUER")</f>
        <v>Johnson, KS</v>
      </c>
      <c r="F1430">
        <f>_xll.BDP("47875PBX Muni","DUR_ADJ_MID")</f>
        <v>3.1546770688812553</v>
      </c>
      <c r="G1430">
        <f>_xll.BDP("47875PBX Muni","SPREAD_AT_ISSUANCE_TO_WORST")</f>
        <v>7.734301369863017</v>
      </c>
      <c r="H1430" t="str">
        <f>_xll.BDP("47875PBX Muni","ISSUE_DT")</f>
        <v>11/8/2017</v>
      </c>
      <c r="I1430" t="str">
        <f>_xll.BDS("47875PBX Muni","MUNI_PURPOSE_SCHED", "aggregate=y")</f>
        <v>WATER UTILITY IMPS.</v>
      </c>
      <c r="J1430">
        <f>_xll.BDP("47875PBX Muni","CPN")</f>
        <v>5</v>
      </c>
      <c r="K1430" t="str">
        <f>_xll.BDP("47875PBX Muni","MATURITY")</f>
        <v>1/1/2026</v>
      </c>
      <c r="L1430">
        <v>715000</v>
      </c>
      <c r="M1430">
        <f>_xll.BDP("47875PBX Muni","YIELD_ON_ISSUE_DATE")</f>
        <v>1.9000000000000001</v>
      </c>
      <c r="N1430">
        <f>_xll.BDP("47875PBX Muni","YTW_SPREAD_TO_MATURITY_AT_ISSU")</f>
        <v>7.734301369863017</v>
      </c>
      <c r="O1430" t="str">
        <f>_xll.BDP("47875PBX Muni","BVAL_MID_YTM")</f>
        <v>#N/A Authorization</v>
      </c>
      <c r="P1430" t="str">
        <f>_xll.BDP("47875PBX Muni","MUNI_TAX_PROV")</f>
        <v>FED &amp; ST TAX-EXEMPT</v>
      </c>
      <c r="Q1430" t="str">
        <f>_xll.BDP("47875PBX Muni","MUNI_FED_TAX")</f>
        <v>N</v>
      </c>
      <c r="R1430" t="str">
        <f>_xll.BDP("47875PBX Muni","MUNI_MSRB_VOLUME")</f>
        <v>#N/A N/A</v>
      </c>
      <c r="S1430" t="str">
        <f>_xll.BDP("47875PBX Muni","BB_COMPOSITE")</f>
        <v>AAA</v>
      </c>
      <c r="T1430">
        <f>_xll.BDP("47875PBX Muni","LQA_LIQUIDITY_SCORE")</f>
        <v>75</v>
      </c>
    </row>
    <row r="1431" spans="1:20" x14ac:dyDescent="0.25">
      <c r="A1431" t="str">
        <f>_xll.BDP("47875PBY Muni","ID_CUSIP")</f>
        <v>47875PBY2</v>
      </c>
      <c r="B1431" t="s">
        <v>147</v>
      </c>
      <c r="C1431" t="str">
        <f>_xll.BDP("47875PBY Muni","INSURANCE_STATUS")</f>
        <v>N</v>
      </c>
      <c r="D1431" t="str">
        <f>_xll.BDP("47875PBY Muni","STATE_CODE")</f>
        <v>KS</v>
      </c>
      <c r="E1431" t="str">
        <f>_xll.BDP("47875PBY Muni","COUNTY_LOCATION_ISSUER")</f>
        <v>Johnson, KS</v>
      </c>
      <c r="F1431">
        <f>_xll.BDP("47875PBY Muni","DUR_ADJ_MID")</f>
        <v>3.5778045285686049</v>
      </c>
      <c r="G1431">
        <f>_xll.BDP("47875PBY Muni","SPREAD_AT_ISSUANCE_TO_WORST")</f>
        <v>8.6968356164383476</v>
      </c>
      <c r="H1431" t="str">
        <f>_xll.BDP("47875PBY Muni","ISSUE_DT")</f>
        <v>11/8/2017</v>
      </c>
      <c r="I1431" t="str">
        <f>_xll.BDS("47875PBY Muni","MUNI_PURPOSE_SCHED", "aggregate=y")</f>
        <v>WATER UTILITY IMPS.</v>
      </c>
      <c r="J1431">
        <f>_xll.BDP("47875PBY Muni","CPN")</f>
        <v>5</v>
      </c>
      <c r="K1431" t="str">
        <f>_xll.BDP("47875PBY Muni","MATURITY")</f>
        <v>7/1/2026</v>
      </c>
      <c r="L1431">
        <v>750000</v>
      </c>
      <c r="M1431">
        <f>_xll.BDP("47875PBY Muni","YIELD_ON_ISSUE_DATE")</f>
        <v>1.97</v>
      </c>
      <c r="N1431">
        <f>_xll.BDP("47875PBY Muni","YTW_SPREAD_TO_MATURITY_AT_ISSU")</f>
        <v>8.6968356164383476</v>
      </c>
      <c r="O1431" t="str">
        <f>_xll.BDP("47875PBY Muni","BVAL_MID_YTM")</f>
        <v>#N/A Authorization</v>
      </c>
      <c r="P1431" t="str">
        <f>_xll.BDP("47875PBY Muni","MUNI_TAX_PROV")</f>
        <v>FED &amp; ST TAX-EXEMPT</v>
      </c>
      <c r="Q1431" t="str">
        <f>_xll.BDP("47875PBY Muni","MUNI_FED_TAX")</f>
        <v>N</v>
      </c>
      <c r="R1431" t="str">
        <f>_xll.BDP("47875PBY Muni","MUNI_MSRB_VOLUME")</f>
        <v>#N/A N/A</v>
      </c>
      <c r="S1431" t="str">
        <f>_xll.BDP("47875PBY Muni","BB_COMPOSITE")</f>
        <v>AAA</v>
      </c>
      <c r="T1431">
        <f>_xll.BDP("47875PBY Muni","LQA_LIQUIDITY_SCORE")</f>
        <v>71</v>
      </c>
    </row>
    <row r="1432" spans="1:20" x14ac:dyDescent="0.25">
      <c r="A1432" t="str">
        <f>_xll.BDP("47928TAG Muni","ID_CUSIP")</f>
        <v>47928TAG1</v>
      </c>
      <c r="B1432" t="s">
        <v>136</v>
      </c>
      <c r="C1432" t="str">
        <f>_xll.BDP("47928TAG Muni","INSURANCE_STATUS")</f>
        <v>Y</v>
      </c>
      <c r="D1432" t="str">
        <f>_xll.BDP("47928TAG Muni","STATE_CODE")</f>
        <v>SC</v>
      </c>
      <c r="E1432" t="str">
        <f>_xll.BDP("47928TAG Muni","COUNTY_LOCATION_ISSUER")</f>
        <v>#N/A Field Not Applicable</v>
      </c>
      <c r="F1432">
        <f>_xll.BDP("47928TAG Muni","DUR_ADJ_MID")</f>
        <v>0.81677379837836339</v>
      </c>
      <c r="G1432">
        <f>_xll.BDP("47928TAG Muni","SPREAD_AT_ISSUANCE_TO_WORST")</f>
        <v>37.97516169898536</v>
      </c>
      <c r="H1432" t="str">
        <f>_xll.BDP("47928TAG Muni","ISSUE_DT")</f>
        <v>1/19/2017</v>
      </c>
      <c r="I1432" t="str">
        <f>_xll.BDS("47928TAG Muni","MUNI_PURPOSE_SCHED", "aggregate=y")</f>
        <v>REFUNDING BONDS WATER UTILITY IMPS. SEWER IMPS.</v>
      </c>
      <c r="J1432">
        <f>_xll.BDP("47928TAG Muni","CPN")</f>
        <v>3</v>
      </c>
      <c r="K1432" t="str">
        <f>_xll.BDP("47928TAG Muni","MATURITY")</f>
        <v>6/1/2023</v>
      </c>
      <c r="L1432">
        <v>115000</v>
      </c>
      <c r="M1432">
        <f>_xll.BDP("47928TAG Muni","YIELD_ON_ISSUE_DATE")</f>
        <v>2.25</v>
      </c>
      <c r="N1432">
        <f>_xll.BDP("47928TAG Muni","YTW_SPREAD_TO_MATURITY_AT_ISSU")</f>
        <v>37.97516169898536</v>
      </c>
      <c r="O1432" t="str">
        <f>_xll.BDP("47928TAG Muni","BVAL_MID_YTM")</f>
        <v>#N/A Authorization</v>
      </c>
      <c r="P1432" t="str">
        <f>_xll.BDP("47928TAG Muni","MUNI_TAX_PROV")</f>
        <v>FED BQ/ST TAX-EXEMPT</v>
      </c>
      <c r="Q1432" t="str">
        <f>_xll.BDP("47928TAG Muni","MUNI_FED_TAX")</f>
        <v>N</v>
      </c>
      <c r="R1432" t="str">
        <f>_xll.BDP("47928TAG Muni","MUNI_MSRB_VOLUME")</f>
        <v>#N/A N/A</v>
      </c>
      <c r="S1432" t="str">
        <f>_xll.BDP("47928TAG Muni","BB_COMPOSITE")</f>
        <v>#N/A N/A</v>
      </c>
      <c r="T1432">
        <f>_xll.BDP("47928TAG Muni","LQA_LIQUIDITY_SCORE")</f>
        <v>95</v>
      </c>
    </row>
    <row r="1433" spans="1:20" x14ac:dyDescent="0.25">
      <c r="A1433" t="str">
        <f>_xll.BDP("479610DC Muni","ID_CUSIP")</f>
        <v>479610DC8</v>
      </c>
      <c r="B1433" t="s">
        <v>148</v>
      </c>
      <c r="C1433" t="str">
        <f>_xll.BDP("479610DC Muni","INSURANCE_STATUS")</f>
        <v>Y</v>
      </c>
      <c r="D1433" t="str">
        <f>_xll.BDP("479610DC Muni","STATE_CODE")</f>
        <v>OH</v>
      </c>
      <c r="E1433" t="str">
        <f>_xll.BDP("479610DC Muni","COUNTY_LOCATION_ISSUER")</f>
        <v>Licking, OH</v>
      </c>
      <c r="F1433">
        <f>_xll.BDP("479610DC Muni","DUR_ADJ_MID")</f>
        <v>1.3052551574477382</v>
      </c>
      <c r="G1433">
        <f>_xll.BDP("479610DC Muni","SPREAD_AT_ISSUANCE_TO_WORST")</f>
        <v>27.084312328767133</v>
      </c>
      <c r="H1433" t="str">
        <f>_xll.BDP("479610DC Muni","ISSUE_DT")</f>
        <v>11/7/2017</v>
      </c>
      <c r="I1433" t="str">
        <f>_xll.BDS("479610DC Muni","MUNI_PURPOSE_SCHED", "aggregate=y")</f>
        <v>REFUNDING NOTES WATER UTILITY IMPS. SEWER IMPS.</v>
      </c>
      <c r="J1433">
        <f>_xll.BDP("479610DC Muni","CPN")</f>
        <v>2</v>
      </c>
      <c r="K1433" t="str">
        <f>_xll.BDP("479610DC Muni","MATURITY")</f>
        <v>12/1/2023</v>
      </c>
      <c r="L1433">
        <v>135000</v>
      </c>
      <c r="M1433">
        <f>_xll.BDP("479610DC Muni","YIELD_ON_ISSUE_DATE")</f>
        <v>1.76</v>
      </c>
      <c r="N1433">
        <f>_xll.BDP("479610DC Muni","YTW_SPREAD_TO_MATURITY_AT_ISSU")</f>
        <v>27.084312328767133</v>
      </c>
      <c r="O1433" t="str">
        <f>_xll.BDP("479610DC Muni","BVAL_MID_YTM")</f>
        <v>#N/A Authorization</v>
      </c>
      <c r="P1433" t="str">
        <f>_xll.BDP("479610DC Muni","MUNI_TAX_PROV")</f>
        <v>FED BQ/ST TAX-EXEMPT</v>
      </c>
      <c r="Q1433" t="str">
        <f>_xll.BDP("479610DC Muni","MUNI_FED_TAX")</f>
        <v>N</v>
      </c>
      <c r="R1433" t="str">
        <f>_xll.BDP("479610DC Muni","MUNI_MSRB_VOLUME")</f>
        <v>#N/A N/A</v>
      </c>
      <c r="S1433" t="str">
        <f>_xll.BDP("479610DC Muni","BB_COMPOSITE")</f>
        <v>A+</v>
      </c>
      <c r="T1433">
        <f>_xll.BDP("479610DC Muni","LQA_LIQUIDITY_SCORE")</f>
        <v>73</v>
      </c>
    </row>
    <row r="1434" spans="1:20" x14ac:dyDescent="0.25">
      <c r="A1434" t="str">
        <f>_xll.BDP("479610DD Muni","ID_CUSIP")</f>
        <v>479610DD6</v>
      </c>
      <c r="B1434" t="s">
        <v>148</v>
      </c>
      <c r="C1434" t="str">
        <f>_xll.BDP("479610DD Muni","INSURANCE_STATUS")</f>
        <v>Y</v>
      </c>
      <c r="D1434" t="str">
        <f>_xll.BDP("479610DD Muni","STATE_CODE")</f>
        <v>OH</v>
      </c>
      <c r="E1434" t="str">
        <f>_xll.BDP("479610DD Muni","COUNTY_LOCATION_ISSUER")</f>
        <v>Licking, OH</v>
      </c>
      <c r="F1434">
        <f>_xll.BDP("479610DD Muni","DUR_ADJ_MID")</f>
        <v>2.2611344775374791</v>
      </c>
      <c r="G1434">
        <f>_xll.BDP("479610DD Muni","SPREAD_AT_ISSUANCE_TO_WORST")</f>
        <v>33.20438904109588</v>
      </c>
      <c r="H1434" t="str">
        <f>_xll.BDP("479610DD Muni","ISSUE_DT")</f>
        <v>11/7/2017</v>
      </c>
      <c r="I1434" t="str">
        <f>_xll.BDS("479610DD Muni","MUNI_PURPOSE_SCHED", "aggregate=y")</f>
        <v>REFUNDING NOTES WATER UTILITY IMPS. SEWER IMPS.</v>
      </c>
      <c r="J1434">
        <f>_xll.BDP("479610DD Muni","CPN")</f>
        <v>2</v>
      </c>
      <c r="K1434" t="str">
        <f>_xll.BDP("479610DD Muni","MATURITY")</f>
        <v>12/1/2024</v>
      </c>
      <c r="L1434">
        <v>135000</v>
      </c>
      <c r="M1434">
        <f>_xll.BDP("479610DD Muni","YIELD_ON_ISSUE_DATE")</f>
        <v>1.95</v>
      </c>
      <c r="N1434">
        <f>_xll.BDP("479610DD Muni","YTW_SPREAD_TO_MATURITY_AT_ISSU")</f>
        <v>33.20438904109588</v>
      </c>
      <c r="O1434" t="str">
        <f>_xll.BDP("479610DD Muni","BVAL_MID_YTM")</f>
        <v>#N/A Authorization</v>
      </c>
      <c r="P1434" t="str">
        <f>_xll.BDP("479610DD Muni","MUNI_TAX_PROV")</f>
        <v>FED BQ/ST TAX-EXEMPT</v>
      </c>
      <c r="Q1434" t="str">
        <f>_xll.BDP("479610DD Muni","MUNI_FED_TAX")</f>
        <v>N</v>
      </c>
      <c r="R1434" t="str">
        <f>_xll.BDP("479610DD Muni","MUNI_MSRB_VOLUME")</f>
        <v>#N/A N/A</v>
      </c>
      <c r="S1434" t="str">
        <f>_xll.BDP("479610DD Muni","BB_COMPOSITE")</f>
        <v>A+</v>
      </c>
      <c r="T1434">
        <f>_xll.BDP("479610DD Muni","LQA_LIQUIDITY_SCORE")</f>
        <v>61</v>
      </c>
    </row>
    <row r="1435" spans="1:20" x14ac:dyDescent="0.25">
      <c r="A1435" t="str">
        <f>_xll.BDP("4820975C Muni","ID_CUSIP")</f>
        <v>4820975C2</v>
      </c>
      <c r="B1435" t="s">
        <v>420</v>
      </c>
      <c r="C1435" t="str">
        <f>_xll.BDP("4820975C Muni","INSURANCE_STATUS")</f>
        <v>N</v>
      </c>
      <c r="D1435" t="str">
        <f>_xll.BDP("4820975C Muni","STATE_CODE")</f>
        <v>CA</v>
      </c>
      <c r="E1435" t="str">
        <f>_xll.BDP("4820975C Muni","COUNTY_LOCATION_ISSUER")</f>
        <v>Riverside, CA</v>
      </c>
      <c r="F1435">
        <f>_xll.BDP("4820975C Muni","DUR_ADJ_MID")</f>
        <v>8.0449789099768146E-2</v>
      </c>
      <c r="G1435">
        <f>_xll.BDP("4820975C Muni","SPREAD_AT_ISSUANCE_TO_WORST")</f>
        <v>91.216079091325412</v>
      </c>
      <c r="H1435" t="str">
        <f>_xll.BDP("4820975C Muni","ISSUE_DT")</f>
        <v>3/21/2017</v>
      </c>
      <c r="I1435" t="str">
        <f>_xll.BDS("4820975C Muni","MUNI_PURPOSE_SCHED", "aggregate=y")</f>
        <v>WATER UTILITY IMPS. SCHOOL IMPS. PUBLIC IMPS.</v>
      </c>
      <c r="J1435">
        <f>_xll.BDP("4820975C Muni","CPN")</f>
        <v>4</v>
      </c>
      <c r="K1435" t="str">
        <f>_xll.BDP("4820975C Muni","MATURITY")</f>
        <v>9/1/2022</v>
      </c>
      <c r="L1435">
        <v>175000</v>
      </c>
      <c r="M1435">
        <f>_xll.BDP("4820975C Muni","YIELD_ON_ISSUE_DATE")</f>
        <v>2.62</v>
      </c>
      <c r="N1435">
        <f>_xll.BDP("4820975C Muni","YTW_SPREAD_TO_MATURITY_AT_ISSU")</f>
        <v>91.216079091325412</v>
      </c>
      <c r="O1435" t="str">
        <f>_xll.BDP("4820975C Muni","BVAL_MID_YTM")</f>
        <v>#N/A Authorization</v>
      </c>
      <c r="P1435" t="str">
        <f>_xll.BDP("4820975C Muni","MUNI_TAX_PROV")</f>
        <v>FED &amp; ST TAX-EXEMPT</v>
      </c>
      <c r="Q1435" t="str">
        <f>_xll.BDP("4820975C Muni","MUNI_FED_TAX")</f>
        <v>N</v>
      </c>
      <c r="R1435">
        <f>_xll.BDP("4820975C Muni","MUNI_MSRB_VOLUME")</f>
        <v>15000</v>
      </c>
      <c r="S1435" t="str">
        <f>_xll.BDP("4820975C Muni","BB_COMPOSITE")</f>
        <v>#N/A N/A</v>
      </c>
      <c r="T1435">
        <f>_xll.BDP("4820975C Muni","LQA_LIQUIDITY_SCORE")</f>
        <v>97</v>
      </c>
    </row>
    <row r="1436" spans="1:20" x14ac:dyDescent="0.25">
      <c r="A1436" t="str">
        <f>_xll.BDP("4820975D Muni","ID_CUSIP")</f>
        <v>4820975D0</v>
      </c>
      <c r="B1436" t="s">
        <v>420</v>
      </c>
      <c r="C1436" t="str">
        <f>_xll.BDP("4820975D Muni","INSURANCE_STATUS")</f>
        <v>N</v>
      </c>
      <c r="D1436" t="str">
        <f>_xll.BDP("4820975D Muni","STATE_CODE")</f>
        <v>CA</v>
      </c>
      <c r="E1436" t="str">
        <f>_xll.BDP("4820975D Muni","COUNTY_LOCATION_ISSUER")</f>
        <v>Riverside, CA</v>
      </c>
      <c r="F1436">
        <f>_xll.BDP("4820975D Muni","DUR_ADJ_MID")</f>
        <v>1.0401448079889717</v>
      </c>
      <c r="G1436">
        <f>_xll.BDP("4820975D Muni","SPREAD_AT_ISSUANCE_TO_WORST")</f>
        <v>102.5504582160268</v>
      </c>
      <c r="H1436" t="str">
        <f>_xll.BDP("4820975D Muni","ISSUE_DT")</f>
        <v>3/21/2017</v>
      </c>
      <c r="I1436" t="str">
        <f>_xll.BDS("4820975D Muni","MUNI_PURPOSE_SCHED", "aggregate=y")</f>
        <v>WATER UTILITY IMPS. SCHOOL IMPS. PUBLIC IMPS.</v>
      </c>
      <c r="J1436">
        <f>_xll.BDP("4820975D Muni","CPN")</f>
        <v>4</v>
      </c>
      <c r="K1436" t="str">
        <f>_xll.BDP("4820975D Muni","MATURITY")</f>
        <v>9/1/2023</v>
      </c>
      <c r="L1436">
        <v>180000</v>
      </c>
      <c r="M1436">
        <f>_xll.BDP("4820975D Muni","YIELD_ON_ISSUE_DATE")</f>
        <v>2.9000000000000004</v>
      </c>
      <c r="N1436">
        <f>_xll.BDP("4820975D Muni","YTW_SPREAD_TO_MATURITY_AT_ISSU")</f>
        <v>102.5504582160268</v>
      </c>
      <c r="O1436" t="str">
        <f>_xll.BDP("4820975D Muni","BVAL_MID_YTM")</f>
        <v>#N/A Authorization</v>
      </c>
      <c r="P1436" t="str">
        <f>_xll.BDP("4820975D Muni","MUNI_TAX_PROV")</f>
        <v>FED &amp; ST TAX-EXEMPT</v>
      </c>
      <c r="Q1436" t="str">
        <f>_xll.BDP("4820975D Muni","MUNI_FED_TAX")</f>
        <v>N</v>
      </c>
      <c r="R1436" t="str">
        <f>_xll.BDP("4820975D Muni","MUNI_MSRB_VOLUME")</f>
        <v>#N/A N/A</v>
      </c>
      <c r="S1436" t="str">
        <f>_xll.BDP("4820975D Muni","BB_COMPOSITE")</f>
        <v>#N/A N/A</v>
      </c>
      <c r="T1436">
        <f>_xll.BDP("4820975D Muni","LQA_LIQUIDITY_SCORE")</f>
        <v>87</v>
      </c>
    </row>
    <row r="1437" spans="1:20" x14ac:dyDescent="0.25">
      <c r="A1437" t="str">
        <f>_xll.BDP("4820975E Muni","ID_CUSIP")</f>
        <v>4820975E8</v>
      </c>
      <c r="B1437" t="s">
        <v>420</v>
      </c>
      <c r="C1437" t="str">
        <f>_xll.BDP("4820975E Muni","INSURANCE_STATUS")</f>
        <v>N</v>
      </c>
      <c r="D1437" t="str">
        <f>_xll.BDP("4820975E Muni","STATE_CODE")</f>
        <v>CA</v>
      </c>
      <c r="E1437" t="str">
        <f>_xll.BDP("4820975E Muni","COUNTY_LOCATION_ISSUER")</f>
        <v>Riverside, CA</v>
      </c>
      <c r="F1437">
        <f>_xll.BDP("4820975E Muni","DUR_ADJ_MID")</f>
        <v>1.9622450849171305</v>
      </c>
      <c r="G1437">
        <f>_xll.BDP("4820975E Muni","SPREAD_AT_ISSUANCE_TO_WORST")</f>
        <v>116.20621437610063</v>
      </c>
      <c r="H1437" t="str">
        <f>_xll.BDP("4820975E Muni","ISSUE_DT")</f>
        <v>3/21/2017</v>
      </c>
      <c r="I1437" t="str">
        <f>_xll.BDS("4820975E Muni","MUNI_PURPOSE_SCHED", "aggregate=y")</f>
        <v>WATER UTILITY IMPS. SCHOOL IMPS. PUBLIC IMPS.</v>
      </c>
      <c r="J1437">
        <f>_xll.BDP("4820975E Muni","CPN")</f>
        <v>4</v>
      </c>
      <c r="K1437" t="str">
        <f>_xll.BDP("4820975E Muni","MATURITY")</f>
        <v>9/1/2024</v>
      </c>
      <c r="L1437">
        <v>190000</v>
      </c>
      <c r="M1437">
        <f>_xll.BDP("4820975E Muni","YIELD_ON_ISSUE_DATE")</f>
        <v>3.2</v>
      </c>
      <c r="N1437">
        <f>_xll.BDP("4820975E Muni","YTW_SPREAD_TO_MATURITY_AT_ISSU")</f>
        <v>116.20621437610063</v>
      </c>
      <c r="O1437" t="str">
        <f>_xll.BDP("4820975E Muni","BVAL_MID_YTM")</f>
        <v>#N/A Authorization</v>
      </c>
      <c r="P1437" t="str">
        <f>_xll.BDP("4820975E Muni","MUNI_TAX_PROV")</f>
        <v>FED &amp; ST TAX-EXEMPT</v>
      </c>
      <c r="Q1437" t="str">
        <f>_xll.BDP("4820975E Muni","MUNI_FED_TAX")</f>
        <v>N</v>
      </c>
      <c r="R1437" t="str">
        <f>_xll.BDP("4820975E Muni","MUNI_MSRB_VOLUME")</f>
        <v>#N/A N/A</v>
      </c>
      <c r="S1437" t="str">
        <f>_xll.BDP("4820975E Muni","BB_COMPOSITE")</f>
        <v>#N/A N/A</v>
      </c>
      <c r="T1437">
        <f>_xll.BDP("4820975E Muni","LQA_LIQUIDITY_SCORE")</f>
        <v>74</v>
      </c>
    </row>
    <row r="1438" spans="1:20" x14ac:dyDescent="0.25">
      <c r="A1438" t="str">
        <f>_xll.BDP("4820976A Muni","ID_CUSIP")</f>
        <v>4820976A5</v>
      </c>
      <c r="B1438" t="s">
        <v>420</v>
      </c>
      <c r="C1438" t="str">
        <f>_xll.BDP("4820976A Muni","INSURANCE_STATUS")</f>
        <v>N</v>
      </c>
      <c r="D1438" t="str">
        <f>_xll.BDP("4820976A Muni","STATE_CODE")</f>
        <v>CA</v>
      </c>
      <c r="E1438" t="str">
        <f>_xll.BDP("4820976A Muni","COUNTY_LOCATION_ISSUER")</f>
        <v>Riverside, CA</v>
      </c>
      <c r="F1438">
        <f>_xll.BDP("4820976A Muni","DUR_ADJ_MID")</f>
        <v>8.0449788363814917E-2</v>
      </c>
      <c r="G1438">
        <f>_xll.BDP("4820976A Muni","SPREAD_AT_ISSUANCE_TO_WORST")</f>
        <v>82.409554048896609</v>
      </c>
      <c r="H1438" t="str">
        <f>_xll.BDP("4820976A Muni","ISSUE_DT")</f>
        <v>5/24/2017</v>
      </c>
      <c r="I1438" t="str">
        <f>_xll.BDS("4820976A Muni","MUNI_PURPOSE_SCHED", "aggregate=y")</f>
        <v>RECREATIONAL FAC. IMPS. WATER UTILITY IMPS. SCHOOL IMPS.</v>
      </c>
      <c r="J1438">
        <f>_xll.BDP("4820976A Muni","CPN")</f>
        <v>3</v>
      </c>
      <c r="K1438" t="str">
        <f>_xll.BDP("4820976A Muni","MATURITY")</f>
        <v>9/1/2022</v>
      </c>
      <c r="L1438">
        <v>110000</v>
      </c>
      <c r="M1438">
        <f>_xll.BDP("4820976A Muni","YIELD_ON_ISSUE_DATE")</f>
        <v>2.2600000000000002</v>
      </c>
      <c r="N1438">
        <f>_xll.BDP("4820976A Muni","YTW_SPREAD_TO_MATURITY_AT_ISSU")</f>
        <v>82.409554048896609</v>
      </c>
      <c r="O1438" t="str">
        <f>_xll.BDP("4820976A Muni","BVAL_MID_YTM")</f>
        <v>#N/A Authorization</v>
      </c>
      <c r="P1438" t="str">
        <f>_xll.BDP("4820976A Muni","MUNI_TAX_PROV")</f>
        <v>FED &amp; ST TAX-EXEMPT</v>
      </c>
      <c r="Q1438" t="str">
        <f>_xll.BDP("4820976A Muni","MUNI_FED_TAX")</f>
        <v>N</v>
      </c>
      <c r="R1438">
        <f>_xll.BDP("4820976A Muni","MUNI_MSRB_VOLUME")</f>
        <v>30000</v>
      </c>
      <c r="S1438" t="str">
        <f>_xll.BDP("4820976A Muni","BB_COMPOSITE")</f>
        <v>#N/A N/A</v>
      </c>
      <c r="T1438">
        <f>_xll.BDP("4820976A Muni","LQA_LIQUIDITY_SCORE")</f>
        <v>99</v>
      </c>
    </row>
    <row r="1439" spans="1:20" x14ac:dyDescent="0.25">
      <c r="A1439" t="str">
        <f>_xll.BDP("4820976B Muni","ID_CUSIP")</f>
        <v>4820976B3</v>
      </c>
      <c r="B1439" t="s">
        <v>420</v>
      </c>
      <c r="C1439" t="str">
        <f>_xll.BDP("4820976B Muni","INSURANCE_STATUS")</f>
        <v>N</v>
      </c>
      <c r="D1439" t="str">
        <f>_xll.BDP("4820976B Muni","STATE_CODE")</f>
        <v>CA</v>
      </c>
      <c r="E1439" t="str">
        <f>_xll.BDP("4820976B Muni","COUNTY_LOCATION_ISSUER")</f>
        <v>Riverside, CA</v>
      </c>
      <c r="F1439">
        <f>_xll.BDP("4820976B Muni","DUR_ADJ_MID")</f>
        <v>1.0401448079889717</v>
      </c>
      <c r="G1439">
        <f>_xll.BDP("4820976B Muni","SPREAD_AT_ISSUANCE_TO_WORST")</f>
        <v>93.181794264526758</v>
      </c>
      <c r="H1439" t="str">
        <f>_xll.BDP("4820976B Muni","ISSUE_DT")</f>
        <v>5/24/2017</v>
      </c>
      <c r="I1439" t="str">
        <f>_xll.BDS("4820976B Muni","MUNI_PURPOSE_SCHED", "aggregate=y")</f>
        <v>RECREATIONAL FAC. IMPS. WATER UTILITY IMPS. SCHOOL IMPS.</v>
      </c>
      <c r="J1439">
        <f>_xll.BDP("4820976B Muni","CPN")</f>
        <v>4</v>
      </c>
      <c r="K1439" t="str">
        <f>_xll.BDP("4820976B Muni","MATURITY")</f>
        <v>9/1/2023</v>
      </c>
      <c r="L1439">
        <v>115000</v>
      </c>
      <c r="M1439">
        <f>_xll.BDP("4820976B Muni","YIELD_ON_ISSUE_DATE")</f>
        <v>2.5300000000000002</v>
      </c>
      <c r="N1439">
        <f>_xll.BDP("4820976B Muni","YTW_SPREAD_TO_MATURITY_AT_ISSU")</f>
        <v>93.181794264526758</v>
      </c>
      <c r="O1439" t="str">
        <f>_xll.BDP("4820976B Muni","BVAL_MID_YTM")</f>
        <v>#N/A Authorization</v>
      </c>
      <c r="P1439" t="str">
        <f>_xll.BDP("4820976B Muni","MUNI_TAX_PROV")</f>
        <v>FED &amp; ST TAX-EXEMPT</v>
      </c>
      <c r="Q1439" t="str">
        <f>_xll.BDP("4820976B Muni","MUNI_FED_TAX")</f>
        <v>N</v>
      </c>
      <c r="R1439" t="str">
        <f>_xll.BDP("4820976B Muni","MUNI_MSRB_VOLUME")</f>
        <v>#N/A N/A</v>
      </c>
      <c r="S1439" t="str">
        <f>_xll.BDP("4820976B Muni","BB_COMPOSITE")</f>
        <v>#N/A N/A</v>
      </c>
      <c r="T1439">
        <f>_xll.BDP("4820976B Muni","LQA_LIQUIDITY_SCORE")</f>
        <v>87</v>
      </c>
    </row>
    <row r="1440" spans="1:20" x14ac:dyDescent="0.25">
      <c r="A1440" t="str">
        <f>_xll.BDP("4820976C Muni","ID_CUSIP")</f>
        <v>4820976C1</v>
      </c>
      <c r="B1440" t="s">
        <v>420</v>
      </c>
      <c r="C1440" t="str">
        <f>_xll.BDP("4820976C Muni","INSURANCE_STATUS")</f>
        <v>N</v>
      </c>
      <c r="D1440" t="str">
        <f>_xll.BDP("4820976C Muni","STATE_CODE")</f>
        <v>CA</v>
      </c>
      <c r="E1440" t="str">
        <f>_xll.BDP("4820976C Muni","COUNTY_LOCATION_ISSUER")</f>
        <v>Riverside, CA</v>
      </c>
      <c r="F1440">
        <f>_xll.BDP("4820976C Muni","DUR_ADJ_MID")</f>
        <v>1.9622450849171305</v>
      </c>
      <c r="G1440">
        <f>_xll.BDP("4820976C Muni","SPREAD_AT_ISSUANCE_TO_WORST")</f>
        <v>102.82052673712283</v>
      </c>
      <c r="H1440" t="str">
        <f>_xll.BDP("4820976C Muni","ISSUE_DT")</f>
        <v>5/24/2017</v>
      </c>
      <c r="I1440" t="str">
        <f>_xll.BDS("4820976C Muni","MUNI_PURPOSE_SCHED", "aggregate=y")</f>
        <v>RECREATIONAL FAC. IMPS. WATER UTILITY IMPS. SCHOOL IMPS.</v>
      </c>
      <c r="J1440">
        <f>_xll.BDP("4820976C Muni","CPN")</f>
        <v>4</v>
      </c>
      <c r="K1440" t="str">
        <f>_xll.BDP("4820976C Muni","MATURITY")</f>
        <v>9/1/2024</v>
      </c>
      <c r="L1440">
        <v>115000</v>
      </c>
      <c r="M1440">
        <f>_xll.BDP("4820976C Muni","YIELD_ON_ISSUE_DATE")</f>
        <v>2.79</v>
      </c>
      <c r="N1440">
        <f>_xll.BDP("4820976C Muni","YTW_SPREAD_TO_MATURITY_AT_ISSU")</f>
        <v>102.82052673712283</v>
      </c>
      <c r="O1440" t="str">
        <f>_xll.BDP("4820976C Muni","BVAL_MID_YTM")</f>
        <v>#N/A Authorization</v>
      </c>
      <c r="P1440" t="str">
        <f>_xll.BDP("4820976C Muni","MUNI_TAX_PROV")</f>
        <v>FED &amp; ST TAX-EXEMPT</v>
      </c>
      <c r="Q1440" t="str">
        <f>_xll.BDP("4820976C Muni","MUNI_FED_TAX")</f>
        <v>N</v>
      </c>
      <c r="R1440" t="str">
        <f>_xll.BDP("4820976C Muni","MUNI_MSRB_VOLUME")</f>
        <v>#N/A N/A</v>
      </c>
      <c r="S1440" t="str">
        <f>_xll.BDP("4820976C Muni","BB_COMPOSITE")</f>
        <v>#N/A N/A</v>
      </c>
      <c r="T1440">
        <f>_xll.BDP("4820976C Muni","LQA_LIQUIDITY_SCORE")</f>
        <v>74</v>
      </c>
    </row>
    <row r="1441" spans="1:20" x14ac:dyDescent="0.25">
      <c r="A1441" t="str">
        <f>_xll.BDP("44780NAF Muni","ID_CUSIP")</f>
        <v>44780NAF0</v>
      </c>
      <c r="B1441" t="s">
        <v>419</v>
      </c>
      <c r="C1441" t="str">
        <f>_xll.BDP("44780NAF Muni","INSURANCE_STATUS")</f>
        <v>Y</v>
      </c>
      <c r="D1441" t="str">
        <f>_xll.BDP("44780NAF Muni","STATE_CODE")</f>
        <v>UT</v>
      </c>
      <c r="E1441" t="str">
        <f>_xll.BDP("44780NAF Muni","COUNTY_LOCATION_ISSUER")</f>
        <v>#N/A Field Not Applicable</v>
      </c>
      <c r="F1441">
        <f>_xll.BDP("44780NAF Muni","DUR_ADJ_MID")</f>
        <v>0.49443031318738939</v>
      </c>
      <c r="G1441">
        <f>_xll.BDP("44780NAF Muni","SPREAD_AT_ISSUANCE_TO_WORST")</f>
        <v>41.844121813109744</v>
      </c>
      <c r="H1441" t="str">
        <f>_xll.BDP("44780NAF Muni","ISSUE_DT")</f>
        <v>4/4/2017</v>
      </c>
      <c r="I1441" t="str">
        <f>_xll.BDS("44780NAF Muni","MUNI_PURPOSE_SCHED", "aggregate=y")</f>
        <v>WATER UTILITY IMPS.</v>
      </c>
      <c r="J1441">
        <f>_xll.BDP("44780NAF Muni","CPN")</f>
        <v>3.5</v>
      </c>
      <c r="K1441" t="str">
        <f>_xll.BDP("44780NAF Muni","MATURITY")</f>
        <v>2/1/2023</v>
      </c>
      <c r="L1441">
        <v>125000</v>
      </c>
      <c r="M1441">
        <f>_xll.BDP("44780NAF Muni","YIELD_ON_ISSUE_DATE")</f>
        <v>2.2000000000000002</v>
      </c>
      <c r="N1441">
        <f>_xll.BDP("44780NAF Muni","YTW_SPREAD_TO_MATURITY_AT_ISSU")</f>
        <v>41.844121813109744</v>
      </c>
      <c r="O1441" t="str">
        <f>_xll.BDP("44780NAF Muni","BVAL_MID_YTM")</f>
        <v>#N/A Authorization</v>
      </c>
      <c r="P1441" t="str">
        <f>_xll.BDP("44780NAF Muni","MUNI_TAX_PROV")</f>
        <v>FED BQ/ST TAX-EXEMPT</v>
      </c>
      <c r="Q1441" t="str">
        <f>_xll.BDP("44780NAF Muni","MUNI_FED_TAX")</f>
        <v>N</v>
      </c>
      <c r="R1441" t="str">
        <f>_xll.BDP("44780NAF Muni","MUNI_MSRB_VOLUME")</f>
        <v>#N/A N/A</v>
      </c>
      <c r="S1441" t="str">
        <f>_xll.BDP("44780NAF Muni","BB_COMPOSITE")</f>
        <v>AA-</v>
      </c>
      <c r="T1441">
        <f>_xll.BDP("44780NAF Muni","LQA_LIQUIDITY_SCORE")</f>
        <v>92</v>
      </c>
    </row>
    <row r="1442" spans="1:20" x14ac:dyDescent="0.25">
      <c r="A1442" t="str">
        <f>_xll.BDP("44780NAG Muni","ID_CUSIP")</f>
        <v>44780NAG8</v>
      </c>
      <c r="B1442" t="s">
        <v>419</v>
      </c>
      <c r="C1442" t="str">
        <f>_xll.BDP("44780NAG Muni","INSURANCE_STATUS")</f>
        <v>Y</v>
      </c>
      <c r="D1442" t="str">
        <f>_xll.BDP("44780NAG Muni","STATE_CODE")</f>
        <v>UT</v>
      </c>
      <c r="E1442" t="str">
        <f>_xll.BDP("44780NAG Muni","COUNTY_LOCATION_ISSUER")</f>
        <v>#N/A Field Not Applicable</v>
      </c>
      <c r="F1442">
        <f>_xll.BDP("44780NAG Muni","DUR_ADJ_MID")</f>
        <v>1.4560894236235227</v>
      </c>
      <c r="G1442">
        <f>_xll.BDP("44780NAG Muni","SPREAD_AT_ISSUANCE_TO_WORST")</f>
        <v>40.325723702234193</v>
      </c>
      <c r="H1442" t="str">
        <f>_xll.BDP("44780NAG Muni","ISSUE_DT")</f>
        <v>4/4/2017</v>
      </c>
      <c r="I1442" t="str">
        <f>_xll.BDS("44780NAG Muni","MUNI_PURPOSE_SCHED", "aggregate=y")</f>
        <v>WATER UTILITY IMPS.</v>
      </c>
      <c r="J1442">
        <f>_xll.BDP("44780NAG Muni","CPN")</f>
        <v>4</v>
      </c>
      <c r="K1442" t="str">
        <f>_xll.BDP("44780NAG Muni","MATURITY")</f>
        <v>2/1/2024</v>
      </c>
      <c r="L1442">
        <v>125000</v>
      </c>
      <c r="M1442">
        <f>_xll.BDP("44780NAG Muni","YIELD_ON_ISSUE_DATE")</f>
        <v>2.35</v>
      </c>
      <c r="N1442">
        <f>_xll.BDP("44780NAG Muni","YTW_SPREAD_TO_MATURITY_AT_ISSU")</f>
        <v>40.325723702234193</v>
      </c>
      <c r="O1442" t="str">
        <f>_xll.BDP("44780NAG Muni","BVAL_MID_YTM")</f>
        <v>#N/A Authorization</v>
      </c>
      <c r="P1442" t="str">
        <f>_xll.BDP("44780NAG Muni","MUNI_TAX_PROV")</f>
        <v>FED BQ/ST TAX-EXEMPT</v>
      </c>
      <c r="Q1442" t="str">
        <f>_xll.BDP("44780NAG Muni","MUNI_FED_TAX")</f>
        <v>N</v>
      </c>
      <c r="R1442" t="str">
        <f>_xll.BDP("44780NAG Muni","MUNI_MSRB_VOLUME")</f>
        <v>#N/A N/A</v>
      </c>
      <c r="S1442" t="str">
        <f>_xll.BDP("44780NAG Muni","BB_COMPOSITE")</f>
        <v>AA-</v>
      </c>
      <c r="T1442">
        <f>_xll.BDP("44780NAG Muni","LQA_LIQUIDITY_SCORE")</f>
        <v>81</v>
      </c>
    </row>
    <row r="1443" spans="1:20" x14ac:dyDescent="0.25">
      <c r="A1443" t="str">
        <f>_xll.BDP("44780NAH Muni","ID_CUSIP")</f>
        <v>44780NAH6</v>
      </c>
      <c r="B1443" t="s">
        <v>419</v>
      </c>
      <c r="C1443" t="str">
        <f>_xll.BDP("44780NAH Muni","INSURANCE_STATUS")</f>
        <v>Y</v>
      </c>
      <c r="D1443" t="str">
        <f>_xll.BDP("44780NAH Muni","STATE_CODE")</f>
        <v>UT</v>
      </c>
      <c r="E1443" t="str">
        <f>_xll.BDP("44780NAH Muni","COUNTY_LOCATION_ISSUER")</f>
        <v>#N/A Field Not Applicable</v>
      </c>
      <c r="F1443">
        <f>_xll.BDP("44780NAH Muni","DUR_ADJ_MID")</f>
        <v>2.3814723993296081</v>
      </c>
      <c r="G1443">
        <f>_xll.BDP("44780NAH Muni","SPREAD_AT_ISSUANCE_TO_WORST")</f>
        <v>39.190356113107683</v>
      </c>
      <c r="H1443" t="str">
        <f>_xll.BDP("44780NAH Muni","ISSUE_DT")</f>
        <v>4/4/2017</v>
      </c>
      <c r="I1443" t="str">
        <f>_xll.BDS("44780NAH Muni","MUNI_PURPOSE_SCHED", "aggregate=y")</f>
        <v>WATER UTILITY IMPS.</v>
      </c>
      <c r="J1443">
        <f>_xll.BDP("44780NAH Muni","CPN")</f>
        <v>4</v>
      </c>
      <c r="K1443" t="str">
        <f>_xll.BDP("44780NAH Muni","MATURITY")</f>
        <v>2/1/2025</v>
      </c>
      <c r="L1443">
        <v>130000</v>
      </c>
      <c r="M1443">
        <f>_xll.BDP("44780NAH Muni","YIELD_ON_ISSUE_DATE")</f>
        <v>2.5</v>
      </c>
      <c r="N1443">
        <f>_xll.BDP("44780NAH Muni","YTW_SPREAD_TO_MATURITY_AT_ISSU")</f>
        <v>39.190356113107683</v>
      </c>
      <c r="O1443" t="str">
        <f>_xll.BDP("44780NAH Muni","BVAL_MID_YTM")</f>
        <v>#N/A Authorization</v>
      </c>
      <c r="P1443" t="str">
        <f>_xll.BDP("44780NAH Muni","MUNI_TAX_PROV")</f>
        <v>FED BQ/ST TAX-EXEMPT</v>
      </c>
      <c r="Q1443" t="str">
        <f>_xll.BDP("44780NAH Muni","MUNI_FED_TAX")</f>
        <v>N</v>
      </c>
      <c r="R1443" t="str">
        <f>_xll.BDP("44780NAH Muni","MUNI_MSRB_VOLUME")</f>
        <v>#N/A N/A</v>
      </c>
      <c r="S1443" t="str">
        <f>_xll.BDP("44780NAH Muni","BB_COMPOSITE")</f>
        <v>AA-</v>
      </c>
      <c r="T1443">
        <f>_xll.BDP("44780NAH Muni","LQA_LIQUIDITY_SCORE")</f>
        <v>73</v>
      </c>
    </row>
    <row r="1444" spans="1:20" x14ac:dyDescent="0.25">
      <c r="A1444" t="str">
        <f>_xll.BDP("448474NS Muni","ID_CUSIP")</f>
        <v>448474NS1</v>
      </c>
      <c r="B1444" t="s">
        <v>89</v>
      </c>
      <c r="C1444" t="str">
        <f>_xll.BDP("448474NS Muni","INSURANCE_STATUS")</f>
        <v>N</v>
      </c>
      <c r="D1444" t="str">
        <f>_xll.BDP("448474NS Muni","STATE_CODE")</f>
        <v>TX</v>
      </c>
      <c r="E1444" t="str">
        <f>_xll.BDP("448474NS Muni","COUNTY_LOCATION_ISSUER")</f>
        <v>Williamson, TX</v>
      </c>
      <c r="F1444">
        <f>_xll.BDP("448474NS Muni","DUR_ADJ_MID")</f>
        <v>1.4700605567338045</v>
      </c>
      <c r="G1444">
        <f>_xll.BDP("448474NS Muni","SPREAD_AT_ISSUANCE_TO_WORST")</f>
        <v>22.915782169554831</v>
      </c>
      <c r="H1444" t="str">
        <f>_xll.BDP("448474NS Muni","ISSUE_DT")</f>
        <v>6/29/2017</v>
      </c>
      <c r="I1444" t="str">
        <f>_xll.BDS("448474NS Muni","MUNI_PURPOSE_SCHED", "aggregate=y")</f>
        <v>WATER UTILITY IMPS. SEWER IMPS. PUBLIC IMPS.</v>
      </c>
      <c r="J1444">
        <f>_xll.BDP("448474NS Muni","CPN")</f>
        <v>2</v>
      </c>
      <c r="K1444" t="str">
        <f>_xll.BDP("448474NS Muni","MATURITY")</f>
        <v>2/1/2024</v>
      </c>
      <c r="L1444">
        <v>1100000</v>
      </c>
      <c r="M1444">
        <f>_xll.BDP("448474NS Muni","YIELD_ON_ISSUE_DATE")</f>
        <v>1.67</v>
      </c>
      <c r="N1444">
        <f>_xll.BDP("448474NS Muni","YTW_SPREAD_TO_MATURITY_AT_ISSU")</f>
        <v>22.915782169554831</v>
      </c>
      <c r="O1444" t="str">
        <f>_xll.BDP("448474NS Muni","BVAL_MID_YTM")</f>
        <v>#N/A Authorization</v>
      </c>
      <c r="P1444" t="str">
        <f>_xll.BDP("448474NS Muni","MUNI_TAX_PROV")</f>
        <v>FED TAX-EXEMPT</v>
      </c>
      <c r="Q1444" t="str">
        <f>_xll.BDP("448474NS Muni","MUNI_FED_TAX")</f>
        <v>N</v>
      </c>
      <c r="R1444">
        <f>_xll.BDP("448474NS Muni","MUNI_MSRB_VOLUME")</f>
        <v>50000</v>
      </c>
      <c r="S1444" t="str">
        <f>_xll.BDP("448474NS Muni","BB_COMPOSITE")</f>
        <v>#N/A N/A</v>
      </c>
      <c r="T1444">
        <f>_xll.BDP("448474NS Muni","LQA_LIQUIDITY_SCORE")</f>
        <v>68</v>
      </c>
    </row>
    <row r="1445" spans="1:20" x14ac:dyDescent="0.25">
      <c r="A1445" t="str">
        <f>_xll.BDP("48872TAE Muni","ID_CUSIP")</f>
        <v>48872TAE0</v>
      </c>
      <c r="B1445" t="s">
        <v>421</v>
      </c>
      <c r="C1445" t="str">
        <f>_xll.BDP("48872TAE Muni","INSURANCE_STATUS")</f>
        <v>N</v>
      </c>
      <c r="D1445" t="str">
        <f>_xll.BDP("48872TAE Muni","STATE_CODE")</f>
        <v>TX</v>
      </c>
      <c r="E1445" t="str">
        <f>_xll.BDP("48872TAE Muni","COUNTY_LOCATION_ISSUER")</f>
        <v>Kendall, TX</v>
      </c>
      <c r="F1445">
        <f>_xll.BDP("48872TAE Muni","DUR_ADJ_MID")</f>
        <v>8.0459457916363442E-2</v>
      </c>
      <c r="G1445">
        <f>_xll.BDP("48872TAE Muni","SPREAD_AT_ISSUANCE_TO_WORST")</f>
        <v>96.163056820483519</v>
      </c>
      <c r="H1445" t="str">
        <f>_xll.BDP("48872TAE Muni","ISSUE_DT")</f>
        <v>3/1/2017</v>
      </c>
      <c r="I1445" t="str">
        <f>_xll.BDS("48872TAE Muni","MUNI_PURPOSE_SCHED", "aggregate=y")</f>
        <v>WATER UTILITY IMPS. SEWER IMPS.</v>
      </c>
      <c r="J1445">
        <f>_xll.BDP("48872TAE Muni","CPN")</f>
        <v>2.6</v>
      </c>
      <c r="K1445" t="str">
        <f>_xll.BDP("48872TAE Muni","MATURITY")</f>
        <v>9/1/2022</v>
      </c>
      <c r="L1445">
        <v>110000</v>
      </c>
      <c r="M1445">
        <f>_xll.BDP("48872TAE Muni","YIELD_ON_ISSUE_DATE")</f>
        <v>2.6</v>
      </c>
      <c r="N1445">
        <f>_xll.BDP("48872TAE Muni","YTW_SPREAD_TO_MATURITY_AT_ISSU")</f>
        <v>96.163056820483519</v>
      </c>
      <c r="O1445" t="str">
        <f>_xll.BDP("48872TAE Muni","BVAL_MID_YTM")</f>
        <v>#N/A Authorization</v>
      </c>
      <c r="P1445" t="str">
        <f>_xll.BDP("48872TAE Muni","MUNI_TAX_PROV")</f>
        <v>FED BQ</v>
      </c>
      <c r="Q1445" t="str">
        <f>_xll.BDP("48872TAE Muni","MUNI_FED_TAX")</f>
        <v>N</v>
      </c>
      <c r="R1445" t="str">
        <f>_xll.BDP("48872TAE Muni","MUNI_MSRB_VOLUME")</f>
        <v>#N/A N/A</v>
      </c>
      <c r="S1445" t="str">
        <f>_xll.BDP("48872TAE Muni","BB_COMPOSITE")</f>
        <v>#N/A N/A</v>
      </c>
      <c r="T1445">
        <f>_xll.BDP("48872TAE Muni","LQA_LIQUIDITY_SCORE")</f>
        <v>99</v>
      </c>
    </row>
    <row r="1446" spans="1:20" x14ac:dyDescent="0.25">
      <c r="A1446" t="str">
        <f>_xll.BDP("48872TAF Muni","ID_CUSIP")</f>
        <v>48872TAF7</v>
      </c>
      <c r="B1446" t="s">
        <v>421</v>
      </c>
      <c r="C1446" t="str">
        <f>_xll.BDP("48872TAF Muni","INSURANCE_STATUS")</f>
        <v>N</v>
      </c>
      <c r="D1446" t="str">
        <f>_xll.BDP("48872TAF Muni","STATE_CODE")</f>
        <v>TX</v>
      </c>
      <c r="E1446" t="str">
        <f>_xll.BDP("48872TAF Muni","COUNTY_LOCATION_ISSUER")</f>
        <v>Kendall, TX</v>
      </c>
      <c r="F1446">
        <f>_xll.BDP("48872TAF Muni","DUR_ADJ_MID")</f>
        <v>1.049134616185315</v>
      </c>
      <c r="G1446">
        <f>_xll.BDP("48872TAF Muni","SPREAD_AT_ISSUANCE_TO_WORST")</f>
        <v>100.99659864330495</v>
      </c>
      <c r="H1446" t="str">
        <f>_xll.BDP("48872TAF Muni","ISSUE_DT")</f>
        <v>3/1/2017</v>
      </c>
      <c r="I1446" t="str">
        <f>_xll.BDS("48872TAF Muni","MUNI_PURPOSE_SCHED", "aggregate=y")</f>
        <v>WATER UTILITY IMPS. SEWER IMPS.</v>
      </c>
      <c r="J1446">
        <f>_xll.BDP("48872TAF Muni","CPN")</f>
        <v>2.8</v>
      </c>
      <c r="K1446" t="str">
        <f>_xll.BDP("48872TAF Muni","MATURITY")</f>
        <v>9/1/2023</v>
      </c>
      <c r="L1446">
        <v>110000</v>
      </c>
      <c r="M1446">
        <f>_xll.BDP("48872TAF Muni","YIELD_ON_ISSUE_DATE")</f>
        <v>2.8000000000000003</v>
      </c>
      <c r="N1446">
        <f>_xll.BDP("48872TAF Muni","YTW_SPREAD_TO_MATURITY_AT_ISSU")</f>
        <v>100.99659864330495</v>
      </c>
      <c r="O1446" t="str">
        <f>_xll.BDP("48872TAF Muni","BVAL_MID_YTM")</f>
        <v>#N/A Authorization</v>
      </c>
      <c r="P1446" t="str">
        <f>_xll.BDP("48872TAF Muni","MUNI_TAX_PROV")</f>
        <v>FED BQ</v>
      </c>
      <c r="Q1446" t="str">
        <f>_xll.BDP("48872TAF Muni","MUNI_FED_TAX")</f>
        <v>N</v>
      </c>
      <c r="R1446" t="str">
        <f>_xll.BDP("48872TAF Muni","MUNI_MSRB_VOLUME")</f>
        <v>#N/A N/A</v>
      </c>
      <c r="S1446" t="str">
        <f>_xll.BDP("48872TAF Muni","BB_COMPOSITE")</f>
        <v>#N/A N/A</v>
      </c>
      <c r="T1446">
        <f>_xll.BDP("48872TAF Muni","LQA_LIQUIDITY_SCORE")</f>
        <v>84</v>
      </c>
    </row>
    <row r="1447" spans="1:20" x14ac:dyDescent="0.25">
      <c r="A1447" t="str">
        <f>_xll.BDP("48872TAG Muni","ID_CUSIP")</f>
        <v>48872TAG5</v>
      </c>
      <c r="B1447" t="s">
        <v>421</v>
      </c>
      <c r="C1447" t="str">
        <f>_xll.BDP("48872TAG Muni","INSURANCE_STATUS")</f>
        <v>N</v>
      </c>
      <c r="D1447" t="str">
        <f>_xll.BDP("48872TAG Muni","STATE_CODE")</f>
        <v>TX</v>
      </c>
      <c r="E1447" t="str">
        <f>_xll.BDP("48872TAG Muni","COUNTY_LOCATION_ISSUER")</f>
        <v>Kendall, TX</v>
      </c>
      <c r="F1447">
        <f>_xll.BDP("48872TAG Muni","DUR_ADJ_MID")</f>
        <v>1.985277408980713</v>
      </c>
      <c r="G1447">
        <f>_xll.BDP("48872TAG Muni","SPREAD_AT_ISSUANCE_TO_WORST")</f>
        <v>106.04195261367299</v>
      </c>
      <c r="H1447" t="str">
        <f>_xll.BDP("48872TAG Muni","ISSUE_DT")</f>
        <v>3/1/2017</v>
      </c>
      <c r="I1447" t="str">
        <f>_xll.BDS("48872TAG Muni","MUNI_PURPOSE_SCHED", "aggregate=y")</f>
        <v>WATER UTILITY IMPS. SEWER IMPS.</v>
      </c>
      <c r="J1447">
        <f>_xll.BDP("48872TAG Muni","CPN")</f>
        <v>3</v>
      </c>
      <c r="K1447" t="str">
        <f>_xll.BDP("48872TAG Muni","MATURITY")</f>
        <v>9/1/2024</v>
      </c>
      <c r="L1447">
        <v>115000</v>
      </c>
      <c r="M1447">
        <f>_xll.BDP("48872TAG Muni","YIELD_ON_ISSUE_DATE")</f>
        <v>3</v>
      </c>
      <c r="N1447">
        <f>_xll.BDP("48872TAG Muni","YTW_SPREAD_TO_MATURITY_AT_ISSU")</f>
        <v>106.04195261367299</v>
      </c>
      <c r="O1447" t="str">
        <f>_xll.BDP("48872TAG Muni","BVAL_MID_YTM")</f>
        <v>#N/A Authorization</v>
      </c>
      <c r="P1447" t="str">
        <f>_xll.BDP("48872TAG Muni","MUNI_TAX_PROV")</f>
        <v>FED BQ</v>
      </c>
      <c r="Q1447" t="str">
        <f>_xll.BDP("48872TAG Muni","MUNI_FED_TAX")</f>
        <v>N</v>
      </c>
      <c r="R1447" t="str">
        <f>_xll.BDP("48872TAG Muni","MUNI_MSRB_VOLUME")</f>
        <v>#N/A N/A</v>
      </c>
      <c r="S1447" t="str">
        <f>_xll.BDP("48872TAG Muni","BB_COMPOSITE")</f>
        <v>#N/A N/A</v>
      </c>
      <c r="T1447">
        <f>_xll.BDP("48872TAG Muni","LQA_LIQUIDITY_SCORE")</f>
        <v>73</v>
      </c>
    </row>
    <row r="1448" spans="1:20" x14ac:dyDescent="0.25">
      <c r="A1448" t="str">
        <f>_xll.BDP("590545YB Muni","ID_CUSIP")</f>
        <v>590545YB9</v>
      </c>
      <c r="B1448" t="s">
        <v>47</v>
      </c>
      <c r="C1448" t="str">
        <f>_xll.BDP("590545YB Muni","INSURANCE_STATUS")</f>
        <v>N</v>
      </c>
      <c r="D1448" t="str">
        <f>_xll.BDP("590545YB Muni","STATE_CODE")</f>
        <v>AZ</v>
      </c>
      <c r="E1448" t="str">
        <f>_xll.BDP("590545YB Muni","COUNTY_LOCATION_ISSUER")</f>
        <v>Maricopa, AZ</v>
      </c>
      <c r="F1448">
        <f>_xll.BDP("590545YB Muni","DUR_ADJ_MID")</f>
        <v>2.7176337626527185</v>
      </c>
      <c r="G1448">
        <f>_xll.BDP("590545YB Muni","SPREAD_AT_ISSUANCE_TO_WORST")</f>
        <v>17.445094495644263</v>
      </c>
      <c r="H1448" t="str">
        <f>_xll.BDP("590545YB Muni","ISSUE_DT")</f>
        <v>5/24/2017</v>
      </c>
      <c r="I1448" t="str">
        <f>_xll.BDS("590545YB Muni","MUNI_PURPOSE_SCHED", "aggregate=y")</f>
        <v>WATER UTILITY IMPS. SEWER IMPS. MULT. UTILITY IMPS.</v>
      </c>
      <c r="J1448">
        <f>_xll.BDP("590545YB Muni","CPN")</f>
        <v>5</v>
      </c>
      <c r="K1448" t="str">
        <f>_xll.BDP("590545YB Muni","MATURITY")</f>
        <v>7/1/2025</v>
      </c>
      <c r="L1448">
        <v>2600000</v>
      </c>
      <c r="M1448">
        <f>_xll.BDP("590545YB Muni","YIELD_ON_ISSUE_DATE")</f>
        <v>2.1</v>
      </c>
      <c r="N1448">
        <f>_xll.BDP("590545YB Muni","YTW_SPREAD_TO_MATURITY_AT_ISSU")</f>
        <v>17.445094495644263</v>
      </c>
      <c r="O1448" t="str">
        <f>_xll.BDP("590545YB Muni","BVAL_MID_YTM")</f>
        <v>#N/A Authorization</v>
      </c>
      <c r="P1448" t="str">
        <f>_xll.BDP("590545YB Muni","MUNI_TAX_PROV")</f>
        <v>FED &amp; ST TAX-EXEMPT</v>
      </c>
      <c r="Q1448" t="str">
        <f>_xll.BDP("590545YB Muni","MUNI_FED_TAX")</f>
        <v>N</v>
      </c>
      <c r="R1448">
        <f>_xll.BDP("590545YB Muni","MUNI_MSRB_VOLUME")</f>
        <v>15000</v>
      </c>
      <c r="S1448" t="str">
        <f>_xll.BDP("590545YB Muni","BB_COMPOSITE")</f>
        <v>AA-</v>
      </c>
      <c r="T1448">
        <f>_xll.BDP("590545YB Muni","LQA_LIQUIDITY_SCORE")</f>
        <v>79</v>
      </c>
    </row>
    <row r="1449" spans="1:20" x14ac:dyDescent="0.25">
      <c r="A1449" t="str">
        <f>_xll.BDP("590545YD Muni","ID_CUSIP")</f>
        <v>590545YD5</v>
      </c>
      <c r="B1449" t="s">
        <v>47</v>
      </c>
      <c r="C1449" t="str">
        <f>_xll.BDP("590545YD Muni","INSURANCE_STATUS")</f>
        <v>N</v>
      </c>
      <c r="D1449" t="str">
        <f>_xll.BDP("590545YD Muni","STATE_CODE")</f>
        <v>AZ</v>
      </c>
      <c r="E1449" t="str">
        <f>_xll.BDP("590545YD Muni","COUNTY_LOCATION_ISSUER")</f>
        <v>Maricopa, AZ</v>
      </c>
      <c r="F1449">
        <f>_xll.BDP("590545YD Muni","DUR_ADJ_MID")</f>
        <v>4.5619192131971591</v>
      </c>
      <c r="G1449">
        <f>_xll.BDP("590545YD Muni","SPREAD_AT_ISSUANCE_TO_WORST")</f>
        <v>18.313489886966128</v>
      </c>
      <c r="H1449" t="str">
        <f>_xll.BDP("590545YD Muni","ISSUE_DT")</f>
        <v>5/24/2017</v>
      </c>
      <c r="I1449" t="str">
        <f>_xll.BDS("590545YD Muni","MUNI_PURPOSE_SCHED", "aggregate=y")</f>
        <v>WATER UTILITY IMPS. SEWER IMPS. MULT. UTILITY IMPS.</v>
      </c>
      <c r="J1449">
        <f>_xll.BDP("590545YD Muni","CPN")</f>
        <v>3</v>
      </c>
      <c r="K1449" t="str">
        <f>_xll.BDP("590545YD Muni","MATURITY")</f>
        <v>7/1/2027</v>
      </c>
      <c r="L1449">
        <v>2825000</v>
      </c>
      <c r="M1449">
        <f>_xll.BDP("590545YD Muni","YIELD_ON_ISSUE_DATE")</f>
        <v>2.37</v>
      </c>
      <c r="N1449">
        <f>_xll.BDP("590545YD Muni","YTW_SPREAD_TO_MATURITY_AT_ISSU")</f>
        <v>18.313489886966128</v>
      </c>
      <c r="O1449" t="str">
        <f>_xll.BDP("590545YD Muni","BVAL_MID_YTM")</f>
        <v>#N/A Authorization</v>
      </c>
      <c r="P1449" t="str">
        <f>_xll.BDP("590545YD Muni","MUNI_TAX_PROV")</f>
        <v>FED &amp; ST TAX-EXEMPT</v>
      </c>
      <c r="Q1449" t="str">
        <f>_xll.BDP("590545YD Muni","MUNI_FED_TAX")</f>
        <v>N</v>
      </c>
      <c r="R1449">
        <f>_xll.BDP("590545YD Muni","MUNI_MSRB_VOLUME")</f>
        <v>50000</v>
      </c>
      <c r="S1449" t="str">
        <f>_xll.BDP("590545YD Muni","BB_COMPOSITE")</f>
        <v>AA-</v>
      </c>
      <c r="T1449">
        <f>_xll.BDP("590545YD Muni","LQA_LIQUIDITY_SCORE")</f>
        <v>55</v>
      </c>
    </row>
    <row r="1450" spans="1:20" x14ac:dyDescent="0.25">
      <c r="A1450" t="str">
        <f>_xll.BDP("59059CAH Muni","ID_CUSIP")</f>
        <v>59059CAH2</v>
      </c>
      <c r="B1450" t="s">
        <v>56</v>
      </c>
      <c r="C1450" t="str">
        <f>_xll.BDP("59059CAH Muni","INSURANCE_STATUS")</f>
        <v>N</v>
      </c>
      <c r="D1450" t="str">
        <f>_xll.BDP("59059CAH Muni","STATE_CODE")</f>
        <v>CA</v>
      </c>
      <c r="E1450" t="str">
        <f>_xll.BDP("59059CAH Muni","COUNTY_LOCATION_ISSUER")</f>
        <v>Orange, CA</v>
      </c>
      <c r="F1450">
        <f>_xll.BDP("59059CAH Muni","DUR_ADJ_MID")</f>
        <v>2.4315908121921321</v>
      </c>
      <c r="G1450">
        <f>_xll.BDP("59059CAH Muni","SPREAD_AT_ISSUANCE_TO_WORST")</f>
        <v>-2.2046365595095985</v>
      </c>
      <c r="H1450" t="str">
        <f>_xll.BDP("59059CAH Muni","ISSUE_DT")</f>
        <v>6/21/2017</v>
      </c>
      <c r="I1450" t="str">
        <f>_xll.BDS("59059CAH Muni","MUNI_PURPOSE_SCHED", "aggregate=y")</f>
        <v>ADVANCE REFUNDING WATER UTILITY IMPS.</v>
      </c>
      <c r="J1450">
        <f>_xll.BDP("59059CAH Muni","CPN")</f>
        <v>5</v>
      </c>
      <c r="K1450" t="str">
        <f>_xll.BDP("59059CAH Muni","MATURITY")</f>
        <v>3/15/2025</v>
      </c>
      <c r="L1450">
        <v>3835000</v>
      </c>
      <c r="M1450">
        <f>_xll.BDP("59059CAH Muni","YIELD_ON_ISSUE_DATE")</f>
        <v>1.61</v>
      </c>
      <c r="N1450">
        <f>_xll.BDP("59059CAH Muni","YTW_SPREAD_TO_MATURITY_AT_ISSU")</f>
        <v>-2.2046365595095985</v>
      </c>
      <c r="O1450" t="str">
        <f>_xll.BDP("59059CAH Muni","BVAL_MID_YTM")</f>
        <v>#N/A Authorization</v>
      </c>
      <c r="P1450" t="str">
        <f>_xll.BDP("59059CAH Muni","MUNI_TAX_PROV")</f>
        <v>FED &amp; ST TAX-EXEMPT</v>
      </c>
      <c r="Q1450" t="str">
        <f>_xll.BDP("59059CAH Muni","MUNI_FED_TAX")</f>
        <v>N</v>
      </c>
      <c r="R1450">
        <f>_xll.BDP("59059CAH Muni","MUNI_MSRB_VOLUME")</f>
        <v>45000</v>
      </c>
      <c r="S1450" t="str">
        <f>_xll.BDP("59059CAH Muni","BB_COMPOSITE")</f>
        <v>AAA</v>
      </c>
      <c r="T1450">
        <f>_xll.BDP("59059CAH Muni","LQA_LIQUIDITY_SCORE")</f>
        <v>63</v>
      </c>
    </row>
    <row r="1451" spans="1:20" x14ac:dyDescent="0.25">
      <c r="A1451" t="str">
        <f>_xll.BDP("5907747A Muni","ID_CUSIP")</f>
        <v>5907747A7</v>
      </c>
      <c r="B1451" t="s">
        <v>53</v>
      </c>
      <c r="C1451" t="str">
        <f>_xll.BDP("5907747A Muni","INSURANCE_STATUS")</f>
        <v>N</v>
      </c>
      <c r="D1451" t="str">
        <f>_xll.BDP("5907747A Muni","STATE_CODE")</f>
        <v>TX</v>
      </c>
      <c r="E1451" t="str">
        <f>_xll.BDP("5907747A Muni","COUNTY_LOCATION_ISSUER")</f>
        <v>Dallas, TX</v>
      </c>
      <c r="F1451">
        <f>_xll.BDP("5907747A Muni","DUR_ADJ_MID")</f>
        <v>1.5096260026187438</v>
      </c>
      <c r="G1451">
        <f>_xll.BDP("5907747A Muni","SPREAD_AT_ISSUANCE_TO_WORST")</f>
        <v>29.966720191026152</v>
      </c>
      <c r="H1451" t="str">
        <f>_xll.BDP("5907747A Muni","ISSUE_DT")</f>
        <v>5/1/2017</v>
      </c>
      <c r="I1451" t="str">
        <f>_xll.BDS("5907747A Muni","MUNI_PURPOSE_SCHED", "aggregate=y")</f>
        <v>WATER UTILITY IMPS. SEWER IMPS. ADVANCE REFUNDING</v>
      </c>
      <c r="J1451">
        <f>_xll.BDP("5907747A Muni","CPN")</f>
        <v>4</v>
      </c>
      <c r="K1451" t="str">
        <f>_xll.BDP("5907747A Muni","MATURITY")</f>
        <v>3/1/2024</v>
      </c>
      <c r="L1451">
        <v>760000</v>
      </c>
      <c r="M1451">
        <f>_xll.BDP("5907747A Muni","YIELD_ON_ISSUE_DATE")</f>
        <v>1.98</v>
      </c>
      <c r="N1451">
        <f>_xll.BDP("5907747A Muni","YTW_SPREAD_TO_MATURITY_AT_ISSU")</f>
        <v>29.966720191026152</v>
      </c>
      <c r="O1451" t="str">
        <f>_xll.BDP("5907747A Muni","BVAL_MID_YTM")</f>
        <v>#N/A Authorization</v>
      </c>
      <c r="P1451" t="str">
        <f>_xll.BDP("5907747A Muni","MUNI_TAX_PROV")</f>
        <v>FED TAX-EXEMPT</v>
      </c>
      <c r="Q1451" t="str">
        <f>_xll.BDP("5907747A Muni","MUNI_FED_TAX")</f>
        <v>N</v>
      </c>
      <c r="R1451">
        <f>_xll.BDP("5907747A Muni","MUNI_MSRB_VOLUME")</f>
        <v>40000</v>
      </c>
      <c r="S1451" t="str">
        <f>_xll.BDP("5907747A Muni","BB_COMPOSITE")</f>
        <v>AA</v>
      </c>
      <c r="T1451">
        <f>_xll.BDP("5907747A Muni","LQA_LIQUIDITY_SCORE")</f>
        <v>89</v>
      </c>
    </row>
    <row r="1452" spans="1:20" x14ac:dyDescent="0.25">
      <c r="A1452" t="str">
        <f>_xll.BDP("5907747B Muni","ID_CUSIP")</f>
        <v>5907747B5</v>
      </c>
      <c r="B1452" t="s">
        <v>53</v>
      </c>
      <c r="C1452" t="str">
        <f>_xll.BDP("5907747B Muni","INSURANCE_STATUS")</f>
        <v>N</v>
      </c>
      <c r="D1452" t="str">
        <f>_xll.BDP("5907747B Muni","STATE_CODE")</f>
        <v>TX</v>
      </c>
      <c r="E1452" t="str">
        <f>_xll.BDP("5907747B Muni","COUNTY_LOCATION_ISSUER")</f>
        <v>Dallas, TX</v>
      </c>
      <c r="F1452">
        <f>_xll.BDP("5907747B Muni","DUR_ADJ_MID")</f>
        <v>2.3893025741013636</v>
      </c>
      <c r="G1452">
        <f>_xll.BDP("5907747B Muni","SPREAD_AT_ISSUANCE_TO_WORST")</f>
        <v>36.930262198394679</v>
      </c>
      <c r="H1452" t="str">
        <f>_xll.BDP("5907747B Muni","ISSUE_DT")</f>
        <v>5/1/2017</v>
      </c>
      <c r="I1452" t="str">
        <f>_xll.BDS("5907747B Muni","MUNI_PURPOSE_SCHED", "aggregate=y")</f>
        <v>WATER UTILITY IMPS. SEWER IMPS. ADVANCE REFUNDING</v>
      </c>
      <c r="J1452">
        <f>_xll.BDP("5907747B Muni","CPN")</f>
        <v>5</v>
      </c>
      <c r="K1452" t="str">
        <f>_xll.BDP("5907747B Muni","MATURITY")</f>
        <v>3/1/2025</v>
      </c>
      <c r="L1452">
        <v>800000</v>
      </c>
      <c r="M1452">
        <f>_xll.BDP("5907747B Muni","YIELD_ON_ISSUE_DATE")</f>
        <v>2.21</v>
      </c>
      <c r="N1452">
        <f>_xll.BDP("5907747B Muni","YTW_SPREAD_TO_MATURITY_AT_ISSU")</f>
        <v>36.930262198394679</v>
      </c>
      <c r="O1452" t="str">
        <f>_xll.BDP("5907747B Muni","BVAL_MID_YTM")</f>
        <v>#N/A Authorization</v>
      </c>
      <c r="P1452" t="str">
        <f>_xll.BDP("5907747B Muni","MUNI_TAX_PROV")</f>
        <v>FED TAX-EXEMPT</v>
      </c>
      <c r="Q1452" t="str">
        <f>_xll.BDP("5907747B Muni","MUNI_FED_TAX")</f>
        <v>N</v>
      </c>
      <c r="R1452">
        <f>_xll.BDP("5907747B Muni","MUNI_MSRB_VOLUME")</f>
        <v>200000</v>
      </c>
      <c r="S1452" t="str">
        <f>_xll.BDP("5907747B Muni","BB_COMPOSITE")</f>
        <v>AA</v>
      </c>
      <c r="T1452">
        <f>_xll.BDP("5907747B Muni","LQA_LIQUIDITY_SCORE")</f>
        <v>82</v>
      </c>
    </row>
    <row r="1453" spans="1:20" x14ac:dyDescent="0.25">
      <c r="A1453" t="str">
        <f>_xll.BDP("5907747C Muni","ID_CUSIP")</f>
        <v>5907747C3</v>
      </c>
      <c r="B1453" t="s">
        <v>53</v>
      </c>
      <c r="C1453" t="str">
        <f>_xll.BDP("5907747C Muni","INSURANCE_STATUS")</f>
        <v>N</v>
      </c>
      <c r="D1453" t="str">
        <f>_xll.BDP("5907747C Muni","STATE_CODE")</f>
        <v>TX</v>
      </c>
      <c r="E1453" t="str">
        <f>_xll.BDP("5907747C Muni","COUNTY_LOCATION_ISSUER")</f>
        <v>Dallas, TX</v>
      </c>
      <c r="F1453">
        <f>_xll.BDP("5907747C Muni","DUR_ADJ_MID")</f>
        <v>3.2429869659577624</v>
      </c>
      <c r="G1453">
        <f>_xll.BDP("5907747C Muni","SPREAD_AT_ISSUANCE_TO_WORST")</f>
        <v>38.199551469782044</v>
      </c>
      <c r="H1453" t="str">
        <f>_xll.BDP("5907747C Muni","ISSUE_DT")</f>
        <v>5/1/2017</v>
      </c>
      <c r="I1453" t="str">
        <f>_xll.BDS("5907747C Muni","MUNI_PURPOSE_SCHED", "aggregate=y")</f>
        <v>WATER UTILITY IMPS. SEWER IMPS. ADVANCE REFUNDING</v>
      </c>
      <c r="J1453">
        <f>_xll.BDP("5907747C Muni","CPN")</f>
        <v>5</v>
      </c>
      <c r="K1453" t="str">
        <f>_xll.BDP("5907747C Muni","MATURITY")</f>
        <v>3/1/2026</v>
      </c>
      <c r="L1453">
        <v>840000</v>
      </c>
      <c r="M1453">
        <f>_xll.BDP("5907747C Muni","YIELD_ON_ISSUE_DATE")</f>
        <v>2.37</v>
      </c>
      <c r="N1453">
        <f>_xll.BDP("5907747C Muni","YTW_SPREAD_TO_MATURITY_AT_ISSU")</f>
        <v>38.199551469782044</v>
      </c>
      <c r="O1453" t="str">
        <f>_xll.BDP("5907747C Muni","BVAL_MID_YTM")</f>
        <v>#N/A Authorization</v>
      </c>
      <c r="P1453" t="str">
        <f>_xll.BDP("5907747C Muni","MUNI_TAX_PROV")</f>
        <v>FED TAX-EXEMPT</v>
      </c>
      <c r="Q1453" t="str">
        <f>_xll.BDP("5907747C Muni","MUNI_FED_TAX")</f>
        <v>N</v>
      </c>
      <c r="R1453" t="str">
        <f>_xll.BDP("5907747C Muni","MUNI_MSRB_VOLUME")</f>
        <v>#N/A N/A</v>
      </c>
      <c r="S1453" t="str">
        <f>_xll.BDP("5907747C Muni","BB_COMPOSITE")</f>
        <v>AA</v>
      </c>
      <c r="T1453">
        <f>_xll.BDP("5907747C Muni","LQA_LIQUIDITY_SCORE")</f>
        <v>74</v>
      </c>
    </row>
    <row r="1454" spans="1:20" x14ac:dyDescent="0.25">
      <c r="A1454" t="str">
        <f>_xll.BDP("5907747D Muni","ID_CUSIP")</f>
        <v>5907747D1</v>
      </c>
      <c r="B1454" t="s">
        <v>53</v>
      </c>
      <c r="C1454" t="str">
        <f>_xll.BDP("5907747D Muni","INSURANCE_STATUS")</f>
        <v>N</v>
      </c>
      <c r="D1454" t="str">
        <f>_xll.BDP("5907747D Muni","STATE_CODE")</f>
        <v>TX</v>
      </c>
      <c r="E1454" t="str">
        <f>_xll.BDP("5907747D Muni","COUNTY_LOCATION_ISSUER")</f>
        <v>Dallas, TX</v>
      </c>
      <c r="F1454">
        <f>_xll.BDP("5907747D Muni","DUR_ADJ_MID")</f>
        <v>4.0613312175047147</v>
      </c>
      <c r="G1454">
        <f>_xll.BDP("5907747D Muni","SPREAD_AT_ISSUANCE_TO_WORST")</f>
        <v>39.116815081624303</v>
      </c>
      <c r="H1454" t="str">
        <f>_xll.BDP("5907747D Muni","ISSUE_DT")</f>
        <v>5/1/2017</v>
      </c>
      <c r="I1454" t="str">
        <f>_xll.BDS("5907747D Muni","MUNI_PURPOSE_SCHED", "aggregate=y")</f>
        <v>WATER UTILITY IMPS. SEWER IMPS. ADVANCE REFUNDING</v>
      </c>
      <c r="J1454">
        <f>_xll.BDP("5907747D Muni","CPN")</f>
        <v>5</v>
      </c>
      <c r="K1454" t="str">
        <f>_xll.BDP("5907747D Muni","MATURITY")</f>
        <v>3/1/2027</v>
      </c>
      <c r="L1454">
        <v>885000</v>
      </c>
      <c r="M1454">
        <f>_xll.BDP("5907747D Muni","YIELD_ON_ISSUE_DATE")</f>
        <v>2.5</v>
      </c>
      <c r="N1454">
        <f>_xll.BDP("5907747D Muni","YTW_SPREAD_TO_MATURITY_AT_ISSU")</f>
        <v>39.116815081624303</v>
      </c>
      <c r="O1454" t="str">
        <f>_xll.BDP("5907747D Muni","BVAL_MID_YTM")</f>
        <v>#N/A Authorization</v>
      </c>
      <c r="P1454" t="str">
        <f>_xll.BDP("5907747D Muni","MUNI_TAX_PROV")</f>
        <v>FED TAX-EXEMPT</v>
      </c>
      <c r="Q1454" t="str">
        <f>_xll.BDP("5907747D Muni","MUNI_FED_TAX")</f>
        <v>N</v>
      </c>
      <c r="R1454">
        <f>_xll.BDP("5907747D Muni","MUNI_MSRB_VOLUME")</f>
        <v>360000</v>
      </c>
      <c r="S1454" t="str">
        <f>_xll.BDP("5907747D Muni","BB_COMPOSITE")</f>
        <v>AA</v>
      </c>
      <c r="T1454">
        <f>_xll.BDP("5907747D Muni","LQA_LIQUIDITY_SCORE")</f>
        <v>67</v>
      </c>
    </row>
    <row r="1455" spans="1:20" x14ac:dyDescent="0.25">
      <c r="A1455" t="str">
        <f>_xll.BDP("395468KH Muni","ID_CUSIP")</f>
        <v>395468KH3</v>
      </c>
      <c r="B1455" t="s">
        <v>422</v>
      </c>
      <c r="C1455" t="str">
        <f>_xll.BDP("395468KH Muni","INSURANCE_STATUS")</f>
        <v>N</v>
      </c>
      <c r="D1455" t="str">
        <f>_xll.BDP("395468KH Muni","STATE_CODE")</f>
        <v>NC</v>
      </c>
      <c r="E1455" t="str">
        <f>_xll.BDP("395468KH Muni","COUNTY_LOCATION_ISSUER")</f>
        <v>Guilford, NC</v>
      </c>
      <c r="F1455">
        <f>_xll.BDP("395468KH Muni","DUR_ADJ_MID")</f>
        <v>0.81375937567347001</v>
      </c>
      <c r="G1455">
        <f>_xll.BDP("395468KH Muni","SPREAD_AT_ISSUANCE_TO_WORST")</f>
        <v>2.8119260574315019</v>
      </c>
      <c r="H1455" t="str">
        <f>_xll.BDP("395468KH Muni","ISSUE_DT")</f>
        <v>8/17/2017</v>
      </c>
      <c r="I1455" t="str">
        <f>_xll.BDS("395468KH Muni","MUNI_PURPOSE_SCHED", "aggregate=y")</f>
        <v>REFUNDING NOTES WATER UTILITY IMPS. SEWER IMPS.</v>
      </c>
      <c r="J1455">
        <f>_xll.BDP("395468KH Muni","CPN")</f>
        <v>5</v>
      </c>
      <c r="K1455" t="str">
        <f>_xll.BDP("395468KH Muni","MATURITY")</f>
        <v>6/1/2023</v>
      </c>
      <c r="L1455">
        <v>1390000</v>
      </c>
      <c r="M1455">
        <f>_xll.BDP("395468KH Muni","YIELD_ON_ISSUE_DATE")</f>
        <v>1.36</v>
      </c>
      <c r="N1455">
        <f>_xll.BDP("395468KH Muni","YTW_SPREAD_TO_MATURITY_AT_ISSU")</f>
        <v>2.8119260574315019</v>
      </c>
      <c r="O1455" t="str">
        <f>_xll.BDP("395468KH Muni","BVAL_MID_YTM")</f>
        <v>#N/A Authorization</v>
      </c>
      <c r="P1455" t="str">
        <f>_xll.BDP("395468KH Muni","MUNI_TAX_PROV")</f>
        <v>FED &amp; ST TAX-EXEMPT</v>
      </c>
      <c r="Q1455" t="str">
        <f>_xll.BDP("395468KH Muni","MUNI_FED_TAX")</f>
        <v>N</v>
      </c>
      <c r="R1455" t="str">
        <f>_xll.BDP("395468KH Muni","MUNI_MSRB_VOLUME")</f>
        <v>#N/A N/A</v>
      </c>
      <c r="S1455" t="str">
        <f>_xll.BDP("395468KH Muni","BB_COMPOSITE")</f>
        <v>AA+</v>
      </c>
      <c r="T1455">
        <f>_xll.BDP("395468KH Muni","LQA_LIQUIDITY_SCORE")</f>
        <v>97</v>
      </c>
    </row>
    <row r="1456" spans="1:20" x14ac:dyDescent="0.25">
      <c r="A1456" t="str">
        <f>_xll.BDP("395468KJ Muni","ID_CUSIP")</f>
        <v>395468KJ9</v>
      </c>
      <c r="B1456" t="s">
        <v>422</v>
      </c>
      <c r="C1456" t="str">
        <f>_xll.BDP("395468KJ Muni","INSURANCE_STATUS")</f>
        <v>N</v>
      </c>
      <c r="D1456" t="str">
        <f>_xll.BDP("395468KJ Muni","STATE_CODE")</f>
        <v>NC</v>
      </c>
      <c r="E1456" t="str">
        <f>_xll.BDP("395468KJ Muni","COUNTY_LOCATION_ISSUER")</f>
        <v>Guilford, NC</v>
      </c>
      <c r="F1456">
        <f>_xll.BDP("395468KJ Muni","DUR_ADJ_MID")</f>
        <v>1.7478119458189165</v>
      </c>
      <c r="G1456">
        <f>_xll.BDP("395468KJ Muni","SPREAD_AT_ISSUANCE_TO_WORST")</f>
        <v>3.1658957004840671</v>
      </c>
      <c r="H1456" t="str">
        <f>_xll.BDP("395468KJ Muni","ISSUE_DT")</f>
        <v>8/17/2017</v>
      </c>
      <c r="I1456" t="str">
        <f>_xll.BDS("395468KJ Muni","MUNI_PURPOSE_SCHED", "aggregate=y")</f>
        <v>REFUNDING NOTES WATER UTILITY IMPS. SEWER IMPS.</v>
      </c>
      <c r="J1456">
        <f>_xll.BDP("395468KJ Muni","CPN")</f>
        <v>5</v>
      </c>
      <c r="K1456" t="str">
        <f>_xll.BDP("395468KJ Muni","MATURITY")</f>
        <v>6/1/2024</v>
      </c>
      <c r="L1456">
        <v>1455000</v>
      </c>
      <c r="M1456">
        <f>_xll.BDP("395468KJ Muni","YIELD_ON_ISSUE_DATE")</f>
        <v>1.51</v>
      </c>
      <c r="N1456">
        <f>_xll.BDP("395468KJ Muni","YTW_SPREAD_TO_MATURITY_AT_ISSU")</f>
        <v>3.1658957004840671</v>
      </c>
      <c r="O1456" t="str">
        <f>_xll.BDP("395468KJ Muni","BVAL_MID_YTM")</f>
        <v>#N/A Authorization</v>
      </c>
      <c r="P1456" t="str">
        <f>_xll.BDP("395468KJ Muni","MUNI_TAX_PROV")</f>
        <v>FED &amp; ST TAX-EXEMPT</v>
      </c>
      <c r="Q1456" t="str">
        <f>_xll.BDP("395468KJ Muni","MUNI_FED_TAX")</f>
        <v>N</v>
      </c>
      <c r="R1456">
        <f>_xll.BDP("395468KJ Muni","MUNI_MSRB_VOLUME")</f>
        <v>20000</v>
      </c>
      <c r="S1456" t="str">
        <f>_xll.BDP("395468KJ Muni","BB_COMPOSITE")</f>
        <v>AA+</v>
      </c>
      <c r="T1456">
        <f>_xll.BDP("395468KJ Muni","LQA_LIQUIDITY_SCORE")</f>
        <v>92</v>
      </c>
    </row>
    <row r="1457" spans="1:20" x14ac:dyDescent="0.25">
      <c r="A1457" t="str">
        <f>_xll.BDP("395468KK Muni","ID_CUSIP")</f>
        <v>395468KK6</v>
      </c>
      <c r="B1457" t="s">
        <v>422</v>
      </c>
      <c r="C1457" t="str">
        <f>_xll.BDP("395468KK Muni","INSURANCE_STATUS")</f>
        <v>N</v>
      </c>
      <c r="D1457" t="str">
        <f>_xll.BDP("395468KK Muni","STATE_CODE")</f>
        <v>NC</v>
      </c>
      <c r="E1457" t="str">
        <f>_xll.BDP("395468KK Muni","COUNTY_LOCATION_ISSUER")</f>
        <v>Guilford, NC</v>
      </c>
      <c r="F1457">
        <f>_xll.BDP("395468KK Muni","DUR_ADJ_MID")</f>
        <v>2.6410974395634637</v>
      </c>
      <c r="G1457">
        <f>_xll.BDP("395468KK Muni","SPREAD_AT_ISSUANCE_TO_WORST")</f>
        <v>6.3774730849198935</v>
      </c>
      <c r="H1457" t="str">
        <f>_xll.BDP("395468KK Muni","ISSUE_DT")</f>
        <v>8/17/2017</v>
      </c>
      <c r="I1457" t="str">
        <f>_xll.BDS("395468KK Muni","MUNI_PURPOSE_SCHED", "aggregate=y")</f>
        <v>REFUNDING NOTES WATER UTILITY IMPS. SEWER IMPS.</v>
      </c>
      <c r="J1457">
        <f>_xll.BDP("395468KK Muni","CPN")</f>
        <v>5</v>
      </c>
      <c r="K1457" t="str">
        <f>_xll.BDP("395468KK Muni","MATURITY")</f>
        <v>6/1/2025</v>
      </c>
      <c r="L1457">
        <v>1530000</v>
      </c>
      <c r="M1457">
        <f>_xll.BDP("395468KK Muni","YIELD_ON_ISSUE_DATE")</f>
        <v>1.69</v>
      </c>
      <c r="N1457">
        <f>_xll.BDP("395468KK Muni","YTW_SPREAD_TO_MATURITY_AT_ISSU")</f>
        <v>6.3774730849198935</v>
      </c>
      <c r="O1457" t="str">
        <f>_xll.BDP("395468KK Muni","BVAL_MID_YTM")</f>
        <v>#N/A Authorization</v>
      </c>
      <c r="P1457" t="str">
        <f>_xll.BDP("395468KK Muni","MUNI_TAX_PROV")</f>
        <v>FED &amp; ST TAX-EXEMPT</v>
      </c>
      <c r="Q1457" t="str">
        <f>_xll.BDP("395468KK Muni","MUNI_FED_TAX")</f>
        <v>N</v>
      </c>
      <c r="R1457">
        <f>_xll.BDP("395468KK Muni","MUNI_MSRB_VOLUME")</f>
        <v>270000</v>
      </c>
      <c r="S1457" t="str">
        <f>_xll.BDP("395468KK Muni","BB_COMPOSITE")</f>
        <v>AA+</v>
      </c>
      <c r="T1457">
        <f>_xll.BDP("395468KK Muni","LQA_LIQUIDITY_SCORE")</f>
        <v>84</v>
      </c>
    </row>
    <row r="1458" spans="1:20" x14ac:dyDescent="0.25">
      <c r="A1458" t="str">
        <f>_xll.BDP("395468KL Muni","ID_CUSIP")</f>
        <v>395468KL4</v>
      </c>
      <c r="B1458" t="s">
        <v>422</v>
      </c>
      <c r="C1458" t="str">
        <f>_xll.BDP("395468KL Muni","INSURANCE_STATUS")</f>
        <v>N</v>
      </c>
      <c r="D1458" t="str">
        <f>_xll.BDP("395468KL Muni","STATE_CODE")</f>
        <v>NC</v>
      </c>
      <c r="E1458" t="str">
        <f>_xll.BDP("395468KL Muni","COUNTY_LOCATION_ISSUER")</f>
        <v>Guilford, NC</v>
      </c>
      <c r="F1458">
        <f>_xll.BDP("395468KL Muni","DUR_ADJ_MID")</f>
        <v>3.49700146117307</v>
      </c>
      <c r="G1458">
        <f>_xll.BDP("395468KL Muni","SPREAD_AT_ISSUANCE_TO_WORST")</f>
        <v>8.7387933302282015</v>
      </c>
      <c r="H1458" t="str">
        <f>_xll.BDP("395468KL Muni","ISSUE_DT")</f>
        <v>8/17/2017</v>
      </c>
      <c r="I1458" t="str">
        <f>_xll.BDS("395468KL Muni","MUNI_PURPOSE_SCHED", "aggregate=y")</f>
        <v>REFUNDING NOTES WATER UTILITY IMPS. SEWER IMPS.</v>
      </c>
      <c r="J1458">
        <f>_xll.BDP("395468KL Muni","CPN")</f>
        <v>5</v>
      </c>
      <c r="K1458" t="str">
        <f>_xll.BDP("395468KL Muni","MATURITY")</f>
        <v>6/1/2026</v>
      </c>
      <c r="L1458">
        <v>1605000</v>
      </c>
      <c r="M1458">
        <f>_xll.BDP("395468KL Muni","YIELD_ON_ISSUE_DATE")</f>
        <v>1.85</v>
      </c>
      <c r="N1458">
        <f>_xll.BDP("395468KL Muni","YTW_SPREAD_TO_MATURITY_AT_ISSU")</f>
        <v>8.7387933302282015</v>
      </c>
      <c r="O1458" t="str">
        <f>_xll.BDP("395468KL Muni","BVAL_MID_YTM")</f>
        <v>#N/A Authorization</v>
      </c>
      <c r="P1458" t="str">
        <f>_xll.BDP("395468KL Muni","MUNI_TAX_PROV")</f>
        <v>FED &amp; ST TAX-EXEMPT</v>
      </c>
      <c r="Q1458" t="str">
        <f>_xll.BDP("395468KL Muni","MUNI_FED_TAX")</f>
        <v>N</v>
      </c>
      <c r="R1458">
        <f>_xll.BDP("395468KL Muni","MUNI_MSRB_VOLUME")</f>
        <v>10000</v>
      </c>
      <c r="S1458" t="str">
        <f>_xll.BDP("395468KL Muni","BB_COMPOSITE")</f>
        <v>AA+</v>
      </c>
      <c r="T1458">
        <f>_xll.BDP("395468KL Muni","LQA_LIQUIDITY_SCORE")</f>
        <v>79</v>
      </c>
    </row>
    <row r="1459" spans="1:20" x14ac:dyDescent="0.25">
      <c r="A1459" t="str">
        <f>_xll.BDP("395468KM Muni","ID_CUSIP")</f>
        <v>395468KM2</v>
      </c>
      <c r="B1459" t="s">
        <v>422</v>
      </c>
      <c r="C1459" t="str">
        <f>_xll.BDP("395468KM Muni","INSURANCE_STATUS")</f>
        <v>N</v>
      </c>
      <c r="D1459" t="str">
        <f>_xll.BDP("395468KM Muni","STATE_CODE")</f>
        <v>NC</v>
      </c>
      <c r="E1459" t="str">
        <f>_xll.BDP("395468KM Muni","COUNTY_LOCATION_ISSUER")</f>
        <v>Guilford, NC</v>
      </c>
      <c r="F1459">
        <f>_xll.BDP("395468KM Muni","DUR_ADJ_MID")</f>
        <v>4.3184883018602349</v>
      </c>
      <c r="G1459">
        <f>_xll.BDP("395468KM Muni","SPREAD_AT_ISSUANCE_TO_WORST")</f>
        <v>12.649182874975251</v>
      </c>
      <c r="H1459" t="str">
        <f>_xll.BDP("395468KM Muni","ISSUE_DT")</f>
        <v>8/17/2017</v>
      </c>
      <c r="I1459" t="str">
        <f>_xll.BDS("395468KM Muni","MUNI_PURPOSE_SCHED", "aggregate=y")</f>
        <v>REFUNDING NOTES WATER UTILITY IMPS. SEWER IMPS.</v>
      </c>
      <c r="J1459">
        <f>_xll.BDP("395468KM Muni","CPN")</f>
        <v>5</v>
      </c>
      <c r="K1459" t="str">
        <f>_xll.BDP("395468KM Muni","MATURITY")</f>
        <v>6/1/2027</v>
      </c>
      <c r="L1459">
        <v>1685000</v>
      </c>
      <c r="M1459">
        <f>_xll.BDP("395468KM Muni","YIELD_ON_ISSUE_DATE")</f>
        <v>2</v>
      </c>
      <c r="N1459">
        <f>_xll.BDP("395468KM Muni","YTW_SPREAD_TO_MATURITY_AT_ISSU")</f>
        <v>12.649182874975251</v>
      </c>
      <c r="O1459" t="str">
        <f>_xll.BDP("395468KM Muni","BVAL_MID_YTM")</f>
        <v>#N/A Authorization</v>
      </c>
      <c r="P1459" t="str">
        <f>_xll.BDP("395468KM Muni","MUNI_TAX_PROV")</f>
        <v>FED &amp; ST TAX-EXEMPT</v>
      </c>
      <c r="Q1459" t="str">
        <f>_xll.BDP("395468KM Muni","MUNI_FED_TAX")</f>
        <v>N</v>
      </c>
      <c r="R1459">
        <f>_xll.BDP("395468KM Muni","MUNI_MSRB_VOLUME")</f>
        <v>10000</v>
      </c>
      <c r="S1459" t="str">
        <f>_xll.BDP("395468KM Muni","BB_COMPOSITE")</f>
        <v>AA+</v>
      </c>
      <c r="T1459">
        <f>_xll.BDP("395468KM Muni","LQA_LIQUIDITY_SCORE")</f>
        <v>74</v>
      </c>
    </row>
    <row r="1460" spans="1:20" x14ac:dyDescent="0.25">
      <c r="A1460" t="str">
        <f>_xll.BDP("395874GB Muni","ID_CUSIP")</f>
        <v>395874GB0</v>
      </c>
      <c r="B1460" t="s">
        <v>423</v>
      </c>
      <c r="C1460" t="str">
        <f>_xll.BDP("395874GB Muni","INSURANCE_STATUS")</f>
        <v>Y</v>
      </c>
      <c r="D1460" t="str">
        <f>_xll.BDP("395874GB Muni","STATE_CODE")</f>
        <v>AL</v>
      </c>
      <c r="E1460" t="str">
        <f>_xll.BDP("395874GB Muni","COUNTY_LOCATION_ISSUER")</f>
        <v>Butler, AL</v>
      </c>
      <c r="F1460">
        <f>_xll.BDP("395874GB Muni","DUR_ADJ_MID")</f>
        <v>0.57176850554754333</v>
      </c>
      <c r="G1460">
        <f>_xll.BDP("395874GB Muni","SPREAD_AT_ISSUANCE_TO_WORST")</f>
        <v>42.025694886833385</v>
      </c>
      <c r="H1460" t="str">
        <f>_xll.BDP("395874GB Muni","ISSUE_DT")</f>
        <v>5/1/2017</v>
      </c>
      <c r="I1460" t="str">
        <f>_xll.BDS("395874GB Muni","MUNI_PURPOSE_SCHED", "aggregate=y")</f>
        <v>WATER UTILITY IMPS. SEWER IMPS. CURRENT REFUNDING</v>
      </c>
      <c r="J1460">
        <f>_xll.BDP("395874GB Muni","CPN")</f>
        <v>2</v>
      </c>
      <c r="K1460" t="str">
        <f>_xll.BDP("395874GB Muni","MATURITY")</f>
        <v>3/1/2023</v>
      </c>
      <c r="L1460">
        <v>265000</v>
      </c>
      <c r="M1460">
        <f>_xll.BDP("395874GB Muni","YIELD_ON_ISSUE_DATE")</f>
        <v>1.8800000000000001</v>
      </c>
      <c r="N1460">
        <f>_xll.BDP("395874GB Muni","YTW_SPREAD_TO_MATURITY_AT_ISSU")</f>
        <v>42.025694886833385</v>
      </c>
      <c r="O1460" t="str">
        <f>_xll.BDP("395874GB Muni","BVAL_MID_YTM")</f>
        <v>#N/A Authorization</v>
      </c>
      <c r="P1460" t="str">
        <f>_xll.BDP("395874GB Muni","MUNI_TAX_PROV")</f>
        <v>FED BQ/ST TAX-EXEMPT</v>
      </c>
      <c r="Q1460" t="str">
        <f>_xll.BDP("395874GB Muni","MUNI_FED_TAX")</f>
        <v>N</v>
      </c>
      <c r="R1460" t="str">
        <f>_xll.BDP("395874GB Muni","MUNI_MSRB_VOLUME")</f>
        <v>#N/A N/A</v>
      </c>
      <c r="S1460" t="str">
        <f>_xll.BDP("395874GB Muni","BB_COMPOSITE")</f>
        <v>#N/A N/A</v>
      </c>
      <c r="T1460">
        <f>_xll.BDP("395874GB Muni","LQA_LIQUIDITY_SCORE")</f>
        <v>91</v>
      </c>
    </row>
    <row r="1461" spans="1:20" x14ac:dyDescent="0.25">
      <c r="A1461" t="str">
        <f>_xll.BDP("395874GC Muni","ID_CUSIP")</f>
        <v>395874GC8</v>
      </c>
      <c r="B1461" t="s">
        <v>423</v>
      </c>
      <c r="C1461" t="str">
        <f>_xll.BDP("395874GC Muni","INSURANCE_STATUS")</f>
        <v>Y</v>
      </c>
      <c r="D1461" t="str">
        <f>_xll.BDP("395874GC Muni","STATE_CODE")</f>
        <v>AL</v>
      </c>
      <c r="E1461" t="str">
        <f>_xll.BDP("395874GC Muni","COUNTY_LOCATION_ISSUER")</f>
        <v>Butler, AL</v>
      </c>
      <c r="F1461">
        <f>_xll.BDP("395874GC Muni","DUR_ADJ_MID")</f>
        <v>1.5366961853285666</v>
      </c>
      <c r="G1461">
        <f>_xll.BDP("395874GC Muni","SPREAD_AT_ISSUANCE_TO_WORST")</f>
        <v>39.732612512341568</v>
      </c>
      <c r="H1461" t="str">
        <f>_xll.BDP("395874GC Muni","ISSUE_DT")</f>
        <v>5/1/2017</v>
      </c>
      <c r="I1461" t="str">
        <f>_xll.BDS("395874GC Muni","MUNI_PURPOSE_SCHED", "aggregate=y")</f>
        <v>WATER UTILITY IMPS. SEWER IMPS. CURRENT REFUNDING</v>
      </c>
      <c r="J1461">
        <f>_xll.BDP("395874GC Muni","CPN")</f>
        <v>2</v>
      </c>
      <c r="K1461" t="str">
        <f>_xll.BDP("395874GC Muni","MATURITY")</f>
        <v>3/1/2024</v>
      </c>
      <c r="L1461">
        <v>265000</v>
      </c>
      <c r="M1461">
        <f>_xll.BDP("395874GC Muni","YIELD_ON_ISSUE_DATE")</f>
        <v>2.02</v>
      </c>
      <c r="N1461">
        <f>_xll.BDP("395874GC Muni","YTW_SPREAD_TO_MATURITY_AT_ISSU")</f>
        <v>39.732612512341568</v>
      </c>
      <c r="O1461" t="str">
        <f>_xll.BDP("395874GC Muni","BVAL_MID_YTM")</f>
        <v>#N/A Authorization</v>
      </c>
      <c r="P1461" t="str">
        <f>_xll.BDP("395874GC Muni","MUNI_TAX_PROV")</f>
        <v>FED BQ/ST TAX-EXEMPT</v>
      </c>
      <c r="Q1461" t="str">
        <f>_xll.BDP("395874GC Muni","MUNI_FED_TAX")</f>
        <v>N</v>
      </c>
      <c r="R1461" t="str">
        <f>_xll.BDP("395874GC Muni","MUNI_MSRB_VOLUME")</f>
        <v>#N/A N/A</v>
      </c>
      <c r="S1461" t="str">
        <f>_xll.BDP("395874GC Muni","BB_COMPOSITE")</f>
        <v>#N/A N/A</v>
      </c>
      <c r="T1461">
        <f>_xll.BDP("395874GC Muni","LQA_LIQUIDITY_SCORE")</f>
        <v>80</v>
      </c>
    </row>
    <row r="1462" spans="1:20" x14ac:dyDescent="0.25">
      <c r="A1462" t="str">
        <f>_xll.BDP("395874GD Muni","ID_CUSIP")</f>
        <v>395874GD6</v>
      </c>
      <c r="B1462" t="s">
        <v>423</v>
      </c>
      <c r="C1462" t="str">
        <f>_xll.BDP("395874GD Muni","INSURANCE_STATUS")</f>
        <v>Y</v>
      </c>
      <c r="D1462" t="str">
        <f>_xll.BDP("395874GD Muni","STATE_CODE")</f>
        <v>AL</v>
      </c>
      <c r="E1462" t="str">
        <f>_xll.BDP("395874GD Muni","COUNTY_LOCATION_ISSUER")</f>
        <v>Butler, AL</v>
      </c>
      <c r="F1462">
        <f>_xll.BDP("395874GD Muni","DUR_ADJ_MID")</f>
        <v>2.4819193425903792</v>
      </c>
      <c r="G1462">
        <f>_xll.BDP("395874GD Muni","SPREAD_AT_ISSUANCE_TO_WORST")</f>
        <v>36.652339600808844</v>
      </c>
      <c r="H1462" t="str">
        <f>_xll.BDP("395874GD Muni","ISSUE_DT")</f>
        <v>5/1/2017</v>
      </c>
      <c r="I1462" t="str">
        <f>_xll.BDS("395874GD Muni","MUNI_PURPOSE_SCHED", "aggregate=y")</f>
        <v>WATER UTILITY IMPS. SEWER IMPS. CURRENT REFUNDING</v>
      </c>
      <c r="J1462">
        <f>_xll.BDP("395874GD Muni","CPN")</f>
        <v>2</v>
      </c>
      <c r="K1462" t="str">
        <f>_xll.BDP("395874GD Muni","MATURITY")</f>
        <v>3/1/2025</v>
      </c>
      <c r="L1462">
        <v>275000</v>
      </c>
      <c r="M1462">
        <f>_xll.BDP("395874GD Muni","YIELD_ON_ISSUE_DATE")</f>
        <v>2.15</v>
      </c>
      <c r="N1462">
        <f>_xll.BDP("395874GD Muni","YTW_SPREAD_TO_MATURITY_AT_ISSU")</f>
        <v>36.652339600808844</v>
      </c>
      <c r="O1462" t="str">
        <f>_xll.BDP("395874GD Muni","BVAL_MID_YTM")</f>
        <v>#N/A Authorization</v>
      </c>
      <c r="P1462" t="str">
        <f>_xll.BDP("395874GD Muni","MUNI_TAX_PROV")</f>
        <v>FED BQ/ST TAX-EXEMPT</v>
      </c>
      <c r="Q1462" t="str">
        <f>_xll.BDP("395874GD Muni","MUNI_FED_TAX")</f>
        <v>N</v>
      </c>
      <c r="R1462" t="str">
        <f>_xll.BDP("395874GD Muni","MUNI_MSRB_VOLUME")</f>
        <v>#N/A N/A</v>
      </c>
      <c r="S1462" t="str">
        <f>_xll.BDP("395874GD Muni","BB_COMPOSITE")</f>
        <v>#N/A N/A</v>
      </c>
      <c r="T1462">
        <f>_xll.BDP("395874GD Muni","LQA_LIQUIDITY_SCORE")</f>
        <v>70</v>
      </c>
    </row>
    <row r="1463" spans="1:20" x14ac:dyDescent="0.25">
      <c r="A1463" t="str">
        <f>_xll.BDP("397378FR Muni","ID_CUSIP")</f>
        <v>397378FR6</v>
      </c>
      <c r="B1463" t="s">
        <v>424</v>
      </c>
      <c r="C1463" t="str">
        <f>_xll.BDP("397378FR Muni","INSURANCE_STATUS")</f>
        <v>N</v>
      </c>
      <c r="D1463" t="str">
        <f>_xll.BDP("397378FR Muni","STATE_CODE")</f>
        <v>TX</v>
      </c>
      <c r="E1463" t="str">
        <f>_xll.BDP("397378FR Muni","COUNTY_LOCATION_ISSUER")</f>
        <v>Harris, TX</v>
      </c>
      <c r="F1463">
        <f>_xll.BDP("397378FR Muni","DUR_ADJ_MID")</f>
        <v>5.5545237137084808E-3</v>
      </c>
      <c r="G1463">
        <f>_xll.BDP("397378FR Muni","SPREAD_AT_ISSUANCE_TO_WORST")</f>
        <v>199.03598904109586</v>
      </c>
      <c r="H1463" t="str">
        <f>_xll.BDP("397378FR Muni","ISSUE_DT")</f>
        <v>12/1/2017</v>
      </c>
      <c r="I1463" t="str">
        <f>_xll.BDS("397378FR Muni","MUNI_PURPOSE_SCHED", "aggregate=y")</f>
        <v>WATER UTILITY IMPS. SEWER IMPS.</v>
      </c>
      <c r="J1463">
        <f>_xll.BDP("397378FR Muni","CPN")</f>
        <v>3.4</v>
      </c>
      <c r="K1463" t="str">
        <f>_xll.BDP("397378FR Muni","MATURITY")</f>
        <v>8/1/2022</v>
      </c>
      <c r="L1463">
        <v>120000</v>
      </c>
      <c r="M1463">
        <f>_xll.BDP("397378FR Muni","YIELD_ON_ISSUE_DATE")</f>
        <v>3.4000000000000004</v>
      </c>
      <c r="N1463">
        <f>_xll.BDP("397378FR Muni","YTW_SPREAD_TO_MATURITY_AT_ISSU")</f>
        <v>199.03598904109586</v>
      </c>
      <c r="O1463" t="str">
        <f>_xll.BDP("397378FR Muni","BVAL_MID_YTM")</f>
        <v>#N/A Authorization</v>
      </c>
      <c r="P1463" t="str">
        <f>_xll.BDP("397378FR Muni","MUNI_TAX_PROV")</f>
        <v>FED BQ</v>
      </c>
      <c r="Q1463" t="str">
        <f>_xll.BDP("397378FR Muni","MUNI_FED_TAX")</f>
        <v>N</v>
      </c>
      <c r="R1463" t="str">
        <f>_xll.BDP("397378FR Muni","MUNI_MSRB_VOLUME")</f>
        <v>#N/A N/A</v>
      </c>
      <c r="S1463" t="str">
        <f>_xll.BDP("397378FR Muni","BB_COMPOSITE")</f>
        <v>#N/A N/A</v>
      </c>
      <c r="T1463">
        <f>_xll.BDP("397378FR Muni","LQA_LIQUIDITY_SCORE")</f>
        <v>97</v>
      </c>
    </row>
    <row r="1464" spans="1:20" x14ac:dyDescent="0.25">
      <c r="A1464" t="str">
        <f>_xll.BDP("397378FS Muni","ID_CUSIP")</f>
        <v>397378FS4</v>
      </c>
      <c r="B1464" t="s">
        <v>424</v>
      </c>
      <c r="C1464" t="str">
        <f>_xll.BDP("397378FS Muni","INSURANCE_STATUS")</f>
        <v>N</v>
      </c>
      <c r="D1464" t="str">
        <f>_xll.BDP("397378FS Muni","STATE_CODE")</f>
        <v>TX</v>
      </c>
      <c r="E1464" t="str">
        <f>_xll.BDP("397378FS Muni","COUNTY_LOCATION_ISSUER")</f>
        <v>Harris, TX</v>
      </c>
      <c r="F1464">
        <f>_xll.BDP("397378FS Muni","DUR_ADJ_MID")</f>
        <v>0.97836415102010699</v>
      </c>
      <c r="G1464">
        <f>_xll.BDP("397378FS Muni","SPREAD_AT_ISSUANCE_TO_WORST")</f>
        <v>208.00125479452055</v>
      </c>
      <c r="H1464" t="str">
        <f>_xll.BDP("397378FS Muni","ISSUE_DT")</f>
        <v>12/1/2017</v>
      </c>
      <c r="I1464" t="str">
        <f>_xll.BDS("397378FS Muni","MUNI_PURPOSE_SCHED", "aggregate=y")</f>
        <v>WATER UTILITY IMPS. SEWER IMPS.</v>
      </c>
      <c r="J1464">
        <f>_xll.BDP("397378FS Muni","CPN")</f>
        <v>3.6</v>
      </c>
      <c r="K1464" t="str">
        <f>_xll.BDP("397378FS Muni","MATURITY")</f>
        <v>8/1/2023</v>
      </c>
      <c r="L1464">
        <v>125000</v>
      </c>
      <c r="M1464">
        <f>_xll.BDP("397378FS Muni","YIELD_ON_ISSUE_DATE")</f>
        <v>3.6</v>
      </c>
      <c r="N1464">
        <f>_xll.BDP("397378FS Muni","YTW_SPREAD_TO_MATURITY_AT_ISSU")</f>
        <v>208.00125479452055</v>
      </c>
      <c r="O1464" t="str">
        <f>_xll.BDP("397378FS Muni","BVAL_MID_YTM")</f>
        <v>#N/A Authorization</v>
      </c>
      <c r="P1464" t="str">
        <f>_xll.BDP("397378FS Muni","MUNI_TAX_PROV")</f>
        <v>FED BQ</v>
      </c>
      <c r="Q1464" t="str">
        <f>_xll.BDP("397378FS Muni","MUNI_FED_TAX")</f>
        <v>N</v>
      </c>
      <c r="R1464" t="str">
        <f>_xll.BDP("397378FS Muni","MUNI_MSRB_VOLUME")</f>
        <v>#N/A N/A</v>
      </c>
      <c r="S1464" t="str">
        <f>_xll.BDP("397378FS Muni","BB_COMPOSITE")</f>
        <v>#N/A N/A</v>
      </c>
      <c r="T1464">
        <f>_xll.BDP("397378FS Muni","LQA_LIQUIDITY_SCORE")</f>
        <v>83</v>
      </c>
    </row>
    <row r="1465" spans="1:20" x14ac:dyDescent="0.25">
      <c r="A1465" t="str">
        <f>_xll.BDP("397378FT Muni","ID_CUSIP")</f>
        <v>397378FT2</v>
      </c>
      <c r="B1465" t="s">
        <v>424</v>
      </c>
      <c r="C1465" t="str">
        <f>_xll.BDP("397378FT Muni","INSURANCE_STATUS")</f>
        <v>N</v>
      </c>
      <c r="D1465" t="str">
        <f>_xll.BDP("397378FT Muni","STATE_CODE")</f>
        <v>TX</v>
      </c>
      <c r="E1465" t="str">
        <f>_xll.BDP("397378FT Muni","COUNTY_LOCATION_ISSUER")</f>
        <v>Harris, TX</v>
      </c>
      <c r="F1465">
        <f>_xll.BDP("397378FT Muni","DUR_ADJ_MID")</f>
        <v>1.9205877740588351</v>
      </c>
      <c r="G1465">
        <f>_xll.BDP("397378FT Muni","SPREAD_AT_ISSUANCE_TO_WORST")</f>
        <v>216.94334246575337</v>
      </c>
      <c r="H1465" t="str">
        <f>_xll.BDP("397378FT Muni","ISSUE_DT")</f>
        <v>12/1/2017</v>
      </c>
      <c r="I1465" t="str">
        <f>_xll.BDS("397378FT Muni","MUNI_PURPOSE_SCHED", "aggregate=y")</f>
        <v>WATER UTILITY IMPS. SEWER IMPS.</v>
      </c>
      <c r="J1465">
        <f>_xll.BDP("397378FT Muni","CPN")</f>
        <v>3.8</v>
      </c>
      <c r="K1465" t="str">
        <f>_xll.BDP("397378FT Muni","MATURITY")</f>
        <v>8/1/2024</v>
      </c>
      <c r="L1465">
        <v>125000</v>
      </c>
      <c r="M1465">
        <f>_xll.BDP("397378FT Muni","YIELD_ON_ISSUE_DATE")</f>
        <v>3.8000000000000003</v>
      </c>
      <c r="N1465">
        <f>_xll.BDP("397378FT Muni","YTW_SPREAD_TO_MATURITY_AT_ISSU")</f>
        <v>216.94334246575337</v>
      </c>
      <c r="O1465" t="str">
        <f>_xll.BDP("397378FT Muni","BVAL_MID_YTM")</f>
        <v>#N/A Authorization</v>
      </c>
      <c r="P1465" t="str">
        <f>_xll.BDP("397378FT Muni","MUNI_TAX_PROV")</f>
        <v>FED BQ</v>
      </c>
      <c r="Q1465" t="str">
        <f>_xll.BDP("397378FT Muni","MUNI_FED_TAX")</f>
        <v>N</v>
      </c>
      <c r="R1465" t="str">
        <f>_xll.BDP("397378FT Muni","MUNI_MSRB_VOLUME")</f>
        <v>#N/A N/A</v>
      </c>
      <c r="S1465" t="str">
        <f>_xll.BDP("397378FT Muni","BB_COMPOSITE")</f>
        <v>#N/A N/A</v>
      </c>
      <c r="T1465">
        <f>_xll.BDP("397378FT Muni","LQA_LIQUIDITY_SCORE")</f>
        <v>70</v>
      </c>
    </row>
    <row r="1466" spans="1:20" x14ac:dyDescent="0.25">
      <c r="A1466" t="str">
        <f>_xll.BDP("399064ES Muni","ID_CUSIP")</f>
        <v>399064ES9</v>
      </c>
      <c r="B1466" t="s">
        <v>425</v>
      </c>
      <c r="C1466" t="str">
        <f>_xll.BDP("399064ES Muni","INSURANCE_STATUS")</f>
        <v>N</v>
      </c>
      <c r="D1466" t="str">
        <f>_xll.BDP("399064ES Muni","STATE_CODE")</f>
        <v>MI</v>
      </c>
      <c r="E1466" t="str">
        <f>_xll.BDP("399064ES Muni","COUNTY_LOCATION_ISSUER")</f>
        <v>Wayne, MI</v>
      </c>
      <c r="F1466">
        <f>_xll.BDP("399064ES Muni","DUR_ADJ_MID")</f>
        <v>0.16361420544199365</v>
      </c>
      <c r="G1466">
        <f>_xll.BDP("399064ES Muni","SPREAD_AT_ISSUANCE_TO_WORST")</f>
        <v>24.382409249612678</v>
      </c>
      <c r="H1466" t="str">
        <f>_xll.BDP("399064ES Muni","ISSUE_DT")</f>
        <v>4/12/2017</v>
      </c>
      <c r="I1466" t="str">
        <f>_xll.BDS("399064ES Muni","MUNI_PURPOSE_SCHED", "aggregate=y")</f>
        <v>ADVANCE REFUNDING WATER UTILITY IMPS. PUBLIC IMPS.</v>
      </c>
      <c r="J1466">
        <f>_xll.BDP("399064ES Muni","CPN")</f>
        <v>4</v>
      </c>
      <c r="K1466" t="str">
        <f>_xll.BDP("399064ES Muni","MATURITY")</f>
        <v>10/1/2022</v>
      </c>
      <c r="L1466">
        <v>220000</v>
      </c>
      <c r="M1466">
        <f>_xll.BDP("399064ES Muni","YIELD_ON_ISSUE_DATE")</f>
        <v>1.8800000000000001</v>
      </c>
      <c r="N1466">
        <f>_xll.BDP("399064ES Muni","YTW_SPREAD_TO_MATURITY_AT_ISSU")</f>
        <v>24.382409249612678</v>
      </c>
      <c r="O1466" t="str">
        <f>_xll.BDP("399064ES Muni","BVAL_MID_YTM")</f>
        <v>#N/A Authorization</v>
      </c>
      <c r="P1466" t="str">
        <f>_xll.BDP("399064ES Muni","MUNI_TAX_PROV")</f>
        <v>FED BQ/ST TAX-EXEMPT</v>
      </c>
      <c r="Q1466" t="str">
        <f>_xll.BDP("399064ES Muni","MUNI_FED_TAX")</f>
        <v>N</v>
      </c>
      <c r="R1466" t="str">
        <f>_xll.BDP("399064ES Muni","MUNI_MSRB_VOLUME")</f>
        <v>#N/A N/A</v>
      </c>
      <c r="S1466" t="str">
        <f>_xll.BDP("399064ES Muni","BB_COMPOSITE")</f>
        <v>#N/A N/A</v>
      </c>
      <c r="T1466">
        <f>_xll.BDP("399064ES Muni","LQA_LIQUIDITY_SCORE")</f>
        <v>99</v>
      </c>
    </row>
    <row r="1467" spans="1:20" x14ac:dyDescent="0.25">
      <c r="A1467" t="str">
        <f>_xll.BDP("399064ET Muni","ID_CUSIP")</f>
        <v>399064ET7</v>
      </c>
      <c r="B1467" t="s">
        <v>425</v>
      </c>
      <c r="C1467" t="str">
        <f>_xll.BDP("399064ET Muni","INSURANCE_STATUS")</f>
        <v>N</v>
      </c>
      <c r="D1467" t="str">
        <f>_xll.BDP("399064ET Muni","STATE_CODE")</f>
        <v>MI</v>
      </c>
      <c r="E1467" t="str">
        <f>_xll.BDP("399064ET Muni","COUNTY_LOCATION_ISSUER")</f>
        <v>Wayne, MI</v>
      </c>
      <c r="F1467">
        <f>_xll.BDP("399064ET Muni","DUR_ADJ_MID")</f>
        <v>1.1259832854058072</v>
      </c>
      <c r="G1467">
        <f>_xll.BDP("399064ET Muni","SPREAD_AT_ISSUANCE_TO_WORST")</f>
        <v>25.442190223524761</v>
      </c>
      <c r="H1467" t="str">
        <f>_xll.BDP("399064ET Muni","ISSUE_DT")</f>
        <v>4/12/2017</v>
      </c>
      <c r="I1467" t="str">
        <f>_xll.BDS("399064ET Muni","MUNI_PURPOSE_SCHED", "aggregate=y")</f>
        <v>ADVANCE REFUNDING WATER UTILITY IMPS. PUBLIC IMPS.</v>
      </c>
      <c r="J1467">
        <f>_xll.BDP("399064ET Muni","CPN")</f>
        <v>4</v>
      </c>
      <c r="K1467" t="str">
        <f>_xll.BDP("399064ET Muni","MATURITY")</f>
        <v>10/1/2023</v>
      </c>
      <c r="L1467">
        <v>250000</v>
      </c>
      <c r="M1467">
        <f>_xll.BDP("399064ET Muni","YIELD_ON_ISSUE_DATE")</f>
        <v>2.06</v>
      </c>
      <c r="N1467">
        <f>_xll.BDP("399064ET Muni","YTW_SPREAD_TO_MATURITY_AT_ISSU")</f>
        <v>25.442190223524761</v>
      </c>
      <c r="O1467" t="str">
        <f>_xll.BDP("399064ET Muni","BVAL_MID_YTM")</f>
        <v>#N/A Authorization</v>
      </c>
      <c r="P1467" t="str">
        <f>_xll.BDP("399064ET Muni","MUNI_TAX_PROV")</f>
        <v>FED BQ/ST TAX-EXEMPT</v>
      </c>
      <c r="Q1467" t="str">
        <f>_xll.BDP("399064ET Muni","MUNI_FED_TAX")</f>
        <v>N</v>
      </c>
      <c r="R1467" t="str">
        <f>_xll.BDP("399064ET Muni","MUNI_MSRB_VOLUME")</f>
        <v>#N/A N/A</v>
      </c>
      <c r="S1467" t="str">
        <f>_xll.BDP("399064ET Muni","BB_COMPOSITE")</f>
        <v>#N/A N/A</v>
      </c>
      <c r="T1467">
        <f>_xll.BDP("399064ET Muni","LQA_LIQUIDITY_SCORE")</f>
        <v>93</v>
      </c>
    </row>
    <row r="1468" spans="1:20" x14ac:dyDescent="0.25">
      <c r="A1468" t="str">
        <f>_xll.BDP("399064EU Muni","ID_CUSIP")</f>
        <v>399064EU4</v>
      </c>
      <c r="B1468" t="s">
        <v>425</v>
      </c>
      <c r="C1468" t="str">
        <f>_xll.BDP("399064EU Muni","INSURANCE_STATUS")</f>
        <v>N</v>
      </c>
      <c r="D1468" t="str">
        <f>_xll.BDP("399064EU Muni","STATE_CODE")</f>
        <v>MI</v>
      </c>
      <c r="E1468" t="str">
        <f>_xll.BDP("399064EU Muni","COUNTY_LOCATION_ISSUER")</f>
        <v>Wayne, MI</v>
      </c>
      <c r="F1468">
        <f>_xll.BDP("399064EU Muni","DUR_ADJ_MID")</f>
        <v>2.051604425231738</v>
      </c>
      <c r="G1468">
        <f>_xll.BDP("399064EU Muni","SPREAD_AT_ISSUANCE_TO_WORST")</f>
        <v>21.880576269857798</v>
      </c>
      <c r="H1468" t="str">
        <f>_xll.BDP("399064EU Muni","ISSUE_DT")</f>
        <v>4/12/2017</v>
      </c>
      <c r="I1468" t="str">
        <f>_xll.BDS("399064EU Muni","MUNI_PURPOSE_SCHED", "aggregate=y")</f>
        <v>ADVANCE REFUNDING WATER UTILITY IMPS. PUBLIC IMPS.</v>
      </c>
      <c r="J1468">
        <f>_xll.BDP("399064EU Muni","CPN")</f>
        <v>4</v>
      </c>
      <c r="K1468" t="str">
        <f>_xll.BDP("399064EU Muni","MATURITY")</f>
        <v>10/1/2024</v>
      </c>
      <c r="L1468">
        <v>245000</v>
      </c>
      <c r="M1468">
        <f>_xll.BDP("399064EU Muni","YIELD_ON_ISSUE_DATE")</f>
        <v>2.19</v>
      </c>
      <c r="N1468">
        <f>_xll.BDP("399064EU Muni","YTW_SPREAD_TO_MATURITY_AT_ISSU")</f>
        <v>21.880576269857798</v>
      </c>
      <c r="O1468" t="str">
        <f>_xll.BDP("399064EU Muni","BVAL_MID_YTM")</f>
        <v>#N/A Authorization</v>
      </c>
      <c r="P1468" t="str">
        <f>_xll.BDP("399064EU Muni","MUNI_TAX_PROV")</f>
        <v>FED BQ/ST TAX-EXEMPT</v>
      </c>
      <c r="Q1468" t="str">
        <f>_xll.BDP("399064EU Muni","MUNI_FED_TAX")</f>
        <v>N</v>
      </c>
      <c r="R1468" t="str">
        <f>_xll.BDP("399064EU Muni","MUNI_MSRB_VOLUME")</f>
        <v>#N/A N/A</v>
      </c>
      <c r="S1468" t="str">
        <f>_xll.BDP("399064EU Muni","BB_COMPOSITE")</f>
        <v>#N/A N/A</v>
      </c>
      <c r="T1468">
        <f>_xll.BDP("399064EU Muni","LQA_LIQUIDITY_SCORE")</f>
        <v>86</v>
      </c>
    </row>
    <row r="1469" spans="1:20" x14ac:dyDescent="0.25">
      <c r="A1469" t="str">
        <f>_xll.BDP("399064EV Muni","ID_CUSIP")</f>
        <v>399064EV2</v>
      </c>
      <c r="B1469" t="s">
        <v>425</v>
      </c>
      <c r="C1469" t="str">
        <f>_xll.BDP("399064EV Muni","INSURANCE_STATUS")</f>
        <v>N</v>
      </c>
      <c r="D1469" t="str">
        <f>_xll.BDP("399064EV Muni","STATE_CODE")</f>
        <v>MI</v>
      </c>
      <c r="E1469" t="str">
        <f>_xll.BDP("399064EV Muni","COUNTY_LOCATION_ISSUER")</f>
        <v>Wayne, MI</v>
      </c>
      <c r="F1469">
        <f>_xll.BDP("399064EV Muni","DUR_ADJ_MID")</f>
        <v>2.9440533642527309</v>
      </c>
      <c r="G1469">
        <f>_xll.BDP("399064EV Muni","SPREAD_AT_ISSUANCE_TO_WORST")</f>
        <v>12.569295038563988</v>
      </c>
      <c r="H1469" t="str">
        <f>_xll.BDP("399064EV Muni","ISSUE_DT")</f>
        <v>4/12/2017</v>
      </c>
      <c r="I1469" t="str">
        <f>_xll.BDS("399064EV Muni","MUNI_PURPOSE_SCHED", "aggregate=y")</f>
        <v>ADVANCE REFUNDING WATER UTILITY IMPS. PUBLIC IMPS.</v>
      </c>
      <c r="J1469">
        <f>_xll.BDP("399064EV Muni","CPN")</f>
        <v>4</v>
      </c>
      <c r="K1469" t="str">
        <f>_xll.BDP("399064EV Muni","MATURITY")</f>
        <v>10/1/2025</v>
      </c>
      <c r="L1469">
        <v>275000</v>
      </c>
      <c r="M1469">
        <f>_xll.BDP("399064EV Muni","YIELD_ON_ISSUE_DATE")</f>
        <v>2.25</v>
      </c>
      <c r="N1469">
        <f>_xll.BDP("399064EV Muni","YTW_SPREAD_TO_MATURITY_AT_ISSU")</f>
        <v>12.569295038563988</v>
      </c>
      <c r="O1469" t="str">
        <f>_xll.BDP("399064EV Muni","BVAL_MID_YTM")</f>
        <v>#N/A Authorization</v>
      </c>
      <c r="P1469" t="str">
        <f>_xll.BDP("399064EV Muni","MUNI_TAX_PROV")</f>
        <v>FED BQ/ST TAX-EXEMPT</v>
      </c>
      <c r="Q1469" t="str">
        <f>_xll.BDP("399064EV Muni","MUNI_FED_TAX")</f>
        <v>N</v>
      </c>
      <c r="R1469" t="str">
        <f>_xll.BDP("399064EV Muni","MUNI_MSRB_VOLUME")</f>
        <v>#N/A N/A</v>
      </c>
      <c r="S1469" t="str">
        <f>_xll.BDP("399064EV Muni","BB_COMPOSITE")</f>
        <v>#N/A N/A</v>
      </c>
      <c r="T1469">
        <f>_xll.BDP("399064EV Muni","LQA_LIQUIDITY_SCORE")</f>
        <v>76</v>
      </c>
    </row>
    <row r="1470" spans="1:20" x14ac:dyDescent="0.25">
      <c r="A1470" t="str">
        <f>_xll.BDP("399064EW Muni","ID_CUSIP")</f>
        <v>399064EW0</v>
      </c>
      <c r="B1470" t="s">
        <v>425</v>
      </c>
      <c r="C1470" t="str">
        <f>_xll.BDP("399064EW Muni","INSURANCE_STATUS")</f>
        <v>N</v>
      </c>
      <c r="D1470" t="str">
        <f>_xll.BDP("399064EW Muni","STATE_CODE")</f>
        <v>MI</v>
      </c>
      <c r="E1470" t="str">
        <f>_xll.BDP("399064EW Muni","COUNTY_LOCATION_ISSUER")</f>
        <v>Wayne, MI</v>
      </c>
      <c r="F1470">
        <f>_xll.BDP("399064EW Muni","DUR_ADJ_MID")</f>
        <v>3.8048124503045742</v>
      </c>
      <c r="G1470">
        <f>_xll.BDP("399064EW Muni","SPREAD_AT_ISSUANCE_TO_WORST")</f>
        <v>8.8716276308625108</v>
      </c>
      <c r="H1470" t="str">
        <f>_xll.BDP("399064EW Muni","ISSUE_DT")</f>
        <v>4/12/2017</v>
      </c>
      <c r="I1470" t="str">
        <f>_xll.BDS("399064EW Muni","MUNI_PURPOSE_SCHED", "aggregate=y")</f>
        <v>ADVANCE REFUNDING WATER UTILITY IMPS. PUBLIC IMPS.</v>
      </c>
      <c r="J1470">
        <f>_xll.BDP("399064EW Muni","CPN")</f>
        <v>4</v>
      </c>
      <c r="K1470" t="str">
        <f>_xll.BDP("399064EW Muni","MATURITY")</f>
        <v>10/1/2026</v>
      </c>
      <c r="L1470">
        <v>280000</v>
      </c>
      <c r="M1470">
        <f>_xll.BDP("399064EW Muni","YIELD_ON_ISSUE_DATE")</f>
        <v>2.34</v>
      </c>
      <c r="N1470">
        <f>_xll.BDP("399064EW Muni","YTW_SPREAD_TO_MATURITY_AT_ISSU")</f>
        <v>8.8716276308625108</v>
      </c>
      <c r="O1470" t="str">
        <f>_xll.BDP("399064EW Muni","BVAL_MID_YTM")</f>
        <v>#N/A Authorization</v>
      </c>
      <c r="P1470" t="str">
        <f>_xll.BDP("399064EW Muni","MUNI_TAX_PROV")</f>
        <v>FED BQ/ST TAX-EXEMPT</v>
      </c>
      <c r="Q1470" t="str">
        <f>_xll.BDP("399064EW Muni","MUNI_FED_TAX")</f>
        <v>N</v>
      </c>
      <c r="R1470">
        <f>_xll.BDP("399064EW Muni","MUNI_MSRB_VOLUME")</f>
        <v>90000</v>
      </c>
      <c r="S1470" t="str">
        <f>_xll.BDP("399064EW Muni","BB_COMPOSITE")</f>
        <v>#N/A N/A</v>
      </c>
      <c r="T1470">
        <f>_xll.BDP("399064EW Muni","LQA_LIQUIDITY_SCORE")</f>
        <v>68</v>
      </c>
    </row>
    <row r="1471" spans="1:20" x14ac:dyDescent="0.25">
      <c r="A1471" t="str">
        <f>_xll.BDP("399064EX Muni","ID_CUSIP")</f>
        <v>399064EX8</v>
      </c>
      <c r="B1471" t="s">
        <v>425</v>
      </c>
      <c r="C1471" t="str">
        <f>_xll.BDP("399064EX Muni","INSURANCE_STATUS")</f>
        <v>N</v>
      </c>
      <c r="D1471" t="str">
        <f>_xll.BDP("399064EX Muni","STATE_CODE")</f>
        <v>MI</v>
      </c>
      <c r="E1471" t="str">
        <f>_xll.BDP("399064EX Muni","COUNTY_LOCATION_ISSUER")</f>
        <v>Wayne, MI</v>
      </c>
      <c r="F1471">
        <f>_xll.BDP("399064EX Muni","DUR_ADJ_MID")</f>
        <v>4.6349627928448038</v>
      </c>
      <c r="G1471">
        <f>_xll.BDP("399064EX Muni","SPREAD_AT_ISSUANCE_TO_WORST")</f>
        <v>2.2066561412503738</v>
      </c>
      <c r="H1471" t="str">
        <f>_xll.BDP("399064EX Muni","ISSUE_DT")</f>
        <v>4/12/2017</v>
      </c>
      <c r="I1471" t="str">
        <f>_xll.BDS("399064EX Muni","MUNI_PURPOSE_SCHED", "aggregate=y")</f>
        <v>ADVANCE REFUNDING WATER UTILITY IMPS. PUBLIC IMPS.</v>
      </c>
      <c r="J1471">
        <f>_xll.BDP("399064EX Muni","CPN")</f>
        <v>4</v>
      </c>
      <c r="K1471" t="str">
        <f>_xll.BDP("399064EX Muni","MATURITY")</f>
        <v>10/1/2027</v>
      </c>
      <c r="L1471">
        <v>285000</v>
      </c>
      <c r="M1471">
        <f>_xll.BDP("399064EX Muni","YIELD_ON_ISSUE_DATE")</f>
        <v>2.39</v>
      </c>
      <c r="N1471">
        <f>_xll.BDP("399064EX Muni","YTW_SPREAD_TO_MATURITY_AT_ISSU")</f>
        <v>2.2066561412503738</v>
      </c>
      <c r="O1471" t="str">
        <f>_xll.BDP("399064EX Muni","BVAL_MID_YTM")</f>
        <v>#N/A Authorization</v>
      </c>
      <c r="P1471" t="str">
        <f>_xll.BDP("399064EX Muni","MUNI_TAX_PROV")</f>
        <v>FED BQ/ST TAX-EXEMPT</v>
      </c>
      <c r="Q1471" t="str">
        <f>_xll.BDP("399064EX Muni","MUNI_FED_TAX")</f>
        <v>N</v>
      </c>
      <c r="R1471" t="str">
        <f>_xll.BDP("399064EX Muni","MUNI_MSRB_VOLUME")</f>
        <v>#N/A N/A</v>
      </c>
      <c r="S1471" t="str">
        <f>_xll.BDP("399064EX Muni","BB_COMPOSITE")</f>
        <v>#N/A N/A</v>
      </c>
      <c r="T1471">
        <f>_xll.BDP("399064EX Muni","LQA_LIQUIDITY_SCORE")</f>
        <v>61</v>
      </c>
    </row>
    <row r="1472" spans="1:20" x14ac:dyDescent="0.25">
      <c r="A1472" t="str">
        <f>_xll.BDP("346900RK Muni","ID_CUSIP")</f>
        <v>346900RK1</v>
      </c>
      <c r="B1472" t="s">
        <v>426</v>
      </c>
      <c r="C1472" t="str">
        <f>_xll.BDP("346900RK Muni","INSURANCE_STATUS")</f>
        <v>Y</v>
      </c>
      <c r="D1472" t="str">
        <f>_xll.BDP("346900RK Muni","STATE_CODE")</f>
        <v>TX</v>
      </c>
      <c r="E1472" t="str">
        <f>_xll.BDP("346900RK Muni","COUNTY_LOCATION_ISSUER")</f>
        <v>Fort Bend, TX</v>
      </c>
      <c r="F1472">
        <f>_xll.BDP("346900RK Muni","DUR_ADJ_MID")</f>
        <v>8.0489277117347532E-2</v>
      </c>
      <c r="G1472">
        <f>_xll.BDP("346900RK Muni","SPREAD_AT_ISSUANCE_TO_WORST")</f>
        <v>67.318452773454183</v>
      </c>
      <c r="H1472" t="str">
        <f>_xll.BDP("346900RK Muni","ISSUE_DT")</f>
        <v>7/1/2017</v>
      </c>
      <c r="I1472" t="str">
        <f>_xll.BDS("346900RK Muni","MUNI_PURPOSE_SCHED", "aggregate=y")</f>
        <v>WATER UTILITY IMPS. SEWER IMPS. PUBLIC IMPS.</v>
      </c>
      <c r="J1472">
        <f>_xll.BDP("346900RK Muni","CPN")</f>
        <v>4</v>
      </c>
      <c r="K1472" t="str">
        <f>_xll.BDP("346900RK Muni","MATURITY")</f>
        <v>9/1/2022</v>
      </c>
      <c r="L1472">
        <v>50000</v>
      </c>
      <c r="M1472">
        <f>_xll.BDP("346900RK Muni","YIELD_ON_ISSUE_DATE")</f>
        <v>1.9000000000000001</v>
      </c>
      <c r="N1472">
        <f>_xll.BDP("346900RK Muni","YTW_SPREAD_TO_MATURITY_AT_ISSU")</f>
        <v>67.318452773454183</v>
      </c>
      <c r="O1472" t="str">
        <f>_xll.BDP("346900RK Muni","BVAL_MID_YTM")</f>
        <v>#N/A Authorization</v>
      </c>
      <c r="P1472" t="str">
        <f>_xll.BDP("346900RK Muni","MUNI_TAX_PROV")</f>
        <v>FED TAX-EXEMPT</v>
      </c>
      <c r="Q1472" t="str">
        <f>_xll.BDP("346900RK Muni","MUNI_FED_TAX")</f>
        <v>N</v>
      </c>
      <c r="R1472" t="str">
        <f>_xll.BDP("346900RK Muni","MUNI_MSRB_VOLUME")</f>
        <v>#N/A N/A</v>
      </c>
      <c r="S1472" t="str">
        <f>_xll.BDP("346900RK Muni","BB_COMPOSITE")</f>
        <v>A+</v>
      </c>
      <c r="T1472">
        <f>_xll.BDP("346900RK Muni","LQA_LIQUIDITY_SCORE")</f>
        <v>98</v>
      </c>
    </row>
    <row r="1473" spans="1:20" x14ac:dyDescent="0.25">
      <c r="A1473" t="str">
        <f>_xll.BDP("346900RL Muni","ID_CUSIP")</f>
        <v>346900RL9</v>
      </c>
      <c r="B1473" t="s">
        <v>426</v>
      </c>
      <c r="C1473" t="str">
        <f>_xll.BDP("346900RL Muni","INSURANCE_STATUS")</f>
        <v>Y</v>
      </c>
      <c r="D1473" t="str">
        <f>_xll.BDP("346900RL Muni","STATE_CODE")</f>
        <v>TX</v>
      </c>
      <c r="E1473" t="str">
        <f>_xll.BDP("346900RL Muni","COUNTY_LOCATION_ISSUER")</f>
        <v>Fort Bend, TX</v>
      </c>
      <c r="F1473">
        <f>_xll.BDP("346900RL Muni","DUR_ADJ_MID")</f>
        <v>1.0434212002036918</v>
      </c>
      <c r="G1473">
        <f>_xll.BDP("346900RL Muni","SPREAD_AT_ISSUANCE_TO_WORST")</f>
        <v>63.253051281908256</v>
      </c>
      <c r="H1473" t="str">
        <f>_xll.BDP("346900RL Muni","ISSUE_DT")</f>
        <v>7/1/2017</v>
      </c>
      <c r="I1473" t="str">
        <f>_xll.BDS("346900RL Muni","MUNI_PURPOSE_SCHED", "aggregate=y")</f>
        <v>WATER UTILITY IMPS. SEWER IMPS. PUBLIC IMPS.</v>
      </c>
      <c r="J1473">
        <f>_xll.BDP("346900RL Muni","CPN")</f>
        <v>4</v>
      </c>
      <c r="K1473" t="str">
        <f>_xll.BDP("346900RL Muni","MATURITY")</f>
        <v>9/1/2023</v>
      </c>
      <c r="L1473">
        <v>50000</v>
      </c>
      <c r="M1473">
        <f>_xll.BDP("346900RL Muni","YIELD_ON_ISSUE_DATE")</f>
        <v>2</v>
      </c>
      <c r="N1473">
        <f>_xll.BDP("346900RL Muni","YTW_SPREAD_TO_MATURITY_AT_ISSU")</f>
        <v>63.253051281908256</v>
      </c>
      <c r="O1473" t="str">
        <f>_xll.BDP("346900RL Muni","BVAL_MID_YTM")</f>
        <v>#N/A Authorization</v>
      </c>
      <c r="P1473" t="str">
        <f>_xll.BDP("346900RL Muni","MUNI_TAX_PROV")</f>
        <v>FED TAX-EXEMPT</v>
      </c>
      <c r="Q1473" t="str">
        <f>_xll.BDP("346900RL Muni","MUNI_FED_TAX")</f>
        <v>N</v>
      </c>
      <c r="R1473" t="str">
        <f>_xll.BDP("346900RL Muni","MUNI_MSRB_VOLUME")</f>
        <v>#N/A N/A</v>
      </c>
      <c r="S1473" t="str">
        <f>_xll.BDP("346900RL Muni","BB_COMPOSITE")</f>
        <v>A+</v>
      </c>
      <c r="T1473">
        <f>_xll.BDP("346900RL Muni","LQA_LIQUIDITY_SCORE")</f>
        <v>94</v>
      </c>
    </row>
    <row r="1474" spans="1:20" x14ac:dyDescent="0.25">
      <c r="A1474" t="str">
        <f>_xll.BDP("346900RM Muni","ID_CUSIP")</f>
        <v>346900RM7</v>
      </c>
      <c r="B1474" t="s">
        <v>426</v>
      </c>
      <c r="C1474" t="str">
        <f>_xll.BDP("346900RM Muni","INSURANCE_STATUS")</f>
        <v>Y</v>
      </c>
      <c r="D1474" t="str">
        <f>_xll.BDP("346900RM Muni","STATE_CODE")</f>
        <v>TX</v>
      </c>
      <c r="E1474" t="str">
        <f>_xll.BDP("346900RM Muni","COUNTY_LOCATION_ISSUER")</f>
        <v>Fort Bend, TX</v>
      </c>
      <c r="F1474">
        <f>_xll.BDP("346900RM Muni","DUR_ADJ_MID")</f>
        <v>1.9689431592359101</v>
      </c>
      <c r="G1474">
        <f>_xll.BDP("346900RM Muni","SPREAD_AT_ISSUANCE_TO_WORST")</f>
        <v>63.790131882016901</v>
      </c>
      <c r="H1474" t="str">
        <f>_xll.BDP("346900RM Muni","ISSUE_DT")</f>
        <v>7/1/2017</v>
      </c>
      <c r="I1474" t="str">
        <f>_xll.BDS("346900RM Muni","MUNI_PURPOSE_SCHED", "aggregate=y")</f>
        <v>WATER UTILITY IMPS. SEWER IMPS. PUBLIC IMPS.</v>
      </c>
      <c r="J1474">
        <f>_xll.BDP("346900RM Muni","CPN")</f>
        <v>4</v>
      </c>
      <c r="K1474" t="str">
        <f>_xll.BDP("346900RM Muni","MATURITY")</f>
        <v>9/1/2024</v>
      </c>
      <c r="L1474">
        <v>50000</v>
      </c>
      <c r="M1474">
        <f>_xll.BDP("346900RM Muni","YIELD_ON_ISSUE_DATE")</f>
        <v>2.15</v>
      </c>
      <c r="N1474">
        <f>_xll.BDP("346900RM Muni","YTW_SPREAD_TO_MATURITY_AT_ISSU")</f>
        <v>63.790131882016901</v>
      </c>
      <c r="O1474" t="str">
        <f>_xll.BDP("346900RM Muni","BVAL_MID_YTM")</f>
        <v>#N/A Authorization</v>
      </c>
      <c r="P1474" t="str">
        <f>_xll.BDP("346900RM Muni","MUNI_TAX_PROV")</f>
        <v>FED TAX-EXEMPT</v>
      </c>
      <c r="Q1474" t="str">
        <f>_xll.BDP("346900RM Muni","MUNI_FED_TAX")</f>
        <v>N</v>
      </c>
      <c r="R1474" t="str">
        <f>_xll.BDP("346900RM Muni","MUNI_MSRB_VOLUME")</f>
        <v>#N/A N/A</v>
      </c>
      <c r="S1474" t="str">
        <f>_xll.BDP("346900RM Muni","BB_COMPOSITE")</f>
        <v>A+</v>
      </c>
      <c r="T1474">
        <f>_xll.BDP("346900RM Muni","LQA_LIQUIDITY_SCORE")</f>
        <v>83</v>
      </c>
    </row>
    <row r="1475" spans="1:20" x14ac:dyDescent="0.25">
      <c r="A1475" t="str">
        <f>_xll.BDP("346901WT Muni","ID_CUSIP")</f>
        <v>346901WT4</v>
      </c>
      <c r="B1475" t="s">
        <v>107</v>
      </c>
      <c r="C1475" t="str">
        <f>_xll.BDP("346901WT Muni","INSURANCE_STATUS")</f>
        <v>Y</v>
      </c>
      <c r="D1475" t="str">
        <f>_xll.BDP("346901WT Muni","STATE_CODE")</f>
        <v>TX</v>
      </c>
      <c r="E1475" t="str">
        <f>_xll.BDP("346901WT Muni","COUNTY_LOCATION_ISSUER")</f>
        <v>Fort Bend, TX</v>
      </c>
      <c r="F1475">
        <f>_xll.BDP("346901WT Muni","DUR_ADJ_MID")</f>
        <v>0.16356148791091965</v>
      </c>
      <c r="G1475">
        <f>_xll.BDP("346901WT Muni","SPREAD_AT_ISSUANCE_TO_WORST")</f>
        <v>43.401474895272905</v>
      </c>
      <c r="H1475" t="str">
        <f>_xll.BDP("346901WT Muni","ISSUE_DT")</f>
        <v>2/1/2017</v>
      </c>
      <c r="I1475" t="str">
        <f>_xll.BDS("346901WT Muni","MUNI_PURPOSE_SCHED", "aggregate=y")</f>
        <v>WATER UTILITY IMPS. SEWER IMPS. PUBLIC IMPS.</v>
      </c>
      <c r="J1475">
        <f>_xll.BDP("346901WT Muni","CPN")</f>
        <v>3</v>
      </c>
      <c r="K1475" t="str">
        <f>_xll.BDP("346901WT Muni","MATURITY")</f>
        <v>10/1/2022</v>
      </c>
      <c r="L1475">
        <v>245000</v>
      </c>
      <c r="M1475">
        <f>_xll.BDP("346901WT Muni","YIELD_ON_ISSUE_DATE")</f>
        <v>2.1</v>
      </c>
      <c r="N1475">
        <f>_xll.BDP("346901WT Muni","YTW_SPREAD_TO_MATURITY_AT_ISSU")</f>
        <v>43.401474895272905</v>
      </c>
      <c r="O1475" t="str">
        <f>_xll.BDP("346901WT Muni","BVAL_MID_YTM")</f>
        <v>#N/A Authorization</v>
      </c>
      <c r="P1475" t="str">
        <f>_xll.BDP("346901WT Muni","MUNI_TAX_PROV")</f>
        <v>FED BQ</v>
      </c>
      <c r="Q1475" t="str">
        <f>_xll.BDP("346901WT Muni","MUNI_FED_TAX")</f>
        <v>N</v>
      </c>
      <c r="R1475" t="str">
        <f>_xll.BDP("346901WT Muni","MUNI_MSRB_VOLUME")</f>
        <v>#N/A N/A</v>
      </c>
      <c r="S1475" t="str">
        <f>_xll.BDP("346901WT Muni","BB_COMPOSITE")</f>
        <v>A+</v>
      </c>
      <c r="T1475">
        <f>_xll.BDP("346901WT Muni","LQA_LIQUIDITY_SCORE")</f>
        <v>99</v>
      </c>
    </row>
    <row r="1476" spans="1:20" x14ac:dyDescent="0.25">
      <c r="A1476" t="str">
        <f>_xll.BDP("346901WU Muni","ID_CUSIP")</f>
        <v>346901WU1</v>
      </c>
      <c r="B1476" t="s">
        <v>107</v>
      </c>
      <c r="C1476" t="str">
        <f>_xll.BDP("346901WU Muni","INSURANCE_STATUS")</f>
        <v>Y</v>
      </c>
      <c r="D1476" t="str">
        <f>_xll.BDP("346901WU Muni","STATE_CODE")</f>
        <v>TX</v>
      </c>
      <c r="E1476" t="str">
        <f>_xll.BDP("346901WU Muni","COUNTY_LOCATION_ISSUER")</f>
        <v>Fort Bend, TX</v>
      </c>
      <c r="F1476">
        <f>_xll.BDP("346901WU Muni","DUR_ADJ_MID")</f>
        <v>1.1316331604036911</v>
      </c>
      <c r="G1476">
        <f>_xll.BDP("346901WU Muni","SPREAD_AT_ISSUANCE_TO_WORST")</f>
        <v>40.27069689078273</v>
      </c>
      <c r="H1476" t="str">
        <f>_xll.BDP("346901WU Muni","ISSUE_DT")</f>
        <v>2/1/2017</v>
      </c>
      <c r="I1476" t="str">
        <f>_xll.BDS("346901WU Muni","MUNI_PURPOSE_SCHED", "aggregate=y")</f>
        <v>WATER UTILITY IMPS. SEWER IMPS. PUBLIC IMPS.</v>
      </c>
      <c r="J1476">
        <f>_xll.BDP("346901WU Muni","CPN")</f>
        <v>3</v>
      </c>
      <c r="K1476" t="str">
        <f>_xll.BDP("346901WU Muni","MATURITY")</f>
        <v>10/1/2023</v>
      </c>
      <c r="L1476">
        <v>245000</v>
      </c>
      <c r="M1476">
        <f>_xll.BDP("346901WU Muni","YIELD_ON_ISSUE_DATE")</f>
        <v>2.2000000000000002</v>
      </c>
      <c r="N1476">
        <f>_xll.BDP("346901WU Muni","YTW_SPREAD_TO_MATURITY_AT_ISSU")</f>
        <v>40.27069689078273</v>
      </c>
      <c r="O1476" t="str">
        <f>_xll.BDP("346901WU Muni","BVAL_MID_YTM")</f>
        <v>#N/A Authorization</v>
      </c>
      <c r="P1476" t="str">
        <f>_xll.BDP("346901WU Muni","MUNI_TAX_PROV")</f>
        <v>FED BQ</v>
      </c>
      <c r="Q1476" t="str">
        <f>_xll.BDP("346901WU Muni","MUNI_FED_TAX")</f>
        <v>N</v>
      </c>
      <c r="R1476" t="str">
        <f>_xll.BDP("346901WU Muni","MUNI_MSRB_VOLUME")</f>
        <v>#N/A N/A</v>
      </c>
      <c r="S1476" t="str">
        <f>_xll.BDP("346901WU Muni","BB_COMPOSITE")</f>
        <v>A+</v>
      </c>
      <c r="T1476">
        <f>_xll.BDP("346901WU Muni","LQA_LIQUIDITY_SCORE")</f>
        <v>88</v>
      </c>
    </row>
    <row r="1477" spans="1:20" x14ac:dyDescent="0.25">
      <c r="A1477" t="str">
        <f>_xll.BDP("347818AX Muni","ID_CUSIP")</f>
        <v>347818AX4</v>
      </c>
      <c r="B1477" t="s">
        <v>427</v>
      </c>
      <c r="C1477" t="str">
        <f>_xll.BDP("347818AX Muni","INSURANCE_STATUS")</f>
        <v>Y</v>
      </c>
      <c r="D1477" t="str">
        <f>_xll.BDP("347818AX Muni","STATE_CODE")</f>
        <v>CO</v>
      </c>
      <c r="E1477" t="str">
        <f>_xll.BDP("347818AX Muni","COUNTY_LOCATION_ISSUER")</f>
        <v>Weld, CO</v>
      </c>
      <c r="F1477">
        <f>_xll.BDP("347818AX Muni","DUR_ADJ_MID")</f>
        <v>0.32947303192491445</v>
      </c>
      <c r="G1477">
        <f>_xll.BDP("347818AX Muni","SPREAD_AT_ISSUANCE_TO_WORST")</f>
        <v>23.570400000000014</v>
      </c>
      <c r="H1477" t="str">
        <f>_xll.BDP("347818AX Muni","ISSUE_DT")</f>
        <v>9/28/2017</v>
      </c>
      <c r="I1477" t="str">
        <f>_xll.BDS("347818AX Muni","MUNI_PURPOSE_SCHED", "aggregate=y")</f>
        <v>WATER UTILITY IMPS. CURRENT REFUNDING</v>
      </c>
      <c r="J1477">
        <f>_xll.BDP("347818AX Muni","CPN")</f>
        <v>2</v>
      </c>
      <c r="K1477" t="str">
        <f>_xll.BDP("347818AX Muni","MATURITY")</f>
        <v>12/1/2022</v>
      </c>
      <c r="L1477">
        <v>110000</v>
      </c>
      <c r="M1477">
        <f>_xll.BDP("347818AX Muni","YIELD_ON_ISSUE_DATE")</f>
        <v>1.51</v>
      </c>
      <c r="N1477">
        <f>_xll.BDP("347818AX Muni","YTW_SPREAD_TO_MATURITY_AT_ISSU")</f>
        <v>23.570400000000014</v>
      </c>
      <c r="O1477" t="str">
        <f>_xll.BDP("347818AX Muni","BVAL_MID_YTM")</f>
        <v>#N/A Authorization</v>
      </c>
      <c r="P1477" t="str">
        <f>_xll.BDP("347818AX Muni","MUNI_TAX_PROV")</f>
        <v>FED &amp; ST TAX-EXEMPT</v>
      </c>
      <c r="Q1477" t="str">
        <f>_xll.BDP("347818AX Muni","MUNI_FED_TAX")</f>
        <v>N</v>
      </c>
      <c r="R1477" t="str">
        <f>_xll.BDP("347818AX Muni","MUNI_MSRB_VOLUME")</f>
        <v>#N/A N/A</v>
      </c>
      <c r="S1477" t="str">
        <f>_xll.BDP("347818AX Muni","BB_COMPOSITE")</f>
        <v>#N/A N/A</v>
      </c>
      <c r="T1477">
        <f>_xll.BDP("347818AX Muni","LQA_LIQUIDITY_SCORE")</f>
        <v>88</v>
      </c>
    </row>
    <row r="1478" spans="1:20" x14ac:dyDescent="0.25">
      <c r="A1478" t="str">
        <f>_xll.BDP("347818AY Muni","ID_CUSIP")</f>
        <v>347818AY2</v>
      </c>
      <c r="B1478" t="s">
        <v>427</v>
      </c>
      <c r="C1478" t="str">
        <f>_xll.BDP("347818AY Muni","INSURANCE_STATUS")</f>
        <v>Y</v>
      </c>
      <c r="D1478" t="str">
        <f>_xll.BDP("347818AY Muni","STATE_CODE")</f>
        <v>CO</v>
      </c>
      <c r="E1478" t="str">
        <f>_xll.BDP("347818AY Muni","COUNTY_LOCATION_ISSUER")</f>
        <v>Weld, CO</v>
      </c>
      <c r="F1478">
        <f>_xll.BDP("347818AY Muni","DUR_ADJ_MID")</f>
        <v>1.2982618295618455</v>
      </c>
      <c r="G1478">
        <f>_xll.BDP("347818AY Muni","SPREAD_AT_ISSUANCE_TO_WORST")</f>
        <v>24.495000000000001</v>
      </c>
      <c r="H1478" t="str">
        <f>_xll.BDP("347818AY Muni","ISSUE_DT")</f>
        <v>9/28/2017</v>
      </c>
      <c r="I1478" t="str">
        <f>_xll.BDS("347818AY Muni","MUNI_PURPOSE_SCHED", "aggregate=y")</f>
        <v>WATER UTILITY IMPS. CURRENT REFUNDING</v>
      </c>
      <c r="J1478">
        <f>_xll.BDP("347818AY Muni","CPN")</f>
        <v>3</v>
      </c>
      <c r="K1478" t="str">
        <f>_xll.BDP("347818AY Muni","MATURITY")</f>
        <v>12/1/2023</v>
      </c>
      <c r="L1478">
        <v>185000</v>
      </c>
      <c r="M1478">
        <f>_xll.BDP("347818AY Muni","YIELD_ON_ISSUE_DATE")</f>
        <v>1.6600000000000001</v>
      </c>
      <c r="N1478">
        <f>_xll.BDP("347818AY Muni","YTW_SPREAD_TO_MATURITY_AT_ISSU")</f>
        <v>24.495000000000001</v>
      </c>
      <c r="O1478" t="str">
        <f>_xll.BDP("347818AY Muni","BVAL_MID_YTM")</f>
        <v>#N/A Authorization</v>
      </c>
      <c r="P1478" t="str">
        <f>_xll.BDP("347818AY Muni","MUNI_TAX_PROV")</f>
        <v>FED &amp; ST TAX-EXEMPT</v>
      </c>
      <c r="Q1478" t="str">
        <f>_xll.BDP("347818AY Muni","MUNI_FED_TAX")</f>
        <v>N</v>
      </c>
      <c r="R1478" t="str">
        <f>_xll.BDP("347818AY Muni","MUNI_MSRB_VOLUME")</f>
        <v>#N/A N/A</v>
      </c>
      <c r="S1478" t="str">
        <f>_xll.BDP("347818AY Muni","BB_COMPOSITE")</f>
        <v>#N/A N/A</v>
      </c>
      <c r="T1478">
        <f>_xll.BDP("347818AY Muni","LQA_LIQUIDITY_SCORE")</f>
        <v>74</v>
      </c>
    </row>
    <row r="1479" spans="1:20" x14ac:dyDescent="0.25">
      <c r="A1479" t="str">
        <f>_xll.BDP("347818AZ Muni","ID_CUSIP")</f>
        <v>347818AZ9</v>
      </c>
      <c r="B1479" t="s">
        <v>427</v>
      </c>
      <c r="C1479" t="str">
        <f>_xll.BDP("347818AZ Muni","INSURANCE_STATUS")</f>
        <v>Y</v>
      </c>
      <c r="D1479" t="str">
        <f>_xll.BDP("347818AZ Muni","STATE_CODE")</f>
        <v>CO</v>
      </c>
      <c r="E1479" t="str">
        <f>_xll.BDP("347818AZ Muni","COUNTY_LOCATION_ISSUER")</f>
        <v>Weld, CO</v>
      </c>
      <c r="F1479">
        <f>_xll.BDP("347818AZ Muni","DUR_ADJ_MID")</f>
        <v>2.2384947327560787</v>
      </c>
      <c r="G1479">
        <f>_xll.BDP("347818AZ Muni","SPREAD_AT_ISSUANCE_TO_WORST")</f>
        <v>27.056194520547947</v>
      </c>
      <c r="H1479" t="str">
        <f>_xll.BDP("347818AZ Muni","ISSUE_DT")</f>
        <v>9/28/2017</v>
      </c>
      <c r="I1479" t="str">
        <f>_xll.BDS("347818AZ Muni","MUNI_PURPOSE_SCHED", "aggregate=y")</f>
        <v>WATER UTILITY IMPS. CURRENT REFUNDING</v>
      </c>
      <c r="J1479">
        <f>_xll.BDP("347818AZ Muni","CPN")</f>
        <v>3</v>
      </c>
      <c r="K1479" t="str">
        <f>_xll.BDP("347818AZ Muni","MATURITY")</f>
        <v>12/1/2024</v>
      </c>
      <c r="L1479">
        <v>265000</v>
      </c>
      <c r="M1479">
        <f>_xll.BDP("347818AZ Muni","YIELD_ON_ISSUE_DATE")</f>
        <v>1.83</v>
      </c>
      <c r="N1479">
        <f>_xll.BDP("347818AZ Muni","YTW_SPREAD_TO_MATURITY_AT_ISSU")</f>
        <v>27.056194520547947</v>
      </c>
      <c r="O1479" t="str">
        <f>_xll.BDP("347818AZ Muni","BVAL_MID_YTM")</f>
        <v>#N/A Authorization</v>
      </c>
      <c r="P1479" t="str">
        <f>_xll.BDP("347818AZ Muni","MUNI_TAX_PROV")</f>
        <v>FED &amp; ST TAX-EXEMPT</v>
      </c>
      <c r="Q1479" t="str">
        <f>_xll.BDP("347818AZ Muni","MUNI_FED_TAX")</f>
        <v>N</v>
      </c>
      <c r="R1479" t="str">
        <f>_xll.BDP("347818AZ Muni","MUNI_MSRB_VOLUME")</f>
        <v>#N/A N/A</v>
      </c>
      <c r="S1479" t="str">
        <f>_xll.BDP("347818AZ Muni","BB_COMPOSITE")</f>
        <v>#N/A N/A</v>
      </c>
      <c r="T1479">
        <f>_xll.BDP("347818AZ Muni","LQA_LIQUIDITY_SCORE")</f>
        <v>62</v>
      </c>
    </row>
    <row r="1480" spans="1:20" x14ac:dyDescent="0.25">
      <c r="A1480" t="str">
        <f>_xll.BDP("347818BA Muni","ID_CUSIP")</f>
        <v>347818BA3</v>
      </c>
      <c r="B1480" t="s">
        <v>427</v>
      </c>
      <c r="C1480" t="str">
        <f>_xll.BDP("347818BA Muni","INSURANCE_STATUS")</f>
        <v>Y</v>
      </c>
      <c r="D1480" t="str">
        <f>_xll.BDP("347818BA Muni","STATE_CODE")</f>
        <v>CO</v>
      </c>
      <c r="E1480" t="str">
        <f>_xll.BDP("347818BA Muni","COUNTY_LOCATION_ISSUER")</f>
        <v>Weld, CO</v>
      </c>
      <c r="F1480">
        <f>_xll.BDP("347818BA Muni","DUR_ADJ_MID")</f>
        <v>3.1517120064411781</v>
      </c>
      <c r="G1480">
        <f>_xll.BDP("347818BA Muni","SPREAD_AT_ISSUANCE_TO_WORST")</f>
        <v>29.918901369863015</v>
      </c>
      <c r="H1480" t="str">
        <f>_xll.BDP("347818BA Muni","ISSUE_DT")</f>
        <v>9/28/2017</v>
      </c>
      <c r="I1480" t="str">
        <f>_xll.BDS("347818BA Muni","MUNI_PURPOSE_SCHED", "aggregate=y")</f>
        <v>WATER UTILITY IMPS. CURRENT REFUNDING</v>
      </c>
      <c r="J1480">
        <f>_xll.BDP("347818BA Muni","CPN")</f>
        <v>3</v>
      </c>
      <c r="K1480" t="str">
        <f>_xll.BDP("347818BA Muni","MATURITY")</f>
        <v>12/1/2025</v>
      </c>
      <c r="L1480">
        <v>320000</v>
      </c>
      <c r="M1480">
        <f>_xll.BDP("347818BA Muni","YIELD_ON_ISSUE_DATE")</f>
        <v>2</v>
      </c>
      <c r="N1480">
        <f>_xll.BDP("347818BA Muni","YTW_SPREAD_TO_MATURITY_AT_ISSU")</f>
        <v>29.918901369863015</v>
      </c>
      <c r="O1480" t="str">
        <f>_xll.BDP("347818BA Muni","BVAL_MID_YTM")</f>
        <v>#N/A Authorization</v>
      </c>
      <c r="P1480" t="str">
        <f>_xll.BDP("347818BA Muni","MUNI_TAX_PROV")</f>
        <v>FED &amp; ST TAX-EXEMPT</v>
      </c>
      <c r="Q1480" t="str">
        <f>_xll.BDP("347818BA Muni","MUNI_FED_TAX")</f>
        <v>N</v>
      </c>
      <c r="R1480" t="str">
        <f>_xll.BDP("347818BA Muni","MUNI_MSRB_VOLUME")</f>
        <v>#N/A N/A</v>
      </c>
      <c r="S1480" t="str">
        <f>_xll.BDP("347818BA Muni","BB_COMPOSITE")</f>
        <v>#N/A N/A</v>
      </c>
      <c r="T1480">
        <f>_xll.BDP("347818BA Muni","LQA_LIQUIDITY_SCORE")</f>
        <v>53</v>
      </c>
    </row>
    <row r="1481" spans="1:20" x14ac:dyDescent="0.25">
      <c r="A1481" t="str">
        <f>_xll.BDP("347818BB Muni","ID_CUSIP")</f>
        <v>347818BB1</v>
      </c>
      <c r="B1481" t="s">
        <v>427</v>
      </c>
      <c r="C1481" t="str">
        <f>_xll.BDP("347818BB Muni","INSURANCE_STATUS")</f>
        <v>Y</v>
      </c>
      <c r="D1481" t="str">
        <f>_xll.BDP("347818BB Muni","STATE_CODE")</f>
        <v>CO</v>
      </c>
      <c r="E1481" t="str">
        <f>_xll.BDP("347818BB Muni","COUNTY_LOCATION_ISSUER")</f>
        <v>Weld, CO</v>
      </c>
      <c r="F1481">
        <f>_xll.BDP("347818BB Muni","DUR_ADJ_MID")</f>
        <v>3.9042923110377687</v>
      </c>
      <c r="G1481">
        <f>_xll.BDP("347818BB Muni","SPREAD_AT_ISSUANCE_TO_WORST")</f>
        <v>33.577230136986302</v>
      </c>
      <c r="H1481" t="str">
        <f>_xll.BDP("347818BB Muni","ISSUE_DT")</f>
        <v>9/28/2017</v>
      </c>
      <c r="I1481" t="str">
        <f>_xll.BDS("347818BB Muni","MUNI_PURPOSE_SCHED", "aggregate=y")</f>
        <v>WATER UTILITY IMPS. CURRENT REFUNDING</v>
      </c>
      <c r="J1481">
        <f>_xll.BDP("347818BB Muni","CPN")</f>
        <v>5</v>
      </c>
      <c r="K1481" t="str">
        <f>_xll.BDP("347818BB Muni","MATURITY")</f>
        <v>12/1/2026</v>
      </c>
      <c r="L1481">
        <v>530000</v>
      </c>
      <c r="M1481">
        <f>_xll.BDP("347818BB Muni","YIELD_ON_ISSUE_DATE")</f>
        <v>2.16</v>
      </c>
      <c r="N1481">
        <f>_xll.BDP("347818BB Muni","YTW_SPREAD_TO_MATURITY_AT_ISSU")</f>
        <v>33.577230136986302</v>
      </c>
      <c r="O1481" t="str">
        <f>_xll.BDP("347818BB Muni","BVAL_MID_YTM")</f>
        <v>#N/A Authorization</v>
      </c>
      <c r="P1481" t="str">
        <f>_xll.BDP("347818BB Muni","MUNI_TAX_PROV")</f>
        <v>FED &amp; ST TAX-EXEMPT</v>
      </c>
      <c r="Q1481" t="str">
        <f>_xll.BDP("347818BB Muni","MUNI_FED_TAX")</f>
        <v>N</v>
      </c>
      <c r="R1481" t="str">
        <f>_xll.BDP("347818BB Muni","MUNI_MSRB_VOLUME")</f>
        <v>#N/A N/A</v>
      </c>
      <c r="S1481" t="str">
        <f>_xll.BDP("347818BB Muni","BB_COMPOSITE")</f>
        <v>#N/A N/A</v>
      </c>
      <c r="T1481">
        <f>_xll.BDP("347818BB Muni","LQA_LIQUIDITY_SCORE")</f>
        <v>60</v>
      </c>
    </row>
    <row r="1482" spans="1:20" x14ac:dyDescent="0.25">
      <c r="A1482" t="str">
        <f>_xll.BDP("347818BC Muni","ID_CUSIP")</f>
        <v>347818BC9</v>
      </c>
      <c r="B1482" t="s">
        <v>427</v>
      </c>
      <c r="C1482" t="str">
        <f>_xll.BDP("347818BC Muni","INSURANCE_STATUS")</f>
        <v>Y</v>
      </c>
      <c r="D1482" t="str">
        <f>_xll.BDP("347818BC Muni","STATE_CODE")</f>
        <v>CO</v>
      </c>
      <c r="E1482" t="str">
        <f>_xll.BDP("347818BC Muni","COUNTY_LOCATION_ISSUER")</f>
        <v>Weld, CO</v>
      </c>
      <c r="F1482">
        <f>_xll.BDP("347818BC Muni","DUR_ADJ_MID")</f>
        <v>4.7054564246895305</v>
      </c>
      <c r="G1482">
        <f>_xll.BDP("347818BC Muni","SPREAD_AT_ISSUANCE_TO_WORST")</f>
        <v>34.203808219178079</v>
      </c>
      <c r="H1482" t="str">
        <f>_xll.BDP("347818BC Muni","ISSUE_DT")</f>
        <v>9/28/2017</v>
      </c>
      <c r="I1482" t="str">
        <f>_xll.BDS("347818BC Muni","MUNI_PURPOSE_SCHED", "aggregate=y")</f>
        <v>WATER UTILITY IMPS. CURRENT REFUNDING</v>
      </c>
      <c r="J1482">
        <f>_xll.BDP("347818BC Muni","CPN")</f>
        <v>5</v>
      </c>
      <c r="K1482" t="str">
        <f>_xll.BDP("347818BC Muni","MATURITY")</f>
        <v>12/1/2027</v>
      </c>
      <c r="L1482">
        <v>585000</v>
      </c>
      <c r="M1482">
        <f>_xll.BDP("347818BC Muni","YIELD_ON_ISSUE_DATE")</f>
        <v>2.27</v>
      </c>
      <c r="N1482">
        <f>_xll.BDP("347818BC Muni","YTW_SPREAD_TO_MATURITY_AT_ISSU")</f>
        <v>34.203808219178079</v>
      </c>
      <c r="O1482" t="str">
        <f>_xll.BDP("347818BC Muni","BVAL_MID_YTM")</f>
        <v>#N/A Authorization</v>
      </c>
      <c r="P1482" t="str">
        <f>_xll.BDP("347818BC Muni","MUNI_TAX_PROV")</f>
        <v>FED &amp; ST TAX-EXEMPT</v>
      </c>
      <c r="Q1482" t="str">
        <f>_xll.BDP("347818BC Muni","MUNI_FED_TAX")</f>
        <v>N</v>
      </c>
      <c r="R1482">
        <f>_xll.BDP("347818BC Muni","MUNI_MSRB_VOLUME")</f>
        <v>300000</v>
      </c>
      <c r="S1482" t="str">
        <f>_xll.BDP("347818BC Muni","BB_COMPOSITE")</f>
        <v>#N/A N/A</v>
      </c>
      <c r="T1482">
        <f>_xll.BDP("347818BC Muni","LQA_LIQUIDITY_SCORE")</f>
        <v>55</v>
      </c>
    </row>
    <row r="1483" spans="1:20" x14ac:dyDescent="0.25">
      <c r="A1483" t="str">
        <f>_xll.BDP("348838DX Muni","ID_CUSIP")</f>
        <v>348838DX8</v>
      </c>
      <c r="B1483" t="s">
        <v>162</v>
      </c>
      <c r="C1483" t="str">
        <f>_xll.BDP("348838DX Muni","INSURANCE_STATUS")</f>
        <v>Y</v>
      </c>
      <c r="D1483" t="str">
        <f>_xll.BDP("348838DX Muni","STATE_CODE")</f>
        <v>TX</v>
      </c>
      <c r="E1483" t="str">
        <f>_xll.BDP("348838DX Muni","COUNTY_LOCATION_ISSUER")</f>
        <v>Pecos, TX</v>
      </c>
      <c r="F1483">
        <f>_xll.BDP("348838DX Muni","DUR_ADJ_MID")</f>
        <v>0.61026386541875333</v>
      </c>
      <c r="G1483">
        <f>_xll.BDP("348838DX Muni","SPREAD_AT_ISSUANCE_TO_WORST")</f>
        <v>39.092655544284561</v>
      </c>
      <c r="H1483" t="str">
        <f>_xll.BDP("348838DX Muni","ISSUE_DT")</f>
        <v>8/1/2017</v>
      </c>
      <c r="I1483" t="str">
        <f>_xll.BDS("348838DX Muni","MUNI_PURPOSE_SCHED", "aggregate=y")</f>
        <v>WATER UTILITY IMPS. SEWER IMPS.</v>
      </c>
      <c r="J1483">
        <f>_xll.BDP("348838DX Muni","CPN")</f>
        <v>2</v>
      </c>
      <c r="K1483" t="str">
        <f>_xll.BDP("348838DX Muni","MATURITY")</f>
        <v>3/15/2023</v>
      </c>
      <c r="L1483">
        <v>235000</v>
      </c>
      <c r="M1483">
        <f>_xll.BDP("348838DX Muni","YIELD_ON_ISSUE_DATE")</f>
        <v>1.85</v>
      </c>
      <c r="N1483">
        <f>_xll.BDP("348838DX Muni","YTW_SPREAD_TO_MATURITY_AT_ISSU")</f>
        <v>39.092655544284561</v>
      </c>
      <c r="O1483" t="str">
        <f>_xll.BDP("348838DX Muni","BVAL_MID_YTM")</f>
        <v>#N/A Authorization</v>
      </c>
      <c r="P1483" t="str">
        <f>_xll.BDP("348838DX Muni","MUNI_TAX_PROV")</f>
        <v>FED BQ</v>
      </c>
      <c r="Q1483" t="str">
        <f>_xll.BDP("348838DX Muni","MUNI_FED_TAX")</f>
        <v>N</v>
      </c>
      <c r="R1483" t="str">
        <f>_xll.BDP("348838DX Muni","MUNI_MSRB_VOLUME")</f>
        <v>#N/A N/A</v>
      </c>
      <c r="S1483" t="str">
        <f>_xll.BDP("348838DX Muni","BB_COMPOSITE")</f>
        <v>A+</v>
      </c>
      <c r="T1483">
        <f>_xll.BDP("348838DX Muni","LQA_LIQUIDITY_SCORE")</f>
        <v>93</v>
      </c>
    </row>
    <row r="1484" spans="1:20" x14ac:dyDescent="0.25">
      <c r="A1484" t="str">
        <f>_xll.BDP("348838DZ Muni","ID_CUSIP")</f>
        <v>348838DZ3</v>
      </c>
      <c r="B1484" t="s">
        <v>162</v>
      </c>
      <c r="C1484" t="str">
        <f>_xll.BDP("348838DZ Muni","INSURANCE_STATUS")</f>
        <v>Y</v>
      </c>
      <c r="D1484" t="str">
        <f>_xll.BDP("348838DZ Muni","STATE_CODE")</f>
        <v>TX</v>
      </c>
      <c r="E1484" t="str">
        <f>_xll.BDP("348838DZ Muni","COUNTY_LOCATION_ISSUER")</f>
        <v>Pecos, TX</v>
      </c>
      <c r="F1484">
        <f>_xll.BDP("348838DZ Muni","DUR_ADJ_MID")</f>
        <v>2.5118701242530763</v>
      </c>
      <c r="G1484">
        <f>_xll.BDP("348838DZ Muni","SPREAD_AT_ISSUANCE_TO_WORST")</f>
        <v>37.110287703456144</v>
      </c>
      <c r="H1484" t="str">
        <f>_xll.BDP("348838DZ Muni","ISSUE_DT")</f>
        <v>8/1/2017</v>
      </c>
      <c r="I1484" t="str">
        <f>_xll.BDS("348838DZ Muni","MUNI_PURPOSE_SCHED", "aggregate=y")</f>
        <v>WATER UTILITY IMPS. SEWER IMPS.</v>
      </c>
      <c r="J1484">
        <f>_xll.BDP("348838DZ Muni","CPN")</f>
        <v>2.25</v>
      </c>
      <c r="K1484" t="str">
        <f>_xll.BDP("348838DZ Muni","MATURITY")</f>
        <v>3/15/2025</v>
      </c>
      <c r="L1484">
        <v>245000</v>
      </c>
      <c r="M1484">
        <f>_xll.BDP("348838DZ Muni","YIELD_ON_ISSUE_DATE")</f>
        <v>2.12</v>
      </c>
      <c r="N1484">
        <f>_xll.BDP("348838DZ Muni","YTW_SPREAD_TO_MATURITY_AT_ISSU")</f>
        <v>37.110287703456144</v>
      </c>
      <c r="O1484" t="str">
        <f>_xll.BDP("348838DZ Muni","BVAL_MID_YTM")</f>
        <v>#N/A Authorization</v>
      </c>
      <c r="P1484" t="str">
        <f>_xll.BDP("348838DZ Muni","MUNI_TAX_PROV")</f>
        <v>FED BQ</v>
      </c>
      <c r="Q1484" t="str">
        <f>_xll.BDP("348838DZ Muni","MUNI_FED_TAX")</f>
        <v>N</v>
      </c>
      <c r="R1484" t="str">
        <f>_xll.BDP("348838DZ Muni","MUNI_MSRB_VOLUME")</f>
        <v>#N/A N/A</v>
      </c>
      <c r="S1484" t="str">
        <f>_xll.BDP("348838DZ Muni","BB_COMPOSITE")</f>
        <v>A+</v>
      </c>
      <c r="T1484">
        <f>_xll.BDP("348838DZ Muni","LQA_LIQUIDITY_SCORE")</f>
        <v>74</v>
      </c>
    </row>
    <row r="1485" spans="1:20" x14ac:dyDescent="0.25">
      <c r="A1485" t="str">
        <f>_xll.BDP("348838EA Muni","ID_CUSIP")</f>
        <v>348838EA7</v>
      </c>
      <c r="B1485" t="s">
        <v>162</v>
      </c>
      <c r="C1485" t="str">
        <f>_xll.BDP("348838EA Muni","INSURANCE_STATUS")</f>
        <v>Y</v>
      </c>
      <c r="D1485" t="str">
        <f>_xll.BDP("348838EA Muni","STATE_CODE")</f>
        <v>TX</v>
      </c>
      <c r="E1485" t="str">
        <f>_xll.BDP("348838EA Muni","COUNTY_LOCATION_ISSUER")</f>
        <v>Pecos, TX</v>
      </c>
      <c r="F1485">
        <f>_xll.BDP("348838EA Muni","DUR_ADJ_MID")</f>
        <v>3.3305379120832854</v>
      </c>
      <c r="G1485">
        <f>_xll.BDP("348838EA Muni","SPREAD_AT_ISSUANCE_TO_WORST")</f>
        <v>40.370778462542646</v>
      </c>
      <c r="H1485" t="str">
        <f>_xll.BDP("348838EA Muni","ISSUE_DT")</f>
        <v>8/1/2017</v>
      </c>
      <c r="I1485" t="str">
        <f>_xll.BDS("348838EA Muni","MUNI_PURPOSE_SCHED", "aggregate=y")</f>
        <v>WATER UTILITY IMPS. SEWER IMPS.</v>
      </c>
      <c r="J1485">
        <f>_xll.BDP("348838EA Muni","CPN")</f>
        <v>4</v>
      </c>
      <c r="K1485" t="str">
        <f>_xll.BDP("348838EA Muni","MATURITY")</f>
        <v>3/15/2026</v>
      </c>
      <c r="L1485">
        <v>255000</v>
      </c>
      <c r="M1485">
        <f>_xll.BDP("348838EA Muni","YIELD_ON_ISSUE_DATE")</f>
        <v>2.29</v>
      </c>
      <c r="N1485">
        <f>_xll.BDP("348838EA Muni","YTW_SPREAD_TO_MATURITY_AT_ISSU")</f>
        <v>40.370778462542646</v>
      </c>
      <c r="O1485" t="str">
        <f>_xll.BDP("348838EA Muni","BVAL_MID_YTM")</f>
        <v>#N/A Authorization</v>
      </c>
      <c r="P1485" t="str">
        <f>_xll.BDP("348838EA Muni","MUNI_TAX_PROV")</f>
        <v>FED BQ</v>
      </c>
      <c r="Q1485" t="str">
        <f>_xll.BDP("348838EA Muni","MUNI_FED_TAX")</f>
        <v>N</v>
      </c>
      <c r="R1485" t="str">
        <f>_xll.BDP("348838EA Muni","MUNI_MSRB_VOLUME")</f>
        <v>#N/A N/A</v>
      </c>
      <c r="S1485" t="str">
        <f>_xll.BDP("348838EA Muni","BB_COMPOSITE")</f>
        <v>A+</v>
      </c>
      <c r="T1485">
        <f>_xll.BDP("348838EA Muni","LQA_LIQUIDITY_SCORE")</f>
        <v>74</v>
      </c>
    </row>
    <row r="1486" spans="1:20" x14ac:dyDescent="0.25">
      <c r="A1486" t="str">
        <f>_xll.BDP("348838EB Muni","ID_CUSIP")</f>
        <v>348838EB5</v>
      </c>
      <c r="B1486" t="s">
        <v>162</v>
      </c>
      <c r="C1486" t="str">
        <f>_xll.BDP("348838EB Muni","INSURANCE_STATUS")</f>
        <v>Y</v>
      </c>
      <c r="D1486" t="str">
        <f>_xll.BDP("348838EB Muni","STATE_CODE")</f>
        <v>TX</v>
      </c>
      <c r="E1486" t="str">
        <f>_xll.BDP("348838EB Muni","COUNTY_LOCATION_ISSUER")</f>
        <v>Pecos, TX</v>
      </c>
      <c r="F1486">
        <f>_xll.BDP("348838EB Muni","DUR_ADJ_MID")</f>
        <v>4.1741468688361572</v>
      </c>
      <c r="G1486">
        <f>_xll.BDP("348838EB Muni","SPREAD_AT_ISSUANCE_TO_WORST")</f>
        <v>41.942159424824197</v>
      </c>
      <c r="H1486" t="str">
        <f>_xll.BDP("348838EB Muni","ISSUE_DT")</f>
        <v>8/1/2017</v>
      </c>
      <c r="I1486" t="str">
        <f>_xll.BDS("348838EB Muni","MUNI_PURPOSE_SCHED", "aggregate=y")</f>
        <v>WATER UTILITY IMPS. SEWER IMPS.</v>
      </c>
      <c r="J1486">
        <f>_xll.BDP("348838EB Muni","CPN")</f>
        <v>4</v>
      </c>
      <c r="K1486" t="str">
        <f>_xll.BDP("348838EB Muni","MATURITY")</f>
        <v>3/15/2027</v>
      </c>
      <c r="L1486">
        <v>265000</v>
      </c>
      <c r="M1486">
        <f>_xll.BDP("348838EB Muni","YIELD_ON_ISSUE_DATE")</f>
        <v>2.42</v>
      </c>
      <c r="N1486">
        <f>_xll.BDP("348838EB Muni","YTW_SPREAD_TO_MATURITY_AT_ISSU")</f>
        <v>41.942159424824197</v>
      </c>
      <c r="O1486" t="str">
        <f>_xll.BDP("348838EB Muni","BVAL_MID_YTM")</f>
        <v>#N/A Authorization</v>
      </c>
      <c r="P1486" t="str">
        <f>_xll.BDP("348838EB Muni","MUNI_TAX_PROV")</f>
        <v>FED BQ</v>
      </c>
      <c r="Q1486" t="str">
        <f>_xll.BDP("348838EB Muni","MUNI_FED_TAX")</f>
        <v>N</v>
      </c>
      <c r="R1486" t="str">
        <f>_xll.BDP("348838EB Muni","MUNI_MSRB_VOLUME")</f>
        <v>#N/A N/A</v>
      </c>
      <c r="S1486" t="str">
        <f>_xll.BDP("348838EB Muni","BB_COMPOSITE")</f>
        <v>A+</v>
      </c>
      <c r="T1486">
        <f>_xll.BDP("348838EB Muni","LQA_LIQUIDITY_SCORE")</f>
        <v>69</v>
      </c>
    </row>
    <row r="1487" spans="1:20" x14ac:dyDescent="0.25">
      <c r="A1487" t="str">
        <f>_xll.BDP("34929MBB Muni","ID_CUSIP")</f>
        <v>34929MBB3</v>
      </c>
      <c r="B1487" t="s">
        <v>428</v>
      </c>
      <c r="C1487" t="str">
        <f>_xll.BDP("34929MBB Muni","INSURANCE_STATUS")</f>
        <v>N</v>
      </c>
      <c r="D1487" t="str">
        <f>_xll.BDP("34929MBB Muni","STATE_CODE")</f>
        <v>IN</v>
      </c>
      <c r="E1487" t="str">
        <f>_xll.BDP("34929MBB Muni","COUNTY_LOCATION_ISSUER")</f>
        <v>Allen, IN</v>
      </c>
      <c r="F1487">
        <f>_xll.BDP("34929MBB Muni","DUR_ADJ_MID")</f>
        <v>5.5552826671751883E-3</v>
      </c>
      <c r="G1487">
        <f>_xll.BDP("34929MBB Muni","SPREAD_AT_ISSUANCE_TO_WORST")</f>
        <v>32.370161846099663</v>
      </c>
      <c r="H1487" t="str">
        <f>_xll.BDP("34929MBB Muni","ISSUE_DT")</f>
        <v>6/29/2017</v>
      </c>
      <c r="I1487" t="str">
        <f>_xll.BDS("34929MBB Muni","MUNI_PURPOSE_SCHED", "aggregate=y")</f>
        <v>CURRENT REFUNDING WATER UTILITY IMPS.</v>
      </c>
      <c r="J1487">
        <f>_xll.BDP("34929MBB Muni","CPN")</f>
        <v>2</v>
      </c>
      <c r="K1487" t="str">
        <f>_xll.BDP("34929MBB Muni","MATURITY")</f>
        <v>8/1/2022</v>
      </c>
      <c r="L1487">
        <v>790000</v>
      </c>
      <c r="M1487">
        <f>_xll.BDP("34929MBB Muni","YIELD_ON_ISSUE_DATE")</f>
        <v>1.55</v>
      </c>
      <c r="N1487">
        <f>_xll.BDP("34929MBB Muni","YTW_SPREAD_TO_MATURITY_AT_ISSU")</f>
        <v>32.370161846099663</v>
      </c>
      <c r="O1487" t="str">
        <f>_xll.BDP("34929MBB Muni","BVAL_MID_YTM")</f>
        <v>#N/A Authorization</v>
      </c>
      <c r="P1487" t="str">
        <f>_xll.BDP("34929MBB Muni","MUNI_TAX_PROV")</f>
        <v>FED &amp; ST TAX-EXEMPT</v>
      </c>
      <c r="Q1487" t="str">
        <f>_xll.BDP("34929MBB Muni","MUNI_FED_TAX")</f>
        <v>N</v>
      </c>
      <c r="R1487">
        <f>_xll.BDP("34929MBB Muni","MUNI_MSRB_VOLUME")</f>
        <v>20000</v>
      </c>
      <c r="S1487" t="str">
        <f>_xll.BDP("34929MBB Muni","BB_COMPOSITE")</f>
        <v>#N/A N/A</v>
      </c>
      <c r="T1487">
        <f>_xll.BDP("34929MBB Muni","LQA_LIQUIDITY_SCORE")</f>
        <v>98</v>
      </c>
    </row>
    <row r="1488" spans="1:20" x14ac:dyDescent="0.25">
      <c r="A1488" t="str">
        <f>_xll.BDP("34929MBC Muni","ID_CUSIP")</f>
        <v>34929MBC1</v>
      </c>
      <c r="B1488" t="s">
        <v>428</v>
      </c>
      <c r="C1488" t="str">
        <f>_xll.BDP("34929MBC Muni","INSURANCE_STATUS")</f>
        <v>N</v>
      </c>
      <c r="D1488" t="str">
        <f>_xll.BDP("34929MBC Muni","STATE_CODE")</f>
        <v>IN</v>
      </c>
      <c r="E1488" t="str">
        <f>_xll.BDP("34929MBC Muni","COUNTY_LOCATION_ISSUER")</f>
        <v>Allen, IN</v>
      </c>
      <c r="F1488">
        <f>_xll.BDP("34929MBC Muni","DUR_ADJ_MID")</f>
        <v>0.49470118642697192</v>
      </c>
      <c r="G1488">
        <f>_xll.BDP("34929MBC Muni","SPREAD_AT_ISSUANCE_TO_WORST")</f>
        <v>35.226135113145141</v>
      </c>
      <c r="H1488" t="str">
        <f>_xll.BDP("34929MBC Muni","ISSUE_DT")</f>
        <v>6/29/2017</v>
      </c>
      <c r="I1488" t="str">
        <f>_xll.BDS("34929MBC Muni","MUNI_PURPOSE_SCHED", "aggregate=y")</f>
        <v>CURRENT REFUNDING WATER UTILITY IMPS.</v>
      </c>
      <c r="J1488">
        <f>_xll.BDP("34929MBC Muni","CPN")</f>
        <v>2</v>
      </c>
      <c r="K1488" t="str">
        <f>_xll.BDP("34929MBC Muni","MATURITY")</f>
        <v>2/1/2023</v>
      </c>
      <c r="L1488">
        <v>800000</v>
      </c>
      <c r="M1488">
        <f>_xll.BDP("34929MBC Muni","YIELD_ON_ISSUE_DATE")</f>
        <v>1.6500000000000001</v>
      </c>
      <c r="N1488">
        <f>_xll.BDP("34929MBC Muni","YTW_SPREAD_TO_MATURITY_AT_ISSU")</f>
        <v>35.226135113145141</v>
      </c>
      <c r="O1488" t="str">
        <f>_xll.BDP("34929MBC Muni","BVAL_MID_YTM")</f>
        <v>#N/A Authorization</v>
      </c>
      <c r="P1488" t="str">
        <f>_xll.BDP("34929MBC Muni","MUNI_TAX_PROV")</f>
        <v>FED &amp; ST TAX-EXEMPT</v>
      </c>
      <c r="Q1488" t="str">
        <f>_xll.BDP("34929MBC Muni","MUNI_FED_TAX")</f>
        <v>N</v>
      </c>
      <c r="R1488">
        <f>_xll.BDP("34929MBC Muni","MUNI_MSRB_VOLUME")</f>
        <v>250000</v>
      </c>
      <c r="S1488" t="str">
        <f>_xll.BDP("34929MBC Muni","BB_COMPOSITE")</f>
        <v>#N/A N/A</v>
      </c>
      <c r="T1488">
        <f>_xll.BDP("34929MBC Muni","LQA_LIQUIDITY_SCORE")</f>
        <v>83</v>
      </c>
    </row>
    <row r="1489" spans="1:20" x14ac:dyDescent="0.25">
      <c r="A1489" t="str">
        <f>_xll.BDP("34929MBD Muni","ID_CUSIP")</f>
        <v>34929MBD9</v>
      </c>
      <c r="B1489" t="s">
        <v>428</v>
      </c>
      <c r="C1489" t="str">
        <f>_xll.BDP("34929MBD Muni","INSURANCE_STATUS")</f>
        <v>N</v>
      </c>
      <c r="D1489" t="str">
        <f>_xll.BDP("34929MBD Muni","STATE_CODE")</f>
        <v>IN</v>
      </c>
      <c r="E1489" t="str">
        <f>_xll.BDP("34929MBD Muni","COUNTY_LOCATION_ISSUER")</f>
        <v>Allen, IN</v>
      </c>
      <c r="F1489">
        <f>_xll.BDP("34929MBD Muni","DUR_ADJ_MID")</f>
        <v>0.98505420206061733</v>
      </c>
      <c r="G1489">
        <f>_xll.BDP("34929MBD Muni","SPREAD_AT_ISSUANCE_TO_WORST")</f>
        <v>33.169401967282816</v>
      </c>
      <c r="H1489" t="str">
        <f>_xll.BDP("34929MBD Muni","ISSUE_DT")</f>
        <v>6/29/2017</v>
      </c>
      <c r="I1489" t="str">
        <f>_xll.BDS("34929MBD Muni","MUNI_PURPOSE_SCHED", "aggregate=y")</f>
        <v>CURRENT REFUNDING WATER UTILITY IMPS.</v>
      </c>
      <c r="J1489">
        <f>_xll.BDP("34929MBD Muni","CPN")</f>
        <v>2</v>
      </c>
      <c r="K1489" t="str">
        <f>_xll.BDP("34929MBD Muni","MATURITY")</f>
        <v>8/1/2023</v>
      </c>
      <c r="L1489">
        <v>805000</v>
      </c>
      <c r="M1489">
        <f>_xll.BDP("34929MBD Muni","YIELD_ON_ISSUE_DATE")</f>
        <v>1.7000000000000002</v>
      </c>
      <c r="N1489">
        <f>_xll.BDP("34929MBD Muni","YTW_SPREAD_TO_MATURITY_AT_ISSU")</f>
        <v>33.169401967282816</v>
      </c>
      <c r="O1489" t="str">
        <f>_xll.BDP("34929MBD Muni","BVAL_MID_YTM")</f>
        <v>#N/A Authorization</v>
      </c>
      <c r="P1489" t="str">
        <f>_xll.BDP("34929MBD Muni","MUNI_TAX_PROV")</f>
        <v>FED &amp; ST TAX-EXEMPT</v>
      </c>
      <c r="Q1489" t="str">
        <f>_xll.BDP("34929MBD Muni","MUNI_FED_TAX")</f>
        <v>N</v>
      </c>
      <c r="R1489">
        <f>_xll.BDP("34929MBD Muni","MUNI_MSRB_VOLUME")</f>
        <v>105000</v>
      </c>
      <c r="S1489" t="str">
        <f>_xll.BDP("34929MBD Muni","BB_COMPOSITE")</f>
        <v>#N/A N/A</v>
      </c>
      <c r="T1489">
        <f>_xll.BDP("34929MBD Muni","LQA_LIQUIDITY_SCORE")</f>
        <v>72</v>
      </c>
    </row>
    <row r="1490" spans="1:20" x14ac:dyDescent="0.25">
      <c r="A1490" t="str">
        <f>_xll.BDP("34929MBE Muni","ID_CUSIP")</f>
        <v>34929MBE7</v>
      </c>
      <c r="B1490" t="s">
        <v>428</v>
      </c>
      <c r="C1490" t="str">
        <f>_xll.BDP("34929MBE Muni","INSURANCE_STATUS")</f>
        <v>N</v>
      </c>
      <c r="D1490" t="str">
        <f>_xll.BDP("34929MBE Muni","STATE_CODE")</f>
        <v>IN</v>
      </c>
      <c r="E1490" t="str">
        <f>_xll.BDP("34929MBE Muni","COUNTY_LOCATION_ISSUER")</f>
        <v>Allen, IN</v>
      </c>
      <c r="F1490">
        <f>_xll.BDP("34929MBE Muni","DUR_ADJ_MID")</f>
        <v>1.4708255624255535</v>
      </c>
      <c r="G1490">
        <f>_xll.BDP("34929MBE Muni","SPREAD_AT_ISSUANCE_TO_WORST")</f>
        <v>35.915782169554845</v>
      </c>
      <c r="H1490" t="str">
        <f>_xll.BDP("34929MBE Muni","ISSUE_DT")</f>
        <v>6/29/2017</v>
      </c>
      <c r="I1490" t="str">
        <f>_xll.BDS("34929MBE Muni","MUNI_PURPOSE_SCHED", "aggregate=y")</f>
        <v>CURRENT REFUNDING WATER UTILITY IMPS.</v>
      </c>
      <c r="J1490">
        <f>_xll.BDP("34929MBE Muni","CPN")</f>
        <v>2</v>
      </c>
      <c r="K1490" t="str">
        <f>_xll.BDP("34929MBE Muni","MATURITY")</f>
        <v>2/1/2024</v>
      </c>
      <c r="L1490">
        <v>815000</v>
      </c>
      <c r="M1490">
        <f>_xll.BDP("34929MBE Muni","YIELD_ON_ISSUE_DATE")</f>
        <v>1.8</v>
      </c>
      <c r="N1490">
        <f>_xll.BDP("34929MBE Muni","YTW_SPREAD_TO_MATURITY_AT_ISSU")</f>
        <v>35.915782169554845</v>
      </c>
      <c r="O1490" t="str">
        <f>_xll.BDP("34929MBE Muni","BVAL_MID_YTM")</f>
        <v>#N/A Authorization</v>
      </c>
      <c r="P1490" t="str">
        <f>_xll.BDP("34929MBE Muni","MUNI_TAX_PROV")</f>
        <v>FED &amp; ST TAX-EXEMPT</v>
      </c>
      <c r="Q1490" t="str">
        <f>_xll.BDP("34929MBE Muni","MUNI_FED_TAX")</f>
        <v>N</v>
      </c>
      <c r="R1490">
        <f>_xll.BDP("34929MBE Muni","MUNI_MSRB_VOLUME")</f>
        <v>125000</v>
      </c>
      <c r="S1490" t="str">
        <f>_xll.BDP("34929MBE Muni","BB_COMPOSITE")</f>
        <v>#N/A N/A</v>
      </c>
      <c r="T1490">
        <f>_xll.BDP("34929MBE Muni","LQA_LIQUIDITY_SCORE")</f>
        <v>64</v>
      </c>
    </row>
    <row r="1491" spans="1:20" x14ac:dyDescent="0.25">
      <c r="A1491" t="str">
        <f>_xll.BDP("34929MBF Muni","ID_CUSIP")</f>
        <v>34929MBF4</v>
      </c>
      <c r="B1491" t="s">
        <v>428</v>
      </c>
      <c r="C1491" t="str">
        <f>_xll.BDP("34929MBF Muni","INSURANCE_STATUS")</f>
        <v>N</v>
      </c>
      <c r="D1491" t="str">
        <f>_xll.BDP("34929MBF Muni","STATE_CODE")</f>
        <v>IN</v>
      </c>
      <c r="E1491" t="str">
        <f>_xll.BDP("34929MBF Muni","COUNTY_LOCATION_ISSUER")</f>
        <v>Allen, IN</v>
      </c>
      <c r="F1491">
        <f>_xll.BDP("34929MBF Muni","DUR_ADJ_MID")</f>
        <v>1.951269779291579</v>
      </c>
      <c r="G1491">
        <f>_xll.BDP("34929MBF Muni","SPREAD_AT_ISSUANCE_TO_WORST")</f>
        <v>33.706484435615948</v>
      </c>
      <c r="H1491" t="str">
        <f>_xll.BDP("34929MBF Muni","ISSUE_DT")</f>
        <v>6/29/2017</v>
      </c>
      <c r="I1491" t="str">
        <f>_xll.BDS("34929MBF Muni","MUNI_PURPOSE_SCHED", "aggregate=y")</f>
        <v>CURRENT REFUNDING WATER UTILITY IMPS.</v>
      </c>
      <c r="J1491">
        <f>_xll.BDP("34929MBF Muni","CPN")</f>
        <v>2</v>
      </c>
      <c r="K1491" t="str">
        <f>_xll.BDP("34929MBF Muni","MATURITY")</f>
        <v>8/1/2024</v>
      </c>
      <c r="L1491">
        <v>825000</v>
      </c>
      <c r="M1491">
        <f>_xll.BDP("34929MBF Muni","YIELD_ON_ISSUE_DATE")</f>
        <v>1.85</v>
      </c>
      <c r="N1491">
        <f>_xll.BDP("34929MBF Muni","YTW_SPREAD_TO_MATURITY_AT_ISSU")</f>
        <v>33.706484435615948</v>
      </c>
      <c r="O1491" t="str">
        <f>_xll.BDP("34929MBF Muni","BVAL_MID_YTM")</f>
        <v>#N/A Authorization</v>
      </c>
      <c r="P1491" t="str">
        <f>_xll.BDP("34929MBF Muni","MUNI_TAX_PROV")</f>
        <v>FED &amp; ST TAX-EXEMPT</v>
      </c>
      <c r="Q1491" t="str">
        <f>_xll.BDP("34929MBF Muni","MUNI_FED_TAX")</f>
        <v>N</v>
      </c>
      <c r="R1491" t="str">
        <f>_xll.BDP("34929MBF Muni","MUNI_MSRB_VOLUME")</f>
        <v>#N/A N/A</v>
      </c>
      <c r="S1491" t="str">
        <f>_xll.BDP("34929MBF Muni","BB_COMPOSITE")</f>
        <v>#N/A N/A</v>
      </c>
      <c r="T1491">
        <f>_xll.BDP("34929MBF Muni","LQA_LIQUIDITY_SCORE")</f>
        <v>57</v>
      </c>
    </row>
    <row r="1492" spans="1:20" x14ac:dyDescent="0.25">
      <c r="A1492" t="str">
        <f>_xll.BDP("34929MBG Muni","ID_CUSIP")</f>
        <v>34929MBG2</v>
      </c>
      <c r="B1492" t="s">
        <v>428</v>
      </c>
      <c r="C1492" t="str">
        <f>_xll.BDP("34929MBG Muni","INSURANCE_STATUS")</f>
        <v>N</v>
      </c>
      <c r="D1492" t="str">
        <f>_xll.BDP("34929MBG Muni","STATE_CODE")</f>
        <v>IN</v>
      </c>
      <c r="E1492" t="str">
        <f>_xll.BDP("34929MBG Muni","COUNTY_LOCATION_ISSUER")</f>
        <v>Allen, IN</v>
      </c>
      <c r="F1492">
        <f>_xll.BDP("34929MBG Muni","DUR_ADJ_MID")</f>
        <v>2.4272326176666454</v>
      </c>
      <c r="G1492">
        <f>_xll.BDP("34929MBG Muni","SPREAD_AT_ISSUANCE_TO_WORST")</f>
        <v>36.325825040722549</v>
      </c>
      <c r="H1492" t="str">
        <f>_xll.BDP("34929MBG Muni","ISSUE_DT")</f>
        <v>6/29/2017</v>
      </c>
      <c r="I1492" t="str">
        <f>_xll.BDS("34929MBG Muni","MUNI_PURPOSE_SCHED", "aggregate=y")</f>
        <v>CURRENT REFUNDING WATER UTILITY IMPS.</v>
      </c>
      <c r="J1492">
        <f>_xll.BDP("34929MBG Muni","CPN")</f>
        <v>2</v>
      </c>
      <c r="K1492" t="str">
        <f>_xll.BDP("34929MBG Muni","MATURITY")</f>
        <v>2/1/2025</v>
      </c>
      <c r="L1492">
        <v>835000</v>
      </c>
      <c r="M1492">
        <f>_xll.BDP("34929MBG Muni","YIELD_ON_ISSUE_DATE")</f>
        <v>1.95</v>
      </c>
      <c r="N1492">
        <f>_xll.BDP("34929MBG Muni","YTW_SPREAD_TO_MATURITY_AT_ISSU")</f>
        <v>36.325825040722549</v>
      </c>
      <c r="O1492" t="str">
        <f>_xll.BDP("34929MBG Muni","BVAL_MID_YTM")</f>
        <v>#N/A Authorization</v>
      </c>
      <c r="P1492" t="str">
        <f>_xll.BDP("34929MBG Muni","MUNI_TAX_PROV")</f>
        <v>FED &amp; ST TAX-EXEMPT</v>
      </c>
      <c r="Q1492" t="str">
        <f>_xll.BDP("34929MBG Muni","MUNI_FED_TAX")</f>
        <v>N</v>
      </c>
      <c r="R1492">
        <f>_xll.BDP("34929MBG Muni","MUNI_MSRB_VOLUME")</f>
        <v>30000</v>
      </c>
      <c r="S1492" t="str">
        <f>_xll.BDP("34929MBG Muni","BB_COMPOSITE")</f>
        <v>#N/A N/A</v>
      </c>
      <c r="T1492">
        <f>_xll.BDP("34929MBG Muni","LQA_LIQUIDITY_SCORE")</f>
        <v>51</v>
      </c>
    </row>
    <row r="1493" spans="1:20" x14ac:dyDescent="0.25">
      <c r="A1493" t="str">
        <f>_xll.BDP("524802DL Muni","ID_CUSIP")</f>
        <v>524802DL6</v>
      </c>
      <c r="B1493" t="s">
        <v>429</v>
      </c>
      <c r="C1493" t="str">
        <f>_xll.BDP("524802DL Muni","INSURANCE_STATUS")</f>
        <v>N</v>
      </c>
      <c r="D1493" t="str">
        <f>_xll.BDP("524802DL Muni","STATE_CODE")</f>
        <v>PA</v>
      </c>
      <c r="E1493" t="str">
        <f>_xll.BDP("524802DL Muni","COUNTY_LOCATION_ISSUER")</f>
        <v>Lehigh, PA</v>
      </c>
      <c r="F1493">
        <f>_xll.BDP("524802DL Muni","DUR_ADJ_MID")</f>
        <v>0.24674320394695656</v>
      </c>
      <c r="G1493">
        <f>_xll.BDP("524802DL Muni","SPREAD_AT_ISSUANCE_TO_WORST")</f>
        <v>24.449816288308579</v>
      </c>
      <c r="H1493" t="str">
        <f>_xll.BDP("524802DL Muni","ISSUE_DT")</f>
        <v>6/20/2017</v>
      </c>
      <c r="I1493" t="str">
        <f>_xll.BDS("524802DL Muni","MUNI_PURPOSE_SCHED", "aggregate=y")</f>
        <v>WATER UTILITY IMPS.</v>
      </c>
      <c r="J1493">
        <f>_xll.BDP("524802DL Muni","CPN")</f>
        <v>3</v>
      </c>
      <c r="K1493" t="str">
        <f>_xll.BDP("524802DL Muni","MATURITY")</f>
        <v>11/1/2022</v>
      </c>
      <c r="L1493">
        <v>340000</v>
      </c>
      <c r="M1493">
        <f>_xll.BDP("524802DL Muni","YIELD_ON_ISSUE_DATE")</f>
        <v>1.5</v>
      </c>
      <c r="N1493">
        <f>_xll.BDP("524802DL Muni","YTW_SPREAD_TO_MATURITY_AT_ISSU")</f>
        <v>24.449816288308579</v>
      </c>
      <c r="O1493" t="str">
        <f>_xll.BDP("524802DL Muni","BVAL_MID_YTM")</f>
        <v>#N/A Authorization</v>
      </c>
      <c r="P1493" t="str">
        <f>_xll.BDP("524802DL Muni","MUNI_TAX_PROV")</f>
        <v>FED &amp; ST TAX-EXEMPT</v>
      </c>
      <c r="Q1493" t="str">
        <f>_xll.BDP("524802DL Muni","MUNI_FED_TAX")</f>
        <v>N</v>
      </c>
      <c r="R1493" t="str">
        <f>_xll.BDP("524802DL Muni","MUNI_MSRB_VOLUME")</f>
        <v>#N/A N/A</v>
      </c>
      <c r="S1493" t="str">
        <f>_xll.BDP("524802DL Muni","BB_COMPOSITE")</f>
        <v>#N/A N/A</v>
      </c>
      <c r="T1493">
        <f>_xll.BDP("524802DL Muni","LQA_LIQUIDITY_SCORE")</f>
        <v>89</v>
      </c>
    </row>
    <row r="1494" spans="1:20" x14ac:dyDescent="0.25">
      <c r="A1494" t="str">
        <f>_xll.BDP("524802DM Muni","ID_CUSIP")</f>
        <v>524802DM4</v>
      </c>
      <c r="B1494" t="s">
        <v>429</v>
      </c>
      <c r="C1494" t="str">
        <f>_xll.BDP("524802DM Muni","INSURANCE_STATUS")</f>
        <v>N</v>
      </c>
      <c r="D1494" t="str">
        <f>_xll.BDP("524802DM Muni","STATE_CODE")</f>
        <v>PA</v>
      </c>
      <c r="E1494" t="str">
        <f>_xll.BDP("524802DM Muni","COUNTY_LOCATION_ISSUER")</f>
        <v>Lehigh, PA</v>
      </c>
      <c r="F1494">
        <f>_xll.BDP("524802DM Muni","DUR_ADJ_MID")</f>
        <v>1.2168661764848161</v>
      </c>
      <c r="G1494">
        <f>_xll.BDP("524802DM Muni","SPREAD_AT_ISSUANCE_TO_WORST")</f>
        <v>23.529576302449009</v>
      </c>
      <c r="H1494" t="str">
        <f>_xll.BDP("524802DM Muni","ISSUE_DT")</f>
        <v>6/20/2017</v>
      </c>
      <c r="I1494" t="str">
        <f>_xll.BDS("524802DM Muni","MUNI_PURPOSE_SCHED", "aggregate=y")</f>
        <v>WATER UTILITY IMPS.</v>
      </c>
      <c r="J1494">
        <f>_xll.BDP("524802DM Muni","CPN")</f>
        <v>3</v>
      </c>
      <c r="K1494" t="str">
        <f>_xll.BDP("524802DM Muni","MATURITY")</f>
        <v>11/1/2023</v>
      </c>
      <c r="L1494">
        <v>350000</v>
      </c>
      <c r="M1494">
        <f>_xll.BDP("524802DM Muni","YIELD_ON_ISSUE_DATE")</f>
        <v>1.6500000000000001</v>
      </c>
      <c r="N1494">
        <f>_xll.BDP("524802DM Muni","YTW_SPREAD_TO_MATURITY_AT_ISSU")</f>
        <v>23.529576302449009</v>
      </c>
      <c r="O1494" t="str">
        <f>_xll.BDP("524802DM Muni","BVAL_MID_YTM")</f>
        <v>#N/A Authorization</v>
      </c>
      <c r="P1494" t="str">
        <f>_xll.BDP("524802DM Muni","MUNI_TAX_PROV")</f>
        <v>FED &amp; ST TAX-EXEMPT</v>
      </c>
      <c r="Q1494" t="str">
        <f>_xll.BDP("524802DM Muni","MUNI_FED_TAX")</f>
        <v>N</v>
      </c>
      <c r="R1494">
        <f>_xll.BDP("524802DM Muni","MUNI_MSRB_VOLUME")</f>
        <v>100000</v>
      </c>
      <c r="S1494" t="str">
        <f>_xll.BDP("524802DM Muni","BB_COMPOSITE")</f>
        <v>#N/A N/A</v>
      </c>
      <c r="T1494">
        <f>_xll.BDP("524802DM Muni","LQA_LIQUIDITY_SCORE")</f>
        <v>65</v>
      </c>
    </row>
    <row r="1495" spans="1:20" x14ac:dyDescent="0.25">
      <c r="A1495" t="str">
        <f>_xll.BDP("524802DN Muni","ID_CUSIP")</f>
        <v>524802DN2</v>
      </c>
      <c r="B1495" t="s">
        <v>429</v>
      </c>
      <c r="C1495" t="str">
        <f>_xll.BDP("524802DN Muni","INSURANCE_STATUS")</f>
        <v>N</v>
      </c>
      <c r="D1495" t="str">
        <f>_xll.BDP("524802DN Muni","STATE_CODE")</f>
        <v>PA</v>
      </c>
      <c r="E1495" t="str">
        <f>_xll.BDP("524802DN Muni","COUNTY_LOCATION_ISSUER")</f>
        <v>Lehigh, PA</v>
      </c>
      <c r="F1495">
        <f>_xll.BDP("524802DN Muni","DUR_ADJ_MID")</f>
        <v>2.1166376434234615</v>
      </c>
      <c r="G1495">
        <f>_xll.BDP("524802DN Muni","SPREAD_AT_ISSUANCE_TO_WORST")</f>
        <v>22.599783526659213</v>
      </c>
      <c r="H1495" t="str">
        <f>_xll.BDP("524802DN Muni","ISSUE_DT")</f>
        <v>6/20/2017</v>
      </c>
      <c r="I1495" t="str">
        <f>_xll.BDS("524802DN Muni","MUNI_PURPOSE_SCHED", "aggregate=y")</f>
        <v>WATER UTILITY IMPS.</v>
      </c>
      <c r="J1495">
        <f>_xll.BDP("524802DN Muni","CPN")</f>
        <v>5</v>
      </c>
      <c r="K1495" t="str">
        <f>_xll.BDP("524802DN Muni","MATURITY")</f>
        <v>11/1/2024</v>
      </c>
      <c r="L1495">
        <v>360000</v>
      </c>
      <c r="M1495">
        <f>_xll.BDP("524802DN Muni","YIELD_ON_ISSUE_DATE")</f>
        <v>1.8</v>
      </c>
      <c r="N1495">
        <f>_xll.BDP("524802DN Muni","YTW_SPREAD_TO_MATURITY_AT_ISSU")</f>
        <v>22.599783526659213</v>
      </c>
      <c r="O1495" t="str">
        <f>_xll.BDP("524802DN Muni","BVAL_MID_YTM")</f>
        <v>#N/A Authorization</v>
      </c>
      <c r="P1495" t="str">
        <f>_xll.BDP("524802DN Muni","MUNI_TAX_PROV")</f>
        <v>FED &amp; ST TAX-EXEMPT</v>
      </c>
      <c r="Q1495" t="str">
        <f>_xll.BDP("524802DN Muni","MUNI_FED_TAX")</f>
        <v>N</v>
      </c>
      <c r="R1495" t="str">
        <f>_xll.BDP("524802DN Muni","MUNI_MSRB_VOLUME")</f>
        <v>#N/A N/A</v>
      </c>
      <c r="S1495" t="str">
        <f>_xll.BDP("524802DN Muni","BB_COMPOSITE")</f>
        <v>#N/A N/A</v>
      </c>
      <c r="T1495">
        <f>_xll.BDP("524802DN Muni","LQA_LIQUIDITY_SCORE")</f>
        <v>63</v>
      </c>
    </row>
    <row r="1496" spans="1:20" x14ac:dyDescent="0.25">
      <c r="A1496" t="str">
        <f>_xll.BDP("524802DP Muni","ID_CUSIP")</f>
        <v>524802DP7</v>
      </c>
      <c r="B1496" t="s">
        <v>429</v>
      </c>
      <c r="C1496" t="str">
        <f>_xll.BDP("524802DP Muni","INSURANCE_STATUS")</f>
        <v>N</v>
      </c>
      <c r="D1496" t="str">
        <f>_xll.BDP("524802DP Muni","STATE_CODE")</f>
        <v>PA</v>
      </c>
      <c r="E1496" t="str">
        <f>_xll.BDP("524802DP Muni","COUNTY_LOCATION_ISSUER")</f>
        <v>Lehigh, PA</v>
      </c>
      <c r="F1496">
        <f>_xll.BDP("524802DP Muni","DUR_ADJ_MID")</f>
        <v>2.9909911474095345</v>
      </c>
      <c r="G1496">
        <f>_xll.BDP("524802DP Muni","SPREAD_AT_ISSUANCE_TO_WORST")</f>
        <v>22.442070333970833</v>
      </c>
      <c r="H1496" t="str">
        <f>_xll.BDP("524802DP Muni","ISSUE_DT")</f>
        <v>6/20/2017</v>
      </c>
      <c r="I1496" t="str">
        <f>_xll.BDS("524802DP Muni","MUNI_PURPOSE_SCHED", "aggregate=y")</f>
        <v>WATER UTILITY IMPS.</v>
      </c>
      <c r="J1496">
        <f>_xll.BDP("524802DP Muni","CPN")</f>
        <v>5</v>
      </c>
      <c r="K1496" t="str">
        <f>_xll.BDP("524802DP Muni","MATURITY")</f>
        <v>11/1/2025</v>
      </c>
      <c r="L1496">
        <v>380000</v>
      </c>
      <c r="M1496">
        <f>_xll.BDP("524802DP Muni","YIELD_ON_ISSUE_DATE")</f>
        <v>1.95</v>
      </c>
      <c r="N1496">
        <f>_xll.BDP("524802DP Muni","YTW_SPREAD_TO_MATURITY_AT_ISSU")</f>
        <v>22.442070333970833</v>
      </c>
      <c r="O1496" t="str">
        <f>_xll.BDP("524802DP Muni","BVAL_MID_YTM")</f>
        <v>#N/A Authorization</v>
      </c>
      <c r="P1496" t="str">
        <f>_xll.BDP("524802DP Muni","MUNI_TAX_PROV")</f>
        <v>FED &amp; ST TAX-EXEMPT</v>
      </c>
      <c r="Q1496" t="str">
        <f>_xll.BDP("524802DP Muni","MUNI_FED_TAX")</f>
        <v>N</v>
      </c>
      <c r="R1496" t="str">
        <f>_xll.BDP("524802DP Muni","MUNI_MSRB_VOLUME")</f>
        <v>#N/A N/A</v>
      </c>
      <c r="S1496" t="str">
        <f>_xll.BDP("524802DP Muni","BB_COMPOSITE")</f>
        <v>#N/A N/A</v>
      </c>
      <c r="T1496">
        <f>_xll.BDP("524802DP Muni","LQA_LIQUIDITY_SCORE")</f>
        <v>54</v>
      </c>
    </row>
    <row r="1497" spans="1:20" x14ac:dyDescent="0.25">
      <c r="A1497" t="str">
        <f>_xll.BDP("524802DQ Muni","ID_CUSIP")</f>
        <v>524802DQ5</v>
      </c>
      <c r="B1497" t="s">
        <v>429</v>
      </c>
      <c r="C1497" t="str">
        <f>_xll.BDP("524802DQ Muni","INSURANCE_STATUS")</f>
        <v>N</v>
      </c>
      <c r="D1497" t="str">
        <f>_xll.BDP("524802DQ Muni","STATE_CODE")</f>
        <v>PA</v>
      </c>
      <c r="E1497" t="str">
        <f>_xll.BDP("524802DQ Muni","COUNTY_LOCATION_ISSUER")</f>
        <v>Lehigh, PA</v>
      </c>
      <c r="F1497">
        <f>_xll.BDP("524802DQ Muni","DUR_ADJ_MID")</f>
        <v>3.8292497116293838</v>
      </c>
      <c r="G1497">
        <f>_xll.BDP("524802DQ Muni","SPREAD_AT_ISSUANCE_TO_WORST")</f>
        <v>24.310709808166632</v>
      </c>
      <c r="H1497" t="str">
        <f>_xll.BDP("524802DQ Muni","ISSUE_DT")</f>
        <v>6/20/2017</v>
      </c>
      <c r="I1497" t="str">
        <f>_xll.BDS("524802DQ Muni","MUNI_PURPOSE_SCHED", "aggregate=y")</f>
        <v>WATER UTILITY IMPS.</v>
      </c>
      <c r="J1497">
        <f>_xll.BDP("524802DQ Muni","CPN")</f>
        <v>5</v>
      </c>
      <c r="K1497" t="str">
        <f>_xll.BDP("524802DQ Muni","MATURITY")</f>
        <v>11/1/2026</v>
      </c>
      <c r="L1497">
        <v>400000</v>
      </c>
      <c r="M1497">
        <f>_xll.BDP("524802DQ Muni","YIELD_ON_ISSUE_DATE")</f>
        <v>2.1</v>
      </c>
      <c r="N1497">
        <f>_xll.BDP("524802DQ Muni","YTW_SPREAD_TO_MATURITY_AT_ISSU")</f>
        <v>24.310709808166632</v>
      </c>
      <c r="O1497" t="str">
        <f>_xll.BDP("524802DQ Muni","BVAL_MID_YTM")</f>
        <v>#N/A Authorization</v>
      </c>
      <c r="P1497" t="str">
        <f>_xll.BDP("524802DQ Muni","MUNI_TAX_PROV")</f>
        <v>FED &amp; ST TAX-EXEMPT</v>
      </c>
      <c r="Q1497" t="str">
        <f>_xll.BDP("524802DQ Muni","MUNI_FED_TAX")</f>
        <v>N</v>
      </c>
      <c r="R1497" t="str">
        <f>_xll.BDP("524802DQ Muni","MUNI_MSRB_VOLUME")</f>
        <v>#N/A N/A</v>
      </c>
      <c r="S1497" t="str">
        <f>_xll.BDP("524802DQ Muni","BB_COMPOSITE")</f>
        <v>#N/A N/A</v>
      </c>
      <c r="T1497">
        <f>_xll.BDP("524802DQ Muni","LQA_LIQUIDITY_SCORE")</f>
        <v>59</v>
      </c>
    </row>
    <row r="1498" spans="1:20" x14ac:dyDescent="0.25">
      <c r="A1498" t="str">
        <f>_xll.BDP("405108RB Muni","ID_CUSIP")</f>
        <v>405108RB9</v>
      </c>
      <c r="B1498" t="s">
        <v>40</v>
      </c>
      <c r="C1498" t="str">
        <f>_xll.BDP("405108RB Muni","INSURANCE_STATUS")</f>
        <v>N</v>
      </c>
      <c r="D1498" t="str">
        <f>_xll.BDP("405108RB Muni","STATE_CODE")</f>
        <v>MD</v>
      </c>
      <c r="E1498" t="str">
        <f>_xll.BDP("405108RB Muni","COUNTY_LOCATION_ISSUER")</f>
        <v>Washington, MD</v>
      </c>
      <c r="F1498">
        <f>_xll.BDP("405108RB Muni","DUR_ADJ_MID")</f>
        <v>0.81196745987347085</v>
      </c>
      <c r="G1498">
        <f>_xll.BDP("405108RB Muni","SPREAD_AT_ISSUANCE_TO_WORST")</f>
        <v>8.3167094147068799</v>
      </c>
      <c r="H1498" t="str">
        <f>_xll.BDP("405108RB Muni","ISSUE_DT")</f>
        <v>6/1/2017</v>
      </c>
      <c r="I1498" t="str">
        <f>_xll.BDS("405108RB Muni","MUNI_PURPOSE_SCHED", "aggregate=y")</f>
        <v>PUBLIC IMPS. WATER UTILITY IMPS. SEWER IMPS.</v>
      </c>
      <c r="J1498">
        <f>_xll.BDP("405108RB Muni","CPN")</f>
        <v>5</v>
      </c>
      <c r="K1498" t="str">
        <f>_xll.BDP("405108RB Muni","MATURITY")</f>
        <v>6/1/2023</v>
      </c>
      <c r="L1498">
        <v>235000</v>
      </c>
      <c r="M1498">
        <f>_xll.BDP("405108RB Muni","YIELD_ON_ISSUE_DATE")</f>
        <v>1.6</v>
      </c>
      <c r="N1498">
        <f>_xll.BDP("405108RB Muni","YTW_SPREAD_TO_MATURITY_AT_ISSU")</f>
        <v>8.3167094147068799</v>
      </c>
      <c r="O1498" t="str">
        <f>_xll.BDP("405108RB Muni","BVAL_MID_YTM")</f>
        <v>#N/A Authorization</v>
      </c>
      <c r="P1498" t="str">
        <f>_xll.BDP("405108RB Muni","MUNI_TAX_PROV")</f>
        <v>FED BQ/ST TAX-EXEMPT</v>
      </c>
      <c r="Q1498" t="str">
        <f>_xll.BDP("405108RB Muni","MUNI_FED_TAX")</f>
        <v>N</v>
      </c>
      <c r="R1498" t="str">
        <f>_xll.BDP("405108RB Muni","MUNI_MSRB_VOLUME")</f>
        <v>#N/A N/A</v>
      </c>
      <c r="S1498" t="str">
        <f>_xll.BDP("405108RB Muni","BB_COMPOSITE")</f>
        <v>AA-</v>
      </c>
      <c r="T1498">
        <f>_xll.BDP("405108RB Muni","LQA_LIQUIDITY_SCORE")</f>
        <v>91</v>
      </c>
    </row>
    <row r="1499" spans="1:20" x14ac:dyDescent="0.25">
      <c r="A1499" t="str">
        <f>_xll.BDP("405108RD Muni","ID_CUSIP")</f>
        <v>405108RD5</v>
      </c>
      <c r="B1499" t="s">
        <v>40</v>
      </c>
      <c r="C1499" t="str">
        <f>_xll.BDP("405108RD Muni","INSURANCE_STATUS")</f>
        <v>N</v>
      </c>
      <c r="D1499" t="str">
        <f>_xll.BDP("405108RD Muni","STATE_CODE")</f>
        <v>MD</v>
      </c>
      <c r="E1499" t="str">
        <f>_xll.BDP("405108RD Muni","COUNTY_LOCATION_ISSUER")</f>
        <v>Washington, MD</v>
      </c>
      <c r="F1499">
        <f>_xll.BDP("405108RD Muni","DUR_ADJ_MID")</f>
        <v>2.6953577388841028</v>
      </c>
      <c r="G1499">
        <f>_xll.BDP("405108RD Muni","SPREAD_AT_ISSUANCE_TO_WORST")</f>
        <v>10.721039136088862</v>
      </c>
      <c r="H1499" t="str">
        <f>_xll.BDP("405108RD Muni","ISSUE_DT")</f>
        <v>6/1/2017</v>
      </c>
      <c r="I1499" t="str">
        <f>_xll.BDS("405108RD Muni","MUNI_PURPOSE_SCHED", "aggregate=y")</f>
        <v>PUBLIC IMPS. WATER UTILITY IMPS. SEWER IMPS.</v>
      </c>
      <c r="J1499">
        <f>_xll.BDP("405108RD Muni","CPN")</f>
        <v>3</v>
      </c>
      <c r="K1499" t="str">
        <f>_xll.BDP("405108RD Muni","MATURITY")</f>
        <v>6/1/2025</v>
      </c>
      <c r="L1499">
        <v>260000</v>
      </c>
      <c r="M1499">
        <f>_xll.BDP("405108RD Muni","YIELD_ON_ISSUE_DATE")</f>
        <v>1.95</v>
      </c>
      <c r="N1499">
        <f>_xll.BDP("405108RD Muni","YTW_SPREAD_TO_MATURITY_AT_ISSU")</f>
        <v>10.721039136088862</v>
      </c>
      <c r="O1499" t="str">
        <f>_xll.BDP("405108RD Muni","BVAL_MID_YTM")</f>
        <v>#N/A Authorization</v>
      </c>
      <c r="P1499" t="str">
        <f>_xll.BDP("405108RD Muni","MUNI_TAX_PROV")</f>
        <v>FED BQ/ST TAX-EXEMPT</v>
      </c>
      <c r="Q1499" t="str">
        <f>_xll.BDP("405108RD Muni","MUNI_FED_TAX")</f>
        <v>N</v>
      </c>
      <c r="R1499" t="str">
        <f>_xll.BDP("405108RD Muni","MUNI_MSRB_VOLUME")</f>
        <v>#N/A N/A</v>
      </c>
      <c r="S1499" t="str">
        <f>_xll.BDP("405108RD Muni","BB_COMPOSITE")</f>
        <v>AA-</v>
      </c>
      <c r="T1499">
        <f>_xll.BDP("405108RD Muni","LQA_LIQUIDITY_SCORE")</f>
        <v>70</v>
      </c>
    </row>
    <row r="1500" spans="1:20" x14ac:dyDescent="0.25">
      <c r="A1500" t="str">
        <f>_xll.BDP("405108RX Muni","ID_CUSIP")</f>
        <v>405108RX1</v>
      </c>
      <c r="B1500" t="s">
        <v>40</v>
      </c>
      <c r="C1500" t="str">
        <f>_xll.BDP("405108RX Muni","INSURANCE_STATUS")</f>
        <v>N</v>
      </c>
      <c r="D1500" t="str">
        <f>_xll.BDP("405108RX Muni","STATE_CODE")</f>
        <v>MD</v>
      </c>
      <c r="E1500" t="str">
        <f>_xll.BDP("405108RX Muni","COUNTY_LOCATION_ISSUER")</f>
        <v>Washington, MD</v>
      </c>
      <c r="F1500">
        <f>_xll.BDP("405108RX Muni","DUR_ADJ_MID")</f>
        <v>0.81093313619692797</v>
      </c>
      <c r="G1500">
        <f>_xll.BDP("405108RX Muni","SPREAD_AT_ISSUANCE_TO_WORST")</f>
        <v>43.302011621067038</v>
      </c>
      <c r="H1500" t="str">
        <f>_xll.BDP("405108RX Muni","ISSUE_DT")</f>
        <v>6/1/2017</v>
      </c>
      <c r="I1500" t="str">
        <f>_xll.BDS("405108RX Muni","MUNI_PURPOSE_SCHED", "aggregate=y")</f>
        <v>PUBLIC IMPS. WATER UTILITY IMPS. SEWER IMPS.</v>
      </c>
      <c r="J1500">
        <f>_xll.BDP("405108RX Muni","CPN")</f>
        <v>3</v>
      </c>
      <c r="K1500" t="str">
        <f>_xll.BDP("405108RX Muni","MATURITY")</f>
        <v>6/1/2023</v>
      </c>
      <c r="L1500">
        <v>70000</v>
      </c>
      <c r="M1500">
        <f>_xll.BDP("405108RX Muni","YIELD_ON_ISSUE_DATE")</f>
        <v>2.4500000000000002</v>
      </c>
      <c r="N1500">
        <f>_xll.BDP("405108RX Muni","YTW_SPREAD_TO_MATURITY_AT_ISSU")</f>
        <v>43.302011621067038</v>
      </c>
      <c r="O1500" t="str">
        <f>_xll.BDP("405108RX Muni","BVAL_MID_YTM")</f>
        <v>#N/A Authorization</v>
      </c>
      <c r="P1500" t="str">
        <f>_xll.BDP("405108RX Muni","MUNI_TAX_PROV")</f>
        <v>FED TAXABLE/ST TAX-EXEMPT</v>
      </c>
      <c r="Q1500" t="str">
        <f>_xll.BDP("405108RX Muni","MUNI_FED_TAX")</f>
        <v>Y</v>
      </c>
      <c r="R1500" t="str">
        <f>_xll.BDP("405108RX Muni","MUNI_MSRB_VOLUME")</f>
        <v>#N/A N/A</v>
      </c>
      <c r="S1500" t="str">
        <f>_xll.BDP("405108RX Muni","BB_COMPOSITE")</f>
        <v>AA-</v>
      </c>
      <c r="T1500">
        <f>_xll.BDP("405108RX Muni","LQA_LIQUIDITY_SCORE")</f>
        <v>86</v>
      </c>
    </row>
    <row r="1501" spans="1:20" x14ac:dyDescent="0.25">
      <c r="A1501" t="str">
        <f>_xll.BDP("405108RZ Muni","ID_CUSIP")</f>
        <v>405108RZ6</v>
      </c>
      <c r="B1501" t="s">
        <v>40</v>
      </c>
      <c r="C1501" t="str">
        <f>_xll.BDP("405108RZ Muni","INSURANCE_STATUS")</f>
        <v>N</v>
      </c>
      <c r="D1501" t="str">
        <f>_xll.BDP("405108RZ Muni","STATE_CODE")</f>
        <v>MD</v>
      </c>
      <c r="E1501" t="str">
        <f>_xll.BDP("405108RZ Muni","COUNTY_LOCATION_ISSUER")</f>
        <v>Washington, MD</v>
      </c>
      <c r="F1501">
        <f>_xll.BDP("405108RZ Muni","DUR_ADJ_MID")</f>
        <v>2.6788568733077418</v>
      </c>
      <c r="G1501">
        <f>_xll.BDP("405108RZ Muni","SPREAD_AT_ISSUANCE_TO_WORST")</f>
        <v>48.251883256756756</v>
      </c>
      <c r="H1501" t="str">
        <f>_xll.BDP("405108RZ Muni","ISSUE_DT")</f>
        <v>6/1/2017</v>
      </c>
      <c r="I1501" t="str">
        <f>_xll.BDS("405108RZ Muni","MUNI_PURPOSE_SCHED", "aggregate=y")</f>
        <v>PUBLIC IMPS. WATER UTILITY IMPS. SEWER IMPS.</v>
      </c>
      <c r="J1501">
        <f>_xll.BDP("405108RZ Muni","CPN")</f>
        <v>3</v>
      </c>
      <c r="K1501" t="str">
        <f>_xll.BDP("405108RZ Muni","MATURITY")</f>
        <v>6/1/2025</v>
      </c>
      <c r="L1501">
        <v>70000</v>
      </c>
      <c r="M1501">
        <f>_xll.BDP("405108RZ Muni","YIELD_ON_ISSUE_DATE")</f>
        <v>2.7</v>
      </c>
      <c r="N1501">
        <f>_xll.BDP("405108RZ Muni","YTW_SPREAD_TO_MATURITY_AT_ISSU")</f>
        <v>48.251883256756756</v>
      </c>
      <c r="O1501" t="str">
        <f>_xll.BDP("405108RZ Muni","BVAL_MID_YTM")</f>
        <v>#N/A Authorization</v>
      </c>
      <c r="P1501" t="str">
        <f>_xll.BDP("405108RZ Muni","MUNI_TAX_PROV")</f>
        <v>FED TAXABLE/ST TAX-EXEMPT</v>
      </c>
      <c r="Q1501" t="str">
        <f>_xll.BDP("405108RZ Muni","MUNI_FED_TAX")</f>
        <v>Y</v>
      </c>
      <c r="R1501" t="str">
        <f>_xll.BDP("405108RZ Muni","MUNI_MSRB_VOLUME")</f>
        <v>#N/A N/A</v>
      </c>
      <c r="S1501" t="str">
        <f>_xll.BDP("405108RZ Muni","BB_COMPOSITE")</f>
        <v>AA-</v>
      </c>
      <c r="T1501">
        <f>_xll.BDP("405108RZ Muni","LQA_LIQUIDITY_SCORE")</f>
        <v>67</v>
      </c>
    </row>
    <row r="1502" spans="1:20" x14ac:dyDescent="0.25">
      <c r="A1502" t="str">
        <f>_xll.BDP("405108SA Muni","ID_CUSIP")</f>
        <v>405108SA0</v>
      </c>
      <c r="B1502" t="s">
        <v>40</v>
      </c>
      <c r="C1502" t="str">
        <f>_xll.BDP("405108SA Muni","INSURANCE_STATUS")</f>
        <v>N</v>
      </c>
      <c r="D1502" t="str">
        <f>_xll.BDP("405108SA Muni","STATE_CODE")</f>
        <v>MD</v>
      </c>
      <c r="E1502" t="str">
        <f>_xll.BDP("405108SA Muni","COUNTY_LOCATION_ISSUER")</f>
        <v>Washington, MD</v>
      </c>
      <c r="F1502">
        <f>_xll.BDP("405108SA Muni","DUR_ADJ_MID")</f>
        <v>3.5555964797604371</v>
      </c>
      <c r="G1502">
        <f>_xll.BDP("405108SA Muni","SPREAD_AT_ISSUANCE_TO_WORST")</f>
        <v>51.767229135135118</v>
      </c>
      <c r="H1502" t="str">
        <f>_xll.BDP("405108SA Muni","ISSUE_DT")</f>
        <v>6/1/2017</v>
      </c>
      <c r="I1502" t="str">
        <f>_xll.BDS("405108SA Muni","MUNI_PURPOSE_SCHED", "aggregate=y")</f>
        <v>PUBLIC IMPS. WATER UTILITY IMPS. SEWER IMPS.</v>
      </c>
      <c r="J1502">
        <f>_xll.BDP("405108SA Muni","CPN")</f>
        <v>3.25</v>
      </c>
      <c r="K1502" t="str">
        <f>_xll.BDP("405108SA Muni","MATURITY")</f>
        <v>6/1/2026</v>
      </c>
      <c r="L1502">
        <v>75000</v>
      </c>
      <c r="M1502">
        <f>_xll.BDP("405108SA Muni","YIELD_ON_ISSUE_DATE")</f>
        <v>2.8000000000000003</v>
      </c>
      <c r="N1502">
        <f>_xll.BDP("405108SA Muni","YTW_SPREAD_TO_MATURITY_AT_ISSU")</f>
        <v>51.767229135135118</v>
      </c>
      <c r="O1502" t="str">
        <f>_xll.BDP("405108SA Muni","BVAL_MID_YTM")</f>
        <v>#N/A Authorization</v>
      </c>
      <c r="P1502" t="str">
        <f>_xll.BDP("405108SA Muni","MUNI_TAX_PROV")</f>
        <v>FED TAXABLE/ST TAX-EXEMPT</v>
      </c>
      <c r="Q1502" t="str">
        <f>_xll.BDP("405108SA Muni","MUNI_FED_TAX")</f>
        <v>Y</v>
      </c>
      <c r="R1502">
        <f>_xll.BDP("405108SA Muni","MUNI_MSRB_VOLUME")</f>
        <v>150000</v>
      </c>
      <c r="S1502" t="str">
        <f>_xll.BDP("405108SA Muni","BB_COMPOSITE")</f>
        <v>AA-</v>
      </c>
      <c r="T1502">
        <f>_xll.BDP("405108SA Muni","LQA_LIQUIDITY_SCORE")</f>
        <v>62</v>
      </c>
    </row>
    <row r="1503" spans="1:20" x14ac:dyDescent="0.25">
      <c r="A1503" t="str">
        <f>_xll.BDP("406450ZV Muni","ID_CUSIP")</f>
        <v>406450ZV1</v>
      </c>
      <c r="B1503" t="s">
        <v>353</v>
      </c>
      <c r="C1503" t="str">
        <f>_xll.BDP("406450ZV Muni","INSURANCE_STATUS")</f>
        <v>N</v>
      </c>
      <c r="D1503" t="str">
        <f>_xll.BDP("406450ZV Muni","STATE_CODE")</f>
        <v>TX</v>
      </c>
      <c r="E1503" t="str">
        <f>_xll.BDP("406450ZV Muni","COUNTY_LOCATION_ISSUER")</f>
        <v>Tarrant, TX</v>
      </c>
      <c r="F1503">
        <f>_xll.BDP("406450ZV Muni","DUR_ADJ_MID")</f>
        <v>0.49399583088995164</v>
      </c>
      <c r="G1503">
        <f>_xll.BDP("406450ZV Muni","SPREAD_AT_ISSUANCE_TO_WORST")</f>
        <v>20.30186301369865</v>
      </c>
      <c r="H1503" t="str">
        <f>_xll.BDP("406450ZV Muni","ISSUE_DT")</f>
        <v>12/1/2017</v>
      </c>
      <c r="I1503" t="str">
        <f>_xll.BDS("406450ZV Muni","MUNI_PURPOSE_SCHED", "aggregate=y")</f>
        <v>WATER UTILITY IMPS. SEWER IMPS. PUBLIC IMPS.</v>
      </c>
      <c r="J1503">
        <f>_xll.BDP("406450ZV Muni","CPN")</f>
        <v>3</v>
      </c>
      <c r="K1503" t="str">
        <f>_xll.BDP("406450ZV Muni","MATURITY")</f>
        <v>2/1/2023</v>
      </c>
      <c r="L1503">
        <v>435000</v>
      </c>
      <c r="M1503">
        <f>_xll.BDP("406450ZV Muni","YIELD_ON_ISSUE_DATE")</f>
        <v>1.85</v>
      </c>
      <c r="N1503">
        <f>_xll.BDP("406450ZV Muni","YTW_SPREAD_TO_MATURITY_AT_ISSU")</f>
        <v>20.30186301369865</v>
      </c>
      <c r="O1503" t="str">
        <f>_xll.BDP("406450ZV Muni","BVAL_MID_YTM")</f>
        <v>#N/A Authorization</v>
      </c>
      <c r="P1503" t="str">
        <f>_xll.BDP("406450ZV Muni","MUNI_TAX_PROV")</f>
        <v>FED BQ</v>
      </c>
      <c r="Q1503" t="str">
        <f>_xll.BDP("406450ZV Muni","MUNI_FED_TAX")</f>
        <v>N</v>
      </c>
      <c r="R1503" t="str">
        <f>_xll.BDP("406450ZV Muni","MUNI_MSRB_VOLUME")</f>
        <v>#N/A N/A</v>
      </c>
      <c r="S1503" t="str">
        <f>_xll.BDP("406450ZV Muni","BB_COMPOSITE")</f>
        <v>#N/A N/A</v>
      </c>
      <c r="T1503">
        <f>_xll.BDP("406450ZV Muni","LQA_LIQUIDITY_SCORE")</f>
        <v>88</v>
      </c>
    </row>
    <row r="1504" spans="1:20" x14ac:dyDescent="0.25">
      <c r="A1504" t="str">
        <f>_xll.BDP("406450ZX Muni","ID_CUSIP")</f>
        <v>406450ZX7</v>
      </c>
      <c r="B1504" t="s">
        <v>353</v>
      </c>
      <c r="C1504" t="str">
        <f>_xll.BDP("406450ZX Muni","INSURANCE_STATUS")</f>
        <v>N</v>
      </c>
      <c r="D1504" t="str">
        <f>_xll.BDP("406450ZX Muni","STATE_CODE")</f>
        <v>TX</v>
      </c>
      <c r="E1504" t="str">
        <f>_xll.BDP("406450ZX Muni","COUNTY_LOCATION_ISSUER")</f>
        <v>Tarrant, TX</v>
      </c>
      <c r="F1504">
        <f>_xll.BDP("406450ZX Muni","DUR_ADJ_MID")</f>
        <v>2.3790813630518084</v>
      </c>
      <c r="G1504">
        <f>_xll.BDP("406450ZX Muni","SPREAD_AT_ISSUANCE_TO_WORST")</f>
        <v>22.726594520547927</v>
      </c>
      <c r="H1504" t="str">
        <f>_xll.BDP("406450ZX Muni","ISSUE_DT")</f>
        <v>12/1/2017</v>
      </c>
      <c r="I1504" t="str">
        <f>_xll.BDS("406450ZX Muni","MUNI_PURPOSE_SCHED", "aggregate=y")</f>
        <v>WATER UTILITY IMPS. SEWER IMPS. PUBLIC IMPS.</v>
      </c>
      <c r="J1504">
        <f>_xll.BDP("406450ZX Muni","CPN")</f>
        <v>4</v>
      </c>
      <c r="K1504" t="str">
        <f>_xll.BDP("406450ZX Muni","MATURITY")</f>
        <v>2/1/2025</v>
      </c>
      <c r="L1504">
        <v>465000</v>
      </c>
      <c r="M1504">
        <f>_xll.BDP("406450ZX Muni","YIELD_ON_ISSUE_DATE")</f>
        <v>2</v>
      </c>
      <c r="N1504">
        <f>_xll.BDP("406450ZX Muni","YTW_SPREAD_TO_MATURITY_AT_ISSU")</f>
        <v>22.726594520547927</v>
      </c>
      <c r="O1504" t="str">
        <f>_xll.BDP("406450ZX Muni","BVAL_MID_YTM")</f>
        <v>#N/A Authorization</v>
      </c>
      <c r="P1504" t="str">
        <f>_xll.BDP("406450ZX Muni","MUNI_TAX_PROV")</f>
        <v>FED BQ</v>
      </c>
      <c r="Q1504" t="str">
        <f>_xll.BDP("406450ZX Muni","MUNI_FED_TAX")</f>
        <v>N</v>
      </c>
      <c r="R1504" t="str">
        <f>_xll.BDP("406450ZX Muni","MUNI_MSRB_VOLUME")</f>
        <v>#N/A N/A</v>
      </c>
      <c r="S1504" t="str">
        <f>_xll.BDP("406450ZX Muni","BB_COMPOSITE")</f>
        <v>#N/A N/A</v>
      </c>
      <c r="T1504">
        <f>_xll.BDP("406450ZX Muni","LQA_LIQUIDITY_SCORE")</f>
        <v>73</v>
      </c>
    </row>
    <row r="1505" spans="1:20" x14ac:dyDescent="0.25">
      <c r="A1505" t="str">
        <f>_xll.BDP("406450ZY Muni","ID_CUSIP")</f>
        <v>406450ZY5</v>
      </c>
      <c r="B1505" t="s">
        <v>353</v>
      </c>
      <c r="C1505" t="str">
        <f>_xll.BDP("406450ZY Muni","INSURANCE_STATUS")</f>
        <v>N</v>
      </c>
      <c r="D1505" t="str">
        <f>_xll.BDP("406450ZY Muni","STATE_CODE")</f>
        <v>TX</v>
      </c>
      <c r="E1505" t="str">
        <f>_xll.BDP("406450ZY Muni","COUNTY_LOCATION_ISSUER")</f>
        <v>Tarrant, TX</v>
      </c>
      <c r="F1505">
        <f>_xll.BDP("406450ZY Muni","DUR_ADJ_MID")</f>
        <v>3.2698221598928727</v>
      </c>
      <c r="G1505">
        <f>_xll.BDP("406450ZY Muni","SPREAD_AT_ISSUANCE_TO_WORST")</f>
        <v>24.96275616438357</v>
      </c>
      <c r="H1505" t="str">
        <f>_xll.BDP("406450ZY Muni","ISSUE_DT")</f>
        <v>12/1/2017</v>
      </c>
      <c r="I1505" t="str">
        <f>_xll.BDS("406450ZY Muni","MUNI_PURPOSE_SCHED", "aggregate=y")</f>
        <v>WATER UTILITY IMPS. SEWER IMPS. PUBLIC IMPS.</v>
      </c>
      <c r="J1505">
        <f>_xll.BDP("406450ZY Muni","CPN")</f>
        <v>4</v>
      </c>
      <c r="K1505" t="str">
        <f>_xll.BDP("406450ZY Muni","MATURITY")</f>
        <v>2/1/2026</v>
      </c>
      <c r="L1505">
        <v>485000</v>
      </c>
      <c r="M1505">
        <f>_xll.BDP("406450ZY Muni","YIELD_ON_ISSUE_DATE")</f>
        <v>2.1</v>
      </c>
      <c r="N1505">
        <f>_xll.BDP("406450ZY Muni","YTW_SPREAD_TO_MATURITY_AT_ISSU")</f>
        <v>24.96275616438357</v>
      </c>
      <c r="O1505" t="str">
        <f>_xll.BDP("406450ZY Muni","BVAL_MID_YTM")</f>
        <v>#N/A Authorization</v>
      </c>
      <c r="P1505" t="str">
        <f>_xll.BDP("406450ZY Muni","MUNI_TAX_PROV")</f>
        <v>FED BQ</v>
      </c>
      <c r="Q1505" t="str">
        <f>_xll.BDP("406450ZY Muni","MUNI_FED_TAX")</f>
        <v>N</v>
      </c>
      <c r="R1505" t="str">
        <f>_xll.BDP("406450ZY Muni","MUNI_MSRB_VOLUME")</f>
        <v>#N/A N/A</v>
      </c>
      <c r="S1505" t="str">
        <f>_xll.BDP("406450ZY Muni","BB_COMPOSITE")</f>
        <v>#N/A N/A</v>
      </c>
      <c r="T1505">
        <f>_xll.BDP("406450ZY Muni","LQA_LIQUIDITY_SCORE")</f>
        <v>65</v>
      </c>
    </row>
    <row r="1506" spans="1:20" x14ac:dyDescent="0.25">
      <c r="A1506" t="str">
        <f>_xll.BDP("407576EP Muni","ID_CUSIP")</f>
        <v>407576EP8</v>
      </c>
      <c r="B1506" t="s">
        <v>430</v>
      </c>
      <c r="C1506" t="str">
        <f>_xll.BDP("407576EP Muni","INSURANCE_STATUS")</f>
        <v>N</v>
      </c>
      <c r="D1506" t="str">
        <f>_xll.BDP("407576EP Muni","STATE_CODE")</f>
        <v>MA</v>
      </c>
      <c r="E1506" t="str">
        <f>_xll.BDP("407576EP Muni","COUNTY_LOCATION_ISSUER")</f>
        <v>Essex, MA</v>
      </c>
      <c r="F1506">
        <f>_xll.BDP("407576EP Muni","DUR_ADJ_MID")</f>
        <v>0.61141494779169048</v>
      </c>
      <c r="G1506">
        <f>_xll.BDP("407576EP Muni","SPREAD_AT_ISSUANCE_TO_WORST")</f>
        <v>0.52810459595715731</v>
      </c>
      <c r="H1506" t="str">
        <f>_xll.BDP("407576EP Muni","ISSUE_DT")</f>
        <v>5/10/2017</v>
      </c>
      <c r="I1506" t="str">
        <f>_xll.BDS("407576EP Muni","MUNI_PURPOSE_SCHED", "aggregate=y")</f>
        <v>WATER UTILITY IMPS. RESOURCE RECOVERY IMPS. REFUNDING NOTES</v>
      </c>
      <c r="J1506">
        <f>_xll.BDP("407576EP Muni","CPN")</f>
        <v>2</v>
      </c>
      <c r="K1506" t="str">
        <f>_xll.BDP("407576EP Muni","MATURITY")</f>
        <v>3/15/2023</v>
      </c>
      <c r="L1506">
        <v>180000</v>
      </c>
      <c r="M1506">
        <f>_xll.BDP("407576EP Muni","YIELD_ON_ISSUE_DATE")</f>
        <v>1.54</v>
      </c>
      <c r="N1506">
        <f>_xll.BDP("407576EP Muni","YTW_SPREAD_TO_MATURITY_AT_ISSU")</f>
        <v>0.52810459595715731</v>
      </c>
      <c r="O1506" t="str">
        <f>_xll.BDP("407576EP Muni","BVAL_MID_YTM")</f>
        <v>#N/A Authorization</v>
      </c>
      <c r="P1506" t="str">
        <f>_xll.BDP("407576EP Muni","MUNI_TAX_PROV")</f>
        <v>FED BQ/ST TAX-EXEMPT</v>
      </c>
      <c r="Q1506" t="str">
        <f>_xll.BDP("407576EP Muni","MUNI_FED_TAX")</f>
        <v>N</v>
      </c>
      <c r="R1506" t="str">
        <f>_xll.BDP("407576EP Muni","MUNI_MSRB_VOLUME")</f>
        <v>#N/A N/A</v>
      </c>
      <c r="S1506" t="str">
        <f>_xll.BDP("407576EP Muni","BB_COMPOSITE")</f>
        <v>#N/A N/A</v>
      </c>
      <c r="T1506">
        <f>_xll.BDP("407576EP Muni","LQA_LIQUIDITY_SCORE")</f>
        <v>93</v>
      </c>
    </row>
    <row r="1507" spans="1:20" x14ac:dyDescent="0.25">
      <c r="A1507" t="str">
        <f>_xll.BDP("407576EQ Muni","ID_CUSIP")</f>
        <v>407576EQ6</v>
      </c>
      <c r="B1507" t="s">
        <v>430</v>
      </c>
      <c r="C1507" t="str">
        <f>_xll.BDP("407576EQ Muni","INSURANCE_STATUS")</f>
        <v>N</v>
      </c>
      <c r="D1507" t="str">
        <f>_xll.BDP("407576EQ Muni","STATE_CODE")</f>
        <v>MA</v>
      </c>
      <c r="E1507" t="str">
        <f>_xll.BDP("407576EQ Muni","COUNTY_LOCATION_ISSUER")</f>
        <v>Essex, MA</v>
      </c>
      <c r="F1507">
        <f>_xll.BDP("407576EQ Muni","DUR_ADJ_MID")</f>
        <v>1.5782304396654625</v>
      </c>
      <c r="G1507">
        <f>_xll.BDP("407576EQ Muni","SPREAD_AT_ISSUANCE_TO_WORST")</f>
        <v>-0.65554448158386958</v>
      </c>
      <c r="H1507" t="str">
        <f>_xll.BDP("407576EQ Muni","ISSUE_DT")</f>
        <v>5/10/2017</v>
      </c>
      <c r="I1507" t="str">
        <f>_xll.BDS("407576EQ Muni","MUNI_PURPOSE_SCHED", "aggregate=y")</f>
        <v>WATER UTILITY IMPS. RESOURCE RECOVERY IMPS. REFUNDING NOTES</v>
      </c>
      <c r="J1507">
        <f>_xll.BDP("407576EQ Muni","CPN")</f>
        <v>2</v>
      </c>
      <c r="K1507" t="str">
        <f>_xll.BDP("407576EQ Muni","MATURITY")</f>
        <v>3/15/2024</v>
      </c>
      <c r="L1507">
        <v>180000</v>
      </c>
      <c r="M1507">
        <f>_xll.BDP("407576EQ Muni","YIELD_ON_ISSUE_DATE")</f>
        <v>1.69</v>
      </c>
      <c r="N1507">
        <f>_xll.BDP("407576EQ Muni","YTW_SPREAD_TO_MATURITY_AT_ISSU")</f>
        <v>-0.65554448158386958</v>
      </c>
      <c r="O1507" t="str">
        <f>_xll.BDP("407576EQ Muni","BVAL_MID_YTM")</f>
        <v>#N/A Authorization</v>
      </c>
      <c r="P1507" t="str">
        <f>_xll.BDP("407576EQ Muni","MUNI_TAX_PROV")</f>
        <v>FED BQ/ST TAX-EXEMPT</v>
      </c>
      <c r="Q1507" t="str">
        <f>_xll.BDP("407576EQ Muni","MUNI_FED_TAX")</f>
        <v>N</v>
      </c>
      <c r="R1507">
        <f>_xll.BDP("407576EQ Muni","MUNI_MSRB_VOLUME")</f>
        <v>30000</v>
      </c>
      <c r="S1507" t="str">
        <f>_xll.BDP("407576EQ Muni","BB_COMPOSITE")</f>
        <v>#N/A N/A</v>
      </c>
      <c r="T1507">
        <f>_xll.BDP("407576EQ Muni","LQA_LIQUIDITY_SCORE")</f>
        <v>84</v>
      </c>
    </row>
    <row r="1508" spans="1:20" x14ac:dyDescent="0.25">
      <c r="A1508" t="str">
        <f>_xll.BDP("260183F7 Muni","ID_CUSIP")</f>
        <v>260183F78</v>
      </c>
      <c r="B1508" t="s">
        <v>346</v>
      </c>
      <c r="C1508" t="str">
        <f>_xll.BDP("260183F7 Muni","INSURANCE_STATUS")</f>
        <v>N</v>
      </c>
      <c r="D1508" t="str">
        <f>_xll.BDP("260183F7 Muni","STATE_CODE")</f>
        <v>NH</v>
      </c>
      <c r="E1508" t="str">
        <f>_xll.BDP("260183F7 Muni","COUNTY_LOCATION_ISSUER")</f>
        <v>Strafford, NH</v>
      </c>
      <c r="F1508">
        <f>_xll.BDP("260183F7 Muni","DUR_ADJ_MID")</f>
        <v>0.36824430116113499</v>
      </c>
      <c r="G1508">
        <f>_xll.BDP("260183F7 Muni","SPREAD_AT_ISSUANCE_TO_WORST")</f>
        <v>-3.25798904109591</v>
      </c>
      <c r="H1508" t="str">
        <f>_xll.BDP("260183F7 Muni","ISSUE_DT")</f>
        <v>11/30/2017</v>
      </c>
      <c r="I1508" t="str">
        <f>_xll.BDS("260183F7 Muni","MUNI_PURPOSE_SCHED", "aggregate=y")</f>
        <v>PUBLIC IMPS. SEWER IMPS. WATER UTILITY IMPS.</v>
      </c>
      <c r="J1508">
        <f>_xll.BDP("260183F7 Muni","CPN")</f>
        <v>5</v>
      </c>
      <c r="K1508" t="str">
        <f>_xll.BDP("260183F7 Muni","MATURITY")</f>
        <v>12/15/2022</v>
      </c>
      <c r="L1508">
        <v>525000</v>
      </c>
      <c r="M1508">
        <f>_xll.BDP("260183F7 Muni","YIELD_ON_ISSUE_DATE")</f>
        <v>1.42</v>
      </c>
      <c r="N1508">
        <f>_xll.BDP("260183F7 Muni","YTW_SPREAD_TO_MATURITY_AT_ISSU")</f>
        <v>-3.25798904109591</v>
      </c>
      <c r="O1508" t="str">
        <f>_xll.BDP("260183F7 Muni","BVAL_MID_YTM")</f>
        <v>#N/A Authorization</v>
      </c>
      <c r="P1508" t="str">
        <f>_xll.BDP("260183F7 Muni","MUNI_TAX_PROV")</f>
        <v>FED &amp; ST TAX-EXEMPT</v>
      </c>
      <c r="Q1508" t="str">
        <f>_xll.BDP("260183F7 Muni","MUNI_FED_TAX")</f>
        <v>N</v>
      </c>
      <c r="R1508" t="str">
        <f>_xll.BDP("260183F7 Muni","MUNI_MSRB_VOLUME")</f>
        <v>#N/A N/A</v>
      </c>
      <c r="S1508" t="str">
        <f>_xll.BDP("260183F7 Muni","BB_COMPOSITE")</f>
        <v>#N/A N/A</v>
      </c>
      <c r="T1508">
        <f>_xll.BDP("260183F7 Muni","LQA_LIQUIDITY_SCORE")</f>
        <v>98</v>
      </c>
    </row>
    <row r="1509" spans="1:20" x14ac:dyDescent="0.25">
      <c r="A1509" t="str">
        <f>_xll.BDP("260655MA Muni","ID_CUSIP")</f>
        <v>260655MA0</v>
      </c>
      <c r="B1509" t="s">
        <v>347</v>
      </c>
      <c r="C1509" t="str">
        <f>_xll.BDP("260655MA Muni","INSURANCE_STATUS")</f>
        <v>Y</v>
      </c>
      <c r="D1509" t="str">
        <f>_xll.BDP("260655MA Muni","STATE_CODE")</f>
        <v>TX</v>
      </c>
      <c r="E1509" t="str">
        <f>_xll.BDP("260655MA Muni","COUNTY_LOCATION_ISSUER")</f>
        <v>Harris, TX</v>
      </c>
      <c r="F1509">
        <f>_xll.BDP("260655MA Muni","DUR_ADJ_MID")</f>
        <v>8.0486896228182531E-2</v>
      </c>
      <c r="G1509">
        <f>_xll.BDP("260655MA Muni","SPREAD_AT_ISSUANCE_TO_WORST")</f>
        <v>46.63315342465755</v>
      </c>
      <c r="H1509" t="str">
        <f>_xll.BDP("260655MA Muni","ISSUE_DT")</f>
        <v>12/1/2017</v>
      </c>
      <c r="I1509" t="str">
        <f>_xll.BDS("260655MA Muni","MUNI_PURPOSE_SCHED", "aggregate=y")</f>
        <v>PUBLIC IMPS. WATER UTILITY IMPS. SEWER IMPS.</v>
      </c>
      <c r="J1509">
        <f>_xll.BDP("260655MA Muni","CPN")</f>
        <v>4.5</v>
      </c>
      <c r="K1509" t="str">
        <f>_xll.BDP("260655MA Muni","MATURITY")</f>
        <v>9/1/2022</v>
      </c>
      <c r="L1509">
        <v>475000</v>
      </c>
      <c r="M1509">
        <f>_xll.BDP("260655MA Muni","YIELD_ON_ISSUE_DATE")</f>
        <v>1.97</v>
      </c>
      <c r="N1509">
        <f>_xll.BDP("260655MA Muni","YTW_SPREAD_TO_MATURITY_AT_ISSU")</f>
        <v>46.63315342465755</v>
      </c>
      <c r="O1509" t="str">
        <f>_xll.BDP("260655MA Muni","BVAL_MID_YTM")</f>
        <v>#N/A Authorization</v>
      </c>
      <c r="P1509" t="str">
        <f>_xll.BDP("260655MA Muni","MUNI_TAX_PROV")</f>
        <v>FED TAX-EXEMPT</v>
      </c>
      <c r="Q1509" t="str">
        <f>_xll.BDP("260655MA Muni","MUNI_FED_TAX")</f>
        <v>N</v>
      </c>
      <c r="R1509" t="str">
        <f>_xll.BDP("260655MA Muni","MUNI_MSRB_VOLUME")</f>
        <v>#N/A N/A</v>
      </c>
      <c r="S1509" t="str">
        <f>_xll.BDP("260655MA Muni","BB_COMPOSITE")</f>
        <v>A+</v>
      </c>
      <c r="T1509">
        <f>_xll.BDP("260655MA Muni","LQA_LIQUIDITY_SCORE")</f>
        <v>96</v>
      </c>
    </row>
    <row r="1510" spans="1:20" x14ac:dyDescent="0.25">
      <c r="A1510" t="str">
        <f>_xll.BDP("39238R7A Muni","ID_CUSIP")</f>
        <v>39238R7A4</v>
      </c>
      <c r="B1510" t="s">
        <v>348</v>
      </c>
      <c r="C1510" t="str">
        <f>_xll.BDP("39238R7A Muni","INSURANCE_STATUS")</f>
        <v>Y</v>
      </c>
      <c r="D1510" t="str">
        <f>_xll.BDP("39238R7A Muni","STATE_CODE")</f>
        <v>TX</v>
      </c>
      <c r="E1510" t="str">
        <f>_xll.BDP("39238R7A Muni","COUNTY_LOCATION_ISSUER")</f>
        <v>Grayson, TX</v>
      </c>
      <c r="F1510">
        <f>_xll.BDP("39238R7A Muni","DUR_ADJ_MID")</f>
        <v>0.16366808065634036</v>
      </c>
      <c r="G1510">
        <f>_xll.BDP("39238R7A Muni","SPREAD_AT_ISSUANCE_TO_WORST")</f>
        <v>30.800493876858283</v>
      </c>
      <c r="H1510" t="str">
        <f>_xll.BDP("39238R7A Muni","ISSUE_DT")</f>
        <v>6/29/2017</v>
      </c>
      <c r="I1510" t="str">
        <f>_xll.BDS("39238R7A Muni","MUNI_PURPOSE_SCHED", "aggregate=y")</f>
        <v>WATER UTILITY IMPS. SEWER IMPS.</v>
      </c>
      <c r="J1510">
        <f>_xll.BDP("39238R7A Muni","CPN")</f>
        <v>2</v>
      </c>
      <c r="K1510" t="str">
        <f>_xll.BDP("39238R7A Muni","MATURITY")</f>
        <v>10/1/2022</v>
      </c>
      <c r="L1510">
        <v>275000</v>
      </c>
      <c r="M1510">
        <f>_xll.BDP("39238R7A Muni","YIELD_ON_ISSUE_DATE")</f>
        <v>1.55</v>
      </c>
      <c r="N1510">
        <f>_xll.BDP("39238R7A Muni","YTW_SPREAD_TO_MATURITY_AT_ISSU")</f>
        <v>30.800493876858283</v>
      </c>
      <c r="O1510" t="str">
        <f>_xll.BDP("39238R7A Muni","BVAL_MID_YTM")</f>
        <v>#N/A Authorization</v>
      </c>
      <c r="P1510" t="str">
        <f>_xll.BDP("39238R7A Muni","MUNI_TAX_PROV")</f>
        <v>FED TAX-EXEMPT</v>
      </c>
      <c r="Q1510" t="str">
        <f>_xll.BDP("39238R7A Muni","MUNI_FED_TAX")</f>
        <v>N</v>
      </c>
      <c r="R1510" t="str">
        <f>_xll.BDP("39238R7A Muni","MUNI_MSRB_VOLUME")</f>
        <v>#N/A N/A</v>
      </c>
      <c r="S1510" t="str">
        <f>_xll.BDP("39238R7A Muni","BB_COMPOSITE")</f>
        <v>#N/A N/A</v>
      </c>
      <c r="T1510">
        <f>_xll.BDP("39238R7A Muni","LQA_LIQUIDITY_SCORE")</f>
        <v>81</v>
      </c>
    </row>
    <row r="1511" spans="1:20" x14ac:dyDescent="0.25">
      <c r="A1511" t="str">
        <f>_xll.BDP("39238R7C Muni","ID_CUSIP")</f>
        <v>39238R7C0</v>
      </c>
      <c r="B1511" t="s">
        <v>348</v>
      </c>
      <c r="C1511" t="str">
        <f>_xll.BDP("39238R7C Muni","INSURANCE_STATUS")</f>
        <v>Y</v>
      </c>
      <c r="D1511" t="str">
        <f>_xll.BDP("39238R7C Muni","STATE_CODE")</f>
        <v>TX</v>
      </c>
      <c r="E1511" t="str">
        <f>_xll.BDP("39238R7C Muni","COUNTY_LOCATION_ISSUER")</f>
        <v>Grayson, TX</v>
      </c>
      <c r="F1511">
        <f>_xll.BDP("39238R7C Muni","DUR_ADJ_MID")</f>
        <v>2.0330763630719759</v>
      </c>
      <c r="G1511">
        <f>_xll.BDP("39238R7C Muni","SPREAD_AT_ISSUANCE_TO_WORST")</f>
        <v>28.942597128683346</v>
      </c>
      <c r="H1511" t="str">
        <f>_xll.BDP("39238R7C Muni","ISSUE_DT")</f>
        <v>6/29/2017</v>
      </c>
      <c r="I1511" t="str">
        <f>_xll.BDS("39238R7C Muni","MUNI_PURPOSE_SCHED", "aggregate=y")</f>
        <v>WATER UTILITY IMPS. SEWER IMPS.</v>
      </c>
      <c r="J1511">
        <f>_xll.BDP("39238R7C Muni","CPN")</f>
        <v>5</v>
      </c>
      <c r="K1511" t="str">
        <f>_xll.BDP("39238R7C Muni","MATURITY")</f>
        <v>10/1/2024</v>
      </c>
      <c r="L1511">
        <v>290000</v>
      </c>
      <c r="M1511">
        <f>_xll.BDP("39238R7C Muni","YIELD_ON_ISSUE_DATE")</f>
        <v>1.85</v>
      </c>
      <c r="N1511">
        <f>_xll.BDP("39238R7C Muni","YTW_SPREAD_TO_MATURITY_AT_ISSU")</f>
        <v>28.942597128683346</v>
      </c>
      <c r="O1511" t="str">
        <f>_xll.BDP("39238R7C Muni","BVAL_MID_YTM")</f>
        <v>#N/A Authorization</v>
      </c>
      <c r="P1511" t="str">
        <f>_xll.BDP("39238R7C Muni","MUNI_TAX_PROV")</f>
        <v>FED TAX-EXEMPT</v>
      </c>
      <c r="Q1511" t="str">
        <f>_xll.BDP("39238R7C Muni","MUNI_FED_TAX")</f>
        <v>N</v>
      </c>
      <c r="R1511">
        <f>_xll.BDP("39238R7C Muni","MUNI_MSRB_VOLUME")</f>
        <v>75000</v>
      </c>
      <c r="S1511" t="str">
        <f>_xll.BDP("39238R7C Muni","BB_COMPOSITE")</f>
        <v>#N/A N/A</v>
      </c>
      <c r="T1511">
        <f>_xll.BDP("39238R7C Muni","LQA_LIQUIDITY_SCORE")</f>
        <v>84</v>
      </c>
    </row>
    <row r="1512" spans="1:20" x14ac:dyDescent="0.25">
      <c r="A1512" t="str">
        <f>_xll.BDP("39238R7E Muni","ID_CUSIP")</f>
        <v>39238R7E6</v>
      </c>
      <c r="B1512" t="s">
        <v>348</v>
      </c>
      <c r="C1512" t="str">
        <f>_xll.BDP("39238R7E Muni","INSURANCE_STATUS")</f>
        <v>Y</v>
      </c>
      <c r="D1512" t="str">
        <f>_xll.BDP("39238R7E Muni","STATE_CODE")</f>
        <v>TX</v>
      </c>
      <c r="E1512" t="str">
        <f>_xll.BDP("39238R7E Muni","COUNTY_LOCATION_ISSUER")</f>
        <v>Grayson, TX</v>
      </c>
      <c r="F1512">
        <f>_xll.BDP("39238R7E Muni","DUR_ADJ_MID")</f>
        <v>3.8769271512708348</v>
      </c>
      <c r="G1512">
        <f>_xll.BDP("39238R7E Muni","SPREAD_AT_ISSUANCE_TO_WORST")</f>
        <v>35.295288683196311</v>
      </c>
      <c r="H1512" t="str">
        <f>_xll.BDP("39238R7E Muni","ISSUE_DT")</f>
        <v>6/29/2017</v>
      </c>
      <c r="I1512" t="str">
        <f>_xll.BDS("39238R7E Muni","MUNI_PURPOSE_SCHED", "aggregate=y")</f>
        <v>WATER UTILITY IMPS. SEWER IMPS.</v>
      </c>
      <c r="J1512">
        <f>_xll.BDP("39238R7E Muni","CPN")</f>
        <v>3</v>
      </c>
      <c r="K1512" t="str">
        <f>_xll.BDP("39238R7E Muni","MATURITY")</f>
        <v>10/1/2026</v>
      </c>
      <c r="L1512">
        <v>315000</v>
      </c>
      <c r="M1512">
        <f>_xll.BDP("39238R7E Muni","YIELD_ON_ISSUE_DATE")</f>
        <v>2.2000000000000002</v>
      </c>
      <c r="N1512">
        <f>_xll.BDP("39238R7E Muni","YTW_SPREAD_TO_MATURITY_AT_ISSU")</f>
        <v>35.295288683196311</v>
      </c>
      <c r="O1512" t="str">
        <f>_xll.BDP("39238R7E Muni","BVAL_MID_YTM")</f>
        <v>#N/A Authorization</v>
      </c>
      <c r="P1512" t="str">
        <f>_xll.BDP("39238R7E Muni","MUNI_TAX_PROV")</f>
        <v>FED TAX-EXEMPT</v>
      </c>
      <c r="Q1512" t="str">
        <f>_xll.BDP("39238R7E Muni","MUNI_FED_TAX")</f>
        <v>N</v>
      </c>
      <c r="R1512" t="str">
        <f>_xll.BDP("39238R7E Muni","MUNI_MSRB_VOLUME")</f>
        <v>#N/A N/A</v>
      </c>
      <c r="S1512" t="str">
        <f>_xll.BDP("39238R7E Muni","BB_COMPOSITE")</f>
        <v>#N/A N/A</v>
      </c>
      <c r="T1512">
        <f>_xll.BDP("39238R7E Muni","LQA_LIQUIDITY_SCORE")</f>
        <v>57</v>
      </c>
    </row>
    <row r="1513" spans="1:20" x14ac:dyDescent="0.25">
      <c r="A1513" t="str">
        <f>_xll.BDP("58320LLK Muni","ID_CUSIP")</f>
        <v>58320LLK8</v>
      </c>
      <c r="B1513" t="s">
        <v>431</v>
      </c>
      <c r="C1513" t="str">
        <f>_xll.BDP("58320LLK Muni","INSURANCE_STATUS")</f>
        <v>Y</v>
      </c>
      <c r="D1513" t="str">
        <f>_xll.BDP("58320LLK Muni","STATE_CODE")</f>
        <v>TX</v>
      </c>
      <c r="E1513" t="str">
        <f>_xll.BDP("58320LLK Muni","COUNTY_LOCATION_ISSUER")</f>
        <v>Harris, TX</v>
      </c>
      <c r="F1513">
        <f>_xll.BDP("58320LLK Muni","DUR_ADJ_MID")</f>
        <v>0.16356068057622411</v>
      </c>
      <c r="G1513">
        <f>_xll.BDP("58320LLK Muni","SPREAD_AT_ISSUANCE_TO_WORST")</f>
        <v>66.611573836338138</v>
      </c>
      <c r="H1513" t="str">
        <f>_xll.BDP("58320LLK Muni","ISSUE_DT")</f>
        <v>8/1/2017</v>
      </c>
      <c r="I1513" t="str">
        <f>_xll.BDS("58320LLK Muni","MUNI_PURPOSE_SCHED", "aggregate=y")</f>
        <v>WATER UTILITY IMPS. SEWER IMPS. PUBLIC IMPS.</v>
      </c>
      <c r="J1513">
        <f>_xll.BDP("58320LLK Muni","CPN")</f>
        <v>3</v>
      </c>
      <c r="K1513" t="str">
        <f>_xll.BDP("58320LLK Muni","MATURITY")</f>
        <v>10/1/2022</v>
      </c>
      <c r="L1513">
        <v>60000</v>
      </c>
      <c r="M1513">
        <f>_xll.BDP("58320LLK Muni","YIELD_ON_ISSUE_DATE")</f>
        <v>2</v>
      </c>
      <c r="N1513">
        <f>_xll.BDP("58320LLK Muni","YTW_SPREAD_TO_MATURITY_AT_ISSU")</f>
        <v>66.611573836338138</v>
      </c>
      <c r="O1513" t="str">
        <f>_xll.BDP("58320LLK Muni","BVAL_MID_YTM")</f>
        <v>#N/A Authorization</v>
      </c>
      <c r="P1513" t="str">
        <f>_xll.BDP("58320LLK Muni","MUNI_TAX_PROV")</f>
        <v>FED BQ</v>
      </c>
      <c r="Q1513" t="str">
        <f>_xll.BDP("58320LLK Muni","MUNI_FED_TAX")</f>
        <v>N</v>
      </c>
      <c r="R1513" t="str">
        <f>_xll.BDP("58320LLK Muni","MUNI_MSRB_VOLUME")</f>
        <v>#N/A N/A</v>
      </c>
      <c r="S1513" t="str">
        <f>_xll.BDP("58320LLK Muni","BB_COMPOSITE")</f>
        <v>A+</v>
      </c>
      <c r="T1513">
        <f>_xll.BDP("58320LLK Muni","LQA_LIQUIDITY_SCORE")</f>
        <v>98</v>
      </c>
    </row>
    <row r="1514" spans="1:20" x14ac:dyDescent="0.25">
      <c r="A1514" t="str">
        <f>_xll.BDP("58320LLL Muni","ID_CUSIP")</f>
        <v>58320LLL6</v>
      </c>
      <c r="B1514" t="s">
        <v>431</v>
      </c>
      <c r="C1514" t="str">
        <f>_xll.BDP("58320LLL Muni","INSURANCE_STATUS")</f>
        <v>Y</v>
      </c>
      <c r="D1514" t="str">
        <f>_xll.BDP("58320LLL Muni","STATE_CODE")</f>
        <v>TX</v>
      </c>
      <c r="E1514" t="str">
        <f>_xll.BDP("58320LLL Muni","COUNTY_LOCATION_ISSUER")</f>
        <v>Harris, TX</v>
      </c>
      <c r="F1514">
        <f>_xll.BDP("58320LLL Muni","DUR_ADJ_MID")</f>
        <v>1.1316156889566982</v>
      </c>
      <c r="G1514">
        <f>_xll.BDP("58320LLL Muni","SPREAD_AT_ISSUANCE_TO_WORST")</f>
        <v>62.238364534536395</v>
      </c>
      <c r="H1514" t="str">
        <f>_xll.BDP("58320LLL Muni","ISSUE_DT")</f>
        <v>8/1/2017</v>
      </c>
      <c r="I1514" t="str">
        <f>_xll.BDS("58320LLL Muni","MUNI_PURPOSE_SCHED", "aggregate=y")</f>
        <v>WATER UTILITY IMPS. SEWER IMPS. PUBLIC IMPS.</v>
      </c>
      <c r="J1514">
        <f>_xll.BDP("58320LLL Muni","CPN")</f>
        <v>3</v>
      </c>
      <c r="K1514" t="str">
        <f>_xll.BDP("58320LLL Muni","MATURITY")</f>
        <v>10/1/2023</v>
      </c>
      <c r="L1514">
        <v>65000</v>
      </c>
      <c r="M1514">
        <f>_xll.BDP("58320LLL Muni","YIELD_ON_ISSUE_DATE")</f>
        <v>2.1</v>
      </c>
      <c r="N1514">
        <f>_xll.BDP("58320LLL Muni","YTW_SPREAD_TO_MATURITY_AT_ISSU")</f>
        <v>62.238364534536395</v>
      </c>
      <c r="O1514" t="str">
        <f>_xll.BDP("58320LLL Muni","BVAL_MID_YTM")</f>
        <v>#N/A Authorization</v>
      </c>
      <c r="P1514" t="str">
        <f>_xll.BDP("58320LLL Muni","MUNI_TAX_PROV")</f>
        <v>FED BQ</v>
      </c>
      <c r="Q1514" t="str">
        <f>_xll.BDP("58320LLL Muni","MUNI_FED_TAX")</f>
        <v>N</v>
      </c>
      <c r="R1514">
        <f>_xll.BDP("58320LLL Muni","MUNI_MSRB_VOLUME")</f>
        <v>30000</v>
      </c>
      <c r="S1514" t="str">
        <f>_xll.BDP("58320LLL Muni","BB_COMPOSITE")</f>
        <v>A+</v>
      </c>
      <c r="T1514">
        <f>_xll.BDP("58320LLL Muni","LQA_LIQUIDITY_SCORE")</f>
        <v>76</v>
      </c>
    </row>
    <row r="1515" spans="1:20" x14ac:dyDescent="0.25">
      <c r="A1515" t="str">
        <f>_xll.BDP("58320LLM Muni","ID_CUSIP")</f>
        <v>58320LLM4</v>
      </c>
      <c r="B1515" t="s">
        <v>431</v>
      </c>
      <c r="C1515" t="str">
        <f>_xll.BDP("58320LLM Muni","INSURANCE_STATUS")</f>
        <v>Y</v>
      </c>
      <c r="D1515" t="str">
        <f>_xll.BDP("58320LLM Muni","STATE_CODE")</f>
        <v>TX</v>
      </c>
      <c r="E1515" t="str">
        <f>_xll.BDP("58320LLM Muni","COUNTY_LOCATION_ISSUER")</f>
        <v>Harris, TX</v>
      </c>
      <c r="F1515">
        <f>_xll.BDP("58320LLM Muni","DUR_ADJ_MID")</f>
        <v>2.0706393349502092</v>
      </c>
      <c r="G1515">
        <f>_xll.BDP("58320LLM Muni","SPREAD_AT_ISSUANCE_TO_WORST")</f>
        <v>57.522239310099565</v>
      </c>
      <c r="H1515" t="str">
        <f>_xll.BDP("58320LLM Muni","ISSUE_DT")</f>
        <v>8/1/2017</v>
      </c>
      <c r="I1515" t="str">
        <f>_xll.BDS("58320LLM Muni","MUNI_PURPOSE_SCHED", "aggregate=y")</f>
        <v>WATER UTILITY IMPS. SEWER IMPS. PUBLIC IMPS.</v>
      </c>
      <c r="J1515">
        <f>_xll.BDP("58320LLM Muni","CPN")</f>
        <v>3</v>
      </c>
      <c r="K1515" t="str">
        <f>_xll.BDP("58320LLM Muni","MATURITY")</f>
        <v>10/1/2024</v>
      </c>
      <c r="L1515">
        <v>65000</v>
      </c>
      <c r="M1515">
        <f>_xll.BDP("58320LLM Muni","YIELD_ON_ISSUE_DATE")</f>
        <v>2.2000000000000002</v>
      </c>
      <c r="N1515">
        <f>_xll.BDP("58320LLM Muni","YTW_SPREAD_TO_MATURITY_AT_ISSU")</f>
        <v>57.522239310099565</v>
      </c>
      <c r="O1515" t="str">
        <f>_xll.BDP("58320LLM Muni","BVAL_MID_YTM")</f>
        <v>#N/A Authorization</v>
      </c>
      <c r="P1515" t="str">
        <f>_xll.BDP("58320LLM Muni","MUNI_TAX_PROV")</f>
        <v>FED BQ</v>
      </c>
      <c r="Q1515" t="str">
        <f>_xll.BDP("58320LLM Muni","MUNI_FED_TAX")</f>
        <v>N</v>
      </c>
      <c r="R1515" t="str">
        <f>_xll.BDP("58320LLM Muni","MUNI_MSRB_VOLUME")</f>
        <v>#N/A N/A</v>
      </c>
      <c r="S1515" t="str">
        <f>_xll.BDP("58320LLM Muni","BB_COMPOSITE")</f>
        <v>A+</v>
      </c>
      <c r="T1515">
        <f>_xll.BDP("58320LLM Muni","LQA_LIQUIDITY_SCORE")</f>
        <v>64</v>
      </c>
    </row>
    <row r="1516" spans="1:20" x14ac:dyDescent="0.25">
      <c r="A1516" t="str">
        <f>_xll.BDP("45204EXR Muni","ID_CUSIP")</f>
        <v>45204EXR4</v>
      </c>
      <c r="B1516" t="s">
        <v>25</v>
      </c>
      <c r="C1516" t="str">
        <f>_xll.BDP("45204EXR Muni","INSURANCE_STATUS")</f>
        <v>N</v>
      </c>
      <c r="D1516" t="str">
        <f>_xll.BDP("45204EXR Muni","STATE_CODE")</f>
        <v>IL</v>
      </c>
      <c r="E1516" t="str">
        <f>_xll.BDP("45204EXR Muni","COUNTY_LOCATION_ISSUER")</f>
        <v>Cook, IL</v>
      </c>
      <c r="F1516">
        <f>_xll.BDP("45204EXR Muni","DUR_ADJ_MID")</f>
        <v>3.5702169051446386</v>
      </c>
      <c r="G1516">
        <f>_xll.BDP("45204EXR Muni","SPREAD_AT_ISSUANCE_TO_WORST")</f>
        <v>32.776607265381941</v>
      </c>
      <c r="H1516" t="str">
        <f>_xll.BDP("45204EXR Muni","ISSUE_DT")</f>
        <v>9/12/2017</v>
      </c>
      <c r="I1516" t="str">
        <f>_xll.BDS("45204EXR Muni","MUNI_PURPOSE_SCHED", "aggregate=y")</f>
        <v>GREEN PURPOSE WATER UTILITY IMPS. SEWER IMPS.</v>
      </c>
      <c r="J1516">
        <f>_xll.BDP("45204EXR Muni","CPN")</f>
        <v>5</v>
      </c>
      <c r="K1516" t="str">
        <f>_xll.BDP("45204EXR Muni","MATURITY")</f>
        <v>7/1/2026</v>
      </c>
      <c r="L1516">
        <v>16920000</v>
      </c>
      <c r="M1516">
        <f>_xll.BDP("45204EXR Muni","YIELD_ON_ISSUE_DATE")</f>
        <v>2.0300000000000002</v>
      </c>
      <c r="N1516">
        <f>_xll.BDP("45204EXR Muni","YTW_SPREAD_TO_MATURITY_AT_ISSU")</f>
        <v>32.776607265381941</v>
      </c>
      <c r="O1516" t="str">
        <f>_xll.BDP("45204EXR Muni","BVAL_MID_YTM")</f>
        <v>#N/A Authorization</v>
      </c>
      <c r="P1516" t="str">
        <f>_xll.BDP("45204EXR Muni","MUNI_TAX_PROV")</f>
        <v>FED TAX-EXEMPT/ST TAXABLE</v>
      </c>
      <c r="Q1516" t="str">
        <f>_xll.BDP("45204EXR Muni","MUNI_FED_TAX")</f>
        <v>N</v>
      </c>
      <c r="R1516">
        <f>_xll.BDP("45204EXR Muni","MUNI_MSRB_VOLUME")</f>
        <v>40000</v>
      </c>
      <c r="S1516" t="str">
        <f>_xll.BDP("45204EXR Muni","BB_COMPOSITE")</f>
        <v>AAA</v>
      </c>
      <c r="T1516">
        <f>_xll.BDP("45204EXR Muni","LQA_LIQUIDITY_SCORE")</f>
        <v>74</v>
      </c>
    </row>
    <row r="1517" spans="1:20" x14ac:dyDescent="0.25">
      <c r="A1517" t="str">
        <f>_xll.BDP("45506DG5 Muni","ID_CUSIP")</f>
        <v>45506DG58</v>
      </c>
      <c r="B1517" t="s">
        <v>137</v>
      </c>
      <c r="C1517" t="str">
        <f>_xll.BDP("45506DG5 Muni","INSURANCE_STATUS")</f>
        <v>N</v>
      </c>
      <c r="D1517" t="str">
        <f>_xll.BDP("45506DG5 Muni","STATE_CODE")</f>
        <v>IN</v>
      </c>
      <c r="E1517" t="str">
        <f>_xll.BDP("45506DG5 Muni","COUNTY_LOCATION_ISSUER")</f>
        <v>Marion, IN</v>
      </c>
      <c r="F1517">
        <f>_xll.BDP("45506DG5 Muni","DUR_ADJ_MID")</f>
        <v>0.4951195259050003</v>
      </c>
      <c r="G1517">
        <f>_xll.BDP("45506DG5 Muni","SPREAD_AT_ISSUANCE_TO_WORST")</f>
        <v>5.0091369863013657</v>
      </c>
      <c r="H1517" t="str">
        <f>_xll.BDP("45506DG5 Muni","ISSUE_DT")</f>
        <v>11/1/2017</v>
      </c>
      <c r="I1517" t="str">
        <f>_xll.BDS("45506DG5 Muni","MUNI_PURPOSE_SCHED", "aggregate=y")</f>
        <v>GREEN PURPOSE SEWER IMPS. WATER UTILITY IMPS.</v>
      </c>
      <c r="J1517">
        <f>_xll.BDP("45506DG5 Muni","CPN")</f>
        <v>5</v>
      </c>
      <c r="K1517" t="str">
        <f>_xll.BDP("45506DG5 Muni","MATURITY")</f>
        <v>2/1/2023</v>
      </c>
      <c r="L1517">
        <v>2205000</v>
      </c>
      <c r="M1517">
        <f>_xll.BDP("45506DG5 Muni","YIELD_ON_ISSUE_DATE")</f>
        <v>1.47</v>
      </c>
      <c r="N1517">
        <f>_xll.BDP("45506DG5 Muni","YTW_SPREAD_TO_MATURITY_AT_ISSU")</f>
        <v>5.0091369863013657</v>
      </c>
      <c r="O1517" t="str">
        <f>_xll.BDP("45506DG5 Muni","BVAL_MID_YTM")</f>
        <v>#N/A Authorization</v>
      </c>
      <c r="P1517" t="str">
        <f>_xll.BDP("45506DG5 Muni","MUNI_TAX_PROV")</f>
        <v>FED &amp; ST TAX-EXEMPT</v>
      </c>
      <c r="Q1517" t="str">
        <f>_xll.BDP("45506DG5 Muni","MUNI_FED_TAX")</f>
        <v>N</v>
      </c>
      <c r="R1517">
        <f>_xll.BDP("45506DG5 Muni","MUNI_MSRB_VOLUME")</f>
        <v>100000</v>
      </c>
      <c r="S1517" t="str">
        <f>_xll.BDP("45506DG5 Muni","BB_COMPOSITE")</f>
        <v>AAA</v>
      </c>
      <c r="T1517">
        <f>_xll.BDP("45506DG5 Muni","LQA_LIQUIDITY_SCORE")</f>
        <v>94</v>
      </c>
    </row>
    <row r="1518" spans="1:20" x14ac:dyDescent="0.25">
      <c r="A1518" t="str">
        <f>_xll.BDP("45506DG6 Muni","ID_CUSIP")</f>
        <v>45506DG66</v>
      </c>
      <c r="B1518" t="s">
        <v>137</v>
      </c>
      <c r="C1518" t="str">
        <f>_xll.BDP("45506DG6 Muni","INSURANCE_STATUS")</f>
        <v>N</v>
      </c>
      <c r="D1518" t="str">
        <f>_xll.BDP("45506DG6 Muni","STATE_CODE")</f>
        <v>IN</v>
      </c>
      <c r="E1518" t="str">
        <f>_xll.BDP("45506DG6 Muni","COUNTY_LOCATION_ISSUER")</f>
        <v>Marion, IN</v>
      </c>
      <c r="F1518">
        <f>_xll.BDP("45506DG6 Muni","DUR_ADJ_MID")</f>
        <v>1.4515392850552027</v>
      </c>
      <c r="G1518">
        <f>_xll.BDP("45506DG6 Muni","SPREAD_AT_ISSUANCE_TO_WORST")</f>
        <v>4.5562602739726232</v>
      </c>
      <c r="H1518" t="str">
        <f>_xll.BDP("45506DG6 Muni","ISSUE_DT")</f>
        <v>11/1/2017</v>
      </c>
      <c r="I1518" t="str">
        <f>_xll.BDS("45506DG6 Muni","MUNI_PURPOSE_SCHED", "aggregate=y")</f>
        <v>GREEN PURPOSE SEWER IMPS. WATER UTILITY IMPS.</v>
      </c>
      <c r="J1518">
        <f>_xll.BDP("45506DG6 Muni","CPN")</f>
        <v>5</v>
      </c>
      <c r="K1518" t="str">
        <f>_xll.BDP("45506DG6 Muni","MATURITY")</f>
        <v>2/1/2024</v>
      </c>
      <c r="L1518">
        <v>2320000</v>
      </c>
      <c r="M1518">
        <f>_xll.BDP("45506DG6 Muni","YIELD_ON_ISSUE_DATE")</f>
        <v>1.6</v>
      </c>
      <c r="N1518">
        <f>_xll.BDP("45506DG6 Muni","YTW_SPREAD_TO_MATURITY_AT_ISSU")</f>
        <v>4.5562602739726232</v>
      </c>
      <c r="O1518" t="str">
        <f>_xll.BDP("45506DG6 Muni","BVAL_MID_YTM")</f>
        <v>#N/A Authorization</v>
      </c>
      <c r="P1518" t="str">
        <f>_xll.BDP("45506DG6 Muni","MUNI_TAX_PROV")</f>
        <v>FED &amp; ST TAX-EXEMPT</v>
      </c>
      <c r="Q1518" t="str">
        <f>_xll.BDP("45506DG6 Muni","MUNI_FED_TAX")</f>
        <v>N</v>
      </c>
      <c r="R1518">
        <f>_xll.BDP("45506DG6 Muni","MUNI_MSRB_VOLUME")</f>
        <v>425000</v>
      </c>
      <c r="S1518" t="str">
        <f>_xll.BDP("45506DG6 Muni","BB_COMPOSITE")</f>
        <v>AAA</v>
      </c>
      <c r="T1518">
        <f>_xll.BDP("45506DG6 Muni","LQA_LIQUIDITY_SCORE")</f>
        <v>89</v>
      </c>
    </row>
    <row r="1519" spans="1:20" x14ac:dyDescent="0.25">
      <c r="A1519" t="str">
        <f>_xll.BDP("45506DG8 Muni","ID_CUSIP")</f>
        <v>45506DG82</v>
      </c>
      <c r="B1519" t="s">
        <v>137</v>
      </c>
      <c r="C1519" t="str">
        <f>_xll.BDP("45506DG8 Muni","INSURANCE_STATUS")</f>
        <v>N</v>
      </c>
      <c r="D1519" t="str">
        <f>_xll.BDP("45506DG8 Muni","STATE_CODE")</f>
        <v>IN</v>
      </c>
      <c r="E1519" t="str">
        <f>_xll.BDP("45506DG8 Muni","COUNTY_LOCATION_ISSUER")</f>
        <v>Marion, IN</v>
      </c>
      <c r="F1519">
        <f>_xll.BDP("45506DG8 Muni","DUR_ADJ_MID")</f>
        <v>3.2383276119109112</v>
      </c>
      <c r="G1519">
        <f>_xll.BDP("45506DG8 Muni","SPREAD_AT_ISSUANCE_TO_WORST")</f>
        <v>9.517164383561628</v>
      </c>
      <c r="H1519" t="str">
        <f>_xll.BDP("45506DG8 Muni","ISSUE_DT")</f>
        <v>11/1/2017</v>
      </c>
      <c r="I1519" t="str">
        <f>_xll.BDS("45506DG8 Muni","MUNI_PURPOSE_SCHED", "aggregate=y")</f>
        <v>GREEN PURPOSE SEWER IMPS. WATER UTILITY IMPS.</v>
      </c>
      <c r="J1519">
        <f>_xll.BDP("45506DG8 Muni","CPN")</f>
        <v>5</v>
      </c>
      <c r="K1519" t="str">
        <f>_xll.BDP("45506DG8 Muni","MATURITY")</f>
        <v>2/1/2026</v>
      </c>
      <c r="L1519">
        <v>2555000</v>
      </c>
      <c r="M1519">
        <f>_xll.BDP("45506DG8 Muni","YIELD_ON_ISSUE_DATE")</f>
        <v>1.92</v>
      </c>
      <c r="N1519">
        <f>_xll.BDP("45506DG8 Muni","YTW_SPREAD_TO_MATURITY_AT_ISSU")</f>
        <v>9.517164383561628</v>
      </c>
      <c r="O1519" t="str">
        <f>_xll.BDP("45506DG8 Muni","BVAL_MID_YTM")</f>
        <v>#N/A Authorization</v>
      </c>
      <c r="P1519" t="str">
        <f>_xll.BDP("45506DG8 Muni","MUNI_TAX_PROV")</f>
        <v>FED &amp; ST TAX-EXEMPT</v>
      </c>
      <c r="Q1519" t="str">
        <f>_xll.BDP("45506DG8 Muni","MUNI_FED_TAX")</f>
        <v>N</v>
      </c>
      <c r="R1519">
        <f>_xll.BDP("45506DG8 Muni","MUNI_MSRB_VOLUME")</f>
        <v>15000</v>
      </c>
      <c r="S1519" t="str">
        <f>_xll.BDP("45506DG8 Muni","BB_COMPOSITE")</f>
        <v>AAA</v>
      </c>
      <c r="T1519">
        <f>_xll.BDP("45506DG8 Muni","LQA_LIQUIDITY_SCORE")</f>
        <v>71</v>
      </c>
    </row>
    <row r="1520" spans="1:20" x14ac:dyDescent="0.25">
      <c r="A1520" t="str">
        <f>_xll.BDP("45506DG9 Muni","ID_CUSIP")</f>
        <v>45506DG90</v>
      </c>
      <c r="B1520" t="s">
        <v>137</v>
      </c>
      <c r="C1520" t="str">
        <f>_xll.BDP("45506DG9 Muni","INSURANCE_STATUS")</f>
        <v>N</v>
      </c>
      <c r="D1520" t="str">
        <f>_xll.BDP("45506DG9 Muni","STATE_CODE")</f>
        <v>IN</v>
      </c>
      <c r="E1520" t="str">
        <f>_xll.BDP("45506DG9 Muni","COUNTY_LOCATION_ISSUER")</f>
        <v>Marion, IN</v>
      </c>
      <c r="F1520">
        <f>_xll.BDP("45506DG9 Muni","DUR_ADJ_MID")</f>
        <v>4.0760929323682964</v>
      </c>
      <c r="G1520">
        <f>_xll.BDP("45506DG9 Muni","SPREAD_AT_ISSUANCE_TO_WORST")</f>
        <v>9.1840575342465591</v>
      </c>
      <c r="H1520" t="str">
        <f>_xll.BDP("45506DG9 Muni","ISSUE_DT")</f>
        <v>11/1/2017</v>
      </c>
      <c r="I1520" t="str">
        <f>_xll.BDS("45506DG9 Muni","MUNI_PURPOSE_SCHED", "aggregate=y")</f>
        <v>GREEN PURPOSE SEWER IMPS. WATER UTILITY IMPS.</v>
      </c>
      <c r="J1520">
        <f>_xll.BDP("45506DG9 Muni","CPN")</f>
        <v>5</v>
      </c>
      <c r="K1520" t="str">
        <f>_xll.BDP("45506DG9 Muni","MATURITY")</f>
        <v>2/1/2027</v>
      </c>
      <c r="L1520">
        <v>2690000</v>
      </c>
      <c r="M1520">
        <f>_xll.BDP("45506DG9 Muni","YIELD_ON_ISSUE_DATE")</f>
        <v>2.0300000000000002</v>
      </c>
      <c r="N1520">
        <f>_xll.BDP("45506DG9 Muni","YTW_SPREAD_TO_MATURITY_AT_ISSU")</f>
        <v>9.1840575342465591</v>
      </c>
      <c r="O1520" t="str">
        <f>_xll.BDP("45506DG9 Muni","BVAL_MID_YTM")</f>
        <v>#N/A Authorization</v>
      </c>
      <c r="P1520" t="str">
        <f>_xll.BDP("45506DG9 Muni","MUNI_TAX_PROV")</f>
        <v>FED &amp; ST TAX-EXEMPT</v>
      </c>
      <c r="Q1520" t="str">
        <f>_xll.BDP("45506DG9 Muni","MUNI_FED_TAX")</f>
        <v>N</v>
      </c>
      <c r="R1520">
        <f>_xll.BDP("45506DG9 Muni","MUNI_MSRB_VOLUME")</f>
        <v>60000</v>
      </c>
      <c r="S1520" t="str">
        <f>_xll.BDP("45506DG9 Muni","BB_COMPOSITE")</f>
        <v>AAA</v>
      </c>
      <c r="T1520">
        <f>_xll.BDP("45506DG9 Muni","LQA_LIQUIDITY_SCORE")</f>
        <v>61</v>
      </c>
    </row>
    <row r="1521" spans="1:20" x14ac:dyDescent="0.25">
      <c r="A1521" t="str">
        <f>_xll.BDP("45506DH2 Muni","ID_CUSIP")</f>
        <v>45506DH24</v>
      </c>
      <c r="B1521" t="s">
        <v>137</v>
      </c>
      <c r="C1521" t="str">
        <f>_xll.BDP("45506DH2 Muni","INSURANCE_STATUS")</f>
        <v>N</v>
      </c>
      <c r="D1521" t="str">
        <f>_xll.BDP("45506DH2 Muni","STATE_CODE")</f>
        <v>IN</v>
      </c>
      <c r="E1521" t="str">
        <f>_xll.BDP("45506DH2 Muni","COUNTY_LOCATION_ISSUER")</f>
        <v>Marion, IN</v>
      </c>
      <c r="F1521">
        <f>_xll.BDP("45506DH2 Muni","DUR_ADJ_MID")</f>
        <v>4.8797243284748442</v>
      </c>
      <c r="G1521">
        <f>_xll.BDP("45506DH2 Muni","SPREAD_AT_ISSUANCE_TO_WORST")</f>
        <v>10.244813698630129</v>
      </c>
      <c r="H1521" t="str">
        <f>_xll.BDP("45506DH2 Muni","ISSUE_DT")</f>
        <v>11/1/2017</v>
      </c>
      <c r="I1521" t="str">
        <f>_xll.BDS("45506DH2 Muni","MUNI_PURPOSE_SCHED", "aggregate=y")</f>
        <v>GREEN PURPOSE SEWER IMPS. WATER UTILITY IMPS.</v>
      </c>
      <c r="J1521">
        <f>_xll.BDP("45506DH2 Muni","CPN")</f>
        <v>5</v>
      </c>
      <c r="K1521" t="str">
        <f>_xll.BDP("45506DH2 Muni","MATURITY")</f>
        <v>2/1/2028</v>
      </c>
      <c r="L1521">
        <v>2820000</v>
      </c>
      <c r="M1521">
        <f>_xll.BDP("45506DH2 Muni","YIELD_ON_ISSUE_DATE")</f>
        <v>2.14</v>
      </c>
      <c r="N1521">
        <f>_xll.BDP("45506DH2 Muni","YTW_SPREAD_TO_MATURITY_AT_ISSU")</f>
        <v>10.244813698630129</v>
      </c>
      <c r="O1521" t="str">
        <f>_xll.BDP("45506DH2 Muni","BVAL_MID_YTM")</f>
        <v>#N/A Authorization</v>
      </c>
      <c r="P1521" t="str">
        <f>_xll.BDP("45506DH2 Muni","MUNI_TAX_PROV")</f>
        <v>FED &amp; ST TAX-EXEMPT</v>
      </c>
      <c r="Q1521" t="str">
        <f>_xll.BDP("45506DH2 Muni","MUNI_FED_TAX")</f>
        <v>N</v>
      </c>
      <c r="R1521">
        <f>_xll.BDP("45506DH2 Muni","MUNI_MSRB_VOLUME")</f>
        <v>30000</v>
      </c>
      <c r="S1521" t="str">
        <f>_xll.BDP("45506DH2 Muni","BB_COMPOSITE")</f>
        <v>AAA</v>
      </c>
      <c r="T1521">
        <f>_xll.BDP("45506DH2 Muni","LQA_LIQUIDITY_SCORE")</f>
        <v>42</v>
      </c>
    </row>
    <row r="1522" spans="1:20" x14ac:dyDescent="0.25">
      <c r="A1522" t="str">
        <f>_xll.BDP("61370LDB Muni","ID_CUSIP")</f>
        <v>61370LDB0</v>
      </c>
      <c r="B1522" t="s">
        <v>149</v>
      </c>
      <c r="C1522" t="str">
        <f>_xll.BDP("61370LDB Muni","INSURANCE_STATUS")</f>
        <v>Y</v>
      </c>
      <c r="D1522" t="str">
        <f>_xll.BDP("61370LDB Muni","STATE_CODE")</f>
        <v>TX</v>
      </c>
      <c r="E1522" t="str">
        <f>_xll.BDP("61370LDB Muni","COUNTY_LOCATION_ISSUER")</f>
        <v>Montgomery, TX</v>
      </c>
      <c r="F1522">
        <f>_xll.BDP("61370LDB Muni","DUR_ADJ_MID")</f>
        <v>8.0456613761278523E-2</v>
      </c>
      <c r="G1522">
        <f>_xll.BDP("61370LDB Muni","SPREAD_AT_ISSUANCE_TO_WORST")</f>
        <v>53.868772602739725</v>
      </c>
      <c r="H1522" t="str">
        <f>_xll.BDP("61370LDB Muni","ISSUE_DT")</f>
        <v>11/1/2017</v>
      </c>
      <c r="I1522" t="str">
        <f>_xll.BDS("61370LDB Muni","MUNI_PURPOSE_SCHED", "aggregate=y")</f>
        <v>WATER UTILITY IMPS. SEWER IMPS. PUBLIC IMPS.</v>
      </c>
      <c r="J1522">
        <f>_xll.BDP("61370LDB Muni","CPN")</f>
        <v>3</v>
      </c>
      <c r="K1522" t="str">
        <f>_xll.BDP("61370LDB Muni","MATURITY")</f>
        <v>9/1/2022</v>
      </c>
      <c r="L1522">
        <v>300000</v>
      </c>
      <c r="M1522">
        <f>_xll.BDP("61370LDB Muni","YIELD_ON_ISSUE_DATE")</f>
        <v>1.9000000000000001</v>
      </c>
      <c r="N1522">
        <f>_xll.BDP("61370LDB Muni","YTW_SPREAD_TO_MATURITY_AT_ISSU")</f>
        <v>53.868772602739725</v>
      </c>
      <c r="O1522" t="str">
        <f>_xll.BDP("61370LDB Muni","BVAL_MID_YTM")</f>
        <v>#N/A Authorization</v>
      </c>
      <c r="P1522" t="str">
        <f>_xll.BDP("61370LDB Muni","MUNI_TAX_PROV")</f>
        <v>FED BQ</v>
      </c>
      <c r="Q1522" t="str">
        <f>_xll.BDP("61370LDB Muni","MUNI_FED_TAX")</f>
        <v>N</v>
      </c>
      <c r="R1522" t="str">
        <f>_xll.BDP("61370LDB Muni","MUNI_MSRB_VOLUME")</f>
        <v>#N/A N/A</v>
      </c>
      <c r="S1522" t="str">
        <f>_xll.BDP("61370LDB Muni","BB_COMPOSITE")</f>
        <v>A</v>
      </c>
      <c r="T1522">
        <f>_xll.BDP("61370LDB Muni","LQA_LIQUIDITY_SCORE")</f>
        <v>99</v>
      </c>
    </row>
    <row r="1523" spans="1:20" x14ac:dyDescent="0.25">
      <c r="A1523" t="str">
        <f>_xll.BDP("61370NEG Muni","ID_CUSIP")</f>
        <v>61370NEG4</v>
      </c>
      <c r="B1523" t="s">
        <v>432</v>
      </c>
      <c r="C1523" t="str">
        <f>_xll.BDP("61370NEG Muni","INSURANCE_STATUS")</f>
        <v>Y</v>
      </c>
      <c r="D1523" t="str">
        <f>_xll.BDP("61370NEG Muni","STATE_CODE")</f>
        <v>TX</v>
      </c>
      <c r="E1523" t="str">
        <f>_xll.BDP("61370NEG Muni","COUNTY_LOCATION_ISSUER")</f>
        <v>Montgomery, TX</v>
      </c>
      <c r="F1523">
        <f>_xll.BDP("61370NEG Muni","DUR_ADJ_MID")</f>
        <v>8.0474312174032572E-2</v>
      </c>
      <c r="G1523">
        <f>_xll.BDP("61370NEG Muni","SPREAD_AT_ISSUANCE_TO_WORST")</f>
        <v>36.110734077333142</v>
      </c>
      <c r="H1523" t="str">
        <f>_xll.BDP("61370NEG Muni","ISSUE_DT")</f>
        <v>2/1/2017</v>
      </c>
      <c r="I1523" t="str">
        <f>_xll.BDS("61370NEG Muni","MUNI_PURPOSE_SCHED", "aggregate=y")</f>
        <v>REFUNDING NOTES WATER UTILITY IMPS. SEWER IMPS.</v>
      </c>
      <c r="J1523">
        <f>_xll.BDP("61370NEG Muni","CPN")</f>
        <v>3</v>
      </c>
      <c r="K1523" t="str">
        <f>_xll.BDP("61370NEG Muni","MATURITY")</f>
        <v>9/1/2022</v>
      </c>
      <c r="L1523">
        <v>290000</v>
      </c>
      <c r="M1523">
        <f>_xll.BDP("61370NEG Muni","YIELD_ON_ISSUE_DATE")</f>
        <v>2.15</v>
      </c>
      <c r="N1523">
        <f>_xll.BDP("61370NEG Muni","YTW_SPREAD_TO_MATURITY_AT_ISSU")</f>
        <v>36.110734077333142</v>
      </c>
      <c r="O1523" t="str">
        <f>_xll.BDP("61370NEG Muni","BVAL_MID_YTM")</f>
        <v>#N/A Authorization</v>
      </c>
      <c r="P1523" t="str">
        <f>_xll.BDP("61370NEG Muni","MUNI_TAX_PROV")</f>
        <v>FED BQ</v>
      </c>
      <c r="Q1523" t="str">
        <f>_xll.BDP("61370NEG Muni","MUNI_FED_TAX")</f>
        <v>N</v>
      </c>
      <c r="R1523" t="str">
        <f>_xll.BDP("61370NEG Muni","MUNI_MSRB_VOLUME")</f>
        <v>#N/A N/A</v>
      </c>
      <c r="S1523" t="str">
        <f>_xll.BDP("61370NEG Muni","BB_COMPOSITE")</f>
        <v>AA-</v>
      </c>
      <c r="T1523">
        <f>_xll.BDP("61370NEG Muni","LQA_LIQUIDITY_SCORE")</f>
        <v>97</v>
      </c>
    </row>
    <row r="1524" spans="1:20" x14ac:dyDescent="0.25">
      <c r="A1524" t="str">
        <f>_xll.BDP("61370NEJ Muni","ID_CUSIP")</f>
        <v>61370NEJ8</v>
      </c>
      <c r="B1524" t="s">
        <v>432</v>
      </c>
      <c r="C1524" t="str">
        <f>_xll.BDP("61370NEJ Muni","INSURANCE_STATUS")</f>
        <v>Y</v>
      </c>
      <c r="D1524" t="str">
        <f>_xll.BDP("61370NEJ Muni","STATE_CODE")</f>
        <v>TX</v>
      </c>
      <c r="E1524" t="str">
        <f>_xll.BDP("61370NEJ Muni","COUNTY_LOCATION_ISSUER")</f>
        <v>Montgomery, TX</v>
      </c>
      <c r="F1524">
        <f>_xll.BDP("61370NEJ Muni","DUR_ADJ_MID")</f>
        <v>1.9879798438676086</v>
      </c>
      <c r="G1524">
        <f>_xll.BDP("61370NEJ Muni","SPREAD_AT_ISSUANCE_TO_WORST")</f>
        <v>42.692687511491826</v>
      </c>
      <c r="H1524" t="str">
        <f>_xll.BDP("61370NEJ Muni","ISSUE_DT")</f>
        <v>2/1/2017</v>
      </c>
      <c r="I1524" t="str">
        <f>_xll.BDS("61370NEJ Muni","MUNI_PURPOSE_SCHED", "aggregate=y")</f>
        <v>REFUNDING NOTES WATER UTILITY IMPS. SEWER IMPS.</v>
      </c>
      <c r="J1524">
        <f>_xll.BDP("61370NEJ Muni","CPN")</f>
        <v>3</v>
      </c>
      <c r="K1524" t="str">
        <f>_xll.BDP("61370NEJ Muni","MATURITY")</f>
        <v>9/1/2024</v>
      </c>
      <c r="L1524">
        <v>315000</v>
      </c>
      <c r="M1524">
        <f>_xll.BDP("61370NEJ Muni","YIELD_ON_ISSUE_DATE")</f>
        <v>2.5</v>
      </c>
      <c r="N1524">
        <f>_xll.BDP("61370NEJ Muni","YTW_SPREAD_TO_MATURITY_AT_ISSU")</f>
        <v>42.692687511491826</v>
      </c>
      <c r="O1524" t="str">
        <f>_xll.BDP("61370NEJ Muni","BVAL_MID_YTM")</f>
        <v>#N/A Authorization</v>
      </c>
      <c r="P1524" t="str">
        <f>_xll.BDP("61370NEJ Muni","MUNI_TAX_PROV")</f>
        <v>FED BQ</v>
      </c>
      <c r="Q1524" t="str">
        <f>_xll.BDP("61370NEJ Muni","MUNI_FED_TAX")</f>
        <v>N</v>
      </c>
      <c r="R1524" t="str">
        <f>_xll.BDP("61370NEJ Muni","MUNI_MSRB_VOLUME")</f>
        <v>#N/A N/A</v>
      </c>
      <c r="S1524" t="str">
        <f>_xll.BDP("61370NEJ Muni","BB_COMPOSITE")</f>
        <v>AA-</v>
      </c>
      <c r="T1524">
        <f>_xll.BDP("61370NEJ Muni","LQA_LIQUIDITY_SCORE")</f>
        <v>70</v>
      </c>
    </row>
    <row r="1525" spans="1:20" x14ac:dyDescent="0.25">
      <c r="A1525" t="str">
        <f>_xll.BDP("61370PLN Muni","ID_CUSIP")</f>
        <v>61370PLN6</v>
      </c>
      <c r="B1525" t="s">
        <v>163</v>
      </c>
      <c r="C1525" t="str">
        <f>_xll.BDP("61370PLN Muni","INSURANCE_STATUS")</f>
        <v>Y</v>
      </c>
      <c r="D1525" t="str">
        <f>_xll.BDP("61370PLN Muni","STATE_CODE")</f>
        <v>TX</v>
      </c>
      <c r="E1525" t="str">
        <f>_xll.BDP("61370PLN Muni","COUNTY_LOCATION_ISSUER")</f>
        <v>Montgomery, TX</v>
      </c>
      <c r="F1525">
        <f>_xll.BDP("61370PLN Muni","DUR_ADJ_MID")</f>
        <v>1.0557538561177198</v>
      </c>
      <c r="G1525">
        <f>_xll.BDP("61370PLN Muni","SPREAD_AT_ISSUANCE_TO_WORST")</f>
        <v>21.276148968841092</v>
      </c>
      <c r="H1525" t="str">
        <f>_xll.BDP("61370PLN Muni","ISSUE_DT")</f>
        <v>5/1/2017</v>
      </c>
      <c r="I1525" t="str">
        <f>_xll.BDS("61370PLN Muni","MUNI_PURPOSE_SCHED", "aggregate=y")</f>
        <v>WATER UTILITY IMPS. SEWER IMPS.</v>
      </c>
      <c r="J1525">
        <f>_xll.BDP("61370PLN Muni","CPN")</f>
        <v>2</v>
      </c>
      <c r="K1525" t="str">
        <f>_xll.BDP("61370PLN Muni","MATURITY")</f>
        <v>9/1/2023</v>
      </c>
      <c r="L1525">
        <v>275000</v>
      </c>
      <c r="M1525">
        <f>_xll.BDP("61370PLN Muni","YIELD_ON_ISSUE_DATE")</f>
        <v>1.85</v>
      </c>
      <c r="N1525">
        <f>_xll.BDP("61370PLN Muni","YTW_SPREAD_TO_MATURITY_AT_ISSU")</f>
        <v>21.276148968841092</v>
      </c>
      <c r="O1525" t="str">
        <f>_xll.BDP("61370PLN Muni","BVAL_MID_YTM")</f>
        <v>#N/A Authorization</v>
      </c>
      <c r="P1525" t="str">
        <f>_xll.BDP("61370PLN Muni","MUNI_TAX_PROV")</f>
        <v>FED BQ</v>
      </c>
      <c r="Q1525" t="str">
        <f>_xll.BDP("61370PLN Muni","MUNI_FED_TAX")</f>
        <v>N</v>
      </c>
      <c r="R1525" t="str">
        <f>_xll.BDP("61370PLN Muni","MUNI_MSRB_VOLUME")</f>
        <v>#N/A N/A</v>
      </c>
      <c r="S1525" t="str">
        <f>_xll.BDP("61370PLN Muni","BB_COMPOSITE")</f>
        <v>A+</v>
      </c>
      <c r="T1525">
        <f>_xll.BDP("61370PLN Muni","LQA_LIQUIDITY_SCORE")</f>
        <v>86</v>
      </c>
    </row>
    <row r="1526" spans="1:20" x14ac:dyDescent="0.25">
      <c r="A1526" t="str">
        <f>_xll.BDP("61370RGG Muni","ID_CUSIP")</f>
        <v>61370RGG3</v>
      </c>
      <c r="B1526" t="s">
        <v>433</v>
      </c>
      <c r="C1526" t="str">
        <f>_xll.BDP("61370RGG Muni","INSURANCE_STATUS")</f>
        <v>Y</v>
      </c>
      <c r="D1526" t="str">
        <f>_xll.BDP("61370RGG Muni","STATE_CODE")</f>
        <v>TX</v>
      </c>
      <c r="E1526" t="str">
        <f>_xll.BDP("61370RGG Muni","COUNTY_LOCATION_ISSUER")</f>
        <v>Montgomery, TX</v>
      </c>
      <c r="F1526">
        <f>_xll.BDP("61370RGG Muni","DUR_ADJ_MID")</f>
        <v>0.65363832988521031</v>
      </c>
      <c r="G1526">
        <f>_xll.BDP("61370RGG Muni","SPREAD_AT_ISSUANCE_TO_WORST")</f>
        <v>66.621835616438347</v>
      </c>
      <c r="H1526" t="str">
        <f>_xll.BDP("61370RGG Muni","ISSUE_DT")</f>
        <v>12/1/2017</v>
      </c>
      <c r="I1526" t="str">
        <f>_xll.BDS("61370RGG Muni","MUNI_PURPOSE_SCHED", "aggregate=y")</f>
        <v>WATER UTILITY IMPS. SEWER IMPS. PUBLIC IMPS.</v>
      </c>
      <c r="J1526">
        <f>_xll.BDP("61370RGG Muni","CPN")</f>
        <v>2.125</v>
      </c>
      <c r="K1526" t="str">
        <f>_xll.BDP("61370RGG Muni","MATURITY")</f>
        <v>4/1/2023</v>
      </c>
      <c r="L1526">
        <v>150000</v>
      </c>
      <c r="M1526">
        <f>_xll.BDP("61370RGG Muni","YIELD_ON_ISSUE_DATE")</f>
        <v>2.15</v>
      </c>
      <c r="N1526">
        <f>_xll.BDP("61370RGG Muni","YTW_SPREAD_TO_MATURITY_AT_ISSU")</f>
        <v>66.621835616438347</v>
      </c>
      <c r="O1526" t="str">
        <f>_xll.BDP("61370RGG Muni","BVAL_MID_YTM")</f>
        <v>#N/A Authorization</v>
      </c>
      <c r="P1526" t="str">
        <f>_xll.BDP("61370RGG Muni","MUNI_TAX_PROV")</f>
        <v>FED BQ</v>
      </c>
      <c r="Q1526" t="str">
        <f>_xll.BDP("61370RGG Muni","MUNI_FED_TAX")</f>
        <v>N</v>
      </c>
      <c r="R1526" t="str">
        <f>_xll.BDP("61370RGG Muni","MUNI_MSRB_VOLUME")</f>
        <v>#N/A N/A</v>
      </c>
      <c r="S1526" t="str">
        <f>_xll.BDP("61370RGG Muni","BB_COMPOSITE")</f>
        <v>AA-</v>
      </c>
      <c r="T1526">
        <f>_xll.BDP("61370RGG Muni","LQA_LIQUIDITY_SCORE")</f>
        <v>93</v>
      </c>
    </row>
    <row r="1527" spans="1:20" x14ac:dyDescent="0.25">
      <c r="A1527" t="str">
        <f>_xll.BDP("61370YHS Muni","ID_CUSIP")</f>
        <v>61370YHS1</v>
      </c>
      <c r="B1527" t="s">
        <v>434</v>
      </c>
      <c r="C1527" t="str">
        <f>_xll.BDP("61370YHS Muni","INSURANCE_STATUS")</f>
        <v>Y</v>
      </c>
      <c r="D1527" t="str">
        <f>_xll.BDP("61370YHS Muni","STATE_CODE")</f>
        <v>TX</v>
      </c>
      <c r="E1527" t="str">
        <f>_xll.BDP("61370YHS Muni","COUNTY_LOCATION_ISSUER")</f>
        <v>Montgomery, TX</v>
      </c>
      <c r="F1527">
        <f>_xll.BDP("61370YHS Muni","DUR_ADJ_MID")</f>
        <v>1.1381726620527073</v>
      </c>
      <c r="G1527">
        <f>_xll.BDP("61370YHS Muni","SPREAD_AT_ISSUANCE_TO_WORST")</f>
        <v>44.980424657534243</v>
      </c>
      <c r="H1527" t="str">
        <f>_xll.BDP("61370YHS Muni","ISSUE_DT")</f>
        <v>12/1/2017</v>
      </c>
      <c r="I1527" t="str">
        <f>_xll.BDS("61370YHS Muni","MUNI_PURPOSE_SCHED", "aggregate=y")</f>
        <v>WATER UTILITY IMPS. SEWER IMPS. PROPERTY ACQUISITION</v>
      </c>
      <c r="J1527">
        <f>_xll.BDP("61370YHS Muni","CPN")</f>
        <v>2</v>
      </c>
      <c r="K1527" t="str">
        <f>_xll.BDP("61370YHS Muni","MATURITY")</f>
        <v>10/1/2023</v>
      </c>
      <c r="L1527">
        <v>210000</v>
      </c>
      <c r="M1527">
        <f>_xll.BDP("61370YHS Muni","YIELD_ON_ISSUE_DATE")</f>
        <v>2</v>
      </c>
      <c r="N1527">
        <f>_xll.BDP("61370YHS Muni","YTW_SPREAD_TO_MATURITY_AT_ISSU")</f>
        <v>44.980424657534243</v>
      </c>
      <c r="O1527" t="str">
        <f>_xll.BDP("61370YHS Muni","BVAL_MID_YTM")</f>
        <v>#N/A Authorization</v>
      </c>
      <c r="P1527" t="str">
        <f>_xll.BDP("61370YHS Muni","MUNI_TAX_PROV")</f>
        <v>FED BQ</v>
      </c>
      <c r="Q1527" t="str">
        <f>_xll.BDP("61370YHS Muni","MUNI_FED_TAX")</f>
        <v>N</v>
      </c>
      <c r="R1527" t="str">
        <f>_xll.BDP("61370YHS Muni","MUNI_MSRB_VOLUME")</f>
        <v>#N/A N/A</v>
      </c>
      <c r="S1527" t="str">
        <f>_xll.BDP("61370YHS Muni","BB_COMPOSITE")</f>
        <v>A+</v>
      </c>
      <c r="T1527">
        <f>_xll.BDP("61370YHS Muni","LQA_LIQUIDITY_SCORE")</f>
        <v>84</v>
      </c>
    </row>
    <row r="1528" spans="1:20" x14ac:dyDescent="0.25">
      <c r="A1528" t="str">
        <f>_xll.BDP("613715NV Muni","ID_CUSIP")</f>
        <v>613715NV9</v>
      </c>
      <c r="B1528" t="s">
        <v>435</v>
      </c>
      <c r="C1528" t="str">
        <f>_xll.BDP("613715NV Muni","INSURANCE_STATUS")</f>
        <v>Y</v>
      </c>
      <c r="D1528" t="str">
        <f>_xll.BDP("613715NV Muni","STATE_CODE")</f>
        <v>TX</v>
      </c>
      <c r="E1528" t="str">
        <f>_xll.BDP("613715NV Muni","COUNTY_LOCATION_ISSUER")</f>
        <v>Montgomery, TX</v>
      </c>
      <c r="F1528">
        <f>_xll.BDP("613715NV Muni","DUR_ADJ_MID")</f>
        <v>1.4954147884876143</v>
      </c>
      <c r="G1528">
        <f>_xll.BDP("613715NV Muni","SPREAD_AT_ISSUANCE_TO_WORST")</f>
        <v>58.571152206837596</v>
      </c>
      <c r="H1528" t="str">
        <f>_xll.BDP("613715NV Muni","ISSUE_DT")</f>
        <v>9/1/2017</v>
      </c>
      <c r="I1528" t="str">
        <f>_xll.BDS("613715NV Muni","MUNI_PURPOSE_SCHED", "aggregate=y")</f>
        <v>WATER UTILITY IMPS. SEWER IMPS.</v>
      </c>
      <c r="J1528">
        <f>_xll.BDP("613715NV Muni","CPN")</f>
        <v>5</v>
      </c>
      <c r="K1528" t="str">
        <f>_xll.BDP("613715NV Muni","MATURITY")</f>
        <v>3/1/2024</v>
      </c>
      <c r="L1528">
        <v>45000</v>
      </c>
      <c r="M1528">
        <f>_xll.BDP("613715NV Muni","YIELD_ON_ISSUE_DATE")</f>
        <v>1.95</v>
      </c>
      <c r="N1528">
        <f>_xll.BDP("613715NV Muni","YTW_SPREAD_TO_MATURITY_AT_ISSU")</f>
        <v>58.571152206837596</v>
      </c>
      <c r="O1528" t="str">
        <f>_xll.BDP("613715NV Muni","BVAL_MID_YTM")</f>
        <v>#N/A Authorization</v>
      </c>
      <c r="P1528" t="str">
        <f>_xll.BDP("613715NV Muni","MUNI_TAX_PROV")</f>
        <v>FED BQ</v>
      </c>
      <c r="Q1528" t="str">
        <f>_xll.BDP("613715NV Muni","MUNI_FED_TAX")</f>
        <v>N</v>
      </c>
      <c r="R1528" t="str">
        <f>_xll.BDP("613715NV Muni","MUNI_MSRB_VOLUME")</f>
        <v>#N/A N/A</v>
      </c>
      <c r="S1528" t="str">
        <f>_xll.BDP("613715NV Muni","BB_COMPOSITE")</f>
        <v>A+</v>
      </c>
      <c r="T1528">
        <f>_xll.BDP("613715NV Muni","LQA_LIQUIDITY_SCORE")</f>
        <v>81</v>
      </c>
    </row>
    <row r="1529" spans="1:20" x14ac:dyDescent="0.25">
      <c r="A1529" t="str">
        <f>_xll.BDP("62719HZY Muni","ID_CUSIP")</f>
        <v>62719HZY3</v>
      </c>
      <c r="B1529" t="s">
        <v>436</v>
      </c>
      <c r="C1529" t="str">
        <f>_xll.BDP("62719HZY Muni","INSURANCE_STATUS")</f>
        <v>N</v>
      </c>
      <c r="D1529" t="str">
        <f>_xll.BDP("62719HZY Muni","STATE_CODE")</f>
        <v>CA</v>
      </c>
      <c r="E1529" t="str">
        <f>_xll.BDP("62719HZY Muni","COUNTY_LOCATION_ISSUER")</f>
        <v>Riverside, CA</v>
      </c>
      <c r="F1529">
        <f>_xll.BDP("62719HZY Muni","DUR_ADJ_MID")</f>
        <v>1.0535135594240397</v>
      </c>
      <c r="G1529">
        <f>_xll.BDP("62719HZY Muni","SPREAD_AT_ISSUANCE_TO_WORST")</f>
        <v>72.780167123287669</v>
      </c>
      <c r="H1529" t="str">
        <f>_xll.BDP("62719HZY Muni","ISSUE_DT")</f>
        <v>10/31/2017</v>
      </c>
      <c r="I1529" t="str">
        <f>_xll.BDS("62719HZY Muni","MUNI_PURPOSE_SCHED", "aggregate=y")</f>
        <v>SCHOOL IMPS. WATER UTILITY IMPS.</v>
      </c>
      <c r="J1529">
        <f>_xll.BDP("62719HZY Muni","CPN")</f>
        <v>2</v>
      </c>
      <c r="K1529" t="str">
        <f>_xll.BDP("62719HZY Muni","MATURITY")</f>
        <v>9/1/2023</v>
      </c>
      <c r="L1529">
        <v>115000</v>
      </c>
      <c r="M1529">
        <f>_xll.BDP("62719HZY Muni","YIELD_ON_ISSUE_DATE")</f>
        <v>2.2200000000000002</v>
      </c>
      <c r="N1529">
        <f>_xll.BDP("62719HZY Muni","YTW_SPREAD_TO_MATURITY_AT_ISSU")</f>
        <v>72.780167123287669</v>
      </c>
      <c r="O1529" t="str">
        <f>_xll.BDP("62719HZY Muni","BVAL_MID_YTM")</f>
        <v>#N/A Authorization</v>
      </c>
      <c r="P1529" t="str">
        <f>_xll.BDP("62719HZY Muni","MUNI_TAX_PROV")</f>
        <v>FED &amp; ST TAX-EXEMPT</v>
      </c>
      <c r="Q1529" t="str">
        <f>_xll.BDP("62719HZY Muni","MUNI_FED_TAX")</f>
        <v>N</v>
      </c>
      <c r="R1529" t="str">
        <f>_xll.BDP("62719HZY Muni","MUNI_MSRB_VOLUME")</f>
        <v>#N/A N/A</v>
      </c>
      <c r="S1529" t="str">
        <f>_xll.BDP("62719HZY Muni","BB_COMPOSITE")</f>
        <v>#N/A N/A</v>
      </c>
      <c r="T1529">
        <f>_xll.BDP("62719HZY Muni","LQA_LIQUIDITY_SCORE")</f>
        <v>35</v>
      </c>
    </row>
    <row r="1530" spans="1:20" x14ac:dyDescent="0.25">
      <c r="A1530" t="str">
        <f>_xll.BDP("627298AE Muni","ID_CUSIP")</f>
        <v>627298AE2</v>
      </c>
      <c r="B1530" t="s">
        <v>437</v>
      </c>
      <c r="C1530" t="str">
        <f>_xll.BDP("627298AE Muni","INSURANCE_STATUS")</f>
        <v>Y</v>
      </c>
      <c r="D1530" t="str">
        <f>_xll.BDP("627298AE Muni","STATE_CODE")</f>
        <v>IA</v>
      </c>
      <c r="E1530" t="str">
        <f>_xll.BDP("627298AE Muni","COUNTY_LOCATION_ISSUER")</f>
        <v>Muscatine, IA</v>
      </c>
      <c r="F1530">
        <f>_xll.BDP("627298AE Muni","DUR_ADJ_MID")</f>
        <v>0.32943552079313665</v>
      </c>
      <c r="G1530">
        <f>_xll.BDP("627298AE Muni","SPREAD_AT_ISSUANCE_TO_WORST")</f>
        <v>46.200815317042988</v>
      </c>
      <c r="H1530" t="str">
        <f>_xll.BDP("627298AE Muni","ISSUE_DT")</f>
        <v>6/29/2017</v>
      </c>
      <c r="I1530" t="str">
        <f>_xll.BDS("627298AE Muni","MUNI_PURPOSE_SCHED", "aggregate=y")</f>
        <v>WATER UTILITY IMPS.</v>
      </c>
      <c r="J1530">
        <f>_xll.BDP("627298AE Muni","CPN")</f>
        <v>3</v>
      </c>
      <c r="K1530" t="str">
        <f>_xll.BDP("627298AE Muni","MATURITY")</f>
        <v>12/1/2022</v>
      </c>
      <c r="L1530">
        <v>410000</v>
      </c>
      <c r="M1530">
        <f>_xll.BDP("627298AE Muni","YIELD_ON_ISSUE_DATE")</f>
        <v>1.75</v>
      </c>
      <c r="N1530">
        <f>_xll.BDP("627298AE Muni","YTW_SPREAD_TO_MATURITY_AT_ISSU")</f>
        <v>46.200815317042988</v>
      </c>
      <c r="O1530" t="str">
        <f>_xll.BDP("627298AE Muni","BVAL_MID_YTM")</f>
        <v>#N/A Authorization</v>
      </c>
      <c r="P1530" t="str">
        <f>_xll.BDP("627298AE Muni","MUNI_TAX_PROV")</f>
        <v>FED TAX-EXEMPT/ST TAXABLE</v>
      </c>
      <c r="Q1530" t="str">
        <f>_xll.BDP("627298AE Muni","MUNI_FED_TAX")</f>
        <v>N</v>
      </c>
      <c r="R1530" t="str">
        <f>_xll.BDP("627298AE Muni","MUNI_MSRB_VOLUME")</f>
        <v>#N/A N/A</v>
      </c>
      <c r="S1530" t="str">
        <f>_xll.BDP("627298AE Muni","BB_COMPOSITE")</f>
        <v>#N/A N/A</v>
      </c>
      <c r="T1530">
        <f>_xll.BDP("627298AE Muni","LQA_LIQUIDITY_SCORE")</f>
        <v>99</v>
      </c>
    </row>
    <row r="1531" spans="1:20" x14ac:dyDescent="0.25">
      <c r="A1531" t="str">
        <f>_xll.BDP("627298AG Muni","ID_CUSIP")</f>
        <v>627298AG7</v>
      </c>
      <c r="B1531" t="s">
        <v>437</v>
      </c>
      <c r="C1531" t="str">
        <f>_xll.BDP("627298AG Muni","INSURANCE_STATUS")</f>
        <v>Y</v>
      </c>
      <c r="D1531" t="str">
        <f>_xll.BDP("627298AG Muni","STATE_CODE")</f>
        <v>IA</v>
      </c>
      <c r="E1531" t="str">
        <f>_xll.BDP("627298AG Muni","COUNTY_LOCATION_ISSUER")</f>
        <v>Muscatine, IA</v>
      </c>
      <c r="F1531">
        <f>_xll.BDP("627298AG Muni","DUR_ADJ_MID")</f>
        <v>2.1960562311034257</v>
      </c>
      <c r="G1531">
        <f>_xll.BDP("627298AG Muni","SPREAD_AT_ISSUANCE_TO_WORST")</f>
        <v>47.223053155584815</v>
      </c>
      <c r="H1531" t="str">
        <f>_xll.BDP("627298AG Muni","ISSUE_DT")</f>
        <v>6/29/2017</v>
      </c>
      <c r="I1531" t="str">
        <f>_xll.BDS("627298AG Muni","MUNI_PURPOSE_SCHED", "aggregate=y")</f>
        <v>WATER UTILITY IMPS.</v>
      </c>
      <c r="J1531">
        <f>_xll.BDP("627298AG Muni","CPN")</f>
        <v>5</v>
      </c>
      <c r="K1531" t="str">
        <f>_xll.BDP("627298AG Muni","MATURITY")</f>
        <v>12/1/2024</v>
      </c>
      <c r="L1531">
        <v>445000</v>
      </c>
      <c r="M1531">
        <f>_xll.BDP("627298AG Muni","YIELD_ON_ISSUE_DATE")</f>
        <v>2.0499999999999998</v>
      </c>
      <c r="N1531">
        <f>_xll.BDP("627298AG Muni","YTW_SPREAD_TO_MATURITY_AT_ISSU")</f>
        <v>47.223053155584815</v>
      </c>
      <c r="O1531" t="str">
        <f>_xll.BDP("627298AG Muni","BVAL_MID_YTM")</f>
        <v>#N/A Authorization</v>
      </c>
      <c r="P1531" t="str">
        <f>_xll.BDP("627298AG Muni","MUNI_TAX_PROV")</f>
        <v>FED TAX-EXEMPT/ST TAXABLE</v>
      </c>
      <c r="Q1531" t="str">
        <f>_xll.BDP("627298AG Muni","MUNI_FED_TAX")</f>
        <v>N</v>
      </c>
      <c r="R1531" t="str">
        <f>_xll.BDP("627298AG Muni","MUNI_MSRB_VOLUME")</f>
        <v>#N/A N/A</v>
      </c>
      <c r="S1531" t="str">
        <f>_xll.BDP("627298AG Muni","BB_COMPOSITE")</f>
        <v>#N/A N/A</v>
      </c>
      <c r="T1531">
        <f>_xll.BDP("627298AG Muni","LQA_LIQUIDITY_SCORE")</f>
        <v>80</v>
      </c>
    </row>
    <row r="1532" spans="1:20" x14ac:dyDescent="0.25">
      <c r="A1532" t="str">
        <f>_xll.BDP("627298AJ Muni","ID_CUSIP")</f>
        <v>627298AJ1</v>
      </c>
      <c r="B1532" t="s">
        <v>437</v>
      </c>
      <c r="C1532" t="str">
        <f>_xll.BDP("627298AJ Muni","INSURANCE_STATUS")</f>
        <v>Y</v>
      </c>
      <c r="D1532" t="str">
        <f>_xll.BDP("627298AJ Muni","STATE_CODE")</f>
        <v>IA</v>
      </c>
      <c r="E1532" t="str">
        <f>_xll.BDP("627298AJ Muni","COUNTY_LOCATION_ISSUER")</f>
        <v>Muscatine, IA</v>
      </c>
      <c r="F1532">
        <f>_xll.BDP("627298AJ Muni","DUR_ADJ_MID")</f>
        <v>3.9027345937016049</v>
      </c>
      <c r="G1532">
        <f>_xll.BDP("627298AJ Muni","SPREAD_AT_ISSUANCE_TO_WORST")</f>
        <v>50.867582273834124</v>
      </c>
      <c r="H1532" t="str">
        <f>_xll.BDP("627298AJ Muni","ISSUE_DT")</f>
        <v>6/29/2017</v>
      </c>
      <c r="I1532" t="str">
        <f>_xll.BDS("627298AJ Muni","MUNI_PURPOSE_SCHED", "aggregate=y")</f>
        <v>WATER UTILITY IMPS.</v>
      </c>
      <c r="J1532">
        <f>_xll.BDP("627298AJ Muni","CPN")</f>
        <v>5</v>
      </c>
      <c r="K1532" t="str">
        <f>_xll.BDP("627298AJ Muni","MATURITY")</f>
        <v>12/1/2026</v>
      </c>
      <c r="L1532">
        <v>490000</v>
      </c>
      <c r="M1532">
        <f>_xll.BDP("627298AJ Muni","YIELD_ON_ISSUE_DATE")</f>
        <v>2.35</v>
      </c>
      <c r="N1532">
        <f>_xll.BDP("627298AJ Muni","YTW_SPREAD_TO_MATURITY_AT_ISSU")</f>
        <v>50.867582273834124</v>
      </c>
      <c r="O1532" t="str">
        <f>_xll.BDP("627298AJ Muni","BVAL_MID_YTM")</f>
        <v>#N/A Authorization</v>
      </c>
      <c r="P1532" t="str">
        <f>_xll.BDP("627298AJ Muni","MUNI_TAX_PROV")</f>
        <v>FED TAX-EXEMPT/ST TAXABLE</v>
      </c>
      <c r="Q1532" t="str">
        <f>_xll.BDP("627298AJ Muni","MUNI_FED_TAX")</f>
        <v>N</v>
      </c>
      <c r="R1532">
        <f>_xll.BDP("627298AJ Muni","MUNI_MSRB_VOLUME")</f>
        <v>795000</v>
      </c>
      <c r="S1532" t="str">
        <f>_xll.BDP("627298AJ Muni","BB_COMPOSITE")</f>
        <v>#N/A N/A</v>
      </c>
      <c r="T1532">
        <f>_xll.BDP("627298AJ Muni","LQA_LIQUIDITY_SCORE")</f>
        <v>65</v>
      </c>
    </row>
    <row r="1533" spans="1:20" x14ac:dyDescent="0.25">
      <c r="A1533" t="str">
        <f>_xll.BDP("61371FJQ Muni","ID_CUSIP")</f>
        <v>61371FJQ3</v>
      </c>
      <c r="B1533" t="s">
        <v>438</v>
      </c>
      <c r="C1533" t="str">
        <f>_xll.BDP("61371FJQ Muni","INSURANCE_STATUS")</f>
        <v>Y</v>
      </c>
      <c r="D1533" t="str">
        <f>_xll.BDP("61371FJQ Muni","STATE_CODE")</f>
        <v>TX</v>
      </c>
      <c r="E1533" t="str">
        <f>_xll.BDP("61371FJQ Muni","COUNTY_LOCATION_ISSUER")</f>
        <v>Harris, TX</v>
      </c>
      <c r="F1533">
        <f>_xll.BDP("61371FJQ Muni","DUR_ADJ_MID")</f>
        <v>1.5928534618689378</v>
      </c>
      <c r="G1533">
        <f>_xll.BDP("61371FJQ Muni","SPREAD_AT_ISSUANCE_TO_WORST")</f>
        <v>43.020345205479437</v>
      </c>
      <c r="H1533" t="str">
        <f>_xll.BDP("61371FJQ Muni","ISSUE_DT")</f>
        <v>12/1/2017</v>
      </c>
      <c r="I1533" t="str">
        <f>_xll.BDS("61371FJQ Muni","MUNI_PURPOSE_SCHED", "aggregate=y")</f>
        <v>WATER UTILITY IMPS. SEWER IMPS.</v>
      </c>
      <c r="J1533">
        <f>_xll.BDP("61371FJQ Muni","CPN")</f>
        <v>4</v>
      </c>
      <c r="K1533" t="str">
        <f>_xll.BDP("61371FJQ Muni","MATURITY")</f>
        <v>4/1/2024</v>
      </c>
      <c r="L1533">
        <v>575000</v>
      </c>
      <c r="M1533">
        <f>_xll.BDP("61371FJQ Muni","YIELD_ON_ISSUE_DATE")</f>
        <v>2.0499999999999998</v>
      </c>
      <c r="N1533">
        <f>_xll.BDP("61371FJQ Muni","YTW_SPREAD_TO_MATURITY_AT_ISSU")</f>
        <v>43.020345205479437</v>
      </c>
      <c r="O1533" t="str">
        <f>_xll.BDP("61371FJQ Muni","BVAL_MID_YTM")</f>
        <v>#N/A Authorization</v>
      </c>
      <c r="P1533" t="str">
        <f>_xll.BDP("61371FJQ Muni","MUNI_TAX_PROV")</f>
        <v>FED TAX-EXEMPT</v>
      </c>
      <c r="Q1533" t="str">
        <f>_xll.BDP("61371FJQ Muni","MUNI_FED_TAX")</f>
        <v>N</v>
      </c>
      <c r="R1533">
        <f>_xll.BDP("61371FJQ Muni","MUNI_MSRB_VOLUME")</f>
        <v>75000</v>
      </c>
      <c r="S1533" t="str">
        <f>_xll.BDP("61371FJQ Muni","BB_COMPOSITE")</f>
        <v>A+</v>
      </c>
      <c r="T1533">
        <f>_xll.BDP("61371FJQ Muni","LQA_LIQUIDITY_SCORE")</f>
        <v>86</v>
      </c>
    </row>
    <row r="1534" spans="1:20" x14ac:dyDescent="0.25">
      <c r="A1534" t="str">
        <f>_xll.BDP("61371TBD Muni","ID_CUSIP")</f>
        <v>61371TBD0</v>
      </c>
      <c r="B1534" t="s">
        <v>439</v>
      </c>
      <c r="C1534" t="str">
        <f>_xll.BDP("61371TBD Muni","INSURANCE_STATUS")</f>
        <v>N</v>
      </c>
      <c r="D1534" t="str">
        <f>_xll.BDP("61371TBD Muni","STATE_CODE")</f>
        <v>TX</v>
      </c>
      <c r="E1534" t="str">
        <f>_xll.BDP("61371TBD Muni","COUNTY_LOCATION_ISSUER")</f>
        <v>Montgomery, TX</v>
      </c>
      <c r="F1534">
        <f>_xll.BDP("61371TBD Muni","DUR_ADJ_MID")</f>
        <v>8.0459470903986502E-2</v>
      </c>
      <c r="G1534">
        <f>_xll.BDP("61371TBD Muni","SPREAD_AT_ISSUANCE_TO_WORST")</f>
        <v>103.50162465753425</v>
      </c>
      <c r="H1534" t="str">
        <f>_xll.BDP("61371TBD Muni","ISSUE_DT")</f>
        <v>10/1/2017</v>
      </c>
      <c r="I1534" t="str">
        <f>_xll.BDS("61371TBD Muni","MUNI_PURPOSE_SCHED", "aggregate=y")</f>
        <v>WATER UTILITY IMPS. SEWER IMPS.</v>
      </c>
      <c r="J1534">
        <f>_xll.BDP("61371TBD Muni","CPN")</f>
        <v>3</v>
      </c>
      <c r="K1534" t="str">
        <f>_xll.BDP("61371TBD Muni","MATURITY")</f>
        <v>9/1/2022</v>
      </c>
      <c r="L1534">
        <v>175000</v>
      </c>
      <c r="M1534">
        <f>_xll.BDP("61371TBD Muni","YIELD_ON_ISSUE_DATE")</f>
        <v>2.4000000000000004</v>
      </c>
      <c r="N1534">
        <f>_xll.BDP("61371TBD Muni","YTW_SPREAD_TO_MATURITY_AT_ISSU")</f>
        <v>103.50162465753425</v>
      </c>
      <c r="O1534" t="str">
        <f>_xll.BDP("61371TBD Muni","BVAL_MID_YTM")</f>
        <v>#N/A Authorization</v>
      </c>
      <c r="P1534" t="str">
        <f>_xll.BDP("61371TBD Muni","MUNI_TAX_PROV")</f>
        <v>FED BQ</v>
      </c>
      <c r="Q1534" t="str">
        <f>_xll.BDP("61371TBD Muni","MUNI_FED_TAX")</f>
        <v>N</v>
      </c>
      <c r="R1534" t="str">
        <f>_xll.BDP("61371TBD Muni","MUNI_MSRB_VOLUME")</f>
        <v>#N/A N/A</v>
      </c>
      <c r="S1534" t="str">
        <f>_xll.BDP("61371TBD Muni","BB_COMPOSITE")</f>
        <v>#N/A N/A</v>
      </c>
      <c r="T1534">
        <f>_xll.BDP("61371TBD Muni","LQA_LIQUIDITY_SCORE")</f>
        <v>99</v>
      </c>
    </row>
    <row r="1535" spans="1:20" x14ac:dyDescent="0.25">
      <c r="A1535" t="str">
        <f>_xll.BDP("61372GBF Muni","ID_CUSIP")</f>
        <v>61372GBF2</v>
      </c>
      <c r="B1535" t="s">
        <v>440</v>
      </c>
      <c r="C1535" t="str">
        <f>_xll.BDP("61372GBF Muni","INSURANCE_STATUS")</f>
        <v>N</v>
      </c>
      <c r="D1535" t="str">
        <f>_xll.BDP("61372GBF Muni","STATE_CODE")</f>
        <v>TX</v>
      </c>
      <c r="E1535" t="str">
        <f>_xll.BDP("61372GBF Muni","COUNTY_LOCATION_ISSUER")</f>
        <v>#N/A Field Not Applicable</v>
      </c>
      <c r="F1535">
        <f>_xll.BDP("61372GBF Muni","DUR_ADJ_MID")</f>
        <v>1.0496024631987428</v>
      </c>
      <c r="G1535">
        <f>_xll.BDP("61372GBF Muni","SPREAD_AT_ISSUANCE_TO_WORST")</f>
        <v>125.52648583230183</v>
      </c>
      <c r="H1535" t="str">
        <f>_xll.BDP("61372GBF Muni","ISSUE_DT")</f>
        <v>10/1/2017</v>
      </c>
      <c r="I1535" t="str">
        <f>_xll.BDS("61372GBF Muni","MUNI_PURPOSE_SCHED", "aggregate=y")</f>
        <v>SEWER IMPS. WATER UTILITY IMPS.</v>
      </c>
      <c r="J1535">
        <f>_xll.BDP("61372GBF Muni","CPN")</f>
        <v>2.75</v>
      </c>
      <c r="K1535" t="str">
        <f>_xll.BDP("61372GBF Muni","MATURITY")</f>
        <v>9/1/2023</v>
      </c>
      <c r="L1535">
        <v>65000</v>
      </c>
      <c r="M1535">
        <f>_xll.BDP("61372GBF Muni","YIELD_ON_ISSUE_DATE")</f>
        <v>2.6</v>
      </c>
      <c r="N1535">
        <f>_xll.BDP("61372GBF Muni","YTW_SPREAD_TO_MATURITY_AT_ISSU")</f>
        <v>125.52648583230183</v>
      </c>
      <c r="O1535" t="str">
        <f>_xll.BDP("61372GBF Muni","BVAL_MID_YTM")</f>
        <v>#N/A Authorization</v>
      </c>
      <c r="P1535" t="str">
        <f>_xll.BDP("61372GBF Muni","MUNI_TAX_PROV")</f>
        <v>FED BQ</v>
      </c>
      <c r="Q1535" t="str">
        <f>_xll.BDP("61372GBF Muni","MUNI_FED_TAX")</f>
        <v>N</v>
      </c>
      <c r="R1535" t="str">
        <f>_xll.BDP("61372GBF Muni","MUNI_MSRB_VOLUME")</f>
        <v>#N/A N/A</v>
      </c>
      <c r="S1535" t="str">
        <f>_xll.BDP("61372GBF Muni","BB_COMPOSITE")</f>
        <v>#N/A N/A</v>
      </c>
      <c r="T1535">
        <f>_xll.BDP("61372GBF Muni","LQA_LIQUIDITY_SCORE")</f>
        <v>70</v>
      </c>
    </row>
    <row r="1536" spans="1:20" x14ac:dyDescent="0.25">
      <c r="A1536" t="str">
        <f>_xll.BDP("509624NT Muni","ID_CUSIP")</f>
        <v>509624NT5</v>
      </c>
      <c r="B1536" t="s">
        <v>441</v>
      </c>
      <c r="C1536" t="str">
        <f>_xll.BDP("509624NT Muni","INSURANCE_STATUS")</f>
        <v>N</v>
      </c>
      <c r="D1536" t="str">
        <f>_xll.BDP("509624NT Muni","STATE_CODE")</f>
        <v>MN</v>
      </c>
      <c r="E1536" t="str">
        <f>_xll.BDP("509624NT Muni","COUNTY_LOCATION_ISSUER")</f>
        <v>Washington, MN</v>
      </c>
      <c r="F1536">
        <f>_xll.BDP("509624NT Muni","DUR_ADJ_MID")</f>
        <v>0.45054968967991649</v>
      </c>
      <c r="G1536">
        <f>_xll.BDP("509624NT Muni","SPREAD_AT_ISSUANCE_TO_WORST")</f>
        <v>14.41971334850496</v>
      </c>
      <c r="H1536" t="str">
        <f>_xll.BDP("509624NT Muni","ISSUE_DT")</f>
        <v>6/8/2017</v>
      </c>
      <c r="I1536" t="str">
        <f>_xll.BDS("509624NT Muni","MUNI_PURPOSE_SCHED", "aggregate=y")</f>
        <v>SEWER IMPS. WATER UTILITY IMPS. PUBLIC IMPS.</v>
      </c>
      <c r="J1536">
        <f>_xll.BDP("509624NT Muni","CPN")</f>
        <v>2.5</v>
      </c>
      <c r="K1536" t="str">
        <f>_xll.BDP("509624NT Muni","MATURITY")</f>
        <v>1/15/2023</v>
      </c>
      <c r="L1536">
        <v>730000</v>
      </c>
      <c r="M1536">
        <f>_xll.BDP("509624NT Muni","YIELD_ON_ISSUE_DATE")</f>
        <v>1.6</v>
      </c>
      <c r="N1536">
        <f>_xll.BDP("509624NT Muni","YTW_SPREAD_TO_MATURITY_AT_ISSU")</f>
        <v>14.41971334850496</v>
      </c>
      <c r="O1536" t="str">
        <f>_xll.BDP("509624NT Muni","BVAL_MID_YTM")</f>
        <v>#N/A Authorization</v>
      </c>
      <c r="P1536" t="str">
        <f>_xll.BDP("509624NT Muni","MUNI_TAX_PROV")</f>
        <v>FED BQ/ST TAX-EXEMPT</v>
      </c>
      <c r="Q1536" t="str">
        <f>_xll.BDP("509624NT Muni","MUNI_FED_TAX")</f>
        <v>N</v>
      </c>
      <c r="R1536" t="str">
        <f>_xll.BDP("509624NT Muni","MUNI_MSRB_VOLUME")</f>
        <v>#N/A N/A</v>
      </c>
      <c r="S1536" t="str">
        <f>_xll.BDP("509624NT Muni","BB_COMPOSITE")</f>
        <v>#N/A N/A</v>
      </c>
      <c r="T1536">
        <f>_xll.BDP("509624NT Muni","LQA_LIQUIDITY_SCORE")</f>
        <v>95</v>
      </c>
    </row>
    <row r="1537" spans="1:20" x14ac:dyDescent="0.25">
      <c r="A1537" t="str">
        <f>_xll.BDP("509624NU Muni","ID_CUSIP")</f>
        <v>509624NU2</v>
      </c>
      <c r="B1537" t="s">
        <v>441</v>
      </c>
      <c r="C1537" t="str">
        <f>_xll.BDP("509624NU Muni","INSURANCE_STATUS")</f>
        <v>N</v>
      </c>
      <c r="D1537" t="str">
        <f>_xll.BDP("509624NU Muni","STATE_CODE")</f>
        <v>MN</v>
      </c>
      <c r="E1537" t="str">
        <f>_xll.BDP("509624NU Muni","COUNTY_LOCATION_ISSUER")</f>
        <v>Washington, MN</v>
      </c>
      <c r="F1537">
        <f>_xll.BDP("509624NU Muni","DUR_ADJ_MID")</f>
        <v>1.4226340407057134</v>
      </c>
      <c r="G1537">
        <f>_xll.BDP("509624NU Muni","SPREAD_AT_ISSUANCE_TO_WORST")</f>
        <v>13.097614770534239</v>
      </c>
      <c r="H1537" t="str">
        <f>_xll.BDP("509624NU Muni","ISSUE_DT")</f>
        <v>6/8/2017</v>
      </c>
      <c r="I1537" t="str">
        <f>_xll.BDS("509624NU Muni","MUNI_PURPOSE_SCHED", "aggregate=y")</f>
        <v>SEWER IMPS. WATER UTILITY IMPS. PUBLIC IMPS.</v>
      </c>
      <c r="J1537">
        <f>_xll.BDP("509624NU Muni","CPN")</f>
        <v>2.5</v>
      </c>
      <c r="K1537" t="str">
        <f>_xll.BDP("509624NU Muni","MATURITY")</f>
        <v>1/15/2024</v>
      </c>
      <c r="L1537">
        <v>750000</v>
      </c>
      <c r="M1537">
        <f>_xll.BDP("509624NU Muni","YIELD_ON_ISSUE_DATE")</f>
        <v>1.75</v>
      </c>
      <c r="N1537">
        <f>_xll.BDP("509624NU Muni","YTW_SPREAD_TO_MATURITY_AT_ISSU")</f>
        <v>13.097614770534239</v>
      </c>
      <c r="O1537" t="str">
        <f>_xll.BDP("509624NU Muni","BVAL_MID_YTM")</f>
        <v>#N/A Authorization</v>
      </c>
      <c r="P1537" t="str">
        <f>_xll.BDP("509624NU Muni","MUNI_TAX_PROV")</f>
        <v>FED BQ/ST TAX-EXEMPT</v>
      </c>
      <c r="Q1537" t="str">
        <f>_xll.BDP("509624NU Muni","MUNI_FED_TAX")</f>
        <v>N</v>
      </c>
      <c r="R1537" t="str">
        <f>_xll.BDP("509624NU Muni","MUNI_MSRB_VOLUME")</f>
        <v>#N/A N/A</v>
      </c>
      <c r="S1537" t="str">
        <f>_xll.BDP("509624NU Muni","BB_COMPOSITE")</f>
        <v>#N/A N/A</v>
      </c>
      <c r="T1537">
        <f>_xll.BDP("509624NU Muni","LQA_LIQUIDITY_SCORE")</f>
        <v>85</v>
      </c>
    </row>
    <row r="1538" spans="1:20" x14ac:dyDescent="0.25">
      <c r="A1538" t="str">
        <f>_xll.BDP("509624NV Muni","ID_CUSIP")</f>
        <v>509624NV0</v>
      </c>
      <c r="B1538" t="s">
        <v>441</v>
      </c>
      <c r="C1538" t="str">
        <f>_xll.BDP("509624NV Muni","INSURANCE_STATUS")</f>
        <v>N</v>
      </c>
      <c r="D1538" t="str">
        <f>_xll.BDP("509624NV Muni","STATE_CODE")</f>
        <v>MN</v>
      </c>
      <c r="E1538" t="str">
        <f>_xll.BDP("509624NV Muni","COUNTY_LOCATION_ISSUER")</f>
        <v>Washington, MN</v>
      </c>
      <c r="F1538">
        <f>_xll.BDP("509624NV Muni","DUR_ADJ_MID")</f>
        <v>2.3708509683563439</v>
      </c>
      <c r="G1538">
        <f>_xll.BDP("509624NV Muni","SPREAD_AT_ISSUANCE_TO_WORST")</f>
        <v>11.747440366989647</v>
      </c>
      <c r="H1538" t="str">
        <f>_xll.BDP("509624NV Muni","ISSUE_DT")</f>
        <v>6/8/2017</v>
      </c>
      <c r="I1538" t="str">
        <f>_xll.BDS("509624NV Muni","MUNI_PURPOSE_SCHED", "aggregate=y")</f>
        <v>SEWER IMPS. WATER UTILITY IMPS. PUBLIC IMPS.</v>
      </c>
      <c r="J1538">
        <f>_xll.BDP("509624NV Muni","CPN")</f>
        <v>2.5</v>
      </c>
      <c r="K1538" t="str">
        <f>_xll.BDP("509624NV Muni","MATURITY")</f>
        <v>1/15/2025</v>
      </c>
      <c r="L1538">
        <v>765000</v>
      </c>
      <c r="M1538">
        <f>_xll.BDP("509624NV Muni","YIELD_ON_ISSUE_DATE")</f>
        <v>1.9000000000000001</v>
      </c>
      <c r="N1538">
        <f>_xll.BDP("509624NV Muni","YTW_SPREAD_TO_MATURITY_AT_ISSU")</f>
        <v>11.747440366989647</v>
      </c>
      <c r="O1538" t="str">
        <f>_xll.BDP("509624NV Muni","BVAL_MID_YTM")</f>
        <v>#N/A Authorization</v>
      </c>
      <c r="P1538" t="str">
        <f>_xll.BDP("509624NV Muni","MUNI_TAX_PROV")</f>
        <v>FED BQ/ST TAX-EXEMPT</v>
      </c>
      <c r="Q1538" t="str">
        <f>_xll.BDP("509624NV Muni","MUNI_FED_TAX")</f>
        <v>N</v>
      </c>
      <c r="R1538" t="str">
        <f>_xll.BDP("509624NV Muni","MUNI_MSRB_VOLUME")</f>
        <v>#N/A N/A</v>
      </c>
      <c r="S1538" t="str">
        <f>_xll.BDP("509624NV Muni","BB_COMPOSITE")</f>
        <v>#N/A N/A</v>
      </c>
      <c r="T1538">
        <f>_xll.BDP("509624NV Muni","LQA_LIQUIDITY_SCORE")</f>
        <v>78</v>
      </c>
    </row>
    <row r="1539" spans="1:20" x14ac:dyDescent="0.25">
      <c r="A1539" t="str">
        <f>_xll.BDP("509640VJ Muni","ID_CUSIP")</f>
        <v>509640VJ4</v>
      </c>
      <c r="B1539" t="s">
        <v>442</v>
      </c>
      <c r="C1539" t="str">
        <f>_xll.BDP("509640VJ Muni","INSURANCE_STATUS")</f>
        <v>N</v>
      </c>
      <c r="D1539" t="str">
        <f>_xll.BDP("509640VJ Muni","STATE_CODE")</f>
        <v>CA</v>
      </c>
      <c r="E1539" t="str">
        <f>_xll.BDP("509640VJ Muni","COUNTY_LOCATION_ISSUER")</f>
        <v>Riverside, CA</v>
      </c>
      <c r="F1539">
        <f>_xll.BDP("509640VJ Muni","DUR_ADJ_MID")</f>
        <v>8.0444339753051639E-2</v>
      </c>
      <c r="G1539">
        <f>_xll.BDP("509640VJ Muni","SPREAD_AT_ISSUANCE_TO_WORST")</f>
        <v>62.431315068493156</v>
      </c>
      <c r="H1539" t="str">
        <f>_xll.BDP("509640VJ Muni","ISSUE_DT")</f>
        <v>12/14/2017</v>
      </c>
      <c r="I1539" t="str">
        <f>_xll.BDS("509640VJ Muni","MUNI_PURPOSE_SCHED", "aggregate=y")</f>
        <v>SCHOOL IMPS. WATER UTILITY IMPS. SEWER IMPS.</v>
      </c>
      <c r="J1539">
        <f>_xll.BDP("509640VJ Muni","CPN")</f>
        <v>4</v>
      </c>
      <c r="K1539" t="str">
        <f>_xll.BDP("509640VJ Muni","MATURITY")</f>
        <v>9/1/2022</v>
      </c>
      <c r="L1539">
        <v>95000</v>
      </c>
      <c r="M1539">
        <f>_xll.BDP("509640VJ Muni","YIELD_ON_ISSUE_DATE")</f>
        <v>2.27</v>
      </c>
      <c r="N1539">
        <f>_xll.BDP("509640VJ Muni","YTW_SPREAD_TO_MATURITY_AT_ISSU")</f>
        <v>62.431315068493156</v>
      </c>
      <c r="O1539" t="str">
        <f>_xll.BDP("509640VJ Muni","BVAL_MID_YTM")</f>
        <v>#N/A Authorization</v>
      </c>
      <c r="P1539" t="str">
        <f>_xll.BDP("509640VJ Muni","MUNI_TAX_PROV")</f>
        <v>FED &amp; ST TAX-EXEMPT</v>
      </c>
      <c r="Q1539" t="str">
        <f>_xll.BDP("509640VJ Muni","MUNI_FED_TAX")</f>
        <v>N</v>
      </c>
      <c r="R1539" t="str">
        <f>_xll.BDP("509640VJ Muni","MUNI_MSRB_VOLUME")</f>
        <v>#N/A N/A</v>
      </c>
      <c r="S1539" t="str">
        <f>_xll.BDP("509640VJ Muni","BB_COMPOSITE")</f>
        <v>#N/A N/A</v>
      </c>
      <c r="T1539">
        <f>_xll.BDP("509640VJ Muni","LQA_LIQUIDITY_SCORE")</f>
        <v>90</v>
      </c>
    </row>
    <row r="1540" spans="1:20" x14ac:dyDescent="0.25">
      <c r="A1540" t="str">
        <f>_xll.BDP("509640VK Muni","ID_CUSIP")</f>
        <v>509640VK1</v>
      </c>
      <c r="B1540" t="s">
        <v>442</v>
      </c>
      <c r="C1540" t="str">
        <f>_xll.BDP("509640VK Muni","INSURANCE_STATUS")</f>
        <v>N</v>
      </c>
      <c r="D1540" t="str">
        <f>_xll.BDP("509640VK Muni","STATE_CODE")</f>
        <v>CA</v>
      </c>
      <c r="E1540" t="str">
        <f>_xll.BDP("509640VK Muni","COUNTY_LOCATION_ISSUER")</f>
        <v>Riverside, CA</v>
      </c>
      <c r="F1540">
        <f>_xll.BDP("509640VK Muni","DUR_ADJ_MID")</f>
        <v>1.039680754538177</v>
      </c>
      <c r="G1540">
        <f>_xll.BDP("509640VK Muni","SPREAD_AT_ISSUANCE_TO_WORST")</f>
        <v>69.897876712328781</v>
      </c>
      <c r="H1540" t="str">
        <f>_xll.BDP("509640VK Muni","ISSUE_DT")</f>
        <v>12/14/2017</v>
      </c>
      <c r="I1540" t="str">
        <f>_xll.BDS("509640VK Muni","MUNI_PURPOSE_SCHED", "aggregate=y")</f>
        <v>SCHOOL IMPS. WATER UTILITY IMPS. SEWER IMPS.</v>
      </c>
      <c r="J1540">
        <f>_xll.BDP("509640VK Muni","CPN")</f>
        <v>4</v>
      </c>
      <c r="K1540" t="str">
        <f>_xll.BDP("509640VK Muni","MATURITY")</f>
        <v>9/1/2023</v>
      </c>
      <c r="L1540">
        <v>105000</v>
      </c>
      <c r="M1540">
        <f>_xll.BDP("509640VK Muni","YIELD_ON_ISSUE_DATE")</f>
        <v>2.4500000000000002</v>
      </c>
      <c r="N1540">
        <f>_xll.BDP("509640VK Muni","YTW_SPREAD_TO_MATURITY_AT_ISSU")</f>
        <v>69.897876712328781</v>
      </c>
      <c r="O1540" t="str">
        <f>_xll.BDP("509640VK Muni","BVAL_MID_YTM")</f>
        <v>#N/A Authorization</v>
      </c>
      <c r="P1540" t="str">
        <f>_xll.BDP("509640VK Muni","MUNI_TAX_PROV")</f>
        <v>FED &amp; ST TAX-EXEMPT</v>
      </c>
      <c r="Q1540" t="str">
        <f>_xll.BDP("509640VK Muni","MUNI_FED_TAX")</f>
        <v>N</v>
      </c>
      <c r="R1540">
        <f>_xll.BDP("509640VK Muni","MUNI_MSRB_VOLUME")</f>
        <v>340000</v>
      </c>
      <c r="S1540" t="str">
        <f>_xll.BDP("509640VK Muni","BB_COMPOSITE")</f>
        <v>#N/A N/A</v>
      </c>
      <c r="T1540">
        <f>_xll.BDP("509640VK Muni","LQA_LIQUIDITY_SCORE")</f>
        <v>55</v>
      </c>
    </row>
    <row r="1541" spans="1:20" x14ac:dyDescent="0.25">
      <c r="A1541" t="str">
        <f>_xll.BDP("509640VL Muni","ID_CUSIP")</f>
        <v>509640VL9</v>
      </c>
      <c r="B1541" t="s">
        <v>442</v>
      </c>
      <c r="C1541" t="str">
        <f>_xll.BDP("509640VL Muni","INSURANCE_STATUS")</f>
        <v>N</v>
      </c>
      <c r="D1541" t="str">
        <f>_xll.BDP("509640VL Muni","STATE_CODE")</f>
        <v>CA</v>
      </c>
      <c r="E1541" t="str">
        <f>_xll.BDP("509640VL Muni","COUNTY_LOCATION_ISSUER")</f>
        <v>Riverside, CA</v>
      </c>
      <c r="F1541">
        <f>_xll.BDP("509640VL Muni","DUR_ADJ_MID")</f>
        <v>1.9612129545077124</v>
      </c>
      <c r="G1541">
        <f>_xll.BDP("509640VL Muni","SPREAD_AT_ISSUANCE_TO_WORST")</f>
        <v>78.80354794520548</v>
      </c>
      <c r="H1541" t="str">
        <f>_xll.BDP("509640VL Muni","ISSUE_DT")</f>
        <v>12/14/2017</v>
      </c>
      <c r="I1541" t="str">
        <f>_xll.BDS("509640VL Muni","MUNI_PURPOSE_SCHED", "aggregate=y")</f>
        <v>SCHOOL IMPS. WATER UTILITY IMPS. SEWER IMPS.</v>
      </c>
      <c r="J1541">
        <f>_xll.BDP("509640VL Muni","CPN")</f>
        <v>4</v>
      </c>
      <c r="K1541" t="str">
        <f>_xll.BDP("509640VL Muni","MATURITY")</f>
        <v>9/1/2024</v>
      </c>
      <c r="L1541">
        <v>120000</v>
      </c>
      <c r="M1541">
        <f>_xll.BDP("509640VL Muni","YIELD_ON_ISSUE_DATE")</f>
        <v>2.64</v>
      </c>
      <c r="N1541">
        <f>_xll.BDP("509640VL Muni","YTW_SPREAD_TO_MATURITY_AT_ISSU")</f>
        <v>78.80354794520548</v>
      </c>
      <c r="O1541" t="str">
        <f>_xll.BDP("509640VL Muni","BVAL_MID_YTM")</f>
        <v>#N/A Authorization</v>
      </c>
      <c r="P1541" t="str">
        <f>_xll.BDP("509640VL Muni","MUNI_TAX_PROV")</f>
        <v>FED &amp; ST TAX-EXEMPT</v>
      </c>
      <c r="Q1541" t="str">
        <f>_xll.BDP("509640VL Muni","MUNI_FED_TAX")</f>
        <v>N</v>
      </c>
      <c r="R1541" t="str">
        <f>_xll.BDP("509640VL Muni","MUNI_MSRB_VOLUME")</f>
        <v>#N/A N/A</v>
      </c>
      <c r="S1541" t="str">
        <f>_xll.BDP("509640VL Muni","BB_COMPOSITE")</f>
        <v>#N/A N/A</v>
      </c>
      <c r="T1541">
        <f>_xll.BDP("509640VL Muni","LQA_LIQUIDITY_SCORE")</f>
        <v>34</v>
      </c>
    </row>
    <row r="1542" spans="1:20" x14ac:dyDescent="0.25">
      <c r="A1542" t="str">
        <f>_xll.BDP("483278QX Muni","ID_CUSIP")</f>
        <v>483278QX8</v>
      </c>
      <c r="B1542" t="s">
        <v>443</v>
      </c>
      <c r="C1542" t="str">
        <f>_xll.BDP("483278QX Muni","INSURANCE_STATUS")</f>
        <v>N</v>
      </c>
      <c r="D1542" t="str">
        <f>_xll.BDP("483278QX Muni","STATE_CODE")</f>
        <v>MI</v>
      </c>
      <c r="E1542" t="str">
        <f>_xll.BDP("483278QX Muni","COUNTY_LOCATION_ISSUER")</f>
        <v>Kalamazoo, MI</v>
      </c>
      <c r="F1542">
        <f>_xll.BDP("483278QX Muni","DUR_ADJ_MID")</f>
        <v>8.0493186428663543E-2</v>
      </c>
      <c r="G1542">
        <f>_xll.BDP("483278QX Muni","SPREAD_AT_ISSUANCE_TO_WORST")</f>
        <v>46.07444226785222</v>
      </c>
      <c r="H1542" t="str">
        <f>_xll.BDP("483278QX Muni","ISSUE_DT")</f>
        <v>5/2/2017</v>
      </c>
      <c r="I1542" t="str">
        <f>_xll.BDS("483278QX Muni","MUNI_PURPOSE_SCHED", "aggregate=y")</f>
        <v>WATER UTILITY IMPS. ADVANCE REFUNDING CURRENT REFUNDING</v>
      </c>
      <c r="J1542">
        <f>_xll.BDP("483278QX Muni","CPN")</f>
        <v>4</v>
      </c>
      <c r="K1542" t="str">
        <f>_xll.BDP("483278QX Muni","MATURITY")</f>
        <v>9/1/2022</v>
      </c>
      <c r="L1542">
        <v>370000</v>
      </c>
      <c r="M1542">
        <f>_xll.BDP("483278QX Muni","YIELD_ON_ISSUE_DATE")</f>
        <v>1.93</v>
      </c>
      <c r="N1542">
        <f>_xll.BDP("483278QX Muni","YTW_SPREAD_TO_MATURITY_AT_ISSU")</f>
        <v>46.07444226785222</v>
      </c>
      <c r="O1542" t="str">
        <f>_xll.BDP("483278QX Muni","BVAL_MID_YTM")</f>
        <v>#N/A Authorization</v>
      </c>
      <c r="P1542" t="str">
        <f>_xll.BDP("483278QX Muni","MUNI_TAX_PROV")</f>
        <v>FED &amp; ST TAX-EXEMPT</v>
      </c>
      <c r="Q1542" t="str">
        <f>_xll.BDP("483278QX Muni","MUNI_FED_TAX")</f>
        <v>N</v>
      </c>
      <c r="R1542" t="str">
        <f>_xll.BDP("483278QX Muni","MUNI_MSRB_VOLUME")</f>
        <v>#N/A N/A</v>
      </c>
      <c r="S1542" t="str">
        <f>_xll.BDP("483278QX Muni","BB_COMPOSITE")</f>
        <v>#N/A N/A</v>
      </c>
      <c r="T1542">
        <f>_xll.BDP("483278QX Muni","LQA_LIQUIDITY_SCORE")</f>
        <v>98</v>
      </c>
    </row>
    <row r="1543" spans="1:20" x14ac:dyDescent="0.25">
      <c r="A1543" t="str">
        <f>_xll.BDP("483278QY Muni","ID_CUSIP")</f>
        <v>483278QY6</v>
      </c>
      <c r="B1543" t="s">
        <v>443</v>
      </c>
      <c r="C1543" t="str">
        <f>_xll.BDP("483278QY Muni","INSURANCE_STATUS")</f>
        <v>N</v>
      </c>
      <c r="D1543" t="str">
        <f>_xll.BDP("483278QY Muni","STATE_CODE")</f>
        <v>MI</v>
      </c>
      <c r="E1543" t="str">
        <f>_xll.BDP("483278QY Muni","COUNTY_LOCATION_ISSUER")</f>
        <v>Kalamazoo, MI</v>
      </c>
      <c r="F1543">
        <f>_xll.BDP("483278QY Muni","DUR_ADJ_MID")</f>
        <v>1.0437659320994184</v>
      </c>
      <c r="G1543">
        <f>_xll.BDP("483278QY Muni","SPREAD_AT_ISSUANCE_TO_WORST")</f>
        <v>49.276148968841071</v>
      </c>
      <c r="H1543" t="str">
        <f>_xll.BDP("483278QY Muni","ISSUE_DT")</f>
        <v>5/2/2017</v>
      </c>
      <c r="I1543" t="str">
        <f>_xll.BDS("483278QY Muni","MUNI_PURPOSE_SCHED", "aggregate=y")</f>
        <v>WATER UTILITY IMPS. ADVANCE REFUNDING CURRENT REFUNDING</v>
      </c>
      <c r="J1543">
        <f>_xll.BDP("483278QY Muni","CPN")</f>
        <v>4</v>
      </c>
      <c r="K1543" t="str">
        <f>_xll.BDP("483278QY Muni","MATURITY")</f>
        <v>9/1/2023</v>
      </c>
      <c r="L1543">
        <v>380000</v>
      </c>
      <c r="M1543">
        <f>_xll.BDP("483278QY Muni","YIELD_ON_ISSUE_DATE")</f>
        <v>2.13</v>
      </c>
      <c r="N1543">
        <f>_xll.BDP("483278QY Muni","YTW_SPREAD_TO_MATURITY_AT_ISSU")</f>
        <v>49.276148968841071</v>
      </c>
      <c r="O1543" t="str">
        <f>_xll.BDP("483278QY Muni","BVAL_MID_YTM")</f>
        <v>#N/A Authorization</v>
      </c>
      <c r="P1543" t="str">
        <f>_xll.BDP("483278QY Muni","MUNI_TAX_PROV")</f>
        <v>FED &amp; ST TAX-EXEMPT</v>
      </c>
      <c r="Q1543" t="str">
        <f>_xll.BDP("483278QY Muni","MUNI_FED_TAX")</f>
        <v>N</v>
      </c>
      <c r="R1543" t="str">
        <f>_xll.BDP("483278QY Muni","MUNI_MSRB_VOLUME")</f>
        <v>#N/A N/A</v>
      </c>
      <c r="S1543" t="str">
        <f>_xll.BDP("483278QY Muni","BB_COMPOSITE")</f>
        <v>#N/A N/A</v>
      </c>
      <c r="T1543">
        <f>_xll.BDP("483278QY Muni","LQA_LIQUIDITY_SCORE")</f>
        <v>93</v>
      </c>
    </row>
    <row r="1544" spans="1:20" x14ac:dyDescent="0.25">
      <c r="A1544" t="str">
        <f>_xll.BDP("483278QZ Muni","ID_CUSIP")</f>
        <v>483278QZ3</v>
      </c>
      <c r="B1544" t="s">
        <v>443</v>
      </c>
      <c r="C1544" t="str">
        <f>_xll.BDP("483278QZ Muni","INSURANCE_STATUS")</f>
        <v>N</v>
      </c>
      <c r="D1544" t="str">
        <f>_xll.BDP("483278QZ Muni","STATE_CODE")</f>
        <v>MI</v>
      </c>
      <c r="E1544" t="str">
        <f>_xll.BDP("483278QZ Muni","COUNTY_LOCATION_ISSUER")</f>
        <v>Kalamazoo, MI</v>
      </c>
      <c r="F1544">
        <f>_xll.BDP("483278QZ Muni","DUR_ADJ_MID")</f>
        <v>1.9696048158237673</v>
      </c>
      <c r="G1544">
        <f>_xll.BDP("483278QZ Muni","SPREAD_AT_ISSUANCE_TO_WORST")</f>
        <v>50.735877859248937</v>
      </c>
      <c r="H1544" t="str">
        <f>_xll.BDP("483278QZ Muni","ISSUE_DT")</f>
        <v>5/2/2017</v>
      </c>
      <c r="I1544" t="str">
        <f>_xll.BDS("483278QZ Muni","MUNI_PURPOSE_SCHED", "aggregate=y")</f>
        <v>WATER UTILITY IMPS. ADVANCE REFUNDING CURRENT REFUNDING</v>
      </c>
      <c r="J1544">
        <f>_xll.BDP("483278QZ Muni","CPN")</f>
        <v>4</v>
      </c>
      <c r="K1544" t="str">
        <f>_xll.BDP("483278QZ Muni","MATURITY")</f>
        <v>9/1/2024</v>
      </c>
      <c r="L1544">
        <v>395000</v>
      </c>
      <c r="M1544">
        <f>_xll.BDP("483278QZ Muni","YIELD_ON_ISSUE_DATE")</f>
        <v>2.31</v>
      </c>
      <c r="N1544">
        <f>_xll.BDP("483278QZ Muni","YTW_SPREAD_TO_MATURITY_AT_ISSU")</f>
        <v>50.735877859248937</v>
      </c>
      <c r="O1544" t="str">
        <f>_xll.BDP("483278QZ Muni","BVAL_MID_YTM")</f>
        <v>#N/A Authorization</v>
      </c>
      <c r="P1544" t="str">
        <f>_xll.BDP("483278QZ Muni","MUNI_TAX_PROV")</f>
        <v>FED &amp; ST TAX-EXEMPT</v>
      </c>
      <c r="Q1544" t="str">
        <f>_xll.BDP("483278QZ Muni","MUNI_FED_TAX")</f>
        <v>N</v>
      </c>
      <c r="R1544" t="str">
        <f>_xll.BDP("483278QZ Muni","MUNI_MSRB_VOLUME")</f>
        <v>#N/A N/A</v>
      </c>
      <c r="S1544" t="str">
        <f>_xll.BDP("483278QZ Muni","BB_COMPOSITE")</f>
        <v>#N/A N/A</v>
      </c>
      <c r="T1544">
        <f>_xll.BDP("483278QZ Muni","LQA_LIQUIDITY_SCORE")</f>
        <v>84</v>
      </c>
    </row>
    <row r="1545" spans="1:20" x14ac:dyDescent="0.25">
      <c r="A1545" t="str">
        <f>_xll.BDP("483278RA Muni","ID_CUSIP")</f>
        <v>483278RA7</v>
      </c>
      <c r="B1545" t="s">
        <v>443</v>
      </c>
      <c r="C1545" t="str">
        <f>_xll.BDP("483278RA Muni","INSURANCE_STATUS")</f>
        <v>N</v>
      </c>
      <c r="D1545" t="str">
        <f>_xll.BDP("483278RA Muni","STATE_CODE")</f>
        <v>MI</v>
      </c>
      <c r="E1545" t="str">
        <f>_xll.BDP("483278RA Muni","COUNTY_LOCATION_ISSUER")</f>
        <v>Kalamazoo, MI</v>
      </c>
      <c r="F1545">
        <f>_xll.BDP("483278RA Muni","DUR_ADJ_MID")</f>
        <v>2.8618439969774832</v>
      </c>
      <c r="G1545">
        <f>_xll.BDP("483278RA Muni","SPREAD_AT_ISSUANCE_TO_WORST")</f>
        <v>50.165547261202128</v>
      </c>
      <c r="H1545" t="str">
        <f>_xll.BDP("483278RA Muni","ISSUE_DT")</f>
        <v>5/2/2017</v>
      </c>
      <c r="I1545" t="str">
        <f>_xll.BDS("483278RA Muni","MUNI_PURPOSE_SCHED", "aggregate=y")</f>
        <v>WATER UTILITY IMPS. ADVANCE REFUNDING CURRENT REFUNDING</v>
      </c>
      <c r="J1545">
        <f>_xll.BDP("483278RA Muni","CPN")</f>
        <v>4</v>
      </c>
      <c r="K1545" t="str">
        <f>_xll.BDP("483278RA Muni","MATURITY")</f>
        <v>9/1/2025</v>
      </c>
      <c r="L1545">
        <v>420000</v>
      </c>
      <c r="M1545">
        <f>_xll.BDP("483278RA Muni","YIELD_ON_ISSUE_DATE")</f>
        <v>2.46</v>
      </c>
      <c r="N1545">
        <f>_xll.BDP("483278RA Muni","YTW_SPREAD_TO_MATURITY_AT_ISSU")</f>
        <v>50.165547261202128</v>
      </c>
      <c r="O1545" t="str">
        <f>_xll.BDP("483278RA Muni","BVAL_MID_YTM")</f>
        <v>#N/A Authorization</v>
      </c>
      <c r="P1545" t="str">
        <f>_xll.BDP("483278RA Muni","MUNI_TAX_PROV")</f>
        <v>FED &amp; ST TAX-EXEMPT</v>
      </c>
      <c r="Q1545" t="str">
        <f>_xll.BDP("483278RA Muni","MUNI_FED_TAX")</f>
        <v>N</v>
      </c>
      <c r="R1545">
        <f>_xll.BDP("483278RA Muni","MUNI_MSRB_VOLUME")</f>
        <v>125000</v>
      </c>
      <c r="S1545" t="str">
        <f>_xll.BDP("483278RA Muni","BB_COMPOSITE")</f>
        <v>#N/A N/A</v>
      </c>
      <c r="T1545">
        <f>_xll.BDP("483278RA Muni","LQA_LIQUIDITY_SCORE")</f>
        <v>74</v>
      </c>
    </row>
    <row r="1546" spans="1:20" x14ac:dyDescent="0.25">
      <c r="A1546" t="str">
        <f>_xll.BDP("483278RB Muni","ID_CUSIP")</f>
        <v>483278RB5</v>
      </c>
      <c r="B1546" t="s">
        <v>443</v>
      </c>
      <c r="C1546" t="str">
        <f>_xll.BDP("483278RB Muni","INSURANCE_STATUS")</f>
        <v>N</v>
      </c>
      <c r="D1546" t="str">
        <f>_xll.BDP("483278RB Muni","STATE_CODE")</f>
        <v>MI</v>
      </c>
      <c r="E1546" t="str">
        <f>_xll.BDP("483278RB Muni","COUNTY_LOCATION_ISSUER")</f>
        <v>Kalamazoo, MI</v>
      </c>
      <c r="F1546">
        <f>_xll.BDP("483278RB Muni","DUR_ADJ_MID")</f>
        <v>3.7221217362405632</v>
      </c>
      <c r="G1546">
        <f>_xll.BDP("483278RB Muni","SPREAD_AT_ISSUANCE_TO_WORST")</f>
        <v>52.895889154183571</v>
      </c>
      <c r="H1546" t="str">
        <f>_xll.BDP("483278RB Muni","ISSUE_DT")</f>
        <v>5/2/2017</v>
      </c>
      <c r="I1546" t="str">
        <f>_xll.BDS("483278RB Muni","MUNI_PURPOSE_SCHED", "aggregate=y")</f>
        <v>WATER UTILITY IMPS. ADVANCE REFUNDING CURRENT REFUNDING</v>
      </c>
      <c r="J1546">
        <f>_xll.BDP("483278RB Muni","CPN")</f>
        <v>4</v>
      </c>
      <c r="K1546" t="str">
        <f>_xll.BDP("483278RB Muni","MATURITY")</f>
        <v>9/1/2026</v>
      </c>
      <c r="L1546">
        <v>430000</v>
      </c>
      <c r="M1546">
        <f>_xll.BDP("483278RB Muni","YIELD_ON_ISSUE_DATE")</f>
        <v>2.62</v>
      </c>
      <c r="N1546">
        <f>_xll.BDP("483278RB Muni","YTW_SPREAD_TO_MATURITY_AT_ISSU")</f>
        <v>52.895889154183571</v>
      </c>
      <c r="O1546" t="str">
        <f>_xll.BDP("483278RB Muni","BVAL_MID_YTM")</f>
        <v>#N/A Authorization</v>
      </c>
      <c r="P1546" t="str">
        <f>_xll.BDP("483278RB Muni","MUNI_TAX_PROV")</f>
        <v>FED &amp; ST TAX-EXEMPT</v>
      </c>
      <c r="Q1546" t="str">
        <f>_xll.BDP("483278RB Muni","MUNI_FED_TAX")</f>
        <v>N</v>
      </c>
      <c r="R1546" t="str">
        <f>_xll.BDP("483278RB Muni","MUNI_MSRB_VOLUME")</f>
        <v>#N/A N/A</v>
      </c>
      <c r="S1546" t="str">
        <f>_xll.BDP("483278RB Muni","BB_COMPOSITE")</f>
        <v>#N/A N/A</v>
      </c>
      <c r="T1546">
        <f>_xll.BDP("483278RB Muni","LQA_LIQUIDITY_SCORE")</f>
        <v>68</v>
      </c>
    </row>
    <row r="1547" spans="1:20" x14ac:dyDescent="0.25">
      <c r="A1547" t="str">
        <f>_xll.BDP("485116WR Muni","ID_CUSIP")</f>
        <v>485116WR4</v>
      </c>
      <c r="B1547" t="s">
        <v>118</v>
      </c>
      <c r="C1547" t="str">
        <f>_xll.BDP("485116WR Muni","INSURANCE_STATUS")</f>
        <v>N</v>
      </c>
      <c r="D1547" t="str">
        <f>_xll.BDP("485116WR Muni","STATE_CODE")</f>
        <v>MO</v>
      </c>
      <c r="E1547" t="str">
        <f>_xll.BDP("485116WR Muni","COUNTY_LOCATION_ISSUER")</f>
        <v>Jackson, MO</v>
      </c>
      <c r="F1547">
        <f>_xll.BDP("485116WR Muni","DUR_ADJ_MID")</f>
        <v>0.32965700020914102</v>
      </c>
      <c r="G1547">
        <f>_xll.BDP("485116WR Muni","SPREAD_AT_ISSUANCE_TO_WORST")</f>
        <v>0.92219399068820262</v>
      </c>
      <c r="H1547" t="str">
        <f>_xll.BDP("485116WR Muni","ISSUE_DT")</f>
        <v>2/24/2017</v>
      </c>
      <c r="I1547" t="str">
        <f>_xll.BDS("485116WR Muni","MUNI_PURPOSE_SCHED", "aggregate=y")</f>
        <v>WATER UTILITY IMPS.</v>
      </c>
      <c r="J1547">
        <f>_xll.BDP("485116WR Muni","CPN")</f>
        <v>5</v>
      </c>
      <c r="K1547" t="str">
        <f>_xll.BDP("485116WR Muni","MATURITY")</f>
        <v>12/1/2022</v>
      </c>
      <c r="L1547">
        <v>2100000</v>
      </c>
      <c r="M1547">
        <f>_xll.BDP("485116WR Muni","YIELD_ON_ISSUE_DATE")</f>
        <v>1.71</v>
      </c>
      <c r="N1547">
        <f>_xll.BDP("485116WR Muni","YTW_SPREAD_TO_MATURITY_AT_ISSU")</f>
        <v>0.92219399068820262</v>
      </c>
      <c r="O1547" t="str">
        <f>_xll.BDP("485116WR Muni","BVAL_MID_YTM")</f>
        <v>#N/A Authorization</v>
      </c>
      <c r="P1547" t="str">
        <f>_xll.BDP("485116WR Muni","MUNI_TAX_PROV")</f>
        <v>FED &amp; ST TAX-EXEMPT</v>
      </c>
      <c r="Q1547" t="str">
        <f>_xll.BDP("485116WR Muni","MUNI_FED_TAX")</f>
        <v>N</v>
      </c>
      <c r="R1547">
        <f>_xll.BDP("485116WR Muni","MUNI_MSRB_VOLUME")</f>
        <v>25000</v>
      </c>
      <c r="S1547" t="str">
        <f>_xll.BDP("485116WR Muni","BB_COMPOSITE")</f>
        <v>AA</v>
      </c>
      <c r="T1547">
        <f>_xll.BDP("485116WR Muni","LQA_LIQUIDITY_SCORE")</f>
        <v>98</v>
      </c>
    </row>
    <row r="1548" spans="1:20" x14ac:dyDescent="0.25">
      <c r="A1548" t="str">
        <f>_xll.BDP("485116WS Muni","ID_CUSIP")</f>
        <v>485116WS2</v>
      </c>
      <c r="B1548" t="s">
        <v>118</v>
      </c>
      <c r="C1548" t="str">
        <f>_xll.BDP("485116WS Muni","INSURANCE_STATUS")</f>
        <v>N</v>
      </c>
      <c r="D1548" t="str">
        <f>_xll.BDP("485116WS Muni","STATE_CODE")</f>
        <v>MO</v>
      </c>
      <c r="E1548" t="str">
        <f>_xll.BDP("485116WS Muni","COUNTY_LOCATION_ISSUER")</f>
        <v>Jackson, MO</v>
      </c>
      <c r="F1548">
        <f>_xll.BDP("485116WS Muni","DUR_ADJ_MID")</f>
        <v>1.2860822960825922</v>
      </c>
      <c r="G1548">
        <f>_xll.BDP("485116WS Muni","SPREAD_AT_ISSUANCE_TO_WORST")</f>
        <v>3.4774611666868793</v>
      </c>
      <c r="H1548" t="str">
        <f>_xll.BDP("485116WS Muni","ISSUE_DT")</f>
        <v>2/24/2017</v>
      </c>
      <c r="I1548" t="str">
        <f>_xll.BDS("485116WS Muni","MUNI_PURPOSE_SCHED", "aggregate=y")</f>
        <v>WATER UTILITY IMPS.</v>
      </c>
      <c r="J1548">
        <f>_xll.BDP("485116WS Muni","CPN")</f>
        <v>5</v>
      </c>
      <c r="K1548" t="str">
        <f>_xll.BDP("485116WS Muni","MATURITY")</f>
        <v>12/1/2023</v>
      </c>
      <c r="L1548">
        <v>2205000</v>
      </c>
      <c r="M1548">
        <f>_xll.BDP("485116WS Muni","YIELD_ON_ISSUE_DATE")</f>
        <v>1.8900000000000001</v>
      </c>
      <c r="N1548">
        <f>_xll.BDP("485116WS Muni","YTW_SPREAD_TO_MATURITY_AT_ISSU")</f>
        <v>3.4774611666868793</v>
      </c>
      <c r="O1548" t="str">
        <f>_xll.BDP("485116WS Muni","BVAL_MID_YTM")</f>
        <v>#N/A Authorization</v>
      </c>
      <c r="P1548" t="str">
        <f>_xll.BDP("485116WS Muni","MUNI_TAX_PROV")</f>
        <v>FED &amp; ST TAX-EXEMPT</v>
      </c>
      <c r="Q1548" t="str">
        <f>_xll.BDP("485116WS Muni","MUNI_FED_TAX")</f>
        <v>N</v>
      </c>
      <c r="R1548">
        <f>_xll.BDP("485116WS Muni","MUNI_MSRB_VOLUME")</f>
        <v>400000</v>
      </c>
      <c r="S1548" t="str">
        <f>_xll.BDP("485116WS Muni","BB_COMPOSITE")</f>
        <v>AA</v>
      </c>
      <c r="T1548">
        <f>_xll.BDP("485116WS Muni","LQA_LIQUIDITY_SCORE")</f>
        <v>85</v>
      </c>
    </row>
    <row r="1549" spans="1:20" x14ac:dyDescent="0.25">
      <c r="A1549" t="str">
        <f>_xll.BDP("485116WT Muni","ID_CUSIP")</f>
        <v>485116WT0</v>
      </c>
      <c r="B1549" t="s">
        <v>118</v>
      </c>
      <c r="C1549" t="str">
        <f>_xll.BDP("485116WT Muni","INSURANCE_STATUS")</f>
        <v>N</v>
      </c>
      <c r="D1549" t="str">
        <f>_xll.BDP("485116WT Muni","STATE_CODE")</f>
        <v>MO</v>
      </c>
      <c r="E1549" t="str">
        <f>_xll.BDP("485116WT Muni","COUNTY_LOCATION_ISSUER")</f>
        <v>Jackson, MO</v>
      </c>
      <c r="F1549">
        <f>_xll.BDP("485116WT Muni","DUR_ADJ_MID")</f>
        <v>2.1992087540273046</v>
      </c>
      <c r="G1549">
        <f>_xll.BDP("485116WT Muni","SPREAD_AT_ISSUANCE_TO_WORST")</f>
        <v>4.2802705256767215</v>
      </c>
      <c r="H1549" t="str">
        <f>_xll.BDP("485116WT Muni","ISSUE_DT")</f>
        <v>2/24/2017</v>
      </c>
      <c r="I1549" t="str">
        <f>_xll.BDS("485116WT Muni","MUNI_PURPOSE_SCHED", "aggregate=y")</f>
        <v>WATER UTILITY IMPS.</v>
      </c>
      <c r="J1549">
        <f>_xll.BDP("485116WT Muni","CPN")</f>
        <v>5</v>
      </c>
      <c r="K1549" t="str">
        <f>_xll.BDP("485116WT Muni","MATURITY")</f>
        <v>12/1/2024</v>
      </c>
      <c r="L1549">
        <v>2320000</v>
      </c>
      <c r="M1549">
        <f>_xll.BDP("485116WT Muni","YIELD_ON_ISSUE_DATE")</f>
        <v>2.0499999999999998</v>
      </c>
      <c r="N1549">
        <f>_xll.BDP("485116WT Muni","YTW_SPREAD_TO_MATURITY_AT_ISSU")</f>
        <v>4.2802705256767215</v>
      </c>
      <c r="O1549" t="str">
        <f>_xll.BDP("485116WT Muni","BVAL_MID_YTM")</f>
        <v>#N/A Authorization</v>
      </c>
      <c r="P1549" t="str">
        <f>_xll.BDP("485116WT Muni","MUNI_TAX_PROV")</f>
        <v>FED &amp; ST TAX-EXEMPT</v>
      </c>
      <c r="Q1549" t="str">
        <f>_xll.BDP("485116WT Muni","MUNI_FED_TAX")</f>
        <v>N</v>
      </c>
      <c r="R1549">
        <f>_xll.BDP("485116WT Muni","MUNI_MSRB_VOLUME")</f>
        <v>300000</v>
      </c>
      <c r="S1549" t="str">
        <f>_xll.BDP("485116WT Muni","BB_COMPOSITE")</f>
        <v>AA</v>
      </c>
      <c r="T1549">
        <f>_xll.BDP("485116WT Muni","LQA_LIQUIDITY_SCORE")</f>
        <v>78</v>
      </c>
    </row>
    <row r="1550" spans="1:20" x14ac:dyDescent="0.25">
      <c r="A1550" t="str">
        <f>_xll.BDP("485116WU Muni","ID_CUSIP")</f>
        <v>485116WU7</v>
      </c>
      <c r="B1550" t="s">
        <v>118</v>
      </c>
      <c r="C1550" t="str">
        <f>_xll.BDP("485116WU Muni","INSURANCE_STATUS")</f>
        <v>N</v>
      </c>
      <c r="D1550" t="str">
        <f>_xll.BDP("485116WU Muni","STATE_CODE")</f>
        <v>MO</v>
      </c>
      <c r="E1550" t="str">
        <f>_xll.BDP("485116WU Muni","COUNTY_LOCATION_ISSUER")</f>
        <v>Jackson, MO</v>
      </c>
      <c r="F1550">
        <f>_xll.BDP("485116WU Muni","DUR_ADJ_MID")</f>
        <v>3.0734750420696311</v>
      </c>
      <c r="G1550">
        <f>_xll.BDP("485116WU Muni","SPREAD_AT_ISSUANCE_TO_WORST")</f>
        <v>6.6004118783286714</v>
      </c>
      <c r="H1550" t="str">
        <f>_xll.BDP("485116WU Muni","ISSUE_DT")</f>
        <v>2/24/2017</v>
      </c>
      <c r="I1550" t="str">
        <f>_xll.BDS("485116WU Muni","MUNI_PURPOSE_SCHED", "aggregate=y")</f>
        <v>WATER UTILITY IMPS.</v>
      </c>
      <c r="J1550">
        <f>_xll.BDP("485116WU Muni","CPN")</f>
        <v>5</v>
      </c>
      <c r="K1550" t="str">
        <f>_xll.BDP("485116WU Muni","MATURITY")</f>
        <v>12/1/2025</v>
      </c>
      <c r="L1550">
        <v>2435000</v>
      </c>
      <c r="M1550">
        <f>_xll.BDP("485116WU Muni","YIELD_ON_ISSUE_DATE")</f>
        <v>2.21</v>
      </c>
      <c r="N1550">
        <f>_xll.BDP("485116WU Muni","YTW_SPREAD_TO_MATURITY_AT_ISSU")</f>
        <v>6.6004118783286714</v>
      </c>
      <c r="O1550" t="str">
        <f>_xll.BDP("485116WU Muni","BVAL_MID_YTM")</f>
        <v>#N/A Authorization</v>
      </c>
      <c r="P1550" t="str">
        <f>_xll.BDP("485116WU Muni","MUNI_TAX_PROV")</f>
        <v>FED &amp; ST TAX-EXEMPT</v>
      </c>
      <c r="Q1550" t="str">
        <f>_xll.BDP("485116WU Muni","MUNI_FED_TAX")</f>
        <v>N</v>
      </c>
      <c r="R1550" t="str">
        <f>_xll.BDP("485116WU Muni","MUNI_MSRB_VOLUME")</f>
        <v>#N/A N/A</v>
      </c>
      <c r="S1550" t="str">
        <f>_xll.BDP("485116WU Muni","BB_COMPOSITE")</f>
        <v>AA</v>
      </c>
      <c r="T1550">
        <f>_xll.BDP("485116WU Muni","LQA_LIQUIDITY_SCORE")</f>
        <v>79</v>
      </c>
    </row>
    <row r="1551" spans="1:20" x14ac:dyDescent="0.25">
      <c r="A1551" t="str">
        <f>_xll.BDP("485818UP Muni","ID_CUSIP")</f>
        <v>485818UP1</v>
      </c>
      <c r="B1551" t="s">
        <v>444</v>
      </c>
      <c r="C1551" t="str">
        <f>_xll.BDP("485818UP Muni","INSURANCE_STATUS")</f>
        <v>N</v>
      </c>
      <c r="D1551" t="str">
        <f>_xll.BDP("485818UP Muni","STATE_CODE")</f>
        <v>MN</v>
      </c>
      <c r="E1551" t="str">
        <f>_xll.BDP("485818UP Muni","COUNTY_LOCATION_ISSUER")</f>
        <v>Dodge, MN</v>
      </c>
      <c r="F1551">
        <f>_xll.BDP("485818UP Muni","DUR_ADJ_MID")</f>
        <v>0.49438906871174942</v>
      </c>
      <c r="G1551">
        <f>_xll.BDP("485818UP Muni","SPREAD_AT_ISSUANCE_TO_WORST")</f>
        <v>24.355621699794327</v>
      </c>
      <c r="H1551" t="str">
        <f>_xll.BDP("485818UP Muni","ISSUE_DT")</f>
        <v>7/5/2017</v>
      </c>
      <c r="I1551" t="str">
        <f>_xll.BDS("485818UP Muni","MUNI_PURPOSE_SCHED", "aggregate=y")</f>
        <v>PUBLIC IMPS. WATER UTILITY IMPS. SEWER IMPS.</v>
      </c>
      <c r="J1551">
        <f>_xll.BDP("485818UP Muni","CPN")</f>
        <v>2</v>
      </c>
      <c r="K1551" t="str">
        <f>_xll.BDP("485818UP Muni","MATURITY")</f>
        <v>2/1/2023</v>
      </c>
      <c r="L1551">
        <v>420000</v>
      </c>
      <c r="M1551">
        <f>_xll.BDP("485818UP Muni","YIELD_ON_ISSUE_DATE")</f>
        <v>1.55</v>
      </c>
      <c r="N1551">
        <f>_xll.BDP("485818UP Muni","YTW_SPREAD_TO_MATURITY_AT_ISSU")</f>
        <v>24.355621699794327</v>
      </c>
      <c r="O1551" t="str">
        <f>_xll.BDP("485818UP Muni","BVAL_MID_YTM")</f>
        <v>#N/A Authorization</v>
      </c>
      <c r="P1551" t="str">
        <f>_xll.BDP("485818UP Muni","MUNI_TAX_PROV")</f>
        <v>FED BQ/ST TAX-EXEMPT</v>
      </c>
      <c r="Q1551" t="str">
        <f>_xll.BDP("485818UP Muni","MUNI_FED_TAX")</f>
        <v>N</v>
      </c>
      <c r="R1551" t="str">
        <f>_xll.BDP("485818UP Muni","MUNI_MSRB_VOLUME")</f>
        <v>#N/A N/A</v>
      </c>
      <c r="S1551" t="str">
        <f>_xll.BDP("485818UP Muni","BB_COMPOSITE")</f>
        <v>#N/A N/A</v>
      </c>
      <c r="T1551">
        <f>_xll.BDP("485818UP Muni","LQA_LIQUIDITY_SCORE")</f>
        <v>91</v>
      </c>
    </row>
    <row r="1552" spans="1:20" x14ac:dyDescent="0.25">
      <c r="A1552" t="str">
        <f>_xll.BDP("485818UQ Muni","ID_CUSIP")</f>
        <v>485818UQ9</v>
      </c>
      <c r="B1552" t="s">
        <v>444</v>
      </c>
      <c r="C1552" t="str">
        <f>_xll.BDP("485818UQ Muni","INSURANCE_STATUS")</f>
        <v>N</v>
      </c>
      <c r="D1552" t="str">
        <f>_xll.BDP("485818UQ Muni","STATE_CODE")</f>
        <v>MN</v>
      </c>
      <c r="E1552" t="str">
        <f>_xll.BDP("485818UQ Muni","COUNTY_LOCATION_ISSUER")</f>
        <v>Dodge, MN</v>
      </c>
      <c r="F1552">
        <f>_xll.BDP("485818UQ Muni","DUR_ADJ_MID")</f>
        <v>1.4698453522256372</v>
      </c>
      <c r="G1552">
        <f>_xll.BDP("485818UQ Muni","SPREAD_AT_ISSUANCE_TO_WORST")</f>
        <v>24.634281714072358</v>
      </c>
      <c r="H1552" t="str">
        <f>_xll.BDP("485818UQ Muni","ISSUE_DT")</f>
        <v>7/5/2017</v>
      </c>
      <c r="I1552" t="str">
        <f>_xll.BDS("485818UQ Muni","MUNI_PURPOSE_SCHED", "aggregate=y")</f>
        <v>PUBLIC IMPS. WATER UTILITY IMPS. SEWER IMPS.</v>
      </c>
      <c r="J1552">
        <f>_xll.BDP("485818UQ Muni","CPN")</f>
        <v>2</v>
      </c>
      <c r="K1552" t="str">
        <f>_xll.BDP("485818UQ Muni","MATURITY")</f>
        <v>2/1/2024</v>
      </c>
      <c r="L1552">
        <v>430000</v>
      </c>
      <c r="M1552">
        <f>_xll.BDP("485818UQ Muni","YIELD_ON_ISSUE_DATE")</f>
        <v>1.7000000000000002</v>
      </c>
      <c r="N1552">
        <f>_xll.BDP("485818UQ Muni","YTW_SPREAD_TO_MATURITY_AT_ISSU")</f>
        <v>24.634281714072358</v>
      </c>
      <c r="O1552" t="str">
        <f>_xll.BDP("485818UQ Muni","BVAL_MID_YTM")</f>
        <v>#N/A Authorization</v>
      </c>
      <c r="P1552" t="str">
        <f>_xll.BDP("485818UQ Muni","MUNI_TAX_PROV")</f>
        <v>FED BQ/ST TAX-EXEMPT</v>
      </c>
      <c r="Q1552" t="str">
        <f>_xll.BDP("485818UQ Muni","MUNI_FED_TAX")</f>
        <v>N</v>
      </c>
      <c r="R1552" t="str">
        <f>_xll.BDP("485818UQ Muni","MUNI_MSRB_VOLUME")</f>
        <v>#N/A N/A</v>
      </c>
      <c r="S1552" t="str">
        <f>_xll.BDP("485818UQ Muni","BB_COMPOSITE")</f>
        <v>#N/A N/A</v>
      </c>
      <c r="T1552">
        <f>_xll.BDP("485818UQ Muni","LQA_LIQUIDITY_SCORE")</f>
        <v>81</v>
      </c>
    </row>
    <row r="1553" spans="1:20" x14ac:dyDescent="0.25">
      <c r="A1553" t="str">
        <f>_xll.BDP("486189ES Muni","ID_CUSIP")</f>
        <v>486189ES8</v>
      </c>
      <c r="B1553" t="s">
        <v>445</v>
      </c>
      <c r="C1553" t="str">
        <f>_xll.BDP("486189ES Muni","INSURANCE_STATUS")</f>
        <v>Y</v>
      </c>
      <c r="D1553" t="str">
        <f>_xll.BDP("486189ES Muni","STATE_CODE")</f>
        <v>TX</v>
      </c>
      <c r="E1553" t="str">
        <f>_xll.BDP("486189ES Muni","COUNTY_LOCATION_ISSUER")</f>
        <v>Kaufman, TX</v>
      </c>
      <c r="F1553">
        <f>_xll.BDP("486189ES Muni","DUR_ADJ_MID")</f>
        <v>8.0470423284679488E-2</v>
      </c>
      <c r="G1553">
        <f>_xll.BDP("486189ES Muni","SPREAD_AT_ISSUANCE_TO_WORST")</f>
        <v>75.206064346276065</v>
      </c>
      <c r="H1553" t="str">
        <f>_xll.BDP("486189ES Muni","ISSUE_DT")</f>
        <v>4/15/2017</v>
      </c>
      <c r="I1553" t="str">
        <f>_xll.BDS("486189ES Muni","MUNI_PURPOSE_SCHED", "aggregate=y")</f>
        <v>WATER UTILITY IMPS. SEWER IMPS.</v>
      </c>
      <c r="J1553">
        <f>_xll.BDP("486189ES Muni","CPN")</f>
        <v>3</v>
      </c>
      <c r="K1553" t="str">
        <f>_xll.BDP("486189ES Muni","MATURITY")</f>
        <v>9/1/2022</v>
      </c>
      <c r="L1553">
        <v>105000</v>
      </c>
      <c r="M1553">
        <f>_xll.BDP("486189ES Muni","YIELD_ON_ISSUE_DATE")</f>
        <v>2.2000000000000002</v>
      </c>
      <c r="N1553">
        <f>_xll.BDP("486189ES Muni","YTW_SPREAD_TO_MATURITY_AT_ISSU")</f>
        <v>75.206064346276065</v>
      </c>
      <c r="O1553" t="str">
        <f>_xll.BDP("486189ES Muni","BVAL_MID_YTM")</f>
        <v>#N/A Authorization</v>
      </c>
      <c r="P1553" t="str">
        <f>_xll.BDP("486189ES Muni","MUNI_TAX_PROV")</f>
        <v>FED BQ</v>
      </c>
      <c r="Q1553" t="str">
        <f>_xll.BDP("486189ES Muni","MUNI_FED_TAX")</f>
        <v>N</v>
      </c>
      <c r="R1553" t="str">
        <f>_xll.BDP("486189ES Muni","MUNI_MSRB_VOLUME")</f>
        <v>#N/A N/A</v>
      </c>
      <c r="S1553" t="str">
        <f>_xll.BDP("486189ES Muni","BB_COMPOSITE")</f>
        <v>#N/A N/A</v>
      </c>
      <c r="T1553">
        <f>_xll.BDP("486189ES Muni","LQA_LIQUIDITY_SCORE")</f>
        <v>99</v>
      </c>
    </row>
    <row r="1554" spans="1:20" x14ac:dyDescent="0.25">
      <c r="A1554" t="str">
        <f>_xll.BDP("486189ET Muni","ID_CUSIP")</f>
        <v>486189ET6</v>
      </c>
      <c r="B1554" t="s">
        <v>445</v>
      </c>
      <c r="C1554" t="str">
        <f>_xll.BDP("486189ET Muni","INSURANCE_STATUS")</f>
        <v>Y</v>
      </c>
      <c r="D1554" t="str">
        <f>_xll.BDP("486189ET Muni","STATE_CODE")</f>
        <v>TX</v>
      </c>
      <c r="E1554" t="str">
        <f>_xll.BDP("486189ET Muni","COUNTY_LOCATION_ISSUER")</f>
        <v>Kaufman, TX</v>
      </c>
      <c r="F1554">
        <f>_xll.BDP("486189ET Muni","DUR_ADJ_MID")</f>
        <v>1.0486671516232646</v>
      </c>
      <c r="G1554">
        <f>_xll.BDP("486189ET Muni","SPREAD_AT_ISSUANCE_TO_WORST")</f>
        <v>79.004261453623272</v>
      </c>
      <c r="H1554" t="str">
        <f>_xll.BDP("486189ET Muni","ISSUE_DT")</f>
        <v>4/15/2017</v>
      </c>
      <c r="I1554" t="str">
        <f>_xll.BDS("486189ET Muni","MUNI_PURPOSE_SCHED", "aggregate=y")</f>
        <v>WATER UTILITY IMPS. SEWER IMPS.</v>
      </c>
      <c r="J1554">
        <f>_xll.BDP("486189ET Muni","CPN")</f>
        <v>3</v>
      </c>
      <c r="K1554" t="str">
        <f>_xll.BDP("486189ET Muni","MATURITY")</f>
        <v>9/1/2023</v>
      </c>
      <c r="L1554">
        <v>105000</v>
      </c>
      <c r="M1554">
        <f>_xll.BDP("486189ET Muni","YIELD_ON_ISSUE_DATE")</f>
        <v>2.4000000000000004</v>
      </c>
      <c r="N1554">
        <f>_xll.BDP("486189ET Muni","YTW_SPREAD_TO_MATURITY_AT_ISSU")</f>
        <v>79.004261453623272</v>
      </c>
      <c r="O1554" t="str">
        <f>_xll.BDP("486189ET Muni","BVAL_MID_YTM")</f>
        <v>#N/A Authorization</v>
      </c>
      <c r="P1554" t="str">
        <f>_xll.BDP("486189ET Muni","MUNI_TAX_PROV")</f>
        <v>FED BQ</v>
      </c>
      <c r="Q1554" t="str">
        <f>_xll.BDP("486189ET Muni","MUNI_FED_TAX")</f>
        <v>N</v>
      </c>
      <c r="R1554" t="str">
        <f>_xll.BDP("486189ET Muni","MUNI_MSRB_VOLUME")</f>
        <v>#N/A N/A</v>
      </c>
      <c r="S1554" t="str">
        <f>_xll.BDP("486189ET Muni","BB_COMPOSITE")</f>
        <v>#N/A N/A</v>
      </c>
      <c r="T1554">
        <f>_xll.BDP("486189ET Muni","LQA_LIQUIDITY_SCORE")</f>
        <v>90</v>
      </c>
    </row>
    <row r="1555" spans="1:20" x14ac:dyDescent="0.25">
      <c r="A1555" t="str">
        <f>_xll.BDP("486189EU Muni","ID_CUSIP")</f>
        <v>486189EU3</v>
      </c>
      <c r="B1555" t="s">
        <v>445</v>
      </c>
      <c r="C1555" t="str">
        <f>_xll.BDP("486189EU Muni","INSURANCE_STATUS")</f>
        <v>Y</v>
      </c>
      <c r="D1555" t="str">
        <f>_xll.BDP("486189EU Muni","STATE_CODE")</f>
        <v>TX</v>
      </c>
      <c r="E1555" t="str">
        <f>_xll.BDP("486189EU Muni","COUNTY_LOCATION_ISSUER")</f>
        <v>Kaufman, TX</v>
      </c>
      <c r="F1555">
        <f>_xll.BDP("486189EU Muni","DUR_ADJ_MID")</f>
        <v>1.9872900417670687</v>
      </c>
      <c r="G1555">
        <f>_xll.BDP("486189EU Muni","SPREAD_AT_ISSUANCE_TO_WORST")</f>
        <v>82.863642870436081</v>
      </c>
      <c r="H1555" t="str">
        <f>_xll.BDP("486189EU Muni","ISSUE_DT")</f>
        <v>4/15/2017</v>
      </c>
      <c r="I1555" t="str">
        <f>_xll.BDS("486189EU Muni","MUNI_PURPOSE_SCHED", "aggregate=y")</f>
        <v>WATER UTILITY IMPS. SEWER IMPS.</v>
      </c>
      <c r="J1555">
        <f>_xll.BDP("486189EU Muni","CPN")</f>
        <v>3</v>
      </c>
      <c r="K1555" t="str">
        <f>_xll.BDP("486189EU Muni","MATURITY")</f>
        <v>9/1/2024</v>
      </c>
      <c r="L1555">
        <v>110000</v>
      </c>
      <c r="M1555">
        <f>_xll.BDP("486189EU Muni","YIELD_ON_ISSUE_DATE")</f>
        <v>2.6</v>
      </c>
      <c r="N1555">
        <f>_xll.BDP("486189EU Muni","YTW_SPREAD_TO_MATURITY_AT_ISSU")</f>
        <v>82.863642870436081</v>
      </c>
      <c r="O1555" t="str">
        <f>_xll.BDP("486189EU Muni","BVAL_MID_YTM")</f>
        <v>#N/A Authorization</v>
      </c>
      <c r="P1555" t="str">
        <f>_xll.BDP("486189EU Muni","MUNI_TAX_PROV")</f>
        <v>FED BQ</v>
      </c>
      <c r="Q1555" t="str">
        <f>_xll.BDP("486189EU Muni","MUNI_FED_TAX")</f>
        <v>N</v>
      </c>
      <c r="R1555" t="str">
        <f>_xll.BDP("486189EU Muni","MUNI_MSRB_VOLUME")</f>
        <v>#N/A N/A</v>
      </c>
      <c r="S1555" t="str">
        <f>_xll.BDP("486189EU Muni","BB_COMPOSITE")</f>
        <v>#N/A N/A</v>
      </c>
      <c r="T1555">
        <f>_xll.BDP("486189EU Muni","LQA_LIQUIDITY_SCORE")</f>
        <v>79</v>
      </c>
    </row>
    <row r="1556" spans="1:20" x14ac:dyDescent="0.25">
      <c r="A1556" t="str">
        <f>_xll.BDP("486189EV Muni","ID_CUSIP")</f>
        <v>486189EV1</v>
      </c>
      <c r="B1556" t="s">
        <v>445</v>
      </c>
      <c r="C1556" t="str">
        <f>_xll.BDP("486189EV Muni","INSURANCE_STATUS")</f>
        <v>Y</v>
      </c>
      <c r="D1556" t="str">
        <f>_xll.BDP("486189EV Muni","STATE_CODE")</f>
        <v>TX</v>
      </c>
      <c r="E1556" t="str">
        <f>_xll.BDP("486189EV Muni","COUNTY_LOCATION_ISSUER")</f>
        <v>Kaufman, TX</v>
      </c>
      <c r="F1556">
        <f>_xll.BDP("486189EV Muni","DUR_ADJ_MID")</f>
        <v>2.898722874971932</v>
      </c>
      <c r="G1556">
        <f>_xll.BDP("486189EV Muni","SPREAD_AT_ISSUANCE_TO_WORST")</f>
        <v>77.390877687008924</v>
      </c>
      <c r="H1556" t="str">
        <f>_xll.BDP("486189EV Muni","ISSUE_DT")</f>
        <v>4/15/2017</v>
      </c>
      <c r="I1556" t="str">
        <f>_xll.BDS("486189EV Muni","MUNI_PURPOSE_SCHED", "aggregate=y")</f>
        <v>WATER UTILITY IMPS. SEWER IMPS.</v>
      </c>
      <c r="J1556">
        <f>_xll.BDP("486189EV Muni","CPN")</f>
        <v>3</v>
      </c>
      <c r="K1556" t="str">
        <f>_xll.BDP("486189EV Muni","MATURITY")</f>
        <v>9/1/2025</v>
      </c>
      <c r="L1556">
        <v>115000</v>
      </c>
      <c r="M1556">
        <f>_xll.BDP("486189EV Muni","YIELD_ON_ISSUE_DATE")</f>
        <v>2.7</v>
      </c>
      <c r="N1556">
        <f>_xll.BDP("486189EV Muni","YTW_SPREAD_TO_MATURITY_AT_ISSU")</f>
        <v>77.390877687008924</v>
      </c>
      <c r="O1556" t="str">
        <f>_xll.BDP("486189EV Muni","BVAL_MID_YTM")</f>
        <v>#N/A Authorization</v>
      </c>
      <c r="P1556" t="str">
        <f>_xll.BDP("486189EV Muni","MUNI_TAX_PROV")</f>
        <v>FED BQ</v>
      </c>
      <c r="Q1556" t="str">
        <f>_xll.BDP("486189EV Muni","MUNI_FED_TAX")</f>
        <v>N</v>
      </c>
      <c r="R1556" t="str">
        <f>_xll.BDP("486189EV Muni","MUNI_MSRB_VOLUME")</f>
        <v>#N/A N/A</v>
      </c>
      <c r="S1556" t="str">
        <f>_xll.BDP("486189EV Muni","BB_COMPOSITE")</f>
        <v>#N/A N/A</v>
      </c>
      <c r="T1556">
        <f>_xll.BDP("486189EV Muni","LQA_LIQUIDITY_SCORE")</f>
        <v>69</v>
      </c>
    </row>
    <row r="1557" spans="1:20" x14ac:dyDescent="0.25">
      <c r="A1557" t="str">
        <f>_xll.BDP("486189EW Muni","ID_CUSIP")</f>
        <v>486189EW9</v>
      </c>
      <c r="B1557" t="s">
        <v>445</v>
      </c>
      <c r="C1557" t="str">
        <f>_xll.BDP("486189EW Muni","INSURANCE_STATUS")</f>
        <v>Y</v>
      </c>
      <c r="D1557" t="str">
        <f>_xll.BDP("486189EW Muni","STATE_CODE")</f>
        <v>TX</v>
      </c>
      <c r="E1557" t="str">
        <f>_xll.BDP("486189EW Muni","COUNTY_LOCATION_ISSUER")</f>
        <v>Kaufman, TX</v>
      </c>
      <c r="F1557">
        <f>_xll.BDP("486189EW Muni","DUR_ADJ_MID")</f>
        <v>3.7835542994818043</v>
      </c>
      <c r="G1557">
        <f>_xll.BDP("486189EW Muni","SPREAD_AT_ISSUANCE_TO_WORST")</f>
        <v>78.968774943958039</v>
      </c>
      <c r="H1557" t="str">
        <f>_xll.BDP("486189EW Muni","ISSUE_DT")</f>
        <v>4/15/2017</v>
      </c>
      <c r="I1557" t="str">
        <f>_xll.BDS("486189EW Muni","MUNI_PURPOSE_SCHED", "aggregate=y")</f>
        <v>WATER UTILITY IMPS. SEWER IMPS.</v>
      </c>
      <c r="J1557">
        <f>_xll.BDP("486189EW Muni","CPN")</f>
        <v>3</v>
      </c>
      <c r="K1557" t="str">
        <f>_xll.BDP("486189EW Muni","MATURITY")</f>
        <v>9/1/2026</v>
      </c>
      <c r="L1557">
        <v>115000</v>
      </c>
      <c r="M1557">
        <f>_xll.BDP("486189EW Muni","YIELD_ON_ISSUE_DATE")</f>
        <v>2.85</v>
      </c>
      <c r="N1557">
        <f>_xll.BDP("486189EW Muni","YTW_SPREAD_TO_MATURITY_AT_ISSU")</f>
        <v>78.968774943958039</v>
      </c>
      <c r="O1557" t="str">
        <f>_xll.BDP("486189EW Muni","BVAL_MID_YTM")</f>
        <v>#N/A Authorization</v>
      </c>
      <c r="P1557" t="str">
        <f>_xll.BDP("486189EW Muni","MUNI_TAX_PROV")</f>
        <v>FED BQ</v>
      </c>
      <c r="Q1557" t="str">
        <f>_xll.BDP("486189EW Muni","MUNI_FED_TAX")</f>
        <v>N</v>
      </c>
      <c r="R1557" t="str">
        <f>_xll.BDP("486189EW Muni","MUNI_MSRB_VOLUME")</f>
        <v>#N/A N/A</v>
      </c>
      <c r="S1557" t="str">
        <f>_xll.BDP("486189EW Muni","BB_COMPOSITE")</f>
        <v>#N/A N/A</v>
      </c>
      <c r="T1557">
        <f>_xll.BDP("486189EW Muni","LQA_LIQUIDITY_SCORE")</f>
        <v>62</v>
      </c>
    </row>
    <row r="1558" spans="1:20" x14ac:dyDescent="0.25">
      <c r="A1558" t="str">
        <f>_xll.BDP("486323EM Muni","ID_CUSIP")</f>
        <v>486323EM6</v>
      </c>
      <c r="B1558" t="s">
        <v>150</v>
      </c>
      <c r="C1558" t="str">
        <f>_xll.BDP("486323EM Muni","INSURANCE_STATUS")</f>
        <v>Y</v>
      </c>
      <c r="D1558" t="str">
        <f>_xll.BDP("486323EM Muni","STATE_CODE")</f>
        <v>WI</v>
      </c>
      <c r="E1558" t="str">
        <f>_xll.BDP("486323EM Muni","COUNTY_LOCATION_ISSUER")</f>
        <v>Outagamie, WI</v>
      </c>
      <c r="F1558">
        <f>_xll.BDP("486323EM Muni","DUR_ADJ_MID")</f>
        <v>1.3040957520230392</v>
      </c>
      <c r="G1558">
        <f>_xll.BDP("486323EM Muni","SPREAD_AT_ISSUANCE_TO_WORST")</f>
        <v>36.850772352364757</v>
      </c>
      <c r="H1558" t="str">
        <f>_xll.BDP("486323EM Muni","ISSUE_DT")</f>
        <v>10/3/2017</v>
      </c>
      <c r="I1558" t="str">
        <f>_xll.BDS("486323EM Muni","MUNI_PURPOSE_SCHED", "aggregate=y")</f>
        <v>WATER UTILITY IMPS.</v>
      </c>
      <c r="J1558">
        <f>_xll.BDP("486323EM Muni","CPN")</f>
        <v>2</v>
      </c>
      <c r="K1558" t="str">
        <f>_xll.BDP("486323EM Muni","MATURITY")</f>
        <v>12/1/2023</v>
      </c>
      <c r="L1558">
        <v>50000</v>
      </c>
      <c r="M1558">
        <f>_xll.BDP("486323EM Muni","YIELD_ON_ISSUE_DATE")</f>
        <v>1.75</v>
      </c>
      <c r="N1558">
        <f>_xll.BDP("486323EM Muni","YTW_SPREAD_TO_MATURITY_AT_ISSU")</f>
        <v>36.850772352364757</v>
      </c>
      <c r="O1558" t="str">
        <f>_xll.BDP("486323EM Muni","BVAL_MID_YTM")</f>
        <v>#N/A Authorization</v>
      </c>
      <c r="P1558" t="str">
        <f>_xll.BDP("486323EM Muni","MUNI_TAX_PROV")</f>
        <v>FED TAX-EXEMPT/ST TAXABLE</v>
      </c>
      <c r="Q1558" t="str">
        <f>_xll.BDP("486323EM Muni","MUNI_FED_TAX")</f>
        <v>N</v>
      </c>
      <c r="R1558" t="str">
        <f>_xll.BDP("486323EM Muni","MUNI_MSRB_VOLUME")</f>
        <v>#N/A N/A</v>
      </c>
      <c r="S1558" t="str">
        <f>_xll.BDP("486323EM Muni","BB_COMPOSITE")</f>
        <v>#N/A N/A</v>
      </c>
      <c r="T1558">
        <f>_xll.BDP("486323EM Muni","LQA_LIQUIDITY_SCORE")</f>
        <v>76</v>
      </c>
    </row>
    <row r="1559" spans="1:20" x14ac:dyDescent="0.25">
      <c r="A1559" t="str">
        <f>_xll.BDP("486323EN Muni","ID_CUSIP")</f>
        <v>486323EN4</v>
      </c>
      <c r="B1559" t="s">
        <v>150</v>
      </c>
      <c r="C1559" t="str">
        <f>_xll.BDP("486323EN Muni","INSURANCE_STATUS")</f>
        <v>Y</v>
      </c>
      <c r="D1559" t="str">
        <f>_xll.BDP("486323EN Muni","STATE_CODE")</f>
        <v>WI</v>
      </c>
      <c r="E1559" t="str">
        <f>_xll.BDP("486323EN Muni","COUNTY_LOCATION_ISSUER")</f>
        <v>Outagamie, WI</v>
      </c>
      <c r="F1559">
        <f>_xll.BDP("486323EN Muni","DUR_ADJ_MID")</f>
        <v>2.2473566438537298</v>
      </c>
      <c r="G1559">
        <f>_xll.BDP("486323EN Muni","SPREAD_AT_ISSUANCE_TO_WORST")</f>
        <v>36.984038088219776</v>
      </c>
      <c r="H1559" t="str">
        <f>_xll.BDP("486323EN Muni","ISSUE_DT")</f>
        <v>10/3/2017</v>
      </c>
      <c r="I1559" t="str">
        <f>_xll.BDS("486323EN Muni","MUNI_PURPOSE_SCHED", "aggregate=y")</f>
        <v>WATER UTILITY IMPS.</v>
      </c>
      <c r="J1559">
        <f>_xll.BDP("486323EN Muni","CPN")</f>
        <v>2.5</v>
      </c>
      <c r="K1559" t="str">
        <f>_xll.BDP("486323EN Muni","MATURITY")</f>
        <v>12/1/2024</v>
      </c>
      <c r="L1559">
        <v>225000</v>
      </c>
      <c r="M1559">
        <f>_xll.BDP("486323EN Muni","YIELD_ON_ISSUE_DATE")</f>
        <v>1.9000000000000001</v>
      </c>
      <c r="N1559">
        <f>_xll.BDP("486323EN Muni","YTW_SPREAD_TO_MATURITY_AT_ISSU")</f>
        <v>36.984038088219776</v>
      </c>
      <c r="O1559" t="str">
        <f>_xll.BDP("486323EN Muni","BVAL_MID_YTM")</f>
        <v>#N/A Authorization</v>
      </c>
      <c r="P1559" t="str">
        <f>_xll.BDP("486323EN Muni","MUNI_TAX_PROV")</f>
        <v>FED TAX-EXEMPT/ST TAXABLE</v>
      </c>
      <c r="Q1559" t="str">
        <f>_xll.BDP("486323EN Muni","MUNI_FED_TAX")</f>
        <v>N</v>
      </c>
      <c r="R1559" t="str">
        <f>_xll.BDP("486323EN Muni","MUNI_MSRB_VOLUME")</f>
        <v>#N/A N/A</v>
      </c>
      <c r="S1559" t="str">
        <f>_xll.BDP("486323EN Muni","BB_COMPOSITE")</f>
        <v>#N/A N/A</v>
      </c>
      <c r="T1559">
        <f>_xll.BDP("486323EN Muni","LQA_LIQUIDITY_SCORE")</f>
        <v>64</v>
      </c>
    </row>
    <row r="1560" spans="1:20" x14ac:dyDescent="0.25">
      <c r="A1560" t="str">
        <f>_xll.BDP("486323EP Muni","ID_CUSIP")</f>
        <v>486323EP9</v>
      </c>
      <c r="B1560" t="s">
        <v>150</v>
      </c>
      <c r="C1560" t="str">
        <f>_xll.BDP("486323EP Muni","INSURANCE_STATUS")</f>
        <v>Y</v>
      </c>
      <c r="D1560" t="str">
        <f>_xll.BDP("486323EP Muni","STATE_CODE")</f>
        <v>WI</v>
      </c>
      <c r="E1560" t="str">
        <f>_xll.BDP("486323EP Muni","COUNTY_LOCATION_ISSUER")</f>
        <v>Outagamie, WI</v>
      </c>
      <c r="F1560">
        <f>_xll.BDP("486323EP Muni","DUR_ADJ_MID")</f>
        <v>3.1705566313457636</v>
      </c>
      <c r="G1560">
        <f>_xll.BDP("486323EP Muni","SPREAD_AT_ISSUANCE_TO_WORST")</f>
        <v>40.449027582368522</v>
      </c>
      <c r="H1560" t="str">
        <f>_xll.BDP("486323EP Muni","ISSUE_DT")</f>
        <v>10/3/2017</v>
      </c>
      <c r="I1560" t="str">
        <f>_xll.BDS("486323EP Muni","MUNI_PURPOSE_SCHED", "aggregate=y")</f>
        <v>WATER UTILITY IMPS.</v>
      </c>
      <c r="J1560">
        <f>_xll.BDP("486323EP Muni","CPN")</f>
        <v>2.5</v>
      </c>
      <c r="K1560" t="str">
        <f>_xll.BDP("486323EP Muni","MATURITY")</f>
        <v>12/1/2025</v>
      </c>
      <c r="L1560">
        <v>225000</v>
      </c>
      <c r="M1560">
        <f>_xll.BDP("486323EP Muni","YIELD_ON_ISSUE_DATE")</f>
        <v>2.08</v>
      </c>
      <c r="N1560">
        <f>_xll.BDP("486323EP Muni","YTW_SPREAD_TO_MATURITY_AT_ISSU")</f>
        <v>40.449027582368522</v>
      </c>
      <c r="O1560" t="str">
        <f>_xll.BDP("486323EP Muni","BVAL_MID_YTM")</f>
        <v>#N/A Authorization</v>
      </c>
      <c r="P1560" t="str">
        <f>_xll.BDP("486323EP Muni","MUNI_TAX_PROV")</f>
        <v>FED TAX-EXEMPT/ST TAXABLE</v>
      </c>
      <c r="Q1560" t="str">
        <f>_xll.BDP("486323EP Muni","MUNI_FED_TAX")</f>
        <v>N</v>
      </c>
      <c r="R1560" t="str">
        <f>_xll.BDP("486323EP Muni","MUNI_MSRB_VOLUME")</f>
        <v>#N/A N/A</v>
      </c>
      <c r="S1560" t="str">
        <f>_xll.BDP("486323EP Muni","BB_COMPOSITE")</f>
        <v>#N/A N/A</v>
      </c>
      <c r="T1560">
        <f>_xll.BDP("486323EP Muni","LQA_LIQUIDITY_SCORE")</f>
        <v>50</v>
      </c>
    </row>
    <row r="1561" spans="1:20" x14ac:dyDescent="0.25">
      <c r="A1561" t="str">
        <f>_xll.BDP("486323EQ Muni","ID_CUSIP")</f>
        <v>486323EQ7</v>
      </c>
      <c r="B1561" t="s">
        <v>150</v>
      </c>
      <c r="C1561" t="str">
        <f>_xll.BDP("486323EQ Muni","INSURANCE_STATUS")</f>
        <v>Y</v>
      </c>
      <c r="D1561" t="str">
        <f>_xll.BDP("486323EQ Muni","STATE_CODE")</f>
        <v>WI</v>
      </c>
      <c r="E1561" t="str">
        <f>_xll.BDP("486323EQ Muni","COUNTY_LOCATION_ISSUER")</f>
        <v>Outagamie, WI</v>
      </c>
      <c r="F1561">
        <f>_xll.BDP("486323EQ Muni","DUR_ADJ_MID")</f>
        <v>4.0701906850497851</v>
      </c>
      <c r="G1561">
        <f>_xll.BDP("486323EQ Muni","SPREAD_AT_ISSUANCE_TO_WORST")</f>
        <v>42.744618298659852</v>
      </c>
      <c r="H1561" t="str">
        <f>_xll.BDP("486323EQ Muni","ISSUE_DT")</f>
        <v>10/3/2017</v>
      </c>
      <c r="I1561" t="str">
        <f>_xll.BDS("486323EQ Muni","MUNI_PURPOSE_SCHED", "aggregate=y")</f>
        <v>WATER UTILITY IMPS.</v>
      </c>
      <c r="J1561">
        <f>_xll.BDP("486323EQ Muni","CPN")</f>
        <v>2.5</v>
      </c>
      <c r="K1561" t="str">
        <f>_xll.BDP("486323EQ Muni","MATURITY")</f>
        <v>12/1/2026</v>
      </c>
      <c r="L1561">
        <v>225000</v>
      </c>
      <c r="M1561">
        <f>_xll.BDP("486323EQ Muni","YIELD_ON_ISSUE_DATE")</f>
        <v>2.23</v>
      </c>
      <c r="N1561">
        <f>_xll.BDP("486323EQ Muni","YTW_SPREAD_TO_MATURITY_AT_ISSU")</f>
        <v>42.744618298659852</v>
      </c>
      <c r="O1561" t="str">
        <f>_xll.BDP("486323EQ Muni","BVAL_MID_YTM")</f>
        <v>#N/A Authorization</v>
      </c>
      <c r="P1561" t="str">
        <f>_xll.BDP("486323EQ Muni","MUNI_TAX_PROV")</f>
        <v>FED TAX-EXEMPT/ST TAXABLE</v>
      </c>
      <c r="Q1561" t="str">
        <f>_xll.BDP("486323EQ Muni","MUNI_FED_TAX")</f>
        <v>N</v>
      </c>
      <c r="R1561" t="str">
        <f>_xll.BDP("486323EQ Muni","MUNI_MSRB_VOLUME")</f>
        <v>#N/A N/A</v>
      </c>
      <c r="S1561" t="str">
        <f>_xll.BDP("486323EQ Muni","BB_COMPOSITE")</f>
        <v>#N/A N/A</v>
      </c>
      <c r="T1561">
        <f>_xll.BDP("486323EQ Muni","LQA_LIQUIDITY_SCORE")</f>
        <v>41</v>
      </c>
    </row>
    <row r="1562" spans="1:20" x14ac:dyDescent="0.25">
      <c r="A1562" t="str">
        <f>_xll.BDP("486323ER Muni","ID_CUSIP")</f>
        <v>486323ER5</v>
      </c>
      <c r="B1562" t="s">
        <v>150</v>
      </c>
      <c r="C1562" t="str">
        <f>_xll.BDP("486323ER Muni","INSURANCE_STATUS")</f>
        <v>Y</v>
      </c>
      <c r="D1562" t="str">
        <f>_xll.BDP("486323ER Muni","STATE_CODE")</f>
        <v>WI</v>
      </c>
      <c r="E1562" t="str">
        <f>_xll.BDP("486323ER Muni","COUNTY_LOCATION_ISSUER")</f>
        <v>Outagamie, WI</v>
      </c>
      <c r="F1562">
        <f>_xll.BDP("486323ER Muni","DUR_ADJ_MID")</f>
        <v>4.8915696446207662</v>
      </c>
      <c r="G1562">
        <f>_xll.BDP("486323ER Muni","SPREAD_AT_ISSUANCE_TO_WORST")</f>
        <v>44.998770684584308</v>
      </c>
      <c r="H1562" t="str">
        <f>_xll.BDP("486323ER Muni","ISSUE_DT")</f>
        <v>10/3/2017</v>
      </c>
      <c r="I1562" t="str">
        <f>_xll.BDS("486323ER Muni","MUNI_PURPOSE_SCHED", "aggregate=y")</f>
        <v>WATER UTILITY IMPS.</v>
      </c>
      <c r="J1562">
        <f>_xll.BDP("486323ER Muni","CPN")</f>
        <v>3</v>
      </c>
      <c r="K1562" t="str">
        <f>_xll.BDP("486323ER Muni","MATURITY")</f>
        <v>12/1/2027</v>
      </c>
      <c r="L1562">
        <v>225000</v>
      </c>
      <c r="M1562">
        <f>_xll.BDP("486323ER Muni","YIELD_ON_ISSUE_DATE")</f>
        <v>2.36</v>
      </c>
      <c r="N1562">
        <f>_xll.BDP("486323ER Muni","YTW_SPREAD_TO_MATURITY_AT_ISSU")</f>
        <v>44.998770684584308</v>
      </c>
      <c r="O1562" t="str">
        <f>_xll.BDP("486323ER Muni","BVAL_MID_YTM")</f>
        <v>#N/A Authorization</v>
      </c>
      <c r="P1562" t="str">
        <f>_xll.BDP("486323ER Muni","MUNI_TAX_PROV")</f>
        <v>FED TAX-EXEMPT/ST TAXABLE</v>
      </c>
      <c r="Q1562" t="str">
        <f>_xll.BDP("486323ER Muni","MUNI_FED_TAX")</f>
        <v>N</v>
      </c>
      <c r="R1562" t="str">
        <f>_xll.BDP("486323ER Muni","MUNI_MSRB_VOLUME")</f>
        <v>#N/A N/A</v>
      </c>
      <c r="S1562" t="str">
        <f>_xll.BDP("486323ER Muni","BB_COMPOSITE")</f>
        <v>#N/A N/A</v>
      </c>
      <c r="T1562">
        <f>_xll.BDP("486323ER Muni","LQA_LIQUIDITY_SCORE")</f>
        <v>36</v>
      </c>
    </row>
    <row r="1563" spans="1:20" x14ac:dyDescent="0.25">
      <c r="A1563" t="str">
        <f>_xll.BDP("593241BG Muni","ID_CUSIP")</f>
        <v>593241BG6</v>
      </c>
      <c r="B1563" t="s">
        <v>39</v>
      </c>
      <c r="C1563" t="str">
        <f>_xll.BDP("593241BG Muni","INSURANCE_STATUS")</f>
        <v>N</v>
      </c>
      <c r="D1563" t="str">
        <f>_xll.BDP("593241BG Muni","STATE_CODE")</f>
        <v>FL</v>
      </c>
      <c r="E1563" t="str">
        <f>_xll.BDP("593241BG Muni","COUNTY_LOCATION_ISSUER")</f>
        <v>Dade, FL</v>
      </c>
      <c r="F1563">
        <f>_xll.BDP("593241BG Muni","DUR_ADJ_MID")</f>
        <v>1.0378304016923627</v>
      </c>
      <c r="G1563">
        <f>_xll.BDP("593241BG Muni","SPREAD_AT_ISSUANCE_TO_WORST")</f>
        <v>22.541356164383576</v>
      </c>
      <c r="H1563" t="str">
        <f>_xll.BDP("593241BG Muni","ISSUE_DT")</f>
        <v>12/14/2017</v>
      </c>
      <c r="I1563" t="str">
        <f>_xll.BDS("593241BG Muni","MUNI_PURPOSE_SCHED", "aggregate=y")</f>
        <v>WATER UTILITY IMPS. SEWER IMPS. CURRENT REFUNDING</v>
      </c>
      <c r="J1563">
        <f>_xll.BDP("593241BG Muni","CPN")</f>
        <v>5</v>
      </c>
      <c r="K1563" t="str">
        <f>_xll.BDP("593241BG Muni","MATURITY")</f>
        <v>9/1/2023</v>
      </c>
      <c r="L1563">
        <v>1475000</v>
      </c>
      <c r="M1563">
        <f>_xll.BDP("593241BG Muni","YIELD_ON_ISSUE_DATE")</f>
        <v>2.08</v>
      </c>
      <c r="N1563">
        <f>_xll.BDP("593241BG Muni","YTW_SPREAD_TO_MATURITY_AT_ISSU")</f>
        <v>22.541356164383576</v>
      </c>
      <c r="O1563" t="str">
        <f>_xll.BDP("593241BG Muni","BVAL_MID_YTM")</f>
        <v>#N/A Authorization</v>
      </c>
      <c r="P1563" t="str">
        <f>_xll.BDP("593241BG Muni","MUNI_TAX_PROV")</f>
        <v>FED &amp; ST TAX-EXEMPT</v>
      </c>
      <c r="Q1563" t="str">
        <f>_xll.BDP("593241BG Muni","MUNI_FED_TAX")</f>
        <v>N</v>
      </c>
      <c r="R1563" t="str">
        <f>_xll.BDP("593241BG Muni","MUNI_MSRB_VOLUME")</f>
        <v>#N/A N/A</v>
      </c>
      <c r="S1563" t="str">
        <f>_xll.BDP("593241BG Muni","BB_COMPOSITE")</f>
        <v>AA-</v>
      </c>
      <c r="T1563">
        <f>_xll.BDP("593241BG Muni","LQA_LIQUIDITY_SCORE")</f>
        <v>86</v>
      </c>
    </row>
    <row r="1564" spans="1:20" x14ac:dyDescent="0.25">
      <c r="A1564" t="str">
        <f>_xll.BDP("593241BH Muni","ID_CUSIP")</f>
        <v>593241BH4</v>
      </c>
      <c r="B1564" t="s">
        <v>39</v>
      </c>
      <c r="C1564" t="str">
        <f>_xll.BDP("593241BH Muni","INSURANCE_STATUS")</f>
        <v>N</v>
      </c>
      <c r="D1564" t="str">
        <f>_xll.BDP("593241BH Muni","STATE_CODE")</f>
        <v>FL</v>
      </c>
      <c r="E1564" t="str">
        <f>_xll.BDP("593241BH Muni","COUNTY_LOCATION_ISSUER")</f>
        <v>Dade, FL</v>
      </c>
      <c r="F1564">
        <f>_xll.BDP("593241BH Muni","DUR_ADJ_MID")</f>
        <v>1.9506071786689232</v>
      </c>
      <c r="G1564">
        <f>_xll.BDP("593241BH Muni","SPREAD_AT_ISSUANCE_TO_WORST")</f>
        <v>24.834336986301398</v>
      </c>
      <c r="H1564" t="str">
        <f>_xll.BDP("593241BH Muni","ISSUE_DT")</f>
        <v>12/14/2017</v>
      </c>
      <c r="I1564" t="str">
        <f>_xll.BDS("593241BH Muni","MUNI_PURPOSE_SCHED", "aggregate=y")</f>
        <v>WATER UTILITY IMPS. SEWER IMPS. CURRENT REFUNDING</v>
      </c>
      <c r="J1564">
        <f>_xll.BDP("593241BH Muni","CPN")</f>
        <v>5</v>
      </c>
      <c r="K1564" t="str">
        <f>_xll.BDP("593241BH Muni","MATURITY")</f>
        <v>9/1/2024</v>
      </c>
      <c r="L1564">
        <v>1550000</v>
      </c>
      <c r="M1564">
        <f>_xll.BDP("593241BH Muni","YIELD_ON_ISSUE_DATE")</f>
        <v>2.2000000000000002</v>
      </c>
      <c r="N1564">
        <f>_xll.BDP("593241BH Muni","YTW_SPREAD_TO_MATURITY_AT_ISSU")</f>
        <v>24.834336986301398</v>
      </c>
      <c r="O1564" t="str">
        <f>_xll.BDP("593241BH Muni","BVAL_MID_YTM")</f>
        <v>#N/A Authorization</v>
      </c>
      <c r="P1564" t="str">
        <f>_xll.BDP("593241BH Muni","MUNI_TAX_PROV")</f>
        <v>FED &amp; ST TAX-EXEMPT</v>
      </c>
      <c r="Q1564" t="str">
        <f>_xll.BDP("593241BH Muni","MUNI_FED_TAX")</f>
        <v>N</v>
      </c>
      <c r="R1564" t="str">
        <f>_xll.BDP("593241BH Muni","MUNI_MSRB_VOLUME")</f>
        <v>#N/A N/A</v>
      </c>
      <c r="S1564" t="str">
        <f>_xll.BDP("593241BH Muni","BB_COMPOSITE")</f>
        <v>AA-</v>
      </c>
      <c r="T1564">
        <f>_xll.BDP("593241BH Muni","LQA_LIQUIDITY_SCORE")</f>
        <v>78</v>
      </c>
    </row>
    <row r="1565" spans="1:20" x14ac:dyDescent="0.25">
      <c r="A1565" t="str">
        <f>_xll.BDP("593241BJ Muni","ID_CUSIP")</f>
        <v>593241BJ0</v>
      </c>
      <c r="B1565" t="s">
        <v>39</v>
      </c>
      <c r="C1565" t="str">
        <f>_xll.BDP("593241BJ Muni","INSURANCE_STATUS")</f>
        <v>N</v>
      </c>
      <c r="D1565" t="str">
        <f>_xll.BDP("593241BJ Muni","STATE_CODE")</f>
        <v>FL</v>
      </c>
      <c r="E1565" t="str">
        <f>_xll.BDP("593241BJ Muni","COUNTY_LOCATION_ISSUER")</f>
        <v>Dade, FL</v>
      </c>
      <c r="F1565">
        <f>_xll.BDP("593241BJ Muni","DUR_ADJ_MID")</f>
        <v>2.8187489854615397</v>
      </c>
      <c r="G1565">
        <f>_xll.BDP("593241BJ Muni","SPREAD_AT_ISSUANCE_TO_WORST")</f>
        <v>22.226542465753418</v>
      </c>
      <c r="H1565" t="str">
        <f>_xll.BDP("593241BJ Muni","ISSUE_DT")</f>
        <v>12/14/2017</v>
      </c>
      <c r="I1565" t="str">
        <f>_xll.BDS("593241BJ Muni","MUNI_PURPOSE_SCHED", "aggregate=y")</f>
        <v>WATER UTILITY IMPS. SEWER IMPS. CURRENT REFUNDING</v>
      </c>
      <c r="J1565">
        <f>_xll.BDP("593241BJ Muni","CPN")</f>
        <v>5</v>
      </c>
      <c r="K1565" t="str">
        <f>_xll.BDP("593241BJ Muni","MATURITY")</f>
        <v>9/1/2025</v>
      </c>
      <c r="L1565">
        <v>5210000</v>
      </c>
      <c r="M1565">
        <f>_xll.BDP("593241BJ Muni","YIELD_ON_ISSUE_DATE")</f>
        <v>2.2800000000000002</v>
      </c>
      <c r="N1565">
        <f>_xll.BDP("593241BJ Muni","YTW_SPREAD_TO_MATURITY_AT_ISSU")</f>
        <v>22.226542465753418</v>
      </c>
      <c r="O1565" t="str">
        <f>_xll.BDP("593241BJ Muni","BVAL_MID_YTM")</f>
        <v>#N/A Authorization</v>
      </c>
      <c r="P1565" t="str">
        <f>_xll.BDP("593241BJ Muni","MUNI_TAX_PROV")</f>
        <v>FED &amp; ST TAX-EXEMPT</v>
      </c>
      <c r="Q1565" t="str">
        <f>_xll.BDP("593241BJ Muni","MUNI_FED_TAX")</f>
        <v>N</v>
      </c>
      <c r="R1565">
        <f>_xll.BDP("593241BJ Muni","MUNI_MSRB_VOLUME")</f>
        <v>50000</v>
      </c>
      <c r="S1565" t="str">
        <f>_xll.BDP("593241BJ Muni","BB_COMPOSITE")</f>
        <v>AA-</v>
      </c>
      <c r="T1565">
        <f>_xll.BDP("593241BJ Muni","LQA_LIQUIDITY_SCORE")</f>
        <v>71</v>
      </c>
    </row>
    <row r="1566" spans="1:20" x14ac:dyDescent="0.25">
      <c r="A1566" t="str">
        <f>_xll.BDP("593241BK Muni","ID_CUSIP")</f>
        <v>593241BK7</v>
      </c>
      <c r="B1566" t="s">
        <v>39</v>
      </c>
      <c r="C1566" t="str">
        <f>_xll.BDP("593241BK Muni","INSURANCE_STATUS")</f>
        <v>N</v>
      </c>
      <c r="D1566" t="str">
        <f>_xll.BDP("593241BK Muni","STATE_CODE")</f>
        <v>FL</v>
      </c>
      <c r="E1566" t="str">
        <f>_xll.BDP("593241BK Muni","COUNTY_LOCATION_ISSUER")</f>
        <v>Dade, FL</v>
      </c>
      <c r="F1566">
        <f>_xll.BDP("593241BK Muni","DUR_ADJ_MID")</f>
        <v>3.6616174392704774</v>
      </c>
      <c r="G1566">
        <f>_xll.BDP("593241BK Muni","SPREAD_AT_ISSUANCE_TO_WORST")</f>
        <v>22.72955890410957</v>
      </c>
      <c r="H1566" t="str">
        <f>_xll.BDP("593241BK Muni","ISSUE_DT")</f>
        <v>12/14/2017</v>
      </c>
      <c r="I1566" t="str">
        <f>_xll.BDS("593241BK Muni","MUNI_PURPOSE_SCHED", "aggregate=y")</f>
        <v>WATER UTILITY IMPS. SEWER IMPS. CURRENT REFUNDING</v>
      </c>
      <c r="J1566">
        <f>_xll.BDP("593241BK Muni","CPN")</f>
        <v>5</v>
      </c>
      <c r="K1566" t="str">
        <f>_xll.BDP("593241BK Muni","MATURITY")</f>
        <v>9/1/2026</v>
      </c>
      <c r="L1566">
        <v>5475000</v>
      </c>
      <c r="M1566">
        <f>_xll.BDP("593241BK Muni","YIELD_ON_ISSUE_DATE")</f>
        <v>2.38</v>
      </c>
      <c r="N1566">
        <f>_xll.BDP("593241BK Muni","YTW_SPREAD_TO_MATURITY_AT_ISSU")</f>
        <v>22.72955890410957</v>
      </c>
      <c r="O1566" t="str">
        <f>_xll.BDP("593241BK Muni","BVAL_MID_YTM")</f>
        <v>#N/A Authorization</v>
      </c>
      <c r="P1566" t="str">
        <f>_xll.BDP("593241BK Muni","MUNI_TAX_PROV")</f>
        <v>FED &amp; ST TAX-EXEMPT</v>
      </c>
      <c r="Q1566" t="str">
        <f>_xll.BDP("593241BK Muni","MUNI_FED_TAX")</f>
        <v>N</v>
      </c>
      <c r="R1566">
        <f>_xll.BDP("593241BK Muni","MUNI_MSRB_VOLUME")</f>
        <v>160000</v>
      </c>
      <c r="S1566" t="str">
        <f>_xll.BDP("593241BK Muni","BB_COMPOSITE")</f>
        <v>AA-</v>
      </c>
      <c r="T1566">
        <f>_xll.BDP("593241BK Muni","LQA_LIQUIDITY_SCORE")</f>
        <v>63</v>
      </c>
    </row>
    <row r="1567" spans="1:20" x14ac:dyDescent="0.25">
      <c r="A1567" t="str">
        <f>_xll.BDP("4876848B Muni","ID_CUSIP")</f>
        <v>4876848B1</v>
      </c>
      <c r="B1567" t="s">
        <v>446</v>
      </c>
      <c r="C1567" t="str">
        <f>_xll.BDP("4876848B Muni","INSURANCE_STATUS")</f>
        <v>N</v>
      </c>
      <c r="D1567" t="str">
        <f>_xll.BDP("4876848B Muni","STATE_CODE")</f>
        <v>TX</v>
      </c>
      <c r="E1567" t="str">
        <f>_xll.BDP("4876848B Muni","COUNTY_LOCATION_ISSUER")</f>
        <v>Tarrant, TX</v>
      </c>
      <c r="F1567">
        <f>_xll.BDP("4876848B Muni","DUR_ADJ_MID")</f>
        <v>0.52788467484034962</v>
      </c>
      <c r="G1567">
        <f>_xll.BDP("4876848B Muni","SPREAD_AT_ISSUANCE_TO_WORST")</f>
        <v>21.070512933341433</v>
      </c>
      <c r="H1567" t="str">
        <f>_xll.BDP("4876848B Muni","ISSUE_DT")</f>
        <v>7/15/2017</v>
      </c>
      <c r="I1567" t="str">
        <f>_xll.BDS("4876848B Muni","MUNI_PURPOSE_SCHED", "aggregate=y")</f>
        <v>WATER UTILITY IMPS. SEWER IMPS. PUBLIC IMPS.</v>
      </c>
      <c r="J1567">
        <f>_xll.BDP("4876848B Muni","CPN")</f>
        <v>2.25</v>
      </c>
      <c r="K1567" t="str">
        <f>_xll.BDP("4876848B Muni","MATURITY")</f>
        <v>2/15/2023</v>
      </c>
      <c r="L1567">
        <v>935000</v>
      </c>
      <c r="M1567">
        <f>_xll.BDP("4876848B Muni","YIELD_ON_ISSUE_DATE")</f>
        <v>1.55</v>
      </c>
      <c r="N1567">
        <f>_xll.BDP("4876848B Muni","YTW_SPREAD_TO_MATURITY_AT_ISSU")</f>
        <v>21.070512933341433</v>
      </c>
      <c r="O1567" t="str">
        <f>_xll.BDP("4876848B Muni","BVAL_MID_YTM")</f>
        <v>#N/A Authorization</v>
      </c>
      <c r="P1567" t="str">
        <f>_xll.BDP("4876848B Muni","MUNI_TAX_PROV")</f>
        <v>FED TAX-EXEMPT</v>
      </c>
      <c r="Q1567" t="str">
        <f>_xll.BDP("4876848B Muni","MUNI_FED_TAX")</f>
        <v>N</v>
      </c>
      <c r="R1567" t="str">
        <f>_xll.BDP("4876848B Muni","MUNI_MSRB_VOLUME")</f>
        <v>#N/A N/A</v>
      </c>
      <c r="S1567" t="str">
        <f>_xll.BDP("4876848B Muni","BB_COMPOSITE")</f>
        <v>AAA</v>
      </c>
      <c r="T1567">
        <f>_xll.BDP("4876848B Muni","LQA_LIQUIDITY_SCORE")</f>
        <v>91</v>
      </c>
    </row>
    <row r="1568" spans="1:20" x14ac:dyDescent="0.25">
      <c r="A1568" t="str">
        <f>_xll.BDP("4876848C Muni","ID_CUSIP")</f>
        <v>4876848C9</v>
      </c>
      <c r="B1568" t="s">
        <v>446</v>
      </c>
      <c r="C1568" t="str">
        <f>_xll.BDP("4876848C Muni","INSURANCE_STATUS")</f>
        <v>N</v>
      </c>
      <c r="D1568" t="str">
        <f>_xll.BDP("4876848C Muni","STATE_CODE")</f>
        <v>TX</v>
      </c>
      <c r="E1568" t="str">
        <f>_xll.BDP("4876848C Muni","COUNTY_LOCATION_ISSUER")</f>
        <v>Tarrant, TX</v>
      </c>
      <c r="F1568">
        <f>_xll.BDP("4876848C Muni","DUR_ADJ_MID")</f>
        <v>1.4814699601725871</v>
      </c>
      <c r="G1568">
        <f>_xll.BDP("4876848C Muni","SPREAD_AT_ISSUANCE_TO_WORST")</f>
        <v>21.621689161565925</v>
      </c>
      <c r="H1568" t="str">
        <f>_xll.BDP("4876848C Muni","ISSUE_DT")</f>
        <v>7/15/2017</v>
      </c>
      <c r="I1568" t="str">
        <f>_xll.BDS("4876848C Muni","MUNI_PURPOSE_SCHED", "aggregate=y")</f>
        <v>WATER UTILITY IMPS. SEWER IMPS. PUBLIC IMPS.</v>
      </c>
      <c r="J1568">
        <f>_xll.BDP("4876848C Muni","CPN")</f>
        <v>3</v>
      </c>
      <c r="K1568" t="str">
        <f>_xll.BDP("4876848C Muni","MATURITY")</f>
        <v>2/15/2024</v>
      </c>
      <c r="L1568">
        <v>960000</v>
      </c>
      <c r="M1568">
        <f>_xll.BDP("4876848C Muni","YIELD_ON_ISSUE_DATE")</f>
        <v>1.7000000000000002</v>
      </c>
      <c r="N1568">
        <f>_xll.BDP("4876848C Muni","YTW_SPREAD_TO_MATURITY_AT_ISSU")</f>
        <v>21.621689161565925</v>
      </c>
      <c r="O1568" t="str">
        <f>_xll.BDP("4876848C Muni","BVAL_MID_YTM")</f>
        <v>#N/A Authorization</v>
      </c>
      <c r="P1568" t="str">
        <f>_xll.BDP("4876848C Muni","MUNI_TAX_PROV")</f>
        <v>FED TAX-EXEMPT</v>
      </c>
      <c r="Q1568" t="str">
        <f>_xll.BDP("4876848C Muni","MUNI_FED_TAX")</f>
        <v>N</v>
      </c>
      <c r="R1568" t="str">
        <f>_xll.BDP("4876848C Muni","MUNI_MSRB_VOLUME")</f>
        <v>#N/A N/A</v>
      </c>
      <c r="S1568" t="str">
        <f>_xll.BDP("4876848C Muni","BB_COMPOSITE")</f>
        <v>AAA</v>
      </c>
      <c r="T1568">
        <f>_xll.BDP("4876848C Muni","LQA_LIQUIDITY_SCORE")</f>
        <v>81</v>
      </c>
    </row>
    <row r="1569" spans="1:20" x14ac:dyDescent="0.25">
      <c r="A1569" t="str">
        <f>_xll.BDP("4876848D Muni","ID_CUSIP")</f>
        <v>4876848D7</v>
      </c>
      <c r="B1569" t="s">
        <v>446</v>
      </c>
      <c r="C1569" t="str">
        <f>_xll.BDP("4876848D Muni","INSURANCE_STATUS")</f>
        <v>N</v>
      </c>
      <c r="D1569" t="str">
        <f>_xll.BDP("4876848D Muni","STATE_CODE")</f>
        <v>TX</v>
      </c>
      <c r="E1569" t="str">
        <f>_xll.BDP("4876848D Muni","COUNTY_LOCATION_ISSUER")</f>
        <v>Tarrant, TX</v>
      </c>
      <c r="F1569">
        <f>_xll.BDP("4876848D Muni","DUR_ADJ_MID")</f>
        <v>2.4093319136153184</v>
      </c>
      <c r="G1569">
        <f>_xll.BDP("4876848D Muni","SPREAD_AT_ISSUANCE_TO_WORST")</f>
        <v>20.854075907090053</v>
      </c>
      <c r="H1569" t="str">
        <f>_xll.BDP("4876848D Muni","ISSUE_DT")</f>
        <v>7/15/2017</v>
      </c>
      <c r="I1569" t="str">
        <f>_xll.BDS("4876848D Muni","MUNI_PURPOSE_SCHED", "aggregate=y")</f>
        <v>WATER UTILITY IMPS. SEWER IMPS. PUBLIC IMPS.</v>
      </c>
      <c r="J1569">
        <f>_xll.BDP("4876848D Muni","CPN")</f>
        <v>3</v>
      </c>
      <c r="K1569" t="str">
        <f>_xll.BDP("4876848D Muni","MATURITY")</f>
        <v>2/15/2025</v>
      </c>
      <c r="L1569">
        <v>200000</v>
      </c>
      <c r="M1569">
        <f>_xll.BDP("4876848D Muni","YIELD_ON_ISSUE_DATE")</f>
        <v>1.84</v>
      </c>
      <c r="N1569">
        <f>_xll.BDP("4876848D Muni","YTW_SPREAD_TO_MATURITY_AT_ISSU")</f>
        <v>20.854075907090053</v>
      </c>
      <c r="O1569" t="str">
        <f>_xll.BDP("4876848D Muni","BVAL_MID_YTM")</f>
        <v>#N/A Authorization</v>
      </c>
      <c r="P1569" t="str">
        <f>_xll.BDP("4876848D Muni","MUNI_TAX_PROV")</f>
        <v>FED TAX-EXEMPT</v>
      </c>
      <c r="Q1569" t="str">
        <f>_xll.BDP("4876848D Muni","MUNI_FED_TAX")</f>
        <v>N</v>
      </c>
      <c r="R1569" t="str">
        <f>_xll.BDP("4876848D Muni","MUNI_MSRB_VOLUME")</f>
        <v>#N/A N/A</v>
      </c>
      <c r="S1569" t="str">
        <f>_xll.BDP("4876848D Muni","BB_COMPOSITE")</f>
        <v>AAA</v>
      </c>
      <c r="T1569">
        <f>_xll.BDP("4876848D Muni","LQA_LIQUIDITY_SCORE")</f>
        <v>68</v>
      </c>
    </row>
    <row r="1570" spans="1:20" x14ac:dyDescent="0.25">
      <c r="A1570" t="str">
        <f>_xll.BDP("4876848E Muni","ID_CUSIP")</f>
        <v>4876848E5</v>
      </c>
      <c r="B1570" t="s">
        <v>446</v>
      </c>
      <c r="C1570" t="str">
        <f>_xll.BDP("4876848E Muni","INSURANCE_STATUS")</f>
        <v>N</v>
      </c>
      <c r="D1570" t="str">
        <f>_xll.BDP("4876848E Muni","STATE_CODE")</f>
        <v>TX</v>
      </c>
      <c r="E1570" t="str">
        <f>_xll.BDP("4876848E Muni","COUNTY_LOCATION_ISSUER")</f>
        <v>Tarrant, TX</v>
      </c>
      <c r="F1570">
        <f>_xll.BDP("4876848E Muni","DUR_ADJ_MID")</f>
        <v>3.3109800116342747</v>
      </c>
      <c r="G1570">
        <f>_xll.BDP("4876848E Muni","SPREAD_AT_ISSUANCE_TO_WORST")</f>
        <v>25.780974587793025</v>
      </c>
      <c r="H1570" t="str">
        <f>_xll.BDP("4876848E Muni","ISSUE_DT")</f>
        <v>7/15/2017</v>
      </c>
      <c r="I1570" t="str">
        <f>_xll.BDS("4876848E Muni","MUNI_PURPOSE_SCHED", "aggregate=y")</f>
        <v>WATER UTILITY IMPS. SEWER IMPS. PUBLIC IMPS.</v>
      </c>
      <c r="J1570">
        <f>_xll.BDP("4876848E Muni","CPN")</f>
        <v>3</v>
      </c>
      <c r="K1570" t="str">
        <f>_xll.BDP("4876848E Muni","MATURITY")</f>
        <v>2/15/2026</v>
      </c>
      <c r="L1570">
        <v>210000</v>
      </c>
      <c r="M1570">
        <f>_xll.BDP("4876848E Muni","YIELD_ON_ISSUE_DATE")</f>
        <v>2.0300000000000002</v>
      </c>
      <c r="N1570">
        <f>_xll.BDP("4876848E Muni","YTW_SPREAD_TO_MATURITY_AT_ISSU")</f>
        <v>25.780974587793025</v>
      </c>
      <c r="O1570" t="str">
        <f>_xll.BDP("4876848E Muni","BVAL_MID_YTM")</f>
        <v>#N/A Authorization</v>
      </c>
      <c r="P1570" t="str">
        <f>_xll.BDP("4876848E Muni","MUNI_TAX_PROV")</f>
        <v>FED TAX-EXEMPT</v>
      </c>
      <c r="Q1570" t="str">
        <f>_xll.BDP("4876848E Muni","MUNI_FED_TAX")</f>
        <v>N</v>
      </c>
      <c r="R1570" t="str">
        <f>_xll.BDP("4876848E Muni","MUNI_MSRB_VOLUME")</f>
        <v>#N/A N/A</v>
      </c>
      <c r="S1570" t="str">
        <f>_xll.BDP("4876848E Muni","BB_COMPOSITE")</f>
        <v>AAA</v>
      </c>
      <c r="T1570">
        <f>_xll.BDP("4876848E Muni","LQA_LIQUIDITY_SCORE")</f>
        <v>59</v>
      </c>
    </row>
    <row r="1571" spans="1:20" x14ac:dyDescent="0.25">
      <c r="A1571" t="str">
        <f>_xll.BDP("4876848F Muni","ID_CUSIP")</f>
        <v>4876848F2</v>
      </c>
      <c r="B1571" t="s">
        <v>446</v>
      </c>
      <c r="C1571" t="str">
        <f>_xll.BDP("4876848F Muni","INSURANCE_STATUS")</f>
        <v>N</v>
      </c>
      <c r="D1571" t="str">
        <f>_xll.BDP("4876848F Muni","STATE_CODE")</f>
        <v>TX</v>
      </c>
      <c r="E1571" t="str">
        <f>_xll.BDP("4876848F Muni","COUNTY_LOCATION_ISSUER")</f>
        <v>Tarrant, TX</v>
      </c>
      <c r="F1571">
        <f>_xll.BDP("4876848F Muni","DUR_ADJ_MID")</f>
        <v>4.1870514998719877</v>
      </c>
      <c r="G1571">
        <f>_xll.BDP("4876848F Muni","SPREAD_AT_ISSUANCE_TO_WORST")</f>
        <v>34.887723176686606</v>
      </c>
      <c r="H1571" t="str">
        <f>_xll.BDP("4876848F Muni","ISSUE_DT")</f>
        <v>7/15/2017</v>
      </c>
      <c r="I1571" t="str">
        <f>_xll.BDS("4876848F Muni","MUNI_PURPOSE_SCHED", "aggregate=y")</f>
        <v>WATER UTILITY IMPS. SEWER IMPS. PUBLIC IMPS.</v>
      </c>
      <c r="J1571">
        <f>_xll.BDP("4876848F Muni","CPN")</f>
        <v>3</v>
      </c>
      <c r="K1571" t="str">
        <f>_xll.BDP("4876848F Muni","MATURITY")</f>
        <v>2/15/2027</v>
      </c>
      <c r="L1571">
        <v>215000</v>
      </c>
      <c r="M1571">
        <f>_xll.BDP("4876848F Muni","YIELD_ON_ISSUE_DATE")</f>
        <v>2.2400000000000002</v>
      </c>
      <c r="N1571">
        <f>_xll.BDP("4876848F Muni","YTW_SPREAD_TO_MATURITY_AT_ISSU")</f>
        <v>34.887723176686606</v>
      </c>
      <c r="O1571" t="str">
        <f>_xll.BDP("4876848F Muni","BVAL_MID_YTM")</f>
        <v>#N/A Authorization</v>
      </c>
      <c r="P1571" t="str">
        <f>_xll.BDP("4876848F Muni","MUNI_TAX_PROV")</f>
        <v>FED TAX-EXEMPT</v>
      </c>
      <c r="Q1571" t="str">
        <f>_xll.BDP("4876848F Muni","MUNI_FED_TAX")</f>
        <v>N</v>
      </c>
      <c r="R1571" t="str">
        <f>_xll.BDP("4876848F Muni","MUNI_MSRB_VOLUME")</f>
        <v>#N/A N/A</v>
      </c>
      <c r="S1571" t="str">
        <f>_xll.BDP("4876848F Muni","BB_COMPOSITE")</f>
        <v>AAA</v>
      </c>
      <c r="T1571">
        <f>_xll.BDP("4876848F Muni","LQA_LIQUIDITY_SCORE")</f>
        <v>50</v>
      </c>
    </row>
    <row r="1572" spans="1:20" x14ac:dyDescent="0.25">
      <c r="A1572" t="str">
        <f>_xll.BDP("488132FD Muni","ID_CUSIP")</f>
        <v>488132FD8</v>
      </c>
      <c r="B1572" t="s">
        <v>447</v>
      </c>
      <c r="C1572" t="str">
        <f>_xll.BDP("488132FD Muni","INSURANCE_STATUS")</f>
        <v>Y</v>
      </c>
      <c r="D1572" t="str">
        <f>_xll.BDP("488132FD Muni","STATE_CODE")</f>
        <v>TX</v>
      </c>
      <c r="E1572" t="str">
        <f>_xll.BDP("488132FD Muni","COUNTY_LOCATION_ISSUER")</f>
        <v>Travis, TX</v>
      </c>
      <c r="F1572">
        <f>_xll.BDP("488132FD Muni","DUR_ADJ_MID")</f>
        <v>8.0455820111311083E-2</v>
      </c>
      <c r="G1572">
        <f>_xll.BDP("488132FD Muni","SPREAD_AT_ISSUANCE_TO_WORST")</f>
        <v>57.15896542576553</v>
      </c>
      <c r="H1572" t="str">
        <f>_xll.BDP("488132FD Muni","ISSUE_DT")</f>
        <v>5/3/2017</v>
      </c>
      <c r="I1572" t="str">
        <f>_xll.BDS("488132FD Muni","MUNI_PURPOSE_SCHED", "aggregate=y")</f>
        <v>WATER UTILITY IMPS. SEWER IMPS.</v>
      </c>
      <c r="J1572">
        <f>_xll.BDP("488132FD Muni","CPN")</f>
        <v>3</v>
      </c>
      <c r="K1572" t="str">
        <f>_xll.BDP("488132FD Muni","MATURITY")</f>
        <v>9/1/2022</v>
      </c>
      <c r="L1572">
        <v>105000</v>
      </c>
      <c r="M1572">
        <f>_xll.BDP("488132FD Muni","YIELD_ON_ISSUE_DATE")</f>
        <v>2.15</v>
      </c>
      <c r="N1572">
        <f>_xll.BDP("488132FD Muni","YTW_SPREAD_TO_MATURITY_AT_ISSU")</f>
        <v>57.15896542576553</v>
      </c>
      <c r="O1572" t="str">
        <f>_xll.BDP("488132FD Muni","BVAL_MID_YTM")</f>
        <v>#N/A Authorization</v>
      </c>
      <c r="P1572" t="str">
        <f>_xll.BDP("488132FD Muni","MUNI_TAX_PROV")</f>
        <v>FED BQ</v>
      </c>
      <c r="Q1572" t="str">
        <f>_xll.BDP("488132FD Muni","MUNI_FED_TAX")</f>
        <v>N</v>
      </c>
      <c r="R1572" t="str">
        <f>_xll.BDP("488132FD Muni","MUNI_MSRB_VOLUME")</f>
        <v>#N/A N/A</v>
      </c>
      <c r="S1572" t="str">
        <f>_xll.BDP("488132FD Muni","BB_COMPOSITE")</f>
        <v>#N/A N/A</v>
      </c>
      <c r="T1572">
        <f>_xll.BDP("488132FD Muni","LQA_LIQUIDITY_SCORE")</f>
        <v>99</v>
      </c>
    </row>
    <row r="1573" spans="1:20" x14ac:dyDescent="0.25">
      <c r="A1573" t="str">
        <f>_xll.BDP("488132FE Muni","ID_CUSIP")</f>
        <v>488132FE6</v>
      </c>
      <c r="B1573" t="s">
        <v>447</v>
      </c>
      <c r="C1573" t="str">
        <f>_xll.BDP("488132FE Muni","INSURANCE_STATUS")</f>
        <v>Y</v>
      </c>
      <c r="D1573" t="str">
        <f>_xll.BDP("488132FE Muni","STATE_CODE")</f>
        <v>TX</v>
      </c>
      <c r="E1573" t="str">
        <f>_xll.BDP("488132FE Muni","COUNTY_LOCATION_ISSUER")</f>
        <v>Travis, TX</v>
      </c>
      <c r="F1573">
        <f>_xll.BDP("488132FE Muni","DUR_ADJ_MID")</f>
        <v>1.0474508033337615</v>
      </c>
      <c r="G1573">
        <f>_xll.BDP("488132FE Muni","SPREAD_AT_ISSUANCE_TO_WORST")</f>
        <v>55.190044554443254</v>
      </c>
      <c r="H1573" t="str">
        <f>_xll.BDP("488132FE Muni","ISSUE_DT")</f>
        <v>5/3/2017</v>
      </c>
      <c r="I1573" t="str">
        <f>_xll.BDS("488132FE Muni","MUNI_PURPOSE_SCHED", "aggregate=y")</f>
        <v>WATER UTILITY IMPS. SEWER IMPS.</v>
      </c>
      <c r="J1573">
        <f>_xll.BDP("488132FE Muni","CPN")</f>
        <v>3</v>
      </c>
      <c r="K1573" t="str">
        <f>_xll.BDP("488132FE Muni","MATURITY")</f>
        <v>9/1/2023</v>
      </c>
      <c r="L1573">
        <v>105000</v>
      </c>
      <c r="M1573">
        <f>_xll.BDP("488132FE Muni","YIELD_ON_ISSUE_DATE")</f>
        <v>2.3000000000000003</v>
      </c>
      <c r="N1573">
        <f>_xll.BDP("488132FE Muni","YTW_SPREAD_TO_MATURITY_AT_ISSU")</f>
        <v>55.190044554443254</v>
      </c>
      <c r="O1573" t="str">
        <f>_xll.BDP("488132FE Muni","BVAL_MID_YTM")</f>
        <v>#N/A Authorization</v>
      </c>
      <c r="P1573" t="str">
        <f>_xll.BDP("488132FE Muni","MUNI_TAX_PROV")</f>
        <v>FED BQ</v>
      </c>
      <c r="Q1573" t="str">
        <f>_xll.BDP("488132FE Muni","MUNI_FED_TAX")</f>
        <v>N</v>
      </c>
      <c r="R1573" t="str">
        <f>_xll.BDP("488132FE Muni","MUNI_MSRB_VOLUME")</f>
        <v>#N/A N/A</v>
      </c>
      <c r="S1573" t="str">
        <f>_xll.BDP("488132FE Muni","BB_COMPOSITE")</f>
        <v>#N/A N/A</v>
      </c>
      <c r="T1573">
        <f>_xll.BDP("488132FE Muni","LQA_LIQUIDITY_SCORE")</f>
        <v>84</v>
      </c>
    </row>
    <row r="1574" spans="1:20" x14ac:dyDescent="0.25">
      <c r="A1574" t="str">
        <f>_xll.BDP("488132FF Muni","ID_CUSIP")</f>
        <v>488132FF3</v>
      </c>
      <c r="B1574" t="s">
        <v>447</v>
      </c>
      <c r="C1574" t="str">
        <f>_xll.BDP("488132FF Muni","INSURANCE_STATUS")</f>
        <v>Y</v>
      </c>
      <c r="D1574" t="str">
        <f>_xll.BDP("488132FF Muni","STATE_CODE")</f>
        <v>TX</v>
      </c>
      <c r="E1574" t="str">
        <f>_xll.BDP("488132FF Muni","COUNTY_LOCATION_ISSUER")</f>
        <v>Travis, TX</v>
      </c>
      <c r="F1574">
        <f>_xll.BDP("488132FF Muni","DUR_ADJ_MID")</f>
        <v>1.9847554800179781</v>
      </c>
      <c r="G1574">
        <f>_xll.BDP("488132FF Muni","SPREAD_AT_ISSUANCE_TO_WORST")</f>
        <v>53.564876031678146</v>
      </c>
      <c r="H1574" t="str">
        <f>_xll.BDP("488132FF Muni","ISSUE_DT")</f>
        <v>5/3/2017</v>
      </c>
      <c r="I1574" t="str">
        <f>_xll.BDS("488132FF Muni","MUNI_PURPOSE_SCHED", "aggregate=y")</f>
        <v>WATER UTILITY IMPS. SEWER IMPS.</v>
      </c>
      <c r="J1574">
        <f>_xll.BDP("488132FF Muni","CPN")</f>
        <v>3</v>
      </c>
      <c r="K1574" t="str">
        <f>_xll.BDP("488132FF Muni","MATURITY")</f>
        <v>9/1/2024</v>
      </c>
      <c r="L1574">
        <v>110000</v>
      </c>
      <c r="M1574">
        <f>_xll.BDP("488132FF Muni","YIELD_ON_ISSUE_DATE")</f>
        <v>2.4500000000000002</v>
      </c>
      <c r="N1574">
        <f>_xll.BDP("488132FF Muni","YTW_SPREAD_TO_MATURITY_AT_ISSU")</f>
        <v>53.564876031678146</v>
      </c>
      <c r="O1574" t="str">
        <f>_xll.BDP("488132FF Muni","BVAL_MID_YTM")</f>
        <v>#N/A Authorization</v>
      </c>
      <c r="P1574" t="str">
        <f>_xll.BDP("488132FF Muni","MUNI_TAX_PROV")</f>
        <v>FED BQ</v>
      </c>
      <c r="Q1574" t="str">
        <f>_xll.BDP("488132FF Muni","MUNI_FED_TAX")</f>
        <v>N</v>
      </c>
      <c r="R1574" t="str">
        <f>_xll.BDP("488132FF Muni","MUNI_MSRB_VOLUME")</f>
        <v>#N/A N/A</v>
      </c>
      <c r="S1574" t="str">
        <f>_xll.BDP("488132FF Muni","BB_COMPOSITE")</f>
        <v>#N/A N/A</v>
      </c>
      <c r="T1574">
        <f>_xll.BDP("488132FF Muni","LQA_LIQUIDITY_SCORE")</f>
        <v>69</v>
      </c>
    </row>
    <row r="1575" spans="1:20" x14ac:dyDescent="0.25">
      <c r="A1575" t="str">
        <f>_xll.BDP("488133CB Muni","ID_CUSIP")</f>
        <v>488133CB3</v>
      </c>
      <c r="B1575" t="s">
        <v>448</v>
      </c>
      <c r="C1575" t="str">
        <f>_xll.BDP("488133CB Muni","INSURANCE_STATUS")</f>
        <v>Y</v>
      </c>
      <c r="D1575" t="str">
        <f>_xll.BDP("488133CB Muni","STATE_CODE")</f>
        <v>TX</v>
      </c>
      <c r="E1575" t="str">
        <f>_xll.BDP("488133CB Muni","COUNTY_LOCATION_ISSUER")</f>
        <v>Travis, TX</v>
      </c>
      <c r="F1575">
        <f>_xll.BDP("488133CB Muni","DUR_ADJ_MID")</f>
        <v>8.0470259369820926E-2</v>
      </c>
      <c r="G1575">
        <f>_xll.BDP("488133CB Muni","SPREAD_AT_ISSUANCE_TO_WORST")</f>
        <v>63.325521226074329</v>
      </c>
      <c r="H1575" t="str">
        <f>_xll.BDP("488133CB Muni","ISSUE_DT")</f>
        <v>10/10/2017</v>
      </c>
      <c r="I1575" t="str">
        <f>_xll.BDS("488133CB Muni","MUNI_PURPOSE_SCHED", "aggregate=y")</f>
        <v>WATER UTILITY IMPS. SEWER IMPS.</v>
      </c>
      <c r="J1575">
        <f>_xll.BDP("488133CB Muni","CPN")</f>
        <v>3.25</v>
      </c>
      <c r="K1575" t="str">
        <f>_xll.BDP("488133CB Muni","MATURITY")</f>
        <v>9/1/2022</v>
      </c>
      <c r="L1575">
        <v>155000</v>
      </c>
      <c r="M1575">
        <f>_xll.BDP("488133CB Muni","YIELD_ON_ISSUE_DATE")</f>
        <v>1.75</v>
      </c>
      <c r="N1575">
        <f>_xll.BDP("488133CB Muni","YTW_SPREAD_TO_MATURITY_AT_ISSU")</f>
        <v>63.325521226074329</v>
      </c>
      <c r="O1575" t="str">
        <f>_xll.BDP("488133CB Muni","BVAL_MID_YTM")</f>
        <v>#N/A Authorization</v>
      </c>
      <c r="P1575" t="str">
        <f>_xll.BDP("488133CB Muni","MUNI_TAX_PROV")</f>
        <v>FED BQ</v>
      </c>
      <c r="Q1575" t="str">
        <f>_xll.BDP("488133CB Muni","MUNI_FED_TAX")</f>
        <v>N</v>
      </c>
      <c r="R1575" t="str">
        <f>_xll.BDP("488133CB Muni","MUNI_MSRB_VOLUME")</f>
        <v>#N/A N/A</v>
      </c>
      <c r="S1575" t="str">
        <f>_xll.BDP("488133CB Muni","BB_COMPOSITE")</f>
        <v>A</v>
      </c>
      <c r="T1575">
        <f>_xll.BDP("488133CB Muni","LQA_LIQUIDITY_SCORE")</f>
        <v>94</v>
      </c>
    </row>
    <row r="1576" spans="1:20" x14ac:dyDescent="0.25">
      <c r="A1576" t="str">
        <f>_xll.BDP("488133CC Muni","ID_CUSIP")</f>
        <v>488133CC1</v>
      </c>
      <c r="B1576" t="s">
        <v>448</v>
      </c>
      <c r="C1576" t="str">
        <f>_xll.BDP("488133CC Muni","INSURANCE_STATUS")</f>
        <v>Y</v>
      </c>
      <c r="D1576" t="str">
        <f>_xll.BDP("488133CC Muni","STATE_CODE")</f>
        <v>TX</v>
      </c>
      <c r="E1576" t="str">
        <f>_xll.BDP("488133CC Muni","COUNTY_LOCATION_ISSUER")</f>
        <v>Travis, TX</v>
      </c>
      <c r="F1576">
        <f>_xll.BDP("488133CC Muni","DUR_ADJ_MID")</f>
        <v>1.0469299914059511</v>
      </c>
      <c r="G1576">
        <f>_xll.BDP("488133CC Muni","SPREAD_AT_ISSUANCE_TO_WORST")</f>
        <v>63.796339810766867</v>
      </c>
      <c r="H1576" t="str">
        <f>_xll.BDP("488133CC Muni","ISSUE_DT")</f>
        <v>10/10/2017</v>
      </c>
      <c r="I1576" t="str">
        <f>_xll.BDS("488133CC Muni","MUNI_PURPOSE_SCHED", "aggregate=y")</f>
        <v>WATER UTILITY IMPS. SEWER IMPS.</v>
      </c>
      <c r="J1576">
        <f>_xll.BDP("488133CC Muni","CPN")</f>
        <v>3.25</v>
      </c>
      <c r="K1576" t="str">
        <f>_xll.BDP("488133CC Muni","MATURITY")</f>
        <v>9/1/2023</v>
      </c>
      <c r="L1576">
        <v>165000</v>
      </c>
      <c r="M1576">
        <f>_xll.BDP("488133CC Muni","YIELD_ON_ISSUE_DATE")</f>
        <v>1.9000000000000001</v>
      </c>
      <c r="N1576">
        <f>_xll.BDP("488133CC Muni","YTW_SPREAD_TO_MATURITY_AT_ISSU")</f>
        <v>63.796339810766867</v>
      </c>
      <c r="O1576" t="str">
        <f>_xll.BDP("488133CC Muni","BVAL_MID_YTM")</f>
        <v>#N/A Authorization</v>
      </c>
      <c r="P1576" t="str">
        <f>_xll.BDP("488133CC Muni","MUNI_TAX_PROV")</f>
        <v>FED BQ</v>
      </c>
      <c r="Q1576" t="str">
        <f>_xll.BDP("488133CC Muni","MUNI_FED_TAX")</f>
        <v>N</v>
      </c>
      <c r="R1576" t="str">
        <f>_xll.BDP("488133CC Muni","MUNI_MSRB_VOLUME")</f>
        <v>#N/A N/A</v>
      </c>
      <c r="S1576" t="str">
        <f>_xll.BDP("488133CC Muni","BB_COMPOSITE")</f>
        <v>A</v>
      </c>
      <c r="T1576">
        <f>_xll.BDP("488133CC Muni","LQA_LIQUIDITY_SCORE")</f>
        <v>90</v>
      </c>
    </row>
    <row r="1577" spans="1:20" x14ac:dyDescent="0.25">
      <c r="A1577" t="str">
        <f>_xll.BDP("488133CD Muni","ID_CUSIP")</f>
        <v>488133CD9</v>
      </c>
      <c r="B1577" t="s">
        <v>448</v>
      </c>
      <c r="C1577" t="str">
        <f>_xll.BDP("488133CD Muni","INSURANCE_STATUS")</f>
        <v>Y</v>
      </c>
      <c r="D1577" t="str">
        <f>_xll.BDP("488133CD Muni","STATE_CODE")</f>
        <v>TX</v>
      </c>
      <c r="E1577" t="str">
        <f>_xll.BDP("488133CD Muni","COUNTY_LOCATION_ISSUER")</f>
        <v>Travis, TX</v>
      </c>
      <c r="F1577">
        <f>_xll.BDP("488133CD Muni","DUR_ADJ_MID")</f>
        <v>1.9817790947144169</v>
      </c>
      <c r="G1577">
        <f>_xll.BDP("488133CD Muni","SPREAD_AT_ISSUANCE_TO_WORST")</f>
        <v>63.767323363058367</v>
      </c>
      <c r="H1577" t="str">
        <f>_xll.BDP("488133CD Muni","ISSUE_DT")</f>
        <v>10/10/2017</v>
      </c>
      <c r="I1577" t="str">
        <f>_xll.BDS("488133CD Muni","MUNI_PURPOSE_SCHED", "aggregate=y")</f>
        <v>WATER UTILITY IMPS. SEWER IMPS.</v>
      </c>
      <c r="J1577">
        <f>_xll.BDP("488133CD Muni","CPN")</f>
        <v>3.25</v>
      </c>
      <c r="K1577" t="str">
        <f>_xll.BDP("488133CD Muni","MATURITY")</f>
        <v>9/1/2024</v>
      </c>
      <c r="L1577">
        <v>170000</v>
      </c>
      <c r="M1577">
        <f>_xll.BDP("488133CD Muni","YIELD_ON_ISSUE_DATE")</f>
        <v>2.0499999999999998</v>
      </c>
      <c r="N1577">
        <f>_xll.BDP("488133CD Muni","YTW_SPREAD_TO_MATURITY_AT_ISSU")</f>
        <v>63.767323363058367</v>
      </c>
      <c r="O1577" t="str">
        <f>_xll.BDP("488133CD Muni","BVAL_MID_YTM")</f>
        <v>#N/A Authorization</v>
      </c>
      <c r="P1577" t="str">
        <f>_xll.BDP("488133CD Muni","MUNI_TAX_PROV")</f>
        <v>FED BQ</v>
      </c>
      <c r="Q1577" t="str">
        <f>_xll.BDP("488133CD Muni","MUNI_FED_TAX")</f>
        <v>N</v>
      </c>
      <c r="R1577" t="str">
        <f>_xll.BDP("488133CD Muni","MUNI_MSRB_VOLUME")</f>
        <v>#N/A N/A</v>
      </c>
      <c r="S1577" t="str">
        <f>_xll.BDP("488133CD Muni","BB_COMPOSITE")</f>
        <v>A</v>
      </c>
      <c r="T1577">
        <f>_xll.BDP("488133CD Muni","LQA_LIQUIDITY_SCORE")</f>
        <v>79</v>
      </c>
    </row>
    <row r="1578" spans="1:20" x14ac:dyDescent="0.25">
      <c r="A1578" t="str">
        <f>_xll.BDP("613834GQ Muni","ID_CUSIP")</f>
        <v>613834GQ7</v>
      </c>
      <c r="B1578" t="s">
        <v>449</v>
      </c>
      <c r="C1578" t="str">
        <f>_xll.BDP("613834GQ Muni","INSURANCE_STATUS")</f>
        <v>N</v>
      </c>
      <c r="D1578" t="str">
        <f>_xll.BDP("613834GQ Muni","STATE_CODE")</f>
        <v>IL</v>
      </c>
      <c r="E1578" t="str">
        <f>_xll.BDP("613834GQ Muni","COUNTY_LOCATION_ISSUER")</f>
        <v>Kendall, IL</v>
      </c>
      <c r="F1578">
        <f>_xll.BDP("613834GQ Muni","DUR_ADJ_MID")</f>
        <v>0.32912548247789031</v>
      </c>
      <c r="G1578">
        <f>_xll.BDP("613834GQ Muni","SPREAD_AT_ISSUANCE_TO_WORST")</f>
        <v>51.554368851872368</v>
      </c>
      <c r="H1578" t="str">
        <f>_xll.BDP("613834GQ Muni","ISSUE_DT")</f>
        <v>7/18/2017</v>
      </c>
      <c r="I1578" t="str">
        <f>_xll.BDS("613834GQ Muni","MUNI_PURPOSE_SCHED", "aggregate=y")</f>
        <v>WATER UTILITY IMPS.</v>
      </c>
      <c r="J1578">
        <f>_xll.BDP("613834GQ Muni","CPN")</f>
        <v>3</v>
      </c>
      <c r="K1578" t="str">
        <f>_xll.BDP("613834GQ Muni","MATURITY")</f>
        <v>12/1/2022</v>
      </c>
      <c r="L1578">
        <v>145000</v>
      </c>
      <c r="M1578">
        <f>_xll.BDP("613834GQ Muni","YIELD_ON_ISSUE_DATE")</f>
        <v>1.8</v>
      </c>
      <c r="N1578">
        <f>_xll.BDP("613834GQ Muni","YTW_SPREAD_TO_MATURITY_AT_ISSU")</f>
        <v>51.554368851872368</v>
      </c>
      <c r="O1578" t="str">
        <f>_xll.BDP("613834GQ Muni","BVAL_MID_YTM")</f>
        <v>#N/A Authorization</v>
      </c>
      <c r="P1578" t="str">
        <f>_xll.BDP("613834GQ Muni","MUNI_TAX_PROV")</f>
        <v>FED BQ/ST TAXABLE</v>
      </c>
      <c r="Q1578" t="str">
        <f>_xll.BDP("613834GQ Muni","MUNI_FED_TAX")</f>
        <v>N</v>
      </c>
      <c r="R1578" t="str">
        <f>_xll.BDP("613834GQ Muni","MUNI_MSRB_VOLUME")</f>
        <v>#N/A N/A</v>
      </c>
      <c r="S1578" t="str">
        <f>_xll.BDP("613834GQ Muni","BB_COMPOSITE")</f>
        <v>#N/A N/A</v>
      </c>
      <c r="T1578">
        <f>_xll.BDP("613834GQ Muni","LQA_LIQUIDITY_SCORE")</f>
        <v>98</v>
      </c>
    </row>
    <row r="1579" spans="1:20" x14ac:dyDescent="0.25">
      <c r="A1579" t="str">
        <f>_xll.BDP("613834GR Muni","ID_CUSIP")</f>
        <v>613834GR5</v>
      </c>
      <c r="B1579" t="s">
        <v>449</v>
      </c>
      <c r="C1579" t="str">
        <f>_xll.BDP("613834GR Muni","INSURANCE_STATUS")</f>
        <v>N</v>
      </c>
      <c r="D1579" t="str">
        <f>_xll.BDP("613834GR Muni","STATE_CODE")</f>
        <v>IL</v>
      </c>
      <c r="E1579" t="str">
        <f>_xll.BDP("613834GR Muni","COUNTY_LOCATION_ISSUER")</f>
        <v>Kendall, IL</v>
      </c>
      <c r="F1579">
        <f>_xll.BDP("613834GR Muni","DUR_ADJ_MID")</f>
        <v>1.2961561022030101</v>
      </c>
      <c r="G1579">
        <f>_xll.BDP("613834GR Muni","SPREAD_AT_ISSUANCE_TO_WORST")</f>
        <v>52.065282844278627</v>
      </c>
      <c r="H1579" t="str">
        <f>_xll.BDP("613834GR Muni","ISSUE_DT")</f>
        <v>7/18/2017</v>
      </c>
      <c r="I1579" t="str">
        <f>_xll.BDS("613834GR Muni","MUNI_PURPOSE_SCHED", "aggregate=y")</f>
        <v>WATER UTILITY IMPS.</v>
      </c>
      <c r="J1579">
        <f>_xll.BDP("613834GR Muni","CPN")</f>
        <v>3</v>
      </c>
      <c r="K1579" t="str">
        <f>_xll.BDP("613834GR Muni","MATURITY")</f>
        <v>12/1/2023</v>
      </c>
      <c r="L1579">
        <v>150000</v>
      </c>
      <c r="M1579">
        <f>_xll.BDP("613834GR Muni","YIELD_ON_ISSUE_DATE")</f>
        <v>1.95</v>
      </c>
      <c r="N1579">
        <f>_xll.BDP("613834GR Muni","YTW_SPREAD_TO_MATURITY_AT_ISSU")</f>
        <v>52.065282844278627</v>
      </c>
      <c r="O1579" t="str">
        <f>_xll.BDP("613834GR Muni","BVAL_MID_YTM")</f>
        <v>#N/A Authorization</v>
      </c>
      <c r="P1579" t="str">
        <f>_xll.BDP("613834GR Muni","MUNI_TAX_PROV")</f>
        <v>FED BQ/ST TAXABLE</v>
      </c>
      <c r="Q1579" t="str">
        <f>_xll.BDP("613834GR Muni","MUNI_FED_TAX")</f>
        <v>N</v>
      </c>
      <c r="R1579" t="str">
        <f>_xll.BDP("613834GR Muni","MUNI_MSRB_VOLUME")</f>
        <v>#N/A N/A</v>
      </c>
      <c r="S1579" t="str">
        <f>_xll.BDP("613834GR Muni","BB_COMPOSITE")</f>
        <v>#N/A N/A</v>
      </c>
      <c r="T1579">
        <f>_xll.BDP("613834GR Muni","LQA_LIQUIDITY_SCORE")</f>
        <v>88</v>
      </c>
    </row>
    <row r="1580" spans="1:20" x14ac:dyDescent="0.25">
      <c r="A1580" t="str">
        <f>_xll.BDP("613834GS Muni","ID_CUSIP")</f>
        <v>613834GS3</v>
      </c>
      <c r="B1580" t="s">
        <v>449</v>
      </c>
      <c r="C1580" t="str">
        <f>_xll.BDP("613834GS Muni","INSURANCE_STATUS")</f>
        <v>N</v>
      </c>
      <c r="D1580" t="str">
        <f>_xll.BDP("613834GS Muni","STATE_CODE")</f>
        <v>IL</v>
      </c>
      <c r="E1580" t="str">
        <f>_xll.BDP("613834GS Muni","COUNTY_LOCATION_ISSUER")</f>
        <v>Kendall, IL</v>
      </c>
      <c r="F1580">
        <f>_xll.BDP("613834GS Muni","DUR_ADJ_MID")</f>
        <v>2.2346722387114202</v>
      </c>
      <c r="G1580">
        <f>_xll.BDP("613834GS Muni","SPREAD_AT_ISSUANCE_TO_WORST")</f>
        <v>52.257256017789658</v>
      </c>
      <c r="H1580" t="str">
        <f>_xll.BDP("613834GS Muni","ISSUE_DT")</f>
        <v>7/18/2017</v>
      </c>
      <c r="I1580" t="str">
        <f>_xll.BDS("613834GS Muni","MUNI_PURPOSE_SCHED", "aggregate=y")</f>
        <v>WATER UTILITY IMPS.</v>
      </c>
      <c r="J1580">
        <f>_xll.BDP("613834GS Muni","CPN")</f>
        <v>3</v>
      </c>
      <c r="K1580" t="str">
        <f>_xll.BDP("613834GS Muni","MATURITY")</f>
        <v>12/1/2024</v>
      </c>
      <c r="L1580">
        <v>155000</v>
      </c>
      <c r="M1580">
        <f>_xll.BDP("613834GS Muni","YIELD_ON_ISSUE_DATE")</f>
        <v>2.1</v>
      </c>
      <c r="N1580">
        <f>_xll.BDP("613834GS Muni","YTW_SPREAD_TO_MATURITY_AT_ISSU")</f>
        <v>52.257256017789658</v>
      </c>
      <c r="O1580" t="str">
        <f>_xll.BDP("613834GS Muni","BVAL_MID_YTM")</f>
        <v>#N/A Authorization</v>
      </c>
      <c r="P1580" t="str">
        <f>_xll.BDP("613834GS Muni","MUNI_TAX_PROV")</f>
        <v>FED BQ/ST TAXABLE</v>
      </c>
      <c r="Q1580" t="str">
        <f>_xll.BDP("613834GS Muni","MUNI_FED_TAX")</f>
        <v>N</v>
      </c>
      <c r="R1580" t="str">
        <f>_xll.BDP("613834GS Muni","MUNI_MSRB_VOLUME")</f>
        <v>#N/A N/A</v>
      </c>
      <c r="S1580" t="str">
        <f>_xll.BDP("613834GS Muni","BB_COMPOSITE")</f>
        <v>#N/A N/A</v>
      </c>
      <c r="T1580">
        <f>_xll.BDP("613834GS Muni","LQA_LIQUIDITY_SCORE")</f>
        <v>79</v>
      </c>
    </row>
    <row r="1581" spans="1:20" x14ac:dyDescent="0.25">
      <c r="A1581" t="str">
        <f>_xll.BDP("613834GT Muni","ID_CUSIP")</f>
        <v>613834GT1</v>
      </c>
      <c r="B1581" t="s">
        <v>449</v>
      </c>
      <c r="C1581" t="str">
        <f>_xll.BDP("613834GT Muni","INSURANCE_STATUS")</f>
        <v>N</v>
      </c>
      <c r="D1581" t="str">
        <f>_xll.BDP("613834GT Muni","STATE_CODE")</f>
        <v>IL</v>
      </c>
      <c r="E1581" t="str">
        <f>_xll.BDP("613834GT Muni","COUNTY_LOCATION_ISSUER")</f>
        <v>Kendall, IL</v>
      </c>
      <c r="F1581">
        <f>_xll.BDP("613834GT Muni","DUR_ADJ_MID")</f>
        <v>3.1461535596491199</v>
      </c>
      <c r="G1581">
        <f>_xll.BDP("613834GT Muni","SPREAD_AT_ISSUANCE_TO_WORST")</f>
        <v>52.936065188236526</v>
      </c>
      <c r="H1581" t="str">
        <f>_xll.BDP("613834GT Muni","ISSUE_DT")</f>
        <v>7/18/2017</v>
      </c>
      <c r="I1581" t="str">
        <f>_xll.BDS("613834GT Muni","MUNI_PURPOSE_SCHED", "aggregate=y")</f>
        <v>WATER UTILITY IMPS.</v>
      </c>
      <c r="J1581">
        <f>_xll.BDP("613834GT Muni","CPN")</f>
        <v>3</v>
      </c>
      <c r="K1581" t="str">
        <f>_xll.BDP("613834GT Muni","MATURITY")</f>
        <v>12/1/2025</v>
      </c>
      <c r="L1581">
        <v>160000</v>
      </c>
      <c r="M1581">
        <f>_xll.BDP("613834GT Muni","YIELD_ON_ISSUE_DATE")</f>
        <v>2.25</v>
      </c>
      <c r="N1581">
        <f>_xll.BDP("613834GT Muni","YTW_SPREAD_TO_MATURITY_AT_ISSU")</f>
        <v>52.936065188236526</v>
      </c>
      <c r="O1581" t="str">
        <f>_xll.BDP("613834GT Muni","BVAL_MID_YTM")</f>
        <v>#N/A Authorization</v>
      </c>
      <c r="P1581" t="str">
        <f>_xll.BDP("613834GT Muni","MUNI_TAX_PROV")</f>
        <v>FED BQ/ST TAXABLE</v>
      </c>
      <c r="Q1581" t="str">
        <f>_xll.BDP("613834GT Muni","MUNI_FED_TAX")</f>
        <v>N</v>
      </c>
      <c r="R1581">
        <f>_xll.BDP("613834GT Muni","MUNI_MSRB_VOLUME")</f>
        <v>20000</v>
      </c>
      <c r="S1581" t="str">
        <f>_xll.BDP("613834GT Muni","BB_COMPOSITE")</f>
        <v>#N/A N/A</v>
      </c>
      <c r="T1581">
        <f>_xll.BDP("613834GT Muni","LQA_LIQUIDITY_SCORE")</f>
        <v>71</v>
      </c>
    </row>
    <row r="1582" spans="1:20" x14ac:dyDescent="0.25">
      <c r="A1582" t="str">
        <f>_xll.BDP("613924LC Muni","ID_CUSIP")</f>
        <v>613924LC1</v>
      </c>
      <c r="B1582" t="s">
        <v>450</v>
      </c>
      <c r="C1582" t="str">
        <f>_xll.BDP("613924LC Muni","INSURANCE_STATUS")</f>
        <v>Y</v>
      </c>
      <c r="D1582" t="str">
        <f>_xll.BDP("613924LC Muni","STATE_CODE")</f>
        <v>TX</v>
      </c>
      <c r="E1582" t="str">
        <f>_xll.BDP("613924LC Muni","COUNTY_LOCATION_ISSUER")</f>
        <v>Montgomery, TX</v>
      </c>
      <c r="F1582">
        <f>_xll.BDP("613924LC Muni","DUR_ADJ_MID")</f>
        <v>2.9413196608617689</v>
      </c>
      <c r="G1582">
        <f>_xll.BDP("613924LC Muni","SPREAD_AT_ISSUANCE_TO_WORST")</f>
        <v>43.517550684931507</v>
      </c>
      <c r="H1582" t="str">
        <f>_xll.BDP("613924LC Muni","ISSUE_DT")</f>
        <v>11/1/2017</v>
      </c>
      <c r="I1582" t="str">
        <f>_xll.BDS("613924LC Muni","MUNI_PURPOSE_SCHED", "aggregate=y")</f>
        <v>WATER UTILITY IMPS. SEWER IMPS.</v>
      </c>
      <c r="J1582">
        <f>_xll.BDP("613924LC Muni","CPN")</f>
        <v>2.15</v>
      </c>
      <c r="K1582" t="str">
        <f>_xll.BDP("613924LC Muni","MATURITY")</f>
        <v>9/1/2025</v>
      </c>
      <c r="L1582">
        <v>710000</v>
      </c>
      <c r="M1582">
        <f>_xll.BDP("613924LC Muni","YIELD_ON_ISSUE_DATE")</f>
        <v>2.15</v>
      </c>
      <c r="N1582">
        <f>_xll.BDP("613924LC Muni","YTW_SPREAD_TO_MATURITY_AT_ISSU")</f>
        <v>43.517550684931507</v>
      </c>
      <c r="O1582" t="str">
        <f>_xll.BDP("613924LC Muni","BVAL_MID_YTM")</f>
        <v>#N/A Authorization</v>
      </c>
      <c r="P1582" t="str">
        <f>_xll.BDP("613924LC Muni","MUNI_TAX_PROV")</f>
        <v>FED BQ</v>
      </c>
      <c r="Q1582" t="str">
        <f>_xll.BDP("613924LC Muni","MUNI_FED_TAX")</f>
        <v>N</v>
      </c>
      <c r="R1582" t="str">
        <f>_xll.BDP("613924LC Muni","MUNI_MSRB_VOLUME")</f>
        <v>#N/A N/A</v>
      </c>
      <c r="S1582" t="str">
        <f>_xll.BDP("613924LC Muni","BB_COMPOSITE")</f>
        <v>AA-</v>
      </c>
      <c r="T1582">
        <f>_xll.BDP("613924LC Muni","LQA_LIQUIDITY_SCORE")</f>
        <v>61</v>
      </c>
    </row>
    <row r="1583" spans="1:20" x14ac:dyDescent="0.25">
      <c r="A1583" t="str">
        <f>_xll.BDP("495322AX Muni","ID_CUSIP")</f>
        <v>495322AX7</v>
      </c>
      <c r="B1583" t="s">
        <v>451</v>
      </c>
      <c r="C1583" t="str">
        <f>_xll.BDP("495322AX Muni","INSURANCE_STATUS")</f>
        <v>N</v>
      </c>
      <c r="D1583" t="str">
        <f>_xll.BDP("495322AX Muni","STATE_CODE")</f>
        <v>WA</v>
      </c>
      <c r="E1583" t="str">
        <f>_xll.BDP("495322AX Muni","COUNTY_LOCATION_ISSUER")</f>
        <v>King, WA</v>
      </c>
      <c r="F1583">
        <f>_xll.BDP("495322AX Muni","DUR_ADJ_MID")</f>
        <v>0.65045661869415894</v>
      </c>
      <c r="G1583">
        <f>_xll.BDP("495322AX Muni","SPREAD_AT_ISSUANCE_TO_WORST")</f>
        <v>37.397369096873099</v>
      </c>
      <c r="H1583" t="str">
        <f>_xll.BDP("495322AX Muni","ISSUE_DT")</f>
        <v>7/6/2017</v>
      </c>
      <c r="I1583" t="str">
        <f>_xll.BDS("495322AX Muni","MUNI_PURPOSE_SCHED", "aggregate=y")</f>
        <v>WATER UTILITY IMPS. CURRENT REFUNDING</v>
      </c>
      <c r="J1583">
        <f>_xll.BDP("495322AX Muni","CPN")</f>
        <v>4</v>
      </c>
      <c r="K1583" t="str">
        <f>_xll.BDP("495322AX Muni","MATURITY")</f>
        <v>4/1/2023</v>
      </c>
      <c r="L1583">
        <v>400000</v>
      </c>
      <c r="M1583">
        <f>_xll.BDP("495322AX Muni","YIELD_ON_ISSUE_DATE")</f>
        <v>1.6400000000000001</v>
      </c>
      <c r="N1583">
        <f>_xll.BDP("495322AX Muni","YTW_SPREAD_TO_MATURITY_AT_ISSU")</f>
        <v>37.397369096873099</v>
      </c>
      <c r="O1583" t="str">
        <f>_xll.BDP("495322AX Muni","BVAL_MID_YTM")</f>
        <v>#N/A Authorization</v>
      </c>
      <c r="P1583" t="str">
        <f>_xll.BDP("495322AX Muni","MUNI_TAX_PROV")</f>
        <v>FED BQ</v>
      </c>
      <c r="Q1583" t="str">
        <f>_xll.BDP("495322AX Muni","MUNI_FED_TAX")</f>
        <v>N</v>
      </c>
      <c r="R1583" t="str">
        <f>_xll.BDP("495322AX Muni","MUNI_MSRB_VOLUME")</f>
        <v>#N/A N/A</v>
      </c>
      <c r="S1583" t="str">
        <f>_xll.BDP("495322AX Muni","BB_COMPOSITE")</f>
        <v>#N/A N/A</v>
      </c>
      <c r="T1583">
        <f>_xll.BDP("495322AX Muni","LQA_LIQUIDITY_SCORE")</f>
        <v>88</v>
      </c>
    </row>
    <row r="1584" spans="1:20" x14ac:dyDescent="0.25">
      <c r="A1584" t="str">
        <f>_xll.BDP("495322AY Muni","ID_CUSIP")</f>
        <v>495322AY5</v>
      </c>
      <c r="B1584" t="s">
        <v>451</v>
      </c>
      <c r="C1584" t="str">
        <f>_xll.BDP("495322AY Muni","INSURANCE_STATUS")</f>
        <v>N</v>
      </c>
      <c r="D1584" t="str">
        <f>_xll.BDP("495322AY Muni","STATE_CODE")</f>
        <v>WA</v>
      </c>
      <c r="E1584" t="str">
        <f>_xll.BDP("495322AY Muni","COUNTY_LOCATION_ISSUER")</f>
        <v>King, WA</v>
      </c>
      <c r="F1584">
        <f>_xll.BDP("495322AY Muni","DUR_ADJ_MID")</f>
        <v>1.5943398837468654</v>
      </c>
      <c r="G1584">
        <f>_xll.BDP("495322AY Muni","SPREAD_AT_ISSUANCE_TO_WORST")</f>
        <v>35.696326195382674</v>
      </c>
      <c r="H1584" t="str">
        <f>_xll.BDP("495322AY Muni","ISSUE_DT")</f>
        <v>7/6/2017</v>
      </c>
      <c r="I1584" t="str">
        <f>_xll.BDS("495322AY Muni","MUNI_PURPOSE_SCHED", "aggregate=y")</f>
        <v>WATER UTILITY IMPS. CURRENT REFUNDING</v>
      </c>
      <c r="J1584">
        <f>_xll.BDP("495322AY Muni","CPN")</f>
        <v>4</v>
      </c>
      <c r="K1584" t="str">
        <f>_xll.BDP("495322AY Muni","MATURITY")</f>
        <v>4/1/2024</v>
      </c>
      <c r="L1584">
        <v>415000</v>
      </c>
      <c r="M1584">
        <f>_xll.BDP("495322AY Muni","YIELD_ON_ISSUE_DATE")</f>
        <v>1.78</v>
      </c>
      <c r="N1584">
        <f>_xll.BDP("495322AY Muni","YTW_SPREAD_TO_MATURITY_AT_ISSU")</f>
        <v>35.696326195382674</v>
      </c>
      <c r="O1584" t="str">
        <f>_xll.BDP("495322AY Muni","BVAL_MID_YTM")</f>
        <v>#N/A Authorization</v>
      </c>
      <c r="P1584" t="str">
        <f>_xll.BDP("495322AY Muni","MUNI_TAX_PROV")</f>
        <v>FED BQ</v>
      </c>
      <c r="Q1584" t="str">
        <f>_xll.BDP("495322AY Muni","MUNI_FED_TAX")</f>
        <v>N</v>
      </c>
      <c r="R1584" t="str">
        <f>_xll.BDP("495322AY Muni","MUNI_MSRB_VOLUME")</f>
        <v>#N/A N/A</v>
      </c>
      <c r="S1584" t="str">
        <f>_xll.BDP("495322AY Muni","BB_COMPOSITE")</f>
        <v>#N/A N/A</v>
      </c>
      <c r="T1584">
        <f>_xll.BDP("495322AY Muni","LQA_LIQUIDITY_SCORE")</f>
        <v>75</v>
      </c>
    </row>
    <row r="1585" spans="1:20" x14ac:dyDescent="0.25">
      <c r="A1585" t="str">
        <f>_xll.BDP("495322AZ Muni","ID_CUSIP")</f>
        <v>495322AZ2</v>
      </c>
      <c r="B1585" t="s">
        <v>451</v>
      </c>
      <c r="C1585" t="str">
        <f>_xll.BDP("495322AZ Muni","INSURANCE_STATUS")</f>
        <v>N</v>
      </c>
      <c r="D1585" t="str">
        <f>_xll.BDP("495322AZ Muni","STATE_CODE")</f>
        <v>WA</v>
      </c>
      <c r="E1585" t="str">
        <f>_xll.BDP("495322AZ Muni","COUNTY_LOCATION_ISSUER")</f>
        <v>King, WA</v>
      </c>
      <c r="F1585">
        <f>_xll.BDP("495322AZ Muni","DUR_ADJ_MID")</f>
        <v>2.5032674182707124</v>
      </c>
      <c r="G1585">
        <f>_xll.BDP("495322AZ Muni","SPREAD_AT_ISSUANCE_TO_WORST")</f>
        <v>36.049474956522602</v>
      </c>
      <c r="H1585" t="str">
        <f>_xll.BDP("495322AZ Muni","ISSUE_DT")</f>
        <v>7/6/2017</v>
      </c>
      <c r="I1585" t="str">
        <f>_xll.BDS("495322AZ Muni","MUNI_PURPOSE_SCHED", "aggregate=y")</f>
        <v>WATER UTILITY IMPS. CURRENT REFUNDING</v>
      </c>
      <c r="J1585">
        <f>_xll.BDP("495322AZ Muni","CPN")</f>
        <v>4</v>
      </c>
      <c r="K1585" t="str">
        <f>_xll.BDP("495322AZ Muni","MATURITY")</f>
        <v>4/1/2025</v>
      </c>
      <c r="L1585">
        <v>430000</v>
      </c>
      <c r="M1585">
        <f>_xll.BDP("495322AZ Muni","YIELD_ON_ISSUE_DATE")</f>
        <v>1.94</v>
      </c>
      <c r="N1585">
        <f>_xll.BDP("495322AZ Muni","YTW_SPREAD_TO_MATURITY_AT_ISSU")</f>
        <v>36.049474956522602</v>
      </c>
      <c r="O1585" t="str">
        <f>_xll.BDP("495322AZ Muni","BVAL_MID_YTM")</f>
        <v>#N/A Authorization</v>
      </c>
      <c r="P1585" t="str">
        <f>_xll.BDP("495322AZ Muni","MUNI_TAX_PROV")</f>
        <v>FED BQ</v>
      </c>
      <c r="Q1585" t="str">
        <f>_xll.BDP("495322AZ Muni","MUNI_FED_TAX")</f>
        <v>N</v>
      </c>
      <c r="R1585" t="str">
        <f>_xll.BDP("495322AZ Muni","MUNI_MSRB_VOLUME")</f>
        <v>#N/A N/A</v>
      </c>
      <c r="S1585" t="str">
        <f>_xll.BDP("495322AZ Muni","BB_COMPOSITE")</f>
        <v>#N/A N/A</v>
      </c>
      <c r="T1585">
        <f>_xll.BDP("495322AZ Muni","LQA_LIQUIDITY_SCORE")</f>
        <v>66</v>
      </c>
    </row>
    <row r="1586" spans="1:20" x14ac:dyDescent="0.25">
      <c r="A1586" t="str">
        <f>_xll.BDP("495322BA Muni","ID_CUSIP")</f>
        <v>495322BA6</v>
      </c>
      <c r="B1586" t="s">
        <v>451</v>
      </c>
      <c r="C1586" t="str">
        <f>_xll.BDP("495322BA Muni","INSURANCE_STATUS")</f>
        <v>N</v>
      </c>
      <c r="D1586" t="str">
        <f>_xll.BDP("495322BA Muni","STATE_CODE")</f>
        <v>WA</v>
      </c>
      <c r="E1586" t="str">
        <f>_xll.BDP("495322BA Muni","COUNTY_LOCATION_ISSUER")</f>
        <v>King, WA</v>
      </c>
      <c r="F1586">
        <f>_xll.BDP("495322BA Muni","DUR_ADJ_MID")</f>
        <v>3.3790506607370214</v>
      </c>
      <c r="G1586">
        <f>_xll.BDP("495322BA Muni","SPREAD_AT_ISSUANCE_TO_WORST")</f>
        <v>37.626246825126742</v>
      </c>
      <c r="H1586" t="str">
        <f>_xll.BDP("495322BA Muni","ISSUE_DT")</f>
        <v>7/6/2017</v>
      </c>
      <c r="I1586" t="str">
        <f>_xll.BDS("495322BA Muni","MUNI_PURPOSE_SCHED", "aggregate=y")</f>
        <v>WATER UTILITY IMPS. CURRENT REFUNDING</v>
      </c>
      <c r="J1586">
        <f>_xll.BDP("495322BA Muni","CPN")</f>
        <v>4</v>
      </c>
      <c r="K1586" t="str">
        <f>_xll.BDP("495322BA Muni","MATURITY")</f>
        <v>4/1/2026</v>
      </c>
      <c r="L1586">
        <v>450000</v>
      </c>
      <c r="M1586">
        <f>_xll.BDP("495322BA Muni","YIELD_ON_ISSUE_DATE")</f>
        <v>2.1</v>
      </c>
      <c r="N1586">
        <f>_xll.BDP("495322BA Muni","YTW_SPREAD_TO_MATURITY_AT_ISSU")</f>
        <v>37.626246825126742</v>
      </c>
      <c r="O1586" t="str">
        <f>_xll.BDP("495322BA Muni","BVAL_MID_YTM")</f>
        <v>#N/A Authorization</v>
      </c>
      <c r="P1586" t="str">
        <f>_xll.BDP("495322BA Muni","MUNI_TAX_PROV")</f>
        <v>FED BQ</v>
      </c>
      <c r="Q1586" t="str">
        <f>_xll.BDP("495322BA Muni","MUNI_FED_TAX")</f>
        <v>N</v>
      </c>
      <c r="R1586" t="str">
        <f>_xll.BDP("495322BA Muni","MUNI_MSRB_VOLUME")</f>
        <v>#N/A N/A</v>
      </c>
      <c r="S1586" t="str">
        <f>_xll.BDP("495322BA Muni","BB_COMPOSITE")</f>
        <v>#N/A N/A</v>
      </c>
      <c r="T1586">
        <f>_xll.BDP("495322BA Muni","LQA_LIQUIDITY_SCORE")</f>
        <v>60</v>
      </c>
    </row>
    <row r="1587" spans="1:20" x14ac:dyDescent="0.25">
      <c r="A1587" t="str">
        <f>_xll.BDP("495322BB Muni","ID_CUSIP")</f>
        <v>495322BB4</v>
      </c>
      <c r="B1587" t="s">
        <v>451</v>
      </c>
      <c r="C1587" t="str">
        <f>_xll.BDP("495322BB Muni","INSURANCE_STATUS")</f>
        <v>N</v>
      </c>
      <c r="D1587" t="str">
        <f>_xll.BDP("495322BB Muni","STATE_CODE")</f>
        <v>WA</v>
      </c>
      <c r="E1587" t="str">
        <f>_xll.BDP("495322BB Muni","COUNTY_LOCATION_ISSUER")</f>
        <v>King, WA</v>
      </c>
      <c r="F1587">
        <f>_xll.BDP("495322BB Muni","DUR_ADJ_MID")</f>
        <v>4.2231082988674951</v>
      </c>
      <c r="G1587">
        <f>_xll.BDP("495322BB Muni","SPREAD_AT_ISSUANCE_TO_WORST")</f>
        <v>35.661622169371697</v>
      </c>
      <c r="H1587" t="str">
        <f>_xll.BDP("495322BB Muni","ISSUE_DT")</f>
        <v>7/6/2017</v>
      </c>
      <c r="I1587" t="str">
        <f>_xll.BDS("495322BB Muni","MUNI_PURPOSE_SCHED", "aggregate=y")</f>
        <v>WATER UTILITY IMPS. CURRENT REFUNDING</v>
      </c>
      <c r="J1587">
        <f>_xll.BDP("495322BB Muni","CPN")</f>
        <v>4</v>
      </c>
      <c r="K1587" t="str">
        <f>_xll.BDP("495322BB Muni","MATURITY")</f>
        <v>4/1/2027</v>
      </c>
      <c r="L1587">
        <v>340000</v>
      </c>
      <c r="M1587">
        <f>_xll.BDP("495322BB Muni","YIELD_ON_ISSUE_DATE")</f>
        <v>2.2000000000000002</v>
      </c>
      <c r="N1587">
        <f>_xll.BDP("495322BB Muni","YTW_SPREAD_TO_MATURITY_AT_ISSU")</f>
        <v>35.661622169371697</v>
      </c>
      <c r="O1587" t="str">
        <f>_xll.BDP("495322BB Muni","BVAL_MID_YTM")</f>
        <v>#N/A Authorization</v>
      </c>
      <c r="P1587" t="str">
        <f>_xll.BDP("495322BB Muni","MUNI_TAX_PROV")</f>
        <v>FED BQ</v>
      </c>
      <c r="Q1587" t="str">
        <f>_xll.BDP("495322BB Muni","MUNI_FED_TAX")</f>
        <v>N</v>
      </c>
      <c r="R1587" t="str">
        <f>_xll.BDP("495322BB Muni","MUNI_MSRB_VOLUME")</f>
        <v>#N/A N/A</v>
      </c>
      <c r="S1587" t="str">
        <f>_xll.BDP("495322BB Muni","BB_COMPOSITE")</f>
        <v>#N/A N/A</v>
      </c>
      <c r="T1587">
        <f>_xll.BDP("495322BB Muni","LQA_LIQUIDITY_SCORE")</f>
        <v>55</v>
      </c>
    </row>
    <row r="1588" spans="1:20" x14ac:dyDescent="0.25">
      <c r="A1588" t="str">
        <f>_xll.BDP("496443SW Muni","ID_CUSIP")</f>
        <v>496443SW3</v>
      </c>
      <c r="B1588" t="s">
        <v>452</v>
      </c>
      <c r="C1588" t="str">
        <f>_xll.BDP("496443SW Muni","INSURANCE_STATUS")</f>
        <v>N</v>
      </c>
      <c r="D1588" t="str">
        <f>_xll.BDP("496443SW Muni","STATE_CODE")</f>
        <v>TN</v>
      </c>
      <c r="E1588" t="str">
        <f>_xll.BDP("496443SW Muni","COUNTY_LOCATION_ISSUER")</f>
        <v>Sullivan, TN</v>
      </c>
      <c r="F1588">
        <f>_xll.BDP("496443SW Muni","DUR_ADJ_MID")</f>
        <v>0.56573276028289265</v>
      </c>
      <c r="G1588">
        <f>_xll.BDP("496443SW Muni","SPREAD_AT_ISSUANCE_TO_WORST")</f>
        <v>7.2069240461814177</v>
      </c>
      <c r="H1588" t="str">
        <f>_xll.BDP("496443SW Muni","ISSUE_DT")</f>
        <v>9/8/2017</v>
      </c>
      <c r="I1588" t="str">
        <f>_xll.BDS("496443SW Muni","MUNI_PURPOSE_SCHED", "aggregate=y")</f>
        <v>PUBLIC IMPS. WATER UTILITY IMPS. SEWER IMPS.</v>
      </c>
      <c r="J1588">
        <f>_xll.BDP("496443SW Muni","CPN")</f>
        <v>5</v>
      </c>
      <c r="K1588" t="str">
        <f>_xll.BDP("496443SW Muni","MATURITY")</f>
        <v>3/1/2023</v>
      </c>
      <c r="L1588">
        <v>495000</v>
      </c>
      <c r="M1588">
        <f>_xll.BDP("496443SW Muni","YIELD_ON_ISSUE_DATE")</f>
        <v>1.3</v>
      </c>
      <c r="N1588">
        <f>_xll.BDP("496443SW Muni","YTW_SPREAD_TO_MATURITY_AT_ISSU")</f>
        <v>7.2069240461814177</v>
      </c>
      <c r="O1588" t="str">
        <f>_xll.BDP("496443SW Muni","BVAL_MID_YTM")</f>
        <v>#N/A Authorization</v>
      </c>
      <c r="P1588" t="str">
        <f>_xll.BDP("496443SW Muni","MUNI_TAX_PROV")</f>
        <v>FED &amp; ST TAX-EXEMPT</v>
      </c>
      <c r="Q1588" t="str">
        <f>_xll.BDP("496443SW Muni","MUNI_FED_TAX")</f>
        <v>N</v>
      </c>
      <c r="R1588" t="str">
        <f>_xll.BDP("496443SW Muni","MUNI_MSRB_VOLUME")</f>
        <v>#N/A N/A</v>
      </c>
      <c r="S1588" t="str">
        <f>_xll.BDP("496443SW Muni","BB_COMPOSITE")</f>
        <v>AA</v>
      </c>
      <c r="T1588">
        <f>_xll.BDP("496443SW Muni","LQA_LIQUIDITY_SCORE")</f>
        <v>94</v>
      </c>
    </row>
    <row r="1589" spans="1:20" x14ac:dyDescent="0.25">
      <c r="A1589" t="str">
        <f>_xll.BDP("496443SX Muni","ID_CUSIP")</f>
        <v>496443SX1</v>
      </c>
      <c r="B1589" t="s">
        <v>452</v>
      </c>
      <c r="C1589" t="str">
        <f>_xll.BDP("496443SX Muni","INSURANCE_STATUS")</f>
        <v>N</v>
      </c>
      <c r="D1589" t="str">
        <f>_xll.BDP("496443SX Muni","STATE_CODE")</f>
        <v>TN</v>
      </c>
      <c r="E1589" t="str">
        <f>_xll.BDP("496443SX Muni","COUNTY_LOCATION_ISSUER")</f>
        <v>Sullivan, TN</v>
      </c>
      <c r="F1589">
        <f>_xll.BDP("496443SX Muni","DUR_ADJ_MID")</f>
        <v>1.4998108266909056</v>
      </c>
      <c r="G1589">
        <f>_xll.BDP("496443SX Muni","SPREAD_AT_ISSUANCE_TO_WORST")</f>
        <v>11.26146862995736</v>
      </c>
      <c r="H1589" t="str">
        <f>_xll.BDP("496443SX Muni","ISSUE_DT")</f>
        <v>9/8/2017</v>
      </c>
      <c r="I1589" t="str">
        <f>_xll.BDS("496443SX Muni","MUNI_PURPOSE_SCHED", "aggregate=y")</f>
        <v>PUBLIC IMPS. WATER UTILITY IMPS. SEWER IMPS.</v>
      </c>
      <c r="J1589">
        <f>_xll.BDP("496443SX Muni","CPN")</f>
        <v>5</v>
      </c>
      <c r="K1589" t="str">
        <f>_xll.BDP("496443SX Muni","MATURITY")</f>
        <v>3/1/2024</v>
      </c>
      <c r="L1589">
        <v>520000</v>
      </c>
      <c r="M1589">
        <f>_xll.BDP("496443SX Muni","YIELD_ON_ISSUE_DATE")</f>
        <v>1.49</v>
      </c>
      <c r="N1589">
        <f>_xll.BDP("496443SX Muni","YTW_SPREAD_TO_MATURITY_AT_ISSU")</f>
        <v>11.26146862995736</v>
      </c>
      <c r="O1589" t="str">
        <f>_xll.BDP("496443SX Muni","BVAL_MID_YTM")</f>
        <v>#N/A Authorization</v>
      </c>
      <c r="P1589" t="str">
        <f>_xll.BDP("496443SX Muni","MUNI_TAX_PROV")</f>
        <v>FED &amp; ST TAX-EXEMPT</v>
      </c>
      <c r="Q1589" t="str">
        <f>_xll.BDP("496443SX Muni","MUNI_FED_TAX")</f>
        <v>N</v>
      </c>
      <c r="R1589">
        <f>_xll.BDP("496443SX Muni","MUNI_MSRB_VOLUME")</f>
        <v>150000</v>
      </c>
      <c r="S1589" t="str">
        <f>_xll.BDP("496443SX Muni","BB_COMPOSITE")</f>
        <v>AA</v>
      </c>
      <c r="T1589">
        <f>_xll.BDP("496443SX Muni","LQA_LIQUIDITY_SCORE")</f>
        <v>81</v>
      </c>
    </row>
    <row r="1590" spans="1:20" x14ac:dyDescent="0.25">
      <c r="A1590" t="str">
        <f>_xll.BDP("496443SY Muni","ID_CUSIP")</f>
        <v>496443SY9</v>
      </c>
      <c r="B1590" t="s">
        <v>452</v>
      </c>
      <c r="C1590" t="str">
        <f>_xll.BDP("496443SY Muni","INSURANCE_STATUS")</f>
        <v>N</v>
      </c>
      <c r="D1590" t="str">
        <f>_xll.BDP("496443SY Muni","STATE_CODE")</f>
        <v>TN</v>
      </c>
      <c r="E1590" t="str">
        <f>_xll.BDP("496443SY Muni","COUNTY_LOCATION_ISSUER")</f>
        <v>Sullivan, TN</v>
      </c>
      <c r="F1590">
        <f>_xll.BDP("496443SY Muni","DUR_ADJ_MID")</f>
        <v>2.3927753427307188</v>
      </c>
      <c r="G1590">
        <f>_xll.BDP("496443SY Muni","SPREAD_AT_ISSUANCE_TO_WORST")</f>
        <v>14.152955066456375</v>
      </c>
      <c r="H1590" t="str">
        <f>_xll.BDP("496443SY Muni","ISSUE_DT")</f>
        <v>9/8/2017</v>
      </c>
      <c r="I1590" t="str">
        <f>_xll.BDS("496443SY Muni","MUNI_PURPOSE_SCHED", "aggregate=y")</f>
        <v>PUBLIC IMPS. WATER UTILITY IMPS. SEWER IMPS.</v>
      </c>
      <c r="J1590">
        <f>_xll.BDP("496443SY Muni","CPN")</f>
        <v>5</v>
      </c>
      <c r="K1590" t="str">
        <f>_xll.BDP("496443SY Muni","MATURITY")</f>
        <v>3/1/2025</v>
      </c>
      <c r="L1590">
        <v>545000</v>
      </c>
      <c r="M1590">
        <f>_xll.BDP("496443SY Muni","YIELD_ON_ISSUE_DATE")</f>
        <v>1.67</v>
      </c>
      <c r="N1590">
        <f>_xll.BDP("496443SY Muni","YTW_SPREAD_TO_MATURITY_AT_ISSU")</f>
        <v>14.152955066456375</v>
      </c>
      <c r="O1590" t="str">
        <f>_xll.BDP("496443SY Muni","BVAL_MID_YTM")</f>
        <v>#N/A Authorization</v>
      </c>
      <c r="P1590" t="str">
        <f>_xll.BDP("496443SY Muni","MUNI_TAX_PROV")</f>
        <v>FED &amp; ST TAX-EXEMPT</v>
      </c>
      <c r="Q1590" t="str">
        <f>_xll.BDP("496443SY Muni","MUNI_FED_TAX")</f>
        <v>N</v>
      </c>
      <c r="R1590" t="str">
        <f>_xll.BDP("496443SY Muni","MUNI_MSRB_VOLUME")</f>
        <v>#N/A N/A</v>
      </c>
      <c r="S1590" t="str">
        <f>_xll.BDP("496443SY Muni","BB_COMPOSITE")</f>
        <v>AA</v>
      </c>
      <c r="T1590">
        <f>_xll.BDP("496443SY Muni","LQA_LIQUIDITY_SCORE")</f>
        <v>76</v>
      </c>
    </row>
    <row r="1591" spans="1:20" x14ac:dyDescent="0.25">
      <c r="A1591" t="str">
        <f>_xll.BDP("499291FD Muni","ID_CUSIP")</f>
        <v>499291FD9</v>
      </c>
      <c r="B1591" t="s">
        <v>453</v>
      </c>
      <c r="C1591" t="str">
        <f>_xll.BDP("499291FD Muni","INSURANCE_STATUS")</f>
        <v>N</v>
      </c>
      <c r="D1591" t="str">
        <f>_xll.BDP("499291FD Muni","STATE_CODE")</f>
        <v>TN</v>
      </c>
      <c r="E1591" t="str">
        <f>_xll.BDP("499291FD Muni","COUNTY_LOCATION_ISSUER")</f>
        <v>Knox, TN</v>
      </c>
      <c r="F1591">
        <f>_xll.BDP("499291FD Muni","DUR_ADJ_MID")</f>
        <v>0.41235504351708852</v>
      </c>
      <c r="G1591">
        <f>_xll.BDP("499291FD Muni","SPREAD_AT_ISSUANCE_TO_WORST")</f>
        <v>25.593173151826655</v>
      </c>
      <c r="H1591" t="str">
        <f>_xll.BDP("499291FD Muni","ISSUE_DT")</f>
        <v>2/23/2017</v>
      </c>
      <c r="I1591" t="str">
        <f>_xll.BDS("499291FD Muni","MUNI_PURPOSE_SCHED", "aggregate=y")</f>
        <v>ADVANCE REFUNDING WATER UTILITY IMPS. SEWER IMPS.</v>
      </c>
      <c r="J1591">
        <f>_xll.BDP("499291FD Muni","CPN")</f>
        <v>4</v>
      </c>
      <c r="K1591" t="str">
        <f>_xll.BDP("499291FD Muni","MATURITY")</f>
        <v>1/1/2023</v>
      </c>
      <c r="L1591">
        <v>695000</v>
      </c>
      <c r="M1591">
        <f>_xll.BDP("499291FD Muni","YIELD_ON_ISSUE_DATE")</f>
        <v>1.97</v>
      </c>
      <c r="N1591">
        <f>_xll.BDP("499291FD Muni","YTW_SPREAD_TO_MATURITY_AT_ISSU")</f>
        <v>25.593173151826655</v>
      </c>
      <c r="O1591" t="str">
        <f>_xll.BDP("499291FD Muni","BVAL_MID_YTM")</f>
        <v>#N/A Authorization</v>
      </c>
      <c r="P1591" t="str">
        <f>_xll.BDP("499291FD Muni","MUNI_TAX_PROV")</f>
        <v>FED &amp; ST TAX-EXEMPT</v>
      </c>
      <c r="Q1591" t="str">
        <f>_xll.BDP("499291FD Muni","MUNI_FED_TAX")</f>
        <v>N</v>
      </c>
      <c r="R1591" t="str">
        <f>_xll.BDP("499291FD Muni","MUNI_MSRB_VOLUME")</f>
        <v>#N/A N/A</v>
      </c>
      <c r="S1591" t="str">
        <f>_xll.BDP("499291FD Muni","BB_COMPOSITE")</f>
        <v>#N/A N/A</v>
      </c>
      <c r="T1591">
        <f>_xll.BDP("499291FD Muni","LQA_LIQUIDITY_SCORE")</f>
        <v>91</v>
      </c>
    </row>
    <row r="1592" spans="1:20" x14ac:dyDescent="0.25">
      <c r="A1592" t="str">
        <f>_xll.BDP("499291FE Muni","ID_CUSIP")</f>
        <v>499291FE7</v>
      </c>
      <c r="B1592" t="s">
        <v>453</v>
      </c>
      <c r="C1592" t="str">
        <f>_xll.BDP("499291FE Muni","INSURANCE_STATUS")</f>
        <v>N</v>
      </c>
      <c r="D1592" t="str">
        <f>_xll.BDP("499291FE Muni","STATE_CODE")</f>
        <v>TN</v>
      </c>
      <c r="E1592" t="str">
        <f>_xll.BDP("499291FE Muni","COUNTY_LOCATION_ISSUER")</f>
        <v>Knox, TN</v>
      </c>
      <c r="F1592">
        <f>_xll.BDP("499291FE Muni","DUR_ADJ_MID")</f>
        <v>1.381797024923149</v>
      </c>
      <c r="G1592">
        <f>_xll.BDP("499291FE Muni","SPREAD_AT_ISSUANCE_TO_WORST")</f>
        <v>27.169601027961022</v>
      </c>
      <c r="H1592" t="str">
        <f>_xll.BDP("499291FE Muni","ISSUE_DT")</f>
        <v>2/23/2017</v>
      </c>
      <c r="I1592" t="str">
        <f>_xll.BDS("499291FE Muni","MUNI_PURPOSE_SCHED", "aggregate=y")</f>
        <v>ADVANCE REFUNDING WATER UTILITY IMPS. SEWER IMPS.</v>
      </c>
      <c r="J1592">
        <f>_xll.BDP("499291FE Muni","CPN")</f>
        <v>3</v>
      </c>
      <c r="K1592" t="str">
        <f>_xll.BDP("499291FE Muni","MATURITY")</f>
        <v>1/1/2024</v>
      </c>
      <c r="L1592">
        <v>685000</v>
      </c>
      <c r="M1592">
        <f>_xll.BDP("499291FE Muni","YIELD_ON_ISSUE_DATE")</f>
        <v>2.14</v>
      </c>
      <c r="N1592">
        <f>_xll.BDP("499291FE Muni","YTW_SPREAD_TO_MATURITY_AT_ISSU")</f>
        <v>27.169601027961022</v>
      </c>
      <c r="O1592" t="str">
        <f>_xll.BDP("499291FE Muni","BVAL_MID_YTM")</f>
        <v>#N/A Authorization</v>
      </c>
      <c r="P1592" t="str">
        <f>_xll.BDP("499291FE Muni","MUNI_TAX_PROV")</f>
        <v>FED &amp; ST TAX-EXEMPT</v>
      </c>
      <c r="Q1592" t="str">
        <f>_xll.BDP("499291FE Muni","MUNI_FED_TAX")</f>
        <v>N</v>
      </c>
      <c r="R1592" t="str">
        <f>_xll.BDP("499291FE Muni","MUNI_MSRB_VOLUME")</f>
        <v>#N/A N/A</v>
      </c>
      <c r="S1592" t="str">
        <f>_xll.BDP("499291FE Muni","BB_COMPOSITE")</f>
        <v>#N/A N/A</v>
      </c>
      <c r="T1592">
        <f>_xll.BDP("499291FE Muni","LQA_LIQUIDITY_SCORE")</f>
        <v>74</v>
      </c>
    </row>
    <row r="1593" spans="1:20" x14ac:dyDescent="0.25">
      <c r="A1593" t="str">
        <f>_xll.BDP("499291FF Muni","ID_CUSIP")</f>
        <v>499291FF4</v>
      </c>
      <c r="B1593" t="s">
        <v>453</v>
      </c>
      <c r="C1593" t="str">
        <f>_xll.BDP("499291FF Muni","INSURANCE_STATUS")</f>
        <v>N</v>
      </c>
      <c r="D1593" t="str">
        <f>_xll.BDP("499291FF Muni","STATE_CODE")</f>
        <v>TN</v>
      </c>
      <c r="E1593" t="str">
        <f>_xll.BDP("499291FF Muni","COUNTY_LOCATION_ISSUER")</f>
        <v>Knox, TN</v>
      </c>
      <c r="F1593">
        <f>_xll.BDP("499291FF Muni","DUR_ADJ_MID")</f>
        <v>2.3229541566756136</v>
      </c>
      <c r="G1593">
        <f>_xll.BDP("499291FF Muni","SPREAD_AT_ISSUANCE_TO_WORST")</f>
        <v>28.99770771438348</v>
      </c>
      <c r="H1593" t="str">
        <f>_xll.BDP("499291FF Muni","ISSUE_DT")</f>
        <v>2/23/2017</v>
      </c>
      <c r="I1593" t="str">
        <f>_xll.BDS("499291FF Muni","MUNI_PURPOSE_SCHED", "aggregate=y")</f>
        <v>ADVANCE REFUNDING WATER UTILITY IMPS. SEWER IMPS.</v>
      </c>
      <c r="J1593">
        <f>_xll.BDP("499291FF Muni","CPN")</f>
        <v>3</v>
      </c>
      <c r="K1593" t="str">
        <f>_xll.BDP("499291FF Muni","MATURITY")</f>
        <v>1/1/2025</v>
      </c>
      <c r="L1593">
        <v>700000</v>
      </c>
      <c r="M1593">
        <f>_xll.BDP("499291FF Muni","YIELD_ON_ISSUE_DATE")</f>
        <v>2.31</v>
      </c>
      <c r="N1593">
        <f>_xll.BDP("499291FF Muni","YTW_SPREAD_TO_MATURITY_AT_ISSU")</f>
        <v>28.99770771438348</v>
      </c>
      <c r="O1593" t="str">
        <f>_xll.BDP("499291FF Muni","BVAL_MID_YTM")</f>
        <v>#N/A Authorization</v>
      </c>
      <c r="P1593" t="str">
        <f>_xll.BDP("499291FF Muni","MUNI_TAX_PROV")</f>
        <v>FED &amp; ST TAX-EXEMPT</v>
      </c>
      <c r="Q1593" t="str">
        <f>_xll.BDP("499291FF Muni","MUNI_FED_TAX")</f>
        <v>N</v>
      </c>
      <c r="R1593" t="str">
        <f>_xll.BDP("499291FF Muni","MUNI_MSRB_VOLUME")</f>
        <v>#N/A N/A</v>
      </c>
      <c r="S1593" t="str">
        <f>_xll.BDP("499291FF Muni","BB_COMPOSITE")</f>
        <v>#N/A N/A</v>
      </c>
      <c r="T1593">
        <f>_xll.BDP("499291FF Muni","LQA_LIQUIDITY_SCORE")</f>
        <v>64</v>
      </c>
    </row>
    <row r="1594" spans="1:20" x14ac:dyDescent="0.25">
      <c r="A1594" t="str">
        <f>_xll.BDP("499291FG Muni","ID_CUSIP")</f>
        <v>499291FG2</v>
      </c>
      <c r="B1594" t="s">
        <v>453</v>
      </c>
      <c r="C1594" t="str">
        <f>_xll.BDP("499291FG Muni","INSURANCE_STATUS")</f>
        <v>N</v>
      </c>
      <c r="D1594" t="str">
        <f>_xll.BDP("499291FG Muni","STATE_CODE")</f>
        <v>TN</v>
      </c>
      <c r="E1594" t="str">
        <f>_xll.BDP("499291FG Muni","COUNTY_LOCATION_ISSUER")</f>
        <v>Knox, TN</v>
      </c>
      <c r="F1594">
        <f>_xll.BDP("499291FG Muni","DUR_ADJ_MID")</f>
        <v>3.2373009032379163</v>
      </c>
      <c r="G1594">
        <f>_xll.BDP("499291FG Muni","SPREAD_AT_ISSUANCE_TO_WORST")</f>
        <v>29.465206284608179</v>
      </c>
      <c r="H1594" t="str">
        <f>_xll.BDP("499291FG Muni","ISSUE_DT")</f>
        <v>2/23/2017</v>
      </c>
      <c r="I1594" t="str">
        <f>_xll.BDS("499291FG Muni","MUNI_PURPOSE_SCHED", "aggregate=y")</f>
        <v>ADVANCE REFUNDING WATER UTILITY IMPS. SEWER IMPS.</v>
      </c>
      <c r="J1594">
        <f>_xll.BDP("499291FG Muni","CPN")</f>
        <v>3</v>
      </c>
      <c r="K1594" t="str">
        <f>_xll.BDP("499291FG Muni","MATURITY")</f>
        <v>1/1/2026</v>
      </c>
      <c r="L1594">
        <v>720000</v>
      </c>
      <c r="M1594">
        <f>_xll.BDP("499291FG Muni","YIELD_ON_ISSUE_DATE")</f>
        <v>2.4500000000000002</v>
      </c>
      <c r="N1594">
        <f>_xll.BDP("499291FG Muni","YTW_SPREAD_TO_MATURITY_AT_ISSU")</f>
        <v>29.465206284608179</v>
      </c>
      <c r="O1594" t="str">
        <f>_xll.BDP("499291FG Muni","BVAL_MID_YTM")</f>
        <v>#N/A Authorization</v>
      </c>
      <c r="P1594" t="str">
        <f>_xll.BDP("499291FG Muni","MUNI_TAX_PROV")</f>
        <v>FED &amp; ST TAX-EXEMPT</v>
      </c>
      <c r="Q1594" t="str">
        <f>_xll.BDP("499291FG Muni","MUNI_FED_TAX")</f>
        <v>N</v>
      </c>
      <c r="R1594" t="str">
        <f>_xll.BDP("499291FG Muni","MUNI_MSRB_VOLUME")</f>
        <v>#N/A N/A</v>
      </c>
      <c r="S1594" t="str">
        <f>_xll.BDP("499291FG Muni","BB_COMPOSITE")</f>
        <v>#N/A N/A</v>
      </c>
      <c r="T1594">
        <f>_xll.BDP("499291FG Muni","LQA_LIQUIDITY_SCORE")</f>
        <v>52</v>
      </c>
    </row>
    <row r="1595" spans="1:20" x14ac:dyDescent="0.25">
      <c r="A1595" t="str">
        <f>_xll.BDP("499818L3 Muni","ID_CUSIP")</f>
        <v>499818L34</v>
      </c>
      <c r="B1595" t="s">
        <v>454</v>
      </c>
      <c r="C1595" t="str">
        <f>_xll.BDP("499818L3 Muni","INSURANCE_STATUS")</f>
        <v>N</v>
      </c>
      <c r="D1595" t="str">
        <f>_xll.BDP("499818L3 Muni","STATE_CODE")</f>
        <v>TN</v>
      </c>
      <c r="E1595" t="str">
        <f>_xll.BDP("499818L3 Muni","COUNTY_LOCATION_ISSUER")</f>
        <v>Knox, TN</v>
      </c>
      <c r="F1595">
        <f>_xll.BDP("499818L3 Muni","DUR_ADJ_MID")</f>
        <v>0.56545944593147102</v>
      </c>
      <c r="G1595">
        <f>_xll.BDP("499818L3 Muni","SPREAD_AT_ISSUANCE_TO_WORST")</f>
        <v>-2.7814453833305608</v>
      </c>
      <c r="H1595" t="str">
        <f>_xll.BDP("499818L3 Muni","ISSUE_DT")</f>
        <v>9/15/2017</v>
      </c>
      <c r="I1595" t="str">
        <f>_xll.BDS("499818L3 Muni","MUNI_PURPOSE_SCHED", "aggregate=y")</f>
        <v>WATER UTILITY IMPS.</v>
      </c>
      <c r="J1595">
        <f>_xll.BDP("499818L3 Muni","CPN")</f>
        <v>5</v>
      </c>
      <c r="K1595" t="str">
        <f>_xll.BDP("499818L3 Muni","MATURITY")</f>
        <v>3/1/2023</v>
      </c>
      <c r="L1595">
        <v>460000</v>
      </c>
      <c r="M1595">
        <f>_xll.BDP("499818L3 Muni","YIELD_ON_ISSUE_DATE")</f>
        <v>1.19</v>
      </c>
      <c r="N1595">
        <f>_xll.BDP("499818L3 Muni","YTW_SPREAD_TO_MATURITY_AT_ISSU")</f>
        <v>-2.7814453833305608</v>
      </c>
      <c r="O1595" t="str">
        <f>_xll.BDP("499818L3 Muni","BVAL_MID_YTM")</f>
        <v>#N/A Authorization</v>
      </c>
      <c r="P1595" t="str">
        <f>_xll.BDP("499818L3 Muni","MUNI_TAX_PROV")</f>
        <v>FED &amp; ST TAX-EXEMPT</v>
      </c>
      <c r="Q1595" t="str">
        <f>_xll.BDP("499818L3 Muni","MUNI_FED_TAX")</f>
        <v>N</v>
      </c>
      <c r="R1595" t="str">
        <f>_xll.BDP("499818L3 Muni","MUNI_MSRB_VOLUME")</f>
        <v>#N/A N/A</v>
      </c>
      <c r="S1595" t="str">
        <f>_xll.BDP("499818L3 Muni","BB_COMPOSITE")</f>
        <v>AA+</v>
      </c>
      <c r="T1595">
        <f>_xll.BDP("499818L3 Muni","LQA_LIQUIDITY_SCORE")</f>
        <v>89</v>
      </c>
    </row>
    <row r="1596" spans="1:20" x14ac:dyDescent="0.25">
      <c r="A1596" t="str">
        <f>_xll.BDP("499818L4 Muni","ID_CUSIP")</f>
        <v>499818L42</v>
      </c>
      <c r="B1596" t="s">
        <v>454</v>
      </c>
      <c r="C1596" t="str">
        <f>_xll.BDP("499818L4 Muni","INSURANCE_STATUS")</f>
        <v>N</v>
      </c>
      <c r="D1596" t="str">
        <f>_xll.BDP("499818L4 Muni","STATE_CODE")</f>
        <v>TN</v>
      </c>
      <c r="E1596" t="str">
        <f>_xll.BDP("499818L4 Muni","COUNTY_LOCATION_ISSUER")</f>
        <v>Knox, TN</v>
      </c>
      <c r="F1596">
        <f>_xll.BDP("499818L4 Muni","DUR_ADJ_MID")</f>
        <v>1.4990273728195296</v>
      </c>
      <c r="G1596">
        <f>_xll.BDP("499818L4 Muni","SPREAD_AT_ISSUANCE_TO_WORST")</f>
        <v>-0.51964927315166776</v>
      </c>
      <c r="H1596" t="str">
        <f>_xll.BDP("499818L4 Muni","ISSUE_DT")</f>
        <v>9/15/2017</v>
      </c>
      <c r="I1596" t="str">
        <f>_xll.BDS("499818L4 Muni","MUNI_PURPOSE_SCHED", "aggregate=y")</f>
        <v>WATER UTILITY IMPS.</v>
      </c>
      <c r="J1596">
        <f>_xll.BDP("499818L4 Muni","CPN")</f>
        <v>5</v>
      </c>
      <c r="K1596" t="str">
        <f>_xll.BDP("499818L4 Muni","MATURITY")</f>
        <v>3/1/2024</v>
      </c>
      <c r="L1596">
        <v>485000</v>
      </c>
      <c r="M1596">
        <f>_xll.BDP("499818L4 Muni","YIELD_ON_ISSUE_DATE")</f>
        <v>1.36</v>
      </c>
      <c r="N1596">
        <f>_xll.BDP("499818L4 Muni","YTW_SPREAD_TO_MATURITY_AT_ISSU")</f>
        <v>-0.51964927315166776</v>
      </c>
      <c r="O1596" t="str">
        <f>_xll.BDP("499818L4 Muni","BVAL_MID_YTM")</f>
        <v>#N/A Authorization</v>
      </c>
      <c r="P1596" t="str">
        <f>_xll.BDP("499818L4 Muni","MUNI_TAX_PROV")</f>
        <v>FED &amp; ST TAX-EXEMPT</v>
      </c>
      <c r="Q1596" t="str">
        <f>_xll.BDP("499818L4 Muni","MUNI_FED_TAX")</f>
        <v>N</v>
      </c>
      <c r="R1596" t="str">
        <f>_xll.BDP("499818L4 Muni","MUNI_MSRB_VOLUME")</f>
        <v>#N/A N/A</v>
      </c>
      <c r="S1596" t="str">
        <f>_xll.BDP("499818L4 Muni","BB_COMPOSITE")</f>
        <v>AA+</v>
      </c>
      <c r="T1596">
        <f>_xll.BDP("499818L4 Muni","LQA_LIQUIDITY_SCORE")</f>
        <v>92</v>
      </c>
    </row>
    <row r="1597" spans="1:20" x14ac:dyDescent="0.25">
      <c r="A1597" t="str">
        <f>_xll.BDP("499818L5 Muni","ID_CUSIP")</f>
        <v>499818L59</v>
      </c>
      <c r="B1597" t="s">
        <v>454</v>
      </c>
      <c r="C1597" t="str">
        <f>_xll.BDP("499818L5 Muni","INSURANCE_STATUS")</f>
        <v>N</v>
      </c>
      <c r="D1597" t="str">
        <f>_xll.BDP("499818L5 Muni","STATE_CODE")</f>
        <v>TN</v>
      </c>
      <c r="E1597" t="str">
        <f>_xll.BDP("499818L5 Muni","COUNTY_LOCATION_ISSUER")</f>
        <v>Knox, TN</v>
      </c>
      <c r="F1597">
        <f>_xll.BDP("499818L5 Muni","DUR_ADJ_MID")</f>
        <v>2.39149628897502</v>
      </c>
      <c r="G1597">
        <f>_xll.BDP("499818L5 Muni","SPREAD_AT_ISSUANCE_TO_WORST")</f>
        <v>-0.45542298081755472</v>
      </c>
      <c r="H1597" t="str">
        <f>_xll.BDP("499818L5 Muni","ISSUE_DT")</f>
        <v>9/15/2017</v>
      </c>
      <c r="I1597" t="str">
        <f>_xll.BDS("499818L5 Muni","MUNI_PURPOSE_SCHED", "aggregate=y")</f>
        <v>WATER UTILITY IMPS.</v>
      </c>
      <c r="J1597">
        <f>_xll.BDP("499818L5 Muni","CPN")</f>
        <v>5</v>
      </c>
      <c r="K1597" t="str">
        <f>_xll.BDP("499818L5 Muni","MATURITY")</f>
        <v>3/1/2025</v>
      </c>
      <c r="L1597">
        <v>505000</v>
      </c>
      <c r="M1597">
        <f>_xll.BDP("499818L5 Muni","YIELD_ON_ISSUE_DATE")</f>
        <v>1.51</v>
      </c>
      <c r="N1597">
        <f>_xll.BDP("499818L5 Muni","YTW_SPREAD_TO_MATURITY_AT_ISSU")</f>
        <v>-0.45542298081755472</v>
      </c>
      <c r="O1597" t="str">
        <f>_xll.BDP("499818L5 Muni","BVAL_MID_YTM")</f>
        <v>#N/A Authorization</v>
      </c>
      <c r="P1597" t="str">
        <f>_xll.BDP("499818L5 Muni","MUNI_TAX_PROV")</f>
        <v>FED &amp; ST TAX-EXEMPT</v>
      </c>
      <c r="Q1597" t="str">
        <f>_xll.BDP("499818L5 Muni","MUNI_FED_TAX")</f>
        <v>N</v>
      </c>
      <c r="R1597" t="str">
        <f>_xll.BDP("499818L5 Muni","MUNI_MSRB_VOLUME")</f>
        <v>#N/A N/A</v>
      </c>
      <c r="S1597" t="str">
        <f>_xll.BDP("499818L5 Muni","BB_COMPOSITE")</f>
        <v>AA+</v>
      </c>
      <c r="T1597">
        <f>_xll.BDP("499818L5 Muni","LQA_LIQUIDITY_SCORE")</f>
        <v>83</v>
      </c>
    </row>
    <row r="1598" spans="1:20" x14ac:dyDescent="0.25">
      <c r="A1598" t="str">
        <f>_xll.BDP("622503UZ Muni","ID_CUSIP")</f>
        <v>622503UZ1</v>
      </c>
      <c r="B1598" t="s">
        <v>84</v>
      </c>
      <c r="C1598" t="str">
        <f>_xll.BDP("622503UZ Muni","INSURANCE_STATUS")</f>
        <v>N</v>
      </c>
      <c r="D1598" t="str">
        <f>_xll.BDP("622503UZ Muni","STATE_CODE")</f>
        <v>NY</v>
      </c>
      <c r="E1598" t="str">
        <f>_xll.BDP("622503UZ Muni","COUNTY_LOCATION_ISSUER")</f>
        <v>Westchester, NY</v>
      </c>
      <c r="F1598">
        <f>_xll.BDP("622503UZ Muni","DUR_ADJ_MID")</f>
        <v>2.5375677261022882</v>
      </c>
      <c r="G1598">
        <f>_xll.BDP("622503UZ Muni","SPREAD_AT_ISSUANCE_TO_WORST")</f>
        <v>10.450690695073117</v>
      </c>
      <c r="H1598" t="str">
        <f>_xll.BDP("622503UZ Muni","ISSUE_DT")</f>
        <v>4/12/2017</v>
      </c>
      <c r="I1598" t="str">
        <f>_xll.BDS("622503UZ Muni","MUNI_PURPOSE_SCHED", "aggregate=y")</f>
        <v>WATER UTILITY IMPS. PUBLIC IMPS. RECREATIONAL FAC. IMPS.</v>
      </c>
      <c r="J1598">
        <f>_xll.BDP("622503UZ Muni","CPN")</f>
        <v>3</v>
      </c>
      <c r="K1598" t="str">
        <f>_xll.BDP("622503UZ Muni","MATURITY")</f>
        <v>4/1/2025</v>
      </c>
      <c r="L1598">
        <v>615000</v>
      </c>
      <c r="M1598">
        <f>_xll.BDP("622503UZ Muni","YIELD_ON_ISSUE_DATE")</f>
        <v>2.15</v>
      </c>
      <c r="N1598">
        <f>_xll.BDP("622503UZ Muni","YTW_SPREAD_TO_MATURITY_AT_ISSU")</f>
        <v>10.450690695073117</v>
      </c>
      <c r="O1598" t="str">
        <f>_xll.BDP("622503UZ Muni","BVAL_MID_YTM")</f>
        <v>#N/A Authorization</v>
      </c>
      <c r="P1598" t="str">
        <f>_xll.BDP("622503UZ Muni","MUNI_TAX_PROV")</f>
        <v>FED &amp; ST TAX-EXEMPT</v>
      </c>
      <c r="Q1598" t="str">
        <f>_xll.BDP("622503UZ Muni","MUNI_FED_TAX")</f>
        <v>N</v>
      </c>
      <c r="R1598" t="str">
        <f>_xll.BDP("622503UZ Muni","MUNI_MSRB_VOLUME")</f>
        <v>#N/A N/A</v>
      </c>
      <c r="S1598" t="str">
        <f>_xll.BDP("622503UZ Muni","BB_COMPOSITE")</f>
        <v>#N/A N/A</v>
      </c>
      <c r="T1598">
        <f>_xll.BDP("622503UZ Muni","LQA_LIQUIDITY_SCORE")</f>
        <v>69</v>
      </c>
    </row>
    <row r="1599" spans="1:20" x14ac:dyDescent="0.25">
      <c r="A1599" t="str">
        <f>_xll.BDP("514489DF Muni","ID_CUSIP")</f>
        <v>514489DF7</v>
      </c>
      <c r="B1599" t="s">
        <v>455</v>
      </c>
      <c r="C1599" t="str">
        <f>_xll.BDP("514489DF Muni","INSURANCE_STATUS")</f>
        <v>N</v>
      </c>
      <c r="D1599" t="str">
        <f>_xll.BDP("514489DF Muni","STATE_CODE")</f>
        <v>TX</v>
      </c>
      <c r="E1599" t="str">
        <f>_xll.BDP("514489DF Muni","COUNTY_LOCATION_ISSUER")</f>
        <v>Dallas, TX</v>
      </c>
      <c r="F1599">
        <f>_xll.BDP("514489DF Muni","DUR_ADJ_MID")</f>
        <v>0.98044279010547497</v>
      </c>
      <c r="G1599">
        <f>_xll.BDP("514489DF Muni","SPREAD_AT_ISSUANCE_TO_WORST")</f>
        <v>102.51738356164384</v>
      </c>
      <c r="H1599" t="str">
        <f>_xll.BDP("514489DF Muni","ISSUE_DT")</f>
        <v>12/1/2017</v>
      </c>
      <c r="I1599" t="str">
        <f>_xll.BDS("514489DF Muni","MUNI_PURPOSE_SCHED", "aggregate=y")</f>
        <v>WATER UTILITY IMPS. SEWER IMPS.</v>
      </c>
      <c r="J1599">
        <f>_xll.BDP("514489DF Muni","CPN")</f>
        <v>2.6</v>
      </c>
      <c r="K1599" t="str">
        <f>_xll.BDP("514489DF Muni","MATURITY")</f>
        <v>8/1/2023</v>
      </c>
      <c r="L1599">
        <v>50000</v>
      </c>
      <c r="M1599">
        <f>_xll.BDP("514489DF Muni","YIELD_ON_ISSUE_DATE")</f>
        <v>2.6</v>
      </c>
      <c r="N1599">
        <f>_xll.BDP("514489DF Muni","YTW_SPREAD_TO_MATURITY_AT_ISSU")</f>
        <v>102.51738356164384</v>
      </c>
      <c r="O1599" t="str">
        <f>_xll.BDP("514489DF Muni","BVAL_MID_YTM")</f>
        <v>#N/A Authorization</v>
      </c>
      <c r="P1599" t="str">
        <f>_xll.BDP("514489DF Muni","MUNI_TAX_PROV")</f>
        <v>FED BQ</v>
      </c>
      <c r="Q1599" t="str">
        <f>_xll.BDP("514489DF Muni","MUNI_FED_TAX")</f>
        <v>N</v>
      </c>
      <c r="R1599" t="str">
        <f>_xll.BDP("514489DF Muni","MUNI_MSRB_VOLUME")</f>
        <v>#N/A N/A</v>
      </c>
      <c r="S1599" t="str">
        <f>_xll.BDP("514489DF Muni","BB_COMPOSITE")</f>
        <v>#N/A N/A</v>
      </c>
      <c r="T1599">
        <f>_xll.BDP("514489DF Muni","LQA_LIQUIDITY_SCORE")</f>
        <v>86</v>
      </c>
    </row>
    <row r="1600" spans="1:20" x14ac:dyDescent="0.25">
      <c r="A1600" t="str">
        <f>_xll.BDP("622634FC Muni","ID_CUSIP")</f>
        <v>622634FC2</v>
      </c>
      <c r="B1600" t="s">
        <v>456</v>
      </c>
      <c r="C1600" t="str">
        <f>_xll.BDP("622634FC Muni","INSURANCE_STATUS")</f>
        <v>N</v>
      </c>
      <c r="D1600" t="str">
        <f>_xll.BDP("622634FC Muni","STATE_CODE")</f>
        <v>SC</v>
      </c>
      <c r="E1600" t="str">
        <f>_xll.BDP("622634FC Muni","COUNTY_LOCATION_ISSUER")</f>
        <v>Charleston, SC</v>
      </c>
      <c r="F1600">
        <f>_xll.BDP("622634FC Muni","DUR_ADJ_MID")</f>
        <v>0.82017243005538187</v>
      </c>
      <c r="G1600">
        <f>_xll.BDP("622634FC Muni","SPREAD_AT_ISSUANCE_TO_WORST")</f>
        <v>12.069068321169475</v>
      </c>
      <c r="H1600" t="str">
        <f>_xll.BDP("622634FC Muni","ISSUE_DT")</f>
        <v>5/17/2017</v>
      </c>
      <c r="I1600" t="str">
        <f>_xll.BDS("622634FC Muni","MUNI_PURPOSE_SCHED", "aggregate=y")</f>
        <v>WATER UTILITY IMPS. SEWER IMPS.</v>
      </c>
      <c r="J1600">
        <f>_xll.BDP("622634FC Muni","CPN")</f>
        <v>2</v>
      </c>
      <c r="K1600" t="str">
        <f>_xll.BDP("622634FC Muni","MATURITY")</f>
        <v>6/1/2023</v>
      </c>
      <c r="L1600">
        <v>890000</v>
      </c>
      <c r="M1600">
        <f>_xll.BDP("622634FC Muni","YIELD_ON_ISSUE_DATE")</f>
        <v>1.69</v>
      </c>
      <c r="N1600">
        <f>_xll.BDP("622634FC Muni","YTW_SPREAD_TO_MATURITY_AT_ISSU")</f>
        <v>12.069068321169475</v>
      </c>
      <c r="O1600" t="str">
        <f>_xll.BDP("622634FC Muni","BVAL_MID_YTM")</f>
        <v>#N/A Authorization</v>
      </c>
      <c r="P1600" t="str">
        <f>_xll.BDP("622634FC Muni","MUNI_TAX_PROV")</f>
        <v>FED &amp; ST TAX-EXEMPT</v>
      </c>
      <c r="Q1600" t="str">
        <f>_xll.BDP("622634FC Muni","MUNI_FED_TAX")</f>
        <v>N</v>
      </c>
      <c r="R1600">
        <f>_xll.BDP("622634FC Muni","MUNI_MSRB_VOLUME")</f>
        <v>125000</v>
      </c>
      <c r="S1600" t="str">
        <f>_xll.BDP("622634FC Muni","BB_COMPOSITE")</f>
        <v>AA+</v>
      </c>
      <c r="T1600">
        <f>_xll.BDP("622634FC Muni","LQA_LIQUIDITY_SCORE")</f>
        <v>87</v>
      </c>
    </row>
    <row r="1601" spans="1:20" x14ac:dyDescent="0.25">
      <c r="A1601" t="str">
        <f>_xll.BDP("622634FE Muni","ID_CUSIP")</f>
        <v>622634FE8</v>
      </c>
      <c r="B1601" t="s">
        <v>456</v>
      </c>
      <c r="C1601" t="str">
        <f>_xll.BDP("622634FE Muni","INSURANCE_STATUS")</f>
        <v>N</v>
      </c>
      <c r="D1601" t="str">
        <f>_xll.BDP("622634FE Muni","STATE_CODE")</f>
        <v>SC</v>
      </c>
      <c r="E1601" t="str">
        <f>_xll.BDP("622634FE Muni","COUNTY_LOCATION_ISSUER")</f>
        <v>Charleston, SC</v>
      </c>
      <c r="F1601">
        <f>_xll.BDP("622634FE Muni","DUR_ADJ_MID")</f>
        <v>2.6392118908889808</v>
      </c>
      <c r="G1601">
        <f>_xll.BDP("622634FE Muni","SPREAD_AT_ISSUANCE_TO_WORST")</f>
        <v>15.034386735326377</v>
      </c>
      <c r="H1601" t="str">
        <f>_xll.BDP("622634FE Muni","ISSUE_DT")</f>
        <v>5/17/2017</v>
      </c>
      <c r="I1601" t="str">
        <f>_xll.BDS("622634FE Muni","MUNI_PURPOSE_SCHED", "aggregate=y")</f>
        <v>WATER UTILITY IMPS. SEWER IMPS.</v>
      </c>
      <c r="J1601">
        <f>_xll.BDP("622634FE Muni","CPN")</f>
        <v>5</v>
      </c>
      <c r="K1601" t="str">
        <f>_xll.BDP("622634FE Muni","MATURITY")</f>
        <v>6/1/2025</v>
      </c>
      <c r="L1601">
        <v>625000</v>
      </c>
      <c r="M1601">
        <f>_xll.BDP("622634FE Muni","YIELD_ON_ISSUE_DATE")</f>
        <v>2.04</v>
      </c>
      <c r="N1601">
        <f>_xll.BDP("622634FE Muni","YTW_SPREAD_TO_MATURITY_AT_ISSU")</f>
        <v>15.034386735326377</v>
      </c>
      <c r="O1601" t="str">
        <f>_xll.BDP("622634FE Muni","BVAL_MID_YTM")</f>
        <v>#N/A Authorization</v>
      </c>
      <c r="P1601" t="str">
        <f>_xll.BDP("622634FE Muni","MUNI_TAX_PROV")</f>
        <v>FED &amp; ST TAX-EXEMPT</v>
      </c>
      <c r="Q1601" t="str">
        <f>_xll.BDP("622634FE Muni","MUNI_FED_TAX")</f>
        <v>N</v>
      </c>
      <c r="R1601">
        <f>_xll.BDP("622634FE Muni","MUNI_MSRB_VOLUME")</f>
        <v>200000</v>
      </c>
      <c r="S1601" t="str">
        <f>_xll.BDP("622634FE Muni","BB_COMPOSITE")</f>
        <v>AA+</v>
      </c>
      <c r="T1601">
        <f>_xll.BDP("622634FE Muni","LQA_LIQUIDITY_SCORE")</f>
        <v>79</v>
      </c>
    </row>
    <row r="1602" spans="1:20" x14ac:dyDescent="0.25">
      <c r="A1602" t="str">
        <f>_xll.BDP("622634FF Muni","ID_CUSIP")</f>
        <v>622634FF5</v>
      </c>
      <c r="B1602" t="s">
        <v>456</v>
      </c>
      <c r="C1602" t="str">
        <f>_xll.BDP("622634FF Muni","INSURANCE_STATUS")</f>
        <v>N</v>
      </c>
      <c r="D1602" t="str">
        <f>_xll.BDP("622634FF Muni","STATE_CODE")</f>
        <v>SC</v>
      </c>
      <c r="E1602" t="str">
        <f>_xll.BDP("622634FF Muni","COUNTY_LOCATION_ISSUER")</f>
        <v>Charleston, SC</v>
      </c>
      <c r="F1602">
        <f>_xll.BDP("622634FF Muni","DUR_ADJ_MID")</f>
        <v>3.4947150724005942</v>
      </c>
      <c r="G1602">
        <f>_xll.BDP("622634FF Muni","SPREAD_AT_ISSUANCE_TO_WORST")</f>
        <v>18.886731700098469</v>
      </c>
      <c r="H1602" t="str">
        <f>_xll.BDP("622634FF Muni","ISSUE_DT")</f>
        <v>5/17/2017</v>
      </c>
      <c r="I1602" t="str">
        <f>_xll.BDS("622634FF Muni","MUNI_PURPOSE_SCHED", "aggregate=y")</f>
        <v>WATER UTILITY IMPS. SEWER IMPS.</v>
      </c>
      <c r="J1602">
        <f>_xll.BDP("622634FF Muni","CPN")</f>
        <v>5</v>
      </c>
      <c r="K1602" t="str">
        <f>_xll.BDP("622634FF Muni","MATURITY")</f>
        <v>6/1/2026</v>
      </c>
      <c r="L1602">
        <v>685000</v>
      </c>
      <c r="M1602">
        <f>_xll.BDP("622634FF Muni","YIELD_ON_ISSUE_DATE")</f>
        <v>2.2200000000000002</v>
      </c>
      <c r="N1602">
        <f>_xll.BDP("622634FF Muni","YTW_SPREAD_TO_MATURITY_AT_ISSU")</f>
        <v>18.886731700098469</v>
      </c>
      <c r="O1602" t="str">
        <f>_xll.BDP("622634FF Muni","BVAL_MID_YTM")</f>
        <v>#N/A Authorization</v>
      </c>
      <c r="P1602" t="str">
        <f>_xll.BDP("622634FF Muni","MUNI_TAX_PROV")</f>
        <v>FED &amp; ST TAX-EXEMPT</v>
      </c>
      <c r="Q1602" t="str">
        <f>_xll.BDP("622634FF Muni","MUNI_FED_TAX")</f>
        <v>N</v>
      </c>
      <c r="R1602">
        <f>_xll.BDP("622634FF Muni","MUNI_MSRB_VOLUME")</f>
        <v>30000</v>
      </c>
      <c r="S1602" t="str">
        <f>_xll.BDP("622634FF Muni","BB_COMPOSITE")</f>
        <v>AA+</v>
      </c>
      <c r="T1602">
        <f>_xll.BDP("622634FF Muni","LQA_LIQUIDITY_SCORE")</f>
        <v>72</v>
      </c>
    </row>
    <row r="1603" spans="1:20" x14ac:dyDescent="0.25">
      <c r="A1603" t="str">
        <f>_xll.BDP("622634FG Muni","ID_CUSIP")</f>
        <v>622634FG3</v>
      </c>
      <c r="B1603" t="s">
        <v>456</v>
      </c>
      <c r="C1603" t="str">
        <f>_xll.BDP("622634FG Muni","INSURANCE_STATUS")</f>
        <v>N</v>
      </c>
      <c r="D1603" t="str">
        <f>_xll.BDP("622634FG Muni","STATE_CODE")</f>
        <v>SC</v>
      </c>
      <c r="E1603" t="str">
        <f>_xll.BDP("622634FG Muni","COUNTY_LOCATION_ISSUER")</f>
        <v>Charleston, SC</v>
      </c>
      <c r="F1603">
        <f>_xll.BDP("622634FG Muni","DUR_ADJ_MID")</f>
        <v>4.3156169476408559</v>
      </c>
      <c r="G1603">
        <f>_xll.BDP("622634FG Muni","SPREAD_AT_ISSUANCE_TO_WORST")</f>
        <v>16.244473562470276</v>
      </c>
      <c r="H1603" t="str">
        <f>_xll.BDP("622634FG Muni","ISSUE_DT")</f>
        <v>5/17/2017</v>
      </c>
      <c r="I1603" t="str">
        <f>_xll.BDS("622634FG Muni","MUNI_PURPOSE_SCHED", "aggregate=y")</f>
        <v>WATER UTILITY IMPS. SEWER IMPS.</v>
      </c>
      <c r="J1603">
        <f>_xll.BDP("622634FG Muni","CPN")</f>
        <v>5</v>
      </c>
      <c r="K1603" t="str">
        <f>_xll.BDP("622634FG Muni","MATURITY")</f>
        <v>6/1/2027</v>
      </c>
      <c r="L1603">
        <v>3235000</v>
      </c>
      <c r="M1603">
        <f>_xll.BDP("622634FG Muni","YIELD_ON_ISSUE_DATE")</f>
        <v>2.31</v>
      </c>
      <c r="N1603">
        <f>_xll.BDP("622634FG Muni","YTW_SPREAD_TO_MATURITY_AT_ISSU")</f>
        <v>16.244473562470276</v>
      </c>
      <c r="O1603" t="str">
        <f>_xll.BDP("622634FG Muni","BVAL_MID_YTM")</f>
        <v>#N/A Authorization</v>
      </c>
      <c r="P1603" t="str">
        <f>_xll.BDP("622634FG Muni","MUNI_TAX_PROV")</f>
        <v>FED &amp; ST TAX-EXEMPT</v>
      </c>
      <c r="Q1603" t="str">
        <f>_xll.BDP("622634FG Muni","MUNI_FED_TAX")</f>
        <v>N</v>
      </c>
      <c r="R1603">
        <f>_xll.BDP("622634FG Muni","MUNI_MSRB_VOLUME")</f>
        <v>60000</v>
      </c>
      <c r="S1603" t="str">
        <f>_xll.BDP("622634FG Muni","BB_COMPOSITE")</f>
        <v>AA+</v>
      </c>
      <c r="T1603">
        <f>_xll.BDP("622634FG Muni","LQA_LIQUIDITY_SCORE")</f>
        <v>67</v>
      </c>
    </row>
    <row r="1604" spans="1:20" x14ac:dyDescent="0.25">
      <c r="A1604" t="str">
        <f>_xll.BDP("622826UW Muni","ID_CUSIP")</f>
        <v>622826UW3</v>
      </c>
      <c r="B1604" t="s">
        <v>457</v>
      </c>
      <c r="C1604" t="str">
        <f>_xll.BDP("622826UW Muni","INSURANCE_STATUS")</f>
        <v>N</v>
      </c>
      <c r="D1604" t="str">
        <f>_xll.BDP("622826UW Muni","STATE_CODE")</f>
        <v>IL</v>
      </c>
      <c r="E1604" t="str">
        <f>_xll.BDP("622826UW Muni","COUNTY_LOCATION_ISSUER")</f>
        <v>Cook, IL</v>
      </c>
      <c r="F1604">
        <f>_xll.BDP("622826UW Muni","DUR_ADJ_MID")</f>
        <v>2.2146103249907072</v>
      </c>
      <c r="G1604">
        <f>_xll.BDP("622826UW Muni","SPREAD_AT_ISSUANCE_TO_WORST")</f>
        <v>33.326167123287661</v>
      </c>
      <c r="H1604" t="str">
        <f>_xll.BDP("622826UW Muni","ISSUE_DT")</f>
        <v>12/20/2017</v>
      </c>
      <c r="I1604" t="str">
        <f>_xll.BDS("622826UW Muni","MUNI_PURPOSE_SCHED", "aggregate=y")</f>
        <v>WATER UTILITY IMPS. SEWER IMPS. MISC. PURPOSES</v>
      </c>
      <c r="J1604">
        <f>_xll.BDP("622826UW Muni","CPN")</f>
        <v>4</v>
      </c>
      <c r="K1604" t="str">
        <f>_xll.BDP("622826UW Muni","MATURITY")</f>
        <v>12/1/2024</v>
      </c>
      <c r="L1604">
        <v>375000</v>
      </c>
      <c r="M1604">
        <f>_xll.BDP("622826UW Muni","YIELD_ON_ISSUE_DATE")</f>
        <v>2.09</v>
      </c>
      <c r="N1604">
        <f>_xll.BDP("622826UW Muni","YTW_SPREAD_TO_MATURITY_AT_ISSU")</f>
        <v>33.326167123287661</v>
      </c>
      <c r="O1604" t="str">
        <f>_xll.BDP("622826UW Muni","BVAL_MID_YTM")</f>
        <v>#N/A Authorization</v>
      </c>
      <c r="P1604" t="str">
        <f>_xll.BDP("622826UW Muni","MUNI_TAX_PROV")</f>
        <v>FED BQ/ST TAXABLE</v>
      </c>
      <c r="Q1604" t="str">
        <f>_xll.BDP("622826UW Muni","MUNI_FED_TAX")</f>
        <v>N</v>
      </c>
      <c r="R1604" t="str">
        <f>_xll.BDP("622826UW Muni","MUNI_MSRB_VOLUME")</f>
        <v>#N/A N/A</v>
      </c>
      <c r="S1604" t="str">
        <f>_xll.BDP("622826UW Muni","BB_COMPOSITE")</f>
        <v>#N/A N/A</v>
      </c>
      <c r="T1604">
        <f>_xll.BDP("622826UW Muni","LQA_LIQUIDITY_SCORE")</f>
        <v>79</v>
      </c>
    </row>
    <row r="1605" spans="1:20" x14ac:dyDescent="0.25">
      <c r="A1605" t="str">
        <f>_xll.BDP("61370LDC Muni","ID_CUSIP")</f>
        <v>61370LDC8</v>
      </c>
      <c r="B1605" t="s">
        <v>149</v>
      </c>
      <c r="C1605" t="str">
        <f>_xll.BDP("61370LDC Muni","INSURANCE_STATUS")</f>
        <v>Y</v>
      </c>
      <c r="D1605" t="str">
        <f>_xll.BDP("61370LDC Muni","STATE_CODE")</f>
        <v>TX</v>
      </c>
      <c r="E1605" t="str">
        <f>_xll.BDP("61370LDC Muni","COUNTY_LOCATION_ISSUER")</f>
        <v>Montgomery, TX</v>
      </c>
      <c r="F1605">
        <f>_xll.BDP("61370LDC Muni","DUR_ADJ_MID")</f>
        <v>1.0545376676444107</v>
      </c>
      <c r="G1605">
        <f>_xll.BDP("61370LDC Muni","SPREAD_AT_ISSUANCE_TO_WORST")</f>
        <v>50.780167123287654</v>
      </c>
      <c r="H1605" t="str">
        <f>_xll.BDP("61370LDC Muni","ISSUE_DT")</f>
        <v>11/1/2017</v>
      </c>
      <c r="I1605" t="str">
        <f>_xll.BDS("61370LDC Muni","MUNI_PURPOSE_SCHED", "aggregate=y")</f>
        <v>WATER UTILITY IMPS. SEWER IMPS. PUBLIC IMPS.</v>
      </c>
      <c r="J1605">
        <f>_xll.BDP("61370LDC Muni","CPN")</f>
        <v>2</v>
      </c>
      <c r="K1605" t="str">
        <f>_xll.BDP("61370LDC Muni","MATURITY")</f>
        <v>9/1/2023</v>
      </c>
      <c r="L1605">
        <v>300000</v>
      </c>
      <c r="M1605">
        <f>_xll.BDP("61370LDC Muni","YIELD_ON_ISSUE_DATE")</f>
        <v>2</v>
      </c>
      <c r="N1605">
        <f>_xll.BDP("61370LDC Muni","YTW_SPREAD_TO_MATURITY_AT_ISSU")</f>
        <v>50.780167123287654</v>
      </c>
      <c r="O1605" t="str">
        <f>_xll.BDP("61370LDC Muni","BVAL_MID_YTM")</f>
        <v>#N/A Authorization</v>
      </c>
      <c r="P1605" t="str">
        <f>_xll.BDP("61370LDC Muni","MUNI_TAX_PROV")</f>
        <v>FED BQ</v>
      </c>
      <c r="Q1605" t="str">
        <f>_xll.BDP("61370LDC Muni","MUNI_FED_TAX")</f>
        <v>N</v>
      </c>
      <c r="R1605" t="str">
        <f>_xll.BDP("61370LDC Muni","MUNI_MSRB_VOLUME")</f>
        <v>#N/A N/A</v>
      </c>
      <c r="S1605" t="str">
        <f>_xll.BDP("61370LDC Muni","BB_COMPOSITE")</f>
        <v>A</v>
      </c>
      <c r="T1605">
        <f>_xll.BDP("61370LDC Muni","LQA_LIQUIDITY_SCORE")</f>
        <v>83</v>
      </c>
    </row>
    <row r="1606" spans="1:20" x14ac:dyDescent="0.25">
      <c r="A1606" t="str">
        <f>_xll.BDP("61370NEH Muni","ID_CUSIP")</f>
        <v>61370NEH2</v>
      </c>
      <c r="B1606" t="s">
        <v>432</v>
      </c>
      <c r="C1606" t="str">
        <f>_xll.BDP("61370NEH Muni","INSURANCE_STATUS")</f>
        <v>Y</v>
      </c>
      <c r="D1606" t="str">
        <f>_xll.BDP("61370NEH Muni","STATE_CODE")</f>
        <v>TX</v>
      </c>
      <c r="E1606" t="str">
        <f>_xll.BDP("61370NEH Muni","COUNTY_LOCATION_ISSUER")</f>
        <v>Montgomery, TX</v>
      </c>
      <c r="F1606">
        <f>_xll.BDP("61370NEH Muni","DUR_ADJ_MID")</f>
        <v>1.0489864773367461</v>
      </c>
      <c r="G1606">
        <f>_xll.BDP("61370NEH Muni","SPREAD_AT_ISSUANCE_TO_WORST")</f>
        <v>36.75573662901661</v>
      </c>
      <c r="H1606" t="str">
        <f>_xll.BDP("61370NEH Muni","ISSUE_DT")</f>
        <v>2/1/2017</v>
      </c>
      <c r="I1606" t="str">
        <f>_xll.BDS("61370NEH Muni","MUNI_PURPOSE_SCHED", "aggregate=y")</f>
        <v>REFUNDING NOTES WATER UTILITY IMPS. SEWER IMPS.</v>
      </c>
      <c r="J1606">
        <f>_xll.BDP("61370NEH Muni","CPN")</f>
        <v>3</v>
      </c>
      <c r="K1606" t="str">
        <f>_xll.BDP("61370NEH Muni","MATURITY")</f>
        <v>9/1/2023</v>
      </c>
      <c r="L1606">
        <v>310000</v>
      </c>
      <c r="M1606">
        <f>_xll.BDP("61370NEH Muni","YIELD_ON_ISSUE_DATE")</f>
        <v>2.3000000000000003</v>
      </c>
      <c r="N1606">
        <f>_xll.BDP("61370NEH Muni","YTW_SPREAD_TO_MATURITY_AT_ISSU")</f>
        <v>36.75573662901661</v>
      </c>
      <c r="O1606" t="str">
        <f>_xll.BDP("61370NEH Muni","BVAL_MID_YTM")</f>
        <v>#N/A Authorization</v>
      </c>
      <c r="P1606" t="str">
        <f>_xll.BDP("61370NEH Muni","MUNI_TAX_PROV")</f>
        <v>FED BQ</v>
      </c>
      <c r="Q1606" t="str">
        <f>_xll.BDP("61370NEH Muni","MUNI_FED_TAX")</f>
        <v>N</v>
      </c>
      <c r="R1606" t="str">
        <f>_xll.BDP("61370NEH Muni","MUNI_MSRB_VOLUME")</f>
        <v>#N/A N/A</v>
      </c>
      <c r="S1606" t="str">
        <f>_xll.BDP("61370NEH Muni","BB_COMPOSITE")</f>
        <v>AA-</v>
      </c>
      <c r="T1606">
        <f>_xll.BDP("61370NEH Muni","LQA_LIQUIDITY_SCORE")</f>
        <v>84</v>
      </c>
    </row>
    <row r="1607" spans="1:20" x14ac:dyDescent="0.25">
      <c r="A1607" t="str">
        <f>_xll.BDP("61370PLP Muni","ID_CUSIP")</f>
        <v>61370PLP1</v>
      </c>
      <c r="B1607" t="s">
        <v>163</v>
      </c>
      <c r="C1607" t="str">
        <f>_xll.BDP("61370PLP Muni","INSURANCE_STATUS")</f>
        <v>Y</v>
      </c>
      <c r="D1607" t="str">
        <f>_xll.BDP("61370PLP Muni","STATE_CODE")</f>
        <v>TX</v>
      </c>
      <c r="E1607" t="str">
        <f>_xll.BDP("61370PLP Muni","COUNTY_LOCATION_ISSUER")</f>
        <v>Montgomery, TX</v>
      </c>
      <c r="F1607">
        <f>_xll.BDP("61370PLP Muni","DUR_ADJ_MID")</f>
        <v>2.0099771977746932</v>
      </c>
      <c r="G1607">
        <f>_xll.BDP("61370PLP Muni","SPREAD_AT_ISSUANCE_TO_WORST")</f>
        <v>24.735877859248912</v>
      </c>
      <c r="H1607" t="str">
        <f>_xll.BDP("61370PLP Muni","ISSUE_DT")</f>
        <v>5/1/2017</v>
      </c>
      <c r="I1607" t="str">
        <f>_xll.BDS("61370PLP Muni","MUNI_PURPOSE_SCHED", "aggregate=y")</f>
        <v>WATER UTILITY IMPS. SEWER IMPS.</v>
      </c>
      <c r="J1607">
        <f>_xll.BDP("61370PLP Muni","CPN")</f>
        <v>2</v>
      </c>
      <c r="K1607" t="str">
        <f>_xll.BDP("61370PLP Muni","MATURITY")</f>
        <v>9/1/2024</v>
      </c>
      <c r="L1607">
        <v>275000</v>
      </c>
      <c r="M1607">
        <f>_xll.BDP("61370PLP Muni","YIELD_ON_ISSUE_DATE")</f>
        <v>2.0499999999999998</v>
      </c>
      <c r="N1607">
        <f>_xll.BDP("61370PLP Muni","YTW_SPREAD_TO_MATURITY_AT_ISSU")</f>
        <v>24.735877859248912</v>
      </c>
      <c r="O1607" t="str">
        <f>_xll.BDP("61370PLP Muni","BVAL_MID_YTM")</f>
        <v>#N/A Authorization</v>
      </c>
      <c r="P1607" t="str">
        <f>_xll.BDP("61370PLP Muni","MUNI_TAX_PROV")</f>
        <v>FED BQ</v>
      </c>
      <c r="Q1607" t="str">
        <f>_xll.BDP("61370PLP Muni","MUNI_FED_TAX")</f>
        <v>N</v>
      </c>
      <c r="R1607" t="str">
        <f>_xll.BDP("61370PLP Muni","MUNI_MSRB_VOLUME")</f>
        <v>#N/A N/A</v>
      </c>
      <c r="S1607" t="str">
        <f>_xll.BDP("61370PLP Muni","BB_COMPOSITE")</f>
        <v>A+</v>
      </c>
      <c r="T1607">
        <f>_xll.BDP("61370PLP Muni","LQA_LIQUIDITY_SCORE")</f>
        <v>74</v>
      </c>
    </row>
    <row r="1608" spans="1:20" x14ac:dyDescent="0.25">
      <c r="A1608" t="str">
        <f>_xll.BDP("61370RGH Muni","ID_CUSIP")</f>
        <v>61370RGH1</v>
      </c>
      <c r="B1608" t="s">
        <v>433</v>
      </c>
      <c r="C1608" t="str">
        <f>_xll.BDP("61370RGH Muni","INSURANCE_STATUS")</f>
        <v>Y</v>
      </c>
      <c r="D1608" t="str">
        <f>_xll.BDP("61370RGH Muni","STATE_CODE")</f>
        <v>TX</v>
      </c>
      <c r="E1608" t="str">
        <f>_xll.BDP("61370RGH Muni","COUNTY_LOCATION_ISSUER")</f>
        <v>Montgomery, TX</v>
      </c>
      <c r="F1608">
        <f>_xll.BDP("61370RGH Muni","DUR_ADJ_MID")</f>
        <v>1.614764239157588</v>
      </c>
      <c r="G1608">
        <f>_xll.BDP("61370RGH Muni","SPREAD_AT_ISSUANCE_TO_WORST")</f>
        <v>66.094000000000008</v>
      </c>
      <c r="H1608" t="str">
        <f>_xll.BDP("61370RGH Muni","ISSUE_DT")</f>
        <v>12/1/2017</v>
      </c>
      <c r="I1608" t="str">
        <f>_xll.BDS("61370RGH Muni","MUNI_PURPOSE_SCHED", "aggregate=y")</f>
        <v>WATER UTILITY IMPS. SEWER IMPS. PUBLIC IMPS.</v>
      </c>
      <c r="J1608">
        <f>_xll.BDP("61370RGH Muni","CPN")</f>
        <v>2.25</v>
      </c>
      <c r="K1608" t="str">
        <f>_xll.BDP("61370RGH Muni","MATURITY")</f>
        <v>4/1/2024</v>
      </c>
      <c r="L1608">
        <v>150000</v>
      </c>
      <c r="M1608">
        <f>_xll.BDP("61370RGH Muni","YIELD_ON_ISSUE_DATE")</f>
        <v>2.25</v>
      </c>
      <c r="N1608">
        <f>_xll.BDP("61370RGH Muni","YTW_SPREAD_TO_MATURITY_AT_ISSU")</f>
        <v>66.094000000000008</v>
      </c>
      <c r="O1608" t="str">
        <f>_xll.BDP("61370RGH Muni","BVAL_MID_YTM")</f>
        <v>#N/A Authorization</v>
      </c>
      <c r="P1608" t="str">
        <f>_xll.BDP("61370RGH Muni","MUNI_TAX_PROV")</f>
        <v>FED BQ</v>
      </c>
      <c r="Q1608" t="str">
        <f>_xll.BDP("61370RGH Muni","MUNI_FED_TAX")</f>
        <v>N</v>
      </c>
      <c r="R1608" t="str">
        <f>_xll.BDP("61370RGH Muni","MUNI_MSRB_VOLUME")</f>
        <v>#N/A N/A</v>
      </c>
      <c r="S1608" t="str">
        <f>_xll.BDP("61370RGH Muni","BB_COMPOSITE")</f>
        <v>AA-</v>
      </c>
      <c r="T1608">
        <f>_xll.BDP("61370RGH Muni","LQA_LIQUIDITY_SCORE")</f>
        <v>81</v>
      </c>
    </row>
    <row r="1609" spans="1:20" x14ac:dyDescent="0.25">
      <c r="A1609" t="str">
        <f>_xll.BDP("61370YHR Muni","ID_CUSIP")</f>
        <v>61370YHR3</v>
      </c>
      <c r="B1609" t="s">
        <v>434</v>
      </c>
      <c r="C1609" t="str">
        <f>_xll.BDP("61370YHR Muni","INSURANCE_STATUS")</f>
        <v>Y</v>
      </c>
      <c r="D1609" t="str">
        <f>_xll.BDP("61370YHR Muni","STATE_CODE")</f>
        <v>TX</v>
      </c>
      <c r="E1609" t="str">
        <f>_xll.BDP("61370YHR Muni","COUNTY_LOCATION_ISSUER")</f>
        <v>Montgomery, TX</v>
      </c>
      <c r="F1609">
        <f>_xll.BDP("61370YHR Muni","DUR_ADJ_MID")</f>
        <v>0.16353989033816269</v>
      </c>
      <c r="G1609">
        <f>_xll.BDP("61370YHR Muni","SPREAD_AT_ISSUANCE_TO_WORST")</f>
        <v>41.356643835616438</v>
      </c>
      <c r="H1609" t="str">
        <f>_xll.BDP("61370YHR Muni","ISSUE_DT")</f>
        <v>12/1/2017</v>
      </c>
      <c r="I1609" t="str">
        <f>_xll.BDS("61370YHR Muni","MUNI_PURPOSE_SCHED", "aggregate=y")</f>
        <v>WATER UTILITY IMPS. SEWER IMPS. PROPERTY ACQUISITION</v>
      </c>
      <c r="J1609">
        <f>_xll.BDP("61370YHR Muni","CPN")</f>
        <v>2</v>
      </c>
      <c r="K1609" t="str">
        <f>_xll.BDP("61370YHR Muni","MATURITY")</f>
        <v>10/1/2022</v>
      </c>
      <c r="L1609">
        <v>210000</v>
      </c>
      <c r="M1609">
        <f>_xll.BDP("61370YHR Muni","YIELD_ON_ISSUE_DATE")</f>
        <v>1.85</v>
      </c>
      <c r="N1609">
        <f>_xll.BDP("61370YHR Muni","YTW_SPREAD_TO_MATURITY_AT_ISSU")</f>
        <v>41.356643835616438</v>
      </c>
      <c r="O1609" t="str">
        <f>_xll.BDP("61370YHR Muni","BVAL_MID_YTM")</f>
        <v>#N/A Authorization</v>
      </c>
      <c r="P1609" t="str">
        <f>_xll.BDP("61370YHR Muni","MUNI_TAX_PROV")</f>
        <v>FED BQ</v>
      </c>
      <c r="Q1609" t="str">
        <f>_xll.BDP("61370YHR Muni","MUNI_FED_TAX")</f>
        <v>N</v>
      </c>
      <c r="R1609" t="str">
        <f>_xll.BDP("61370YHR Muni","MUNI_MSRB_VOLUME")</f>
        <v>#N/A N/A</v>
      </c>
      <c r="S1609" t="str">
        <f>_xll.BDP("61370YHR Muni","BB_COMPOSITE")</f>
        <v>A+</v>
      </c>
      <c r="T1609">
        <f>_xll.BDP("61370YHR Muni","LQA_LIQUIDITY_SCORE")</f>
        <v>99</v>
      </c>
    </row>
    <row r="1610" spans="1:20" x14ac:dyDescent="0.25">
      <c r="A1610" t="str">
        <f>_xll.BDP("61370YHT Muni","ID_CUSIP")</f>
        <v>61370YHT9</v>
      </c>
      <c r="B1610" t="s">
        <v>434</v>
      </c>
      <c r="C1610" t="str">
        <f>_xll.BDP("61370YHT Muni","INSURANCE_STATUS")</f>
        <v>Y</v>
      </c>
      <c r="D1610" t="str">
        <f>_xll.BDP("61370YHT Muni","STATE_CODE")</f>
        <v>TX</v>
      </c>
      <c r="E1610" t="str">
        <f>_xll.BDP("61370YHT Muni","COUNTY_LOCATION_ISSUER")</f>
        <v>Montgomery, TX</v>
      </c>
      <c r="F1610">
        <f>_xll.BDP("61370YHT Muni","DUR_ADJ_MID")</f>
        <v>2.0865650865907734</v>
      </c>
      <c r="G1610">
        <f>_xll.BDP("61370YHT Muni","SPREAD_AT_ISSUANCE_TO_WORST")</f>
        <v>48.290397260273956</v>
      </c>
      <c r="H1610" t="str">
        <f>_xll.BDP("61370YHT Muni","ISSUE_DT")</f>
        <v>12/1/2017</v>
      </c>
      <c r="I1610" t="str">
        <f>_xll.BDS("61370YHT Muni","MUNI_PURPOSE_SCHED", "aggregate=y")</f>
        <v>WATER UTILITY IMPS. SEWER IMPS. PROPERTY ACQUISITION</v>
      </c>
      <c r="J1610">
        <f>_xll.BDP("61370YHT Muni","CPN")</f>
        <v>2.25</v>
      </c>
      <c r="K1610" t="str">
        <f>_xll.BDP("61370YHT Muni","MATURITY")</f>
        <v>10/1/2024</v>
      </c>
      <c r="L1610">
        <v>210000</v>
      </c>
      <c r="M1610">
        <f>_xll.BDP("61370YHT Muni","YIELD_ON_ISSUE_DATE")</f>
        <v>2.15</v>
      </c>
      <c r="N1610">
        <f>_xll.BDP("61370YHT Muni","YTW_SPREAD_TO_MATURITY_AT_ISSU")</f>
        <v>48.290397260273956</v>
      </c>
      <c r="O1610" t="str">
        <f>_xll.BDP("61370YHT Muni","BVAL_MID_YTM")</f>
        <v>#N/A Authorization</v>
      </c>
      <c r="P1610" t="str">
        <f>_xll.BDP("61370YHT Muni","MUNI_TAX_PROV")</f>
        <v>FED BQ</v>
      </c>
      <c r="Q1610" t="str">
        <f>_xll.BDP("61370YHT Muni","MUNI_FED_TAX")</f>
        <v>N</v>
      </c>
      <c r="R1610" t="str">
        <f>_xll.BDP("61370YHT Muni","MUNI_MSRB_VOLUME")</f>
        <v>#N/A N/A</v>
      </c>
      <c r="S1610" t="str">
        <f>_xll.BDP("61370YHT Muni","BB_COMPOSITE")</f>
        <v>A+</v>
      </c>
      <c r="T1610">
        <f>_xll.BDP("61370YHT Muni","LQA_LIQUIDITY_SCORE")</f>
        <v>74</v>
      </c>
    </row>
    <row r="1611" spans="1:20" x14ac:dyDescent="0.25">
      <c r="A1611" t="str">
        <f>_xll.BDP("613715NU Muni","ID_CUSIP")</f>
        <v>613715NU1</v>
      </c>
      <c r="B1611" t="s">
        <v>435</v>
      </c>
      <c r="C1611" t="str">
        <f>_xll.BDP("613715NU Muni","INSURANCE_STATUS")</f>
        <v>Y</v>
      </c>
      <c r="D1611" t="str">
        <f>_xll.BDP("613715NU Muni","STATE_CODE")</f>
        <v>TX</v>
      </c>
      <c r="E1611" t="str">
        <f>_xll.BDP("613715NU Muni","COUNTY_LOCATION_ISSUER")</f>
        <v>Montgomery, TX</v>
      </c>
      <c r="F1611">
        <f>_xll.BDP("613715NU Muni","DUR_ADJ_MID")</f>
        <v>0.56421663089864382</v>
      </c>
      <c r="G1611">
        <f>_xll.BDP("613715NU Muni","SPREAD_AT_ISSUANCE_TO_WORST")</f>
        <v>53.522275679109988</v>
      </c>
      <c r="H1611" t="str">
        <f>_xll.BDP("613715NU Muni","ISSUE_DT")</f>
        <v>9/1/2017</v>
      </c>
      <c r="I1611" t="str">
        <f>_xll.BDS("613715NU Muni","MUNI_PURPOSE_SCHED", "aggregate=y")</f>
        <v>WATER UTILITY IMPS. SEWER IMPS.</v>
      </c>
      <c r="J1611">
        <f>_xll.BDP("613715NU Muni","CPN")</f>
        <v>5</v>
      </c>
      <c r="K1611" t="str">
        <f>_xll.BDP("613715NU Muni","MATURITY")</f>
        <v>3/1/2023</v>
      </c>
      <c r="L1611">
        <v>40000</v>
      </c>
      <c r="M1611">
        <f>_xll.BDP("613715NU Muni","YIELD_ON_ISSUE_DATE")</f>
        <v>1.75</v>
      </c>
      <c r="N1611">
        <f>_xll.BDP("613715NU Muni","YTW_SPREAD_TO_MATURITY_AT_ISSU")</f>
        <v>53.522275679109988</v>
      </c>
      <c r="O1611" t="str">
        <f>_xll.BDP("613715NU Muni","BVAL_MID_YTM")</f>
        <v>#N/A Authorization</v>
      </c>
      <c r="P1611" t="str">
        <f>_xll.BDP("613715NU Muni","MUNI_TAX_PROV")</f>
        <v>FED BQ</v>
      </c>
      <c r="Q1611" t="str">
        <f>_xll.BDP("613715NU Muni","MUNI_FED_TAX")</f>
        <v>N</v>
      </c>
      <c r="R1611" t="str">
        <f>_xll.BDP("613715NU Muni","MUNI_MSRB_VOLUME")</f>
        <v>#N/A N/A</v>
      </c>
      <c r="S1611" t="str">
        <f>_xll.BDP("613715NU Muni","BB_COMPOSITE")</f>
        <v>A+</v>
      </c>
      <c r="T1611">
        <f>_xll.BDP("613715NU Muni","LQA_LIQUIDITY_SCORE")</f>
        <v>90</v>
      </c>
    </row>
    <row r="1612" spans="1:20" x14ac:dyDescent="0.25">
      <c r="A1612" t="str">
        <f>_xll.BDP("62719HZX Muni","ID_CUSIP")</f>
        <v>62719HZX5</v>
      </c>
      <c r="B1612" t="s">
        <v>436</v>
      </c>
      <c r="C1612" t="str">
        <f>_xll.BDP("62719HZX Muni","INSURANCE_STATUS")</f>
        <v>N</v>
      </c>
      <c r="D1612" t="str">
        <f>_xll.BDP("62719HZX Muni","STATE_CODE")</f>
        <v>CA</v>
      </c>
      <c r="E1612" t="str">
        <f>_xll.BDP("62719HZX Muni","COUNTY_LOCATION_ISSUER")</f>
        <v>Riverside, CA</v>
      </c>
      <c r="F1612">
        <f>_xll.BDP("62719HZX Muni","DUR_ADJ_MID")</f>
        <v>8.0444364079900604E-2</v>
      </c>
      <c r="G1612">
        <f>_xll.BDP("62719HZX Muni","SPREAD_AT_ISSUANCE_TO_WORST")</f>
        <v>63.868772602739732</v>
      </c>
      <c r="H1612" t="str">
        <f>_xll.BDP("62719HZX Muni","ISSUE_DT")</f>
        <v>10/31/2017</v>
      </c>
      <c r="I1612" t="str">
        <f>_xll.BDS("62719HZX Muni","MUNI_PURPOSE_SCHED", "aggregate=y")</f>
        <v>SCHOOL IMPS. WATER UTILITY IMPS.</v>
      </c>
      <c r="J1612">
        <f>_xll.BDP("62719HZX Muni","CPN")</f>
        <v>2</v>
      </c>
      <c r="K1612" t="str">
        <f>_xll.BDP("62719HZX Muni","MATURITY")</f>
        <v>9/1/2022</v>
      </c>
      <c r="L1612">
        <v>110000</v>
      </c>
      <c r="M1612">
        <f>_xll.BDP("62719HZX Muni","YIELD_ON_ISSUE_DATE")</f>
        <v>2</v>
      </c>
      <c r="N1612">
        <f>_xll.BDP("62719HZX Muni","YTW_SPREAD_TO_MATURITY_AT_ISSU")</f>
        <v>63.868772602739732</v>
      </c>
      <c r="O1612" t="str">
        <f>_xll.BDP("62719HZX Muni","BVAL_MID_YTM")</f>
        <v>#N/A Authorization</v>
      </c>
      <c r="P1612" t="str">
        <f>_xll.BDP("62719HZX Muni","MUNI_TAX_PROV")</f>
        <v>FED &amp; ST TAX-EXEMPT</v>
      </c>
      <c r="Q1612" t="str">
        <f>_xll.BDP("62719HZX Muni","MUNI_FED_TAX")</f>
        <v>N</v>
      </c>
      <c r="R1612" t="str">
        <f>_xll.BDP("62719HZX Muni","MUNI_MSRB_VOLUME")</f>
        <v>#N/A N/A</v>
      </c>
      <c r="S1612" t="str">
        <f>_xll.BDP("62719HZX Muni","BB_COMPOSITE")</f>
        <v>#N/A N/A</v>
      </c>
      <c r="T1612">
        <f>_xll.BDP("62719HZX Muni","LQA_LIQUIDITY_SCORE")</f>
        <v>83</v>
      </c>
    </row>
    <row r="1613" spans="1:20" x14ac:dyDescent="0.25">
      <c r="A1613" t="str">
        <f>_xll.BDP("62719HZZ Muni","ID_CUSIP")</f>
        <v>62719HZZ0</v>
      </c>
      <c r="B1613" t="s">
        <v>436</v>
      </c>
      <c r="C1613" t="str">
        <f>_xll.BDP("62719HZZ Muni","INSURANCE_STATUS")</f>
        <v>N</v>
      </c>
      <c r="D1613" t="str">
        <f>_xll.BDP("62719HZZ Muni","STATE_CODE")</f>
        <v>CA</v>
      </c>
      <c r="E1613" t="str">
        <f>_xll.BDP("62719HZZ Muni","COUNTY_LOCATION_ISSUER")</f>
        <v>Riverside, CA</v>
      </c>
      <c r="F1613">
        <f>_xll.BDP("62719HZZ Muni","DUR_ADJ_MID")</f>
        <v>1.9612129545077124</v>
      </c>
      <c r="G1613">
        <f>_xll.BDP("62719HZZ Muni","SPREAD_AT_ISSUANCE_TO_WORST")</f>
        <v>78.214767123287672</v>
      </c>
      <c r="H1613" t="str">
        <f>_xll.BDP("62719HZZ Muni","ISSUE_DT")</f>
        <v>10/31/2017</v>
      </c>
      <c r="I1613" t="str">
        <f>_xll.BDS("62719HZZ Muni","MUNI_PURPOSE_SCHED", "aggregate=y")</f>
        <v>SCHOOL IMPS. WATER UTILITY IMPS.</v>
      </c>
      <c r="J1613">
        <f>_xll.BDP("62719HZZ Muni","CPN")</f>
        <v>4</v>
      </c>
      <c r="K1613" t="str">
        <f>_xll.BDP("62719HZZ Muni","MATURITY")</f>
        <v>9/1/2024</v>
      </c>
      <c r="L1613">
        <v>115000</v>
      </c>
      <c r="M1613">
        <f>_xll.BDP("62719HZZ Muni","YIELD_ON_ISSUE_DATE")</f>
        <v>2.41</v>
      </c>
      <c r="N1613">
        <f>_xll.BDP("62719HZZ Muni","YTW_SPREAD_TO_MATURITY_AT_ISSU")</f>
        <v>78.214767123287672</v>
      </c>
      <c r="O1613" t="str">
        <f>_xll.BDP("62719HZZ Muni","BVAL_MID_YTM")</f>
        <v>#N/A Authorization</v>
      </c>
      <c r="P1613" t="str">
        <f>_xll.BDP("62719HZZ Muni","MUNI_TAX_PROV")</f>
        <v>FED &amp; ST TAX-EXEMPT</v>
      </c>
      <c r="Q1613" t="str">
        <f>_xll.BDP("62719HZZ Muni","MUNI_FED_TAX")</f>
        <v>N</v>
      </c>
      <c r="R1613" t="str">
        <f>_xll.BDP("62719HZZ Muni","MUNI_MSRB_VOLUME")</f>
        <v>#N/A N/A</v>
      </c>
      <c r="S1613" t="str">
        <f>_xll.BDP("62719HZZ Muni","BB_COMPOSITE")</f>
        <v>#N/A N/A</v>
      </c>
      <c r="T1613">
        <f>_xll.BDP("62719HZZ Muni","LQA_LIQUIDITY_SCORE")</f>
        <v>21</v>
      </c>
    </row>
    <row r="1614" spans="1:20" x14ac:dyDescent="0.25">
      <c r="A1614" t="str">
        <f>_xll.BDP("627298AF Muni","ID_CUSIP")</f>
        <v>627298AF9</v>
      </c>
      <c r="B1614" t="s">
        <v>437</v>
      </c>
      <c r="C1614" t="str">
        <f>_xll.BDP("627298AF Muni","INSURANCE_STATUS")</f>
        <v>Y</v>
      </c>
      <c r="D1614" t="str">
        <f>_xll.BDP("627298AF Muni","STATE_CODE")</f>
        <v>IA</v>
      </c>
      <c r="E1614" t="str">
        <f>_xll.BDP("627298AF Muni","COUNTY_LOCATION_ISSUER")</f>
        <v>Muscatine, IA</v>
      </c>
      <c r="F1614">
        <f>_xll.BDP("627298AF Muni","DUR_ADJ_MID")</f>
        <v>1.2846156639603605</v>
      </c>
      <c r="G1614">
        <f>_xll.BDP("627298AF Muni","SPREAD_AT_ISSUANCE_TO_WORST")</f>
        <v>46.846189901401701</v>
      </c>
      <c r="H1614" t="str">
        <f>_xll.BDP("627298AF Muni","ISSUE_DT")</f>
        <v>6/29/2017</v>
      </c>
      <c r="I1614" t="str">
        <f>_xll.BDS("627298AF Muni","MUNI_PURPOSE_SCHED", "aggregate=y")</f>
        <v>WATER UTILITY IMPS.</v>
      </c>
      <c r="J1614">
        <f>_xll.BDP("627298AF Muni","CPN")</f>
        <v>5</v>
      </c>
      <c r="K1614" t="str">
        <f>_xll.BDP("627298AF Muni","MATURITY")</f>
        <v>12/1/2023</v>
      </c>
      <c r="L1614">
        <v>425000</v>
      </c>
      <c r="M1614">
        <f>_xll.BDP("627298AF Muni","YIELD_ON_ISSUE_DATE")</f>
        <v>1.9000000000000001</v>
      </c>
      <c r="N1614">
        <f>_xll.BDP("627298AF Muni","YTW_SPREAD_TO_MATURITY_AT_ISSU")</f>
        <v>46.846189901401701</v>
      </c>
      <c r="O1614" t="str">
        <f>_xll.BDP("627298AF Muni","BVAL_MID_YTM")</f>
        <v>#N/A Authorization</v>
      </c>
      <c r="P1614" t="str">
        <f>_xll.BDP("627298AF Muni","MUNI_TAX_PROV")</f>
        <v>FED TAX-EXEMPT/ST TAXABLE</v>
      </c>
      <c r="Q1614" t="str">
        <f>_xll.BDP("627298AF Muni","MUNI_FED_TAX")</f>
        <v>N</v>
      </c>
      <c r="R1614" t="str">
        <f>_xll.BDP("627298AF Muni","MUNI_MSRB_VOLUME")</f>
        <v>#N/A N/A</v>
      </c>
      <c r="S1614" t="str">
        <f>_xll.BDP("627298AF Muni","BB_COMPOSITE")</f>
        <v>#N/A N/A</v>
      </c>
      <c r="T1614">
        <f>_xll.BDP("627298AF Muni","LQA_LIQUIDITY_SCORE")</f>
        <v>90</v>
      </c>
    </row>
    <row r="1615" spans="1:20" x14ac:dyDescent="0.25">
      <c r="A1615" t="str">
        <f>_xll.BDP("627298AH Muni","ID_CUSIP")</f>
        <v>627298AH5</v>
      </c>
      <c r="B1615" t="s">
        <v>437</v>
      </c>
      <c r="C1615" t="str">
        <f>_xll.BDP("627298AH Muni","INSURANCE_STATUS")</f>
        <v>Y</v>
      </c>
      <c r="D1615" t="str">
        <f>_xll.BDP("627298AH Muni","STATE_CODE")</f>
        <v>IA</v>
      </c>
      <c r="E1615" t="str">
        <f>_xll.BDP("627298AH Muni","COUNTY_LOCATION_ISSUER")</f>
        <v>Muscatine, IA</v>
      </c>
      <c r="F1615">
        <f>_xll.BDP("627298AH Muni","DUR_ADJ_MID")</f>
        <v>3.067893225971229</v>
      </c>
      <c r="G1615">
        <f>_xll.BDP("627298AH Muni","SPREAD_AT_ISSUANCE_TO_WORST")</f>
        <v>48.119940869767895</v>
      </c>
      <c r="H1615" t="str">
        <f>_xll.BDP("627298AH Muni","ISSUE_DT")</f>
        <v>6/29/2017</v>
      </c>
      <c r="I1615" t="str">
        <f>_xll.BDS("627298AH Muni","MUNI_PURPOSE_SCHED", "aggregate=y")</f>
        <v>WATER UTILITY IMPS.</v>
      </c>
      <c r="J1615">
        <f>_xll.BDP("627298AH Muni","CPN")</f>
        <v>5</v>
      </c>
      <c r="K1615" t="str">
        <f>_xll.BDP("627298AH Muni","MATURITY")</f>
        <v>12/1/2025</v>
      </c>
      <c r="L1615">
        <v>470000</v>
      </c>
      <c r="M1615">
        <f>_xll.BDP("627298AH Muni","YIELD_ON_ISSUE_DATE")</f>
        <v>2.2000000000000002</v>
      </c>
      <c r="N1615">
        <f>_xll.BDP("627298AH Muni","YTW_SPREAD_TO_MATURITY_AT_ISSU")</f>
        <v>48.119940869767895</v>
      </c>
      <c r="O1615" t="str">
        <f>_xll.BDP("627298AH Muni","BVAL_MID_YTM")</f>
        <v>#N/A Authorization</v>
      </c>
      <c r="P1615" t="str">
        <f>_xll.BDP("627298AH Muni","MUNI_TAX_PROV")</f>
        <v>FED TAX-EXEMPT/ST TAXABLE</v>
      </c>
      <c r="Q1615" t="str">
        <f>_xll.BDP("627298AH Muni","MUNI_FED_TAX")</f>
        <v>N</v>
      </c>
      <c r="R1615" t="str">
        <f>_xll.BDP("627298AH Muni","MUNI_MSRB_VOLUME")</f>
        <v>#N/A N/A</v>
      </c>
      <c r="S1615" t="str">
        <f>_xll.BDP("627298AH Muni","BB_COMPOSITE")</f>
        <v>#N/A N/A</v>
      </c>
      <c r="T1615">
        <f>_xll.BDP("627298AH Muni","LQA_LIQUIDITY_SCORE")</f>
        <v>71</v>
      </c>
    </row>
    <row r="1616" spans="1:20" x14ac:dyDescent="0.25">
      <c r="A1616" t="str">
        <f>_xll.BDP("61371FJP Muni","ID_CUSIP")</f>
        <v>61371FJP5</v>
      </c>
      <c r="B1616" t="s">
        <v>438</v>
      </c>
      <c r="C1616" t="str">
        <f>_xll.BDP("61371FJP Muni","INSURANCE_STATUS")</f>
        <v>Y</v>
      </c>
      <c r="D1616" t="str">
        <f>_xll.BDP("61371FJP Muni","STATE_CODE")</f>
        <v>TX</v>
      </c>
      <c r="E1616" t="str">
        <f>_xll.BDP("61371FJP Muni","COUNTY_LOCATION_ISSUER")</f>
        <v>Harris, TX</v>
      </c>
      <c r="F1616">
        <f>_xll.BDP("61371FJP Muni","DUR_ADJ_MID")</f>
        <v>0.64986458621156351</v>
      </c>
      <c r="G1616">
        <f>_xll.BDP("61371FJP Muni","SPREAD_AT_ISSUANCE_TO_WORST")</f>
        <v>39.874397260273973</v>
      </c>
      <c r="H1616" t="str">
        <f>_xll.BDP("61371FJP Muni","ISSUE_DT")</f>
        <v>12/1/2017</v>
      </c>
      <c r="I1616" t="str">
        <f>_xll.BDS("61371FJP Muni","MUNI_PURPOSE_SCHED", "aggregate=y")</f>
        <v>WATER UTILITY IMPS. SEWER IMPS.</v>
      </c>
      <c r="J1616">
        <f>_xll.BDP("61371FJP Muni","CPN")</f>
        <v>4</v>
      </c>
      <c r="K1616" t="str">
        <f>_xll.BDP("61371FJP Muni","MATURITY")</f>
        <v>4/1/2023</v>
      </c>
      <c r="L1616">
        <v>575000</v>
      </c>
      <c r="M1616">
        <f>_xll.BDP("61371FJP Muni","YIELD_ON_ISSUE_DATE")</f>
        <v>1.9000000000000001</v>
      </c>
      <c r="N1616">
        <f>_xll.BDP("61371FJP Muni","YTW_SPREAD_TO_MATURITY_AT_ISSU")</f>
        <v>39.874397260273973</v>
      </c>
      <c r="O1616" t="str">
        <f>_xll.BDP("61371FJP Muni","BVAL_MID_YTM")</f>
        <v>#N/A Authorization</v>
      </c>
      <c r="P1616" t="str">
        <f>_xll.BDP("61371FJP Muni","MUNI_TAX_PROV")</f>
        <v>FED TAX-EXEMPT</v>
      </c>
      <c r="Q1616" t="str">
        <f>_xll.BDP("61371FJP Muni","MUNI_FED_TAX")</f>
        <v>N</v>
      </c>
      <c r="R1616" t="str">
        <f>_xll.BDP("61371FJP Muni","MUNI_MSRB_VOLUME")</f>
        <v>#N/A N/A</v>
      </c>
      <c r="S1616" t="str">
        <f>_xll.BDP("61371FJP Muni","BB_COMPOSITE")</f>
        <v>A+</v>
      </c>
      <c r="T1616">
        <f>_xll.BDP("61371FJP Muni","LQA_LIQUIDITY_SCORE")</f>
        <v>95</v>
      </c>
    </row>
    <row r="1617" spans="1:20" x14ac:dyDescent="0.25">
      <c r="A1617" t="str">
        <f>_xll.BDP("61371TBE Muni","ID_CUSIP")</f>
        <v>61371TBE8</v>
      </c>
      <c r="B1617" t="s">
        <v>439</v>
      </c>
      <c r="C1617" t="str">
        <f>_xll.BDP("61371TBE Muni","INSURANCE_STATUS")</f>
        <v>N</v>
      </c>
      <c r="D1617" t="str">
        <f>_xll.BDP("61371TBE Muni","STATE_CODE")</f>
        <v>TX</v>
      </c>
      <c r="E1617" t="str">
        <f>_xll.BDP("61371TBE Muni","COUNTY_LOCATION_ISSUER")</f>
        <v>Montgomery, TX</v>
      </c>
      <c r="F1617">
        <f>_xll.BDP("61371TBE Muni","DUR_ADJ_MID")</f>
        <v>1.0477482866223664</v>
      </c>
      <c r="G1617">
        <f>_xll.BDP("61371TBE Muni","SPREAD_AT_ISSUANCE_TO_WORST")</f>
        <v>110.26678082191783</v>
      </c>
      <c r="H1617" t="str">
        <f>_xll.BDP("61371TBE Muni","ISSUE_DT")</f>
        <v>10/1/2017</v>
      </c>
      <c r="I1617" t="str">
        <f>_xll.BDS("61371TBE Muni","MUNI_PURPOSE_SCHED", "aggregate=y")</f>
        <v>WATER UTILITY IMPS. SEWER IMPS.</v>
      </c>
      <c r="J1617">
        <f>_xll.BDP("61371TBE Muni","CPN")</f>
        <v>3</v>
      </c>
      <c r="K1617" t="str">
        <f>_xll.BDP("61371TBE Muni","MATURITY")</f>
        <v>9/1/2023</v>
      </c>
      <c r="L1617">
        <v>180000</v>
      </c>
      <c r="M1617">
        <f>_xll.BDP("61371TBE Muni","YIELD_ON_ISSUE_DATE")</f>
        <v>2.6</v>
      </c>
      <c r="N1617">
        <f>_xll.BDP("61371TBE Muni","YTW_SPREAD_TO_MATURITY_AT_ISSU")</f>
        <v>110.26678082191783</v>
      </c>
      <c r="O1617" t="str">
        <f>_xll.BDP("61371TBE Muni","BVAL_MID_YTM")</f>
        <v>#N/A Authorization</v>
      </c>
      <c r="P1617" t="str">
        <f>_xll.BDP("61371TBE Muni","MUNI_TAX_PROV")</f>
        <v>FED BQ</v>
      </c>
      <c r="Q1617" t="str">
        <f>_xll.BDP("61371TBE Muni","MUNI_FED_TAX")</f>
        <v>N</v>
      </c>
      <c r="R1617" t="str">
        <f>_xll.BDP("61371TBE Muni","MUNI_MSRB_VOLUME")</f>
        <v>#N/A N/A</v>
      </c>
      <c r="S1617" t="str">
        <f>_xll.BDP("61371TBE Muni","BB_COMPOSITE")</f>
        <v>#N/A N/A</v>
      </c>
      <c r="T1617">
        <f>_xll.BDP("61371TBE Muni","LQA_LIQUIDITY_SCORE")</f>
        <v>85</v>
      </c>
    </row>
    <row r="1618" spans="1:20" x14ac:dyDescent="0.25">
      <c r="A1618" t="str">
        <f>_xll.BDP("61372GBE Muni","ID_CUSIP")</f>
        <v>61372GBE5</v>
      </c>
      <c r="B1618" t="s">
        <v>440</v>
      </c>
      <c r="C1618" t="str">
        <f>_xll.BDP("61372GBE Muni","INSURANCE_STATUS")</f>
        <v>N</v>
      </c>
      <c r="D1618" t="str">
        <f>_xll.BDP("61372GBE Muni","STATE_CODE")</f>
        <v>TX</v>
      </c>
      <c r="E1618" t="str">
        <f>_xll.BDP("61372GBE Muni","COUNTY_LOCATION_ISSUER")</f>
        <v>#N/A Field Not Applicable</v>
      </c>
      <c r="F1618">
        <f>_xll.BDP("61372GBE Muni","DUR_ADJ_MID")</f>
        <v>8.0460773930264462E-2</v>
      </c>
      <c r="G1618">
        <f>_xll.BDP("61372GBE Muni","SPREAD_AT_ISSUANCE_TO_WORST")</f>
        <v>119.86417241817642</v>
      </c>
      <c r="H1618" t="str">
        <f>_xll.BDP("61372GBE Muni","ISSUE_DT")</f>
        <v>10/1/2017</v>
      </c>
      <c r="I1618" t="str">
        <f>_xll.BDS("61372GBE Muni","MUNI_PURPOSE_SCHED", "aggregate=y")</f>
        <v>SEWER IMPS. WATER UTILITY IMPS.</v>
      </c>
      <c r="J1618">
        <f>_xll.BDP("61372GBE Muni","CPN")</f>
        <v>2.75</v>
      </c>
      <c r="K1618" t="str">
        <f>_xll.BDP("61372GBE Muni","MATURITY")</f>
        <v>9/1/2022</v>
      </c>
      <c r="L1618">
        <v>65000</v>
      </c>
      <c r="M1618">
        <f>_xll.BDP("61372GBE Muni","YIELD_ON_ISSUE_DATE")</f>
        <v>2.4000000000000004</v>
      </c>
      <c r="N1618">
        <f>_xll.BDP("61372GBE Muni","YTW_SPREAD_TO_MATURITY_AT_ISSU")</f>
        <v>119.86417241817642</v>
      </c>
      <c r="O1618" t="str">
        <f>_xll.BDP("61372GBE Muni","BVAL_MID_YTM")</f>
        <v>#N/A Authorization</v>
      </c>
      <c r="P1618" t="str">
        <f>_xll.BDP("61372GBE Muni","MUNI_TAX_PROV")</f>
        <v>FED BQ</v>
      </c>
      <c r="Q1618" t="str">
        <f>_xll.BDP("61372GBE Muni","MUNI_FED_TAX")</f>
        <v>N</v>
      </c>
      <c r="R1618" t="str">
        <f>_xll.BDP("61372GBE Muni","MUNI_MSRB_VOLUME")</f>
        <v>#N/A N/A</v>
      </c>
      <c r="S1618" t="str">
        <f>_xll.BDP("61372GBE Muni","BB_COMPOSITE")</f>
        <v>#N/A N/A</v>
      </c>
      <c r="T1618">
        <f>_xll.BDP("61372GBE Muni","LQA_LIQUIDITY_SCORE")</f>
        <v>94</v>
      </c>
    </row>
    <row r="1619" spans="1:20" x14ac:dyDescent="0.25">
      <c r="A1619" t="str">
        <f>_xll.BDP("6490245S Muni","ID_CUSIP")</f>
        <v>6490245S1</v>
      </c>
      <c r="B1619" t="s">
        <v>138</v>
      </c>
      <c r="C1619" t="str">
        <f>_xll.BDP("6490245S Muni","INSURANCE_STATUS")</f>
        <v>N</v>
      </c>
      <c r="D1619" t="str">
        <f>_xll.BDP("6490245S Muni","STATE_CODE")</f>
        <v>MN</v>
      </c>
      <c r="E1619" t="str">
        <f>_xll.BDP("6490245S Muni","COUNTY_LOCATION_ISSUER")</f>
        <v>Brown, MN</v>
      </c>
      <c r="F1619">
        <f>_xll.BDP("6490245S Muni","DUR_ADJ_MID")</f>
        <v>1.3053155127220819</v>
      </c>
      <c r="G1619">
        <f>_xll.BDP("6490245S Muni","SPREAD_AT_ISSUANCE_TO_WORST")</f>
        <v>14.079207690985807</v>
      </c>
      <c r="H1619" t="str">
        <f>_xll.BDP("6490245S Muni","ISSUE_DT")</f>
        <v>9/5/2017</v>
      </c>
      <c r="I1619" t="str">
        <f>_xll.BDS("6490245S Muni","MUNI_PURPOSE_SCHED", "aggregate=y")</f>
        <v>PUBLIC IMPS. WATER UTILITY IMPS. SEWER IMPS.</v>
      </c>
      <c r="J1619">
        <f>_xll.BDP("6490245S Muni","CPN")</f>
        <v>2</v>
      </c>
      <c r="K1619" t="str">
        <f>_xll.BDP("6490245S Muni","MATURITY")</f>
        <v>12/1/2023</v>
      </c>
      <c r="L1619">
        <v>255000</v>
      </c>
      <c r="M1619">
        <f>_xll.BDP("6490245S Muni","YIELD_ON_ISSUE_DATE")</f>
        <v>1.55</v>
      </c>
      <c r="N1619">
        <f>_xll.BDP("6490245S Muni","YTW_SPREAD_TO_MATURITY_AT_ISSU")</f>
        <v>14.079207690985807</v>
      </c>
      <c r="O1619" t="str">
        <f>_xll.BDP("6490245S Muni","BVAL_MID_YTM")</f>
        <v>#N/A Authorization</v>
      </c>
      <c r="P1619" t="str">
        <f>_xll.BDP("6490245S Muni","MUNI_TAX_PROV")</f>
        <v>FED BQ/ST TAX-EXEMPT</v>
      </c>
      <c r="Q1619" t="str">
        <f>_xll.BDP("6490245S Muni","MUNI_FED_TAX")</f>
        <v>N</v>
      </c>
      <c r="R1619" t="str">
        <f>_xll.BDP("6490245S Muni","MUNI_MSRB_VOLUME")</f>
        <v>#N/A N/A</v>
      </c>
      <c r="S1619" t="str">
        <f>_xll.BDP("6490245S Muni","BB_COMPOSITE")</f>
        <v>#N/A N/A</v>
      </c>
      <c r="T1619">
        <f>_xll.BDP("6490245S Muni","LQA_LIQUIDITY_SCORE")</f>
        <v>81</v>
      </c>
    </row>
    <row r="1620" spans="1:20" x14ac:dyDescent="0.25">
      <c r="A1620" t="str">
        <f>_xll.BDP("6490245R Muni","ID_CUSIP")</f>
        <v>6490245R3</v>
      </c>
      <c r="B1620" t="s">
        <v>138</v>
      </c>
      <c r="C1620" t="str">
        <f>_xll.BDP("6490245R Muni","INSURANCE_STATUS")</f>
        <v>N</v>
      </c>
      <c r="D1620" t="str">
        <f>_xll.BDP("6490245R Muni","STATE_CODE")</f>
        <v>MN</v>
      </c>
      <c r="E1620" t="str">
        <f>_xll.BDP("6490245R Muni","COUNTY_LOCATION_ISSUER")</f>
        <v>Brown, MN</v>
      </c>
      <c r="F1620">
        <f>_xll.BDP("6490245R Muni","DUR_ADJ_MID")</f>
        <v>0.32947941393962299</v>
      </c>
      <c r="G1620">
        <f>_xll.BDP("6490245R Muni","SPREAD_AT_ISSUANCE_TO_WORST")</f>
        <v>14.066186614603083</v>
      </c>
      <c r="H1620" t="str">
        <f>_xll.BDP("6490245R Muni","ISSUE_DT")</f>
        <v>9/5/2017</v>
      </c>
      <c r="I1620" t="str">
        <f>_xll.BDS("6490245R Muni","MUNI_PURPOSE_SCHED", "aggregate=y")</f>
        <v>PUBLIC IMPS. WATER UTILITY IMPS. SEWER IMPS.</v>
      </c>
      <c r="J1620">
        <f>_xll.BDP("6490245R Muni","CPN")</f>
        <v>2</v>
      </c>
      <c r="K1620" t="str">
        <f>_xll.BDP("6490245R Muni","MATURITY")</f>
        <v>12/1/2022</v>
      </c>
      <c r="L1620">
        <v>245000</v>
      </c>
      <c r="M1620">
        <f>_xll.BDP("6490245R Muni","YIELD_ON_ISSUE_DATE")</f>
        <v>1.4000000000000001</v>
      </c>
      <c r="N1620">
        <f>_xll.BDP("6490245R Muni","YTW_SPREAD_TO_MATURITY_AT_ISSU")</f>
        <v>14.066186614603083</v>
      </c>
      <c r="O1620" t="str">
        <f>_xll.BDP("6490245R Muni","BVAL_MID_YTM")</f>
        <v>#N/A Authorization</v>
      </c>
      <c r="P1620" t="str">
        <f>_xll.BDP("6490245R Muni","MUNI_TAX_PROV")</f>
        <v>FED BQ/ST TAX-EXEMPT</v>
      </c>
      <c r="Q1620" t="str">
        <f>_xll.BDP("6490245R Muni","MUNI_FED_TAX")</f>
        <v>N</v>
      </c>
      <c r="R1620" t="str">
        <f>_xll.BDP("6490245R Muni","MUNI_MSRB_VOLUME")</f>
        <v>#N/A N/A</v>
      </c>
      <c r="S1620" t="str">
        <f>_xll.BDP("6490245R Muni","BB_COMPOSITE")</f>
        <v>#N/A N/A</v>
      </c>
      <c r="T1620">
        <f>_xll.BDP("6490245R Muni","LQA_LIQUIDITY_SCORE")</f>
        <v>94</v>
      </c>
    </row>
    <row r="1621" spans="1:20" x14ac:dyDescent="0.25">
      <c r="A1621" t="str">
        <f>_xll.BDP("6490245T Muni","ID_CUSIP")</f>
        <v>6490245T9</v>
      </c>
      <c r="B1621" t="s">
        <v>138</v>
      </c>
      <c r="C1621" t="str">
        <f>_xll.BDP("6490245T Muni","INSURANCE_STATUS")</f>
        <v>N</v>
      </c>
      <c r="D1621" t="str">
        <f>_xll.BDP("6490245T Muni","STATE_CODE")</f>
        <v>MN</v>
      </c>
      <c r="E1621" t="str">
        <f>_xll.BDP("6490245T Muni","COUNTY_LOCATION_ISSUER")</f>
        <v>Brown, MN</v>
      </c>
      <c r="F1621">
        <f>_xll.BDP("6490245T Muni","DUR_ADJ_MID")</f>
        <v>2.2612055283549184</v>
      </c>
      <c r="G1621">
        <f>_xll.BDP("6490245T Muni","SPREAD_AT_ISSUANCE_TO_WORST")</f>
        <v>13.930832963159002</v>
      </c>
      <c r="H1621" t="str">
        <f>_xll.BDP("6490245T Muni","ISSUE_DT")</f>
        <v>9/5/2017</v>
      </c>
      <c r="I1621" t="str">
        <f>_xll.BDS("6490245T Muni","MUNI_PURPOSE_SCHED", "aggregate=y")</f>
        <v>PUBLIC IMPS. WATER UTILITY IMPS. SEWER IMPS.</v>
      </c>
      <c r="J1621">
        <f>_xll.BDP("6490245T Muni","CPN")</f>
        <v>2</v>
      </c>
      <c r="K1621" t="str">
        <f>_xll.BDP("6490245T Muni","MATURITY")</f>
        <v>12/1/2024</v>
      </c>
      <c r="L1621">
        <v>260000</v>
      </c>
      <c r="M1621">
        <f>_xll.BDP("6490245T Muni","YIELD_ON_ISSUE_DATE")</f>
        <v>1.7000000000000002</v>
      </c>
      <c r="N1621">
        <f>_xll.BDP("6490245T Muni","YTW_SPREAD_TO_MATURITY_AT_ISSU")</f>
        <v>13.930832963159002</v>
      </c>
      <c r="O1621" t="str">
        <f>_xll.BDP("6490245T Muni","BVAL_MID_YTM")</f>
        <v>#N/A Authorization</v>
      </c>
      <c r="P1621" t="str">
        <f>_xll.BDP("6490245T Muni","MUNI_TAX_PROV")</f>
        <v>FED BQ/ST TAX-EXEMPT</v>
      </c>
      <c r="Q1621" t="str">
        <f>_xll.BDP("6490245T Muni","MUNI_FED_TAX")</f>
        <v>N</v>
      </c>
      <c r="R1621" t="str">
        <f>_xll.BDP("6490245T Muni","MUNI_MSRB_VOLUME")</f>
        <v>#N/A N/A</v>
      </c>
      <c r="S1621" t="str">
        <f>_xll.BDP("6490245T Muni","BB_COMPOSITE")</f>
        <v>#N/A N/A</v>
      </c>
      <c r="T1621">
        <f>_xll.BDP("6490245T Muni","LQA_LIQUIDITY_SCORE")</f>
        <v>70</v>
      </c>
    </row>
    <row r="1622" spans="1:20" x14ac:dyDescent="0.25">
      <c r="A1622" t="str">
        <f>_xll.BDP("407576ER Muni","ID_CUSIP")</f>
        <v>407576ER4</v>
      </c>
      <c r="B1622" t="s">
        <v>430</v>
      </c>
      <c r="C1622" t="str">
        <f>_xll.BDP("407576ER Muni","INSURANCE_STATUS")</f>
        <v>N</v>
      </c>
      <c r="D1622" t="str">
        <f>_xll.BDP("407576ER Muni","STATE_CODE")</f>
        <v>MA</v>
      </c>
      <c r="E1622" t="str">
        <f>_xll.BDP("407576ER Muni","COUNTY_LOCATION_ISSUER")</f>
        <v>Essex, MA</v>
      </c>
      <c r="F1622">
        <f>_xll.BDP("407576ER Muni","DUR_ADJ_MID")</f>
        <v>2.5258298235186789</v>
      </c>
      <c r="G1622">
        <f>_xll.BDP("407576ER Muni","SPREAD_AT_ISSUANCE_TO_WORST")</f>
        <v>3.2930385991886579</v>
      </c>
      <c r="H1622" t="str">
        <f>_xll.BDP("407576ER Muni","ISSUE_DT")</f>
        <v>5/10/2017</v>
      </c>
      <c r="I1622" t="str">
        <f>_xll.BDS("407576ER Muni","MUNI_PURPOSE_SCHED", "aggregate=y")</f>
        <v>WATER UTILITY IMPS. RESOURCE RECOVERY IMPS. REFUNDING NOTES</v>
      </c>
      <c r="J1622">
        <f>_xll.BDP("407576ER Muni","CPN")</f>
        <v>2</v>
      </c>
      <c r="K1622" t="str">
        <f>_xll.BDP("407576ER Muni","MATURITY")</f>
        <v>3/15/2025</v>
      </c>
      <c r="L1622">
        <v>180000</v>
      </c>
      <c r="M1622">
        <f>_xll.BDP("407576ER Muni","YIELD_ON_ISSUE_DATE")</f>
        <v>1.8900000000000001</v>
      </c>
      <c r="N1622">
        <f>_xll.BDP("407576ER Muni","YTW_SPREAD_TO_MATURITY_AT_ISSU")</f>
        <v>3.2930385991886579</v>
      </c>
      <c r="O1622" t="str">
        <f>_xll.BDP("407576ER Muni","BVAL_MID_YTM")</f>
        <v>#N/A Authorization</v>
      </c>
      <c r="P1622" t="str">
        <f>_xll.BDP("407576ER Muni","MUNI_TAX_PROV")</f>
        <v>FED BQ/ST TAX-EXEMPT</v>
      </c>
      <c r="Q1622" t="str">
        <f>_xll.BDP("407576ER Muni","MUNI_FED_TAX")</f>
        <v>N</v>
      </c>
      <c r="R1622" t="str">
        <f>_xll.BDP("407576ER Muni","MUNI_MSRB_VOLUME")</f>
        <v>#N/A N/A</v>
      </c>
      <c r="S1622" t="str">
        <f>_xll.BDP("407576ER Muni","BB_COMPOSITE")</f>
        <v>#N/A N/A</v>
      </c>
      <c r="T1622">
        <f>_xll.BDP("407576ER Muni","LQA_LIQUIDITY_SCORE")</f>
        <v>73</v>
      </c>
    </row>
    <row r="1623" spans="1:20" x14ac:dyDescent="0.25">
      <c r="A1623" t="str">
        <f>_xll.BDP("407576ES Muni","ID_CUSIP")</f>
        <v>407576ES2</v>
      </c>
      <c r="B1623" t="s">
        <v>430</v>
      </c>
      <c r="C1623" t="str">
        <f>_xll.BDP("407576ES Muni","INSURANCE_STATUS")</f>
        <v>N</v>
      </c>
      <c r="D1623" t="str">
        <f>_xll.BDP("407576ES Muni","STATE_CODE")</f>
        <v>MA</v>
      </c>
      <c r="E1623" t="str">
        <f>_xll.BDP("407576ES Muni","COUNTY_LOCATION_ISSUER")</f>
        <v>Essex, MA</v>
      </c>
      <c r="F1623">
        <f>_xll.BDP("407576ES Muni","DUR_ADJ_MID")</f>
        <v>3.3951102228025887</v>
      </c>
      <c r="G1623">
        <f>_xll.BDP("407576ES Muni","SPREAD_AT_ISSUANCE_TO_WORST")</f>
        <v>4.6682226389447301</v>
      </c>
      <c r="H1623" t="str">
        <f>_xll.BDP("407576ES Muni","ISSUE_DT")</f>
        <v>5/10/2017</v>
      </c>
      <c r="I1623" t="str">
        <f>_xll.BDS("407576ES Muni","MUNI_PURPOSE_SCHED", "aggregate=y")</f>
        <v>WATER UTILITY IMPS. RESOURCE RECOVERY IMPS. REFUNDING NOTES</v>
      </c>
      <c r="J1623">
        <f>_xll.BDP("407576ES Muni","CPN")</f>
        <v>3</v>
      </c>
      <c r="K1623" t="str">
        <f>_xll.BDP("407576ES Muni","MATURITY")</f>
        <v>3/15/2026</v>
      </c>
      <c r="L1623">
        <v>180000</v>
      </c>
      <c r="M1623">
        <f>_xll.BDP("407576ES Muni","YIELD_ON_ISSUE_DATE")</f>
        <v>2.0499999999999998</v>
      </c>
      <c r="N1623">
        <f>_xll.BDP("407576ES Muni","YTW_SPREAD_TO_MATURITY_AT_ISSU")</f>
        <v>4.6682226389447301</v>
      </c>
      <c r="O1623" t="str">
        <f>_xll.BDP("407576ES Muni","BVAL_MID_YTM")</f>
        <v>#N/A Authorization</v>
      </c>
      <c r="P1623" t="str">
        <f>_xll.BDP("407576ES Muni","MUNI_TAX_PROV")</f>
        <v>FED BQ/ST TAX-EXEMPT</v>
      </c>
      <c r="Q1623" t="str">
        <f>_xll.BDP("407576ES Muni","MUNI_FED_TAX")</f>
        <v>N</v>
      </c>
      <c r="R1623" t="str">
        <f>_xll.BDP("407576ES Muni","MUNI_MSRB_VOLUME")</f>
        <v>#N/A N/A</v>
      </c>
      <c r="S1623" t="str">
        <f>_xll.BDP("407576ES Muni","BB_COMPOSITE")</f>
        <v>#N/A N/A</v>
      </c>
      <c r="T1623">
        <f>_xll.BDP("407576ES Muni","LQA_LIQUIDITY_SCORE")</f>
        <v>73</v>
      </c>
    </row>
    <row r="1624" spans="1:20" x14ac:dyDescent="0.25">
      <c r="A1624" t="str">
        <f>_xll.BDP("407576ET Muni","ID_CUSIP")</f>
        <v>407576ET0</v>
      </c>
      <c r="B1624" t="s">
        <v>430</v>
      </c>
      <c r="C1624" t="str">
        <f>_xll.BDP("407576ET Muni","INSURANCE_STATUS")</f>
        <v>N</v>
      </c>
      <c r="D1624" t="str">
        <f>_xll.BDP("407576ET Muni","STATE_CODE")</f>
        <v>MA</v>
      </c>
      <c r="E1624" t="str">
        <f>_xll.BDP("407576ET Muni","COUNTY_LOCATION_ISSUER")</f>
        <v>Essex, MA</v>
      </c>
      <c r="F1624">
        <f>_xll.BDP("407576ET Muni","DUR_ADJ_MID")</f>
        <v>4.2717765409737032</v>
      </c>
      <c r="G1624">
        <f>_xll.BDP("407576ET Muni","SPREAD_AT_ISSUANCE_TO_WORST")</f>
        <v>2.7839752977908194</v>
      </c>
      <c r="H1624" t="str">
        <f>_xll.BDP("407576ET Muni","ISSUE_DT")</f>
        <v>5/10/2017</v>
      </c>
      <c r="I1624" t="str">
        <f>_xll.BDS("407576ET Muni","MUNI_PURPOSE_SCHED", "aggregate=y")</f>
        <v>WATER UTILITY IMPS. RESOURCE RECOVERY IMPS. REFUNDING NOTES</v>
      </c>
      <c r="J1624">
        <f>_xll.BDP("407576ET Muni","CPN")</f>
        <v>3</v>
      </c>
      <c r="K1624" t="str">
        <f>_xll.BDP("407576ET Muni","MATURITY")</f>
        <v>3/15/2027</v>
      </c>
      <c r="L1624">
        <v>180000</v>
      </c>
      <c r="M1624">
        <f>_xll.BDP("407576ET Muni","YIELD_ON_ISSUE_DATE")</f>
        <v>2.15</v>
      </c>
      <c r="N1624">
        <f>_xll.BDP("407576ET Muni","YTW_SPREAD_TO_MATURITY_AT_ISSU")</f>
        <v>2.7839752977908194</v>
      </c>
      <c r="O1624" t="str">
        <f>_xll.BDP("407576ET Muni","BVAL_MID_YTM")</f>
        <v>#N/A Authorization</v>
      </c>
      <c r="P1624" t="str">
        <f>_xll.BDP("407576ET Muni","MUNI_TAX_PROV")</f>
        <v>FED BQ/ST TAX-EXEMPT</v>
      </c>
      <c r="Q1624" t="str">
        <f>_xll.BDP("407576ET Muni","MUNI_FED_TAX")</f>
        <v>N</v>
      </c>
      <c r="R1624" t="str">
        <f>_xll.BDP("407576ET Muni","MUNI_MSRB_VOLUME")</f>
        <v>#N/A N/A</v>
      </c>
      <c r="S1624" t="str">
        <f>_xll.BDP("407576ET Muni","BB_COMPOSITE")</f>
        <v>#N/A N/A</v>
      </c>
      <c r="T1624">
        <f>_xll.BDP("407576ET Muni","LQA_LIQUIDITY_SCORE")</f>
        <v>65</v>
      </c>
    </row>
    <row r="1625" spans="1:20" x14ac:dyDescent="0.25">
      <c r="A1625" t="str">
        <f>_xll.BDP("586226HH Muni","ID_CUSIP")</f>
        <v>586226HH8</v>
      </c>
      <c r="B1625" t="s">
        <v>458</v>
      </c>
      <c r="C1625" t="str">
        <f>_xll.BDP("586226HH Muni","INSURANCE_STATUS")</f>
        <v>N</v>
      </c>
      <c r="D1625" t="str">
        <f>_xll.BDP("586226HH Muni","STATE_CODE")</f>
        <v>TN</v>
      </c>
      <c r="E1625" t="str">
        <f>_xll.BDP("586226HH Muni","COUNTY_LOCATION_ISSUER")</f>
        <v>Shelby, TN</v>
      </c>
      <c r="F1625">
        <f>_xll.BDP("586226HH Muni","DUR_ADJ_MID")</f>
        <v>1.2931226061096521</v>
      </c>
      <c r="G1625">
        <f>_xll.BDP("586226HH Muni","SPREAD_AT_ISSUANCE_TO_WORST")</f>
        <v>10.362537793729466</v>
      </c>
      <c r="H1625" t="str">
        <f>_xll.BDP("586226HH Muni","ISSUE_DT")</f>
        <v>9/28/2017</v>
      </c>
      <c r="I1625" t="str">
        <f>_xll.BDS("586226HH Muni","MUNI_PURPOSE_SCHED", "aggregate=y")</f>
        <v>WATER UTILITY IMPS.</v>
      </c>
      <c r="J1625">
        <f>_xll.BDP("586226HH Muni","CPN")</f>
        <v>4</v>
      </c>
      <c r="K1625" t="str">
        <f>_xll.BDP("586226HH Muni","MATURITY")</f>
        <v>12/1/2023</v>
      </c>
      <c r="L1625">
        <v>1000000</v>
      </c>
      <c r="M1625">
        <f>_xll.BDP("586226HH Muni","YIELD_ON_ISSUE_DATE")</f>
        <v>1.44</v>
      </c>
      <c r="N1625">
        <f>_xll.BDP("586226HH Muni","YTW_SPREAD_TO_MATURITY_AT_ISSU")</f>
        <v>10.362537793729466</v>
      </c>
      <c r="O1625" t="str">
        <f>_xll.BDP("586226HH Muni","BVAL_MID_YTM")</f>
        <v>#N/A Authorization</v>
      </c>
      <c r="P1625" t="str">
        <f>_xll.BDP("586226HH Muni","MUNI_TAX_PROV")</f>
        <v>FED &amp; ST TAX-EXEMPT</v>
      </c>
      <c r="Q1625" t="str">
        <f>_xll.BDP("586226HH Muni","MUNI_FED_TAX")</f>
        <v>N</v>
      </c>
      <c r="R1625">
        <f>_xll.BDP("586226HH Muni","MUNI_MSRB_VOLUME")</f>
        <v>60000</v>
      </c>
      <c r="S1625" t="str">
        <f>_xll.BDP("586226HH Muni","BB_COMPOSITE")</f>
        <v>AA+</v>
      </c>
      <c r="T1625">
        <f>_xll.BDP("586226HH Muni","LQA_LIQUIDITY_SCORE")</f>
        <v>83</v>
      </c>
    </row>
    <row r="1626" spans="1:20" x14ac:dyDescent="0.25">
      <c r="A1626" t="str">
        <f>_xll.BDP("586226HK Muni","ID_CUSIP")</f>
        <v>586226HK1</v>
      </c>
      <c r="B1626" t="s">
        <v>458</v>
      </c>
      <c r="C1626" t="str">
        <f>_xll.BDP("586226HK Muni","INSURANCE_STATUS")</f>
        <v>N</v>
      </c>
      <c r="D1626" t="str">
        <f>_xll.BDP("586226HK Muni","STATE_CODE")</f>
        <v>TN</v>
      </c>
      <c r="E1626" t="str">
        <f>_xll.BDP("586226HK Muni","COUNTY_LOCATION_ISSUER")</f>
        <v>Shelby, TN</v>
      </c>
      <c r="F1626">
        <f>_xll.BDP("586226HK Muni","DUR_ADJ_MID")</f>
        <v>3.0747695805209871</v>
      </c>
      <c r="G1626">
        <f>_xll.BDP("586226HK Muni","SPREAD_AT_ISSUANCE_TO_WORST")</f>
        <v>18.197442907104765</v>
      </c>
      <c r="H1626" t="str">
        <f>_xll.BDP("586226HK Muni","ISSUE_DT")</f>
        <v>9/28/2017</v>
      </c>
      <c r="I1626" t="str">
        <f>_xll.BDS("586226HK Muni","MUNI_PURPOSE_SCHED", "aggregate=y")</f>
        <v>WATER UTILITY IMPS.</v>
      </c>
      <c r="J1626">
        <f>_xll.BDP("586226HK Muni","CPN")</f>
        <v>5</v>
      </c>
      <c r="K1626" t="str">
        <f>_xll.BDP("586226HK Muni","MATURITY")</f>
        <v>12/1/2025</v>
      </c>
      <c r="L1626">
        <v>1080000</v>
      </c>
      <c r="M1626">
        <f>_xll.BDP("586226HK Muni","YIELD_ON_ISSUE_DATE")</f>
        <v>1.81</v>
      </c>
      <c r="N1626">
        <f>_xll.BDP("586226HK Muni","YTW_SPREAD_TO_MATURITY_AT_ISSU")</f>
        <v>18.197442907104765</v>
      </c>
      <c r="O1626" t="str">
        <f>_xll.BDP("586226HK Muni","BVAL_MID_YTM")</f>
        <v>#N/A Authorization</v>
      </c>
      <c r="P1626" t="str">
        <f>_xll.BDP("586226HK Muni","MUNI_TAX_PROV")</f>
        <v>FED &amp; ST TAX-EXEMPT</v>
      </c>
      <c r="Q1626" t="str">
        <f>_xll.BDP("586226HK Muni","MUNI_FED_TAX")</f>
        <v>N</v>
      </c>
      <c r="R1626">
        <f>_xll.BDP("586226HK Muni","MUNI_MSRB_VOLUME")</f>
        <v>10000</v>
      </c>
      <c r="S1626" t="str">
        <f>_xll.BDP("586226HK Muni","BB_COMPOSITE")</f>
        <v>AA+</v>
      </c>
      <c r="T1626">
        <f>_xll.BDP("586226HK Muni","LQA_LIQUIDITY_SCORE")</f>
        <v>71</v>
      </c>
    </row>
    <row r="1627" spans="1:20" x14ac:dyDescent="0.25">
      <c r="A1627" t="str">
        <f>_xll.BDP("586226HL Muni","ID_CUSIP")</f>
        <v>586226HL9</v>
      </c>
      <c r="B1627" t="s">
        <v>458</v>
      </c>
      <c r="C1627" t="str">
        <f>_xll.BDP("586226HL Muni","INSURANCE_STATUS")</f>
        <v>N</v>
      </c>
      <c r="D1627" t="str">
        <f>_xll.BDP("586226HL Muni","STATE_CODE")</f>
        <v>TN</v>
      </c>
      <c r="E1627" t="str">
        <f>_xll.BDP("586226HL Muni","COUNTY_LOCATION_ISSUER")</f>
        <v>Shelby, TN</v>
      </c>
      <c r="F1627">
        <f>_xll.BDP("586226HL Muni","DUR_ADJ_MID")</f>
        <v>3.9138571685754542</v>
      </c>
      <c r="G1627">
        <f>_xll.BDP("586226HL Muni","SPREAD_AT_ISSUANCE_TO_WORST")</f>
        <v>19.617440204312153</v>
      </c>
      <c r="H1627" t="str">
        <f>_xll.BDP("586226HL Muni","ISSUE_DT")</f>
        <v>9/28/2017</v>
      </c>
      <c r="I1627" t="str">
        <f>_xll.BDS("586226HL Muni","MUNI_PURPOSE_SCHED", "aggregate=y")</f>
        <v>WATER UTILITY IMPS.</v>
      </c>
      <c r="J1627">
        <f>_xll.BDP("586226HL Muni","CPN")</f>
        <v>5</v>
      </c>
      <c r="K1627" t="str">
        <f>_xll.BDP("586226HL Muni","MATURITY")</f>
        <v>12/1/2026</v>
      </c>
      <c r="L1627">
        <v>1135000</v>
      </c>
      <c r="M1627">
        <f>_xll.BDP("586226HL Muni","YIELD_ON_ISSUE_DATE")</f>
        <v>1.95</v>
      </c>
      <c r="N1627">
        <f>_xll.BDP("586226HL Muni","YTW_SPREAD_TO_MATURITY_AT_ISSU")</f>
        <v>19.617440204312153</v>
      </c>
      <c r="O1627" t="str">
        <f>_xll.BDP("586226HL Muni","BVAL_MID_YTM")</f>
        <v>#N/A Authorization</v>
      </c>
      <c r="P1627" t="str">
        <f>_xll.BDP("586226HL Muni","MUNI_TAX_PROV")</f>
        <v>FED &amp; ST TAX-EXEMPT</v>
      </c>
      <c r="Q1627" t="str">
        <f>_xll.BDP("586226HL Muni","MUNI_FED_TAX")</f>
        <v>N</v>
      </c>
      <c r="R1627" t="str">
        <f>_xll.BDP("586226HL Muni","MUNI_MSRB_VOLUME")</f>
        <v>#N/A N/A</v>
      </c>
      <c r="S1627" t="str">
        <f>_xll.BDP("586226HL Muni","BB_COMPOSITE")</f>
        <v>AA+</v>
      </c>
      <c r="T1627">
        <f>_xll.BDP("586226HL Muni","LQA_LIQUIDITY_SCORE")</f>
        <v>68</v>
      </c>
    </row>
    <row r="1628" spans="1:20" x14ac:dyDescent="0.25">
      <c r="A1628" t="str">
        <f>_xll.BDP("586226HM Muni","ID_CUSIP")</f>
        <v>586226HM7</v>
      </c>
      <c r="B1628" t="s">
        <v>458</v>
      </c>
      <c r="C1628" t="str">
        <f>_xll.BDP("586226HM Muni","INSURANCE_STATUS")</f>
        <v>N</v>
      </c>
      <c r="D1628" t="str">
        <f>_xll.BDP("586226HM Muni","STATE_CODE")</f>
        <v>TN</v>
      </c>
      <c r="E1628" t="str">
        <f>_xll.BDP("586226HM Muni","COUNTY_LOCATION_ISSUER")</f>
        <v>Shelby, TN</v>
      </c>
      <c r="F1628">
        <f>_xll.BDP("586226HM Muni","DUR_ADJ_MID")</f>
        <v>4.7199095444758505</v>
      </c>
      <c r="G1628">
        <f>_xll.BDP("586226HM Muni","SPREAD_AT_ISSUANCE_TO_WORST")</f>
        <v>20.954739241491382</v>
      </c>
      <c r="H1628" t="str">
        <f>_xll.BDP("586226HM Muni","ISSUE_DT")</f>
        <v>9/28/2017</v>
      </c>
      <c r="I1628" t="str">
        <f>_xll.BDS("586226HM Muni","MUNI_PURPOSE_SCHED", "aggregate=y")</f>
        <v>WATER UTILITY IMPS.</v>
      </c>
      <c r="J1628">
        <f>_xll.BDP("586226HM Muni","CPN")</f>
        <v>5</v>
      </c>
      <c r="K1628" t="str">
        <f>_xll.BDP("586226HM Muni","MATURITY")</f>
        <v>12/1/2027</v>
      </c>
      <c r="L1628">
        <v>1190000</v>
      </c>
      <c r="M1628">
        <f>_xll.BDP("586226HM Muni","YIELD_ON_ISSUE_DATE")</f>
        <v>2.0699999999999998</v>
      </c>
      <c r="N1628">
        <f>_xll.BDP("586226HM Muni","YTW_SPREAD_TO_MATURITY_AT_ISSU")</f>
        <v>20.954739241491382</v>
      </c>
      <c r="O1628" t="str">
        <f>_xll.BDP("586226HM Muni","BVAL_MID_YTM")</f>
        <v>#N/A Authorization</v>
      </c>
      <c r="P1628" t="str">
        <f>_xll.BDP("586226HM Muni","MUNI_TAX_PROV")</f>
        <v>FED &amp; ST TAX-EXEMPT</v>
      </c>
      <c r="Q1628" t="str">
        <f>_xll.BDP("586226HM Muni","MUNI_FED_TAX")</f>
        <v>N</v>
      </c>
      <c r="R1628" t="str">
        <f>_xll.BDP("586226HM Muni","MUNI_MSRB_VOLUME")</f>
        <v>#N/A N/A</v>
      </c>
      <c r="S1628" t="str">
        <f>_xll.BDP("586226HM Muni","BB_COMPOSITE")</f>
        <v>AA+</v>
      </c>
      <c r="T1628">
        <f>_xll.BDP("586226HM Muni","LQA_LIQUIDITY_SCORE")</f>
        <v>59</v>
      </c>
    </row>
    <row r="1629" spans="1:20" x14ac:dyDescent="0.25">
      <c r="A1629" t="str">
        <f>_xll.BDP("586810YF Muni","ID_CUSIP")</f>
        <v>586810YF4</v>
      </c>
      <c r="B1629" t="s">
        <v>164</v>
      </c>
      <c r="C1629" t="str">
        <f>_xll.BDP("586810YF Muni","INSURANCE_STATUS")</f>
        <v>N</v>
      </c>
      <c r="D1629" t="str">
        <f>_xll.BDP("586810YF Muni","STATE_CODE")</f>
        <v>CA</v>
      </c>
      <c r="E1629" t="str">
        <f>_xll.BDP("586810YF Muni","COUNTY_LOCATION_ISSUER")</f>
        <v>Riverside, CA</v>
      </c>
      <c r="F1629">
        <f>_xll.BDP("586810YF Muni","DUR_ADJ_MID")</f>
        <v>1.0406113690621075</v>
      </c>
      <c r="G1629">
        <f>_xll.BDP("586810YF Muni","SPREAD_AT_ISSUANCE_TO_WORST")</f>
        <v>72.471879737875767</v>
      </c>
      <c r="H1629" t="str">
        <f>_xll.BDP("586810YF Muni","ISSUE_DT")</f>
        <v>8/24/2017</v>
      </c>
      <c r="I1629" t="str">
        <f>_xll.BDS("586810YF Muni","MUNI_PURPOSE_SCHED", "aggregate=y")</f>
        <v>SCHOOL IMPS. WATER UTILITY IMPS. SEWER IMPS.</v>
      </c>
      <c r="J1629">
        <f>_xll.BDP("586810YF Muni","CPN")</f>
        <v>4</v>
      </c>
      <c r="K1629" t="str">
        <f>_xll.BDP("586810YF Muni","MATURITY")</f>
        <v>9/1/2023</v>
      </c>
      <c r="L1629">
        <v>80000</v>
      </c>
      <c r="M1629">
        <f>_xll.BDP("586810YF Muni","YIELD_ON_ISSUE_DATE")</f>
        <v>2.0300000000000002</v>
      </c>
      <c r="N1629">
        <f>_xll.BDP("586810YF Muni","YTW_SPREAD_TO_MATURITY_AT_ISSU")</f>
        <v>72.471879737875767</v>
      </c>
      <c r="O1629" t="str">
        <f>_xll.BDP("586810YF Muni","BVAL_MID_YTM")</f>
        <v>#N/A Authorization</v>
      </c>
      <c r="P1629" t="str">
        <f>_xll.BDP("586810YF Muni","MUNI_TAX_PROV")</f>
        <v>FED &amp; ST TAX-EXEMPT</v>
      </c>
      <c r="Q1629" t="str">
        <f>_xll.BDP("586810YF Muni","MUNI_FED_TAX")</f>
        <v>N</v>
      </c>
      <c r="R1629" t="str">
        <f>_xll.BDP("586810YF Muni","MUNI_MSRB_VOLUME")</f>
        <v>#N/A N/A</v>
      </c>
      <c r="S1629" t="str">
        <f>_xll.BDP("586810YF Muni","BB_COMPOSITE")</f>
        <v>#N/A N/A</v>
      </c>
      <c r="T1629">
        <f>_xll.BDP("586810YF Muni","LQA_LIQUIDITY_SCORE")</f>
        <v>59</v>
      </c>
    </row>
    <row r="1630" spans="1:20" x14ac:dyDescent="0.25">
      <c r="A1630" t="str">
        <f>_xll.BDP("586810YG Muni","ID_CUSIP")</f>
        <v>586810YG2</v>
      </c>
      <c r="B1630" t="s">
        <v>164</v>
      </c>
      <c r="C1630" t="str">
        <f>_xll.BDP("586810YG Muni","INSURANCE_STATUS")</f>
        <v>N</v>
      </c>
      <c r="D1630" t="str">
        <f>_xll.BDP("586810YG Muni","STATE_CODE")</f>
        <v>CA</v>
      </c>
      <c r="E1630" t="str">
        <f>_xll.BDP("586810YG Muni","COUNTY_LOCATION_ISSUER")</f>
        <v>Riverside, CA</v>
      </c>
      <c r="F1630">
        <f>_xll.BDP("586810YG Muni","DUR_ADJ_MID")</f>
        <v>1.9631168291103591</v>
      </c>
      <c r="G1630">
        <f>_xll.BDP("586810YG Muni","SPREAD_AT_ISSUANCE_TO_WORST")</f>
        <v>83.304676697771811</v>
      </c>
      <c r="H1630" t="str">
        <f>_xll.BDP("586810YG Muni","ISSUE_DT")</f>
        <v>8/24/2017</v>
      </c>
      <c r="I1630" t="str">
        <f>_xll.BDS("586810YG Muni","MUNI_PURPOSE_SCHED", "aggregate=y")</f>
        <v>SCHOOL IMPS. WATER UTILITY IMPS. SEWER IMPS.</v>
      </c>
      <c r="J1630">
        <f>_xll.BDP("586810YG Muni","CPN")</f>
        <v>4</v>
      </c>
      <c r="K1630" t="str">
        <f>_xll.BDP("586810YG Muni","MATURITY")</f>
        <v>9/1/2024</v>
      </c>
      <c r="L1630">
        <v>90000</v>
      </c>
      <c r="M1630">
        <f>_xll.BDP("586810YG Muni","YIELD_ON_ISSUE_DATE")</f>
        <v>2.29</v>
      </c>
      <c r="N1630">
        <f>_xll.BDP("586810YG Muni","YTW_SPREAD_TO_MATURITY_AT_ISSU")</f>
        <v>83.304676697771811</v>
      </c>
      <c r="O1630" t="str">
        <f>_xll.BDP("586810YG Muni","BVAL_MID_YTM")</f>
        <v>#N/A Authorization</v>
      </c>
      <c r="P1630" t="str">
        <f>_xll.BDP("586810YG Muni","MUNI_TAX_PROV")</f>
        <v>FED &amp; ST TAX-EXEMPT</v>
      </c>
      <c r="Q1630" t="str">
        <f>_xll.BDP("586810YG Muni","MUNI_FED_TAX")</f>
        <v>N</v>
      </c>
      <c r="R1630" t="str">
        <f>_xll.BDP("586810YG Muni","MUNI_MSRB_VOLUME")</f>
        <v>#N/A N/A</v>
      </c>
      <c r="S1630" t="str">
        <f>_xll.BDP("586810YG Muni","BB_COMPOSITE")</f>
        <v>#N/A N/A</v>
      </c>
      <c r="T1630">
        <f>_xll.BDP("586810YG Muni","LQA_LIQUIDITY_SCORE")</f>
        <v>38</v>
      </c>
    </row>
    <row r="1631" spans="1:20" x14ac:dyDescent="0.25">
      <c r="A1631" t="str">
        <f>_xll.BDP("586810ZY Muni","ID_CUSIP")</f>
        <v>586810ZY2</v>
      </c>
      <c r="B1631" t="s">
        <v>164</v>
      </c>
      <c r="C1631" t="str">
        <f>_xll.BDP("586810ZY Muni","INSURANCE_STATUS")</f>
        <v>N</v>
      </c>
      <c r="D1631" t="str">
        <f>_xll.BDP("586810ZY Muni","STATE_CODE")</f>
        <v>CA</v>
      </c>
      <c r="E1631" t="str">
        <f>_xll.BDP("586810ZY Muni","COUNTY_LOCATION_ISSUER")</f>
        <v>Riverside, CA</v>
      </c>
      <c r="F1631">
        <f>_xll.BDP("586810ZY Muni","DUR_ADJ_MID")</f>
        <v>8.0455570076264041E-2</v>
      </c>
      <c r="G1631">
        <f>_xll.BDP("586810ZY Muni","SPREAD_AT_ISSUANCE_TO_WORST")</f>
        <v>53.063002739726016</v>
      </c>
      <c r="H1631" t="str">
        <f>_xll.BDP("586810ZY Muni","ISSUE_DT")</f>
        <v>11/30/2017</v>
      </c>
      <c r="I1631" t="str">
        <f>_xll.BDS("586810ZY Muni","MUNI_PURPOSE_SCHED", "aggregate=y")</f>
        <v>SCHOOL IMPS. WATER UTILITY IMPS.</v>
      </c>
      <c r="J1631">
        <f>_xll.BDP("586810ZY Muni","CPN")</f>
        <v>2</v>
      </c>
      <c r="K1631" t="str">
        <f>_xll.BDP("586810ZY Muni","MATURITY")</f>
        <v>9/1/2022</v>
      </c>
      <c r="L1631">
        <v>65000</v>
      </c>
      <c r="M1631">
        <f>_xll.BDP("586810ZY Muni","YIELD_ON_ISSUE_DATE")</f>
        <v>1.95</v>
      </c>
      <c r="N1631">
        <f>_xll.BDP("586810ZY Muni","YTW_SPREAD_TO_MATURITY_AT_ISSU")</f>
        <v>53.063002739726016</v>
      </c>
      <c r="O1631" t="str">
        <f>_xll.BDP("586810ZY Muni","BVAL_MID_YTM")</f>
        <v>#N/A Authorization</v>
      </c>
      <c r="P1631" t="str">
        <f>_xll.BDP("586810ZY Muni","MUNI_TAX_PROV")</f>
        <v>FED &amp; ST TAX-EXEMPT</v>
      </c>
      <c r="Q1631" t="str">
        <f>_xll.BDP("586810ZY Muni","MUNI_FED_TAX")</f>
        <v>N</v>
      </c>
      <c r="R1631" t="str">
        <f>_xll.BDP("586810ZY Muni","MUNI_MSRB_VOLUME")</f>
        <v>#N/A N/A</v>
      </c>
      <c r="S1631" t="str">
        <f>_xll.BDP("586810ZY Muni","BB_COMPOSITE")</f>
        <v>#N/A N/A</v>
      </c>
      <c r="T1631">
        <f>_xll.BDP("586810ZY Muni","LQA_LIQUIDITY_SCORE")</f>
        <v>89</v>
      </c>
    </row>
    <row r="1632" spans="1:20" x14ac:dyDescent="0.25">
      <c r="A1632" t="str">
        <f>_xll.BDP("586810ZZ Muni","ID_CUSIP")</f>
        <v>586810ZZ9</v>
      </c>
      <c r="B1632" t="s">
        <v>164</v>
      </c>
      <c r="C1632" t="str">
        <f>_xll.BDP("586810ZZ Muni","INSURANCE_STATUS")</f>
        <v>N</v>
      </c>
      <c r="D1632" t="str">
        <f>_xll.BDP("586810ZZ Muni","STATE_CODE")</f>
        <v>CA</v>
      </c>
      <c r="E1632" t="str">
        <f>_xll.BDP("586810ZZ Muni","COUNTY_LOCATION_ISSUER")</f>
        <v>Riverside, CA</v>
      </c>
      <c r="F1632">
        <f>_xll.BDP("586810ZZ Muni","DUR_ADJ_MID")</f>
        <v>1.0544374186837437</v>
      </c>
      <c r="G1632">
        <f>_xll.BDP("586810ZZ Muni","SPREAD_AT_ISSUANCE_TO_WORST")</f>
        <v>62.118186301369846</v>
      </c>
      <c r="H1632" t="str">
        <f>_xll.BDP("586810ZZ Muni","ISSUE_DT")</f>
        <v>11/30/2017</v>
      </c>
      <c r="I1632" t="str">
        <f>_xll.BDS("586810ZZ Muni","MUNI_PURPOSE_SCHED", "aggregate=y")</f>
        <v>SCHOOL IMPS. WATER UTILITY IMPS.</v>
      </c>
      <c r="J1632">
        <f>_xll.BDP("586810ZZ Muni","CPN")</f>
        <v>2</v>
      </c>
      <c r="K1632" t="str">
        <f>_xll.BDP("586810ZZ Muni","MATURITY")</f>
        <v>9/1/2023</v>
      </c>
      <c r="L1632">
        <v>65000</v>
      </c>
      <c r="M1632">
        <f>_xll.BDP("586810ZZ Muni","YIELD_ON_ISSUE_DATE")</f>
        <v>2.15</v>
      </c>
      <c r="N1632">
        <f>_xll.BDP("586810ZZ Muni","YTW_SPREAD_TO_MATURITY_AT_ISSU")</f>
        <v>62.118186301369846</v>
      </c>
      <c r="O1632" t="str">
        <f>_xll.BDP("586810ZZ Muni","BVAL_MID_YTM")</f>
        <v>#N/A Authorization</v>
      </c>
      <c r="P1632" t="str">
        <f>_xll.BDP("586810ZZ Muni","MUNI_TAX_PROV")</f>
        <v>FED &amp; ST TAX-EXEMPT</v>
      </c>
      <c r="Q1632" t="str">
        <f>_xll.BDP("586810ZZ Muni","MUNI_FED_TAX")</f>
        <v>N</v>
      </c>
      <c r="R1632" t="str">
        <f>_xll.BDP("586810ZZ Muni","MUNI_MSRB_VOLUME")</f>
        <v>#N/A N/A</v>
      </c>
      <c r="S1632" t="str">
        <f>_xll.BDP("586810ZZ Muni","BB_COMPOSITE")</f>
        <v>#N/A N/A</v>
      </c>
      <c r="T1632">
        <f>_xll.BDP("586810ZZ Muni","LQA_LIQUIDITY_SCORE")</f>
        <v>51</v>
      </c>
    </row>
    <row r="1633" spans="1:20" x14ac:dyDescent="0.25">
      <c r="A1633" t="str">
        <f>_xll.BDP("587091UP Muni","ID_CUSIP")</f>
        <v>587091UP2</v>
      </c>
      <c r="B1633" t="s">
        <v>117</v>
      </c>
      <c r="C1633" t="str">
        <f>_xll.BDP("587091UP Muni","INSURANCE_STATUS")</f>
        <v>Y</v>
      </c>
      <c r="D1633" t="str">
        <f>_xll.BDP("587091UP Muni","STATE_CODE")</f>
        <v>WI</v>
      </c>
      <c r="E1633" t="str">
        <f>_xll.BDP("587091UP Muni","COUNTY_LOCATION_ISSUER")</f>
        <v>Dunn, WI</v>
      </c>
      <c r="F1633">
        <f>_xll.BDP("587091UP Muni","DUR_ADJ_MID")</f>
        <v>1.1316481356517063</v>
      </c>
      <c r="G1633">
        <f>_xll.BDP("587091UP Muni","SPREAD_AT_ISSUANCE_TO_WORST")</f>
        <v>18.646819935208715</v>
      </c>
      <c r="H1633" t="str">
        <f>_xll.BDP("587091UP Muni","ISSUE_DT")</f>
        <v>5/24/2017</v>
      </c>
      <c r="I1633" t="str">
        <f>_xll.BDS("587091UP Muni","MUNI_PURPOSE_SCHED", "aggregate=y")</f>
        <v>PUBLIC IMPS. RECREATIONAL FAC. IMPS. WATER UTILITY IMPS.</v>
      </c>
      <c r="J1633">
        <f>_xll.BDP("587091UP Muni","CPN")</f>
        <v>3</v>
      </c>
      <c r="K1633" t="str">
        <f>_xll.BDP("587091UP Muni","MATURITY")</f>
        <v>10/1/2023</v>
      </c>
      <c r="L1633">
        <v>175000</v>
      </c>
      <c r="M1633">
        <f>_xll.BDP("587091UP Muni","YIELD_ON_ISSUE_DATE")</f>
        <v>1.8</v>
      </c>
      <c r="N1633">
        <f>_xll.BDP("587091UP Muni","YTW_SPREAD_TO_MATURITY_AT_ISSU")</f>
        <v>18.646819935208715</v>
      </c>
      <c r="O1633" t="str">
        <f>_xll.BDP("587091UP Muni","BVAL_MID_YTM")</f>
        <v>#N/A Authorization</v>
      </c>
      <c r="P1633" t="str">
        <f>_xll.BDP("587091UP Muni","MUNI_TAX_PROV")</f>
        <v>FED BQ/ST TAXABLE</v>
      </c>
      <c r="Q1633" t="str">
        <f>_xll.BDP("587091UP Muni","MUNI_FED_TAX")</f>
        <v>N</v>
      </c>
      <c r="R1633" t="str">
        <f>_xll.BDP("587091UP Muni","MUNI_MSRB_VOLUME")</f>
        <v>#N/A N/A</v>
      </c>
      <c r="S1633" t="str">
        <f>_xll.BDP("587091UP Muni","BB_COMPOSITE")</f>
        <v>#N/A N/A</v>
      </c>
      <c r="T1633">
        <f>_xll.BDP("587091UP Muni","LQA_LIQUIDITY_SCORE")</f>
        <v>82</v>
      </c>
    </row>
    <row r="1634" spans="1:20" x14ac:dyDescent="0.25">
      <c r="A1634" t="str">
        <f>_xll.BDP("587091UR Muni","ID_CUSIP")</f>
        <v>587091UR8</v>
      </c>
      <c r="B1634" t="s">
        <v>117</v>
      </c>
      <c r="C1634" t="str">
        <f>_xll.BDP("587091UR Muni","INSURANCE_STATUS")</f>
        <v>Y</v>
      </c>
      <c r="D1634" t="str">
        <f>_xll.BDP("587091UR Muni","STATE_CODE")</f>
        <v>WI</v>
      </c>
      <c r="E1634" t="str">
        <f>_xll.BDP("587091UR Muni","COUNTY_LOCATION_ISSUER")</f>
        <v>Dunn, WI</v>
      </c>
      <c r="F1634">
        <f>_xll.BDP("587091UR Muni","DUR_ADJ_MID")</f>
        <v>2.9826419153974899</v>
      </c>
      <c r="G1634">
        <f>_xll.BDP("587091UR Muni","SPREAD_AT_ISSUANCE_TO_WORST")</f>
        <v>17.195790668084896</v>
      </c>
      <c r="H1634" t="str">
        <f>_xll.BDP("587091UR Muni","ISSUE_DT")</f>
        <v>5/24/2017</v>
      </c>
      <c r="I1634" t="str">
        <f>_xll.BDS("587091UR Muni","MUNI_PURPOSE_SCHED", "aggregate=y")</f>
        <v>PUBLIC IMPS. RECREATIONAL FAC. IMPS. WATER UTILITY IMPS.</v>
      </c>
      <c r="J1634">
        <f>_xll.BDP("587091UR Muni","CPN")</f>
        <v>3</v>
      </c>
      <c r="K1634" t="str">
        <f>_xll.BDP("587091UR Muni","MATURITY")</f>
        <v>10/1/2025</v>
      </c>
      <c r="L1634">
        <v>180000</v>
      </c>
      <c r="M1634">
        <f>_xll.BDP("587091UR Muni","YIELD_ON_ISSUE_DATE")</f>
        <v>2.1</v>
      </c>
      <c r="N1634">
        <f>_xll.BDP("587091UR Muni","YTW_SPREAD_TO_MATURITY_AT_ISSU")</f>
        <v>17.195790668084896</v>
      </c>
      <c r="O1634" t="str">
        <f>_xll.BDP("587091UR Muni","BVAL_MID_YTM")</f>
        <v>#N/A Authorization</v>
      </c>
      <c r="P1634" t="str">
        <f>_xll.BDP("587091UR Muni","MUNI_TAX_PROV")</f>
        <v>FED BQ/ST TAXABLE</v>
      </c>
      <c r="Q1634" t="str">
        <f>_xll.BDP("587091UR Muni","MUNI_FED_TAX")</f>
        <v>N</v>
      </c>
      <c r="R1634" t="str">
        <f>_xll.BDP("587091UR Muni","MUNI_MSRB_VOLUME")</f>
        <v>#N/A N/A</v>
      </c>
      <c r="S1634" t="str">
        <f>_xll.BDP("587091UR Muni","BB_COMPOSITE")</f>
        <v>#N/A N/A</v>
      </c>
      <c r="T1634">
        <f>_xll.BDP("587091UR Muni","LQA_LIQUIDITY_SCORE")</f>
        <v>62</v>
      </c>
    </row>
    <row r="1635" spans="1:20" x14ac:dyDescent="0.25">
      <c r="A1635" t="str">
        <f>_xll.BDP("611190EM Muni","ID_CUSIP")</f>
        <v>611190EM7</v>
      </c>
      <c r="B1635" t="s">
        <v>459</v>
      </c>
      <c r="C1635" t="str">
        <f>_xll.BDP("611190EM Muni","INSURANCE_STATUS")</f>
        <v>N</v>
      </c>
      <c r="D1635" t="str">
        <f>_xll.BDP("611190EM Muni","STATE_CODE")</f>
        <v>NC</v>
      </c>
      <c r="E1635" t="str">
        <f>_xll.BDP("611190EM Muni","COUNTY_LOCATION_ISSUER")</f>
        <v>Union, NC</v>
      </c>
      <c r="F1635">
        <f>_xll.BDP("611190EM Muni","DUR_ADJ_MID")</f>
        <v>1.4974630546017484</v>
      </c>
      <c r="G1635">
        <f>_xll.BDP("611190EM Muni","SPREAD_AT_ISSUANCE_TO_WORST")</f>
        <v>37.838153424657527</v>
      </c>
      <c r="H1635" t="str">
        <f>_xll.BDP("611190EM Muni","ISSUE_DT")</f>
        <v>12/21/2017</v>
      </c>
      <c r="I1635" t="str">
        <f>_xll.BDS("611190EM Muni","MUNI_PURPOSE_SCHED", "aggregate=y")</f>
        <v>WATER UTILITY IMPS. SEWER IMPS. PRT, AIRPRT &amp; MARINA IMPS</v>
      </c>
      <c r="J1635">
        <f>_xll.BDP("611190EM Muni","CPN")</f>
        <v>5</v>
      </c>
      <c r="K1635" t="str">
        <f>_xll.BDP("611190EM Muni","MATURITY")</f>
        <v>3/1/2024</v>
      </c>
      <c r="L1635">
        <v>345000</v>
      </c>
      <c r="M1635">
        <f>_xll.BDP("611190EM Muni","YIELD_ON_ISSUE_DATE")</f>
        <v>2.13</v>
      </c>
      <c r="N1635">
        <f>_xll.BDP("611190EM Muni","YTW_SPREAD_TO_MATURITY_AT_ISSU")</f>
        <v>37.838153424657527</v>
      </c>
      <c r="O1635" t="str">
        <f>_xll.BDP("611190EM Muni","BVAL_MID_YTM")</f>
        <v>#N/A Authorization</v>
      </c>
      <c r="P1635" t="str">
        <f>_xll.BDP("611190EM Muni","MUNI_TAX_PROV")</f>
        <v>FED &amp; ST TAX-EXEMPT</v>
      </c>
      <c r="Q1635" t="str">
        <f>_xll.BDP("611190EM Muni","MUNI_FED_TAX")</f>
        <v>N</v>
      </c>
      <c r="R1635">
        <f>_xll.BDP("611190EM Muni","MUNI_MSRB_VOLUME")</f>
        <v>30000</v>
      </c>
      <c r="S1635" t="str">
        <f>_xll.BDP("611190EM Muni","BB_COMPOSITE")</f>
        <v>A+</v>
      </c>
      <c r="T1635">
        <f>_xll.BDP("611190EM Muni","LQA_LIQUIDITY_SCORE")</f>
        <v>81</v>
      </c>
    </row>
    <row r="1636" spans="1:20" x14ac:dyDescent="0.25">
      <c r="A1636" t="str">
        <f>_xll.BDP("611190EQ Muni","ID_CUSIP")</f>
        <v>611190EQ8</v>
      </c>
      <c r="B1636" t="s">
        <v>459</v>
      </c>
      <c r="C1636" t="str">
        <f>_xll.BDP("611190EQ Muni","INSURANCE_STATUS")</f>
        <v>N</v>
      </c>
      <c r="D1636" t="str">
        <f>_xll.BDP("611190EQ Muni","STATE_CODE")</f>
        <v>NC</v>
      </c>
      <c r="E1636" t="str">
        <f>_xll.BDP("611190EQ Muni","COUNTY_LOCATION_ISSUER")</f>
        <v>Union, NC</v>
      </c>
      <c r="F1636">
        <f>_xll.BDP("611190EQ Muni","DUR_ADJ_MID")</f>
        <v>4.0586791654655805</v>
      </c>
      <c r="G1636">
        <f>_xll.BDP("611190EQ Muni","SPREAD_AT_ISSUANCE_TO_WORST")</f>
        <v>37.869079452054777</v>
      </c>
      <c r="H1636" t="str">
        <f>_xll.BDP("611190EQ Muni","ISSUE_DT")</f>
        <v>12/21/2017</v>
      </c>
      <c r="I1636" t="str">
        <f>_xll.BDS("611190EQ Muni","MUNI_PURPOSE_SCHED", "aggregate=y")</f>
        <v>WATER UTILITY IMPS. SEWER IMPS. PRT, AIRPRT &amp; MARINA IMPS</v>
      </c>
      <c r="J1636">
        <f>_xll.BDP("611190EQ Muni","CPN")</f>
        <v>5</v>
      </c>
      <c r="K1636" t="str">
        <f>_xll.BDP("611190EQ Muni","MATURITY")</f>
        <v>3/1/2027</v>
      </c>
      <c r="L1636">
        <v>395000</v>
      </c>
      <c r="M1636">
        <f>_xll.BDP("611190EQ Muni","YIELD_ON_ISSUE_DATE")</f>
        <v>2.38</v>
      </c>
      <c r="N1636">
        <f>_xll.BDP("611190EQ Muni","YTW_SPREAD_TO_MATURITY_AT_ISSU")</f>
        <v>37.869079452054777</v>
      </c>
      <c r="O1636" t="str">
        <f>_xll.BDP("611190EQ Muni","BVAL_MID_YTM")</f>
        <v>#N/A Authorization</v>
      </c>
      <c r="P1636" t="str">
        <f>_xll.BDP("611190EQ Muni","MUNI_TAX_PROV")</f>
        <v>FED &amp; ST TAX-EXEMPT</v>
      </c>
      <c r="Q1636" t="str">
        <f>_xll.BDP("611190EQ Muni","MUNI_FED_TAX")</f>
        <v>N</v>
      </c>
      <c r="R1636" t="str">
        <f>_xll.BDP("611190EQ Muni","MUNI_MSRB_VOLUME")</f>
        <v>#N/A N/A</v>
      </c>
      <c r="S1636" t="str">
        <f>_xll.BDP("611190EQ Muni","BB_COMPOSITE")</f>
        <v>A+</v>
      </c>
      <c r="T1636">
        <f>_xll.BDP("611190EQ Muni","LQA_LIQUIDITY_SCORE")</f>
        <v>53</v>
      </c>
    </row>
    <row r="1637" spans="1:20" x14ac:dyDescent="0.25">
      <c r="A1637" t="str">
        <f>_xll.BDP("586226HG Muni","ID_CUSIP")</f>
        <v>586226HG0</v>
      </c>
      <c r="B1637" t="s">
        <v>458</v>
      </c>
      <c r="C1637" t="str">
        <f>_xll.BDP("586226HG Muni","INSURANCE_STATUS")</f>
        <v>N</v>
      </c>
      <c r="D1637" t="str">
        <f>_xll.BDP("586226HG Muni","STATE_CODE")</f>
        <v>TN</v>
      </c>
      <c r="E1637" t="str">
        <f>_xll.BDP("586226HG Muni","COUNTY_LOCATION_ISSUER")</f>
        <v>Shelby, TN</v>
      </c>
      <c r="F1637">
        <f>_xll.BDP("586226HG Muni","DUR_ADJ_MID")</f>
        <v>0.3297318809472834</v>
      </c>
      <c r="G1637">
        <f>_xll.BDP("586226HG Muni","SPREAD_AT_ISSUANCE_TO_WORST")</f>
        <v>10.72867306144316</v>
      </c>
      <c r="H1637" t="str">
        <f>_xll.BDP("586226HG Muni","ISSUE_DT")</f>
        <v>9/28/2017</v>
      </c>
      <c r="I1637" t="str">
        <f>_xll.BDS("586226HG Muni","MUNI_PURPOSE_SCHED", "aggregate=y")</f>
        <v>WATER UTILITY IMPS.</v>
      </c>
      <c r="J1637">
        <f>_xll.BDP("586226HG Muni","CPN")</f>
        <v>3</v>
      </c>
      <c r="K1637" t="str">
        <f>_xll.BDP("586226HG Muni","MATURITY")</f>
        <v>12/1/2022</v>
      </c>
      <c r="L1637">
        <v>970000</v>
      </c>
      <c r="M1637">
        <f>_xll.BDP("586226HG Muni","YIELD_ON_ISSUE_DATE")</f>
        <v>1.3</v>
      </c>
      <c r="N1637">
        <f>_xll.BDP("586226HG Muni","YTW_SPREAD_TO_MATURITY_AT_ISSU")</f>
        <v>10.72867306144316</v>
      </c>
      <c r="O1637" t="str">
        <f>_xll.BDP("586226HG Muni","BVAL_MID_YTM")</f>
        <v>#N/A Authorization</v>
      </c>
      <c r="P1637" t="str">
        <f>_xll.BDP("586226HG Muni","MUNI_TAX_PROV")</f>
        <v>FED &amp; ST TAX-EXEMPT</v>
      </c>
      <c r="Q1637" t="str">
        <f>_xll.BDP("586226HG Muni","MUNI_FED_TAX")</f>
        <v>N</v>
      </c>
      <c r="R1637">
        <f>_xll.BDP("586226HG Muni","MUNI_MSRB_VOLUME")</f>
        <v>30000</v>
      </c>
      <c r="S1637" t="str">
        <f>_xll.BDP("586226HG Muni","BB_COMPOSITE")</f>
        <v>AA+</v>
      </c>
      <c r="T1637">
        <f>_xll.BDP("586226HG Muni","LQA_LIQUIDITY_SCORE")</f>
        <v>87</v>
      </c>
    </row>
    <row r="1638" spans="1:20" x14ac:dyDescent="0.25">
      <c r="A1638" t="str">
        <f>_xll.BDP("586226HJ Muni","ID_CUSIP")</f>
        <v>586226HJ4</v>
      </c>
      <c r="B1638" t="s">
        <v>458</v>
      </c>
      <c r="C1638" t="str">
        <f>_xll.BDP("586226HJ Muni","INSURANCE_STATUS")</f>
        <v>N</v>
      </c>
      <c r="D1638" t="str">
        <f>_xll.BDP("586226HJ Muni","STATE_CODE")</f>
        <v>TN</v>
      </c>
      <c r="E1638" t="str">
        <f>_xll.BDP("586226HJ Muni","COUNTY_LOCATION_ISSUER")</f>
        <v>Shelby, TN</v>
      </c>
      <c r="F1638">
        <f>_xll.BDP("586226HJ Muni","DUR_ADJ_MID")</f>
        <v>2.2204333080326912</v>
      </c>
      <c r="G1638">
        <f>_xll.BDP("586226HJ Muni","SPREAD_AT_ISSUANCE_TO_WORST")</f>
        <v>14.629494063858894</v>
      </c>
      <c r="H1638" t="str">
        <f>_xll.BDP("586226HJ Muni","ISSUE_DT")</f>
        <v>9/28/2017</v>
      </c>
      <c r="I1638" t="str">
        <f>_xll.BDS("586226HJ Muni","MUNI_PURPOSE_SCHED", "aggregate=y")</f>
        <v>WATER UTILITY IMPS.</v>
      </c>
      <c r="J1638">
        <f>_xll.BDP("586226HJ Muni","CPN")</f>
        <v>4</v>
      </c>
      <c r="K1638" t="str">
        <f>_xll.BDP("586226HJ Muni","MATURITY")</f>
        <v>12/1/2024</v>
      </c>
      <c r="L1638">
        <v>1040000</v>
      </c>
      <c r="M1638">
        <f>_xll.BDP("586226HJ Muni","YIELD_ON_ISSUE_DATE")</f>
        <v>1.6300000000000001</v>
      </c>
      <c r="N1638">
        <f>_xll.BDP("586226HJ Muni","YTW_SPREAD_TO_MATURITY_AT_ISSU")</f>
        <v>14.629494063858894</v>
      </c>
      <c r="O1638" t="str">
        <f>_xll.BDP("586226HJ Muni","BVAL_MID_YTM")</f>
        <v>#N/A Authorization</v>
      </c>
      <c r="P1638" t="str">
        <f>_xll.BDP("586226HJ Muni","MUNI_TAX_PROV")</f>
        <v>FED &amp; ST TAX-EXEMPT</v>
      </c>
      <c r="Q1638" t="str">
        <f>_xll.BDP("586226HJ Muni","MUNI_FED_TAX")</f>
        <v>N</v>
      </c>
      <c r="R1638" t="str">
        <f>_xll.BDP("586226HJ Muni","MUNI_MSRB_VOLUME")</f>
        <v>#N/A N/A</v>
      </c>
      <c r="S1638" t="str">
        <f>_xll.BDP("586226HJ Muni","BB_COMPOSITE")</f>
        <v>AA+</v>
      </c>
      <c r="T1638">
        <f>_xll.BDP("586226HJ Muni","LQA_LIQUIDITY_SCORE")</f>
        <v>75</v>
      </c>
    </row>
    <row r="1639" spans="1:20" x14ac:dyDescent="0.25">
      <c r="A1639" t="str">
        <f>_xll.BDP("586810A2 Muni","ID_CUSIP")</f>
        <v>586810A29</v>
      </c>
      <c r="B1639" t="s">
        <v>164</v>
      </c>
      <c r="C1639" t="str">
        <f>_xll.BDP("586810A2 Muni","INSURANCE_STATUS")</f>
        <v>N</v>
      </c>
      <c r="D1639" t="str">
        <f>_xll.BDP("586810A2 Muni","STATE_CODE")</f>
        <v>CA</v>
      </c>
      <c r="E1639" t="str">
        <f>_xll.BDP("586810A2 Muni","COUNTY_LOCATION_ISSUER")</f>
        <v>Riverside, CA</v>
      </c>
      <c r="F1639">
        <f>_xll.BDP("586810A2 Muni","DUR_ADJ_MID")</f>
        <v>2.0073069935611141</v>
      </c>
      <c r="G1639">
        <f>_xll.BDP("586810A2 Muni","SPREAD_AT_ISSUANCE_TO_WORST")</f>
        <v>65.847726027397258</v>
      </c>
      <c r="H1639" t="str">
        <f>_xll.BDP("586810A2 Muni","ISSUE_DT")</f>
        <v>11/30/2017</v>
      </c>
      <c r="I1639" t="str">
        <f>_xll.BDS("586810A2 Muni","MUNI_PURPOSE_SCHED", "aggregate=y")</f>
        <v>SCHOOL IMPS. WATER UTILITY IMPS.</v>
      </c>
      <c r="J1639">
        <f>_xll.BDP("586810A2 Muni","CPN")</f>
        <v>2</v>
      </c>
      <c r="K1639" t="str">
        <f>_xll.BDP("586810A2 Muni","MATURITY")</f>
        <v>9/1/2024</v>
      </c>
      <c r="L1639">
        <v>65000</v>
      </c>
      <c r="M1639">
        <f>_xll.BDP("586810A2 Muni","YIELD_ON_ISSUE_DATE")</f>
        <v>2.29</v>
      </c>
      <c r="N1639">
        <f>_xll.BDP("586810A2 Muni","YTW_SPREAD_TO_MATURITY_AT_ISSU")</f>
        <v>65.847726027397258</v>
      </c>
      <c r="O1639" t="str">
        <f>_xll.BDP("586810A2 Muni","BVAL_MID_YTM")</f>
        <v>#N/A Authorization</v>
      </c>
      <c r="P1639" t="str">
        <f>_xll.BDP("586810A2 Muni","MUNI_TAX_PROV")</f>
        <v>FED &amp; ST TAX-EXEMPT</v>
      </c>
      <c r="Q1639" t="str">
        <f>_xll.BDP("586810A2 Muni","MUNI_FED_TAX")</f>
        <v>N</v>
      </c>
      <c r="R1639" t="str">
        <f>_xll.BDP("586810A2 Muni","MUNI_MSRB_VOLUME")</f>
        <v>#N/A N/A</v>
      </c>
      <c r="S1639" t="str">
        <f>_xll.BDP("586810A2 Muni","BB_COMPOSITE")</f>
        <v>#N/A N/A</v>
      </c>
      <c r="T1639">
        <f>_xll.BDP("586810A2 Muni","LQA_LIQUIDITY_SCORE")</f>
        <v>30</v>
      </c>
    </row>
    <row r="1640" spans="1:20" x14ac:dyDescent="0.25">
      <c r="A1640" t="str">
        <f>_xll.BDP("551803CK Muni","ID_CUSIP")</f>
        <v>551803CK3</v>
      </c>
      <c r="B1640" t="s">
        <v>460</v>
      </c>
      <c r="C1640" t="str">
        <f>_xll.BDP("551803CK Muni","INSURANCE_STATUS")</f>
        <v>Y</v>
      </c>
      <c r="D1640" t="str">
        <f>_xll.BDP("551803CK Muni","STATE_CODE")</f>
        <v>CA</v>
      </c>
      <c r="E1640" t="str">
        <f>_xll.BDP("551803CK Muni","COUNTY_LOCATION_ISSUER")</f>
        <v>Los Angeles, CA</v>
      </c>
      <c r="F1640">
        <f>_xll.BDP("551803CK Muni","DUR_ADJ_MID")</f>
        <v>1.7596261544599225</v>
      </c>
      <c r="G1640">
        <f>_xll.BDP("551803CK Muni","SPREAD_AT_ISSUANCE_TO_WORST")</f>
        <v>16.603014910118286</v>
      </c>
      <c r="H1640" t="str">
        <f>_xll.BDP("551803CK Muni","ISSUE_DT")</f>
        <v>9/7/2017</v>
      </c>
      <c r="I1640" t="str">
        <f>_xll.BDS("551803CK Muni","MUNI_PURPOSE_SCHED", "aggregate=y")</f>
        <v>WATER UTILITY IMPS. SEWER IMPS.</v>
      </c>
      <c r="J1640">
        <f>_xll.BDP("551803CK Muni","CPN")</f>
        <v>4</v>
      </c>
      <c r="K1640" t="str">
        <f>_xll.BDP("551803CK Muni","MATURITY")</f>
        <v>6/1/2024</v>
      </c>
      <c r="L1640">
        <v>65000</v>
      </c>
      <c r="M1640" t="str">
        <f>_xll.BDP("551803CK Muni","YIELD_ON_ISSUE_DATE")</f>
        <v>#N/A N/A</v>
      </c>
      <c r="N1640">
        <f>_xll.BDP("551803CK Muni","YTW_SPREAD_TO_MATURITY_AT_ISSU")</f>
        <v>16.603014910118286</v>
      </c>
      <c r="O1640" t="str">
        <f>_xll.BDP("551803CK Muni","BVAL_MID_YTM")</f>
        <v>#N/A Authorization</v>
      </c>
      <c r="P1640" t="str">
        <f>_xll.BDP("551803CK Muni","MUNI_TAX_PROV")</f>
        <v>FED &amp; ST TAX-EXEMPT</v>
      </c>
      <c r="Q1640" t="str">
        <f>_xll.BDP("551803CK Muni","MUNI_FED_TAX")</f>
        <v>N</v>
      </c>
      <c r="R1640" t="str">
        <f>_xll.BDP("551803CK Muni","MUNI_MSRB_VOLUME")</f>
        <v>#N/A N/A</v>
      </c>
      <c r="S1640" t="str">
        <f>_xll.BDP("551803CK Muni","BB_COMPOSITE")</f>
        <v>#N/A N/A</v>
      </c>
      <c r="T1640">
        <f>_xll.BDP("551803CK Muni","LQA_LIQUIDITY_SCORE")</f>
        <v>78</v>
      </c>
    </row>
    <row r="1641" spans="1:20" x14ac:dyDescent="0.25">
      <c r="A1641" t="str">
        <f>_xll.BDP("552048QA Muni","ID_CUSIP")</f>
        <v>552048QA1</v>
      </c>
      <c r="B1641" t="s">
        <v>78</v>
      </c>
      <c r="C1641" t="str">
        <f>_xll.BDP("552048QA Muni","INSURANCE_STATUS")</f>
        <v>N</v>
      </c>
      <c r="D1641" t="str">
        <f>_xll.BDP("552048QA Muni","STATE_CODE")</f>
        <v>MI</v>
      </c>
      <c r="E1641" t="str">
        <f>_xll.BDP("552048QA Muni","COUNTY_LOCATION_ISSUER")</f>
        <v>Oakland, MI</v>
      </c>
      <c r="F1641">
        <f>_xll.BDP("552048QA Muni","DUR_ADJ_MID")</f>
        <v>3.5796455362042585</v>
      </c>
      <c r="G1641">
        <f>_xll.BDP("552048QA Muni","SPREAD_AT_ISSUANCE_TO_WORST")</f>
        <v>30.016354264286239</v>
      </c>
      <c r="H1641" t="str">
        <f>_xll.BDP("552048QA Muni","ISSUE_DT")</f>
        <v>8/31/2017</v>
      </c>
      <c r="I1641" t="str">
        <f>_xll.BDS("552048QA Muni","MUNI_PURPOSE_SCHED", "aggregate=y")</f>
        <v>WATER UTILITY IMPS.</v>
      </c>
      <c r="J1641">
        <f>_xll.BDP("552048QA Muni","CPN")</f>
        <v>2</v>
      </c>
      <c r="K1641" t="str">
        <f>_xll.BDP("552048QA Muni","MATURITY")</f>
        <v>5/1/2026</v>
      </c>
      <c r="L1641">
        <v>780000</v>
      </c>
      <c r="M1641">
        <f>_xll.BDP("552048QA Muni","YIELD_ON_ISSUE_DATE")</f>
        <v>2</v>
      </c>
      <c r="N1641">
        <f>_xll.BDP("552048QA Muni","YTW_SPREAD_TO_MATURITY_AT_ISSU")</f>
        <v>30.016354264286239</v>
      </c>
      <c r="O1641" t="str">
        <f>_xll.BDP("552048QA Muni","BVAL_MID_YTM")</f>
        <v>#N/A Authorization</v>
      </c>
      <c r="P1641" t="str">
        <f>_xll.BDP("552048QA Muni","MUNI_TAX_PROV")</f>
        <v>FED &amp; ST TAX-EXEMPT</v>
      </c>
      <c r="Q1641" t="str">
        <f>_xll.BDP("552048QA Muni","MUNI_FED_TAX")</f>
        <v>N</v>
      </c>
      <c r="R1641" t="str">
        <f>_xll.BDP("552048QA Muni","MUNI_MSRB_VOLUME")</f>
        <v>#N/A N/A</v>
      </c>
      <c r="S1641" t="str">
        <f>_xll.BDP("552048QA Muni","BB_COMPOSITE")</f>
        <v>#N/A N/A</v>
      </c>
      <c r="T1641">
        <f>_xll.BDP("552048QA Muni","LQA_LIQUIDITY_SCORE")</f>
        <v>43</v>
      </c>
    </row>
    <row r="1642" spans="1:20" x14ac:dyDescent="0.25">
      <c r="A1642" t="str">
        <f>_xll.BDP("552048QB Muni","ID_CUSIP")</f>
        <v>552048QB9</v>
      </c>
      <c r="B1642" t="s">
        <v>78</v>
      </c>
      <c r="C1642" t="str">
        <f>_xll.BDP("552048QB Muni","INSURANCE_STATUS")</f>
        <v>N</v>
      </c>
      <c r="D1642" t="str">
        <f>_xll.BDP("552048QB Muni","STATE_CODE")</f>
        <v>MI</v>
      </c>
      <c r="E1642" t="str">
        <f>_xll.BDP("552048QB Muni","COUNTY_LOCATION_ISSUER")</f>
        <v>Oakland, MI</v>
      </c>
      <c r="F1642">
        <f>_xll.BDP("552048QB Muni","DUR_ADJ_MID")</f>
        <v>4.4886057029282114</v>
      </c>
      <c r="G1642">
        <f>_xll.BDP("552048QB Muni","SPREAD_AT_ISSUANCE_TO_WORST")</f>
        <v>38.296584106009469</v>
      </c>
      <c r="H1642" t="str">
        <f>_xll.BDP("552048QB Muni","ISSUE_DT")</f>
        <v>8/31/2017</v>
      </c>
      <c r="I1642" t="str">
        <f>_xll.BDS("552048QB Muni","MUNI_PURPOSE_SCHED", "aggregate=y")</f>
        <v>WATER UTILITY IMPS.</v>
      </c>
      <c r="J1642">
        <f>_xll.BDP("552048QB Muni","CPN")</f>
        <v>2</v>
      </c>
      <c r="K1642" t="str">
        <f>_xll.BDP("552048QB Muni","MATURITY")</f>
        <v>5/1/2027</v>
      </c>
      <c r="L1642">
        <v>800000</v>
      </c>
      <c r="M1642">
        <f>_xll.BDP("552048QB Muni","YIELD_ON_ISSUE_DATE")</f>
        <v>2.2000000000000002</v>
      </c>
      <c r="N1642">
        <f>_xll.BDP("552048QB Muni","YTW_SPREAD_TO_MATURITY_AT_ISSU")</f>
        <v>38.296584106009469</v>
      </c>
      <c r="O1642" t="str">
        <f>_xll.BDP("552048QB Muni","BVAL_MID_YTM")</f>
        <v>#N/A Authorization</v>
      </c>
      <c r="P1642" t="str">
        <f>_xll.BDP("552048QB Muni","MUNI_TAX_PROV")</f>
        <v>FED &amp; ST TAX-EXEMPT</v>
      </c>
      <c r="Q1642" t="str">
        <f>_xll.BDP("552048QB Muni","MUNI_FED_TAX")</f>
        <v>N</v>
      </c>
      <c r="R1642" t="str">
        <f>_xll.BDP("552048QB Muni","MUNI_MSRB_VOLUME")</f>
        <v>#N/A N/A</v>
      </c>
      <c r="S1642" t="str">
        <f>_xll.BDP("552048QB Muni","BB_COMPOSITE")</f>
        <v>#N/A N/A</v>
      </c>
      <c r="T1642">
        <f>_xll.BDP("552048QB Muni","LQA_LIQUIDITY_SCORE")</f>
        <v>37</v>
      </c>
    </row>
    <row r="1643" spans="1:20" x14ac:dyDescent="0.25">
      <c r="A1643" t="str">
        <f>_xll.BDP("64985HXL Muni","ID_CUSIP")</f>
        <v>64985HXL6</v>
      </c>
      <c r="B1643" t="s">
        <v>22</v>
      </c>
      <c r="C1643" t="str">
        <f>_xll.BDP("64985HXL Muni","INSURANCE_STATUS")</f>
        <v>N</v>
      </c>
      <c r="D1643" t="str">
        <f>_xll.BDP("64985HXL Muni","STATE_CODE")</f>
        <v>NY</v>
      </c>
      <c r="E1643" t="str">
        <f>_xll.BDP("64985HXL Muni","COUNTY_LOCATION_ISSUER")</f>
        <v>Albany, NY</v>
      </c>
      <c r="F1643">
        <f>_xll.BDP("64985HXL Muni","DUR_ADJ_MID")</f>
        <v>3.6101831325355799E-2</v>
      </c>
      <c r="G1643">
        <f>_xll.BDP("64985HXL Muni","SPREAD_AT_ISSUANCE_TO_WORST")</f>
        <v>0.16055616438357401</v>
      </c>
      <c r="H1643" t="str">
        <f>_xll.BDP("64985HXL Muni","ISSUE_DT")</f>
        <v>11/9/2017</v>
      </c>
      <c r="I1643" t="str">
        <f>_xll.BDS("64985HXL Muni","MUNI_PURPOSE_SCHED", "aggregate=y")</f>
        <v>GREEN PURPOSE WATER UTILITY IMPS.</v>
      </c>
      <c r="J1643">
        <f>_xll.BDP("64985HXL Muni","CPN")</f>
        <v>3</v>
      </c>
      <c r="K1643" t="str">
        <f>_xll.BDP("64985HXL Muni","MATURITY")</f>
        <v>8/15/2022</v>
      </c>
      <c r="L1643">
        <v>955000</v>
      </c>
      <c r="M1643">
        <f>_xll.BDP("64985HXL Muni","YIELD_ON_ISSUE_DATE")</f>
        <v>1.33</v>
      </c>
      <c r="N1643">
        <f>_xll.BDP("64985HXL Muni","YTW_SPREAD_TO_MATURITY_AT_ISSU")</f>
        <v>0.16055616438357401</v>
      </c>
      <c r="O1643" t="str">
        <f>_xll.BDP("64985HXL Muni","BVAL_MID_YTM")</f>
        <v>#N/A Authorization</v>
      </c>
      <c r="P1643" t="str">
        <f>_xll.BDP("64985HXL Muni","MUNI_TAX_PROV")</f>
        <v>FED &amp; ST TAX-EXEMPT</v>
      </c>
      <c r="Q1643" t="str">
        <f>_xll.BDP("64985HXL Muni","MUNI_FED_TAX")</f>
        <v>N</v>
      </c>
      <c r="R1643">
        <f>_xll.BDP("64985HXL Muni","MUNI_MSRB_VOLUME")</f>
        <v>40000</v>
      </c>
      <c r="S1643" t="str">
        <f>_xll.BDP("64985HXL Muni","BB_COMPOSITE")</f>
        <v>AAA</v>
      </c>
      <c r="T1643">
        <f>_xll.BDP("64985HXL Muni","LQA_LIQUIDITY_SCORE")</f>
        <v>99</v>
      </c>
    </row>
    <row r="1644" spans="1:20" x14ac:dyDescent="0.25">
      <c r="A1644" t="str">
        <f>_xll.BDP("64985HXQ Muni","ID_CUSIP")</f>
        <v>64985HXQ5</v>
      </c>
      <c r="B1644" t="s">
        <v>22</v>
      </c>
      <c r="C1644" t="str">
        <f>_xll.BDP("64985HXQ Muni","INSURANCE_STATUS")</f>
        <v>N</v>
      </c>
      <c r="D1644" t="str">
        <f>_xll.BDP("64985HXQ Muni","STATE_CODE")</f>
        <v>NY</v>
      </c>
      <c r="E1644" t="str">
        <f>_xll.BDP("64985HXQ Muni","COUNTY_LOCATION_ISSUER")</f>
        <v>Albany, NY</v>
      </c>
      <c r="F1644">
        <f>_xll.BDP("64985HXQ Muni","DUR_ADJ_MID")</f>
        <v>1.9499280485871822</v>
      </c>
      <c r="G1644">
        <f>_xll.BDP("64985HXQ Muni","SPREAD_AT_ISSUANCE_TO_WORST")</f>
        <v>1.1194520547963549E-2</v>
      </c>
      <c r="H1644" t="str">
        <f>_xll.BDP("64985HXQ Muni","ISSUE_DT")</f>
        <v>11/9/2017</v>
      </c>
      <c r="I1644" t="str">
        <f>_xll.BDS("64985HXQ Muni","MUNI_PURPOSE_SCHED", "aggregate=y")</f>
        <v>GREEN PURPOSE WATER UTILITY IMPS.</v>
      </c>
      <c r="J1644">
        <f>_xll.BDP("64985HXQ Muni","CPN")</f>
        <v>3</v>
      </c>
      <c r="K1644" t="str">
        <f>_xll.BDP("64985HXQ Muni","MATURITY")</f>
        <v>8/15/2024</v>
      </c>
      <c r="L1644">
        <v>1065000</v>
      </c>
      <c r="M1644">
        <f>_xll.BDP("64985HXQ Muni","YIELD_ON_ISSUE_DATE")</f>
        <v>1.58</v>
      </c>
      <c r="N1644">
        <f>_xll.BDP("64985HXQ Muni","YTW_SPREAD_TO_MATURITY_AT_ISSU")</f>
        <v>1.1194520547963549E-2</v>
      </c>
      <c r="O1644" t="str">
        <f>_xll.BDP("64985HXQ Muni","BVAL_MID_YTM")</f>
        <v>#N/A Authorization</v>
      </c>
      <c r="P1644" t="str">
        <f>_xll.BDP("64985HXQ Muni","MUNI_TAX_PROV")</f>
        <v>FED &amp; ST TAX-EXEMPT</v>
      </c>
      <c r="Q1644" t="str">
        <f>_xll.BDP("64985HXQ Muni","MUNI_FED_TAX")</f>
        <v>N</v>
      </c>
      <c r="R1644" t="str">
        <f>_xll.BDP("64985HXQ Muni","MUNI_MSRB_VOLUME")</f>
        <v>#N/A N/A</v>
      </c>
      <c r="S1644" t="str">
        <f>_xll.BDP("64985HXQ Muni","BB_COMPOSITE")</f>
        <v>AAA</v>
      </c>
      <c r="T1644">
        <f>_xll.BDP("64985HXQ Muni","LQA_LIQUIDITY_SCORE")</f>
        <v>78</v>
      </c>
    </row>
    <row r="1645" spans="1:20" x14ac:dyDescent="0.25">
      <c r="A1645" t="str">
        <f>_xll.BDP("64985HXS Muni","ID_CUSIP")</f>
        <v>64985HXS1</v>
      </c>
      <c r="B1645" t="s">
        <v>22</v>
      </c>
      <c r="C1645" t="str">
        <f>_xll.BDP("64985HXS Muni","INSURANCE_STATUS")</f>
        <v>N</v>
      </c>
      <c r="D1645" t="str">
        <f>_xll.BDP("64985HXS Muni","STATE_CODE")</f>
        <v>NY</v>
      </c>
      <c r="E1645" t="str">
        <f>_xll.BDP("64985HXS Muni","COUNTY_LOCATION_ISSUER")</f>
        <v>Albany, NY</v>
      </c>
      <c r="F1645">
        <f>_xll.BDP("64985HXS Muni","DUR_ADJ_MID")</f>
        <v>2.8230882705560987</v>
      </c>
      <c r="G1645">
        <f>_xll.BDP("64985HXS Muni","SPREAD_AT_ISSUANCE_TO_WORST")</f>
        <v>-0.88144109589041175</v>
      </c>
      <c r="H1645" t="str">
        <f>_xll.BDP("64985HXS Muni","ISSUE_DT")</f>
        <v>11/9/2017</v>
      </c>
      <c r="I1645" t="str">
        <f>_xll.BDS("64985HXS Muni","MUNI_PURPOSE_SCHED", "aggregate=y")</f>
        <v>GREEN PURPOSE WATER UTILITY IMPS.</v>
      </c>
      <c r="J1645">
        <f>_xll.BDP("64985HXS Muni","CPN")</f>
        <v>4</v>
      </c>
      <c r="K1645" t="str">
        <f>_xll.BDP("64985HXS Muni","MATURITY")</f>
        <v>8/15/2025</v>
      </c>
      <c r="L1645">
        <v>1125000</v>
      </c>
      <c r="M1645">
        <f>_xll.BDP("64985HXS Muni","YIELD_ON_ISSUE_DATE")</f>
        <v>1.7000000000000002</v>
      </c>
      <c r="N1645">
        <f>_xll.BDP("64985HXS Muni","YTW_SPREAD_TO_MATURITY_AT_ISSU")</f>
        <v>-0.88144109589041175</v>
      </c>
      <c r="O1645" t="str">
        <f>_xll.BDP("64985HXS Muni","BVAL_MID_YTM")</f>
        <v>#N/A Authorization</v>
      </c>
      <c r="P1645" t="str">
        <f>_xll.BDP("64985HXS Muni","MUNI_TAX_PROV")</f>
        <v>FED &amp; ST TAX-EXEMPT</v>
      </c>
      <c r="Q1645" t="str">
        <f>_xll.BDP("64985HXS Muni","MUNI_FED_TAX")</f>
        <v>N</v>
      </c>
      <c r="R1645">
        <f>_xll.BDP("64985HXS Muni","MUNI_MSRB_VOLUME")</f>
        <v>25000</v>
      </c>
      <c r="S1645" t="str">
        <f>_xll.BDP("64985HXS Muni","BB_COMPOSITE")</f>
        <v>AAA</v>
      </c>
      <c r="T1645">
        <f>_xll.BDP("64985HXS Muni","LQA_LIQUIDITY_SCORE")</f>
        <v>75</v>
      </c>
    </row>
    <row r="1646" spans="1:20" x14ac:dyDescent="0.25">
      <c r="A1646" t="str">
        <f>_xll.BDP("64985HXT Muni","ID_CUSIP")</f>
        <v>64985HXT9</v>
      </c>
      <c r="B1646" t="s">
        <v>22</v>
      </c>
      <c r="C1646" t="str">
        <f>_xll.BDP("64985HXT Muni","INSURANCE_STATUS")</f>
        <v>N</v>
      </c>
      <c r="D1646" t="str">
        <f>_xll.BDP("64985HXT Muni","STATE_CODE")</f>
        <v>NY</v>
      </c>
      <c r="E1646" t="str">
        <f>_xll.BDP("64985HXT Muni","COUNTY_LOCATION_ISSUER")</f>
        <v>Albany, NY</v>
      </c>
      <c r="F1646">
        <f>_xll.BDP("64985HXT Muni","DUR_ADJ_MID")</f>
        <v>3.2070313740019918</v>
      </c>
      <c r="G1646">
        <f>_xll.BDP("64985HXT Muni","SPREAD_AT_ISSUANCE_TO_WORST")</f>
        <v>-0.82437808219177899</v>
      </c>
      <c r="H1646" t="str">
        <f>_xll.BDP("64985HXT Muni","ISSUE_DT")</f>
        <v>11/9/2017</v>
      </c>
      <c r="I1646" t="str">
        <f>_xll.BDS("64985HXT Muni","MUNI_PURPOSE_SCHED", "aggregate=y")</f>
        <v>GREEN PURPOSE WATER UTILITY IMPS.</v>
      </c>
      <c r="J1646">
        <f>_xll.BDP("64985HXT Muni","CPN")</f>
        <v>5</v>
      </c>
      <c r="K1646" t="str">
        <f>_xll.BDP("64985HXT Muni","MATURITY")</f>
        <v>2/15/2026</v>
      </c>
      <c r="L1646">
        <v>1885000</v>
      </c>
      <c r="M1646">
        <f>_xll.BDP("64985HXT Muni","YIELD_ON_ISSUE_DATE")</f>
        <v>1.76</v>
      </c>
      <c r="N1646">
        <f>_xll.BDP("64985HXT Muni","YTW_SPREAD_TO_MATURITY_AT_ISSU")</f>
        <v>-0.82437808219177899</v>
      </c>
      <c r="O1646" t="str">
        <f>_xll.BDP("64985HXT Muni","BVAL_MID_YTM")</f>
        <v>#N/A Authorization</v>
      </c>
      <c r="P1646" t="str">
        <f>_xll.BDP("64985HXT Muni","MUNI_TAX_PROV")</f>
        <v>FED &amp; ST TAX-EXEMPT</v>
      </c>
      <c r="Q1646" t="str">
        <f>_xll.BDP("64985HXT Muni","MUNI_FED_TAX")</f>
        <v>N</v>
      </c>
      <c r="R1646">
        <f>_xll.BDP("64985HXT Muni","MUNI_MSRB_VOLUME")</f>
        <v>200000</v>
      </c>
      <c r="S1646" t="str">
        <f>_xll.BDP("64985HXT Muni","BB_COMPOSITE")</f>
        <v>AAA</v>
      </c>
      <c r="T1646">
        <f>_xll.BDP("64985HXT Muni","LQA_LIQUIDITY_SCORE")</f>
        <v>76</v>
      </c>
    </row>
    <row r="1647" spans="1:20" x14ac:dyDescent="0.25">
      <c r="A1647" t="str">
        <f>_xll.BDP("64985HXU Muni","ID_CUSIP")</f>
        <v>64985HXU6</v>
      </c>
      <c r="B1647" t="s">
        <v>22</v>
      </c>
      <c r="C1647" t="str">
        <f>_xll.BDP("64985HXU Muni","INSURANCE_STATUS")</f>
        <v>N</v>
      </c>
      <c r="D1647" t="str">
        <f>_xll.BDP("64985HXU Muni","STATE_CODE")</f>
        <v>NY</v>
      </c>
      <c r="E1647" t="str">
        <f>_xll.BDP("64985HXU Muni","COUNTY_LOCATION_ISSUER")</f>
        <v>Albany, NY</v>
      </c>
      <c r="F1647">
        <f>_xll.BDP("64985HXU Muni","DUR_ADJ_MID")</f>
        <v>3.622405465402025</v>
      </c>
      <c r="G1647">
        <f>_xll.BDP("64985HXU Muni","SPREAD_AT_ISSUANCE_TO_WORST")</f>
        <v>0.60379726027397496</v>
      </c>
      <c r="H1647" t="str">
        <f>_xll.BDP("64985HXU Muni","ISSUE_DT")</f>
        <v>11/9/2017</v>
      </c>
      <c r="I1647" t="str">
        <f>_xll.BDS("64985HXU Muni","MUNI_PURPOSE_SCHED", "aggregate=y")</f>
        <v>GREEN PURPOSE WATER UTILITY IMPS.</v>
      </c>
      <c r="J1647">
        <f>_xll.BDP("64985HXU Muni","CPN")</f>
        <v>5</v>
      </c>
      <c r="K1647" t="str">
        <f>_xll.BDP("64985HXU Muni","MATURITY")</f>
        <v>8/15/2026</v>
      </c>
      <c r="L1647">
        <v>1190000</v>
      </c>
      <c r="M1647">
        <f>_xll.BDP("64985HXU Muni","YIELD_ON_ISSUE_DATE")</f>
        <v>1.83</v>
      </c>
      <c r="N1647">
        <f>_xll.BDP("64985HXU Muni","YTW_SPREAD_TO_MATURITY_AT_ISSU")</f>
        <v>0.60379726027397496</v>
      </c>
      <c r="O1647" t="str">
        <f>_xll.BDP("64985HXU Muni","BVAL_MID_YTM")</f>
        <v>#N/A Authorization</v>
      </c>
      <c r="P1647" t="str">
        <f>_xll.BDP("64985HXU Muni","MUNI_TAX_PROV")</f>
        <v>FED &amp; ST TAX-EXEMPT</v>
      </c>
      <c r="Q1647" t="str">
        <f>_xll.BDP("64985HXU Muni","MUNI_FED_TAX")</f>
        <v>N</v>
      </c>
      <c r="R1647" t="str">
        <f>_xll.BDP("64985HXU Muni","MUNI_MSRB_VOLUME")</f>
        <v>#N/A N/A</v>
      </c>
      <c r="S1647" t="str">
        <f>_xll.BDP("64985HXU Muni","BB_COMPOSITE")</f>
        <v>AAA</v>
      </c>
      <c r="T1647">
        <f>_xll.BDP("64985HXU Muni","LQA_LIQUIDITY_SCORE")</f>
        <v>74</v>
      </c>
    </row>
    <row r="1648" spans="1:20" x14ac:dyDescent="0.25">
      <c r="A1648" t="str">
        <f>_xll.BDP("64985HXV Muni","ID_CUSIP")</f>
        <v>64985HXV4</v>
      </c>
      <c r="B1648" t="s">
        <v>22</v>
      </c>
      <c r="C1648" t="str">
        <f>_xll.BDP("64985HXV Muni","INSURANCE_STATUS")</f>
        <v>N</v>
      </c>
      <c r="D1648" t="str">
        <f>_xll.BDP("64985HXV Muni","STATE_CODE")</f>
        <v>NY</v>
      </c>
      <c r="E1648" t="str">
        <f>_xll.BDP("64985HXV Muni","COUNTY_LOCATION_ISSUER")</f>
        <v>Albany, NY</v>
      </c>
      <c r="F1648">
        <f>_xll.BDP("64985HXV Muni","DUR_ADJ_MID")</f>
        <v>4.0295342929666669</v>
      </c>
      <c r="G1648">
        <f>_xll.BDP("64985HXV Muni","SPREAD_AT_ISSUANCE_TO_WORST")</f>
        <v>-0.22599999999999287</v>
      </c>
      <c r="H1648" t="str">
        <f>_xll.BDP("64985HXV Muni","ISSUE_DT")</f>
        <v>11/9/2017</v>
      </c>
      <c r="I1648" t="str">
        <f>_xll.BDS("64985HXV Muni","MUNI_PURPOSE_SCHED", "aggregate=y")</f>
        <v>GREEN PURPOSE WATER UTILITY IMPS.</v>
      </c>
      <c r="J1648">
        <f>_xll.BDP("64985HXV Muni","CPN")</f>
        <v>5</v>
      </c>
      <c r="K1648" t="str">
        <f>_xll.BDP("64985HXV Muni","MATURITY")</f>
        <v>2/15/2027</v>
      </c>
      <c r="L1648">
        <v>1950000</v>
      </c>
      <c r="M1648">
        <f>_xll.BDP("64985HXV Muni","YIELD_ON_ISSUE_DATE")</f>
        <v>1.87</v>
      </c>
      <c r="N1648">
        <f>_xll.BDP("64985HXV Muni","YTW_SPREAD_TO_MATURITY_AT_ISSU")</f>
        <v>-0.22599999999999287</v>
      </c>
      <c r="O1648" t="str">
        <f>_xll.BDP("64985HXV Muni","BVAL_MID_YTM")</f>
        <v>#N/A Authorization</v>
      </c>
      <c r="P1648" t="str">
        <f>_xll.BDP("64985HXV Muni","MUNI_TAX_PROV")</f>
        <v>FED &amp; ST TAX-EXEMPT</v>
      </c>
      <c r="Q1648" t="str">
        <f>_xll.BDP("64985HXV Muni","MUNI_FED_TAX")</f>
        <v>N</v>
      </c>
      <c r="R1648">
        <f>_xll.BDP("64985HXV Muni","MUNI_MSRB_VOLUME")</f>
        <v>25000</v>
      </c>
      <c r="S1648" t="str">
        <f>_xll.BDP("64985HXV Muni","BB_COMPOSITE")</f>
        <v>AAA</v>
      </c>
      <c r="T1648">
        <f>_xll.BDP("64985HXV Muni","LQA_LIQUIDITY_SCORE")</f>
        <v>71</v>
      </c>
    </row>
    <row r="1649" spans="1:20" x14ac:dyDescent="0.25">
      <c r="A1649" t="str">
        <f>_xll.BDP("64985HXW Muni","ID_CUSIP")</f>
        <v>64985HXW2</v>
      </c>
      <c r="B1649" t="s">
        <v>22</v>
      </c>
      <c r="C1649" t="str">
        <f>_xll.BDP("64985HXW Muni","INSURANCE_STATUS")</f>
        <v>N</v>
      </c>
      <c r="D1649" t="str">
        <f>_xll.BDP("64985HXW Muni","STATE_CODE")</f>
        <v>NY</v>
      </c>
      <c r="E1649" t="str">
        <f>_xll.BDP("64985HXW Muni","COUNTY_LOCATION_ISSUER")</f>
        <v>Albany, NY</v>
      </c>
      <c r="F1649">
        <f>_xll.BDP("64985HXW Muni","DUR_ADJ_MID")</f>
        <v>4.5202749280889734</v>
      </c>
      <c r="G1649">
        <f>_xll.BDP("64985HXW Muni","SPREAD_AT_ISSUANCE_TO_WORST")</f>
        <v>1.4299999999999979</v>
      </c>
      <c r="H1649" t="str">
        <f>_xll.BDP("64985HXW Muni","ISSUE_DT")</f>
        <v>11/9/2017</v>
      </c>
      <c r="I1649" t="str">
        <f>_xll.BDS("64985HXW Muni","MUNI_PURPOSE_SCHED", "aggregate=y")</f>
        <v>GREEN PURPOSE WATER UTILITY IMPS.</v>
      </c>
      <c r="J1649">
        <f>_xll.BDP("64985HXW Muni","CPN")</f>
        <v>4</v>
      </c>
      <c r="K1649" t="str">
        <f>_xll.BDP("64985HXW Muni","MATURITY")</f>
        <v>8/15/2027</v>
      </c>
      <c r="L1649">
        <v>1255000</v>
      </c>
      <c r="M1649">
        <f>_xll.BDP("64985HXW Muni","YIELD_ON_ISSUE_DATE")</f>
        <v>1.93</v>
      </c>
      <c r="N1649">
        <f>_xll.BDP("64985HXW Muni","YTW_SPREAD_TO_MATURITY_AT_ISSU")</f>
        <v>1.4299999999999979</v>
      </c>
      <c r="O1649" t="str">
        <f>_xll.BDP("64985HXW Muni","BVAL_MID_YTM")</f>
        <v>#N/A Authorization</v>
      </c>
      <c r="P1649" t="str">
        <f>_xll.BDP("64985HXW Muni","MUNI_TAX_PROV")</f>
        <v>FED &amp; ST TAX-EXEMPT</v>
      </c>
      <c r="Q1649" t="str">
        <f>_xll.BDP("64985HXW Muni","MUNI_FED_TAX")</f>
        <v>N</v>
      </c>
      <c r="R1649">
        <f>_xll.BDP("64985HXW Muni","MUNI_MSRB_VOLUME")</f>
        <v>20000</v>
      </c>
      <c r="S1649" t="str">
        <f>_xll.BDP("64985HXW Muni","BB_COMPOSITE")</f>
        <v>AAA</v>
      </c>
      <c r="T1649">
        <f>_xll.BDP("64985HXW Muni","LQA_LIQUIDITY_SCORE")</f>
        <v>63</v>
      </c>
    </row>
    <row r="1650" spans="1:20" x14ac:dyDescent="0.25">
      <c r="A1650" t="str">
        <f>_xll.BDP("64986DFC Muni","ID_CUSIP")</f>
        <v>64986DFC4</v>
      </c>
      <c r="B1650" t="s">
        <v>22</v>
      </c>
      <c r="C1650" t="str">
        <f>_xll.BDP("64986DFC Muni","INSURANCE_STATUS")</f>
        <v>N</v>
      </c>
      <c r="D1650" t="str">
        <f>_xll.BDP("64986DFC Muni","STATE_CODE")</f>
        <v>NY</v>
      </c>
      <c r="E1650" t="str">
        <f>_xll.BDP("64986DFC Muni","COUNTY_LOCATION_ISSUER")</f>
        <v>Albany, NY</v>
      </c>
      <c r="F1650">
        <f>_xll.BDP("64986DFC Muni","DUR_ADJ_MID")</f>
        <v>2.6805067838443848</v>
      </c>
      <c r="G1650">
        <f>_xll.BDP("64986DFC Muni","SPREAD_AT_ISSUANCE_TO_WORST")</f>
        <v>0.45805753424656981</v>
      </c>
      <c r="H1650" t="str">
        <f>_xll.BDP("64986DFC Muni","ISSUE_DT")</f>
        <v>12/14/2017</v>
      </c>
      <c r="I1650" t="str">
        <f>_xll.BDS("64986DFC Muni","MUNI_PURPOSE_SCHED", "aggregate=y")</f>
        <v>WATER UTILITY IMPS. GREEN PURPOSE</v>
      </c>
      <c r="J1650">
        <f>_xll.BDP("64986DFC Muni","CPN")</f>
        <v>5</v>
      </c>
      <c r="K1650" t="str">
        <f>_xll.BDP("64986DFC Muni","MATURITY")</f>
        <v>6/15/2025</v>
      </c>
      <c r="L1650">
        <v>7240000</v>
      </c>
      <c r="M1650">
        <f>_xll.BDP("64986DFC Muni","YIELD_ON_ISSUE_DATE")</f>
        <v>1.99</v>
      </c>
      <c r="N1650">
        <f>_xll.BDP("64986DFC Muni","YTW_SPREAD_TO_MATURITY_AT_ISSU")</f>
        <v>0.45805753424656981</v>
      </c>
      <c r="O1650" t="str">
        <f>_xll.BDP("64986DFC Muni","BVAL_MID_YTM")</f>
        <v>#N/A Authorization</v>
      </c>
      <c r="P1650" t="str">
        <f>_xll.BDP("64986DFC Muni","MUNI_TAX_PROV")</f>
        <v>FED &amp; ST TAX-EXEMPT</v>
      </c>
      <c r="Q1650" t="str">
        <f>_xll.BDP("64986DFC Muni","MUNI_FED_TAX")</f>
        <v>N</v>
      </c>
      <c r="R1650">
        <f>_xll.BDP("64986DFC Muni","MUNI_MSRB_VOLUME")</f>
        <v>60000</v>
      </c>
      <c r="S1650" t="str">
        <f>_xll.BDP("64986DFC Muni","BB_COMPOSITE")</f>
        <v>AAA</v>
      </c>
      <c r="T1650">
        <f>_xll.BDP("64986DFC Muni","LQA_LIQUIDITY_SCORE")</f>
        <v>80</v>
      </c>
    </row>
    <row r="1651" spans="1:20" x14ac:dyDescent="0.25">
      <c r="A1651" t="str">
        <f>_xll.BDP("580441FS Muni","ID_CUSIP")</f>
        <v>580441FS7</v>
      </c>
      <c r="B1651" t="s">
        <v>110</v>
      </c>
      <c r="C1651" t="str">
        <f>_xll.BDP("580441FS Muni","INSURANCE_STATUS")</f>
        <v>N</v>
      </c>
      <c r="D1651" t="str">
        <f>_xll.BDP("580441FS Muni","STATE_CODE")</f>
        <v>WI</v>
      </c>
      <c r="E1651" t="str">
        <f>_xll.BDP("580441FS Muni","COUNTY_LOCATION_ISSUER")</f>
        <v>Dane, WI</v>
      </c>
      <c r="F1651">
        <f>_xll.BDP("580441FS Muni","DUR_ADJ_MID")</f>
        <v>0.32943926694324333</v>
      </c>
      <c r="G1651">
        <f>_xll.BDP("580441FS Muni","SPREAD_AT_ISSUANCE_TO_WORST")</f>
        <v>23.132372622946296</v>
      </c>
      <c r="H1651" t="str">
        <f>_xll.BDP("580441FS Muni","ISSUE_DT")</f>
        <v>7/20/2017</v>
      </c>
      <c r="I1651" t="str">
        <f>_xll.BDS("580441FS Muni","MUNI_PURPOSE_SCHED", "aggregate=y")</f>
        <v>PUBLIC IMPS. SEWER IMPS. WATER UTILITY IMPS.</v>
      </c>
      <c r="J1651">
        <f>_xll.BDP("580441FS Muni","CPN")</f>
        <v>2.25</v>
      </c>
      <c r="K1651" t="str">
        <f>_xll.BDP("580441FS Muni","MATURITY")</f>
        <v>12/1/2022</v>
      </c>
      <c r="L1651">
        <v>535000</v>
      </c>
      <c r="M1651">
        <f>_xll.BDP("580441FS Muni","YIELD_ON_ISSUE_DATE")</f>
        <v>1.6500000000000001</v>
      </c>
      <c r="N1651">
        <f>_xll.BDP("580441FS Muni","YTW_SPREAD_TO_MATURITY_AT_ISSU")</f>
        <v>23.132372622946296</v>
      </c>
      <c r="O1651" t="str">
        <f>_xll.BDP("580441FS Muni","BVAL_MID_YTM")</f>
        <v>#N/A Authorization</v>
      </c>
      <c r="P1651" t="str">
        <f>_xll.BDP("580441FS Muni","MUNI_TAX_PROV")</f>
        <v>FED BQ/ST TAXABLE</v>
      </c>
      <c r="Q1651" t="str">
        <f>_xll.BDP("580441FS Muni","MUNI_FED_TAX")</f>
        <v>N</v>
      </c>
      <c r="R1651" t="str">
        <f>_xll.BDP("580441FS Muni","MUNI_MSRB_VOLUME")</f>
        <v>#N/A N/A</v>
      </c>
      <c r="S1651" t="str">
        <f>_xll.BDP("580441FS Muni","BB_COMPOSITE")</f>
        <v>#N/A N/A</v>
      </c>
      <c r="T1651">
        <f>_xll.BDP("580441FS Muni","LQA_LIQUIDITY_SCORE")</f>
        <v>93</v>
      </c>
    </row>
    <row r="1652" spans="1:20" x14ac:dyDescent="0.25">
      <c r="A1652" t="str">
        <f>_xll.BDP("581714VM Muni","ID_CUSIP")</f>
        <v>581714VM1</v>
      </c>
      <c r="B1652" t="s">
        <v>46</v>
      </c>
      <c r="C1652" t="str">
        <f>_xll.BDP("581714VM Muni","INSURANCE_STATUS")</f>
        <v>N</v>
      </c>
      <c r="D1652" t="str">
        <f>_xll.BDP("581714VM Muni","STATE_CODE")</f>
        <v>TX</v>
      </c>
      <c r="E1652" t="str">
        <f>_xll.BDP("581714VM Muni","COUNTY_LOCATION_ISSUER")</f>
        <v>Collin, TX</v>
      </c>
      <c r="F1652">
        <f>_xll.BDP("581714VM Muni","DUR_ADJ_MID")</f>
        <v>0.61089649192191409</v>
      </c>
      <c r="G1652">
        <f>_xll.BDP("581714VM Muni","SPREAD_AT_ISSUANCE_TO_WORST")</f>
        <v>16.885300148416714</v>
      </c>
      <c r="H1652" t="str">
        <f>_xll.BDP("581714VM Muni","ISSUE_DT")</f>
        <v>8/1/2017</v>
      </c>
      <c r="I1652" t="str">
        <f>_xll.BDS("581714VM Muni","MUNI_PURPOSE_SCHED", "aggregate=y")</f>
        <v>WATER UTILITY IMPS. SEWER IMPS. ADVANCE REFUNDING</v>
      </c>
      <c r="J1652">
        <f>_xll.BDP("581714VM Muni","CPN")</f>
        <v>2</v>
      </c>
      <c r="K1652" t="str">
        <f>_xll.BDP("581714VM Muni","MATURITY")</f>
        <v>3/15/2023</v>
      </c>
      <c r="L1652">
        <v>2495000</v>
      </c>
      <c r="M1652">
        <f>_xll.BDP("581714VM Muni","YIELD_ON_ISSUE_DATE")</f>
        <v>1.47</v>
      </c>
      <c r="N1652">
        <f>_xll.BDP("581714VM Muni","YTW_SPREAD_TO_MATURITY_AT_ISSU")</f>
        <v>16.885300148416714</v>
      </c>
      <c r="O1652" t="str">
        <f>_xll.BDP("581714VM Muni","BVAL_MID_YTM")</f>
        <v>#N/A Authorization</v>
      </c>
      <c r="P1652" t="str">
        <f>_xll.BDP("581714VM Muni","MUNI_TAX_PROV")</f>
        <v>FED TAX-EXEMPT</v>
      </c>
      <c r="Q1652" t="str">
        <f>_xll.BDP("581714VM Muni","MUNI_FED_TAX")</f>
        <v>N</v>
      </c>
      <c r="R1652">
        <f>_xll.BDP("581714VM Muni","MUNI_MSRB_VOLUME")</f>
        <v>100000</v>
      </c>
      <c r="S1652" t="str">
        <f>_xll.BDP("581714VM Muni","BB_COMPOSITE")</f>
        <v>AA+</v>
      </c>
      <c r="T1652">
        <f>_xll.BDP("581714VM Muni","LQA_LIQUIDITY_SCORE")</f>
        <v>87</v>
      </c>
    </row>
    <row r="1653" spans="1:20" x14ac:dyDescent="0.25">
      <c r="A1653" t="str">
        <f>_xll.BDP("580441FT Muni","ID_CUSIP")</f>
        <v>580441FT5</v>
      </c>
      <c r="B1653" t="s">
        <v>110</v>
      </c>
      <c r="C1653" t="str">
        <f>_xll.BDP("580441FT Muni","INSURANCE_STATUS")</f>
        <v>N</v>
      </c>
      <c r="D1653" t="str">
        <f>_xll.BDP("580441FT Muni","STATE_CODE")</f>
        <v>WI</v>
      </c>
      <c r="E1653" t="str">
        <f>_xll.BDP("580441FT Muni","COUNTY_LOCATION_ISSUER")</f>
        <v>Dane, WI</v>
      </c>
      <c r="F1653">
        <f>_xll.BDP("580441FT Muni","DUR_ADJ_MID")</f>
        <v>1.3050873408180139</v>
      </c>
      <c r="G1653">
        <f>_xll.BDP("580441FT Muni","SPREAD_AT_ISSUANCE_TO_WORST")</f>
        <v>23.845225832118967</v>
      </c>
      <c r="H1653" t="str">
        <f>_xll.BDP("580441FT Muni","ISSUE_DT")</f>
        <v>7/20/2017</v>
      </c>
      <c r="I1653" t="str">
        <f>_xll.BDS("580441FT Muni","MUNI_PURPOSE_SCHED", "aggregate=y")</f>
        <v>PUBLIC IMPS. SEWER IMPS. WATER UTILITY IMPS.</v>
      </c>
      <c r="J1653">
        <f>_xll.BDP("580441FT Muni","CPN")</f>
        <v>2</v>
      </c>
      <c r="K1653" t="str">
        <f>_xll.BDP("580441FT Muni","MATURITY")</f>
        <v>12/1/2023</v>
      </c>
      <c r="L1653">
        <v>540000</v>
      </c>
      <c r="M1653">
        <f>_xll.BDP("580441FT Muni","YIELD_ON_ISSUE_DATE")</f>
        <v>1.8</v>
      </c>
      <c r="N1653">
        <f>_xll.BDP("580441FT Muni","YTW_SPREAD_TO_MATURITY_AT_ISSU")</f>
        <v>23.845225832118967</v>
      </c>
      <c r="O1653" t="str">
        <f>_xll.BDP("580441FT Muni","BVAL_MID_YTM")</f>
        <v>#N/A Authorization</v>
      </c>
      <c r="P1653" t="str">
        <f>_xll.BDP("580441FT Muni","MUNI_TAX_PROV")</f>
        <v>FED BQ/ST TAXABLE</v>
      </c>
      <c r="Q1653" t="str">
        <f>_xll.BDP("580441FT Muni","MUNI_FED_TAX")</f>
        <v>N</v>
      </c>
      <c r="R1653">
        <f>_xll.BDP("580441FT Muni","MUNI_MSRB_VOLUME")</f>
        <v>200000</v>
      </c>
      <c r="S1653" t="str">
        <f>_xll.BDP("580441FT Muni","BB_COMPOSITE")</f>
        <v>#N/A N/A</v>
      </c>
      <c r="T1653">
        <f>_xll.BDP("580441FT Muni","LQA_LIQUIDITY_SCORE")</f>
        <v>76</v>
      </c>
    </row>
    <row r="1654" spans="1:20" x14ac:dyDescent="0.25">
      <c r="A1654" t="str">
        <f>_xll.BDP("581714VN Muni","ID_CUSIP")</f>
        <v>581714VN9</v>
      </c>
      <c r="B1654" t="s">
        <v>46</v>
      </c>
      <c r="C1654" t="str">
        <f>_xll.BDP("581714VN Muni","INSURANCE_STATUS")</f>
        <v>N</v>
      </c>
      <c r="D1654" t="str">
        <f>_xll.BDP("581714VN Muni","STATE_CODE")</f>
        <v>TX</v>
      </c>
      <c r="E1654" t="str">
        <f>_xll.BDP("581714VN Muni","COUNTY_LOCATION_ISSUER")</f>
        <v>Collin, TX</v>
      </c>
      <c r="F1654">
        <f>_xll.BDP("581714VN Muni","DUR_ADJ_MID")</f>
        <v>1.5733921695271671</v>
      </c>
      <c r="G1654">
        <f>_xll.BDP("581714VN Muni","SPREAD_AT_ISSUANCE_TO_WORST")</f>
        <v>19.295293595115638</v>
      </c>
      <c r="H1654" t="str">
        <f>_xll.BDP("581714VN Muni","ISSUE_DT")</f>
        <v>8/1/2017</v>
      </c>
      <c r="I1654" t="str">
        <f>_xll.BDS("581714VN Muni","MUNI_PURPOSE_SCHED", "aggregate=y")</f>
        <v>WATER UTILITY IMPS. SEWER IMPS. ADVANCE REFUNDING</v>
      </c>
      <c r="J1654">
        <f>_xll.BDP("581714VN Muni","CPN")</f>
        <v>2.25</v>
      </c>
      <c r="K1654" t="str">
        <f>_xll.BDP("581714VN Muni","MATURITY")</f>
        <v>3/15/2024</v>
      </c>
      <c r="L1654">
        <v>2550000</v>
      </c>
      <c r="M1654">
        <f>_xll.BDP("581714VN Muni","YIELD_ON_ISSUE_DATE")</f>
        <v>1.6400000000000001</v>
      </c>
      <c r="N1654">
        <f>_xll.BDP("581714VN Muni","YTW_SPREAD_TO_MATURITY_AT_ISSU")</f>
        <v>19.295293595115638</v>
      </c>
      <c r="O1654" t="str">
        <f>_xll.BDP("581714VN Muni","BVAL_MID_YTM")</f>
        <v>#N/A Authorization</v>
      </c>
      <c r="P1654" t="str">
        <f>_xll.BDP("581714VN Muni","MUNI_TAX_PROV")</f>
        <v>FED TAX-EXEMPT</v>
      </c>
      <c r="Q1654" t="str">
        <f>_xll.BDP("581714VN Muni","MUNI_FED_TAX")</f>
        <v>N</v>
      </c>
      <c r="R1654" t="str">
        <f>_xll.BDP("581714VN Muni","MUNI_MSRB_VOLUME")</f>
        <v>#N/A N/A</v>
      </c>
      <c r="S1654" t="str">
        <f>_xll.BDP("581714VN Muni","BB_COMPOSITE")</f>
        <v>AA+</v>
      </c>
      <c r="T1654">
        <f>_xll.BDP("581714VN Muni","LQA_LIQUIDITY_SCORE")</f>
        <v>77</v>
      </c>
    </row>
    <row r="1655" spans="1:20" x14ac:dyDescent="0.25">
      <c r="A1655" t="str">
        <f>_xll.BDP("581714VR Muni","ID_CUSIP")</f>
        <v>581714VR0</v>
      </c>
      <c r="B1655" t="s">
        <v>46</v>
      </c>
      <c r="C1655" t="str">
        <f>_xll.BDP("581714VR Muni","INSURANCE_STATUS")</f>
        <v>N</v>
      </c>
      <c r="D1655" t="str">
        <f>_xll.BDP("581714VR Muni","STATE_CODE")</f>
        <v>TX</v>
      </c>
      <c r="E1655" t="str">
        <f>_xll.BDP("581714VR Muni","COUNTY_LOCATION_ISSUER")</f>
        <v>Collin, TX</v>
      </c>
      <c r="F1655">
        <f>_xll.BDP("581714VR Muni","DUR_ADJ_MID")</f>
        <v>4.097946258149177</v>
      </c>
      <c r="G1655">
        <f>_xll.BDP("581714VR Muni","SPREAD_AT_ISSUANCE_TO_WORST")</f>
        <v>27.935441686706163</v>
      </c>
      <c r="H1655" t="str">
        <f>_xll.BDP("581714VR Muni","ISSUE_DT")</f>
        <v>8/1/2017</v>
      </c>
      <c r="I1655" t="str">
        <f>_xll.BDS("581714VR Muni","MUNI_PURPOSE_SCHED", "aggregate=y")</f>
        <v>WATER UTILITY IMPS. SEWER IMPS. ADVANCE REFUNDING</v>
      </c>
      <c r="J1655">
        <f>_xll.BDP("581714VR Muni","CPN")</f>
        <v>5</v>
      </c>
      <c r="K1655" t="str">
        <f>_xll.BDP("581714VR Muni","MATURITY")</f>
        <v>3/15/2027</v>
      </c>
      <c r="L1655">
        <v>3065000</v>
      </c>
      <c r="M1655">
        <f>_xll.BDP("581714VR Muni","YIELD_ON_ISSUE_DATE")</f>
        <v>2.13</v>
      </c>
      <c r="N1655">
        <f>_xll.BDP("581714VR Muni","YTW_SPREAD_TO_MATURITY_AT_ISSU")</f>
        <v>27.935441686706163</v>
      </c>
      <c r="O1655" t="str">
        <f>_xll.BDP("581714VR Muni","BVAL_MID_YTM")</f>
        <v>#N/A Authorization</v>
      </c>
      <c r="P1655" t="str">
        <f>_xll.BDP("581714VR Muni","MUNI_TAX_PROV")</f>
        <v>FED TAX-EXEMPT</v>
      </c>
      <c r="Q1655" t="str">
        <f>_xll.BDP("581714VR Muni","MUNI_FED_TAX")</f>
        <v>N</v>
      </c>
      <c r="R1655">
        <f>_xll.BDP("581714VR Muni","MUNI_MSRB_VOLUME")</f>
        <v>90000</v>
      </c>
      <c r="S1655" t="str">
        <f>_xll.BDP("581714VR Muni","BB_COMPOSITE")</f>
        <v>AA+</v>
      </c>
      <c r="T1655">
        <f>_xll.BDP("581714VR Muni","LQA_LIQUIDITY_SCORE")</f>
        <v>71</v>
      </c>
    </row>
    <row r="1656" spans="1:20" x14ac:dyDescent="0.25">
      <c r="A1656" t="str">
        <f>_xll.BDP("717087E9 Muni","ID_CUSIP")</f>
        <v>717087E97</v>
      </c>
      <c r="B1656" t="s">
        <v>239</v>
      </c>
      <c r="C1656" t="str">
        <f>_xll.BDP("717087E9 Muni","INSURANCE_STATUS")</f>
        <v>N</v>
      </c>
      <c r="D1656" t="str">
        <f>_xll.BDP("717087E9 Muni","STATE_CODE")</f>
        <v>TX</v>
      </c>
      <c r="E1656" t="str">
        <f>_xll.BDP("717087E9 Muni","COUNTY_LOCATION_ISSUER")</f>
        <v>Travis, TX</v>
      </c>
      <c r="F1656">
        <f>_xll.BDP("717087E9 Muni","DUR_ADJ_MID")</f>
        <v>5.555299306909324E-3</v>
      </c>
      <c r="G1656">
        <f>_xll.BDP("717087E9 Muni","SPREAD_AT_ISSUANCE_TO_WORST")</f>
        <v>18.646421917808208</v>
      </c>
      <c r="H1656" t="str">
        <f>_xll.BDP("717087E9 Muni","ISSUE_DT")</f>
        <v>12/1/2017</v>
      </c>
      <c r="I1656" t="str">
        <f>_xll.BDS("717087E9 Muni","MUNI_PURPOSE_SCHED", "aggregate=y")</f>
        <v>SEWER IMPS. WATER UTILITY IMPS.</v>
      </c>
      <c r="J1656">
        <f>_xll.BDP("717087E9 Muni","CPN")</f>
        <v>5</v>
      </c>
      <c r="K1656" t="str">
        <f>_xll.BDP("717087E9 Muni","MATURITY")</f>
        <v>8/1/2022</v>
      </c>
      <c r="L1656">
        <v>350000</v>
      </c>
      <c r="M1656">
        <f>_xll.BDP("717087E9 Muni","YIELD_ON_ISSUE_DATE")</f>
        <v>1.68</v>
      </c>
      <c r="N1656">
        <f>_xll.BDP("717087E9 Muni","YTW_SPREAD_TO_MATURITY_AT_ISSU")</f>
        <v>18.646421917808208</v>
      </c>
      <c r="O1656" t="str">
        <f>_xll.BDP("717087E9 Muni","BVAL_MID_YTM")</f>
        <v>#N/A Authorization</v>
      </c>
      <c r="P1656" t="str">
        <f>_xll.BDP("717087E9 Muni","MUNI_TAX_PROV")</f>
        <v>FED TAX-EXEMPT</v>
      </c>
      <c r="Q1656" t="str">
        <f>_xll.BDP("717087E9 Muni","MUNI_FED_TAX")</f>
        <v>N</v>
      </c>
      <c r="R1656">
        <f>_xll.BDP("717087E9 Muni","MUNI_MSRB_VOLUME")</f>
        <v>20000</v>
      </c>
      <c r="S1656" t="str">
        <f>_xll.BDP("717087E9 Muni","BB_COMPOSITE")</f>
        <v>AA</v>
      </c>
      <c r="T1656">
        <f>_xll.BDP("717087E9 Muni","LQA_LIQUIDITY_SCORE")</f>
        <v>96</v>
      </c>
    </row>
    <row r="1657" spans="1:20" x14ac:dyDescent="0.25">
      <c r="A1657" t="str">
        <f>_xll.BDP("717087F3 Muni","ID_CUSIP")</f>
        <v>717087F39</v>
      </c>
      <c r="B1657" t="s">
        <v>239</v>
      </c>
      <c r="C1657" t="str">
        <f>_xll.BDP("717087F3 Muni","INSURANCE_STATUS")</f>
        <v>N</v>
      </c>
      <c r="D1657" t="str">
        <f>_xll.BDP("717087F3 Muni","STATE_CODE")</f>
        <v>TX</v>
      </c>
      <c r="E1657" t="str">
        <f>_xll.BDP("717087F3 Muni","COUNTY_LOCATION_ISSUER")</f>
        <v>Travis, TX</v>
      </c>
      <c r="F1657">
        <f>_xll.BDP("717087F3 Muni","DUR_ADJ_MID")</f>
        <v>1.9118721312622384</v>
      </c>
      <c r="G1657">
        <f>_xll.BDP("717087F3 Muni","SPREAD_AT_ISSUANCE_TO_WORST")</f>
        <v>21.098435616438358</v>
      </c>
      <c r="H1657" t="str">
        <f>_xll.BDP("717087F3 Muni","ISSUE_DT")</f>
        <v>12/1/2017</v>
      </c>
      <c r="I1657" t="str">
        <f>_xll.BDS("717087F3 Muni","MUNI_PURPOSE_SCHED", "aggregate=y")</f>
        <v>SEWER IMPS. WATER UTILITY IMPS.</v>
      </c>
      <c r="J1657">
        <f>_xll.BDP("717087F3 Muni","CPN")</f>
        <v>5</v>
      </c>
      <c r="K1657" t="str">
        <f>_xll.BDP("717087F3 Muni","MATURITY")</f>
        <v>8/1/2024</v>
      </c>
      <c r="L1657">
        <v>1045000</v>
      </c>
      <c r="M1657">
        <f>_xll.BDP("717087F3 Muni","YIELD_ON_ISSUE_DATE")</f>
        <v>1.92</v>
      </c>
      <c r="N1657">
        <f>_xll.BDP("717087F3 Muni","YTW_SPREAD_TO_MATURITY_AT_ISSU")</f>
        <v>21.098435616438358</v>
      </c>
      <c r="O1657" t="str">
        <f>_xll.BDP("717087F3 Muni","BVAL_MID_YTM")</f>
        <v>#N/A Authorization</v>
      </c>
      <c r="P1657" t="str">
        <f>_xll.BDP("717087F3 Muni","MUNI_TAX_PROV")</f>
        <v>FED TAX-EXEMPT</v>
      </c>
      <c r="Q1657" t="str">
        <f>_xll.BDP("717087F3 Muni","MUNI_FED_TAX")</f>
        <v>N</v>
      </c>
      <c r="R1657">
        <f>_xll.BDP("717087F3 Muni","MUNI_MSRB_VOLUME")</f>
        <v>200000</v>
      </c>
      <c r="S1657" t="str">
        <f>_xll.BDP("717087F3 Muni","BB_COMPOSITE")</f>
        <v>AA</v>
      </c>
      <c r="T1657">
        <f>_xll.BDP("717087F3 Muni","LQA_LIQUIDITY_SCORE")</f>
        <v>83</v>
      </c>
    </row>
    <row r="1658" spans="1:20" x14ac:dyDescent="0.25">
      <c r="A1658" t="str">
        <f>_xll.BDP("717087F4 Muni","ID_CUSIP")</f>
        <v>717087F47</v>
      </c>
      <c r="B1658" t="s">
        <v>239</v>
      </c>
      <c r="C1658" t="str">
        <f>_xll.BDP("717087F4 Muni","INSURANCE_STATUS")</f>
        <v>N</v>
      </c>
      <c r="D1658" t="str">
        <f>_xll.BDP("717087F4 Muni","STATE_CODE")</f>
        <v>TX</v>
      </c>
      <c r="E1658" t="str">
        <f>_xll.BDP("717087F4 Muni","COUNTY_LOCATION_ISSUER")</f>
        <v>Travis, TX</v>
      </c>
      <c r="F1658">
        <f>_xll.BDP("717087F4 Muni","DUR_ADJ_MID")</f>
        <v>2.804424375645127</v>
      </c>
      <c r="G1658">
        <f>_xll.BDP("717087F4 Muni","SPREAD_AT_ISSUANCE_TO_WORST")</f>
        <v>21.113098630136975</v>
      </c>
      <c r="H1658" t="str">
        <f>_xll.BDP("717087F4 Muni","ISSUE_DT")</f>
        <v>12/1/2017</v>
      </c>
      <c r="I1658" t="str">
        <f>_xll.BDS("717087F4 Muni","MUNI_PURPOSE_SCHED", "aggregate=y")</f>
        <v>SEWER IMPS. WATER UTILITY IMPS.</v>
      </c>
      <c r="J1658">
        <f>_xll.BDP("717087F4 Muni","CPN")</f>
        <v>5</v>
      </c>
      <c r="K1658" t="str">
        <f>_xll.BDP("717087F4 Muni","MATURITY")</f>
        <v>8/1/2025</v>
      </c>
      <c r="L1658">
        <v>380000</v>
      </c>
      <c r="M1658">
        <f>_xll.BDP("717087F4 Muni","YIELD_ON_ISSUE_DATE")</f>
        <v>2.0300000000000002</v>
      </c>
      <c r="N1658">
        <f>_xll.BDP("717087F4 Muni","YTW_SPREAD_TO_MATURITY_AT_ISSU")</f>
        <v>21.113098630136975</v>
      </c>
      <c r="O1658" t="str">
        <f>_xll.BDP("717087F4 Muni","BVAL_MID_YTM")</f>
        <v>#N/A Authorization</v>
      </c>
      <c r="P1658" t="str">
        <f>_xll.BDP("717087F4 Muni","MUNI_TAX_PROV")</f>
        <v>FED TAX-EXEMPT</v>
      </c>
      <c r="Q1658" t="str">
        <f>_xll.BDP("717087F4 Muni","MUNI_FED_TAX")</f>
        <v>N</v>
      </c>
      <c r="R1658" t="str">
        <f>_xll.BDP("717087F4 Muni","MUNI_MSRB_VOLUME")</f>
        <v>#N/A N/A</v>
      </c>
      <c r="S1658" t="str">
        <f>_xll.BDP("717087F4 Muni","BB_COMPOSITE")</f>
        <v>AA</v>
      </c>
      <c r="T1658">
        <f>_xll.BDP("717087F4 Muni","LQA_LIQUIDITY_SCORE")</f>
        <v>76</v>
      </c>
    </row>
    <row r="1659" spans="1:20" x14ac:dyDescent="0.25">
      <c r="A1659" t="str">
        <f>_xll.BDP("717087F5 Muni","ID_CUSIP")</f>
        <v>717087F54</v>
      </c>
      <c r="B1659" t="s">
        <v>239</v>
      </c>
      <c r="C1659" t="str">
        <f>_xll.BDP("717087F5 Muni","INSURANCE_STATUS")</f>
        <v>N</v>
      </c>
      <c r="D1659" t="str">
        <f>_xll.BDP("717087F5 Muni","STATE_CODE")</f>
        <v>TX</v>
      </c>
      <c r="E1659" t="str">
        <f>_xll.BDP("717087F5 Muni","COUNTY_LOCATION_ISSUER")</f>
        <v>Travis, TX</v>
      </c>
      <c r="F1659">
        <f>_xll.BDP("717087F5 Muni","DUR_ADJ_MID")</f>
        <v>3.6591483462113263</v>
      </c>
      <c r="G1659">
        <f>_xll.BDP("717087F5 Muni","SPREAD_AT_ISSUANCE_TO_WORST")</f>
        <v>23.019813698630131</v>
      </c>
      <c r="H1659" t="str">
        <f>_xll.BDP("717087F5 Muni","ISSUE_DT")</f>
        <v>12/1/2017</v>
      </c>
      <c r="I1659" t="str">
        <f>_xll.BDS("717087F5 Muni","MUNI_PURPOSE_SCHED", "aggregate=y")</f>
        <v>SEWER IMPS. WATER UTILITY IMPS.</v>
      </c>
      <c r="J1659">
        <f>_xll.BDP("717087F5 Muni","CPN")</f>
        <v>5</v>
      </c>
      <c r="K1659" t="str">
        <f>_xll.BDP("717087F5 Muni","MATURITY")</f>
        <v>8/1/2026</v>
      </c>
      <c r="L1659">
        <v>100000</v>
      </c>
      <c r="M1659">
        <f>_xll.BDP("717087F5 Muni","YIELD_ON_ISSUE_DATE")</f>
        <v>2.15</v>
      </c>
      <c r="N1659">
        <f>_xll.BDP("717087F5 Muni","YTW_SPREAD_TO_MATURITY_AT_ISSU")</f>
        <v>23.019813698630131</v>
      </c>
      <c r="O1659" t="str">
        <f>_xll.BDP("717087F5 Muni","BVAL_MID_YTM")</f>
        <v>#N/A Authorization</v>
      </c>
      <c r="P1659" t="str">
        <f>_xll.BDP("717087F5 Muni","MUNI_TAX_PROV")</f>
        <v>FED TAX-EXEMPT</v>
      </c>
      <c r="Q1659" t="str">
        <f>_xll.BDP("717087F5 Muni","MUNI_FED_TAX")</f>
        <v>N</v>
      </c>
      <c r="R1659" t="str">
        <f>_xll.BDP("717087F5 Muni","MUNI_MSRB_VOLUME")</f>
        <v>#N/A N/A</v>
      </c>
      <c r="S1659" t="str">
        <f>_xll.BDP("717087F5 Muni","BB_COMPOSITE")</f>
        <v>AA</v>
      </c>
      <c r="T1659">
        <f>_xll.BDP("717087F5 Muni","LQA_LIQUIDITY_SCORE")</f>
        <v>70</v>
      </c>
    </row>
    <row r="1660" spans="1:20" x14ac:dyDescent="0.25">
      <c r="A1660" t="str">
        <f>_xll.BDP("717087F6 Muni","ID_CUSIP")</f>
        <v>717087F62</v>
      </c>
      <c r="B1660" t="s">
        <v>239</v>
      </c>
      <c r="C1660" t="str">
        <f>_xll.BDP("717087F6 Muni","INSURANCE_STATUS")</f>
        <v>N</v>
      </c>
      <c r="D1660" t="str">
        <f>_xll.BDP("717087F6 Muni","STATE_CODE")</f>
        <v>TX</v>
      </c>
      <c r="E1660" t="str">
        <f>_xll.BDP("717087F6 Muni","COUNTY_LOCATION_ISSUER")</f>
        <v>Travis, TX</v>
      </c>
      <c r="F1660">
        <f>_xll.BDP("717087F6 Muni","DUR_ADJ_MID")</f>
        <v>4.4792258515753947</v>
      </c>
      <c r="G1660">
        <f>_xll.BDP("717087F6 Muni","SPREAD_AT_ISSUANCE_TO_WORST")</f>
        <v>27.893786301369872</v>
      </c>
      <c r="H1660" t="str">
        <f>_xll.BDP("717087F6 Muni","ISSUE_DT")</f>
        <v>12/1/2017</v>
      </c>
      <c r="I1660" t="str">
        <f>_xll.BDS("717087F6 Muni","MUNI_PURPOSE_SCHED", "aggregate=y")</f>
        <v>SEWER IMPS. WATER UTILITY IMPS.</v>
      </c>
      <c r="J1660">
        <f>_xll.BDP("717087F6 Muni","CPN")</f>
        <v>5</v>
      </c>
      <c r="K1660" t="str">
        <f>_xll.BDP("717087F6 Muni","MATURITY")</f>
        <v>8/1/2027</v>
      </c>
      <c r="L1660">
        <v>150000</v>
      </c>
      <c r="M1660">
        <f>_xll.BDP("717087F6 Muni","YIELD_ON_ISSUE_DATE")</f>
        <v>2.27</v>
      </c>
      <c r="N1660">
        <f>_xll.BDP("717087F6 Muni","YTW_SPREAD_TO_MATURITY_AT_ISSU")</f>
        <v>27.893786301369872</v>
      </c>
      <c r="O1660" t="str">
        <f>_xll.BDP("717087F6 Muni","BVAL_MID_YTM")</f>
        <v>#N/A Authorization</v>
      </c>
      <c r="P1660" t="str">
        <f>_xll.BDP("717087F6 Muni","MUNI_TAX_PROV")</f>
        <v>FED TAX-EXEMPT</v>
      </c>
      <c r="Q1660" t="str">
        <f>_xll.BDP("717087F6 Muni","MUNI_FED_TAX")</f>
        <v>N</v>
      </c>
      <c r="R1660" t="str">
        <f>_xll.BDP("717087F6 Muni","MUNI_MSRB_VOLUME")</f>
        <v>#N/A N/A</v>
      </c>
      <c r="S1660" t="str">
        <f>_xll.BDP("717087F6 Muni","BB_COMPOSITE")</f>
        <v>AA</v>
      </c>
      <c r="T1660">
        <f>_xll.BDP("717087F6 Muni","LQA_LIQUIDITY_SCORE")</f>
        <v>64</v>
      </c>
    </row>
    <row r="1661" spans="1:20" x14ac:dyDescent="0.25">
      <c r="A1661" t="str">
        <f>_xll.BDP("717087J7 Muni","ID_CUSIP")</f>
        <v>717087J76</v>
      </c>
      <c r="B1661" t="s">
        <v>239</v>
      </c>
      <c r="C1661" t="str">
        <f>_xll.BDP("717087J7 Muni","INSURANCE_STATUS")</f>
        <v>N</v>
      </c>
      <c r="D1661" t="str">
        <f>_xll.BDP("717087J7 Muni","STATE_CODE")</f>
        <v>TX</v>
      </c>
      <c r="E1661" t="str">
        <f>_xll.BDP("717087J7 Muni","COUNTY_LOCATION_ISSUER")</f>
        <v>Travis, TX</v>
      </c>
      <c r="F1661">
        <f>_xll.BDP("717087J7 Muni","DUR_ADJ_MID")</f>
        <v>5.5552991693449509E-3</v>
      </c>
      <c r="G1661">
        <f>_xll.BDP("717087J7 Muni","SPREAD_AT_ISSUANCE_TO_WORST")</f>
        <v>18.646421917808208</v>
      </c>
      <c r="H1661" t="str">
        <f>_xll.BDP("717087J7 Muni","ISSUE_DT")</f>
        <v>12/1/2017</v>
      </c>
      <c r="I1661" t="str">
        <f>_xll.BDS("717087J7 Muni","MUNI_PURPOSE_SCHED", "aggregate=y")</f>
        <v>PUBLIC IMPS. SEWER IMPS. WATER UTILITY IMPS.</v>
      </c>
      <c r="J1661">
        <f>_xll.BDP("717087J7 Muni","CPN")</f>
        <v>2</v>
      </c>
      <c r="K1661" t="str">
        <f>_xll.BDP("717087J7 Muni","MATURITY")</f>
        <v>8/1/2022</v>
      </c>
      <c r="L1661">
        <v>40000</v>
      </c>
      <c r="M1661">
        <f>_xll.BDP("717087J7 Muni","YIELD_ON_ISSUE_DATE")</f>
        <v>1.68</v>
      </c>
      <c r="N1661">
        <f>_xll.BDP("717087J7 Muni","YTW_SPREAD_TO_MATURITY_AT_ISSU")</f>
        <v>18.646421917808208</v>
      </c>
      <c r="O1661" t="str">
        <f>_xll.BDP("717087J7 Muni","BVAL_MID_YTM")</f>
        <v>#N/A Authorization</v>
      </c>
      <c r="P1661" t="str">
        <f>_xll.BDP("717087J7 Muni","MUNI_TAX_PROV")</f>
        <v>FED TAX-EXEMPT</v>
      </c>
      <c r="Q1661" t="str">
        <f>_xll.BDP("717087J7 Muni","MUNI_FED_TAX")</f>
        <v>N</v>
      </c>
      <c r="R1661" t="str">
        <f>_xll.BDP("717087J7 Muni","MUNI_MSRB_VOLUME")</f>
        <v>#N/A N/A</v>
      </c>
      <c r="S1661" t="str">
        <f>_xll.BDP("717087J7 Muni","BB_COMPOSITE")</f>
        <v>AA</v>
      </c>
      <c r="T1661">
        <f>_xll.BDP("717087J7 Muni","LQA_LIQUIDITY_SCORE")</f>
        <v>96</v>
      </c>
    </row>
    <row r="1662" spans="1:20" x14ac:dyDescent="0.25">
      <c r="A1662" t="str">
        <f>_xll.BDP("717087J9 Muni","ID_CUSIP")</f>
        <v>717087J92</v>
      </c>
      <c r="B1662" t="s">
        <v>239</v>
      </c>
      <c r="C1662" t="str">
        <f>_xll.BDP("717087J9 Muni","INSURANCE_STATUS")</f>
        <v>N</v>
      </c>
      <c r="D1662" t="str">
        <f>_xll.BDP("717087J9 Muni","STATE_CODE")</f>
        <v>TX</v>
      </c>
      <c r="E1662" t="str">
        <f>_xll.BDP("717087J9 Muni","COUNTY_LOCATION_ISSUER")</f>
        <v>Travis, TX</v>
      </c>
      <c r="F1662">
        <f>_xll.BDP("717087J9 Muni","DUR_ADJ_MID")</f>
        <v>1.9378442750880218</v>
      </c>
      <c r="G1662">
        <f>_xll.BDP("717087J9 Muni","SPREAD_AT_ISSUANCE_TO_WORST")</f>
        <v>21.098435616438358</v>
      </c>
      <c r="H1662" t="str">
        <f>_xll.BDP("717087J9 Muni","ISSUE_DT")</f>
        <v>12/1/2017</v>
      </c>
      <c r="I1662" t="str">
        <f>_xll.BDS("717087J9 Muni","MUNI_PURPOSE_SCHED", "aggregate=y")</f>
        <v>PUBLIC IMPS. SEWER IMPS. WATER UTILITY IMPS.</v>
      </c>
      <c r="J1662">
        <f>_xll.BDP("717087J9 Muni","CPN")</f>
        <v>3</v>
      </c>
      <c r="K1662" t="str">
        <f>_xll.BDP("717087J9 Muni","MATURITY")</f>
        <v>8/1/2024</v>
      </c>
      <c r="L1662">
        <v>40000</v>
      </c>
      <c r="M1662">
        <f>_xll.BDP("717087J9 Muni","YIELD_ON_ISSUE_DATE")</f>
        <v>1.92</v>
      </c>
      <c r="N1662">
        <f>_xll.BDP("717087J9 Muni","YTW_SPREAD_TO_MATURITY_AT_ISSU")</f>
        <v>21.098435616438358</v>
      </c>
      <c r="O1662" t="str">
        <f>_xll.BDP("717087J9 Muni","BVAL_MID_YTM")</f>
        <v>#N/A Authorization</v>
      </c>
      <c r="P1662" t="str">
        <f>_xll.BDP("717087J9 Muni","MUNI_TAX_PROV")</f>
        <v>FED TAX-EXEMPT</v>
      </c>
      <c r="Q1662" t="str">
        <f>_xll.BDP("717087J9 Muni","MUNI_FED_TAX")</f>
        <v>N</v>
      </c>
      <c r="R1662" t="str">
        <f>_xll.BDP("717087J9 Muni","MUNI_MSRB_VOLUME")</f>
        <v>#N/A N/A</v>
      </c>
      <c r="S1662" t="str">
        <f>_xll.BDP("717087J9 Muni","BB_COMPOSITE")</f>
        <v>AA</v>
      </c>
      <c r="T1662">
        <f>_xll.BDP("717087J9 Muni","LQA_LIQUIDITY_SCORE")</f>
        <v>72</v>
      </c>
    </row>
    <row r="1663" spans="1:20" x14ac:dyDescent="0.25">
      <c r="A1663" t="str">
        <f>_xll.BDP("717087K3 Muni","ID_CUSIP")</f>
        <v>717087K33</v>
      </c>
      <c r="B1663" t="s">
        <v>239</v>
      </c>
      <c r="C1663" t="str">
        <f>_xll.BDP("717087K3 Muni","INSURANCE_STATUS")</f>
        <v>N</v>
      </c>
      <c r="D1663" t="str">
        <f>_xll.BDP("717087K3 Muni","STATE_CODE")</f>
        <v>TX</v>
      </c>
      <c r="E1663" t="str">
        <f>_xll.BDP("717087K3 Muni","COUNTY_LOCATION_ISSUER")</f>
        <v>Travis, TX</v>
      </c>
      <c r="F1663">
        <f>_xll.BDP("717087K3 Muni","DUR_ADJ_MID")</f>
        <v>3.6591483462113263</v>
      </c>
      <c r="G1663">
        <f>_xll.BDP("717087K3 Muni","SPREAD_AT_ISSUANCE_TO_WORST")</f>
        <v>23.019813698630131</v>
      </c>
      <c r="H1663" t="str">
        <f>_xll.BDP("717087K3 Muni","ISSUE_DT")</f>
        <v>12/1/2017</v>
      </c>
      <c r="I1663" t="str">
        <f>_xll.BDS("717087K3 Muni","MUNI_PURPOSE_SCHED", "aggregate=y")</f>
        <v>PUBLIC IMPS. SEWER IMPS. WATER UTILITY IMPS.</v>
      </c>
      <c r="J1663">
        <f>_xll.BDP("717087K3 Muni","CPN")</f>
        <v>5</v>
      </c>
      <c r="K1663" t="str">
        <f>_xll.BDP("717087K3 Muni","MATURITY")</f>
        <v>8/1/2026</v>
      </c>
      <c r="L1663">
        <v>180000</v>
      </c>
      <c r="M1663">
        <f>_xll.BDP("717087K3 Muni","YIELD_ON_ISSUE_DATE")</f>
        <v>2.15</v>
      </c>
      <c r="N1663">
        <f>_xll.BDP("717087K3 Muni","YTW_SPREAD_TO_MATURITY_AT_ISSU")</f>
        <v>23.019813698630131</v>
      </c>
      <c r="O1663" t="str">
        <f>_xll.BDP("717087K3 Muni","BVAL_MID_YTM")</f>
        <v>#N/A Authorization</v>
      </c>
      <c r="P1663" t="str">
        <f>_xll.BDP("717087K3 Muni","MUNI_TAX_PROV")</f>
        <v>FED TAX-EXEMPT</v>
      </c>
      <c r="Q1663" t="str">
        <f>_xll.BDP("717087K3 Muni","MUNI_FED_TAX")</f>
        <v>N</v>
      </c>
      <c r="R1663" t="str">
        <f>_xll.BDP("717087K3 Muni","MUNI_MSRB_VOLUME")</f>
        <v>#N/A N/A</v>
      </c>
      <c r="S1663" t="str">
        <f>_xll.BDP("717087K3 Muni","BB_COMPOSITE")</f>
        <v>AA</v>
      </c>
      <c r="T1663">
        <f>_xll.BDP("717087K3 Muni","LQA_LIQUIDITY_SCORE")</f>
        <v>66</v>
      </c>
    </row>
    <row r="1664" spans="1:20" x14ac:dyDescent="0.25">
      <c r="A1664" t="str">
        <f>_xll.BDP("576051QY Muni","ID_CUSIP")</f>
        <v>576051QY5</v>
      </c>
      <c r="B1664" t="s">
        <v>102</v>
      </c>
      <c r="C1664" t="str">
        <f>_xll.BDP("576051QY Muni","INSURANCE_STATUS")</f>
        <v>N</v>
      </c>
      <c r="D1664" t="str">
        <f>_xll.BDP("576051QY Muni","STATE_CODE")</f>
        <v>MA</v>
      </c>
      <c r="E1664" t="str">
        <f>_xll.BDP("576051QY Muni","COUNTY_LOCATION_ISSUER")</f>
        <v>Suffolk, MA</v>
      </c>
      <c r="F1664">
        <f>_xll.BDP("576051QY Muni","DUR_ADJ_MID")</f>
        <v>2.8055847837337864</v>
      </c>
      <c r="G1664">
        <f>_xll.BDP("576051QY Muni","SPREAD_AT_ISSUANCE_TO_WORST")</f>
        <v>11.003485298693839</v>
      </c>
      <c r="H1664" t="str">
        <f>_xll.BDP("576051QY Muni","ISSUE_DT")</f>
        <v>5/18/2017</v>
      </c>
      <c r="I1664" t="str">
        <f>_xll.BDS("576051QY Muni","MUNI_PURPOSE_SCHED", "aggregate=y")</f>
        <v>WATER UTILITY IMPS. REFUNDING NOTES</v>
      </c>
      <c r="J1664">
        <f>_xll.BDP("576051QY Muni","CPN")</f>
        <v>5</v>
      </c>
      <c r="K1664" t="str">
        <f>_xll.BDP("576051QY Muni","MATURITY")</f>
        <v>8/1/2025</v>
      </c>
      <c r="L1664">
        <v>2235000</v>
      </c>
      <c r="M1664">
        <f>_xll.BDP("576051QY Muni","YIELD_ON_ISSUE_DATE")</f>
        <v>2.02</v>
      </c>
      <c r="N1664">
        <f>_xll.BDP("576051QY Muni","YTW_SPREAD_TO_MATURITY_AT_ISSU")</f>
        <v>11.003485298693839</v>
      </c>
      <c r="O1664" t="str">
        <f>_xll.BDP("576051QY Muni","BVAL_MID_YTM")</f>
        <v>#N/A Authorization</v>
      </c>
      <c r="P1664" t="str">
        <f>_xll.BDP("576051QY Muni","MUNI_TAX_PROV")</f>
        <v>FED &amp; ST TAX-EXEMPT</v>
      </c>
      <c r="Q1664" t="str">
        <f>_xll.BDP("576051QY Muni","MUNI_FED_TAX")</f>
        <v>N</v>
      </c>
      <c r="R1664">
        <f>_xll.BDP("576051QY Muni","MUNI_MSRB_VOLUME")</f>
        <v>25000</v>
      </c>
      <c r="S1664" t="str">
        <f>_xll.BDP("576051QY Muni","BB_COMPOSITE")</f>
        <v>AA+</v>
      </c>
      <c r="T1664">
        <f>_xll.BDP("576051QY Muni","LQA_LIQUIDITY_SCORE")</f>
        <v>79</v>
      </c>
    </row>
    <row r="1665" spans="1:20" x14ac:dyDescent="0.25">
      <c r="A1665" t="str">
        <f>_xll.BDP("576051RA Muni","ID_CUSIP")</f>
        <v>576051RA6</v>
      </c>
      <c r="B1665" t="s">
        <v>102</v>
      </c>
      <c r="C1665" t="str">
        <f>_xll.BDP("576051RA Muni","INSURANCE_STATUS")</f>
        <v>N</v>
      </c>
      <c r="D1665" t="str">
        <f>_xll.BDP("576051RA Muni","STATE_CODE")</f>
        <v>MA</v>
      </c>
      <c r="E1665" t="str">
        <f>_xll.BDP("576051RA Muni","COUNTY_LOCATION_ISSUER")</f>
        <v>Suffolk, MA</v>
      </c>
      <c r="F1665">
        <f>_xll.BDP("576051RA Muni","DUR_ADJ_MID")</f>
        <v>4.4825681692308965</v>
      </c>
      <c r="G1665">
        <f>_xll.BDP("576051RA Muni","SPREAD_AT_ISSUANCE_TO_WORST")</f>
        <v>12.093655498212685</v>
      </c>
      <c r="H1665" t="str">
        <f>_xll.BDP("576051RA Muni","ISSUE_DT")</f>
        <v>5/18/2017</v>
      </c>
      <c r="I1665" t="str">
        <f>_xll.BDS("576051RA Muni","MUNI_PURPOSE_SCHED", "aggregate=y")</f>
        <v>WATER UTILITY IMPS. REFUNDING NOTES</v>
      </c>
      <c r="J1665">
        <f>_xll.BDP("576051RA Muni","CPN")</f>
        <v>5</v>
      </c>
      <c r="K1665" t="str">
        <f>_xll.BDP("576051RA Muni","MATURITY")</f>
        <v>8/1/2027</v>
      </c>
      <c r="L1665">
        <v>2460000</v>
      </c>
      <c r="M1665">
        <f>_xll.BDP("576051RA Muni","YIELD_ON_ISSUE_DATE")</f>
        <v>2.29</v>
      </c>
      <c r="N1665">
        <f>_xll.BDP("576051RA Muni","YTW_SPREAD_TO_MATURITY_AT_ISSU")</f>
        <v>12.093655498212685</v>
      </c>
      <c r="O1665" t="str">
        <f>_xll.BDP("576051RA Muni","BVAL_MID_YTM")</f>
        <v>#N/A Authorization</v>
      </c>
      <c r="P1665" t="str">
        <f>_xll.BDP("576051RA Muni","MUNI_TAX_PROV")</f>
        <v>FED &amp; ST TAX-EXEMPT</v>
      </c>
      <c r="Q1665" t="str">
        <f>_xll.BDP("576051RA Muni","MUNI_FED_TAX")</f>
        <v>N</v>
      </c>
      <c r="R1665">
        <f>_xll.BDP("576051RA Muni","MUNI_MSRB_VOLUME")</f>
        <v>20000</v>
      </c>
      <c r="S1665" t="str">
        <f>_xll.BDP("576051RA Muni","BB_COMPOSITE")</f>
        <v>AA+</v>
      </c>
      <c r="T1665">
        <f>_xll.BDP("576051RA Muni","LQA_LIQUIDITY_SCORE")</f>
        <v>68</v>
      </c>
    </row>
    <row r="1666" spans="1:20" x14ac:dyDescent="0.25">
      <c r="A1666" t="str">
        <f>_xll.BDP("577030KW Muni","ID_CUSIP")</f>
        <v>577030KW8</v>
      </c>
      <c r="B1666" t="s">
        <v>83</v>
      </c>
      <c r="C1666" t="str">
        <f>_xll.BDP("577030KW Muni","INSURANCE_STATUS")</f>
        <v>N</v>
      </c>
      <c r="D1666" t="str">
        <f>_xll.BDP("577030KW Muni","STATE_CODE")</f>
        <v>MA</v>
      </c>
      <c r="E1666" t="str">
        <f>_xll.BDP("577030KW Muni","COUNTY_LOCATION_ISSUER")</f>
        <v>Plymouth, MA</v>
      </c>
      <c r="F1666">
        <f>_xll.BDP("577030KW Muni","DUR_ADJ_MID")</f>
        <v>3.6100980426788457E-2</v>
      </c>
      <c r="G1666">
        <f>_xll.BDP("577030KW Muni","SPREAD_AT_ISSUANCE_TO_WORST")</f>
        <v>-6.7100552081698073</v>
      </c>
      <c r="H1666" t="str">
        <f>_xll.BDP("577030KW Muni","ISSUE_DT")</f>
        <v>8/18/2017</v>
      </c>
      <c r="I1666" t="str">
        <f>_xll.BDS("577030KW Muni","MUNI_PURPOSE_SCHED", "aggregate=y")</f>
        <v>WATER UTILITY IMPS. PUBLIC IMPS. CURRENT REFUNDING</v>
      </c>
      <c r="J1666">
        <f>_xll.BDP("577030KW Muni","CPN")</f>
        <v>5</v>
      </c>
      <c r="K1666" t="str">
        <f>_xll.BDP("577030KW Muni","MATURITY")</f>
        <v>8/15/2022</v>
      </c>
      <c r="L1666">
        <v>490000</v>
      </c>
      <c r="M1666">
        <f>_xll.BDP("577030KW Muni","YIELD_ON_ISSUE_DATE")</f>
        <v>1.1500000000000001</v>
      </c>
      <c r="N1666">
        <f>_xll.BDP("577030KW Muni","YTW_SPREAD_TO_MATURITY_AT_ISSU")</f>
        <v>-6.7100552081698073</v>
      </c>
      <c r="O1666" t="str">
        <f>_xll.BDP("577030KW Muni","BVAL_MID_YTM")</f>
        <v>#N/A Authorization</v>
      </c>
      <c r="P1666" t="str">
        <f>_xll.BDP("577030KW Muni","MUNI_TAX_PROV")</f>
        <v>FED BQ/ST TAX-EXEMPT</v>
      </c>
      <c r="Q1666" t="str">
        <f>_xll.BDP("577030KW Muni","MUNI_FED_TAX")</f>
        <v>N</v>
      </c>
      <c r="R1666" t="str">
        <f>_xll.BDP("577030KW Muni","MUNI_MSRB_VOLUME")</f>
        <v>#N/A N/A</v>
      </c>
      <c r="S1666" t="str">
        <f>_xll.BDP("577030KW Muni","BB_COMPOSITE")</f>
        <v>#N/A N/A</v>
      </c>
      <c r="T1666">
        <f>_xll.BDP("577030KW Muni","LQA_LIQUIDITY_SCORE")</f>
        <v>98</v>
      </c>
    </row>
    <row r="1667" spans="1:20" x14ac:dyDescent="0.25">
      <c r="A1667" t="str">
        <f>_xll.BDP("577030KY Muni","ID_CUSIP")</f>
        <v>577030KY4</v>
      </c>
      <c r="B1667" t="s">
        <v>83</v>
      </c>
      <c r="C1667" t="str">
        <f>_xll.BDP("577030KY Muni","INSURANCE_STATUS")</f>
        <v>N</v>
      </c>
      <c r="D1667" t="str">
        <f>_xll.BDP("577030KY Muni","STATE_CODE")</f>
        <v>MA</v>
      </c>
      <c r="E1667" t="str">
        <f>_xll.BDP("577030KY Muni","COUNTY_LOCATION_ISSUER")</f>
        <v>Plymouth, MA</v>
      </c>
      <c r="F1667">
        <f>_xll.BDP("577030KY Muni","DUR_ADJ_MID")</f>
        <v>1.9072830357644559</v>
      </c>
      <c r="G1667">
        <f>_xll.BDP("577030KY Muni","SPREAD_AT_ISSUANCE_TO_WORST")</f>
        <v>-7.5529085888062619</v>
      </c>
      <c r="H1667" t="str">
        <f>_xll.BDP("577030KY Muni","ISSUE_DT")</f>
        <v>8/18/2017</v>
      </c>
      <c r="I1667" t="str">
        <f>_xll.BDS("577030KY Muni","MUNI_PURPOSE_SCHED", "aggregate=y")</f>
        <v>WATER UTILITY IMPS. PUBLIC IMPS. CURRENT REFUNDING</v>
      </c>
      <c r="J1667">
        <f>_xll.BDP("577030KY Muni","CPN")</f>
        <v>5</v>
      </c>
      <c r="K1667" t="str">
        <f>_xll.BDP("577030KY Muni","MATURITY")</f>
        <v>8/15/2024</v>
      </c>
      <c r="L1667">
        <v>490000</v>
      </c>
      <c r="M1667">
        <f>_xll.BDP("577030KY Muni","YIELD_ON_ISSUE_DATE")</f>
        <v>1.44</v>
      </c>
      <c r="N1667">
        <f>_xll.BDP("577030KY Muni","YTW_SPREAD_TO_MATURITY_AT_ISSU")</f>
        <v>-7.5529085888062619</v>
      </c>
      <c r="O1667" t="str">
        <f>_xll.BDP("577030KY Muni","BVAL_MID_YTM")</f>
        <v>#N/A Authorization</v>
      </c>
      <c r="P1667" t="str">
        <f>_xll.BDP("577030KY Muni","MUNI_TAX_PROV")</f>
        <v>FED BQ/ST TAX-EXEMPT</v>
      </c>
      <c r="Q1667" t="str">
        <f>_xll.BDP("577030KY Muni","MUNI_FED_TAX")</f>
        <v>N</v>
      </c>
      <c r="R1667">
        <f>_xll.BDP("577030KY Muni","MUNI_MSRB_VOLUME")</f>
        <v>20000</v>
      </c>
      <c r="S1667" t="str">
        <f>_xll.BDP("577030KY Muni","BB_COMPOSITE")</f>
        <v>#N/A N/A</v>
      </c>
      <c r="T1667">
        <f>_xll.BDP("577030KY Muni","LQA_LIQUIDITY_SCORE")</f>
        <v>90</v>
      </c>
    </row>
    <row r="1668" spans="1:20" x14ac:dyDescent="0.25">
      <c r="A1668" t="str">
        <f>_xll.BDP("577030KZ Muni","ID_CUSIP")</f>
        <v>577030KZ1</v>
      </c>
      <c r="B1668" t="s">
        <v>83</v>
      </c>
      <c r="C1668" t="str">
        <f>_xll.BDP("577030KZ Muni","INSURANCE_STATUS")</f>
        <v>N</v>
      </c>
      <c r="D1668" t="str">
        <f>_xll.BDP("577030KZ Muni","STATE_CODE")</f>
        <v>MA</v>
      </c>
      <c r="E1668" t="str">
        <f>_xll.BDP("577030KZ Muni","COUNTY_LOCATION_ISSUER")</f>
        <v>Plymouth, MA</v>
      </c>
      <c r="F1668">
        <f>_xll.BDP("577030KZ Muni","DUR_ADJ_MID")</f>
        <v>2.7819400864383912</v>
      </c>
      <c r="G1668">
        <f>_xll.BDP("577030KZ Muni","SPREAD_AT_ISSUANCE_TO_WORST")</f>
        <v>-6.596039522504249</v>
      </c>
      <c r="H1668" t="str">
        <f>_xll.BDP("577030KZ Muni","ISSUE_DT")</f>
        <v>8/18/2017</v>
      </c>
      <c r="I1668" t="str">
        <f>_xll.BDS("577030KZ Muni","MUNI_PURPOSE_SCHED", "aggregate=y")</f>
        <v>WATER UTILITY IMPS. PUBLIC IMPS. CURRENT REFUNDING</v>
      </c>
      <c r="J1668">
        <f>_xll.BDP("577030KZ Muni","CPN")</f>
        <v>5</v>
      </c>
      <c r="K1668" t="str">
        <f>_xll.BDP("577030KZ Muni","MATURITY")</f>
        <v>8/15/2025</v>
      </c>
      <c r="L1668">
        <v>380000</v>
      </c>
      <c r="M1668">
        <f>_xll.BDP("577030KZ Muni","YIELD_ON_ISSUE_DATE")</f>
        <v>1.6</v>
      </c>
      <c r="N1668">
        <f>_xll.BDP("577030KZ Muni","YTW_SPREAD_TO_MATURITY_AT_ISSU")</f>
        <v>-6.596039522504249</v>
      </c>
      <c r="O1668" t="str">
        <f>_xll.BDP("577030KZ Muni","BVAL_MID_YTM")</f>
        <v>#N/A Authorization</v>
      </c>
      <c r="P1668" t="str">
        <f>_xll.BDP("577030KZ Muni","MUNI_TAX_PROV")</f>
        <v>FED BQ/ST TAX-EXEMPT</v>
      </c>
      <c r="Q1668" t="str">
        <f>_xll.BDP("577030KZ Muni","MUNI_FED_TAX")</f>
        <v>N</v>
      </c>
      <c r="R1668" t="str">
        <f>_xll.BDP("577030KZ Muni","MUNI_MSRB_VOLUME")</f>
        <v>#N/A N/A</v>
      </c>
      <c r="S1668" t="str">
        <f>_xll.BDP("577030KZ Muni","BB_COMPOSITE")</f>
        <v>#N/A N/A</v>
      </c>
      <c r="T1668">
        <f>_xll.BDP("577030KZ Muni","LQA_LIQUIDITY_SCORE")</f>
        <v>81</v>
      </c>
    </row>
    <row r="1669" spans="1:20" x14ac:dyDescent="0.25">
      <c r="A1669" t="str">
        <f>_xll.BDP("63045RAJ Muni","ID_CUSIP")</f>
        <v>63045RAJ4</v>
      </c>
      <c r="B1669" t="s">
        <v>61</v>
      </c>
      <c r="C1669" t="str">
        <f>_xll.BDP("63045RAJ Muni","INSURANCE_STATUS")</f>
        <v>N</v>
      </c>
      <c r="D1669" t="str">
        <f>_xll.BDP("63045RAJ Muni","STATE_CODE")</f>
        <v>IL</v>
      </c>
      <c r="E1669" t="str">
        <f>_xll.BDP("63045RAJ Muni","COUNTY_LOCATION_ISSUER")</f>
        <v>La Salle, IL</v>
      </c>
      <c r="F1669">
        <f>_xll.BDP("63045RAJ Muni","DUR_ADJ_MID")</f>
        <v>3.0767173019093121</v>
      </c>
      <c r="G1669">
        <f>_xll.BDP("63045RAJ Muni","SPREAD_AT_ISSUANCE_TO_WORST")</f>
        <v>143.87735022858479</v>
      </c>
      <c r="H1669" t="str">
        <f>_xll.BDP("63045RAJ Muni","ISSUE_DT")</f>
        <v>4/11/2017</v>
      </c>
      <c r="I1669" t="str">
        <f>_xll.BDS("63045RAJ Muni","MUNI_PURPOSE_SCHED", "aggregate=y")</f>
        <v>WATER UTILITY IMPS. PROPERTY ACQUISITION</v>
      </c>
      <c r="J1669">
        <f>_xll.BDP("63045RAJ Muni","CPN")</f>
        <v>4.75</v>
      </c>
      <c r="K1669" t="str">
        <f>_xll.BDP("63045RAJ Muni","MATURITY")</f>
        <v>12/1/2025</v>
      </c>
      <c r="L1669">
        <v>12000</v>
      </c>
      <c r="M1669">
        <f>_xll.BDP("63045RAJ Muni","YIELD_ON_ISSUE_DATE")</f>
        <v>3.5500000000000003</v>
      </c>
      <c r="N1669">
        <f>_xll.BDP("63045RAJ Muni","YTW_SPREAD_TO_MATURITY_AT_ISSU")</f>
        <v>143.87735022858479</v>
      </c>
      <c r="O1669" t="str">
        <f>_xll.BDP("63045RAJ Muni","BVAL_MID_YTM")</f>
        <v>#N/A Authorization</v>
      </c>
      <c r="P1669" t="str">
        <f>_xll.BDP("63045RAJ Muni","MUNI_TAX_PROV")</f>
        <v>FED BQ/ST TAXABLE</v>
      </c>
      <c r="Q1669" t="str">
        <f>_xll.BDP("63045RAJ Muni","MUNI_FED_TAX")</f>
        <v>N</v>
      </c>
      <c r="R1669" t="str">
        <f>_xll.BDP("63045RAJ Muni","MUNI_MSRB_VOLUME")</f>
        <v>#N/A N/A</v>
      </c>
      <c r="S1669" t="str">
        <f>_xll.BDP("63045RAJ Muni","BB_COMPOSITE")</f>
        <v>#N/A N/A</v>
      </c>
      <c r="T1669">
        <f>_xll.BDP("63045RAJ Muni","LQA_LIQUIDITY_SCORE")</f>
        <v>58</v>
      </c>
    </row>
    <row r="1670" spans="1:20" x14ac:dyDescent="0.25">
      <c r="A1670" t="str">
        <f>_xll.BDP("63045RAK Muni","ID_CUSIP")</f>
        <v>63045RAK1</v>
      </c>
      <c r="B1670" t="s">
        <v>61</v>
      </c>
      <c r="C1670" t="str">
        <f>_xll.BDP("63045RAK Muni","INSURANCE_STATUS")</f>
        <v>N</v>
      </c>
      <c r="D1670" t="str">
        <f>_xll.BDP("63045RAK Muni","STATE_CODE")</f>
        <v>IL</v>
      </c>
      <c r="E1670" t="str">
        <f>_xll.BDP("63045RAK Muni","COUNTY_LOCATION_ISSUER")</f>
        <v>La Salle, IL</v>
      </c>
      <c r="F1670">
        <f>_xll.BDP("63045RAK Muni","DUR_ADJ_MID")</f>
        <v>3.9166176301747173</v>
      </c>
      <c r="G1670">
        <f>_xll.BDP("63045RAK Muni","SPREAD_AT_ISSUANCE_TO_WORST")</f>
        <v>141.68325382465184</v>
      </c>
      <c r="H1670" t="str">
        <f>_xll.BDP("63045RAK Muni","ISSUE_DT")</f>
        <v>4/11/2017</v>
      </c>
      <c r="I1670" t="str">
        <f>_xll.BDS("63045RAK Muni","MUNI_PURPOSE_SCHED", "aggregate=y")</f>
        <v>WATER UTILITY IMPS. PROPERTY ACQUISITION</v>
      </c>
      <c r="J1670">
        <f>_xll.BDP("63045RAK Muni","CPN")</f>
        <v>4.75</v>
      </c>
      <c r="K1670" t="str">
        <f>_xll.BDP("63045RAK Muni","MATURITY")</f>
        <v>12/1/2026</v>
      </c>
      <c r="L1670">
        <v>12000</v>
      </c>
      <c r="M1670">
        <f>_xll.BDP("63045RAK Muni","YIELD_ON_ISSUE_DATE")</f>
        <v>3.65</v>
      </c>
      <c r="N1670">
        <f>_xll.BDP("63045RAK Muni","YTW_SPREAD_TO_MATURITY_AT_ISSU")</f>
        <v>141.68325382465184</v>
      </c>
      <c r="O1670" t="str">
        <f>_xll.BDP("63045RAK Muni","BVAL_MID_YTM")</f>
        <v>#N/A Authorization</v>
      </c>
      <c r="P1670" t="str">
        <f>_xll.BDP("63045RAK Muni","MUNI_TAX_PROV")</f>
        <v>FED BQ/ST TAXABLE</v>
      </c>
      <c r="Q1670" t="str">
        <f>_xll.BDP("63045RAK Muni","MUNI_FED_TAX")</f>
        <v>N</v>
      </c>
      <c r="R1670" t="str">
        <f>_xll.BDP("63045RAK Muni","MUNI_MSRB_VOLUME")</f>
        <v>#N/A N/A</v>
      </c>
      <c r="S1670" t="str">
        <f>_xll.BDP("63045RAK Muni","BB_COMPOSITE")</f>
        <v>#N/A N/A</v>
      </c>
      <c r="T1670">
        <f>_xll.BDP("63045RAK Muni","LQA_LIQUIDITY_SCORE")</f>
        <v>50</v>
      </c>
    </row>
    <row r="1671" spans="1:20" x14ac:dyDescent="0.25">
      <c r="A1671" t="str">
        <f>_xll.BDP("791740E8 Muni","ID_CUSIP")</f>
        <v>791740E82</v>
      </c>
      <c r="B1671" t="s">
        <v>461</v>
      </c>
      <c r="C1671" t="str">
        <f>_xll.BDP("791740E8 Muni","INSURANCE_STATUS")</f>
        <v>N</v>
      </c>
      <c r="D1671" t="str">
        <f>_xll.BDP("791740E8 Muni","STATE_CODE")</f>
        <v>MN</v>
      </c>
      <c r="E1671" t="str">
        <f>_xll.BDP("791740E8 Muni","COUNTY_LOCATION_ISSUER")</f>
        <v>Hennepin, MN</v>
      </c>
      <c r="F1671">
        <f>_xll.BDP("791740E8 Muni","DUR_ADJ_MID")</f>
        <v>2.4036365390303041</v>
      </c>
      <c r="G1671">
        <f>_xll.BDP("791740E8 Muni","SPREAD_AT_ISSUANCE_TO_WORST")</f>
        <v>13.693446058269277</v>
      </c>
      <c r="H1671" t="str">
        <f>_xll.BDP("791740E8 Muni","ISSUE_DT")</f>
        <v>7/13/2017</v>
      </c>
      <c r="I1671" t="str">
        <f>_xll.BDS("791740E8 Muni","MUNI_PURPOSE_SCHED", "aggregate=y")</f>
        <v>WATER UTILITY IMPS. PUBLIC IMPS. CURRENT REFUNDING</v>
      </c>
      <c r="J1671">
        <f>_xll.BDP("791740E8 Muni","CPN")</f>
        <v>3</v>
      </c>
      <c r="K1671" t="str">
        <f>_xll.BDP("791740E8 Muni","MATURITY")</f>
        <v>2/1/2025</v>
      </c>
      <c r="L1671">
        <v>890000</v>
      </c>
      <c r="M1671">
        <f>_xll.BDP("791740E8 Muni","YIELD_ON_ISSUE_DATE")</f>
        <v>1.71</v>
      </c>
      <c r="N1671">
        <f>_xll.BDP("791740E8 Muni","YTW_SPREAD_TO_MATURITY_AT_ISSU")</f>
        <v>13.693446058269277</v>
      </c>
      <c r="O1671" t="str">
        <f>_xll.BDP("791740E8 Muni","BVAL_MID_YTM")</f>
        <v>#N/A Authorization</v>
      </c>
      <c r="P1671" t="str">
        <f>_xll.BDP("791740E8 Muni","MUNI_TAX_PROV")</f>
        <v>FED BQ/ST TAX-EXEMPT</v>
      </c>
      <c r="Q1671" t="str">
        <f>_xll.BDP("791740E8 Muni","MUNI_FED_TAX")</f>
        <v>N</v>
      </c>
      <c r="R1671" t="str">
        <f>_xll.BDP("791740E8 Muni","MUNI_MSRB_VOLUME")</f>
        <v>#N/A N/A</v>
      </c>
      <c r="S1671" t="str">
        <f>_xll.BDP("791740E8 Muni","BB_COMPOSITE")</f>
        <v>#N/A N/A</v>
      </c>
      <c r="T1671">
        <f>_xll.BDP("791740E8 Muni","LQA_LIQUIDITY_SCORE")</f>
        <v>59</v>
      </c>
    </row>
    <row r="1672" spans="1:20" x14ac:dyDescent="0.25">
      <c r="A1672" t="str">
        <f>_xll.BDP("791740E9 Muni","ID_CUSIP")</f>
        <v>791740E90</v>
      </c>
      <c r="B1672" t="s">
        <v>461</v>
      </c>
      <c r="C1672" t="str">
        <f>_xll.BDP("791740E9 Muni","INSURANCE_STATUS")</f>
        <v>N</v>
      </c>
      <c r="D1672" t="str">
        <f>_xll.BDP("791740E9 Muni","STATE_CODE")</f>
        <v>MN</v>
      </c>
      <c r="E1672" t="str">
        <f>_xll.BDP("791740E9 Muni","COUNTY_LOCATION_ISSUER")</f>
        <v>Hennepin, MN</v>
      </c>
      <c r="F1672">
        <f>_xll.BDP("791740E9 Muni","DUR_ADJ_MID")</f>
        <v>3.317537993992282</v>
      </c>
      <c r="G1672">
        <f>_xll.BDP("791740E9 Muni","SPREAD_AT_ISSUANCE_TO_WORST")</f>
        <v>13.832691137232512</v>
      </c>
      <c r="H1672" t="str">
        <f>_xll.BDP("791740E9 Muni","ISSUE_DT")</f>
        <v>7/13/2017</v>
      </c>
      <c r="I1672" t="str">
        <f>_xll.BDS("791740E9 Muni","MUNI_PURPOSE_SCHED", "aggregate=y")</f>
        <v>WATER UTILITY IMPS. PUBLIC IMPS. CURRENT REFUNDING</v>
      </c>
      <c r="J1672">
        <f>_xll.BDP("791740E9 Muni","CPN")</f>
        <v>3</v>
      </c>
      <c r="K1672" t="str">
        <f>_xll.BDP("791740E9 Muni","MATURITY")</f>
        <v>2/1/2026</v>
      </c>
      <c r="L1672">
        <v>705000</v>
      </c>
      <c r="M1672">
        <f>_xll.BDP("791740E9 Muni","YIELD_ON_ISSUE_DATE")</f>
        <v>1.85</v>
      </c>
      <c r="N1672">
        <f>_xll.BDP("791740E9 Muni","YTW_SPREAD_TO_MATURITY_AT_ISSU")</f>
        <v>13.832691137232512</v>
      </c>
      <c r="O1672" t="str">
        <f>_xll.BDP("791740E9 Muni","BVAL_MID_YTM")</f>
        <v>#N/A Authorization</v>
      </c>
      <c r="P1672" t="str">
        <f>_xll.BDP("791740E9 Muni","MUNI_TAX_PROV")</f>
        <v>FED BQ/ST TAX-EXEMPT</v>
      </c>
      <c r="Q1672" t="str">
        <f>_xll.BDP("791740E9 Muni","MUNI_FED_TAX")</f>
        <v>N</v>
      </c>
      <c r="R1672" t="str">
        <f>_xll.BDP("791740E9 Muni","MUNI_MSRB_VOLUME")</f>
        <v>#N/A N/A</v>
      </c>
      <c r="S1672" t="str">
        <f>_xll.BDP("791740E9 Muni","BB_COMPOSITE")</f>
        <v>#N/A N/A</v>
      </c>
      <c r="T1672">
        <f>_xll.BDP("791740E9 Muni","LQA_LIQUIDITY_SCORE")</f>
        <v>49</v>
      </c>
    </row>
    <row r="1673" spans="1:20" x14ac:dyDescent="0.25">
      <c r="A1673" t="str">
        <f>_xll.BDP("800086GS Muni","ID_CUSIP")</f>
        <v>800086GS3</v>
      </c>
      <c r="B1673" t="s">
        <v>80</v>
      </c>
      <c r="C1673" t="str">
        <f>_xll.BDP("800086GS Muni","INSURANCE_STATUS")</f>
        <v>N</v>
      </c>
      <c r="D1673" t="str">
        <f>_xll.BDP("800086GS Muni","STATE_CODE")</f>
        <v>NY</v>
      </c>
      <c r="E1673" t="str">
        <f>_xll.BDP("800086GS Muni","COUNTY_LOCATION_ISSUER")</f>
        <v>Nassau, NY</v>
      </c>
      <c r="F1673">
        <f>_xll.BDP("800086GS Muni","DUR_ADJ_MID")</f>
        <v>1.2996009510523145</v>
      </c>
      <c r="G1673">
        <f>_xll.BDP("800086GS Muni","SPREAD_AT_ISSUANCE_TO_WORST")</f>
        <v>1.8261534246575284</v>
      </c>
      <c r="H1673" t="str">
        <f>_xll.BDP("800086GS Muni","ISSUE_DT")</f>
        <v>12/14/2017</v>
      </c>
      <c r="I1673" t="str">
        <f>_xll.BDS("800086GS Muni","MUNI_PURPOSE_SCHED", "aggregate=y")</f>
        <v>RECREATIONAL FAC. IMPS. WATER UTILITY IMPS.</v>
      </c>
      <c r="J1673">
        <f>_xll.BDP("800086GS Muni","CPN")</f>
        <v>3</v>
      </c>
      <c r="K1673" t="str">
        <f>_xll.BDP("800086GS Muni","MATURITY")</f>
        <v>12/1/2023</v>
      </c>
      <c r="L1673">
        <v>245000</v>
      </c>
      <c r="M1673">
        <f>_xll.BDP("800086GS Muni","YIELD_ON_ISSUE_DATE")</f>
        <v>1.82</v>
      </c>
      <c r="N1673">
        <f>_xll.BDP("800086GS Muni","YTW_SPREAD_TO_MATURITY_AT_ISSU")</f>
        <v>1.8261534246575284</v>
      </c>
      <c r="O1673" t="str">
        <f>_xll.BDP("800086GS Muni","BVAL_MID_YTM")</f>
        <v>#N/A Authorization</v>
      </c>
      <c r="P1673" t="str">
        <f>_xll.BDP("800086GS Muni","MUNI_TAX_PROV")</f>
        <v>FED &amp; ST TAX-EXEMPT</v>
      </c>
      <c r="Q1673" t="str">
        <f>_xll.BDP("800086GS Muni","MUNI_FED_TAX")</f>
        <v>N</v>
      </c>
      <c r="R1673" t="str">
        <f>_xll.BDP("800086GS Muni","MUNI_MSRB_VOLUME")</f>
        <v>#N/A N/A</v>
      </c>
      <c r="S1673" t="str">
        <f>_xll.BDP("800086GS Muni","BB_COMPOSITE")</f>
        <v>#N/A N/A</v>
      </c>
      <c r="T1673">
        <f>_xll.BDP("800086GS Muni","LQA_LIQUIDITY_SCORE")</f>
        <v>85</v>
      </c>
    </row>
    <row r="1674" spans="1:20" x14ac:dyDescent="0.25">
      <c r="A1674" t="str">
        <f>_xll.BDP("800086GT Muni","ID_CUSIP")</f>
        <v>800086GT1</v>
      </c>
      <c r="B1674" t="s">
        <v>80</v>
      </c>
      <c r="C1674" t="str">
        <f>_xll.BDP("800086GT Muni","INSURANCE_STATUS")</f>
        <v>N</v>
      </c>
      <c r="D1674" t="str">
        <f>_xll.BDP("800086GT Muni","STATE_CODE")</f>
        <v>NY</v>
      </c>
      <c r="E1674" t="str">
        <f>_xll.BDP("800086GT Muni","COUNTY_LOCATION_ISSUER")</f>
        <v>Nassau, NY</v>
      </c>
      <c r="F1674">
        <f>_xll.BDP("800086GT Muni","DUR_ADJ_MID")</f>
        <v>2.2412246375278557</v>
      </c>
      <c r="G1674">
        <f>_xll.BDP("800086GT Muni","SPREAD_AT_ISSUANCE_TO_WORST")</f>
        <v>0.73027945205479394</v>
      </c>
      <c r="H1674" t="str">
        <f>_xll.BDP("800086GT Muni","ISSUE_DT")</f>
        <v>12/14/2017</v>
      </c>
      <c r="I1674" t="str">
        <f>_xll.BDS("800086GT Muni","MUNI_PURPOSE_SCHED", "aggregate=y")</f>
        <v>RECREATIONAL FAC. IMPS. WATER UTILITY IMPS.</v>
      </c>
      <c r="J1674">
        <f>_xll.BDP("800086GT Muni","CPN")</f>
        <v>3</v>
      </c>
      <c r="K1674" t="str">
        <f>_xll.BDP("800086GT Muni","MATURITY")</f>
        <v>12/1/2024</v>
      </c>
      <c r="L1674">
        <v>250000</v>
      </c>
      <c r="M1674">
        <f>_xll.BDP("800086GT Muni","YIELD_ON_ISSUE_DATE")</f>
        <v>1.9000000000000001</v>
      </c>
      <c r="N1674">
        <f>_xll.BDP("800086GT Muni","YTW_SPREAD_TO_MATURITY_AT_ISSU")</f>
        <v>0.73027945205479394</v>
      </c>
      <c r="O1674" t="str">
        <f>_xll.BDP("800086GT Muni","BVAL_MID_YTM")</f>
        <v>#N/A Authorization</v>
      </c>
      <c r="P1674" t="str">
        <f>_xll.BDP("800086GT Muni","MUNI_TAX_PROV")</f>
        <v>FED &amp; ST TAX-EXEMPT</v>
      </c>
      <c r="Q1674" t="str">
        <f>_xll.BDP("800086GT Muni","MUNI_FED_TAX")</f>
        <v>N</v>
      </c>
      <c r="R1674" t="str">
        <f>_xll.BDP("800086GT Muni","MUNI_MSRB_VOLUME")</f>
        <v>#N/A N/A</v>
      </c>
      <c r="S1674" t="str">
        <f>_xll.BDP("800086GT Muni","BB_COMPOSITE")</f>
        <v>#N/A N/A</v>
      </c>
      <c r="T1674">
        <f>_xll.BDP("800086GT Muni","LQA_LIQUIDITY_SCORE")</f>
        <v>72</v>
      </c>
    </row>
    <row r="1675" spans="1:20" x14ac:dyDescent="0.25">
      <c r="A1675" t="str">
        <f>_xll.BDP("800086GU Muni","ID_CUSIP")</f>
        <v>800086GU8</v>
      </c>
      <c r="B1675" t="s">
        <v>80</v>
      </c>
      <c r="C1675" t="str">
        <f>_xll.BDP("800086GU Muni","INSURANCE_STATUS")</f>
        <v>N</v>
      </c>
      <c r="D1675" t="str">
        <f>_xll.BDP("800086GU Muni","STATE_CODE")</f>
        <v>NY</v>
      </c>
      <c r="E1675" t="str">
        <f>_xll.BDP("800086GU Muni","COUNTY_LOCATION_ISSUER")</f>
        <v>Nassau, NY</v>
      </c>
      <c r="F1675">
        <f>_xll.BDP("800086GU Muni","DUR_ADJ_MID")</f>
        <v>3.1565048215050968</v>
      </c>
      <c r="G1675">
        <f>_xll.BDP("800086GU Muni","SPREAD_AT_ISSUANCE_TO_WORST")</f>
        <v>1.2960027397260321</v>
      </c>
      <c r="H1675" t="str">
        <f>_xll.BDP("800086GU Muni","ISSUE_DT")</f>
        <v>12/14/2017</v>
      </c>
      <c r="I1675" t="str">
        <f>_xll.BDS("800086GU Muni","MUNI_PURPOSE_SCHED", "aggregate=y")</f>
        <v>RECREATIONAL FAC. IMPS. WATER UTILITY IMPS.</v>
      </c>
      <c r="J1675">
        <f>_xll.BDP("800086GU Muni","CPN")</f>
        <v>3</v>
      </c>
      <c r="K1675" t="str">
        <f>_xll.BDP("800086GU Muni","MATURITY")</f>
        <v>12/1/2025</v>
      </c>
      <c r="L1675">
        <v>255000</v>
      </c>
      <c r="M1675">
        <f>_xll.BDP("800086GU Muni","YIELD_ON_ISSUE_DATE")</f>
        <v>2</v>
      </c>
      <c r="N1675">
        <f>_xll.BDP("800086GU Muni","YTW_SPREAD_TO_MATURITY_AT_ISSU")</f>
        <v>1.2960027397260321</v>
      </c>
      <c r="O1675" t="str">
        <f>_xll.BDP("800086GU Muni","BVAL_MID_YTM")</f>
        <v>#N/A Authorization</v>
      </c>
      <c r="P1675" t="str">
        <f>_xll.BDP("800086GU Muni","MUNI_TAX_PROV")</f>
        <v>FED &amp; ST TAX-EXEMPT</v>
      </c>
      <c r="Q1675" t="str">
        <f>_xll.BDP("800086GU Muni","MUNI_FED_TAX")</f>
        <v>N</v>
      </c>
      <c r="R1675" t="str">
        <f>_xll.BDP("800086GU Muni","MUNI_MSRB_VOLUME")</f>
        <v>#N/A N/A</v>
      </c>
      <c r="S1675" t="str">
        <f>_xll.BDP("800086GU Muni","BB_COMPOSITE")</f>
        <v>#N/A N/A</v>
      </c>
      <c r="T1675">
        <f>_xll.BDP("800086GU Muni","LQA_LIQUIDITY_SCORE")</f>
        <v>62</v>
      </c>
    </row>
    <row r="1676" spans="1:20" x14ac:dyDescent="0.25">
      <c r="A1676" t="str">
        <f>_xll.BDP("800876FU Muni","ID_CUSIP")</f>
        <v>800876FU3</v>
      </c>
      <c r="B1676" t="s">
        <v>462</v>
      </c>
      <c r="C1676" t="str">
        <f>_xll.BDP("800876FU Muni","INSURANCE_STATUS")</f>
        <v>Y</v>
      </c>
      <c r="D1676" t="str">
        <f>_xll.BDP("800876FU Muni","STATE_CODE")</f>
        <v>TX</v>
      </c>
      <c r="E1676" t="str">
        <f>_xll.BDP("800876FU Muni","COUNTY_LOCATION_ISSUER")</f>
        <v>Denton, TX</v>
      </c>
      <c r="F1676">
        <f>_xll.BDP("800876FU Muni","DUR_ADJ_MID")</f>
        <v>0.77394988398849451</v>
      </c>
      <c r="G1676">
        <f>_xll.BDP("800876FU Muni","SPREAD_AT_ISSUANCE_TO_WORST")</f>
        <v>48.913397893744737</v>
      </c>
      <c r="H1676" t="str">
        <f>_xll.BDP("800876FU Muni","ISSUE_DT")</f>
        <v>5/18/2017</v>
      </c>
      <c r="I1676" t="str">
        <f>_xll.BDS("800876FU Muni","MUNI_PURPOSE_SCHED", "aggregate=y")</f>
        <v>WATER UTILITY IMPS. SEWER IMPS. PUBLIC IMPS.</v>
      </c>
      <c r="J1676">
        <f>_xll.BDP("800876FU Muni","CPN")</f>
        <v>3</v>
      </c>
      <c r="K1676" t="str">
        <f>_xll.BDP("800876FU Muni","MATURITY")</f>
        <v>5/15/2023</v>
      </c>
      <c r="L1676">
        <v>100000</v>
      </c>
      <c r="M1676">
        <f>_xll.BDP("800876FU Muni","YIELD_ON_ISSUE_DATE")</f>
        <v>2.0499999999999998</v>
      </c>
      <c r="N1676">
        <f>_xll.BDP("800876FU Muni","YTW_SPREAD_TO_MATURITY_AT_ISSU")</f>
        <v>48.913397893744737</v>
      </c>
      <c r="O1676" t="str">
        <f>_xll.BDP("800876FU Muni","BVAL_MID_YTM")</f>
        <v>#N/A Authorization</v>
      </c>
      <c r="P1676" t="str">
        <f>_xll.BDP("800876FU Muni","MUNI_TAX_PROV")</f>
        <v>FED BQ</v>
      </c>
      <c r="Q1676" t="str">
        <f>_xll.BDP("800876FU Muni","MUNI_FED_TAX")</f>
        <v>N</v>
      </c>
      <c r="R1676" t="str">
        <f>_xll.BDP("800876FU Muni","MUNI_MSRB_VOLUME")</f>
        <v>#N/A N/A</v>
      </c>
      <c r="S1676" t="str">
        <f>_xll.BDP("800876FU Muni","BB_COMPOSITE")</f>
        <v>AA-</v>
      </c>
      <c r="T1676">
        <f>_xll.BDP("800876FU Muni","LQA_LIQUIDITY_SCORE")</f>
        <v>93</v>
      </c>
    </row>
    <row r="1677" spans="1:20" x14ac:dyDescent="0.25">
      <c r="A1677" t="str">
        <f>_xll.BDP("800876FV Muni","ID_CUSIP")</f>
        <v>800876FV1</v>
      </c>
      <c r="B1677" t="s">
        <v>462</v>
      </c>
      <c r="C1677" t="str">
        <f>_xll.BDP("800876FV Muni","INSURANCE_STATUS")</f>
        <v>Y</v>
      </c>
      <c r="D1677" t="str">
        <f>_xll.BDP("800876FV Muni","STATE_CODE")</f>
        <v>TX</v>
      </c>
      <c r="E1677" t="str">
        <f>_xll.BDP("800876FV Muni","COUNTY_LOCATION_ISSUER")</f>
        <v>Denton, TX</v>
      </c>
      <c r="F1677">
        <f>_xll.BDP("800876FV Muni","DUR_ADJ_MID")</f>
        <v>1.7287381418570844</v>
      </c>
      <c r="G1677">
        <f>_xll.BDP("800876FV Muni","SPREAD_AT_ISSUANCE_TO_WORST")</f>
        <v>47.688592910648239</v>
      </c>
      <c r="H1677" t="str">
        <f>_xll.BDP("800876FV Muni","ISSUE_DT")</f>
        <v>5/18/2017</v>
      </c>
      <c r="I1677" t="str">
        <f>_xll.BDS("800876FV Muni","MUNI_PURPOSE_SCHED", "aggregate=y")</f>
        <v>WATER UTILITY IMPS. SEWER IMPS. PUBLIC IMPS.</v>
      </c>
      <c r="J1677">
        <f>_xll.BDP("800876FV Muni","CPN")</f>
        <v>3</v>
      </c>
      <c r="K1677" t="str">
        <f>_xll.BDP("800876FV Muni","MATURITY")</f>
        <v>5/15/2024</v>
      </c>
      <c r="L1677">
        <v>115000</v>
      </c>
      <c r="M1677">
        <f>_xll.BDP("800876FV Muni","YIELD_ON_ISSUE_DATE")</f>
        <v>2.2000000000000002</v>
      </c>
      <c r="N1677">
        <f>_xll.BDP("800876FV Muni","YTW_SPREAD_TO_MATURITY_AT_ISSU")</f>
        <v>47.688592910648239</v>
      </c>
      <c r="O1677" t="str">
        <f>_xll.BDP("800876FV Muni","BVAL_MID_YTM")</f>
        <v>#N/A Authorization</v>
      </c>
      <c r="P1677" t="str">
        <f>_xll.BDP("800876FV Muni","MUNI_TAX_PROV")</f>
        <v>FED BQ</v>
      </c>
      <c r="Q1677" t="str">
        <f>_xll.BDP("800876FV Muni","MUNI_FED_TAX")</f>
        <v>N</v>
      </c>
      <c r="R1677" t="str">
        <f>_xll.BDP("800876FV Muni","MUNI_MSRB_VOLUME")</f>
        <v>#N/A N/A</v>
      </c>
      <c r="S1677" t="str">
        <f>_xll.BDP("800876FV Muni","BB_COMPOSITE")</f>
        <v>AA-</v>
      </c>
      <c r="T1677">
        <f>_xll.BDP("800876FV Muni","LQA_LIQUIDITY_SCORE")</f>
        <v>81</v>
      </c>
    </row>
    <row r="1678" spans="1:20" x14ac:dyDescent="0.25">
      <c r="A1678" t="str">
        <f>_xll.BDP("800876FW Muni","ID_CUSIP")</f>
        <v>800876FW9</v>
      </c>
      <c r="B1678" t="s">
        <v>462</v>
      </c>
      <c r="C1678" t="str">
        <f>_xll.BDP("800876FW Muni","INSURANCE_STATUS")</f>
        <v>Y</v>
      </c>
      <c r="D1678" t="str">
        <f>_xll.BDP("800876FW Muni","STATE_CODE")</f>
        <v>TX</v>
      </c>
      <c r="E1678" t="str">
        <f>_xll.BDP("800876FW Muni","COUNTY_LOCATION_ISSUER")</f>
        <v>Denton, TX</v>
      </c>
      <c r="F1678">
        <f>_xll.BDP("800876FW Muni","DUR_ADJ_MID")</f>
        <v>2.6248951007601873</v>
      </c>
      <c r="G1678">
        <f>_xll.BDP("800876FW Muni","SPREAD_AT_ISSUANCE_TO_WORST")</f>
        <v>46.573539525848574</v>
      </c>
      <c r="H1678" t="str">
        <f>_xll.BDP("800876FW Muni","ISSUE_DT")</f>
        <v>5/18/2017</v>
      </c>
      <c r="I1678" t="str">
        <f>_xll.BDS("800876FW Muni","MUNI_PURPOSE_SCHED", "aggregate=y")</f>
        <v>WATER UTILITY IMPS. SEWER IMPS. PUBLIC IMPS.</v>
      </c>
      <c r="J1678">
        <f>_xll.BDP("800876FW Muni","CPN")</f>
        <v>4</v>
      </c>
      <c r="K1678" t="str">
        <f>_xll.BDP("800876FW Muni","MATURITY")</f>
        <v>5/15/2025</v>
      </c>
      <c r="L1678">
        <v>115000</v>
      </c>
      <c r="M1678">
        <f>_xll.BDP("800876FW Muni","YIELD_ON_ISSUE_DATE")</f>
        <v>2.35</v>
      </c>
      <c r="N1678">
        <f>_xll.BDP("800876FW Muni","YTW_SPREAD_TO_MATURITY_AT_ISSU")</f>
        <v>46.573539525848574</v>
      </c>
      <c r="O1678" t="str">
        <f>_xll.BDP("800876FW Muni","BVAL_MID_YTM")</f>
        <v>#N/A Authorization</v>
      </c>
      <c r="P1678" t="str">
        <f>_xll.BDP("800876FW Muni","MUNI_TAX_PROV")</f>
        <v>FED BQ</v>
      </c>
      <c r="Q1678" t="str">
        <f>_xll.BDP("800876FW Muni","MUNI_FED_TAX")</f>
        <v>N</v>
      </c>
      <c r="R1678" t="str">
        <f>_xll.BDP("800876FW Muni","MUNI_MSRB_VOLUME")</f>
        <v>#N/A N/A</v>
      </c>
      <c r="S1678" t="str">
        <f>_xll.BDP("800876FW Muni","BB_COMPOSITE")</f>
        <v>AA-</v>
      </c>
      <c r="T1678">
        <f>_xll.BDP("800876FW Muni","LQA_LIQUIDITY_SCORE")</f>
        <v>76</v>
      </c>
    </row>
    <row r="1679" spans="1:20" x14ac:dyDescent="0.25">
      <c r="A1679" t="str">
        <f>_xll.BDP("800876FX Muni","ID_CUSIP")</f>
        <v>800876FX7</v>
      </c>
      <c r="B1679" t="s">
        <v>462</v>
      </c>
      <c r="C1679" t="str">
        <f>_xll.BDP("800876FX Muni","INSURANCE_STATUS")</f>
        <v>Y</v>
      </c>
      <c r="D1679" t="str">
        <f>_xll.BDP("800876FX Muni","STATE_CODE")</f>
        <v>TX</v>
      </c>
      <c r="E1679" t="str">
        <f>_xll.BDP("800876FX Muni","COUNTY_LOCATION_ISSUER")</f>
        <v>Denton, TX</v>
      </c>
      <c r="F1679">
        <f>_xll.BDP("800876FX Muni","DUR_ADJ_MID")</f>
        <v>3.5018457314882623</v>
      </c>
      <c r="G1679">
        <f>_xll.BDP("800876FX Muni","SPREAD_AT_ISSUANCE_TO_WORST")</f>
        <v>42.083576866955454</v>
      </c>
      <c r="H1679" t="str">
        <f>_xll.BDP("800876FX Muni","ISSUE_DT")</f>
        <v>5/18/2017</v>
      </c>
      <c r="I1679" t="str">
        <f>_xll.BDS("800876FX Muni","MUNI_PURPOSE_SCHED", "aggregate=y")</f>
        <v>WATER UTILITY IMPS. SEWER IMPS. PUBLIC IMPS.</v>
      </c>
      <c r="J1679">
        <f>_xll.BDP("800876FX Muni","CPN")</f>
        <v>4</v>
      </c>
      <c r="K1679" t="str">
        <f>_xll.BDP("800876FX Muni","MATURITY")</f>
        <v>5/15/2026</v>
      </c>
      <c r="L1679">
        <v>115000</v>
      </c>
      <c r="M1679">
        <f>_xll.BDP("800876FX Muni","YIELD_ON_ISSUE_DATE")</f>
        <v>2.4500000000000002</v>
      </c>
      <c r="N1679">
        <f>_xll.BDP("800876FX Muni","YTW_SPREAD_TO_MATURITY_AT_ISSU")</f>
        <v>42.083576866955454</v>
      </c>
      <c r="O1679" t="str">
        <f>_xll.BDP("800876FX Muni","BVAL_MID_YTM")</f>
        <v>#N/A Authorization</v>
      </c>
      <c r="P1679" t="str">
        <f>_xll.BDP("800876FX Muni","MUNI_TAX_PROV")</f>
        <v>FED BQ</v>
      </c>
      <c r="Q1679" t="str">
        <f>_xll.BDP("800876FX Muni","MUNI_FED_TAX")</f>
        <v>N</v>
      </c>
      <c r="R1679" t="str">
        <f>_xll.BDP("800876FX Muni","MUNI_MSRB_VOLUME")</f>
        <v>#N/A N/A</v>
      </c>
      <c r="S1679" t="str">
        <f>_xll.BDP("800876FX Muni","BB_COMPOSITE")</f>
        <v>AA-</v>
      </c>
      <c r="T1679">
        <f>_xll.BDP("800876FX Muni","LQA_LIQUIDITY_SCORE")</f>
        <v>69</v>
      </c>
    </row>
    <row r="1680" spans="1:20" x14ac:dyDescent="0.25">
      <c r="A1680" t="str">
        <f>_xll.BDP("80168FMT Muni","ID_CUSIP")</f>
        <v>80168FMT0</v>
      </c>
      <c r="B1680" t="s">
        <v>50</v>
      </c>
      <c r="C1680" t="str">
        <f>_xll.BDP("80168FMT Muni","INSURANCE_STATUS")</f>
        <v>N</v>
      </c>
      <c r="D1680" t="str">
        <f>_xll.BDP("80168FMT Muni","STATE_CODE")</f>
        <v>CA</v>
      </c>
      <c r="E1680" t="str">
        <f>_xll.BDP("80168FMT Muni","COUNTY_LOCATION_ISSUER")</f>
        <v>Santa Clara, CA</v>
      </c>
      <c r="F1680">
        <f>_xll.BDP("80168FMT Muni","DUR_ADJ_MID")</f>
        <v>3.2356875836911065</v>
      </c>
      <c r="G1680">
        <f>_xll.BDP("80168FMT Muni","SPREAD_AT_ISSUANCE_TO_WORST")</f>
        <v>10.871043800931179</v>
      </c>
      <c r="H1680" t="str">
        <f>_xll.BDP("80168FMT Muni","ISSUE_DT")</f>
        <v>3/7/2017</v>
      </c>
      <c r="I1680" t="str">
        <f>_xll.BDS("80168FMT Muni","MUNI_PURPOSE_SCHED", "aggregate=y")</f>
        <v>CURRENT REFUNDING WATER UTILITY IMPS.</v>
      </c>
      <c r="J1680">
        <f>_xll.BDP("80168FMT Muni","CPN")</f>
        <v>5</v>
      </c>
      <c r="K1680" t="str">
        <f>_xll.BDP("80168FMT Muni","MATURITY")</f>
        <v>2/1/2026</v>
      </c>
      <c r="L1680">
        <v>4515000</v>
      </c>
      <c r="M1680">
        <f>_xll.BDP("80168FMT Muni","YIELD_ON_ISSUE_DATE")</f>
        <v>2.29</v>
      </c>
      <c r="N1680">
        <f>_xll.BDP("80168FMT Muni","YTW_SPREAD_TO_MATURITY_AT_ISSU")</f>
        <v>10.871043800931179</v>
      </c>
      <c r="O1680" t="str">
        <f>_xll.BDP("80168FMT Muni","BVAL_MID_YTM")</f>
        <v>#N/A Authorization</v>
      </c>
      <c r="P1680" t="str">
        <f>_xll.BDP("80168FMT Muni","MUNI_TAX_PROV")</f>
        <v>FED &amp; ST TAX-EXEMPT</v>
      </c>
      <c r="Q1680" t="str">
        <f>_xll.BDP("80168FMT Muni","MUNI_FED_TAX")</f>
        <v>N</v>
      </c>
      <c r="R1680">
        <f>_xll.BDP("80168FMT Muni","MUNI_MSRB_VOLUME")</f>
        <v>20000</v>
      </c>
      <c r="S1680" t="str">
        <f>_xll.BDP("80168FMT Muni","BB_COMPOSITE")</f>
        <v>AA+</v>
      </c>
      <c r="T1680">
        <f>_xll.BDP("80168FMT Muni","LQA_LIQUIDITY_SCORE")</f>
        <v>65</v>
      </c>
    </row>
    <row r="1681" spans="1:20" x14ac:dyDescent="0.25">
      <c r="A1681" t="str">
        <f>_xll.BDP("798465EZ Muni","ID_CUSIP")</f>
        <v>798465EZ9</v>
      </c>
      <c r="B1681" t="s">
        <v>463</v>
      </c>
      <c r="C1681" t="str">
        <f>_xll.BDP("798465EZ Muni","INSURANCE_STATUS")</f>
        <v>Y</v>
      </c>
      <c r="D1681" t="str">
        <f>_xll.BDP("798465EZ Muni","STATE_CODE")</f>
        <v>TX</v>
      </c>
      <c r="E1681" t="str">
        <f>_xll.BDP("798465EZ Muni","COUNTY_LOCATION_ISSUER")</f>
        <v>Galveston, TX</v>
      </c>
      <c r="F1681">
        <f>_xll.BDP("798465EZ Muni","DUR_ADJ_MID")</f>
        <v>8.0471534396235472E-2</v>
      </c>
      <c r="G1681">
        <f>_xll.BDP("798465EZ Muni","SPREAD_AT_ISSUANCE_TO_WORST")</f>
        <v>41.090441095890419</v>
      </c>
      <c r="H1681" t="str">
        <f>_xll.BDP("798465EZ Muni","ISSUE_DT")</f>
        <v>11/1/2017</v>
      </c>
      <c r="I1681" t="str">
        <f>_xll.BDS("798465EZ Muni","MUNI_PURPOSE_SCHED", "aggregate=y")</f>
        <v>SEWER IMPS. WATER UTILITY IMPS.</v>
      </c>
      <c r="J1681">
        <f>_xll.BDP("798465EZ Muni","CPN")</f>
        <v>3</v>
      </c>
      <c r="K1681" t="str">
        <f>_xll.BDP("798465EZ Muni","MATURITY")</f>
        <v>9/1/2022</v>
      </c>
      <c r="L1681">
        <v>110000</v>
      </c>
      <c r="M1681">
        <f>_xll.BDP("798465EZ Muni","YIELD_ON_ISSUE_DATE")</f>
        <v>1.75</v>
      </c>
      <c r="N1681">
        <f>_xll.BDP("798465EZ Muni","YTW_SPREAD_TO_MATURITY_AT_ISSU")</f>
        <v>41.090441095890419</v>
      </c>
      <c r="O1681" t="str">
        <f>_xll.BDP("798465EZ Muni","BVAL_MID_YTM")</f>
        <v>#N/A Authorization</v>
      </c>
      <c r="P1681" t="str">
        <f>_xll.BDP("798465EZ Muni","MUNI_TAX_PROV")</f>
        <v>FED BQ</v>
      </c>
      <c r="Q1681" t="str">
        <f>_xll.BDP("798465EZ Muni","MUNI_FED_TAX")</f>
        <v>N</v>
      </c>
      <c r="R1681" t="str">
        <f>_xll.BDP("798465EZ Muni","MUNI_MSRB_VOLUME")</f>
        <v>#N/A N/A</v>
      </c>
      <c r="S1681" t="str">
        <f>_xll.BDP("798465EZ Muni","BB_COMPOSITE")</f>
        <v>A+</v>
      </c>
      <c r="T1681">
        <f>_xll.BDP("798465EZ Muni","LQA_LIQUIDITY_SCORE")</f>
        <v>98</v>
      </c>
    </row>
    <row r="1682" spans="1:20" x14ac:dyDescent="0.25">
      <c r="A1682" t="str">
        <f>_xll.BDP("798465FA Muni","ID_CUSIP")</f>
        <v>798465FA3</v>
      </c>
      <c r="B1682" t="s">
        <v>463</v>
      </c>
      <c r="C1682" t="str">
        <f>_xll.BDP("798465FA Muni","INSURANCE_STATUS")</f>
        <v>Y</v>
      </c>
      <c r="D1682" t="str">
        <f>_xll.BDP("798465FA Muni","STATE_CODE")</f>
        <v>TX</v>
      </c>
      <c r="E1682" t="str">
        <f>_xll.BDP("798465FA Muni","COUNTY_LOCATION_ISSUER")</f>
        <v>Galveston, TX</v>
      </c>
      <c r="F1682">
        <f>_xll.BDP("798465FA Muni","DUR_ADJ_MID")</f>
        <v>1.0487583631158888</v>
      </c>
      <c r="G1682">
        <f>_xll.BDP("798465FA Muni","SPREAD_AT_ISSUANCE_TO_WORST")</f>
        <v>43.322783561643831</v>
      </c>
      <c r="H1682" t="str">
        <f>_xll.BDP("798465FA Muni","ISSUE_DT")</f>
        <v>11/1/2017</v>
      </c>
      <c r="I1682" t="str">
        <f>_xll.BDS("798465FA Muni","MUNI_PURPOSE_SCHED", "aggregate=y")</f>
        <v>SEWER IMPS. WATER UTILITY IMPS.</v>
      </c>
      <c r="J1682">
        <f>_xll.BDP("798465FA Muni","CPN")</f>
        <v>3</v>
      </c>
      <c r="K1682" t="str">
        <f>_xll.BDP("798465FA Muni","MATURITY")</f>
        <v>9/1/2023</v>
      </c>
      <c r="L1682">
        <v>115000</v>
      </c>
      <c r="M1682">
        <f>_xll.BDP("798465FA Muni","YIELD_ON_ISSUE_DATE")</f>
        <v>1.9000000000000001</v>
      </c>
      <c r="N1682">
        <f>_xll.BDP("798465FA Muni","YTW_SPREAD_TO_MATURITY_AT_ISSU")</f>
        <v>43.322783561643831</v>
      </c>
      <c r="O1682" t="str">
        <f>_xll.BDP("798465FA Muni","BVAL_MID_YTM")</f>
        <v>#N/A Authorization</v>
      </c>
      <c r="P1682" t="str">
        <f>_xll.BDP("798465FA Muni","MUNI_TAX_PROV")</f>
        <v>FED BQ</v>
      </c>
      <c r="Q1682" t="str">
        <f>_xll.BDP("798465FA Muni","MUNI_FED_TAX")</f>
        <v>N</v>
      </c>
      <c r="R1682" t="str">
        <f>_xll.BDP("798465FA Muni","MUNI_MSRB_VOLUME")</f>
        <v>#N/A N/A</v>
      </c>
      <c r="S1682" t="str">
        <f>_xll.BDP("798465FA Muni","BB_COMPOSITE")</f>
        <v>A+</v>
      </c>
      <c r="T1682">
        <f>_xll.BDP("798465FA Muni","LQA_LIQUIDITY_SCORE")</f>
        <v>85</v>
      </c>
    </row>
    <row r="1683" spans="1:20" x14ac:dyDescent="0.25">
      <c r="A1683" t="str">
        <f>_xll.BDP("798465FB Muni","ID_CUSIP")</f>
        <v>798465FB1</v>
      </c>
      <c r="B1683" t="s">
        <v>463</v>
      </c>
      <c r="C1683" t="str">
        <f>_xll.BDP("798465FB Muni","INSURANCE_STATUS")</f>
        <v>Y</v>
      </c>
      <c r="D1683" t="str">
        <f>_xll.BDP("798465FB Muni","STATE_CODE")</f>
        <v>TX</v>
      </c>
      <c r="E1683" t="str">
        <f>_xll.BDP("798465FB Muni","COUNTY_LOCATION_ISSUER")</f>
        <v>Galveston, TX</v>
      </c>
      <c r="F1683">
        <f>_xll.BDP("798465FB Muni","DUR_ADJ_MID")</f>
        <v>1.9874319784763415</v>
      </c>
      <c r="G1683">
        <f>_xll.BDP("798465FB Muni","SPREAD_AT_ISSUANCE_TO_WORST")</f>
        <v>45.068369863013679</v>
      </c>
      <c r="H1683" t="str">
        <f>_xll.BDP("798465FB Muni","ISSUE_DT")</f>
        <v>11/1/2017</v>
      </c>
      <c r="I1683" t="str">
        <f>_xll.BDS("798465FB Muni","MUNI_PURPOSE_SCHED", "aggregate=y")</f>
        <v>SEWER IMPS. WATER UTILITY IMPS.</v>
      </c>
      <c r="J1683">
        <f>_xll.BDP("798465FB Muni","CPN")</f>
        <v>3</v>
      </c>
      <c r="K1683" t="str">
        <f>_xll.BDP("798465FB Muni","MATURITY")</f>
        <v>9/1/2024</v>
      </c>
      <c r="L1683">
        <v>120000</v>
      </c>
      <c r="M1683">
        <f>_xll.BDP("798465FB Muni","YIELD_ON_ISSUE_DATE")</f>
        <v>2.0499999999999998</v>
      </c>
      <c r="N1683">
        <f>_xll.BDP("798465FB Muni","YTW_SPREAD_TO_MATURITY_AT_ISSU")</f>
        <v>45.068369863013679</v>
      </c>
      <c r="O1683" t="str">
        <f>_xll.BDP("798465FB Muni","BVAL_MID_YTM")</f>
        <v>#N/A Authorization</v>
      </c>
      <c r="P1683" t="str">
        <f>_xll.BDP("798465FB Muni","MUNI_TAX_PROV")</f>
        <v>FED BQ</v>
      </c>
      <c r="Q1683" t="str">
        <f>_xll.BDP("798465FB Muni","MUNI_FED_TAX")</f>
        <v>N</v>
      </c>
      <c r="R1683" t="str">
        <f>_xll.BDP("798465FB Muni","MUNI_MSRB_VOLUME")</f>
        <v>#N/A N/A</v>
      </c>
      <c r="S1683" t="str">
        <f>_xll.BDP("798465FB Muni","BB_COMPOSITE")</f>
        <v>A+</v>
      </c>
      <c r="T1683">
        <f>_xll.BDP("798465FB Muni","LQA_LIQUIDITY_SCORE")</f>
        <v>73</v>
      </c>
    </row>
    <row r="1684" spans="1:20" x14ac:dyDescent="0.25">
      <c r="A1684" t="str">
        <f>_xll.BDP("798569BU Muni","ID_CUSIP")</f>
        <v>798569BU2</v>
      </c>
      <c r="B1684" t="s">
        <v>63</v>
      </c>
      <c r="C1684" t="str">
        <f>_xll.BDP("798569BU Muni","INSURANCE_STATUS")</f>
        <v>N</v>
      </c>
      <c r="D1684" t="str">
        <f>_xll.BDP("798569BU Muni","STATE_CODE")</f>
        <v>CA</v>
      </c>
      <c r="E1684" t="str">
        <f>_xll.BDP("798569BU Muni","COUNTY_LOCATION_ISSUER")</f>
        <v>Merced, CA</v>
      </c>
      <c r="F1684">
        <f>_xll.BDP("798569BU Muni","DUR_ADJ_MID")</f>
        <v>5.5552803371546802E-3</v>
      </c>
      <c r="G1684">
        <f>_xll.BDP("798569BU Muni","SPREAD_AT_ISSUANCE_TO_WORST")</f>
        <v>37.8122811628294</v>
      </c>
      <c r="H1684" t="str">
        <f>_xll.BDP("798569BU Muni","ISSUE_DT")</f>
        <v>6/22/2017</v>
      </c>
      <c r="I1684" t="str">
        <f>_xll.BDS("798569BU Muni","MUNI_PURPOSE_SCHED", "aggregate=y")</f>
        <v>WATER UTILITY IMPS.</v>
      </c>
      <c r="J1684">
        <f>_xll.BDP("798569BU Muni","CPN")</f>
        <v>5</v>
      </c>
      <c r="K1684" t="str">
        <f>_xll.BDP("798569BU Muni","MATURITY")</f>
        <v>8/1/2022</v>
      </c>
      <c r="L1684">
        <v>2280000</v>
      </c>
      <c r="M1684">
        <f>_xll.BDP("798569BU Muni","YIELD_ON_ISSUE_DATE")</f>
        <v>1.53</v>
      </c>
      <c r="N1684">
        <f>_xll.BDP("798569BU Muni","YTW_SPREAD_TO_MATURITY_AT_ISSU")</f>
        <v>37.8122811628294</v>
      </c>
      <c r="O1684" t="str">
        <f>_xll.BDP("798569BU Muni","BVAL_MID_YTM")</f>
        <v>#N/A Authorization</v>
      </c>
      <c r="P1684" t="str">
        <f>_xll.BDP("798569BU Muni","MUNI_TAX_PROV")</f>
        <v>FED &amp; ST TAX-EXEMPT</v>
      </c>
      <c r="Q1684" t="str">
        <f>_xll.BDP("798569BU Muni","MUNI_FED_TAX")</f>
        <v>N</v>
      </c>
      <c r="R1684" t="str">
        <f>_xll.BDP("798569BU Muni","MUNI_MSRB_VOLUME")</f>
        <v>#N/A N/A</v>
      </c>
      <c r="S1684" t="str">
        <f>_xll.BDP("798569BU Muni","BB_COMPOSITE")</f>
        <v>#N/A N/A</v>
      </c>
      <c r="T1684">
        <f>_xll.BDP("798569BU Muni","LQA_LIQUIDITY_SCORE")</f>
        <v>94</v>
      </c>
    </row>
    <row r="1685" spans="1:20" x14ac:dyDescent="0.25">
      <c r="A1685" t="str">
        <f>_xll.BDP("798569BW Muni","ID_CUSIP")</f>
        <v>798569BW8</v>
      </c>
      <c r="B1685" t="s">
        <v>63</v>
      </c>
      <c r="C1685" t="str">
        <f>_xll.BDP("798569BW Muni","INSURANCE_STATUS")</f>
        <v>N</v>
      </c>
      <c r="D1685" t="str">
        <f>_xll.BDP("798569BW Muni","STATE_CODE")</f>
        <v>CA</v>
      </c>
      <c r="E1685" t="str">
        <f>_xll.BDP("798569BW Muni","COUNTY_LOCATION_ISSUER")</f>
        <v>Merced, CA</v>
      </c>
      <c r="F1685">
        <f>_xll.BDP("798569BW Muni","DUR_ADJ_MID")</f>
        <v>1.9111889059435796</v>
      </c>
      <c r="G1685">
        <f>_xll.BDP("798569BW Muni","SPREAD_AT_ISSUANCE_TO_WORST")</f>
        <v>37.411000822359554</v>
      </c>
      <c r="H1685" t="str">
        <f>_xll.BDP("798569BW Muni","ISSUE_DT")</f>
        <v>6/22/2017</v>
      </c>
      <c r="I1685" t="str">
        <f>_xll.BDS("798569BW Muni","MUNI_PURPOSE_SCHED", "aggregate=y")</f>
        <v>WATER UTILITY IMPS.</v>
      </c>
      <c r="J1685">
        <f>_xll.BDP("798569BW Muni","CPN")</f>
        <v>5</v>
      </c>
      <c r="K1685" t="str">
        <f>_xll.BDP("798569BW Muni","MATURITY")</f>
        <v>8/1/2024</v>
      </c>
      <c r="L1685">
        <v>4075000</v>
      </c>
      <c r="M1685">
        <f>_xll.BDP("798569BW Muni","YIELD_ON_ISSUE_DATE")</f>
        <v>1.83</v>
      </c>
      <c r="N1685">
        <f>_xll.BDP("798569BW Muni","YTW_SPREAD_TO_MATURITY_AT_ISSU")</f>
        <v>37.411000822359554</v>
      </c>
      <c r="O1685" t="str">
        <f>_xll.BDP("798569BW Muni","BVAL_MID_YTM")</f>
        <v>#N/A Authorization</v>
      </c>
      <c r="P1685" t="str">
        <f>_xll.BDP("798569BW Muni","MUNI_TAX_PROV")</f>
        <v>FED &amp; ST TAX-EXEMPT</v>
      </c>
      <c r="Q1685" t="str">
        <f>_xll.BDP("798569BW Muni","MUNI_FED_TAX")</f>
        <v>N</v>
      </c>
      <c r="R1685">
        <f>_xll.BDP("798569BW Muni","MUNI_MSRB_VOLUME")</f>
        <v>60000</v>
      </c>
      <c r="S1685" t="str">
        <f>_xll.BDP("798569BW Muni","BB_COMPOSITE")</f>
        <v>#N/A N/A</v>
      </c>
      <c r="T1685">
        <f>_xll.BDP("798569BW Muni","LQA_LIQUIDITY_SCORE")</f>
        <v>80</v>
      </c>
    </row>
    <row r="1686" spans="1:20" x14ac:dyDescent="0.25">
      <c r="A1686" t="str">
        <f>_xll.BDP("660459MV Muni","ID_CUSIP")</f>
        <v>660459MV7</v>
      </c>
      <c r="B1686" t="s">
        <v>464</v>
      </c>
      <c r="C1686" t="str">
        <f>_xll.BDP("660459MV Muni","INSURANCE_STATUS")</f>
        <v>N</v>
      </c>
      <c r="D1686" t="str">
        <f>_xll.BDP("660459MV Muni","STATE_CODE")</f>
        <v>IA</v>
      </c>
      <c r="E1686" t="str">
        <f>_xll.BDP("660459MV Muni","COUNTY_LOCATION_ISSUER")</f>
        <v>Johnson, IA</v>
      </c>
      <c r="F1686">
        <f>_xll.BDP("660459MV Muni","DUR_ADJ_MID")</f>
        <v>0.81979104669511293</v>
      </c>
      <c r="G1686">
        <f>_xll.BDP("660459MV Muni","SPREAD_AT_ISSUANCE_TO_WORST")</f>
        <v>-4.9776453534698062</v>
      </c>
      <c r="H1686" t="str">
        <f>_xll.BDP("660459MV Muni","ISSUE_DT")</f>
        <v>5/30/2017</v>
      </c>
      <c r="I1686" t="str">
        <f>_xll.BDS("660459MV Muni","MUNI_PURPOSE_SCHED", "aggregate=y")</f>
        <v>PUBLIC IMPS. WATER UTILITY IMPS. CURRENT REFUNDING</v>
      </c>
      <c r="J1686">
        <f>_xll.BDP("660459MV Muni","CPN")</f>
        <v>2</v>
      </c>
      <c r="K1686" t="str">
        <f>_xll.BDP("660459MV Muni","MATURITY")</f>
        <v>6/1/2023</v>
      </c>
      <c r="L1686">
        <v>455000</v>
      </c>
      <c r="M1686">
        <f>_xll.BDP("660459MV Muni","YIELD_ON_ISSUE_DATE")</f>
        <v>1.5</v>
      </c>
      <c r="N1686">
        <f>_xll.BDP("660459MV Muni","YTW_SPREAD_TO_MATURITY_AT_ISSU")</f>
        <v>-4.9776453534698062</v>
      </c>
      <c r="O1686" t="str">
        <f>_xll.BDP("660459MV Muni","BVAL_MID_YTM")</f>
        <v>#N/A Authorization</v>
      </c>
      <c r="P1686" t="str">
        <f>_xll.BDP("660459MV Muni","MUNI_TAX_PROV")</f>
        <v>FED BQ/ST TAX-EXEMPT</v>
      </c>
      <c r="Q1686" t="str">
        <f>_xll.BDP("660459MV Muni","MUNI_FED_TAX")</f>
        <v>N</v>
      </c>
      <c r="R1686" t="str">
        <f>_xll.BDP("660459MV Muni","MUNI_MSRB_VOLUME")</f>
        <v>#N/A N/A</v>
      </c>
      <c r="S1686" t="str">
        <f>_xll.BDP("660459MV Muni","BB_COMPOSITE")</f>
        <v>#N/A N/A</v>
      </c>
      <c r="T1686">
        <f>_xll.BDP("660459MV Muni","LQA_LIQUIDITY_SCORE")</f>
        <v>84</v>
      </c>
    </row>
    <row r="1687" spans="1:20" x14ac:dyDescent="0.25">
      <c r="A1687" t="str">
        <f>_xll.BDP("660459MW Muni","ID_CUSIP")</f>
        <v>660459MW5</v>
      </c>
      <c r="B1687" t="s">
        <v>464</v>
      </c>
      <c r="C1687" t="str">
        <f>_xll.BDP("660459MW Muni","INSURANCE_STATUS")</f>
        <v>N</v>
      </c>
      <c r="D1687" t="str">
        <f>_xll.BDP("660459MW Muni","STATE_CODE")</f>
        <v>IA</v>
      </c>
      <c r="E1687" t="str">
        <f>_xll.BDP("660459MW Muni","COUNTY_LOCATION_ISSUER")</f>
        <v>Johnson, IA</v>
      </c>
      <c r="F1687">
        <f>_xll.BDP("660459MW Muni","DUR_ADJ_MID")</f>
        <v>1.7852153866024338</v>
      </c>
      <c r="G1687">
        <f>_xll.BDP("660459MW Muni","SPREAD_AT_ISSUANCE_TO_WORST")</f>
        <v>-6.267205289213873</v>
      </c>
      <c r="H1687" t="str">
        <f>_xll.BDP("660459MW Muni","ISSUE_DT")</f>
        <v>5/30/2017</v>
      </c>
      <c r="I1687" t="str">
        <f>_xll.BDS("660459MW Muni","MUNI_PURPOSE_SCHED", "aggregate=y")</f>
        <v>PUBLIC IMPS. WATER UTILITY IMPS. CURRENT REFUNDING</v>
      </c>
      <c r="J1687">
        <f>_xll.BDP("660459MW Muni","CPN")</f>
        <v>2</v>
      </c>
      <c r="K1687" t="str">
        <f>_xll.BDP("660459MW Muni","MATURITY")</f>
        <v>6/1/2024</v>
      </c>
      <c r="L1687">
        <v>460000</v>
      </c>
      <c r="M1687">
        <f>_xll.BDP("660459MW Muni","YIELD_ON_ISSUE_DATE")</f>
        <v>1.6500000000000001</v>
      </c>
      <c r="N1687">
        <f>_xll.BDP("660459MW Muni","YTW_SPREAD_TO_MATURITY_AT_ISSU")</f>
        <v>-6.267205289213873</v>
      </c>
      <c r="O1687" t="str">
        <f>_xll.BDP("660459MW Muni","BVAL_MID_YTM")</f>
        <v>#N/A Authorization</v>
      </c>
      <c r="P1687" t="str">
        <f>_xll.BDP("660459MW Muni","MUNI_TAX_PROV")</f>
        <v>FED BQ/ST TAX-EXEMPT</v>
      </c>
      <c r="Q1687" t="str">
        <f>_xll.BDP("660459MW Muni","MUNI_FED_TAX")</f>
        <v>N</v>
      </c>
      <c r="R1687" t="str">
        <f>_xll.BDP("660459MW Muni","MUNI_MSRB_VOLUME")</f>
        <v>#N/A N/A</v>
      </c>
      <c r="S1687" t="str">
        <f>_xll.BDP("660459MW Muni","BB_COMPOSITE")</f>
        <v>#N/A N/A</v>
      </c>
      <c r="T1687">
        <f>_xll.BDP("660459MW Muni","LQA_LIQUIDITY_SCORE")</f>
        <v>75</v>
      </c>
    </row>
    <row r="1688" spans="1:20" x14ac:dyDescent="0.25">
      <c r="A1688" t="str">
        <f>_xll.BDP("702592BB Muni","ID_CUSIP")</f>
        <v>702592BB1</v>
      </c>
      <c r="B1688" t="s">
        <v>151</v>
      </c>
      <c r="C1688" t="str">
        <f>_xll.BDP("702592BB Muni","INSURANCE_STATUS")</f>
        <v>N</v>
      </c>
      <c r="D1688" t="str">
        <f>_xll.BDP("702592BB Muni","STATE_CODE")</f>
        <v>TX</v>
      </c>
      <c r="E1688" t="str">
        <f>_xll.BDP("702592BB Muni","COUNTY_LOCATION_ISSUER")</f>
        <v>El Paso, TX</v>
      </c>
      <c r="F1688">
        <f>_xll.BDP("702592BB Muni","DUR_ADJ_MID")</f>
        <v>3.6089539318139255E-2</v>
      </c>
      <c r="G1688">
        <f>_xll.BDP("702592BB Muni","SPREAD_AT_ISSUANCE_TO_WORST")</f>
        <v>84.443186301369892</v>
      </c>
      <c r="H1688" t="str">
        <f>_xll.BDP("702592BB Muni","ISSUE_DT")</f>
        <v>10/1/2017</v>
      </c>
      <c r="I1688" t="str">
        <f>_xll.BDS("702592BB Muni","MUNI_PURPOSE_SCHED", "aggregate=y")</f>
        <v>WATER UTILITY IMPS. SEWER IMPS. PUBLIC IMPS.</v>
      </c>
      <c r="J1688">
        <f>_xll.BDP("702592BB Muni","CPN")</f>
        <v>3</v>
      </c>
      <c r="K1688" t="str">
        <f>_xll.BDP("702592BB Muni","MATURITY")</f>
        <v>8/15/2022</v>
      </c>
      <c r="L1688">
        <v>330000</v>
      </c>
      <c r="M1688">
        <f>_xll.BDP("702592BB Muni","YIELD_ON_ISSUE_DATE")</f>
        <v>2.2000000000000002</v>
      </c>
      <c r="N1688">
        <f>_xll.BDP("702592BB Muni","YTW_SPREAD_TO_MATURITY_AT_ISSU")</f>
        <v>84.443186301369892</v>
      </c>
      <c r="O1688" t="str">
        <f>_xll.BDP("702592BB Muni","BVAL_MID_YTM")</f>
        <v>#N/A Authorization</v>
      </c>
      <c r="P1688" t="str">
        <f>_xll.BDP("702592BB Muni","MUNI_TAX_PROV")</f>
        <v>FED BQ</v>
      </c>
      <c r="Q1688" t="str">
        <f>_xll.BDP("702592BB Muni","MUNI_FED_TAX")</f>
        <v>N</v>
      </c>
      <c r="R1688" t="str">
        <f>_xll.BDP("702592BB Muni","MUNI_MSRB_VOLUME")</f>
        <v>#N/A N/A</v>
      </c>
      <c r="S1688" t="str">
        <f>_xll.BDP("702592BB Muni","BB_COMPOSITE")</f>
        <v>#N/A N/A</v>
      </c>
      <c r="T1688">
        <f>_xll.BDP("702592BB Muni","LQA_LIQUIDITY_SCORE")</f>
        <v>99</v>
      </c>
    </row>
    <row r="1689" spans="1:20" x14ac:dyDescent="0.25">
      <c r="A1689" t="str">
        <f>_xll.BDP("702592BC Muni","ID_CUSIP")</f>
        <v>702592BC9</v>
      </c>
      <c r="B1689" t="s">
        <v>151</v>
      </c>
      <c r="C1689" t="str">
        <f>_xll.BDP("702592BC Muni","INSURANCE_STATUS")</f>
        <v>N</v>
      </c>
      <c r="D1689" t="str">
        <f>_xll.BDP("702592BC Muni","STATE_CODE")</f>
        <v>TX</v>
      </c>
      <c r="E1689" t="str">
        <f>_xll.BDP("702592BC Muni","COUNTY_LOCATION_ISSUER")</f>
        <v>El Paso, TX</v>
      </c>
      <c r="F1689">
        <f>_xll.BDP("702592BC Muni","DUR_ADJ_MID")</f>
        <v>1.0029168113474358</v>
      </c>
      <c r="G1689">
        <f>_xll.BDP("702592BC Muni","SPREAD_AT_ISSUANCE_TO_WORST")</f>
        <v>91.393983561643836</v>
      </c>
      <c r="H1689" t="str">
        <f>_xll.BDP("702592BC Muni","ISSUE_DT")</f>
        <v>10/1/2017</v>
      </c>
      <c r="I1689" t="str">
        <f>_xll.BDS("702592BC Muni","MUNI_PURPOSE_SCHED", "aggregate=y")</f>
        <v>WATER UTILITY IMPS. SEWER IMPS. PUBLIC IMPS.</v>
      </c>
      <c r="J1689">
        <f>_xll.BDP("702592BC Muni","CPN")</f>
        <v>3</v>
      </c>
      <c r="K1689" t="str">
        <f>_xll.BDP("702592BC Muni","MATURITY")</f>
        <v>8/15/2023</v>
      </c>
      <c r="L1689">
        <v>330000</v>
      </c>
      <c r="M1689">
        <f>_xll.BDP("702592BC Muni","YIELD_ON_ISSUE_DATE")</f>
        <v>2.4000000000000004</v>
      </c>
      <c r="N1689">
        <f>_xll.BDP("702592BC Muni","YTW_SPREAD_TO_MATURITY_AT_ISSU")</f>
        <v>91.393983561643836</v>
      </c>
      <c r="O1689" t="str">
        <f>_xll.BDP("702592BC Muni","BVAL_MID_YTM")</f>
        <v>#N/A Authorization</v>
      </c>
      <c r="P1689" t="str">
        <f>_xll.BDP("702592BC Muni","MUNI_TAX_PROV")</f>
        <v>FED BQ</v>
      </c>
      <c r="Q1689" t="str">
        <f>_xll.BDP("702592BC Muni","MUNI_FED_TAX")</f>
        <v>N</v>
      </c>
      <c r="R1689" t="str">
        <f>_xll.BDP("702592BC Muni","MUNI_MSRB_VOLUME")</f>
        <v>#N/A N/A</v>
      </c>
      <c r="S1689" t="str">
        <f>_xll.BDP("702592BC Muni","BB_COMPOSITE")</f>
        <v>#N/A N/A</v>
      </c>
      <c r="T1689">
        <f>_xll.BDP("702592BC Muni","LQA_LIQUIDITY_SCORE")</f>
        <v>80</v>
      </c>
    </row>
    <row r="1690" spans="1:20" x14ac:dyDescent="0.25">
      <c r="A1690" t="str">
        <f>_xll.BDP("702592BD Muni","ID_CUSIP")</f>
        <v>702592BD7</v>
      </c>
      <c r="B1690" t="s">
        <v>151</v>
      </c>
      <c r="C1690" t="str">
        <f>_xll.BDP("702592BD Muni","INSURANCE_STATUS")</f>
        <v>N</v>
      </c>
      <c r="D1690" t="str">
        <f>_xll.BDP("702592BD Muni","STATE_CODE")</f>
        <v>TX</v>
      </c>
      <c r="E1690" t="str">
        <f>_xll.BDP("702592BD Muni","COUNTY_LOCATION_ISSUER")</f>
        <v>El Paso, TX</v>
      </c>
      <c r="F1690">
        <f>_xll.BDP("702592BD Muni","DUR_ADJ_MID")</f>
        <v>1.9395658706846135</v>
      </c>
      <c r="G1690">
        <f>_xll.BDP("702592BD Muni","SPREAD_AT_ISSUANCE_TO_WORST")</f>
        <v>97.846794520547959</v>
      </c>
      <c r="H1690" t="str">
        <f>_xll.BDP("702592BD Muni","ISSUE_DT")</f>
        <v>10/1/2017</v>
      </c>
      <c r="I1690" t="str">
        <f>_xll.BDS("702592BD Muni","MUNI_PURPOSE_SCHED", "aggregate=y")</f>
        <v>WATER UTILITY IMPS. SEWER IMPS. PUBLIC IMPS.</v>
      </c>
      <c r="J1690">
        <f>_xll.BDP("702592BD Muni","CPN")</f>
        <v>3</v>
      </c>
      <c r="K1690" t="str">
        <f>_xll.BDP("702592BD Muni","MATURITY")</f>
        <v>8/15/2024</v>
      </c>
      <c r="L1690">
        <v>330000</v>
      </c>
      <c r="M1690">
        <f>_xll.BDP("702592BD Muni","YIELD_ON_ISSUE_DATE")</f>
        <v>2.6</v>
      </c>
      <c r="N1690">
        <f>_xll.BDP("702592BD Muni","YTW_SPREAD_TO_MATURITY_AT_ISSU")</f>
        <v>97.846794520547959</v>
      </c>
      <c r="O1690" t="str">
        <f>_xll.BDP("702592BD Muni","BVAL_MID_YTM")</f>
        <v>#N/A Authorization</v>
      </c>
      <c r="P1690" t="str">
        <f>_xll.BDP("702592BD Muni","MUNI_TAX_PROV")</f>
        <v>FED BQ</v>
      </c>
      <c r="Q1690" t="str">
        <f>_xll.BDP("702592BD Muni","MUNI_FED_TAX")</f>
        <v>N</v>
      </c>
      <c r="R1690">
        <f>_xll.BDP("702592BD Muni","MUNI_MSRB_VOLUME")</f>
        <v>50000</v>
      </c>
      <c r="S1690" t="str">
        <f>_xll.BDP("702592BD Muni","BB_COMPOSITE")</f>
        <v>#N/A N/A</v>
      </c>
      <c r="T1690">
        <f>_xll.BDP("702592BD Muni","LQA_LIQUIDITY_SCORE")</f>
        <v>69</v>
      </c>
    </row>
    <row r="1691" spans="1:20" x14ac:dyDescent="0.25">
      <c r="A1691" t="str">
        <f>_xll.BDP("702592BF Muni","ID_CUSIP")</f>
        <v>702592BF2</v>
      </c>
      <c r="B1691" t="s">
        <v>151</v>
      </c>
      <c r="C1691" t="str">
        <f>_xll.BDP("702592BF Muni","INSURANCE_STATUS")</f>
        <v>N</v>
      </c>
      <c r="D1691" t="str">
        <f>_xll.BDP("702592BF Muni","STATE_CODE")</f>
        <v>TX</v>
      </c>
      <c r="E1691" t="str">
        <f>_xll.BDP("702592BF Muni","COUNTY_LOCATION_ISSUER")</f>
        <v>El Paso, TX</v>
      </c>
      <c r="F1691">
        <f>_xll.BDP("702592BF Muni","DUR_ADJ_MID")</f>
        <v>3.7291624026234214</v>
      </c>
      <c r="G1691">
        <f>_xll.BDP("702592BF Muni","SPREAD_AT_ISSUANCE_TO_WORST")</f>
        <v>101.99569863013697</v>
      </c>
      <c r="H1691" t="str">
        <f>_xll.BDP("702592BF Muni","ISSUE_DT")</f>
        <v>10/1/2017</v>
      </c>
      <c r="I1691" t="str">
        <f>_xll.BDS("702592BF Muni","MUNI_PURPOSE_SCHED", "aggregate=y")</f>
        <v>WATER UTILITY IMPS. SEWER IMPS. PUBLIC IMPS.</v>
      </c>
      <c r="J1691">
        <f>_xll.BDP("702592BF Muni","CPN")</f>
        <v>3</v>
      </c>
      <c r="K1691" t="str">
        <f>_xll.BDP("702592BF Muni","MATURITY")</f>
        <v>8/15/2026</v>
      </c>
      <c r="L1691">
        <v>330000</v>
      </c>
      <c r="M1691">
        <f>_xll.BDP("702592BF Muni","YIELD_ON_ISSUE_DATE")</f>
        <v>2.9000000000000004</v>
      </c>
      <c r="N1691">
        <f>_xll.BDP("702592BF Muni","YTW_SPREAD_TO_MATURITY_AT_ISSU")</f>
        <v>101.99569863013697</v>
      </c>
      <c r="O1691" t="str">
        <f>_xll.BDP("702592BF Muni","BVAL_MID_YTM")</f>
        <v>#N/A Authorization</v>
      </c>
      <c r="P1691" t="str">
        <f>_xll.BDP("702592BF Muni","MUNI_TAX_PROV")</f>
        <v>FED BQ</v>
      </c>
      <c r="Q1691" t="str">
        <f>_xll.BDP("702592BF Muni","MUNI_FED_TAX")</f>
        <v>N</v>
      </c>
      <c r="R1691" t="str">
        <f>_xll.BDP("702592BF Muni","MUNI_MSRB_VOLUME")</f>
        <v>#N/A N/A</v>
      </c>
      <c r="S1691" t="str">
        <f>_xll.BDP("702592BF Muni","BB_COMPOSITE")</f>
        <v>#N/A N/A</v>
      </c>
      <c r="T1691">
        <f>_xll.BDP("702592BF Muni","LQA_LIQUIDITY_SCORE")</f>
        <v>52</v>
      </c>
    </row>
    <row r="1692" spans="1:20" x14ac:dyDescent="0.25">
      <c r="A1692" t="str">
        <f>_xll.BDP("702592BG Muni","ID_CUSIP")</f>
        <v>702592BG0</v>
      </c>
      <c r="B1692" t="s">
        <v>151</v>
      </c>
      <c r="C1692" t="str">
        <f>_xll.BDP("702592BG Muni","INSURANCE_STATUS")</f>
        <v>N</v>
      </c>
      <c r="D1692" t="str">
        <f>_xll.BDP("702592BG Muni","STATE_CODE")</f>
        <v>TX</v>
      </c>
      <c r="E1692" t="str">
        <f>_xll.BDP("702592BG Muni","COUNTY_LOCATION_ISSUER")</f>
        <v>El Paso, TX</v>
      </c>
      <c r="F1692">
        <f>_xll.BDP("702592BG Muni","DUR_ADJ_MID")</f>
        <v>4.5827709044346472</v>
      </c>
      <c r="G1692">
        <f>_xll.BDP("702592BG Muni","SPREAD_AT_ISSUANCE_TO_WORST")</f>
        <v>102.12860273972603</v>
      </c>
      <c r="H1692" t="str">
        <f>_xll.BDP("702592BG Muni","ISSUE_DT")</f>
        <v>10/1/2017</v>
      </c>
      <c r="I1692" t="str">
        <f>_xll.BDS("702592BG Muni","MUNI_PURPOSE_SCHED", "aggregate=y")</f>
        <v>WATER UTILITY IMPS. SEWER IMPS. PUBLIC IMPS.</v>
      </c>
      <c r="J1692">
        <f>_xll.BDP("702592BG Muni","CPN")</f>
        <v>3</v>
      </c>
      <c r="K1692" t="str">
        <f>_xll.BDP("702592BG Muni","MATURITY")</f>
        <v>8/15/2027</v>
      </c>
      <c r="L1692">
        <v>330000</v>
      </c>
      <c r="M1692">
        <f>_xll.BDP("702592BG Muni","YIELD_ON_ISSUE_DATE")</f>
        <v>3</v>
      </c>
      <c r="N1692">
        <f>_xll.BDP("702592BG Muni","YTW_SPREAD_TO_MATURITY_AT_ISSU")</f>
        <v>102.12860273972603</v>
      </c>
      <c r="O1692" t="str">
        <f>_xll.BDP("702592BG Muni","BVAL_MID_YTM")</f>
        <v>#N/A Authorization</v>
      </c>
      <c r="P1692" t="str">
        <f>_xll.BDP("702592BG Muni","MUNI_TAX_PROV")</f>
        <v>FED BQ</v>
      </c>
      <c r="Q1692" t="str">
        <f>_xll.BDP("702592BG Muni","MUNI_FED_TAX")</f>
        <v>N</v>
      </c>
      <c r="R1692" t="str">
        <f>_xll.BDP("702592BG Muni","MUNI_MSRB_VOLUME")</f>
        <v>#N/A N/A</v>
      </c>
      <c r="S1692" t="str">
        <f>_xll.BDP("702592BG Muni","BB_COMPOSITE")</f>
        <v>#N/A N/A</v>
      </c>
      <c r="T1692">
        <f>_xll.BDP("702592BG Muni","LQA_LIQUIDITY_SCORE")</f>
        <v>45</v>
      </c>
    </row>
    <row r="1693" spans="1:20" x14ac:dyDescent="0.25">
      <c r="A1693" t="str">
        <f>_xll.BDP("702594AE Muni","ID_CUSIP")</f>
        <v>702594AE2</v>
      </c>
      <c r="B1693" t="s">
        <v>465</v>
      </c>
      <c r="C1693" t="str">
        <f>_xll.BDP("702594AE Muni","INSURANCE_STATUS")</f>
        <v>N</v>
      </c>
      <c r="D1693" t="str">
        <f>_xll.BDP("702594AE Muni","STATE_CODE")</f>
        <v>TX</v>
      </c>
      <c r="E1693" t="str">
        <f>_xll.BDP("702594AE Muni","COUNTY_LOCATION_ISSUER")</f>
        <v>Travis, TX</v>
      </c>
      <c r="F1693">
        <f>_xll.BDP("702594AE Muni","DUR_ADJ_MID")</f>
        <v>3.6091816273131822E-2</v>
      </c>
      <c r="G1693">
        <f>_xll.BDP("702594AE Muni","SPREAD_AT_ISSUANCE_TO_WORST")</f>
        <v>75.124955987139131</v>
      </c>
      <c r="H1693" t="str">
        <f>_xll.BDP("702594AE Muni","ISSUE_DT")</f>
        <v>4/1/2017</v>
      </c>
      <c r="I1693" t="str">
        <f>_xll.BDS("702594AE Muni","MUNI_PURPOSE_SCHED", "aggregate=y")</f>
        <v>WATER UTILITY IMPS. SEWER IMPS. PUBLIC IMPS.</v>
      </c>
      <c r="J1693">
        <f>_xll.BDP("702594AE Muni","CPN")</f>
        <v>3</v>
      </c>
      <c r="K1693" t="str">
        <f>_xll.BDP("702594AE Muni","MATURITY")</f>
        <v>8/15/2022</v>
      </c>
      <c r="L1693">
        <v>110000</v>
      </c>
      <c r="M1693">
        <f>_xll.BDP("702594AE Muni","YIELD_ON_ISSUE_DATE")</f>
        <v>2.5</v>
      </c>
      <c r="N1693">
        <f>_xll.BDP("702594AE Muni","YTW_SPREAD_TO_MATURITY_AT_ISSU")</f>
        <v>75.124955987139131</v>
      </c>
      <c r="O1693" t="str">
        <f>_xll.BDP("702594AE Muni","BVAL_MID_YTM")</f>
        <v>#N/A Authorization</v>
      </c>
      <c r="P1693" t="str">
        <f>_xll.BDP("702594AE Muni","MUNI_TAX_PROV")</f>
        <v>FED BQ</v>
      </c>
      <c r="Q1693" t="str">
        <f>_xll.BDP("702594AE Muni","MUNI_FED_TAX")</f>
        <v>N</v>
      </c>
      <c r="R1693" t="str">
        <f>_xll.BDP("702594AE Muni","MUNI_MSRB_VOLUME")</f>
        <v>#N/A N/A</v>
      </c>
      <c r="S1693" t="str">
        <f>_xll.BDP("702594AE Muni","BB_COMPOSITE")</f>
        <v>#N/A N/A</v>
      </c>
      <c r="T1693">
        <f>_xll.BDP("702594AE Muni","LQA_LIQUIDITY_SCORE")</f>
        <v>98</v>
      </c>
    </row>
    <row r="1694" spans="1:20" x14ac:dyDescent="0.25">
      <c r="A1694" t="str">
        <f>_xll.BDP("702594AF Muni","ID_CUSIP")</f>
        <v>702594AF9</v>
      </c>
      <c r="B1694" t="s">
        <v>465</v>
      </c>
      <c r="C1694" t="str">
        <f>_xll.BDP("702594AF Muni","INSURANCE_STATUS")</f>
        <v>N</v>
      </c>
      <c r="D1694" t="str">
        <f>_xll.BDP("702594AF Muni","STATE_CODE")</f>
        <v>TX</v>
      </c>
      <c r="E1694" t="str">
        <f>_xll.BDP("702594AF Muni","COUNTY_LOCATION_ISSUER")</f>
        <v>Travis, TX</v>
      </c>
      <c r="F1694">
        <f>_xll.BDP("702594AF Muni","DUR_ADJ_MID")</f>
        <v>1.0038229530043978</v>
      </c>
      <c r="G1694">
        <f>_xll.BDP("702594AF Muni","SPREAD_AT_ISSUANCE_TO_WORST")</f>
        <v>83.647035383672772</v>
      </c>
      <c r="H1694" t="str">
        <f>_xll.BDP("702594AF Muni","ISSUE_DT")</f>
        <v>4/1/2017</v>
      </c>
      <c r="I1694" t="str">
        <f>_xll.BDS("702594AF Muni","MUNI_PURPOSE_SCHED", "aggregate=y")</f>
        <v>WATER UTILITY IMPS. SEWER IMPS. PUBLIC IMPS.</v>
      </c>
      <c r="J1694">
        <f>_xll.BDP("702594AF Muni","CPN")</f>
        <v>3</v>
      </c>
      <c r="K1694" t="str">
        <f>_xll.BDP("702594AF Muni","MATURITY")</f>
        <v>8/15/2023</v>
      </c>
      <c r="L1694">
        <v>115000</v>
      </c>
      <c r="M1694">
        <f>_xll.BDP("702594AF Muni","YIELD_ON_ISSUE_DATE")</f>
        <v>2.75</v>
      </c>
      <c r="N1694">
        <f>_xll.BDP("702594AF Muni","YTW_SPREAD_TO_MATURITY_AT_ISSU")</f>
        <v>83.647035383672772</v>
      </c>
      <c r="O1694" t="str">
        <f>_xll.BDP("702594AF Muni","BVAL_MID_YTM")</f>
        <v>#N/A Authorization</v>
      </c>
      <c r="P1694" t="str">
        <f>_xll.BDP("702594AF Muni","MUNI_TAX_PROV")</f>
        <v>FED BQ</v>
      </c>
      <c r="Q1694" t="str">
        <f>_xll.BDP("702594AF Muni","MUNI_FED_TAX")</f>
        <v>N</v>
      </c>
      <c r="R1694" t="str">
        <f>_xll.BDP("702594AF Muni","MUNI_MSRB_VOLUME")</f>
        <v>#N/A N/A</v>
      </c>
      <c r="S1694" t="str">
        <f>_xll.BDP("702594AF Muni","BB_COMPOSITE")</f>
        <v>#N/A N/A</v>
      </c>
      <c r="T1694">
        <f>_xll.BDP("702594AF Muni","LQA_LIQUIDITY_SCORE")</f>
        <v>81</v>
      </c>
    </row>
    <row r="1695" spans="1:20" x14ac:dyDescent="0.25">
      <c r="A1695" t="str">
        <f>_xll.BDP("702594AG Muni","ID_CUSIP")</f>
        <v>702594AG7</v>
      </c>
      <c r="B1695" t="s">
        <v>465</v>
      </c>
      <c r="C1695" t="str">
        <f>_xll.BDP("702594AG Muni","INSURANCE_STATUS")</f>
        <v>N</v>
      </c>
      <c r="D1695" t="str">
        <f>_xll.BDP("702594AG Muni","STATE_CODE")</f>
        <v>TX</v>
      </c>
      <c r="E1695" t="str">
        <f>_xll.BDP("702594AG Muni","COUNTY_LOCATION_ISSUER")</f>
        <v>Travis, TX</v>
      </c>
      <c r="F1695">
        <f>_xll.BDP("702594AG Muni","DUR_ADJ_MID")</f>
        <v>1.9414196531446677</v>
      </c>
      <c r="G1695">
        <f>_xll.BDP("702594AG Muni","SPREAD_AT_ISSUANCE_TO_WORST")</f>
        <v>92.523893057811662</v>
      </c>
      <c r="H1695" t="str">
        <f>_xll.BDP("702594AG Muni","ISSUE_DT")</f>
        <v>4/1/2017</v>
      </c>
      <c r="I1695" t="str">
        <f>_xll.BDS("702594AG Muni","MUNI_PURPOSE_SCHED", "aggregate=y")</f>
        <v>WATER UTILITY IMPS. SEWER IMPS. PUBLIC IMPS.</v>
      </c>
      <c r="J1695">
        <f>_xll.BDP("702594AG Muni","CPN")</f>
        <v>3</v>
      </c>
      <c r="K1695" t="str">
        <f>_xll.BDP("702594AG Muni","MATURITY")</f>
        <v>8/15/2024</v>
      </c>
      <c r="L1695">
        <v>120000</v>
      </c>
      <c r="M1695">
        <f>_xll.BDP("702594AG Muni","YIELD_ON_ISSUE_DATE")</f>
        <v>3</v>
      </c>
      <c r="N1695">
        <f>_xll.BDP("702594AG Muni","YTW_SPREAD_TO_MATURITY_AT_ISSU")</f>
        <v>92.523893057811662</v>
      </c>
      <c r="O1695" t="str">
        <f>_xll.BDP("702594AG Muni","BVAL_MID_YTM")</f>
        <v>#N/A Authorization</v>
      </c>
      <c r="P1695" t="str">
        <f>_xll.BDP("702594AG Muni","MUNI_TAX_PROV")</f>
        <v>FED BQ</v>
      </c>
      <c r="Q1695" t="str">
        <f>_xll.BDP("702594AG Muni","MUNI_FED_TAX")</f>
        <v>N</v>
      </c>
      <c r="R1695" t="str">
        <f>_xll.BDP("702594AG Muni","MUNI_MSRB_VOLUME")</f>
        <v>#N/A N/A</v>
      </c>
      <c r="S1695" t="str">
        <f>_xll.BDP("702594AG Muni","BB_COMPOSITE")</f>
        <v>#N/A N/A</v>
      </c>
      <c r="T1695">
        <f>_xll.BDP("702594AG Muni","LQA_LIQUIDITY_SCORE")</f>
        <v>67</v>
      </c>
    </row>
    <row r="1696" spans="1:20" x14ac:dyDescent="0.25">
      <c r="A1696" t="str">
        <f>_xll.BDP("702594AH Muni","ID_CUSIP")</f>
        <v>702594AH5</v>
      </c>
      <c r="B1696" t="s">
        <v>465</v>
      </c>
      <c r="C1696" t="str">
        <f>_xll.BDP("702594AH Muni","INSURANCE_STATUS")</f>
        <v>N</v>
      </c>
      <c r="D1696" t="str">
        <f>_xll.BDP("702594AH Muni","STATE_CODE")</f>
        <v>TX</v>
      </c>
      <c r="E1696" t="str">
        <f>_xll.BDP("702594AH Muni","COUNTY_LOCATION_ISSUER")</f>
        <v>Travis, TX</v>
      </c>
      <c r="F1696">
        <f>_xll.BDP("702594AH Muni","DUR_ADJ_MID")</f>
        <v>2.8510511550641726</v>
      </c>
      <c r="G1696">
        <f>_xll.BDP("702594AH Muni","SPREAD_AT_ISSUANCE_TO_WORST")</f>
        <v>97.516813100569351</v>
      </c>
      <c r="H1696" t="str">
        <f>_xll.BDP("702594AH Muni","ISSUE_DT")</f>
        <v>4/1/2017</v>
      </c>
      <c r="I1696" t="str">
        <f>_xll.BDS("702594AH Muni","MUNI_PURPOSE_SCHED", "aggregate=y")</f>
        <v>WATER UTILITY IMPS. SEWER IMPS. PUBLIC IMPS.</v>
      </c>
      <c r="J1696">
        <f>_xll.BDP("702594AH Muni","CPN")</f>
        <v>3</v>
      </c>
      <c r="K1696" t="str">
        <f>_xll.BDP("702594AH Muni","MATURITY")</f>
        <v>8/15/2025</v>
      </c>
      <c r="L1696">
        <v>125000</v>
      </c>
      <c r="M1696">
        <f>_xll.BDP("702594AH Muni","YIELD_ON_ISSUE_DATE")</f>
        <v>3.2</v>
      </c>
      <c r="N1696">
        <f>_xll.BDP("702594AH Muni","YTW_SPREAD_TO_MATURITY_AT_ISSU")</f>
        <v>97.516813100569351</v>
      </c>
      <c r="O1696" t="str">
        <f>_xll.BDP("702594AH Muni","BVAL_MID_YTM")</f>
        <v>#N/A Authorization</v>
      </c>
      <c r="P1696" t="str">
        <f>_xll.BDP("702594AH Muni","MUNI_TAX_PROV")</f>
        <v>FED BQ</v>
      </c>
      <c r="Q1696" t="str">
        <f>_xll.BDP("702594AH Muni","MUNI_FED_TAX")</f>
        <v>N</v>
      </c>
      <c r="R1696" t="str">
        <f>_xll.BDP("702594AH Muni","MUNI_MSRB_VOLUME")</f>
        <v>#N/A N/A</v>
      </c>
      <c r="S1696" t="str">
        <f>_xll.BDP("702594AH Muni","BB_COMPOSITE")</f>
        <v>#N/A N/A</v>
      </c>
      <c r="T1696">
        <f>_xll.BDP("702594AH Muni","LQA_LIQUIDITY_SCORE")</f>
        <v>53</v>
      </c>
    </row>
    <row r="1697" spans="1:20" x14ac:dyDescent="0.25">
      <c r="A1697" t="str">
        <f>_xll.BDP("702594AJ Muni","ID_CUSIP")</f>
        <v>702594AJ1</v>
      </c>
      <c r="B1697" t="s">
        <v>465</v>
      </c>
      <c r="C1697" t="str">
        <f>_xll.BDP("702594AJ Muni","INSURANCE_STATUS")</f>
        <v>N</v>
      </c>
      <c r="D1697" t="str">
        <f>_xll.BDP("702594AJ Muni","STATE_CODE")</f>
        <v>TX</v>
      </c>
      <c r="E1697" t="str">
        <f>_xll.BDP("702594AJ Muni","COUNTY_LOCATION_ISSUER")</f>
        <v>Travis, TX</v>
      </c>
      <c r="F1697">
        <f>_xll.BDP("702594AJ Muni","DUR_ADJ_MID")</f>
        <v>3.7146497262189664</v>
      </c>
      <c r="G1697">
        <f>_xll.BDP("702594AJ Muni","SPREAD_AT_ISSUANCE_TO_WORST")</f>
        <v>94.9531841977239</v>
      </c>
      <c r="H1697" t="str">
        <f>_xll.BDP("702594AJ Muni","ISSUE_DT")</f>
        <v>4/1/2017</v>
      </c>
      <c r="I1697" t="str">
        <f>_xll.BDS("702594AJ Muni","MUNI_PURPOSE_SCHED", "aggregate=y")</f>
        <v>WATER UTILITY IMPS. SEWER IMPS. PUBLIC IMPS.</v>
      </c>
      <c r="J1697">
        <f>_xll.BDP("702594AJ Muni","CPN")</f>
        <v>3.25</v>
      </c>
      <c r="K1697" t="str">
        <f>_xll.BDP("702594AJ Muni","MATURITY")</f>
        <v>8/15/2026</v>
      </c>
      <c r="L1697">
        <v>130000</v>
      </c>
      <c r="M1697">
        <f>_xll.BDP("702594AJ Muni","YIELD_ON_ISSUE_DATE")</f>
        <v>3.3000000000000003</v>
      </c>
      <c r="N1697">
        <f>_xll.BDP("702594AJ Muni","YTW_SPREAD_TO_MATURITY_AT_ISSU")</f>
        <v>94.9531841977239</v>
      </c>
      <c r="O1697" t="str">
        <f>_xll.BDP("702594AJ Muni","BVAL_MID_YTM")</f>
        <v>#N/A Authorization</v>
      </c>
      <c r="P1697" t="str">
        <f>_xll.BDP("702594AJ Muni","MUNI_TAX_PROV")</f>
        <v>FED BQ</v>
      </c>
      <c r="Q1697" t="str">
        <f>_xll.BDP("702594AJ Muni","MUNI_FED_TAX")</f>
        <v>N</v>
      </c>
      <c r="R1697" t="str">
        <f>_xll.BDP("702594AJ Muni","MUNI_MSRB_VOLUME")</f>
        <v>#N/A N/A</v>
      </c>
      <c r="S1697" t="str">
        <f>_xll.BDP("702594AJ Muni","BB_COMPOSITE")</f>
        <v>#N/A N/A</v>
      </c>
      <c r="T1697">
        <f>_xll.BDP("702594AJ Muni","LQA_LIQUIDITY_SCORE")</f>
        <v>45</v>
      </c>
    </row>
    <row r="1698" spans="1:20" x14ac:dyDescent="0.25">
      <c r="A1698" t="str">
        <f>_xll.BDP("702594AK Muni","ID_CUSIP")</f>
        <v>702594AK8</v>
      </c>
      <c r="B1698" t="s">
        <v>465</v>
      </c>
      <c r="C1698" t="str">
        <f>_xll.BDP("702594AK Muni","INSURANCE_STATUS")</f>
        <v>N</v>
      </c>
      <c r="D1698" t="str">
        <f>_xll.BDP("702594AK Muni","STATE_CODE")</f>
        <v>TX</v>
      </c>
      <c r="E1698" t="str">
        <f>_xll.BDP("702594AK Muni","COUNTY_LOCATION_ISSUER")</f>
        <v>Travis, TX</v>
      </c>
      <c r="F1698">
        <f>_xll.BDP("702594AK Muni","DUR_ADJ_MID")</f>
        <v>4.5471449171332257</v>
      </c>
      <c r="G1698">
        <f>_xll.BDP("702594AK Muni","SPREAD_AT_ISSUANCE_TO_WORST")</f>
        <v>93.767697487133489</v>
      </c>
      <c r="H1698" t="str">
        <f>_xll.BDP("702594AK Muni","ISSUE_DT")</f>
        <v>4/1/2017</v>
      </c>
      <c r="I1698" t="str">
        <f>_xll.BDS("702594AK Muni","MUNI_PURPOSE_SCHED", "aggregate=y")</f>
        <v>WATER UTILITY IMPS. SEWER IMPS. PUBLIC IMPS.</v>
      </c>
      <c r="J1698">
        <f>_xll.BDP("702594AK Muni","CPN")</f>
        <v>3.375</v>
      </c>
      <c r="K1698" t="str">
        <f>_xll.BDP("702594AK Muni","MATURITY")</f>
        <v>8/15/2027</v>
      </c>
      <c r="L1698">
        <v>140000</v>
      </c>
      <c r="M1698">
        <f>_xll.BDP("702594AK Muni","YIELD_ON_ISSUE_DATE")</f>
        <v>3.4000000000000004</v>
      </c>
      <c r="N1698">
        <f>_xll.BDP("702594AK Muni","YTW_SPREAD_TO_MATURITY_AT_ISSU")</f>
        <v>93.767697487133489</v>
      </c>
      <c r="O1698" t="str">
        <f>_xll.BDP("702594AK Muni","BVAL_MID_YTM")</f>
        <v>#N/A Authorization</v>
      </c>
      <c r="P1698" t="str">
        <f>_xll.BDP("702594AK Muni","MUNI_TAX_PROV")</f>
        <v>FED BQ</v>
      </c>
      <c r="Q1698" t="str">
        <f>_xll.BDP("702594AK Muni","MUNI_FED_TAX")</f>
        <v>N</v>
      </c>
      <c r="R1698" t="str">
        <f>_xll.BDP("702594AK Muni","MUNI_MSRB_VOLUME")</f>
        <v>#N/A N/A</v>
      </c>
      <c r="S1698" t="str">
        <f>_xll.BDP("702594AK Muni","BB_COMPOSITE")</f>
        <v>#N/A N/A</v>
      </c>
      <c r="T1698">
        <f>_xll.BDP("702594AK Muni","LQA_LIQUIDITY_SCORE")</f>
        <v>38</v>
      </c>
    </row>
    <row r="1699" spans="1:20" x14ac:dyDescent="0.25">
      <c r="A1699" t="str">
        <f>_xll.BDP("702594BA Muni","ID_CUSIP")</f>
        <v>702594BA9</v>
      </c>
      <c r="B1699" t="s">
        <v>465</v>
      </c>
      <c r="C1699" t="str">
        <f>_xll.BDP("702594BA Muni","INSURANCE_STATUS")</f>
        <v>N</v>
      </c>
      <c r="D1699" t="str">
        <f>_xll.BDP("702594BA Muni","STATE_CODE")</f>
        <v>TX</v>
      </c>
      <c r="E1699" t="str">
        <f>_xll.BDP("702594BA Muni","COUNTY_LOCATION_ISSUER")</f>
        <v>Travis, TX</v>
      </c>
      <c r="F1699">
        <f>_xll.BDP("702594BA Muni","DUR_ADJ_MID")</f>
        <v>3.6091848677259362E-2</v>
      </c>
      <c r="G1699">
        <f>_xll.BDP("702594BA Muni","SPREAD_AT_ISSUANCE_TO_WORST")</f>
        <v>96.722961643835603</v>
      </c>
      <c r="H1699" t="str">
        <f>_xll.BDP("702594BA Muni","ISSUE_DT")</f>
        <v>10/1/2017</v>
      </c>
      <c r="I1699" t="str">
        <f>_xll.BDS("702594BA Muni","MUNI_PURPOSE_SCHED", "aggregate=y")</f>
        <v>WATER UTILITY IMPS. SEWER IMPS.</v>
      </c>
      <c r="J1699">
        <f>_xll.BDP("702594BA Muni","CPN")</f>
        <v>2.2999999999999998</v>
      </c>
      <c r="K1699" t="str">
        <f>_xll.BDP("702594BA Muni","MATURITY")</f>
        <v>8/15/2022</v>
      </c>
      <c r="L1699">
        <v>235000</v>
      </c>
      <c r="M1699">
        <f>_xll.BDP("702594BA Muni","YIELD_ON_ISSUE_DATE")</f>
        <v>2.3000000000000003</v>
      </c>
      <c r="N1699">
        <f>_xll.BDP("702594BA Muni","YTW_SPREAD_TO_MATURITY_AT_ISSU")</f>
        <v>96.722961643835603</v>
      </c>
      <c r="O1699" t="str">
        <f>_xll.BDP("702594BA Muni","BVAL_MID_YTM")</f>
        <v>#N/A Authorization</v>
      </c>
      <c r="P1699" t="str">
        <f>_xll.BDP("702594BA Muni","MUNI_TAX_PROV")</f>
        <v>FED BQ</v>
      </c>
      <c r="Q1699" t="str">
        <f>_xll.BDP("702594BA Muni","MUNI_FED_TAX")</f>
        <v>N</v>
      </c>
      <c r="R1699" t="str">
        <f>_xll.BDP("702594BA Muni","MUNI_MSRB_VOLUME")</f>
        <v>#N/A N/A</v>
      </c>
      <c r="S1699" t="str">
        <f>_xll.BDP("702594BA Muni","BB_COMPOSITE")</f>
        <v>#N/A N/A</v>
      </c>
      <c r="T1699">
        <f>_xll.BDP("702594BA Muni","LQA_LIQUIDITY_SCORE")</f>
        <v>94</v>
      </c>
    </row>
    <row r="1700" spans="1:20" x14ac:dyDescent="0.25">
      <c r="A1700" t="str">
        <f>_xll.BDP("702594BB Muni","ID_CUSIP")</f>
        <v>702594BB7</v>
      </c>
      <c r="B1700" t="s">
        <v>465</v>
      </c>
      <c r="C1700" t="str">
        <f>_xll.BDP("702594BB Muni","INSURANCE_STATUS")</f>
        <v>N</v>
      </c>
      <c r="D1700" t="str">
        <f>_xll.BDP("702594BB Muni","STATE_CODE")</f>
        <v>TX</v>
      </c>
      <c r="E1700" t="str">
        <f>_xll.BDP("702594BB Muni","COUNTY_LOCATION_ISSUER")</f>
        <v>Travis, TX</v>
      </c>
      <c r="F1700">
        <f>_xll.BDP("702594BB Muni","DUR_ADJ_MID")</f>
        <v>1.0076541968627564</v>
      </c>
      <c r="G1700">
        <f>_xll.BDP("702594BB Muni","SPREAD_AT_ISSUANCE_TO_WORST")</f>
        <v>99.027364383561661</v>
      </c>
      <c r="H1700" t="str">
        <f>_xll.BDP("702594BB Muni","ISSUE_DT")</f>
        <v>10/1/2017</v>
      </c>
      <c r="I1700" t="str">
        <f>_xll.BDS("702594BB Muni","MUNI_PURPOSE_SCHED", "aggregate=y")</f>
        <v>WATER UTILITY IMPS. SEWER IMPS.</v>
      </c>
      <c r="J1700">
        <f>_xll.BDP("702594BB Muni","CPN")</f>
        <v>2.4500000000000002</v>
      </c>
      <c r="K1700" t="str">
        <f>_xll.BDP("702594BB Muni","MATURITY")</f>
        <v>8/15/2023</v>
      </c>
      <c r="L1700">
        <v>235000</v>
      </c>
      <c r="M1700">
        <f>_xll.BDP("702594BB Muni","YIELD_ON_ISSUE_DATE")</f>
        <v>2.4500000000000002</v>
      </c>
      <c r="N1700">
        <f>_xll.BDP("702594BB Muni","YTW_SPREAD_TO_MATURITY_AT_ISSU")</f>
        <v>99.027364383561661</v>
      </c>
      <c r="O1700" t="str">
        <f>_xll.BDP("702594BB Muni","BVAL_MID_YTM")</f>
        <v>#N/A Authorization</v>
      </c>
      <c r="P1700" t="str">
        <f>_xll.BDP("702594BB Muni","MUNI_TAX_PROV")</f>
        <v>FED BQ</v>
      </c>
      <c r="Q1700" t="str">
        <f>_xll.BDP("702594BB Muni","MUNI_FED_TAX")</f>
        <v>N</v>
      </c>
      <c r="R1700" t="str">
        <f>_xll.BDP("702594BB Muni","MUNI_MSRB_VOLUME")</f>
        <v>#N/A N/A</v>
      </c>
      <c r="S1700" t="str">
        <f>_xll.BDP("702594BB Muni","BB_COMPOSITE")</f>
        <v>#N/A N/A</v>
      </c>
      <c r="T1700">
        <f>_xll.BDP("702594BB Muni","LQA_LIQUIDITY_SCORE")</f>
        <v>79</v>
      </c>
    </row>
    <row r="1701" spans="1:20" x14ac:dyDescent="0.25">
      <c r="A1701" t="str">
        <f>_xll.BDP("702594BC Muni","ID_CUSIP")</f>
        <v>702594BC5</v>
      </c>
      <c r="B1701" t="s">
        <v>465</v>
      </c>
      <c r="C1701" t="str">
        <f>_xll.BDP("702594BC Muni","INSURANCE_STATUS")</f>
        <v>N</v>
      </c>
      <c r="D1701" t="str">
        <f>_xll.BDP("702594BC Muni","STATE_CODE")</f>
        <v>TX</v>
      </c>
      <c r="E1701" t="str">
        <f>_xll.BDP("702594BC Muni","COUNTY_LOCATION_ISSUER")</f>
        <v>Travis, TX</v>
      </c>
      <c r="F1701">
        <f>_xll.BDP("702594BC Muni","DUR_ADJ_MID")</f>
        <v>1.9503333003062742</v>
      </c>
      <c r="G1701">
        <f>_xll.BDP("702594BC Muni","SPREAD_AT_ISSUANCE_TO_WORST")</f>
        <v>100.82245205479454</v>
      </c>
      <c r="H1701" t="str">
        <f>_xll.BDP("702594BC Muni","ISSUE_DT")</f>
        <v>10/1/2017</v>
      </c>
      <c r="I1701" t="str">
        <f>_xll.BDS("702594BC Muni","MUNI_PURPOSE_SCHED", "aggregate=y")</f>
        <v>WATER UTILITY IMPS. SEWER IMPS.</v>
      </c>
      <c r="J1701">
        <f>_xll.BDP("702594BC Muni","CPN")</f>
        <v>2.6</v>
      </c>
      <c r="K1701" t="str">
        <f>_xll.BDP("702594BC Muni","MATURITY")</f>
        <v>8/15/2024</v>
      </c>
      <c r="L1701">
        <v>235000</v>
      </c>
      <c r="M1701">
        <f>_xll.BDP("702594BC Muni","YIELD_ON_ISSUE_DATE")</f>
        <v>2.6</v>
      </c>
      <c r="N1701">
        <f>_xll.BDP("702594BC Muni","YTW_SPREAD_TO_MATURITY_AT_ISSU")</f>
        <v>100.82245205479454</v>
      </c>
      <c r="O1701" t="str">
        <f>_xll.BDP("702594BC Muni","BVAL_MID_YTM")</f>
        <v>#N/A Authorization</v>
      </c>
      <c r="P1701" t="str">
        <f>_xll.BDP("702594BC Muni","MUNI_TAX_PROV")</f>
        <v>FED BQ</v>
      </c>
      <c r="Q1701" t="str">
        <f>_xll.BDP("702594BC Muni","MUNI_FED_TAX")</f>
        <v>N</v>
      </c>
      <c r="R1701" t="str">
        <f>_xll.BDP("702594BC Muni","MUNI_MSRB_VOLUME")</f>
        <v>#N/A N/A</v>
      </c>
      <c r="S1701" t="str">
        <f>_xll.BDP("702594BC Muni","BB_COMPOSITE")</f>
        <v>#N/A N/A</v>
      </c>
      <c r="T1701">
        <f>_xll.BDP("702594BC Muni","LQA_LIQUIDITY_SCORE")</f>
        <v>65</v>
      </c>
    </row>
    <row r="1702" spans="1:20" x14ac:dyDescent="0.25">
      <c r="A1702" t="str">
        <f>_xll.BDP("702594BD Muni","ID_CUSIP")</f>
        <v>702594BD3</v>
      </c>
      <c r="B1702" t="s">
        <v>465</v>
      </c>
      <c r="C1702" t="str">
        <f>_xll.BDP("702594BD Muni","INSURANCE_STATUS")</f>
        <v>N</v>
      </c>
      <c r="D1702" t="str">
        <f>_xll.BDP("702594BD Muni","STATE_CODE")</f>
        <v>TX</v>
      </c>
      <c r="E1702" t="str">
        <f>_xll.BDP("702594BD Muni","COUNTY_LOCATION_ISSUER")</f>
        <v>Travis, TX</v>
      </c>
      <c r="F1702">
        <f>_xll.BDP("702594BD Muni","DUR_ADJ_MID")</f>
        <v>2.8600074421603368</v>
      </c>
      <c r="G1702">
        <f>_xll.BDP("702594BD Muni","SPREAD_AT_ISSUANCE_TO_WORST")</f>
        <v>107.53163013698628</v>
      </c>
      <c r="H1702" t="str">
        <f>_xll.BDP("702594BD Muni","ISSUE_DT")</f>
        <v>10/1/2017</v>
      </c>
      <c r="I1702" t="str">
        <f>_xll.BDS("702594BD Muni","MUNI_PURPOSE_SCHED", "aggregate=y")</f>
        <v>WATER UTILITY IMPS. SEWER IMPS.</v>
      </c>
      <c r="J1702">
        <f>_xll.BDP("702594BD Muni","CPN")</f>
        <v>2.8</v>
      </c>
      <c r="K1702" t="str">
        <f>_xll.BDP("702594BD Muni","MATURITY")</f>
        <v>8/15/2025</v>
      </c>
      <c r="L1702">
        <v>235000</v>
      </c>
      <c r="M1702">
        <f>_xll.BDP("702594BD Muni","YIELD_ON_ISSUE_DATE")</f>
        <v>2.8000000000000003</v>
      </c>
      <c r="N1702">
        <f>_xll.BDP("702594BD Muni","YTW_SPREAD_TO_MATURITY_AT_ISSU")</f>
        <v>107.53163013698628</v>
      </c>
      <c r="O1702" t="str">
        <f>_xll.BDP("702594BD Muni","BVAL_MID_YTM")</f>
        <v>#N/A Authorization</v>
      </c>
      <c r="P1702" t="str">
        <f>_xll.BDP("702594BD Muni","MUNI_TAX_PROV")</f>
        <v>FED BQ</v>
      </c>
      <c r="Q1702" t="str">
        <f>_xll.BDP("702594BD Muni","MUNI_FED_TAX")</f>
        <v>N</v>
      </c>
      <c r="R1702" t="str">
        <f>_xll.BDP("702594BD Muni","MUNI_MSRB_VOLUME")</f>
        <v>#N/A N/A</v>
      </c>
      <c r="S1702" t="str">
        <f>_xll.BDP("702594BD Muni","BB_COMPOSITE")</f>
        <v>#N/A N/A</v>
      </c>
      <c r="T1702">
        <f>_xll.BDP("702594BD Muni","LQA_LIQUIDITY_SCORE")</f>
        <v>52</v>
      </c>
    </row>
    <row r="1703" spans="1:20" x14ac:dyDescent="0.25">
      <c r="A1703" t="str">
        <f>_xll.BDP("702594BE Muni","ID_CUSIP")</f>
        <v>702594BE1</v>
      </c>
      <c r="B1703" t="s">
        <v>465</v>
      </c>
      <c r="C1703" t="str">
        <f>_xll.BDP("702594BE Muni","INSURANCE_STATUS")</f>
        <v>N</v>
      </c>
      <c r="D1703" t="str">
        <f>_xll.BDP("702594BE Muni","STATE_CODE")</f>
        <v>TX</v>
      </c>
      <c r="E1703" t="str">
        <f>_xll.BDP("702594BE Muni","COUNTY_LOCATION_ISSUER")</f>
        <v>Travis, TX</v>
      </c>
      <c r="F1703">
        <f>_xll.BDP("702594BE Muni","DUR_ADJ_MID")</f>
        <v>3.732792139542549</v>
      </c>
      <c r="G1703">
        <f>_xll.BDP("702594BE Muni","SPREAD_AT_ISSUANCE_TO_WORST")</f>
        <v>115.6234383561644</v>
      </c>
      <c r="H1703" t="str">
        <f>_xll.BDP("702594BE Muni","ISSUE_DT")</f>
        <v>10/1/2017</v>
      </c>
      <c r="I1703" t="str">
        <f>_xll.BDS("702594BE Muni","MUNI_PURPOSE_SCHED", "aggregate=y")</f>
        <v>WATER UTILITY IMPS. SEWER IMPS.</v>
      </c>
      <c r="J1703">
        <f>_xll.BDP("702594BE Muni","CPN")</f>
        <v>3</v>
      </c>
      <c r="K1703" t="str">
        <f>_xll.BDP("702594BE Muni","MATURITY")</f>
        <v>8/15/2026</v>
      </c>
      <c r="L1703">
        <v>235000</v>
      </c>
      <c r="M1703">
        <f>_xll.BDP("702594BE Muni","YIELD_ON_ISSUE_DATE")</f>
        <v>3</v>
      </c>
      <c r="N1703">
        <f>_xll.BDP("702594BE Muni","YTW_SPREAD_TO_MATURITY_AT_ISSU")</f>
        <v>115.6234383561644</v>
      </c>
      <c r="O1703" t="str">
        <f>_xll.BDP("702594BE Muni","BVAL_MID_YTM")</f>
        <v>#N/A Authorization</v>
      </c>
      <c r="P1703" t="str">
        <f>_xll.BDP("702594BE Muni","MUNI_TAX_PROV")</f>
        <v>FED BQ</v>
      </c>
      <c r="Q1703" t="str">
        <f>_xll.BDP("702594BE Muni","MUNI_FED_TAX")</f>
        <v>N</v>
      </c>
      <c r="R1703" t="str">
        <f>_xll.BDP("702594BE Muni","MUNI_MSRB_VOLUME")</f>
        <v>#N/A N/A</v>
      </c>
      <c r="S1703" t="str">
        <f>_xll.BDP("702594BE Muni","BB_COMPOSITE")</f>
        <v>#N/A N/A</v>
      </c>
      <c r="T1703">
        <f>_xll.BDP("702594BE Muni","LQA_LIQUIDITY_SCORE")</f>
        <v>44</v>
      </c>
    </row>
    <row r="1704" spans="1:20" x14ac:dyDescent="0.25">
      <c r="A1704" t="str">
        <f>_xll.BDP("702594BF Muni","ID_CUSIP")</f>
        <v>702594BF8</v>
      </c>
      <c r="B1704" t="s">
        <v>465</v>
      </c>
      <c r="C1704" t="str">
        <f>_xll.BDP("702594BF Muni","INSURANCE_STATUS")</f>
        <v>N</v>
      </c>
      <c r="D1704" t="str">
        <f>_xll.BDP("702594BF Muni","STATE_CODE")</f>
        <v>TX</v>
      </c>
      <c r="E1704" t="str">
        <f>_xll.BDP("702594BF Muni","COUNTY_LOCATION_ISSUER")</f>
        <v>Travis, TX</v>
      </c>
      <c r="F1704">
        <f>_xll.BDP("702594BF Muni","DUR_ADJ_MID")</f>
        <v>4.5868475561606701</v>
      </c>
      <c r="G1704">
        <f>_xll.BDP("702594BF Muni","SPREAD_AT_ISSUANCE_TO_WORST")</f>
        <v>116.05842465753426</v>
      </c>
      <c r="H1704" t="str">
        <f>_xll.BDP("702594BF Muni","ISSUE_DT")</f>
        <v>10/1/2017</v>
      </c>
      <c r="I1704" t="str">
        <f>_xll.BDS("702594BF Muni","MUNI_PURPOSE_SCHED", "aggregate=y")</f>
        <v>WATER UTILITY IMPS. SEWER IMPS.</v>
      </c>
      <c r="J1704">
        <f>_xll.BDP("702594BF Muni","CPN")</f>
        <v>3</v>
      </c>
      <c r="K1704" t="str">
        <f>_xll.BDP("702594BF Muni","MATURITY")</f>
        <v>8/15/2027</v>
      </c>
      <c r="L1704">
        <v>235000</v>
      </c>
      <c r="M1704">
        <f>_xll.BDP("702594BF Muni","YIELD_ON_ISSUE_DATE")</f>
        <v>3.1</v>
      </c>
      <c r="N1704">
        <f>_xll.BDP("702594BF Muni","YTW_SPREAD_TO_MATURITY_AT_ISSU")</f>
        <v>116.05842465753426</v>
      </c>
      <c r="O1704" t="str">
        <f>_xll.BDP("702594BF Muni","BVAL_MID_YTM")</f>
        <v>#N/A Authorization</v>
      </c>
      <c r="P1704" t="str">
        <f>_xll.BDP("702594BF Muni","MUNI_TAX_PROV")</f>
        <v>FED BQ</v>
      </c>
      <c r="Q1704" t="str">
        <f>_xll.BDP("702594BF Muni","MUNI_FED_TAX")</f>
        <v>N</v>
      </c>
      <c r="R1704" t="str">
        <f>_xll.BDP("702594BF Muni","MUNI_MSRB_VOLUME")</f>
        <v>#N/A N/A</v>
      </c>
      <c r="S1704" t="str">
        <f>_xll.BDP("702594BF Muni","BB_COMPOSITE")</f>
        <v>#N/A N/A</v>
      </c>
      <c r="T1704">
        <f>_xll.BDP("702594BF Muni","LQA_LIQUIDITY_SCORE")</f>
        <v>37</v>
      </c>
    </row>
    <row r="1705" spans="1:20" x14ac:dyDescent="0.25">
      <c r="A1705" t="str">
        <f>_xll.BDP("702597BX Muni","ID_CUSIP")</f>
        <v>702597BX2</v>
      </c>
      <c r="B1705" t="s">
        <v>108</v>
      </c>
      <c r="C1705" t="str">
        <f>_xll.BDP("702597BX Muni","INSURANCE_STATUS")</f>
        <v>N</v>
      </c>
      <c r="D1705" t="str">
        <f>_xll.BDP("702597BX Muni","STATE_CODE")</f>
        <v>TX</v>
      </c>
      <c r="E1705" t="str">
        <f>_xll.BDP("702597BX Muni","COUNTY_LOCATION_ISSUER")</f>
        <v>#N/A Field Not Applicable</v>
      </c>
      <c r="F1705">
        <f>_xll.BDP("702597BX Muni","DUR_ADJ_MID")</f>
        <v>3.6091816273131822E-2</v>
      </c>
      <c r="G1705">
        <f>_xll.BDP("702597BX Muni","SPREAD_AT_ISSUANCE_TO_WORST")</f>
        <v>84.443186301369892</v>
      </c>
      <c r="H1705" t="str">
        <f>_xll.BDP("702597BX Muni","ISSUE_DT")</f>
        <v>10/1/2017</v>
      </c>
      <c r="I1705" t="str">
        <f>_xll.BDS("702597BX Muni","MUNI_PURPOSE_SCHED", "aggregate=y")</f>
        <v>WATER UTILITY IMPS. SEWER IMPS.</v>
      </c>
      <c r="J1705">
        <f>_xll.BDP("702597BX Muni","CPN")</f>
        <v>3</v>
      </c>
      <c r="K1705" t="str">
        <f>_xll.BDP("702597BX Muni","MATURITY")</f>
        <v>8/15/2022</v>
      </c>
      <c r="L1705">
        <v>200000</v>
      </c>
      <c r="M1705">
        <f>_xll.BDP("702597BX Muni","YIELD_ON_ISSUE_DATE")</f>
        <v>2.2000000000000002</v>
      </c>
      <c r="N1705">
        <f>_xll.BDP("702597BX Muni","YTW_SPREAD_TO_MATURITY_AT_ISSU")</f>
        <v>84.443186301369892</v>
      </c>
      <c r="O1705" t="str">
        <f>_xll.BDP("702597BX Muni","BVAL_MID_YTM")</f>
        <v>#N/A Authorization</v>
      </c>
      <c r="P1705" t="str">
        <f>_xll.BDP("702597BX Muni","MUNI_TAX_PROV")</f>
        <v>FED BQ</v>
      </c>
      <c r="Q1705" t="str">
        <f>_xll.BDP("702597BX Muni","MUNI_FED_TAX")</f>
        <v>N</v>
      </c>
      <c r="R1705" t="str">
        <f>_xll.BDP("702597BX Muni","MUNI_MSRB_VOLUME")</f>
        <v>#N/A N/A</v>
      </c>
      <c r="S1705" t="str">
        <f>_xll.BDP("702597BX Muni","BB_COMPOSITE")</f>
        <v>#N/A N/A</v>
      </c>
      <c r="T1705">
        <f>_xll.BDP("702597BX Muni","LQA_LIQUIDITY_SCORE")</f>
        <v>96</v>
      </c>
    </row>
    <row r="1706" spans="1:20" x14ac:dyDescent="0.25">
      <c r="A1706" t="str">
        <f>_xll.BDP("702597BY Muni","ID_CUSIP")</f>
        <v>702597BY0</v>
      </c>
      <c r="B1706" t="s">
        <v>108</v>
      </c>
      <c r="C1706" t="str">
        <f>_xll.BDP("702597BY Muni","INSURANCE_STATUS")</f>
        <v>N</v>
      </c>
      <c r="D1706" t="str">
        <f>_xll.BDP("702597BY Muni","STATE_CODE")</f>
        <v>TX</v>
      </c>
      <c r="E1706" t="str">
        <f>_xll.BDP("702597BY Muni","COUNTY_LOCATION_ISSUER")</f>
        <v>#N/A Field Not Applicable</v>
      </c>
      <c r="F1706">
        <f>_xll.BDP("702597BY Muni","DUR_ADJ_MID")</f>
        <v>1.0038229530043978</v>
      </c>
      <c r="G1706">
        <f>_xll.BDP("702597BY Muni","SPREAD_AT_ISSUANCE_TO_WORST")</f>
        <v>91.393983561643836</v>
      </c>
      <c r="H1706" t="str">
        <f>_xll.BDP("702597BY Muni","ISSUE_DT")</f>
        <v>10/1/2017</v>
      </c>
      <c r="I1706" t="str">
        <f>_xll.BDS("702597BY Muni","MUNI_PURPOSE_SCHED", "aggregate=y")</f>
        <v>WATER UTILITY IMPS. SEWER IMPS.</v>
      </c>
      <c r="J1706">
        <f>_xll.BDP("702597BY Muni","CPN")</f>
        <v>3</v>
      </c>
      <c r="K1706" t="str">
        <f>_xll.BDP("702597BY Muni","MATURITY")</f>
        <v>8/15/2023</v>
      </c>
      <c r="L1706">
        <v>200000</v>
      </c>
      <c r="M1706">
        <f>_xll.BDP("702597BY Muni","YIELD_ON_ISSUE_DATE")</f>
        <v>2.4000000000000004</v>
      </c>
      <c r="N1706">
        <f>_xll.BDP("702597BY Muni","YTW_SPREAD_TO_MATURITY_AT_ISSU")</f>
        <v>91.393983561643836</v>
      </c>
      <c r="O1706" t="str">
        <f>_xll.BDP("702597BY Muni","BVAL_MID_YTM")</f>
        <v>#N/A Authorization</v>
      </c>
      <c r="P1706" t="str">
        <f>_xll.BDP("702597BY Muni","MUNI_TAX_PROV")</f>
        <v>FED BQ</v>
      </c>
      <c r="Q1706" t="str">
        <f>_xll.BDP("702597BY Muni","MUNI_FED_TAX")</f>
        <v>N</v>
      </c>
      <c r="R1706" t="str">
        <f>_xll.BDP("702597BY Muni","MUNI_MSRB_VOLUME")</f>
        <v>#N/A N/A</v>
      </c>
      <c r="S1706" t="str">
        <f>_xll.BDP("702597BY Muni","BB_COMPOSITE")</f>
        <v>#N/A N/A</v>
      </c>
      <c r="T1706">
        <f>_xll.BDP("702597BY Muni","LQA_LIQUIDITY_SCORE")</f>
        <v>78</v>
      </c>
    </row>
    <row r="1707" spans="1:20" x14ac:dyDescent="0.25">
      <c r="A1707" t="str">
        <f>_xll.BDP("702597BZ Muni","ID_CUSIP")</f>
        <v>702597BZ7</v>
      </c>
      <c r="B1707" t="s">
        <v>108</v>
      </c>
      <c r="C1707" t="str">
        <f>_xll.BDP("702597BZ Muni","INSURANCE_STATUS")</f>
        <v>N</v>
      </c>
      <c r="D1707" t="str">
        <f>_xll.BDP("702597BZ Muni","STATE_CODE")</f>
        <v>TX</v>
      </c>
      <c r="E1707" t="str">
        <f>_xll.BDP("702597BZ Muni","COUNTY_LOCATION_ISSUER")</f>
        <v>#N/A Field Not Applicable</v>
      </c>
      <c r="F1707">
        <f>_xll.BDP("702597BZ Muni","DUR_ADJ_MID")</f>
        <v>1.9414196531446677</v>
      </c>
      <c r="G1707">
        <f>_xll.BDP("702597BZ Muni","SPREAD_AT_ISSUANCE_TO_WORST")</f>
        <v>97.846794520547959</v>
      </c>
      <c r="H1707" t="str">
        <f>_xll.BDP("702597BZ Muni","ISSUE_DT")</f>
        <v>10/1/2017</v>
      </c>
      <c r="I1707" t="str">
        <f>_xll.BDS("702597BZ Muni","MUNI_PURPOSE_SCHED", "aggregate=y")</f>
        <v>WATER UTILITY IMPS. SEWER IMPS.</v>
      </c>
      <c r="J1707">
        <f>_xll.BDP("702597BZ Muni","CPN")</f>
        <v>3</v>
      </c>
      <c r="K1707" t="str">
        <f>_xll.BDP("702597BZ Muni","MATURITY")</f>
        <v>8/15/2024</v>
      </c>
      <c r="L1707">
        <v>200000</v>
      </c>
      <c r="M1707">
        <f>_xll.BDP("702597BZ Muni","YIELD_ON_ISSUE_DATE")</f>
        <v>2.6</v>
      </c>
      <c r="N1707">
        <f>_xll.BDP("702597BZ Muni","YTW_SPREAD_TO_MATURITY_AT_ISSU")</f>
        <v>97.846794520547959</v>
      </c>
      <c r="O1707" t="str">
        <f>_xll.BDP("702597BZ Muni","BVAL_MID_YTM")</f>
        <v>#N/A Authorization</v>
      </c>
      <c r="P1707" t="str">
        <f>_xll.BDP("702597BZ Muni","MUNI_TAX_PROV")</f>
        <v>FED BQ</v>
      </c>
      <c r="Q1707" t="str">
        <f>_xll.BDP("702597BZ Muni","MUNI_FED_TAX")</f>
        <v>N</v>
      </c>
      <c r="R1707" t="str">
        <f>_xll.BDP("702597BZ Muni","MUNI_MSRB_VOLUME")</f>
        <v>#N/A N/A</v>
      </c>
      <c r="S1707" t="str">
        <f>_xll.BDP("702597BZ Muni","BB_COMPOSITE")</f>
        <v>#N/A N/A</v>
      </c>
      <c r="T1707">
        <f>_xll.BDP("702597BZ Muni","LQA_LIQUIDITY_SCORE")</f>
        <v>62</v>
      </c>
    </row>
    <row r="1708" spans="1:20" x14ac:dyDescent="0.25">
      <c r="A1708" t="str">
        <f>_xll.BDP("702597CA Muni","ID_CUSIP")</f>
        <v>702597CA1</v>
      </c>
      <c r="B1708" t="s">
        <v>108</v>
      </c>
      <c r="C1708" t="str">
        <f>_xll.BDP("702597CA Muni","INSURANCE_STATUS")</f>
        <v>N</v>
      </c>
      <c r="D1708" t="str">
        <f>_xll.BDP("702597CA Muni","STATE_CODE")</f>
        <v>TX</v>
      </c>
      <c r="E1708" t="str">
        <f>_xll.BDP("702597CA Muni","COUNTY_LOCATION_ISSUER")</f>
        <v>#N/A Field Not Applicable</v>
      </c>
      <c r="F1708">
        <f>_xll.BDP("702597CA Muni","DUR_ADJ_MID")</f>
        <v>2.8510511550641726</v>
      </c>
      <c r="G1708">
        <f>_xll.BDP("702597CA Muni","SPREAD_AT_ISSUANCE_TO_WORST")</f>
        <v>104.2173424657534</v>
      </c>
      <c r="H1708" t="str">
        <f>_xll.BDP("702597CA Muni","ISSUE_DT")</f>
        <v>10/1/2017</v>
      </c>
      <c r="I1708" t="str">
        <f>_xll.BDS("702597CA Muni","MUNI_PURPOSE_SCHED", "aggregate=y")</f>
        <v>WATER UTILITY IMPS. SEWER IMPS.</v>
      </c>
      <c r="J1708">
        <f>_xll.BDP("702597CA Muni","CPN")</f>
        <v>3</v>
      </c>
      <c r="K1708" t="str">
        <f>_xll.BDP("702597CA Muni","MATURITY")</f>
        <v>8/15/2025</v>
      </c>
      <c r="L1708">
        <v>200000</v>
      </c>
      <c r="M1708">
        <f>_xll.BDP("702597CA Muni","YIELD_ON_ISSUE_DATE")</f>
        <v>2.8000000000000003</v>
      </c>
      <c r="N1708">
        <f>_xll.BDP("702597CA Muni","YTW_SPREAD_TO_MATURITY_AT_ISSU")</f>
        <v>104.2173424657534</v>
      </c>
      <c r="O1708" t="str">
        <f>_xll.BDP("702597CA Muni","BVAL_MID_YTM")</f>
        <v>#N/A Authorization</v>
      </c>
      <c r="P1708" t="str">
        <f>_xll.BDP("702597CA Muni","MUNI_TAX_PROV")</f>
        <v>FED BQ</v>
      </c>
      <c r="Q1708" t="str">
        <f>_xll.BDP("702597CA Muni","MUNI_FED_TAX")</f>
        <v>N</v>
      </c>
      <c r="R1708" t="str">
        <f>_xll.BDP("702597CA Muni","MUNI_MSRB_VOLUME")</f>
        <v>#N/A N/A</v>
      </c>
      <c r="S1708" t="str">
        <f>_xll.BDP("702597CA Muni","BB_COMPOSITE")</f>
        <v>#N/A N/A</v>
      </c>
      <c r="T1708">
        <f>_xll.BDP("702597CA Muni","LQA_LIQUIDITY_SCORE")</f>
        <v>45</v>
      </c>
    </row>
    <row r="1709" spans="1:20" x14ac:dyDescent="0.25">
      <c r="A1709" t="str">
        <f>_xll.BDP("702597CC Muni","ID_CUSIP")</f>
        <v>702597CC7</v>
      </c>
      <c r="B1709" t="s">
        <v>108</v>
      </c>
      <c r="C1709" t="str">
        <f>_xll.BDP("702597CC Muni","INSURANCE_STATUS")</f>
        <v>N</v>
      </c>
      <c r="D1709" t="str">
        <f>_xll.BDP("702597CC Muni","STATE_CODE")</f>
        <v>TX</v>
      </c>
      <c r="E1709" t="str">
        <f>_xll.BDP("702597CC Muni","COUNTY_LOCATION_ISSUER")</f>
        <v>#N/A Field Not Applicable</v>
      </c>
      <c r="F1709">
        <f>_xll.BDP("702597CC Muni","DUR_ADJ_MID")</f>
        <v>4.5868475561606701</v>
      </c>
      <c r="G1709">
        <f>_xll.BDP("702597CC Muni","SPREAD_AT_ISSUANCE_TO_WORST")</f>
        <v>102.12860273972603</v>
      </c>
      <c r="H1709" t="str">
        <f>_xll.BDP("702597CC Muni","ISSUE_DT")</f>
        <v>10/1/2017</v>
      </c>
      <c r="I1709" t="str">
        <f>_xll.BDS("702597CC Muni","MUNI_PURPOSE_SCHED", "aggregate=y")</f>
        <v>WATER UTILITY IMPS. SEWER IMPS.</v>
      </c>
      <c r="J1709">
        <f>_xll.BDP("702597CC Muni","CPN")</f>
        <v>3</v>
      </c>
      <c r="K1709" t="str">
        <f>_xll.BDP("702597CC Muni","MATURITY")</f>
        <v>8/15/2027</v>
      </c>
      <c r="L1709">
        <v>200000</v>
      </c>
      <c r="M1709">
        <f>_xll.BDP("702597CC Muni","YIELD_ON_ISSUE_DATE")</f>
        <v>3</v>
      </c>
      <c r="N1709">
        <f>_xll.BDP("702597CC Muni","YTW_SPREAD_TO_MATURITY_AT_ISSU")</f>
        <v>102.12860273972603</v>
      </c>
      <c r="O1709" t="str">
        <f>_xll.BDP("702597CC Muni","BVAL_MID_YTM")</f>
        <v>#N/A Authorization</v>
      </c>
      <c r="P1709" t="str">
        <f>_xll.BDP("702597CC Muni","MUNI_TAX_PROV")</f>
        <v>FED BQ</v>
      </c>
      <c r="Q1709" t="str">
        <f>_xll.BDP("702597CC Muni","MUNI_FED_TAX")</f>
        <v>N</v>
      </c>
      <c r="R1709" t="str">
        <f>_xll.BDP("702597CC Muni","MUNI_MSRB_VOLUME")</f>
        <v>#N/A N/A</v>
      </c>
      <c r="S1709" t="str">
        <f>_xll.BDP("702597CC Muni","BB_COMPOSITE")</f>
        <v>#N/A N/A</v>
      </c>
      <c r="T1709">
        <f>_xll.BDP("702597CC Muni","LQA_LIQUIDITY_SCORE")</f>
        <v>29</v>
      </c>
    </row>
    <row r="1710" spans="1:20" x14ac:dyDescent="0.25">
      <c r="A1710" t="str">
        <f>_xll.BDP("70259PCZ Muni","ID_CUSIP")</f>
        <v>70259PCZ6</v>
      </c>
      <c r="B1710" t="s">
        <v>466</v>
      </c>
      <c r="C1710" t="str">
        <f>_xll.BDP("70259PCZ Muni","INSURANCE_STATUS")</f>
        <v>N</v>
      </c>
      <c r="D1710" t="str">
        <f>_xll.BDP("70259PCZ Muni","STATE_CODE")</f>
        <v>TX</v>
      </c>
      <c r="E1710" t="str">
        <f>_xll.BDP("70259PCZ Muni","COUNTY_LOCATION_ISSUER")</f>
        <v>El Paso, TX</v>
      </c>
      <c r="F1710">
        <f>_xll.BDP("70259PCZ Muni","DUR_ADJ_MID")</f>
        <v>3.6091096002697345E-2</v>
      </c>
      <c r="G1710">
        <f>_xll.BDP("70259PCZ Muni","SPREAD_AT_ISSUANCE_TO_WORST")</f>
        <v>109.96942294456562</v>
      </c>
      <c r="H1710" t="str">
        <f>_xll.BDP("70259PCZ Muni","ISSUE_DT")</f>
        <v>9/1/2017</v>
      </c>
      <c r="I1710" t="str">
        <f>_xll.BDS("70259PCZ Muni","MUNI_PURPOSE_SCHED", "aggregate=y")</f>
        <v>RECREATIONAL FAC. IMPS. WATER UTILITY IMPS. SEWER IMPS.</v>
      </c>
      <c r="J1710">
        <f>_xll.BDP("70259PCZ Muni","CPN")</f>
        <v>2.25</v>
      </c>
      <c r="K1710" t="str">
        <f>_xll.BDP("70259PCZ Muni","MATURITY")</f>
        <v>8/15/2022</v>
      </c>
      <c r="L1710">
        <v>75000</v>
      </c>
      <c r="M1710">
        <f>_xll.BDP("70259PCZ Muni","YIELD_ON_ISSUE_DATE")</f>
        <v>2.25</v>
      </c>
      <c r="N1710">
        <f>_xll.BDP("70259PCZ Muni","YTW_SPREAD_TO_MATURITY_AT_ISSU")</f>
        <v>109.96942294456562</v>
      </c>
      <c r="O1710" t="str">
        <f>_xll.BDP("70259PCZ Muni","BVAL_MID_YTM")</f>
        <v>#N/A Authorization</v>
      </c>
      <c r="P1710" t="str">
        <f>_xll.BDP("70259PCZ Muni","MUNI_TAX_PROV")</f>
        <v>FED BQ</v>
      </c>
      <c r="Q1710" t="str">
        <f>_xll.BDP("70259PCZ Muni","MUNI_FED_TAX")</f>
        <v>N</v>
      </c>
      <c r="R1710">
        <f>_xll.BDP("70259PCZ Muni","MUNI_MSRB_VOLUME")</f>
        <v>25000</v>
      </c>
      <c r="S1710" t="str">
        <f>_xll.BDP("70259PCZ Muni","BB_COMPOSITE")</f>
        <v>#N/A N/A</v>
      </c>
      <c r="T1710">
        <f>_xll.BDP("70259PCZ Muni","LQA_LIQUIDITY_SCORE")</f>
        <v>9</v>
      </c>
    </row>
    <row r="1711" spans="1:20" x14ac:dyDescent="0.25">
      <c r="A1711" t="str">
        <f>_xll.BDP("70259PDA Muni","ID_CUSIP")</f>
        <v>70259PDA0</v>
      </c>
      <c r="B1711" t="s">
        <v>466</v>
      </c>
      <c r="C1711" t="str">
        <f>_xll.BDP("70259PDA Muni","INSURANCE_STATUS")</f>
        <v>N</v>
      </c>
      <c r="D1711" t="str">
        <f>_xll.BDP("70259PDA Muni","STATE_CODE")</f>
        <v>TX</v>
      </c>
      <c r="E1711" t="str">
        <f>_xll.BDP("70259PDA Muni","COUNTY_LOCATION_ISSUER")</f>
        <v>El Paso, TX</v>
      </c>
      <c r="F1711">
        <f>_xll.BDP("70259PDA Muni","DUR_ADJ_MID")</f>
        <v>1.0078952099787513</v>
      </c>
      <c r="G1711">
        <f>_xll.BDP("70259PDA Muni","SPREAD_AT_ISSUANCE_TO_WORST")</f>
        <v>107.67582789200361</v>
      </c>
      <c r="H1711" t="str">
        <f>_xll.BDP("70259PDA Muni","ISSUE_DT")</f>
        <v>9/1/2017</v>
      </c>
      <c r="I1711" t="str">
        <f>_xll.BDS("70259PDA Muni","MUNI_PURPOSE_SCHED", "aggregate=y")</f>
        <v>RECREATIONAL FAC. IMPS. WATER UTILITY IMPS. SEWER IMPS.</v>
      </c>
      <c r="J1711">
        <f>_xll.BDP("70259PDA Muni","CPN")</f>
        <v>2.375</v>
      </c>
      <c r="K1711" t="str">
        <f>_xll.BDP("70259PDA Muni","MATURITY")</f>
        <v>8/15/2023</v>
      </c>
      <c r="L1711">
        <v>75000</v>
      </c>
      <c r="M1711">
        <f>_xll.BDP("70259PDA Muni","YIELD_ON_ISSUE_DATE")</f>
        <v>2.375</v>
      </c>
      <c r="N1711">
        <f>_xll.BDP("70259PDA Muni","YTW_SPREAD_TO_MATURITY_AT_ISSU")</f>
        <v>107.67582789200361</v>
      </c>
      <c r="O1711" t="str">
        <f>_xll.BDP("70259PDA Muni","BVAL_MID_YTM")</f>
        <v>#N/A Authorization</v>
      </c>
      <c r="P1711" t="str">
        <f>_xll.BDP("70259PDA Muni","MUNI_TAX_PROV")</f>
        <v>FED BQ</v>
      </c>
      <c r="Q1711" t="str">
        <f>_xll.BDP("70259PDA Muni","MUNI_FED_TAX")</f>
        <v>N</v>
      </c>
      <c r="R1711" t="str">
        <f>_xll.BDP("70259PDA Muni","MUNI_MSRB_VOLUME")</f>
        <v>#N/A N/A</v>
      </c>
      <c r="S1711" t="str">
        <f>_xll.BDP("70259PDA Muni","BB_COMPOSITE")</f>
        <v>#N/A N/A</v>
      </c>
      <c r="T1711">
        <f>_xll.BDP("70259PDA Muni","LQA_LIQUIDITY_SCORE")</f>
        <v>77</v>
      </c>
    </row>
    <row r="1712" spans="1:20" x14ac:dyDescent="0.25">
      <c r="A1712" t="str">
        <f>_xll.BDP("70259PDB Muni","ID_CUSIP")</f>
        <v>70259PDB8</v>
      </c>
      <c r="B1712" t="s">
        <v>466</v>
      </c>
      <c r="C1712" t="str">
        <f>_xll.BDP("70259PDB Muni","INSURANCE_STATUS")</f>
        <v>N</v>
      </c>
      <c r="D1712" t="str">
        <f>_xll.BDP("70259PDB Muni","STATE_CODE")</f>
        <v>TX</v>
      </c>
      <c r="E1712" t="str">
        <f>_xll.BDP("70259PDB Muni","COUNTY_LOCATION_ISSUER")</f>
        <v>El Paso, TX</v>
      </c>
      <c r="F1712">
        <f>_xll.BDP("70259PDB Muni","DUR_ADJ_MID")</f>
        <v>1.9492529906514922</v>
      </c>
      <c r="G1712">
        <f>_xll.BDP("70259PDB Muni","SPREAD_AT_ISSUANCE_TO_WORST")</f>
        <v>117.51652194273893</v>
      </c>
      <c r="H1712" t="str">
        <f>_xll.BDP("70259PDB Muni","ISSUE_DT")</f>
        <v>9/1/2017</v>
      </c>
      <c r="I1712" t="str">
        <f>_xll.BDS("70259PDB Muni","MUNI_PURPOSE_SCHED", "aggregate=y")</f>
        <v>RECREATIONAL FAC. IMPS. WATER UTILITY IMPS. SEWER IMPS.</v>
      </c>
      <c r="J1712">
        <f>_xll.BDP("70259PDB Muni","CPN")</f>
        <v>2.625</v>
      </c>
      <c r="K1712" t="str">
        <f>_xll.BDP("70259PDB Muni","MATURITY")</f>
        <v>8/15/2024</v>
      </c>
      <c r="L1712">
        <v>75000</v>
      </c>
      <c r="M1712">
        <f>_xll.BDP("70259PDB Muni","YIELD_ON_ISSUE_DATE")</f>
        <v>2.625</v>
      </c>
      <c r="N1712">
        <f>_xll.BDP("70259PDB Muni","YTW_SPREAD_TO_MATURITY_AT_ISSU")</f>
        <v>117.51652194273893</v>
      </c>
      <c r="O1712" t="str">
        <f>_xll.BDP("70259PDB Muni","BVAL_MID_YTM")</f>
        <v>#N/A Authorization</v>
      </c>
      <c r="P1712" t="str">
        <f>_xll.BDP("70259PDB Muni","MUNI_TAX_PROV")</f>
        <v>FED BQ</v>
      </c>
      <c r="Q1712" t="str">
        <f>_xll.BDP("70259PDB Muni","MUNI_FED_TAX")</f>
        <v>N</v>
      </c>
      <c r="R1712" t="str">
        <f>_xll.BDP("70259PDB Muni","MUNI_MSRB_VOLUME")</f>
        <v>#N/A N/A</v>
      </c>
      <c r="S1712" t="str">
        <f>_xll.BDP("70259PDB Muni","BB_COMPOSITE")</f>
        <v>#N/A N/A</v>
      </c>
      <c r="T1712">
        <f>_xll.BDP("70259PDB Muni","LQA_LIQUIDITY_SCORE")</f>
        <v>60</v>
      </c>
    </row>
    <row r="1713" spans="1:20" x14ac:dyDescent="0.25">
      <c r="A1713" t="str">
        <f>_xll.BDP("70259PDC Muni","ID_CUSIP")</f>
        <v>70259PDC6</v>
      </c>
      <c r="B1713" t="s">
        <v>466</v>
      </c>
      <c r="C1713" t="str">
        <f>_xll.BDP("70259PDC Muni","INSURANCE_STATUS")</f>
        <v>N</v>
      </c>
      <c r="D1713" t="str">
        <f>_xll.BDP("70259PDC Muni","STATE_CODE")</f>
        <v>TX</v>
      </c>
      <c r="E1713" t="str">
        <f>_xll.BDP("70259PDC Muni","COUNTY_LOCATION_ISSUER")</f>
        <v>El Paso, TX</v>
      </c>
      <c r="F1713">
        <f>_xll.BDP("70259PDC Muni","DUR_ADJ_MID")</f>
        <v>2.8618002873959973</v>
      </c>
      <c r="G1713">
        <f>_xll.BDP("70259PDC Muni","SPREAD_AT_ISSUANCE_TO_WORST")</f>
        <v>119.76660572999072</v>
      </c>
      <c r="H1713" t="str">
        <f>_xll.BDP("70259PDC Muni","ISSUE_DT")</f>
        <v>9/1/2017</v>
      </c>
      <c r="I1713" t="str">
        <f>_xll.BDS("70259PDC Muni","MUNI_PURPOSE_SCHED", "aggregate=y")</f>
        <v>RECREATIONAL FAC. IMPS. WATER UTILITY IMPS. SEWER IMPS.</v>
      </c>
      <c r="J1713">
        <f>_xll.BDP("70259PDC Muni","CPN")</f>
        <v>2.75</v>
      </c>
      <c r="K1713" t="str">
        <f>_xll.BDP("70259PDC Muni","MATURITY")</f>
        <v>8/15/2025</v>
      </c>
      <c r="L1713">
        <v>75000</v>
      </c>
      <c r="M1713">
        <f>_xll.BDP("70259PDC Muni","YIELD_ON_ISSUE_DATE")</f>
        <v>2.8000000000000003</v>
      </c>
      <c r="N1713">
        <f>_xll.BDP("70259PDC Muni","YTW_SPREAD_TO_MATURITY_AT_ISSU")</f>
        <v>119.76660572999072</v>
      </c>
      <c r="O1713" t="str">
        <f>_xll.BDP("70259PDC Muni","BVAL_MID_YTM")</f>
        <v>#N/A Authorization</v>
      </c>
      <c r="P1713" t="str">
        <f>_xll.BDP("70259PDC Muni","MUNI_TAX_PROV")</f>
        <v>FED BQ</v>
      </c>
      <c r="Q1713" t="str">
        <f>_xll.BDP("70259PDC Muni","MUNI_FED_TAX")</f>
        <v>N</v>
      </c>
      <c r="R1713" t="str">
        <f>_xll.BDP("70259PDC Muni","MUNI_MSRB_VOLUME")</f>
        <v>#N/A N/A</v>
      </c>
      <c r="S1713" t="str">
        <f>_xll.BDP("70259PDC Muni","BB_COMPOSITE")</f>
        <v>#N/A N/A</v>
      </c>
      <c r="T1713">
        <f>_xll.BDP("70259PDC Muni","LQA_LIQUIDITY_SCORE")</f>
        <v>45</v>
      </c>
    </row>
    <row r="1714" spans="1:20" x14ac:dyDescent="0.25">
      <c r="A1714" t="str">
        <f>_xll.BDP("70259PDD Muni","ID_CUSIP")</f>
        <v>70259PDD4</v>
      </c>
      <c r="B1714" t="s">
        <v>466</v>
      </c>
      <c r="C1714" t="str">
        <f>_xll.BDP("70259PDD Muni","INSURANCE_STATUS")</f>
        <v>N</v>
      </c>
      <c r="D1714" t="str">
        <f>_xll.BDP("70259PDD Muni","STATE_CODE")</f>
        <v>TX</v>
      </c>
      <c r="E1714" t="str">
        <f>_xll.BDP("70259PDD Muni","COUNTY_LOCATION_ISSUER")</f>
        <v>El Paso, TX</v>
      </c>
      <c r="F1714">
        <f>_xll.BDP("70259PDD Muni","DUR_ADJ_MID")</f>
        <v>3.7330224698955887</v>
      </c>
      <c r="G1714">
        <f>_xll.BDP("70259PDD Muni","SPREAD_AT_ISSUANCE_TO_WORST")</f>
        <v>116.08645611857366</v>
      </c>
      <c r="H1714" t="str">
        <f>_xll.BDP("70259PDD Muni","ISSUE_DT")</f>
        <v>9/1/2017</v>
      </c>
      <c r="I1714" t="str">
        <f>_xll.BDS("70259PDD Muni","MUNI_PURPOSE_SCHED", "aggregate=y")</f>
        <v>RECREATIONAL FAC. IMPS. WATER UTILITY IMPS. SEWER IMPS.</v>
      </c>
      <c r="J1714">
        <f>_xll.BDP("70259PDD Muni","CPN")</f>
        <v>3</v>
      </c>
      <c r="K1714" t="str">
        <f>_xll.BDP("70259PDD Muni","MATURITY")</f>
        <v>8/15/2026</v>
      </c>
      <c r="L1714">
        <v>75000</v>
      </c>
      <c r="M1714">
        <f>_xll.BDP("70259PDD Muni","YIELD_ON_ISSUE_DATE")</f>
        <v>2.9000000000000004</v>
      </c>
      <c r="N1714">
        <f>_xll.BDP("70259PDD Muni","YTW_SPREAD_TO_MATURITY_AT_ISSU")</f>
        <v>116.08645611857366</v>
      </c>
      <c r="O1714" t="str">
        <f>_xll.BDP("70259PDD Muni","BVAL_MID_YTM")</f>
        <v>#N/A Authorization</v>
      </c>
      <c r="P1714" t="str">
        <f>_xll.BDP("70259PDD Muni","MUNI_TAX_PROV")</f>
        <v>FED BQ</v>
      </c>
      <c r="Q1714" t="str">
        <f>_xll.BDP("70259PDD Muni","MUNI_FED_TAX")</f>
        <v>N</v>
      </c>
      <c r="R1714" t="str">
        <f>_xll.BDP("70259PDD Muni","MUNI_MSRB_VOLUME")</f>
        <v>#N/A N/A</v>
      </c>
      <c r="S1714" t="str">
        <f>_xll.BDP("70259PDD Muni","BB_COMPOSITE")</f>
        <v>#N/A N/A</v>
      </c>
      <c r="T1714">
        <f>_xll.BDP("70259PDD Muni","LQA_LIQUIDITY_SCORE")</f>
        <v>34</v>
      </c>
    </row>
    <row r="1715" spans="1:20" x14ac:dyDescent="0.25">
      <c r="A1715" t="str">
        <f>_xll.BDP("70259PDE Muni","ID_CUSIP")</f>
        <v>70259PDE2</v>
      </c>
      <c r="B1715" t="s">
        <v>466</v>
      </c>
      <c r="C1715" t="str">
        <f>_xll.BDP("70259PDE Muni","INSURANCE_STATUS")</f>
        <v>N</v>
      </c>
      <c r="D1715" t="str">
        <f>_xll.BDP("70259PDE Muni","STATE_CODE")</f>
        <v>TX</v>
      </c>
      <c r="E1715" t="str">
        <f>_xll.BDP("70259PDE Muni","COUNTY_LOCATION_ISSUER")</f>
        <v>El Paso, TX</v>
      </c>
      <c r="F1715">
        <f>_xll.BDP("70259PDE Muni","DUR_ADJ_MID")</f>
        <v>4.5888763772155476</v>
      </c>
      <c r="G1715">
        <f>_xll.BDP("70259PDE Muni","SPREAD_AT_ISSUANCE_TO_WORST")</f>
        <v>115.09545342330108</v>
      </c>
      <c r="H1715" t="str">
        <f>_xll.BDP("70259PDE Muni","ISSUE_DT")</f>
        <v>9/1/2017</v>
      </c>
      <c r="I1715" t="str">
        <f>_xll.BDS("70259PDE Muni","MUNI_PURPOSE_SCHED", "aggregate=y")</f>
        <v>RECREATIONAL FAC. IMPS. WATER UTILITY IMPS. SEWER IMPS.</v>
      </c>
      <c r="J1715">
        <f>_xll.BDP("70259PDE Muni","CPN")</f>
        <v>3</v>
      </c>
      <c r="K1715" t="str">
        <f>_xll.BDP("70259PDE Muni","MATURITY")</f>
        <v>8/15/2027</v>
      </c>
      <c r="L1715">
        <v>75000</v>
      </c>
      <c r="M1715">
        <f>_xll.BDP("70259PDE Muni","YIELD_ON_ISSUE_DATE")</f>
        <v>3</v>
      </c>
      <c r="N1715">
        <f>_xll.BDP("70259PDE Muni","YTW_SPREAD_TO_MATURITY_AT_ISSU")</f>
        <v>115.09545342330108</v>
      </c>
      <c r="O1715" t="str">
        <f>_xll.BDP("70259PDE Muni","BVAL_MID_YTM")</f>
        <v>#N/A Authorization</v>
      </c>
      <c r="P1715" t="str">
        <f>_xll.BDP("70259PDE Muni","MUNI_TAX_PROV")</f>
        <v>FED BQ</v>
      </c>
      <c r="Q1715" t="str">
        <f>_xll.BDP("70259PDE Muni","MUNI_FED_TAX")</f>
        <v>N</v>
      </c>
      <c r="R1715" t="str">
        <f>_xll.BDP("70259PDE Muni","MUNI_MSRB_VOLUME")</f>
        <v>#N/A N/A</v>
      </c>
      <c r="S1715" t="str">
        <f>_xll.BDP("70259PDE Muni","BB_COMPOSITE")</f>
        <v>#N/A N/A</v>
      </c>
      <c r="T1715">
        <f>_xll.BDP("70259PDE Muni","LQA_LIQUIDITY_SCORE")</f>
        <v>27</v>
      </c>
    </row>
    <row r="1716" spans="1:20" x14ac:dyDescent="0.25">
      <c r="A1716" t="str">
        <f>_xll.BDP("70438YAE Muni","ID_CUSIP")</f>
        <v>70438YAE0</v>
      </c>
      <c r="B1716" t="s">
        <v>467</v>
      </c>
      <c r="C1716" t="str">
        <f>_xll.BDP("70438YAE Muni","INSURANCE_STATUS")</f>
        <v>Y</v>
      </c>
      <c r="D1716" t="str">
        <f>_xll.BDP("70438YAE Muni","STATE_CODE")</f>
        <v>ID</v>
      </c>
      <c r="E1716" t="str">
        <f>_xll.BDP("70438YAE Muni","COUNTY_LOCATION_ISSUER")</f>
        <v>Valley, ID</v>
      </c>
      <c r="F1716">
        <f>_xll.BDP("70438YAE Muni","DUR_ADJ_MID")</f>
        <v>5.555213930120954E-3</v>
      </c>
      <c r="G1716">
        <f>_xll.BDP("70438YAE Muni","SPREAD_AT_ISSUANCE_TO_WORST")</f>
        <v>39.581129904299964</v>
      </c>
      <c r="H1716" t="str">
        <f>_xll.BDP("70438YAE Muni","ISSUE_DT")</f>
        <v>8/31/2017</v>
      </c>
      <c r="I1716" t="str">
        <f>_xll.BDS("70438YAE Muni","MUNI_PURPOSE_SCHED", "aggregate=y")</f>
        <v>WATER UTILITY IMPS. SEWER IMPS.</v>
      </c>
      <c r="J1716">
        <f>_xll.BDP("70438YAE Muni","CPN")</f>
        <v>4</v>
      </c>
      <c r="K1716" t="str">
        <f>_xll.BDP("70438YAE Muni","MATURITY")</f>
        <v>8/1/2022</v>
      </c>
      <c r="L1716">
        <v>530000</v>
      </c>
      <c r="M1716">
        <f>_xll.BDP("70438YAE Muni","YIELD_ON_ISSUE_DATE")</f>
        <v>1.52</v>
      </c>
      <c r="N1716">
        <f>_xll.BDP("70438YAE Muni","YTW_SPREAD_TO_MATURITY_AT_ISSU")</f>
        <v>39.581129904299964</v>
      </c>
      <c r="O1716" t="str">
        <f>_xll.BDP("70438YAE Muni","BVAL_MID_YTM")</f>
        <v>#N/A Authorization</v>
      </c>
      <c r="P1716" t="str">
        <f>_xll.BDP("70438YAE Muni","MUNI_TAX_PROV")</f>
        <v>FED &amp; ST TAX-EXEMPT</v>
      </c>
      <c r="Q1716" t="str">
        <f>_xll.BDP("70438YAE Muni","MUNI_FED_TAX")</f>
        <v>N</v>
      </c>
      <c r="R1716" t="str">
        <f>_xll.BDP("70438YAE Muni","MUNI_MSRB_VOLUME")</f>
        <v>#N/A N/A</v>
      </c>
      <c r="S1716" t="str">
        <f>_xll.BDP("70438YAE Muni","BB_COMPOSITE")</f>
        <v>#N/A N/A</v>
      </c>
      <c r="T1716">
        <f>_xll.BDP("70438YAE Muni","LQA_LIQUIDITY_SCORE")</f>
        <v>94</v>
      </c>
    </row>
    <row r="1717" spans="1:20" x14ac:dyDescent="0.25">
      <c r="A1717" t="str">
        <f>_xll.BDP("70438YAF Muni","ID_CUSIP")</f>
        <v>70438YAF7</v>
      </c>
      <c r="B1717" t="s">
        <v>467</v>
      </c>
      <c r="C1717" t="str">
        <f>_xll.BDP("70438YAF Muni","INSURANCE_STATUS")</f>
        <v>Y</v>
      </c>
      <c r="D1717" t="str">
        <f>_xll.BDP("70438YAF Muni","STATE_CODE")</f>
        <v>ID</v>
      </c>
      <c r="E1717" t="str">
        <f>_xll.BDP("70438YAF Muni","COUNTY_LOCATION_ISSUER")</f>
        <v>Valley, ID</v>
      </c>
      <c r="F1717">
        <f>_xll.BDP("70438YAF Muni","DUR_ADJ_MID")</f>
        <v>0.97921887431423016</v>
      </c>
      <c r="G1717">
        <f>_xll.BDP("70438YAF Muni","SPREAD_AT_ISSUANCE_TO_WORST")</f>
        <v>40.623314137624789</v>
      </c>
      <c r="H1717" t="str">
        <f>_xll.BDP("70438YAF Muni","ISSUE_DT")</f>
        <v>8/31/2017</v>
      </c>
      <c r="I1717" t="str">
        <f>_xll.BDS("70438YAF Muni","MUNI_PURPOSE_SCHED", "aggregate=y")</f>
        <v>WATER UTILITY IMPS. SEWER IMPS.</v>
      </c>
      <c r="J1717">
        <f>_xll.BDP("70438YAF Muni","CPN")</f>
        <v>4</v>
      </c>
      <c r="K1717" t="str">
        <f>_xll.BDP("70438YAF Muni","MATURITY")</f>
        <v>8/1/2023</v>
      </c>
      <c r="L1717">
        <v>550000</v>
      </c>
      <c r="M1717">
        <f>_xll.BDP("70438YAF Muni","YIELD_ON_ISSUE_DATE")</f>
        <v>1.68</v>
      </c>
      <c r="N1717">
        <f>_xll.BDP("70438YAF Muni","YTW_SPREAD_TO_MATURITY_AT_ISSU")</f>
        <v>40.623314137624789</v>
      </c>
      <c r="O1717" t="str">
        <f>_xll.BDP("70438YAF Muni","BVAL_MID_YTM")</f>
        <v>#N/A Authorization</v>
      </c>
      <c r="P1717" t="str">
        <f>_xll.BDP("70438YAF Muni","MUNI_TAX_PROV")</f>
        <v>FED &amp; ST TAX-EXEMPT</v>
      </c>
      <c r="Q1717" t="str">
        <f>_xll.BDP("70438YAF Muni","MUNI_FED_TAX")</f>
        <v>N</v>
      </c>
      <c r="R1717" t="str">
        <f>_xll.BDP("70438YAF Muni","MUNI_MSRB_VOLUME")</f>
        <v>#N/A N/A</v>
      </c>
      <c r="S1717" t="str">
        <f>_xll.BDP("70438YAF Muni","BB_COMPOSITE")</f>
        <v>#N/A N/A</v>
      </c>
      <c r="T1717">
        <f>_xll.BDP("70438YAF Muni","LQA_LIQUIDITY_SCORE")</f>
        <v>92</v>
      </c>
    </row>
    <row r="1718" spans="1:20" x14ac:dyDescent="0.25">
      <c r="A1718" t="str">
        <f>_xll.BDP("70438YAG Muni","ID_CUSIP")</f>
        <v>70438YAG5</v>
      </c>
      <c r="B1718" t="s">
        <v>467</v>
      </c>
      <c r="C1718" t="str">
        <f>_xll.BDP("70438YAG Muni","INSURANCE_STATUS")</f>
        <v>Y</v>
      </c>
      <c r="D1718" t="str">
        <f>_xll.BDP("70438YAG Muni","STATE_CODE")</f>
        <v>ID</v>
      </c>
      <c r="E1718" t="str">
        <f>_xll.BDP("70438YAG Muni","COUNTY_LOCATION_ISSUER")</f>
        <v>Valley, ID</v>
      </c>
      <c r="F1718">
        <f>_xll.BDP("70438YAG Muni","DUR_ADJ_MID")</f>
        <v>1.9088846582172201</v>
      </c>
      <c r="G1718">
        <f>_xll.BDP("70438YAG Muni","SPREAD_AT_ISSUANCE_TO_WORST")</f>
        <v>42.285924547543338</v>
      </c>
      <c r="H1718" t="str">
        <f>_xll.BDP("70438YAG Muni","ISSUE_DT")</f>
        <v>8/31/2017</v>
      </c>
      <c r="I1718" t="str">
        <f>_xll.BDS("70438YAG Muni","MUNI_PURPOSE_SCHED", "aggregate=y")</f>
        <v>WATER UTILITY IMPS. SEWER IMPS.</v>
      </c>
      <c r="J1718">
        <f>_xll.BDP("70438YAG Muni","CPN")</f>
        <v>5</v>
      </c>
      <c r="K1718" t="str">
        <f>_xll.BDP("70438YAG Muni","MATURITY")</f>
        <v>8/1/2024</v>
      </c>
      <c r="L1718">
        <v>570000</v>
      </c>
      <c r="M1718">
        <f>_xll.BDP("70438YAG Muni","YIELD_ON_ISSUE_DATE")</f>
        <v>1.85</v>
      </c>
      <c r="N1718">
        <f>_xll.BDP("70438YAG Muni","YTW_SPREAD_TO_MATURITY_AT_ISSU")</f>
        <v>42.285924547543338</v>
      </c>
      <c r="O1718" t="str">
        <f>_xll.BDP("70438YAG Muni","BVAL_MID_YTM")</f>
        <v>#N/A Authorization</v>
      </c>
      <c r="P1718" t="str">
        <f>_xll.BDP("70438YAG Muni","MUNI_TAX_PROV")</f>
        <v>FED &amp; ST TAX-EXEMPT</v>
      </c>
      <c r="Q1718" t="str">
        <f>_xll.BDP("70438YAG Muni","MUNI_FED_TAX")</f>
        <v>N</v>
      </c>
      <c r="R1718">
        <f>_xll.BDP("70438YAG Muni","MUNI_MSRB_VOLUME")</f>
        <v>20000</v>
      </c>
      <c r="S1718" t="str">
        <f>_xll.BDP("70438YAG Muni","BB_COMPOSITE")</f>
        <v>#N/A N/A</v>
      </c>
      <c r="T1718">
        <f>_xll.BDP("70438YAG Muni","LQA_LIQUIDITY_SCORE")</f>
        <v>84</v>
      </c>
    </row>
    <row r="1719" spans="1:20" x14ac:dyDescent="0.25">
      <c r="A1719" t="str">
        <f>_xll.BDP("70438YAH Muni","ID_CUSIP")</f>
        <v>70438YAH3</v>
      </c>
      <c r="B1719" t="s">
        <v>467</v>
      </c>
      <c r="C1719" t="str">
        <f>_xll.BDP("70438YAH Muni","INSURANCE_STATUS")</f>
        <v>Y</v>
      </c>
      <c r="D1719" t="str">
        <f>_xll.BDP("70438YAH Muni","STATE_CODE")</f>
        <v>ID</v>
      </c>
      <c r="E1719" t="str">
        <f>_xll.BDP("70438YAH Muni","COUNTY_LOCATION_ISSUER")</f>
        <v>Valley, ID</v>
      </c>
      <c r="F1719">
        <f>_xll.BDP("70438YAH Muni","DUR_ADJ_MID")</f>
        <v>2.7989933788429715</v>
      </c>
      <c r="G1719">
        <f>_xll.BDP("70438YAH Muni","SPREAD_AT_ISSUANCE_TO_WORST")</f>
        <v>43.865859727209866</v>
      </c>
      <c r="H1719" t="str">
        <f>_xll.BDP("70438YAH Muni","ISSUE_DT")</f>
        <v>8/31/2017</v>
      </c>
      <c r="I1719" t="str">
        <f>_xll.BDS("70438YAH Muni","MUNI_PURPOSE_SCHED", "aggregate=y")</f>
        <v>WATER UTILITY IMPS. SEWER IMPS.</v>
      </c>
      <c r="J1719">
        <f>_xll.BDP("70438YAH Muni","CPN")</f>
        <v>5</v>
      </c>
      <c r="K1719" t="str">
        <f>_xll.BDP("70438YAH Muni","MATURITY")</f>
        <v>8/1/2025</v>
      </c>
      <c r="L1719">
        <v>600000</v>
      </c>
      <c r="M1719">
        <f>_xll.BDP("70438YAH Muni","YIELD_ON_ISSUE_DATE")</f>
        <v>2.02</v>
      </c>
      <c r="N1719">
        <f>_xll.BDP("70438YAH Muni","YTW_SPREAD_TO_MATURITY_AT_ISSU")</f>
        <v>43.865859727209866</v>
      </c>
      <c r="O1719" t="str">
        <f>_xll.BDP("70438YAH Muni","BVAL_MID_YTM")</f>
        <v>#N/A Authorization</v>
      </c>
      <c r="P1719" t="str">
        <f>_xll.BDP("70438YAH Muni","MUNI_TAX_PROV")</f>
        <v>FED &amp; ST TAX-EXEMPT</v>
      </c>
      <c r="Q1719" t="str">
        <f>_xll.BDP("70438YAH Muni","MUNI_FED_TAX")</f>
        <v>N</v>
      </c>
      <c r="R1719">
        <f>_xll.BDP("70438YAH Muni","MUNI_MSRB_VOLUME")</f>
        <v>30000</v>
      </c>
      <c r="S1719" t="str">
        <f>_xll.BDP("70438YAH Muni","BB_COMPOSITE")</f>
        <v>#N/A N/A</v>
      </c>
      <c r="T1719">
        <f>_xll.BDP("70438YAH Muni","LQA_LIQUIDITY_SCORE")</f>
        <v>75</v>
      </c>
    </row>
    <row r="1720" spans="1:20" x14ac:dyDescent="0.25">
      <c r="A1720" t="str">
        <f>_xll.BDP("70438YAJ Muni","ID_CUSIP")</f>
        <v>70438YAJ9</v>
      </c>
      <c r="B1720" t="s">
        <v>467</v>
      </c>
      <c r="C1720" t="str">
        <f>_xll.BDP("70438YAJ Muni","INSURANCE_STATUS")</f>
        <v>Y</v>
      </c>
      <c r="D1720" t="str">
        <f>_xll.BDP("70438YAJ Muni","STATE_CODE")</f>
        <v>ID</v>
      </c>
      <c r="E1720" t="str">
        <f>_xll.BDP("70438YAJ Muni","COUNTY_LOCATION_ISSUER")</f>
        <v>Valley, ID</v>
      </c>
      <c r="F1720">
        <f>_xll.BDP("70438YAJ Muni","DUR_ADJ_MID")</f>
        <v>3.6516289210172754</v>
      </c>
      <c r="G1720">
        <f>_xll.BDP("70438YAJ Muni","SPREAD_AT_ISSUANCE_TO_WORST")</f>
        <v>43.884893857337289</v>
      </c>
      <c r="H1720" t="str">
        <f>_xll.BDP("70438YAJ Muni","ISSUE_DT")</f>
        <v>8/31/2017</v>
      </c>
      <c r="I1720" t="str">
        <f>_xll.BDS("70438YAJ Muni","MUNI_PURPOSE_SCHED", "aggregate=y")</f>
        <v>WATER UTILITY IMPS. SEWER IMPS.</v>
      </c>
      <c r="J1720">
        <f>_xll.BDP("70438YAJ Muni","CPN")</f>
        <v>5</v>
      </c>
      <c r="K1720" t="str">
        <f>_xll.BDP("70438YAJ Muni","MATURITY")</f>
        <v>8/1/2026</v>
      </c>
      <c r="L1720">
        <v>630000</v>
      </c>
      <c r="M1720">
        <f>_xll.BDP("70438YAJ Muni","YIELD_ON_ISSUE_DATE")</f>
        <v>2.16</v>
      </c>
      <c r="N1720">
        <f>_xll.BDP("70438YAJ Muni","YTW_SPREAD_TO_MATURITY_AT_ISSU")</f>
        <v>43.884893857337289</v>
      </c>
      <c r="O1720" t="str">
        <f>_xll.BDP("70438YAJ Muni","BVAL_MID_YTM")</f>
        <v>#N/A Authorization</v>
      </c>
      <c r="P1720" t="str">
        <f>_xll.BDP("70438YAJ Muni","MUNI_TAX_PROV")</f>
        <v>FED &amp; ST TAX-EXEMPT</v>
      </c>
      <c r="Q1720" t="str">
        <f>_xll.BDP("70438YAJ Muni","MUNI_FED_TAX")</f>
        <v>N</v>
      </c>
      <c r="R1720" t="str">
        <f>_xll.BDP("70438YAJ Muni","MUNI_MSRB_VOLUME")</f>
        <v>#N/A N/A</v>
      </c>
      <c r="S1720" t="str">
        <f>_xll.BDP("70438YAJ Muni","BB_COMPOSITE")</f>
        <v>#N/A N/A</v>
      </c>
      <c r="T1720">
        <f>_xll.BDP("70438YAJ Muni","LQA_LIQUIDITY_SCORE")</f>
        <v>69</v>
      </c>
    </row>
    <row r="1721" spans="1:20" x14ac:dyDescent="0.25">
      <c r="A1721" t="str">
        <f>_xll.BDP("705116SG Muni","ID_CUSIP")</f>
        <v>705116SG7</v>
      </c>
      <c r="B1721" t="s">
        <v>468</v>
      </c>
      <c r="C1721" t="str">
        <f>_xll.BDP("705116SG Muni","INSURANCE_STATUS")</f>
        <v>Y</v>
      </c>
      <c r="D1721" t="str">
        <f>_xll.BDP("705116SG Muni","STATE_CODE")</f>
        <v>TX</v>
      </c>
      <c r="E1721" t="str">
        <f>_xll.BDP("705116SG Muni","COUNTY_LOCATION_ISSUER")</f>
        <v>Fort Bend, TX</v>
      </c>
      <c r="F1721">
        <f>_xll.BDP("705116SG Muni","DUR_ADJ_MID")</f>
        <v>8.0476364534038364E-2</v>
      </c>
      <c r="G1721">
        <f>_xll.BDP("705116SG Muni","SPREAD_AT_ISSUANCE_TO_WORST")</f>
        <v>45.837786128501953</v>
      </c>
      <c r="H1721" t="str">
        <f>_xll.BDP("705116SG Muni","ISSUE_DT")</f>
        <v>8/1/2017</v>
      </c>
      <c r="I1721" t="str">
        <f>_xll.BDS("705116SG Muni","MUNI_PURPOSE_SCHED", "aggregate=y")</f>
        <v>WATER UTILITY IMPS. SEWER IMPS.</v>
      </c>
      <c r="J1721">
        <f>_xll.BDP("705116SG Muni","CPN")</f>
        <v>4</v>
      </c>
      <c r="K1721" t="str">
        <f>_xll.BDP("705116SG Muni","MATURITY")</f>
        <v>9/1/2022</v>
      </c>
      <c r="L1721">
        <v>80000</v>
      </c>
      <c r="M1721">
        <f>_xll.BDP("705116SG Muni","YIELD_ON_ISSUE_DATE")</f>
        <v>1.6</v>
      </c>
      <c r="N1721">
        <f>_xll.BDP("705116SG Muni","YTW_SPREAD_TO_MATURITY_AT_ISSU")</f>
        <v>45.837786128501953</v>
      </c>
      <c r="O1721" t="str">
        <f>_xll.BDP("705116SG Muni","BVAL_MID_YTM")</f>
        <v>#N/A Authorization</v>
      </c>
      <c r="P1721" t="str">
        <f>_xll.BDP("705116SG Muni","MUNI_TAX_PROV")</f>
        <v>FED BQ</v>
      </c>
      <c r="Q1721" t="str">
        <f>_xll.BDP("705116SG Muni","MUNI_FED_TAX")</f>
        <v>N</v>
      </c>
      <c r="R1721" t="str">
        <f>_xll.BDP("705116SG Muni","MUNI_MSRB_VOLUME")</f>
        <v>#N/A N/A</v>
      </c>
      <c r="S1721" t="str">
        <f>_xll.BDP("705116SG Muni","BB_COMPOSITE")</f>
        <v>#N/A N/A</v>
      </c>
      <c r="T1721">
        <f>_xll.BDP("705116SG Muni","LQA_LIQUIDITY_SCORE")</f>
        <v>97</v>
      </c>
    </row>
    <row r="1722" spans="1:20" x14ac:dyDescent="0.25">
      <c r="A1722" t="str">
        <f>_xll.BDP("705116SH Muni","ID_CUSIP")</f>
        <v>705116SH5</v>
      </c>
      <c r="B1722" t="s">
        <v>468</v>
      </c>
      <c r="C1722" t="str">
        <f>_xll.BDP("705116SH Muni","INSURANCE_STATUS")</f>
        <v>Y</v>
      </c>
      <c r="D1722" t="str">
        <f>_xll.BDP("705116SH Muni","STATE_CODE")</f>
        <v>TX</v>
      </c>
      <c r="E1722" t="str">
        <f>_xll.BDP("705116SH Muni","COUNTY_LOCATION_ISSUER")</f>
        <v>Fort Bend, TX</v>
      </c>
      <c r="F1722">
        <f>_xll.BDP("705116SH Muni","DUR_ADJ_MID")</f>
        <v>1.0423558926507521</v>
      </c>
      <c r="G1722">
        <f>_xll.BDP("705116SH Muni","SPREAD_AT_ISSUANCE_TO_WORST")</f>
        <v>46.070537342715021</v>
      </c>
      <c r="H1722" t="str">
        <f>_xll.BDP("705116SH Muni","ISSUE_DT")</f>
        <v>8/1/2017</v>
      </c>
      <c r="I1722" t="str">
        <f>_xll.BDS("705116SH Muni","MUNI_PURPOSE_SCHED", "aggregate=y")</f>
        <v>WATER UTILITY IMPS. SEWER IMPS.</v>
      </c>
      <c r="J1722">
        <f>_xll.BDP("705116SH Muni","CPN")</f>
        <v>4</v>
      </c>
      <c r="K1722" t="str">
        <f>_xll.BDP("705116SH Muni","MATURITY")</f>
        <v>9/1/2023</v>
      </c>
      <c r="L1722">
        <v>80000</v>
      </c>
      <c r="M1722">
        <f>_xll.BDP("705116SH Muni","YIELD_ON_ISSUE_DATE")</f>
        <v>1.75</v>
      </c>
      <c r="N1722">
        <f>_xll.BDP("705116SH Muni","YTW_SPREAD_TO_MATURITY_AT_ISSU")</f>
        <v>46.070537342715021</v>
      </c>
      <c r="O1722" t="str">
        <f>_xll.BDP("705116SH Muni","BVAL_MID_YTM")</f>
        <v>#N/A Authorization</v>
      </c>
      <c r="P1722" t="str">
        <f>_xll.BDP("705116SH Muni","MUNI_TAX_PROV")</f>
        <v>FED BQ</v>
      </c>
      <c r="Q1722" t="str">
        <f>_xll.BDP("705116SH Muni","MUNI_FED_TAX")</f>
        <v>N</v>
      </c>
      <c r="R1722" t="str">
        <f>_xll.BDP("705116SH Muni","MUNI_MSRB_VOLUME")</f>
        <v>#N/A N/A</v>
      </c>
      <c r="S1722" t="str">
        <f>_xll.BDP("705116SH Muni","BB_COMPOSITE")</f>
        <v>#N/A N/A</v>
      </c>
      <c r="T1722">
        <f>_xll.BDP("705116SH Muni","LQA_LIQUIDITY_SCORE")</f>
        <v>90</v>
      </c>
    </row>
    <row r="1723" spans="1:20" x14ac:dyDescent="0.25">
      <c r="A1723" t="str">
        <f>_xll.BDP("705116SJ Muni","ID_CUSIP")</f>
        <v>705116SJ1</v>
      </c>
      <c r="B1723" t="s">
        <v>468</v>
      </c>
      <c r="C1723" t="str">
        <f>_xll.BDP("705116SJ Muni","INSURANCE_STATUS")</f>
        <v>Y</v>
      </c>
      <c r="D1723" t="str">
        <f>_xll.BDP("705116SJ Muni","STATE_CODE")</f>
        <v>TX</v>
      </c>
      <c r="E1723" t="str">
        <f>_xll.BDP("705116SJ Muni","COUNTY_LOCATION_ISSUER")</f>
        <v>Fort Bend, TX</v>
      </c>
      <c r="F1723">
        <f>_xll.BDP("705116SJ Muni","DUR_ADJ_MID")</f>
        <v>1.9667578415634077</v>
      </c>
      <c r="G1723">
        <f>_xll.BDP("705116SJ Muni","SPREAD_AT_ISSUANCE_TO_WORST")</f>
        <v>50.986045986450733</v>
      </c>
      <c r="H1723" t="str">
        <f>_xll.BDP("705116SJ Muni","ISSUE_DT")</f>
        <v>8/1/2017</v>
      </c>
      <c r="I1723" t="str">
        <f>_xll.BDS("705116SJ Muni","MUNI_PURPOSE_SCHED", "aggregate=y")</f>
        <v>WATER UTILITY IMPS. SEWER IMPS.</v>
      </c>
      <c r="J1723">
        <f>_xll.BDP("705116SJ Muni","CPN")</f>
        <v>4</v>
      </c>
      <c r="K1723" t="str">
        <f>_xll.BDP("705116SJ Muni","MATURITY")</f>
        <v>9/1/2024</v>
      </c>
      <c r="L1723">
        <v>80000</v>
      </c>
      <c r="M1723">
        <f>_xll.BDP("705116SJ Muni","YIELD_ON_ISSUE_DATE")</f>
        <v>1.95</v>
      </c>
      <c r="N1723">
        <f>_xll.BDP("705116SJ Muni","YTW_SPREAD_TO_MATURITY_AT_ISSU")</f>
        <v>50.986045986450733</v>
      </c>
      <c r="O1723" t="str">
        <f>_xll.BDP("705116SJ Muni","BVAL_MID_YTM")</f>
        <v>#N/A Authorization</v>
      </c>
      <c r="P1723" t="str">
        <f>_xll.BDP("705116SJ Muni","MUNI_TAX_PROV")</f>
        <v>FED BQ</v>
      </c>
      <c r="Q1723" t="str">
        <f>_xll.BDP("705116SJ Muni","MUNI_FED_TAX")</f>
        <v>N</v>
      </c>
      <c r="R1723" t="str">
        <f>_xll.BDP("705116SJ Muni","MUNI_MSRB_VOLUME")</f>
        <v>#N/A N/A</v>
      </c>
      <c r="S1723" t="str">
        <f>_xll.BDP("705116SJ Muni","BB_COMPOSITE")</f>
        <v>#N/A N/A</v>
      </c>
      <c r="T1723">
        <f>_xll.BDP("705116SJ Muni","LQA_LIQUIDITY_SCORE")</f>
        <v>77</v>
      </c>
    </row>
    <row r="1724" spans="1:20" x14ac:dyDescent="0.25">
      <c r="A1724" t="str">
        <f>_xll.BDP("70529MCQ Muni","ID_CUSIP")</f>
        <v>70529MCQ7</v>
      </c>
      <c r="B1724" t="s">
        <v>469</v>
      </c>
      <c r="C1724" t="str">
        <f>_xll.BDP("70529MCQ Muni","INSURANCE_STATUS")</f>
        <v>Y</v>
      </c>
      <c r="D1724" t="str">
        <f>_xll.BDP("70529MCQ Muni","STATE_CODE")</f>
        <v>MO</v>
      </c>
      <c r="E1724" t="str">
        <f>_xll.BDP("70529MCQ Muni","COUNTY_LOCATION_ISSUER")</f>
        <v>Cass, MO</v>
      </c>
      <c r="F1724">
        <f>_xll.BDP("70529MCQ Muni","DUR_ADJ_MID")</f>
        <v>0.81953540544841996</v>
      </c>
      <c r="G1724">
        <f>_xll.BDP("70529MCQ Muni","SPREAD_AT_ISSUANCE_TO_WORST")</f>
        <v>33.891965360546216</v>
      </c>
      <c r="H1724" t="str">
        <f>_xll.BDP("70529MCQ Muni","ISSUE_DT")</f>
        <v>5/30/2017</v>
      </c>
      <c r="I1724" t="str">
        <f>_xll.BDS("70529MCQ Muni","MUNI_PURPOSE_SCHED", "aggregate=y")</f>
        <v>WATER UTILITY IMPS. SEWER IMPS.</v>
      </c>
      <c r="J1724">
        <f>_xll.BDP("70529MCQ Muni","CPN")</f>
        <v>2</v>
      </c>
      <c r="K1724" t="str">
        <f>_xll.BDP("70529MCQ Muni","MATURITY")</f>
        <v>6/1/2023</v>
      </c>
      <c r="L1724">
        <v>205000</v>
      </c>
      <c r="M1724">
        <f>_xll.BDP("70529MCQ Muni","YIELD_ON_ISSUE_DATE")</f>
        <v>1.87</v>
      </c>
      <c r="N1724">
        <f>_xll.BDP("70529MCQ Muni","YTW_SPREAD_TO_MATURITY_AT_ISSU")</f>
        <v>33.891965360546216</v>
      </c>
      <c r="O1724" t="str">
        <f>_xll.BDP("70529MCQ Muni","BVAL_MID_YTM")</f>
        <v>#N/A Authorization</v>
      </c>
      <c r="P1724" t="str">
        <f>_xll.BDP("70529MCQ Muni","MUNI_TAX_PROV")</f>
        <v>FED BQ/ST TAX-EXEMPT</v>
      </c>
      <c r="Q1724" t="str">
        <f>_xll.BDP("70529MCQ Muni","MUNI_FED_TAX")</f>
        <v>N</v>
      </c>
      <c r="R1724">
        <f>_xll.BDP("70529MCQ Muni","MUNI_MSRB_VOLUME")</f>
        <v>135000</v>
      </c>
      <c r="S1724" t="str">
        <f>_xll.BDP("70529MCQ Muni","BB_COMPOSITE")</f>
        <v>#N/A N/A</v>
      </c>
      <c r="T1724">
        <f>_xll.BDP("70529MCQ Muni","LQA_LIQUIDITY_SCORE")</f>
        <v>85</v>
      </c>
    </row>
    <row r="1725" spans="1:20" x14ac:dyDescent="0.25">
      <c r="A1725" t="str">
        <f>_xll.BDP("70529MCR Muni","ID_CUSIP")</f>
        <v>70529MCR5</v>
      </c>
      <c r="B1725" t="s">
        <v>469</v>
      </c>
      <c r="C1725" t="str">
        <f>_xll.BDP("70529MCR Muni","INSURANCE_STATUS")</f>
        <v>Y</v>
      </c>
      <c r="D1725" t="str">
        <f>_xll.BDP("70529MCR Muni","STATE_CODE")</f>
        <v>MO</v>
      </c>
      <c r="E1725" t="str">
        <f>_xll.BDP("70529MCR Muni","COUNTY_LOCATION_ISSUER")</f>
        <v>Cass, MO</v>
      </c>
      <c r="F1725">
        <f>_xll.BDP("70529MCR Muni","DUR_ADJ_MID")</f>
        <v>1.7708682617204228</v>
      </c>
      <c r="G1725">
        <f>_xll.BDP("70529MCR Muni","SPREAD_AT_ISSUANCE_TO_WORST")</f>
        <v>27.457734931299306</v>
      </c>
      <c r="H1725" t="str">
        <f>_xll.BDP("70529MCR Muni","ISSUE_DT")</f>
        <v>5/30/2017</v>
      </c>
      <c r="I1725" t="str">
        <f>_xll.BDS("70529MCR Muni","MUNI_PURPOSE_SCHED", "aggregate=y")</f>
        <v>WATER UTILITY IMPS. SEWER IMPS.</v>
      </c>
      <c r="J1725">
        <f>_xll.BDP("70529MCR Muni","CPN")</f>
        <v>3</v>
      </c>
      <c r="K1725" t="str">
        <f>_xll.BDP("70529MCR Muni","MATURITY")</f>
        <v>6/1/2024</v>
      </c>
      <c r="L1725">
        <v>205000</v>
      </c>
      <c r="M1725">
        <f>_xll.BDP("70529MCR Muni","YIELD_ON_ISSUE_DATE")</f>
        <v>1.97</v>
      </c>
      <c r="N1725">
        <f>_xll.BDP("70529MCR Muni","YTW_SPREAD_TO_MATURITY_AT_ISSU")</f>
        <v>27.457734931299306</v>
      </c>
      <c r="O1725" t="str">
        <f>_xll.BDP("70529MCR Muni","BVAL_MID_YTM")</f>
        <v>#N/A Authorization</v>
      </c>
      <c r="P1725" t="str">
        <f>_xll.BDP("70529MCR Muni","MUNI_TAX_PROV")</f>
        <v>FED BQ/ST TAX-EXEMPT</v>
      </c>
      <c r="Q1725" t="str">
        <f>_xll.BDP("70529MCR Muni","MUNI_FED_TAX")</f>
        <v>N</v>
      </c>
      <c r="R1725" t="str">
        <f>_xll.BDP("70529MCR Muni","MUNI_MSRB_VOLUME")</f>
        <v>#N/A N/A</v>
      </c>
      <c r="S1725" t="str">
        <f>_xll.BDP("70529MCR Muni","BB_COMPOSITE")</f>
        <v>#N/A N/A</v>
      </c>
      <c r="T1725">
        <f>_xll.BDP("70529MCR Muni","LQA_LIQUIDITY_SCORE")</f>
        <v>83</v>
      </c>
    </row>
    <row r="1726" spans="1:20" x14ac:dyDescent="0.25">
      <c r="A1726" t="str">
        <f>_xll.BDP("70529MCS Muni","ID_CUSIP")</f>
        <v>70529MCS3</v>
      </c>
      <c r="B1726" t="s">
        <v>469</v>
      </c>
      <c r="C1726" t="str">
        <f>_xll.BDP("70529MCS Muni","INSURANCE_STATUS")</f>
        <v>Y</v>
      </c>
      <c r="D1726" t="str">
        <f>_xll.BDP("70529MCS Muni","STATE_CODE")</f>
        <v>MO</v>
      </c>
      <c r="E1726" t="str">
        <f>_xll.BDP("70529MCS Muni","COUNTY_LOCATION_ISSUER")</f>
        <v>Cass, MO</v>
      </c>
      <c r="F1726">
        <f>_xll.BDP("70529MCS Muni","DUR_ADJ_MID")</f>
        <v>2.6970778099164963</v>
      </c>
      <c r="G1726">
        <f>_xll.BDP("70529MCS Muni","SPREAD_AT_ISSUANCE_TO_WORST")</f>
        <v>30.222257027504696</v>
      </c>
      <c r="H1726" t="str">
        <f>_xll.BDP("70529MCS Muni","ISSUE_DT")</f>
        <v>5/30/2017</v>
      </c>
      <c r="I1726" t="str">
        <f>_xll.BDS("70529MCS Muni","MUNI_PURPOSE_SCHED", "aggregate=y")</f>
        <v>WATER UTILITY IMPS. SEWER IMPS.</v>
      </c>
      <c r="J1726">
        <f>_xll.BDP("70529MCS Muni","CPN")</f>
        <v>3</v>
      </c>
      <c r="K1726" t="str">
        <f>_xll.BDP("70529MCS Muni","MATURITY")</f>
        <v>6/1/2025</v>
      </c>
      <c r="L1726">
        <v>210000</v>
      </c>
      <c r="M1726">
        <f>_xll.BDP("70529MCS Muni","YIELD_ON_ISSUE_DATE")</f>
        <v>2.16</v>
      </c>
      <c r="N1726">
        <f>_xll.BDP("70529MCS Muni","YTW_SPREAD_TO_MATURITY_AT_ISSU")</f>
        <v>30.222257027504696</v>
      </c>
      <c r="O1726" t="str">
        <f>_xll.BDP("70529MCS Muni","BVAL_MID_YTM")</f>
        <v>#N/A Authorization</v>
      </c>
      <c r="P1726" t="str">
        <f>_xll.BDP("70529MCS Muni","MUNI_TAX_PROV")</f>
        <v>FED BQ/ST TAX-EXEMPT</v>
      </c>
      <c r="Q1726" t="str">
        <f>_xll.BDP("70529MCS Muni","MUNI_FED_TAX")</f>
        <v>N</v>
      </c>
      <c r="R1726" t="str">
        <f>_xll.BDP("70529MCS Muni","MUNI_MSRB_VOLUME")</f>
        <v>#N/A N/A</v>
      </c>
      <c r="S1726" t="str">
        <f>_xll.BDP("70529MCS Muni","BB_COMPOSITE")</f>
        <v>#N/A N/A</v>
      </c>
      <c r="T1726">
        <f>_xll.BDP("70529MCS Muni","LQA_LIQUIDITY_SCORE")</f>
        <v>75</v>
      </c>
    </row>
    <row r="1727" spans="1:20" x14ac:dyDescent="0.25">
      <c r="A1727" t="str">
        <f>_xll.BDP("70529MCT Muni","ID_CUSIP")</f>
        <v>70529MCT1</v>
      </c>
      <c r="B1727" t="s">
        <v>469</v>
      </c>
      <c r="C1727" t="str">
        <f>_xll.BDP("70529MCT Muni","INSURANCE_STATUS")</f>
        <v>Y</v>
      </c>
      <c r="D1727" t="str">
        <f>_xll.BDP("70529MCT Muni","STATE_CODE")</f>
        <v>MO</v>
      </c>
      <c r="E1727" t="str">
        <f>_xll.BDP("70529MCT Muni","COUNTY_LOCATION_ISSUER")</f>
        <v>Cass, MO</v>
      </c>
      <c r="F1727">
        <f>_xll.BDP("70529MCT Muni","DUR_ADJ_MID")</f>
        <v>3.5966086317472339</v>
      </c>
      <c r="G1727">
        <f>_xll.BDP("70529MCT Muni","SPREAD_AT_ISSUANCE_TO_WORST")</f>
        <v>30.664467748838842</v>
      </c>
      <c r="H1727" t="str">
        <f>_xll.BDP("70529MCT Muni","ISSUE_DT")</f>
        <v>5/30/2017</v>
      </c>
      <c r="I1727" t="str">
        <f>_xll.BDS("70529MCT Muni","MUNI_PURPOSE_SCHED", "aggregate=y")</f>
        <v>WATER UTILITY IMPS. SEWER IMPS.</v>
      </c>
      <c r="J1727">
        <f>_xll.BDP("70529MCT Muni","CPN")</f>
        <v>3</v>
      </c>
      <c r="K1727" t="str">
        <f>_xll.BDP("70529MCT Muni","MATURITY")</f>
        <v>6/1/2026</v>
      </c>
      <c r="L1727">
        <v>215000</v>
      </c>
      <c r="M1727">
        <f>_xll.BDP("70529MCT Muni","YIELD_ON_ISSUE_DATE")</f>
        <v>2.31</v>
      </c>
      <c r="N1727">
        <f>_xll.BDP("70529MCT Muni","YTW_SPREAD_TO_MATURITY_AT_ISSU")</f>
        <v>30.664467748838842</v>
      </c>
      <c r="O1727" t="str">
        <f>_xll.BDP("70529MCT Muni","BVAL_MID_YTM")</f>
        <v>#N/A Authorization</v>
      </c>
      <c r="P1727" t="str">
        <f>_xll.BDP("70529MCT Muni","MUNI_TAX_PROV")</f>
        <v>FED BQ/ST TAX-EXEMPT</v>
      </c>
      <c r="Q1727" t="str">
        <f>_xll.BDP("70529MCT Muni","MUNI_FED_TAX")</f>
        <v>N</v>
      </c>
      <c r="R1727" t="str">
        <f>_xll.BDP("70529MCT Muni","MUNI_MSRB_VOLUME")</f>
        <v>#N/A N/A</v>
      </c>
      <c r="S1727" t="str">
        <f>_xll.BDP("70529MCT Muni","BB_COMPOSITE")</f>
        <v>#N/A N/A</v>
      </c>
      <c r="T1727">
        <f>_xll.BDP("70529MCT Muni","LQA_LIQUIDITY_SCORE")</f>
        <v>69</v>
      </c>
    </row>
    <row r="1728" spans="1:20" x14ac:dyDescent="0.25">
      <c r="A1728" t="str">
        <f>_xll.BDP("70529MCU Muni","ID_CUSIP")</f>
        <v>70529MCU8</v>
      </c>
      <c r="B1728" t="s">
        <v>469</v>
      </c>
      <c r="C1728" t="str">
        <f>_xll.BDP("70529MCU Muni","INSURANCE_STATUS")</f>
        <v>Y</v>
      </c>
      <c r="D1728" t="str">
        <f>_xll.BDP("70529MCU Muni","STATE_CODE")</f>
        <v>MO</v>
      </c>
      <c r="E1728" t="str">
        <f>_xll.BDP("70529MCU Muni","COUNTY_LOCATION_ISSUER")</f>
        <v>Cass, MO</v>
      </c>
      <c r="F1728">
        <f>_xll.BDP("70529MCU Muni","DUR_ADJ_MID")</f>
        <v>4.4702795351917892</v>
      </c>
      <c r="G1728">
        <f>_xll.BDP("70529MCU Muni","SPREAD_AT_ISSUANCE_TO_WORST")</f>
        <v>32.77976803510807</v>
      </c>
      <c r="H1728" t="str">
        <f>_xll.BDP("70529MCU Muni","ISSUE_DT")</f>
        <v>5/30/2017</v>
      </c>
      <c r="I1728" t="str">
        <f>_xll.BDS("70529MCU Muni","MUNI_PURPOSE_SCHED", "aggregate=y")</f>
        <v>WATER UTILITY IMPS. SEWER IMPS.</v>
      </c>
      <c r="J1728">
        <f>_xll.BDP("70529MCU Muni","CPN")</f>
        <v>3</v>
      </c>
      <c r="K1728" t="str">
        <f>_xll.BDP("70529MCU Muni","MATURITY")</f>
        <v>6/1/2027</v>
      </c>
      <c r="L1728">
        <v>220000</v>
      </c>
      <c r="M1728">
        <f>_xll.BDP("70529MCU Muni","YIELD_ON_ISSUE_DATE")</f>
        <v>2.4500000000000002</v>
      </c>
      <c r="N1728">
        <f>_xll.BDP("70529MCU Muni","YTW_SPREAD_TO_MATURITY_AT_ISSU")</f>
        <v>32.77976803510807</v>
      </c>
      <c r="O1728" t="str">
        <f>_xll.BDP("70529MCU Muni","BVAL_MID_YTM")</f>
        <v>#N/A Authorization</v>
      </c>
      <c r="P1728" t="str">
        <f>_xll.BDP("70529MCU Muni","MUNI_TAX_PROV")</f>
        <v>FED BQ/ST TAX-EXEMPT</v>
      </c>
      <c r="Q1728" t="str">
        <f>_xll.BDP("70529MCU Muni","MUNI_FED_TAX")</f>
        <v>N</v>
      </c>
      <c r="R1728" t="str">
        <f>_xll.BDP("70529MCU Muni","MUNI_MSRB_VOLUME")</f>
        <v>#N/A N/A</v>
      </c>
      <c r="S1728" t="str">
        <f>_xll.BDP("70529MCU Muni","BB_COMPOSITE")</f>
        <v>#N/A N/A</v>
      </c>
      <c r="T1728">
        <f>_xll.BDP("70529MCU Muni","LQA_LIQUIDITY_SCORE")</f>
        <v>65</v>
      </c>
    </row>
    <row r="1729" spans="1:20" x14ac:dyDescent="0.25">
      <c r="A1729" t="str">
        <f>_xll.BDP("786071MG Muni","ID_CUSIP")</f>
        <v>786071MG2</v>
      </c>
      <c r="B1729" t="s">
        <v>470</v>
      </c>
      <c r="C1729" t="str">
        <f>_xll.BDP("786071MG Muni","INSURANCE_STATUS")</f>
        <v>N</v>
      </c>
      <c r="D1729" t="str">
        <f>_xll.BDP("786071MG Muni","STATE_CODE")</f>
        <v>CA</v>
      </c>
      <c r="E1729" t="str">
        <f>_xll.BDP("786071MG Muni","COUNTY_LOCATION_ISSUER")</f>
        <v>Sacramento, CA</v>
      </c>
      <c r="F1729">
        <f>_xll.BDP("786071MG Muni","DUR_ADJ_MID")</f>
        <v>8.0444364079900604E-2</v>
      </c>
      <c r="G1729">
        <f>_xll.BDP("786071MG Muni","SPREAD_AT_ISSUANCE_TO_WORST")</f>
        <v>65.54284931506848</v>
      </c>
      <c r="H1729" t="str">
        <f>_xll.BDP("786071MG Muni","ISSUE_DT")</f>
        <v>10/11/2017</v>
      </c>
      <c r="I1729" t="str">
        <f>_xll.BDS("786071MG Muni","MUNI_PURPOSE_SCHED", "aggregate=y")</f>
        <v>PUBLIC FACILITIES WATER UTILITY IMPS. SEWER IMPS.</v>
      </c>
      <c r="J1729">
        <f>_xll.BDP("786071MG Muni","CPN")</f>
        <v>2</v>
      </c>
      <c r="K1729" t="str">
        <f>_xll.BDP("786071MG Muni","MATURITY")</f>
        <v>9/1/2022</v>
      </c>
      <c r="L1729">
        <v>40000</v>
      </c>
      <c r="M1729">
        <f>_xll.BDP("786071MG Muni","YIELD_ON_ISSUE_DATE")</f>
        <v>1.97</v>
      </c>
      <c r="N1729">
        <f>_xll.BDP("786071MG Muni","YTW_SPREAD_TO_MATURITY_AT_ISSU")</f>
        <v>65.54284931506848</v>
      </c>
      <c r="O1729" t="str">
        <f>_xll.BDP("786071MG Muni","BVAL_MID_YTM")</f>
        <v>#N/A Authorization</v>
      </c>
      <c r="P1729" t="str">
        <f>_xll.BDP("786071MG Muni","MUNI_TAX_PROV")</f>
        <v>FED &amp; ST TAX-EXEMPT</v>
      </c>
      <c r="Q1729" t="str">
        <f>_xll.BDP("786071MG Muni","MUNI_FED_TAX")</f>
        <v>N</v>
      </c>
      <c r="R1729" t="str">
        <f>_xll.BDP("786071MG Muni","MUNI_MSRB_VOLUME")</f>
        <v>#N/A N/A</v>
      </c>
      <c r="S1729" t="str">
        <f>_xll.BDP("786071MG Muni","BB_COMPOSITE")</f>
        <v>#N/A N/A</v>
      </c>
      <c r="T1729">
        <f>_xll.BDP("786071MG Muni","LQA_LIQUIDITY_SCORE")</f>
        <v>86</v>
      </c>
    </row>
    <row r="1730" spans="1:20" x14ac:dyDescent="0.25">
      <c r="A1730" t="str">
        <f>_xll.BDP("786071MH Muni","ID_CUSIP")</f>
        <v>786071MH0</v>
      </c>
      <c r="B1730" t="s">
        <v>470</v>
      </c>
      <c r="C1730" t="str">
        <f>_xll.BDP("786071MH Muni","INSURANCE_STATUS")</f>
        <v>N</v>
      </c>
      <c r="D1730" t="str">
        <f>_xll.BDP("786071MH Muni","STATE_CODE")</f>
        <v>CA</v>
      </c>
      <c r="E1730" t="str">
        <f>_xll.BDP("786071MH Muni","COUNTY_LOCATION_ISSUER")</f>
        <v>Sacramento, CA</v>
      </c>
      <c r="F1730">
        <f>_xll.BDP("786071MH Muni","DUR_ADJ_MID")</f>
        <v>1.0535135594240397</v>
      </c>
      <c r="G1730">
        <f>_xll.BDP("786071MH Muni","SPREAD_AT_ISSUANCE_TO_WORST")</f>
        <v>73.020054794520561</v>
      </c>
      <c r="H1730" t="str">
        <f>_xll.BDP("786071MH Muni","ISSUE_DT")</f>
        <v>10/11/2017</v>
      </c>
      <c r="I1730" t="str">
        <f>_xll.BDS("786071MH Muni","MUNI_PURPOSE_SCHED", "aggregate=y")</f>
        <v>PUBLIC FACILITIES WATER UTILITY IMPS. SEWER IMPS.</v>
      </c>
      <c r="J1730">
        <f>_xll.BDP("786071MH Muni","CPN")</f>
        <v>2</v>
      </c>
      <c r="K1730" t="str">
        <f>_xll.BDP("786071MH Muni","MATURITY")</f>
        <v>9/1/2023</v>
      </c>
      <c r="L1730">
        <v>45000</v>
      </c>
      <c r="M1730">
        <f>_xll.BDP("786071MH Muni","YIELD_ON_ISSUE_DATE")</f>
        <v>2.1800000000000002</v>
      </c>
      <c r="N1730">
        <f>_xll.BDP("786071MH Muni","YTW_SPREAD_TO_MATURITY_AT_ISSU")</f>
        <v>73.020054794520561</v>
      </c>
      <c r="O1730" t="str">
        <f>_xll.BDP("786071MH Muni","BVAL_MID_YTM")</f>
        <v>#N/A Authorization</v>
      </c>
      <c r="P1730" t="str">
        <f>_xll.BDP("786071MH Muni","MUNI_TAX_PROV")</f>
        <v>FED &amp; ST TAX-EXEMPT</v>
      </c>
      <c r="Q1730" t="str">
        <f>_xll.BDP("786071MH Muni","MUNI_FED_TAX")</f>
        <v>N</v>
      </c>
      <c r="R1730" t="str">
        <f>_xll.BDP("786071MH Muni","MUNI_MSRB_VOLUME")</f>
        <v>#N/A N/A</v>
      </c>
      <c r="S1730" t="str">
        <f>_xll.BDP("786071MH Muni","BB_COMPOSITE")</f>
        <v>#N/A N/A</v>
      </c>
      <c r="T1730">
        <f>_xll.BDP("786071MH Muni","LQA_LIQUIDITY_SCORE")</f>
        <v>42</v>
      </c>
    </row>
    <row r="1731" spans="1:20" x14ac:dyDescent="0.25">
      <c r="A1731" t="str">
        <f>_xll.BDP("786071MJ Muni","ID_CUSIP")</f>
        <v>786071MJ6</v>
      </c>
      <c r="B1731" t="s">
        <v>470</v>
      </c>
      <c r="C1731" t="str">
        <f>_xll.BDP("786071MJ Muni","INSURANCE_STATUS")</f>
        <v>N</v>
      </c>
      <c r="D1731" t="str">
        <f>_xll.BDP("786071MJ Muni","STATE_CODE")</f>
        <v>CA</v>
      </c>
      <c r="E1731" t="str">
        <f>_xll.BDP("786071MJ Muni","COUNTY_LOCATION_ISSUER")</f>
        <v>Sacramento, CA</v>
      </c>
      <c r="F1731">
        <f>_xll.BDP("786071MJ Muni","DUR_ADJ_MID")</f>
        <v>1.9612129545077124</v>
      </c>
      <c r="G1731">
        <f>_xll.BDP("786071MJ Muni","SPREAD_AT_ISSUANCE_TO_WORST")</f>
        <v>80.013219178082196</v>
      </c>
      <c r="H1731" t="str">
        <f>_xll.BDP("786071MJ Muni","ISSUE_DT")</f>
        <v>10/11/2017</v>
      </c>
      <c r="I1731" t="str">
        <f>_xll.BDS("786071MJ Muni","MUNI_PURPOSE_SCHED", "aggregate=y")</f>
        <v>PUBLIC FACILITIES WATER UTILITY IMPS. SEWER IMPS.</v>
      </c>
      <c r="J1731">
        <f>_xll.BDP("786071MJ Muni","CPN")</f>
        <v>4</v>
      </c>
      <c r="K1731" t="str">
        <f>_xll.BDP("786071MJ Muni","MATURITY")</f>
        <v>9/1/2024</v>
      </c>
      <c r="L1731">
        <v>45000</v>
      </c>
      <c r="M1731">
        <f>_xll.BDP("786071MJ Muni","YIELD_ON_ISSUE_DATE")</f>
        <v>2.39</v>
      </c>
      <c r="N1731">
        <f>_xll.BDP("786071MJ Muni","YTW_SPREAD_TO_MATURITY_AT_ISSU")</f>
        <v>80.013219178082196</v>
      </c>
      <c r="O1731" t="str">
        <f>_xll.BDP("786071MJ Muni","BVAL_MID_YTM")</f>
        <v>#N/A Authorization</v>
      </c>
      <c r="P1731" t="str">
        <f>_xll.BDP("786071MJ Muni","MUNI_TAX_PROV")</f>
        <v>FED &amp; ST TAX-EXEMPT</v>
      </c>
      <c r="Q1731" t="str">
        <f>_xll.BDP("786071MJ Muni","MUNI_FED_TAX")</f>
        <v>N</v>
      </c>
      <c r="R1731" t="str">
        <f>_xll.BDP("786071MJ Muni","MUNI_MSRB_VOLUME")</f>
        <v>#N/A N/A</v>
      </c>
      <c r="S1731" t="str">
        <f>_xll.BDP("786071MJ Muni","BB_COMPOSITE")</f>
        <v>#N/A N/A</v>
      </c>
      <c r="T1731">
        <f>_xll.BDP("786071MJ Muni","LQA_LIQUIDITY_SCORE")</f>
        <v>39</v>
      </c>
    </row>
    <row r="1732" spans="1:20" x14ac:dyDescent="0.25">
      <c r="A1732" t="str">
        <f>_xll.BDP("786089HF Muni","ID_CUSIP")</f>
        <v>786089HF2</v>
      </c>
      <c r="B1732" t="s">
        <v>471</v>
      </c>
      <c r="C1732" t="str">
        <f>_xll.BDP("786089HF Muni","INSURANCE_STATUS")</f>
        <v>N</v>
      </c>
      <c r="D1732" t="str">
        <f>_xll.BDP("786089HF Muni","STATE_CODE")</f>
        <v>CA</v>
      </c>
      <c r="E1732" t="str">
        <f>_xll.BDP("786089HF Muni","COUNTY_LOCATION_ISSUER")</f>
        <v>Sacramento, CA</v>
      </c>
      <c r="F1732">
        <f>_xll.BDP("786089HF Muni","DUR_ADJ_MID")</f>
        <v>8.0492071668539431E-2</v>
      </c>
      <c r="G1732">
        <f>_xll.BDP("786089HF Muni","SPREAD_AT_ISSUANCE_TO_WORST")</f>
        <v>-0.66814264607411022</v>
      </c>
      <c r="H1732" t="str">
        <f>_xll.BDP("786089HF Muni","ISSUE_DT")</f>
        <v>6/22/2017</v>
      </c>
      <c r="I1732" t="str">
        <f>_xll.BDS("786089HF Muni","MUNI_PURPOSE_SCHED", "aggregate=y")</f>
        <v>WATER UTILITY IMPS.</v>
      </c>
      <c r="J1732">
        <f>_xll.BDP("786089HF Muni","CPN")</f>
        <v>5</v>
      </c>
      <c r="K1732" t="str">
        <f>_xll.BDP("786089HF Muni","MATURITY")</f>
        <v>9/1/2022</v>
      </c>
      <c r="L1732">
        <v>960000</v>
      </c>
      <c r="M1732">
        <f>_xll.BDP("786089HF Muni","YIELD_ON_ISSUE_DATE")</f>
        <v>1.1599999999999999</v>
      </c>
      <c r="N1732">
        <f>_xll.BDP("786089HF Muni","YTW_SPREAD_TO_MATURITY_AT_ISSU")</f>
        <v>-0.66814264607411022</v>
      </c>
      <c r="O1732" t="str">
        <f>_xll.BDP("786089HF Muni","BVAL_MID_YTM")</f>
        <v>#N/A Authorization</v>
      </c>
      <c r="P1732" t="str">
        <f>_xll.BDP("786089HF Muni","MUNI_TAX_PROV")</f>
        <v>FED &amp; ST TAX-EXEMPT</v>
      </c>
      <c r="Q1732" t="str">
        <f>_xll.BDP("786089HF Muni","MUNI_FED_TAX")</f>
        <v>N</v>
      </c>
      <c r="R1732" t="str">
        <f>_xll.BDP("786089HF Muni","MUNI_MSRB_VOLUME")</f>
        <v>#N/A N/A</v>
      </c>
      <c r="S1732" t="str">
        <f>_xll.BDP("786089HF Muni","BB_COMPOSITE")</f>
        <v>AA-</v>
      </c>
      <c r="T1732">
        <f>_xll.BDP("786089HF Muni","LQA_LIQUIDITY_SCORE")</f>
        <v>97</v>
      </c>
    </row>
    <row r="1733" spans="1:20" x14ac:dyDescent="0.25">
      <c r="A1733" t="str">
        <f>_xll.BDP("786089HG Muni","ID_CUSIP")</f>
        <v>786089HG0</v>
      </c>
      <c r="B1733" t="s">
        <v>471</v>
      </c>
      <c r="C1733" t="str">
        <f>_xll.BDP("786089HG Muni","INSURANCE_STATUS")</f>
        <v>N</v>
      </c>
      <c r="D1733" t="str">
        <f>_xll.BDP("786089HG Muni","STATE_CODE")</f>
        <v>CA</v>
      </c>
      <c r="E1733" t="str">
        <f>_xll.BDP("786089HG Muni","COUNTY_LOCATION_ISSUER")</f>
        <v>Sacramento, CA</v>
      </c>
      <c r="F1733">
        <f>_xll.BDP("786089HG Muni","DUR_ADJ_MID")</f>
        <v>1.0370754544464373</v>
      </c>
      <c r="G1733">
        <f>_xll.BDP("786089HG Muni","SPREAD_AT_ISSUANCE_TO_WORST")</f>
        <v>-0.84565061585446522</v>
      </c>
      <c r="H1733" t="str">
        <f>_xll.BDP("786089HG Muni","ISSUE_DT")</f>
        <v>6/22/2017</v>
      </c>
      <c r="I1733" t="str">
        <f>_xll.BDS("786089HG Muni","MUNI_PURPOSE_SCHED", "aggregate=y")</f>
        <v>WATER UTILITY IMPS.</v>
      </c>
      <c r="J1733">
        <f>_xll.BDP("786089HG Muni","CPN")</f>
        <v>5</v>
      </c>
      <c r="K1733" t="str">
        <f>_xll.BDP("786089HG Muni","MATURITY")</f>
        <v>9/1/2023</v>
      </c>
      <c r="L1733">
        <v>1010000</v>
      </c>
      <c r="M1733">
        <f>_xll.BDP("786089HG Muni","YIELD_ON_ISSUE_DATE")</f>
        <v>1.31</v>
      </c>
      <c r="N1733">
        <f>_xll.BDP("786089HG Muni","YTW_SPREAD_TO_MATURITY_AT_ISSU")</f>
        <v>-0.84565061585446522</v>
      </c>
      <c r="O1733" t="str">
        <f>_xll.BDP("786089HG Muni","BVAL_MID_YTM")</f>
        <v>#N/A Authorization</v>
      </c>
      <c r="P1733" t="str">
        <f>_xll.BDP("786089HG Muni","MUNI_TAX_PROV")</f>
        <v>FED &amp; ST TAX-EXEMPT</v>
      </c>
      <c r="Q1733" t="str">
        <f>_xll.BDP("786089HG Muni","MUNI_FED_TAX")</f>
        <v>N</v>
      </c>
      <c r="R1733">
        <f>_xll.BDP("786089HG Muni","MUNI_MSRB_VOLUME")</f>
        <v>100000</v>
      </c>
      <c r="S1733" t="str">
        <f>_xll.BDP("786089HG Muni","BB_COMPOSITE")</f>
        <v>AA-</v>
      </c>
      <c r="T1733">
        <f>_xll.BDP("786089HG Muni","LQA_LIQUIDITY_SCORE")</f>
        <v>87</v>
      </c>
    </row>
    <row r="1734" spans="1:20" x14ac:dyDescent="0.25">
      <c r="A1734" t="str">
        <f>_xll.BDP("786089HH Muni","ID_CUSIP")</f>
        <v>786089HH8</v>
      </c>
      <c r="B1734" t="s">
        <v>471</v>
      </c>
      <c r="C1734" t="str">
        <f>_xll.BDP("786089HH Muni","INSURANCE_STATUS")</f>
        <v>N</v>
      </c>
      <c r="D1734" t="str">
        <f>_xll.BDP("786089HH Muni","STATE_CODE")</f>
        <v>CA</v>
      </c>
      <c r="E1734" t="str">
        <f>_xll.BDP("786089HH Muni","COUNTY_LOCATION_ISSUER")</f>
        <v>Sacramento, CA</v>
      </c>
      <c r="F1734">
        <f>_xll.BDP("786089HH Muni","DUR_ADJ_MID")</f>
        <v>1.9490732526935757</v>
      </c>
      <c r="G1734">
        <f>_xll.BDP("786089HH Muni","SPREAD_AT_ISSUANCE_TO_WORST")</f>
        <v>-2.1227972021268915</v>
      </c>
      <c r="H1734" t="str">
        <f>_xll.BDP("786089HH Muni","ISSUE_DT")</f>
        <v>6/22/2017</v>
      </c>
      <c r="I1734" t="str">
        <f>_xll.BDS("786089HH Muni","MUNI_PURPOSE_SCHED", "aggregate=y")</f>
        <v>WATER UTILITY IMPS.</v>
      </c>
      <c r="J1734">
        <f>_xll.BDP("786089HH Muni","CPN")</f>
        <v>5</v>
      </c>
      <c r="K1734" t="str">
        <f>_xll.BDP("786089HH Muni","MATURITY")</f>
        <v>9/1/2024</v>
      </c>
      <c r="L1734">
        <v>1060000</v>
      </c>
      <c r="M1734">
        <f>_xll.BDP("786089HH Muni","YIELD_ON_ISSUE_DATE")</f>
        <v>1.45</v>
      </c>
      <c r="N1734">
        <f>_xll.BDP("786089HH Muni","YTW_SPREAD_TO_MATURITY_AT_ISSU")</f>
        <v>-2.1227972021268915</v>
      </c>
      <c r="O1734" t="str">
        <f>_xll.BDP("786089HH Muni","BVAL_MID_YTM")</f>
        <v>#N/A Authorization</v>
      </c>
      <c r="P1734" t="str">
        <f>_xll.BDP("786089HH Muni","MUNI_TAX_PROV")</f>
        <v>FED &amp; ST TAX-EXEMPT</v>
      </c>
      <c r="Q1734" t="str">
        <f>_xll.BDP("786089HH Muni","MUNI_FED_TAX")</f>
        <v>N</v>
      </c>
      <c r="R1734">
        <f>_xll.BDP("786089HH Muni","MUNI_MSRB_VOLUME")</f>
        <v>50000</v>
      </c>
      <c r="S1734" t="str">
        <f>_xll.BDP("786089HH Muni","BB_COMPOSITE")</f>
        <v>AA-</v>
      </c>
      <c r="T1734">
        <f>_xll.BDP("786089HH Muni","LQA_LIQUIDITY_SCORE")</f>
        <v>80</v>
      </c>
    </row>
    <row r="1735" spans="1:20" x14ac:dyDescent="0.25">
      <c r="A1735" t="str">
        <f>_xll.BDP("786089HJ Muni","ID_CUSIP")</f>
        <v>786089HJ4</v>
      </c>
      <c r="B1735" t="s">
        <v>471</v>
      </c>
      <c r="C1735" t="str">
        <f>_xll.BDP("786089HJ Muni","INSURANCE_STATUS")</f>
        <v>N</v>
      </c>
      <c r="D1735" t="str">
        <f>_xll.BDP("786089HJ Muni","STATE_CODE")</f>
        <v>CA</v>
      </c>
      <c r="E1735" t="str">
        <f>_xll.BDP("786089HJ Muni","COUNTY_LOCATION_ISSUER")</f>
        <v>Sacramento, CA</v>
      </c>
      <c r="F1735">
        <f>_xll.BDP("786089HJ Muni","DUR_ADJ_MID")</f>
        <v>2.8220874067774764</v>
      </c>
      <c r="G1735">
        <f>_xll.BDP("786089HJ Muni","SPREAD_AT_ISSUANCE_TO_WORST")</f>
        <v>0.93698037751033247</v>
      </c>
      <c r="H1735" t="str">
        <f>_xll.BDP("786089HJ Muni","ISSUE_DT")</f>
        <v>6/22/2017</v>
      </c>
      <c r="I1735" t="str">
        <f>_xll.BDS("786089HJ Muni","MUNI_PURPOSE_SCHED", "aggregate=y")</f>
        <v>WATER UTILITY IMPS.</v>
      </c>
      <c r="J1735">
        <f>_xll.BDP("786089HJ Muni","CPN")</f>
        <v>5</v>
      </c>
      <c r="K1735" t="str">
        <f>_xll.BDP("786089HJ Muni","MATURITY")</f>
        <v>9/1/2025</v>
      </c>
      <c r="L1735">
        <v>1115000</v>
      </c>
      <c r="M1735">
        <f>_xll.BDP("786089HJ Muni","YIELD_ON_ISSUE_DATE")</f>
        <v>1.6300000000000001</v>
      </c>
      <c r="N1735">
        <f>_xll.BDP("786089HJ Muni","YTW_SPREAD_TO_MATURITY_AT_ISSU")</f>
        <v>0.93698037751033247</v>
      </c>
      <c r="O1735" t="str">
        <f>_xll.BDP("786089HJ Muni","BVAL_MID_YTM")</f>
        <v>#N/A Authorization</v>
      </c>
      <c r="P1735" t="str">
        <f>_xll.BDP("786089HJ Muni","MUNI_TAX_PROV")</f>
        <v>FED &amp; ST TAX-EXEMPT</v>
      </c>
      <c r="Q1735" t="str">
        <f>_xll.BDP("786089HJ Muni","MUNI_FED_TAX")</f>
        <v>N</v>
      </c>
      <c r="R1735">
        <f>_xll.BDP("786089HJ Muni","MUNI_MSRB_VOLUME")</f>
        <v>75000</v>
      </c>
      <c r="S1735" t="str">
        <f>_xll.BDP("786089HJ Muni","BB_COMPOSITE")</f>
        <v>AA-</v>
      </c>
      <c r="T1735">
        <f>_xll.BDP("786089HJ Muni","LQA_LIQUIDITY_SCORE")</f>
        <v>74</v>
      </c>
    </row>
    <row r="1736" spans="1:20" x14ac:dyDescent="0.25">
      <c r="A1736" t="str">
        <f>_xll.BDP("786089HK Muni","ID_CUSIP")</f>
        <v>786089HK1</v>
      </c>
      <c r="B1736" t="s">
        <v>471</v>
      </c>
      <c r="C1736" t="str">
        <f>_xll.BDP("786089HK Muni","INSURANCE_STATUS")</f>
        <v>N</v>
      </c>
      <c r="D1736" t="str">
        <f>_xll.BDP("786089HK Muni","STATE_CODE")</f>
        <v>CA</v>
      </c>
      <c r="E1736" t="str">
        <f>_xll.BDP("786089HK Muni","COUNTY_LOCATION_ISSUER")</f>
        <v>Sacramento, CA</v>
      </c>
      <c r="F1736">
        <f>_xll.BDP("786089HK Muni","DUR_ADJ_MID")</f>
        <v>3.6523624650111066</v>
      </c>
      <c r="G1736">
        <f>_xll.BDP("786089HK Muni","SPREAD_AT_ISSUANCE_TO_WORST")</f>
        <v>6.6715052027994881</v>
      </c>
      <c r="H1736" t="str">
        <f>_xll.BDP("786089HK Muni","ISSUE_DT")</f>
        <v>6/22/2017</v>
      </c>
      <c r="I1736" t="str">
        <f>_xll.BDS("786089HK Muni","MUNI_PURPOSE_SCHED", "aggregate=y")</f>
        <v>WATER UTILITY IMPS.</v>
      </c>
      <c r="J1736">
        <f>_xll.BDP("786089HK Muni","CPN")</f>
        <v>5</v>
      </c>
      <c r="K1736" t="str">
        <f>_xll.BDP("786089HK Muni","MATURITY")</f>
        <v>9/1/2026</v>
      </c>
      <c r="L1736">
        <v>1175000</v>
      </c>
      <c r="M1736">
        <f>_xll.BDP("786089HK Muni","YIELD_ON_ISSUE_DATE")</f>
        <v>1.82</v>
      </c>
      <c r="N1736">
        <f>_xll.BDP("786089HK Muni","YTW_SPREAD_TO_MATURITY_AT_ISSU")</f>
        <v>6.6715052027994881</v>
      </c>
      <c r="O1736" t="str">
        <f>_xll.BDP("786089HK Muni","BVAL_MID_YTM")</f>
        <v>#N/A Authorization</v>
      </c>
      <c r="P1736" t="str">
        <f>_xll.BDP("786089HK Muni","MUNI_TAX_PROV")</f>
        <v>FED &amp; ST TAX-EXEMPT</v>
      </c>
      <c r="Q1736" t="str">
        <f>_xll.BDP("786089HK Muni","MUNI_FED_TAX")</f>
        <v>N</v>
      </c>
      <c r="R1736">
        <f>_xll.BDP("786089HK Muni","MUNI_MSRB_VOLUME")</f>
        <v>30000</v>
      </c>
      <c r="S1736" t="str">
        <f>_xll.BDP("786089HK Muni","BB_COMPOSITE")</f>
        <v>AA-</v>
      </c>
      <c r="T1736">
        <f>_xll.BDP("786089HK Muni","LQA_LIQUIDITY_SCORE")</f>
        <v>70</v>
      </c>
    </row>
    <row r="1737" spans="1:20" x14ac:dyDescent="0.25">
      <c r="A1737" t="str">
        <f>_xll.BDP("786089HL Muni","ID_CUSIP")</f>
        <v>786089HL9</v>
      </c>
      <c r="B1737" t="s">
        <v>471</v>
      </c>
      <c r="C1737" t="str">
        <f>_xll.BDP("786089HL Muni","INSURANCE_STATUS")</f>
        <v>N</v>
      </c>
      <c r="D1737" t="str">
        <f>_xll.BDP("786089HL Muni","STATE_CODE")</f>
        <v>CA</v>
      </c>
      <c r="E1737" t="str">
        <f>_xll.BDP("786089HL Muni","COUNTY_LOCATION_ISSUER")</f>
        <v>Sacramento, CA</v>
      </c>
      <c r="F1737">
        <f>_xll.BDP("786089HL Muni","DUR_ADJ_MID")</f>
        <v>4.4628041873969941</v>
      </c>
      <c r="G1737">
        <f>_xll.BDP("786089HL Muni","SPREAD_AT_ISSUANCE_TO_WORST")</f>
        <v>8.2383705803379605</v>
      </c>
      <c r="H1737" t="str">
        <f>_xll.BDP("786089HL Muni","ISSUE_DT")</f>
        <v>6/22/2017</v>
      </c>
      <c r="I1737" t="str">
        <f>_xll.BDS("786089HL Muni","MUNI_PURPOSE_SCHED", "aggregate=y")</f>
        <v>WATER UTILITY IMPS.</v>
      </c>
      <c r="J1737">
        <f>_xll.BDP("786089HL Muni","CPN")</f>
        <v>5</v>
      </c>
      <c r="K1737" t="str">
        <f>_xll.BDP("786089HL Muni","MATURITY")</f>
        <v>9/1/2027</v>
      </c>
      <c r="L1737">
        <v>1235000</v>
      </c>
      <c r="M1737">
        <f>_xll.BDP("786089HL Muni","YIELD_ON_ISSUE_DATE")</f>
        <v>1.95</v>
      </c>
      <c r="N1737">
        <f>_xll.BDP("786089HL Muni","YTW_SPREAD_TO_MATURITY_AT_ISSU")</f>
        <v>8.2383705803379605</v>
      </c>
      <c r="O1737" t="str">
        <f>_xll.BDP("786089HL Muni","BVAL_MID_YTM")</f>
        <v>#N/A Authorization</v>
      </c>
      <c r="P1737" t="str">
        <f>_xll.BDP("786089HL Muni","MUNI_TAX_PROV")</f>
        <v>FED &amp; ST TAX-EXEMPT</v>
      </c>
      <c r="Q1737" t="str">
        <f>_xll.BDP("786089HL Muni","MUNI_FED_TAX")</f>
        <v>N</v>
      </c>
      <c r="R1737" t="str">
        <f>_xll.BDP("786089HL Muni","MUNI_MSRB_VOLUME")</f>
        <v>#N/A N/A</v>
      </c>
      <c r="S1737" t="str">
        <f>_xll.BDP("786089HL Muni","BB_COMPOSITE")</f>
        <v>AA-</v>
      </c>
      <c r="T1737">
        <f>_xll.BDP("786089HL Muni","LQA_LIQUIDITY_SCORE")</f>
        <v>64</v>
      </c>
    </row>
    <row r="1738" spans="1:20" x14ac:dyDescent="0.25">
      <c r="A1738" t="str">
        <f>_xll.BDP("791740E6 Muni","ID_CUSIP")</f>
        <v>791740E66</v>
      </c>
      <c r="B1738" t="s">
        <v>461</v>
      </c>
      <c r="C1738" t="str">
        <f>_xll.BDP("791740E6 Muni","INSURANCE_STATUS")</f>
        <v>N</v>
      </c>
      <c r="D1738" t="str">
        <f>_xll.BDP("791740E6 Muni","STATE_CODE")</f>
        <v>MN</v>
      </c>
      <c r="E1738" t="str">
        <f>_xll.BDP("791740E6 Muni","COUNTY_LOCATION_ISSUER")</f>
        <v>Hennepin, MN</v>
      </c>
      <c r="F1738">
        <f>_xll.BDP("791740E6 Muni","DUR_ADJ_MID")</f>
        <v>0.49450725946598545</v>
      </c>
      <c r="G1738">
        <f>_xll.BDP("791740E6 Muni","SPREAD_AT_ISSUANCE_TO_WORST")</f>
        <v>16.600275087785654</v>
      </c>
      <c r="H1738" t="str">
        <f>_xll.BDP("791740E6 Muni","ISSUE_DT")</f>
        <v>7/13/2017</v>
      </c>
      <c r="I1738" t="str">
        <f>_xll.BDS("791740E6 Muni","MUNI_PURPOSE_SCHED", "aggregate=y")</f>
        <v>WATER UTILITY IMPS. PUBLIC IMPS. CURRENT REFUNDING</v>
      </c>
      <c r="J1738">
        <f>_xll.BDP("791740E6 Muni","CPN")</f>
        <v>3</v>
      </c>
      <c r="K1738" t="str">
        <f>_xll.BDP("791740E6 Muni","MATURITY")</f>
        <v>2/1/2023</v>
      </c>
      <c r="L1738">
        <v>840000</v>
      </c>
      <c r="M1738">
        <f>_xll.BDP("791740E6 Muni","YIELD_ON_ISSUE_DATE")</f>
        <v>1.45</v>
      </c>
      <c r="N1738">
        <f>_xll.BDP("791740E6 Muni","YTW_SPREAD_TO_MATURITY_AT_ISSU")</f>
        <v>16.600275087785654</v>
      </c>
      <c r="O1738" t="str">
        <f>_xll.BDP("791740E6 Muni","BVAL_MID_YTM")</f>
        <v>#N/A Authorization</v>
      </c>
      <c r="P1738" t="str">
        <f>_xll.BDP("791740E6 Muni","MUNI_TAX_PROV")</f>
        <v>FED BQ/ST TAX-EXEMPT</v>
      </c>
      <c r="Q1738" t="str">
        <f>_xll.BDP("791740E6 Muni","MUNI_FED_TAX")</f>
        <v>N</v>
      </c>
      <c r="R1738" t="str">
        <f>_xll.BDP("791740E6 Muni","MUNI_MSRB_VOLUME")</f>
        <v>#N/A N/A</v>
      </c>
      <c r="S1738" t="str">
        <f>_xll.BDP("791740E6 Muni","BB_COMPOSITE")</f>
        <v>#N/A N/A</v>
      </c>
      <c r="T1738">
        <f>_xll.BDP("791740E6 Muni","LQA_LIQUIDITY_SCORE")</f>
        <v>87</v>
      </c>
    </row>
    <row r="1739" spans="1:20" x14ac:dyDescent="0.25">
      <c r="A1739" t="str">
        <f>_xll.BDP("791740E7 Muni","ID_CUSIP")</f>
        <v>791740E74</v>
      </c>
      <c r="B1739" t="s">
        <v>461</v>
      </c>
      <c r="C1739" t="str">
        <f>_xll.BDP("791740E7 Muni","INSURANCE_STATUS")</f>
        <v>N</v>
      </c>
      <c r="D1739" t="str">
        <f>_xll.BDP("791740E7 Muni","STATE_CODE")</f>
        <v>MN</v>
      </c>
      <c r="E1739" t="str">
        <f>_xll.BDP("791740E7 Muni","COUNTY_LOCATION_ISSUER")</f>
        <v>Hennepin, MN</v>
      </c>
      <c r="F1739">
        <f>_xll.BDP("791740E7 Muni","DUR_ADJ_MID")</f>
        <v>1.4631804601865444</v>
      </c>
      <c r="G1739">
        <f>_xll.BDP("791740E7 Muni","SPREAD_AT_ISSUANCE_TO_WORST")</f>
        <v>19.279087257068795</v>
      </c>
      <c r="H1739" t="str">
        <f>_xll.BDP("791740E7 Muni","ISSUE_DT")</f>
        <v>7/13/2017</v>
      </c>
      <c r="I1739" t="str">
        <f>_xll.BDS("791740E7 Muni","MUNI_PURPOSE_SCHED", "aggregate=y")</f>
        <v>WATER UTILITY IMPS. PUBLIC IMPS. CURRENT REFUNDING</v>
      </c>
      <c r="J1739">
        <f>_xll.BDP("791740E7 Muni","CPN")</f>
        <v>3</v>
      </c>
      <c r="K1739" t="str">
        <f>_xll.BDP("791740E7 Muni","MATURITY")</f>
        <v>2/1/2024</v>
      </c>
      <c r="L1739">
        <v>860000</v>
      </c>
      <c r="M1739">
        <f>_xll.BDP("791740E7 Muni","YIELD_ON_ISSUE_DATE")</f>
        <v>1.62</v>
      </c>
      <c r="N1739">
        <f>_xll.BDP("791740E7 Muni","YTW_SPREAD_TO_MATURITY_AT_ISSU")</f>
        <v>19.279087257068795</v>
      </c>
      <c r="O1739" t="str">
        <f>_xll.BDP("791740E7 Muni","BVAL_MID_YTM")</f>
        <v>#N/A Authorization</v>
      </c>
      <c r="P1739" t="str">
        <f>_xll.BDP("791740E7 Muni","MUNI_TAX_PROV")</f>
        <v>FED BQ/ST TAX-EXEMPT</v>
      </c>
      <c r="Q1739" t="str">
        <f>_xll.BDP("791740E7 Muni","MUNI_FED_TAX")</f>
        <v>N</v>
      </c>
      <c r="R1739" t="str">
        <f>_xll.BDP("791740E7 Muni","MUNI_MSRB_VOLUME")</f>
        <v>#N/A N/A</v>
      </c>
      <c r="S1739" t="str">
        <f>_xll.BDP("791740E7 Muni","BB_COMPOSITE")</f>
        <v>#N/A N/A</v>
      </c>
      <c r="T1739">
        <f>_xll.BDP("791740E7 Muni","LQA_LIQUIDITY_SCORE")</f>
        <v>71</v>
      </c>
    </row>
    <row r="1740" spans="1:20" x14ac:dyDescent="0.25">
      <c r="A1740" t="str">
        <f>_xll.BDP("659666VZ Muni","ID_CUSIP")</f>
        <v>659666VZ1</v>
      </c>
      <c r="B1740" t="s">
        <v>49</v>
      </c>
      <c r="C1740" t="str">
        <f>_xll.BDP("659666VZ Muni","INSURANCE_STATUS")</f>
        <v>N</v>
      </c>
      <c r="D1740" t="str">
        <f>_xll.BDP("659666VZ Muni","STATE_CODE")</f>
        <v>NY</v>
      </c>
      <c r="E1740" t="str">
        <f>_xll.BDP("659666VZ Muni","COUNTY_LOCATION_ISSUER")</f>
        <v>Nassau, NY</v>
      </c>
      <c r="F1740">
        <f>_xll.BDP("659666VZ Muni","DUR_ADJ_MID")</f>
        <v>0.11934926155612113</v>
      </c>
      <c r="G1740">
        <f>_xll.BDP("659666VZ Muni","SPREAD_AT_ISSUANCE_TO_WORST")</f>
        <v>0.37509599017837569</v>
      </c>
      <c r="H1740" t="str">
        <f>_xll.BDP("659666VZ Muni","ISSUE_DT")</f>
        <v>9/27/2017</v>
      </c>
      <c r="I1740" t="str">
        <f>_xll.BDS("659666VZ Muni","MUNI_PURPOSE_SCHED", "aggregate=y")</f>
        <v>WATER UTILITY IMPS. REFUNDING NOTES</v>
      </c>
      <c r="J1740">
        <f>_xll.BDP("659666VZ Muni","CPN")</f>
        <v>3</v>
      </c>
      <c r="K1740" t="str">
        <f>_xll.BDP("659666VZ Muni","MATURITY")</f>
        <v>9/15/2022</v>
      </c>
      <c r="L1740">
        <v>120000</v>
      </c>
      <c r="M1740">
        <f>_xll.BDP("659666VZ Muni","YIELD_ON_ISSUE_DATE")</f>
        <v>1.21</v>
      </c>
      <c r="N1740">
        <f>_xll.BDP("659666VZ Muni","YTW_SPREAD_TO_MATURITY_AT_ISSU")</f>
        <v>0.37509599017837569</v>
      </c>
      <c r="O1740" t="str">
        <f>_xll.BDP("659666VZ Muni","BVAL_MID_YTM")</f>
        <v>#N/A Authorization</v>
      </c>
      <c r="P1740" t="str">
        <f>_xll.BDP("659666VZ Muni","MUNI_TAX_PROV")</f>
        <v>FED &amp; ST TAX-EXEMPT</v>
      </c>
      <c r="Q1740" t="str">
        <f>_xll.BDP("659666VZ Muni","MUNI_FED_TAX")</f>
        <v>N</v>
      </c>
      <c r="R1740" t="str">
        <f>_xll.BDP("659666VZ Muni","MUNI_MSRB_VOLUME")</f>
        <v>#N/A N/A</v>
      </c>
      <c r="S1740" t="str">
        <f>_xll.BDP("659666VZ Muni","BB_COMPOSITE")</f>
        <v>#N/A N/A</v>
      </c>
      <c r="T1740">
        <f>_xll.BDP("659666VZ Muni","LQA_LIQUIDITY_SCORE")</f>
        <v>95</v>
      </c>
    </row>
    <row r="1741" spans="1:20" x14ac:dyDescent="0.25">
      <c r="A1741" t="str">
        <f>_xll.BDP("659666WA Muni","ID_CUSIP")</f>
        <v>659666WA5</v>
      </c>
      <c r="B1741" t="s">
        <v>49</v>
      </c>
      <c r="C1741" t="str">
        <f>_xll.BDP("659666WA Muni","INSURANCE_STATUS")</f>
        <v>N</v>
      </c>
      <c r="D1741" t="str">
        <f>_xll.BDP("659666WA Muni","STATE_CODE")</f>
        <v>NY</v>
      </c>
      <c r="E1741" t="str">
        <f>_xll.BDP("659666WA Muni","COUNTY_LOCATION_ISSUER")</f>
        <v>Nassau, NY</v>
      </c>
      <c r="F1741">
        <f>_xll.BDP("659666WA Muni","DUR_ADJ_MID")</f>
        <v>1.0908195571437431</v>
      </c>
      <c r="G1741">
        <f>_xll.BDP("659666WA Muni","SPREAD_AT_ISSUANCE_TO_WORST")</f>
        <v>-1.026243077022726</v>
      </c>
      <c r="H1741" t="str">
        <f>_xll.BDP("659666WA Muni","ISSUE_DT")</f>
        <v>9/27/2017</v>
      </c>
      <c r="I1741" t="str">
        <f>_xll.BDS("659666WA Muni","MUNI_PURPOSE_SCHED", "aggregate=y")</f>
        <v>WATER UTILITY IMPS. REFUNDING NOTES</v>
      </c>
      <c r="J1741">
        <f>_xll.BDP("659666WA Muni","CPN")</f>
        <v>3</v>
      </c>
      <c r="K1741" t="str">
        <f>_xll.BDP("659666WA Muni","MATURITY")</f>
        <v>9/15/2023</v>
      </c>
      <c r="L1741">
        <v>125000</v>
      </c>
      <c r="M1741">
        <f>_xll.BDP("659666WA Muni","YIELD_ON_ISSUE_DATE")</f>
        <v>1.34</v>
      </c>
      <c r="N1741">
        <f>_xll.BDP("659666WA Muni","YTW_SPREAD_TO_MATURITY_AT_ISSU")</f>
        <v>-1.026243077022726</v>
      </c>
      <c r="O1741" t="str">
        <f>_xll.BDP("659666WA Muni","BVAL_MID_YTM")</f>
        <v>#N/A Authorization</v>
      </c>
      <c r="P1741" t="str">
        <f>_xll.BDP("659666WA Muni","MUNI_TAX_PROV")</f>
        <v>FED &amp; ST TAX-EXEMPT</v>
      </c>
      <c r="Q1741" t="str">
        <f>_xll.BDP("659666WA Muni","MUNI_FED_TAX")</f>
        <v>N</v>
      </c>
      <c r="R1741" t="str">
        <f>_xll.BDP("659666WA Muni","MUNI_MSRB_VOLUME")</f>
        <v>#N/A N/A</v>
      </c>
      <c r="S1741" t="str">
        <f>_xll.BDP("659666WA Muni","BB_COMPOSITE")</f>
        <v>#N/A N/A</v>
      </c>
      <c r="T1741">
        <f>_xll.BDP("659666WA Muni","LQA_LIQUIDITY_SCORE")</f>
        <v>73</v>
      </c>
    </row>
    <row r="1742" spans="1:20" x14ac:dyDescent="0.25">
      <c r="A1742" t="str">
        <f>_xll.BDP("659666WC Muni","ID_CUSIP")</f>
        <v>659666WC1</v>
      </c>
      <c r="B1742" t="s">
        <v>49</v>
      </c>
      <c r="C1742" t="str">
        <f>_xll.BDP("659666WC Muni","INSURANCE_STATUS")</f>
        <v>N</v>
      </c>
      <c r="D1742" t="str">
        <f>_xll.BDP("659666WC Muni","STATE_CODE")</f>
        <v>NY</v>
      </c>
      <c r="E1742" t="str">
        <f>_xll.BDP("659666WC Muni","COUNTY_LOCATION_ISSUER")</f>
        <v>Nassau, NY</v>
      </c>
      <c r="F1742">
        <f>_xll.BDP("659666WC Muni","DUR_ADJ_MID")</f>
        <v>2.9493818396768154</v>
      </c>
      <c r="G1742">
        <f>_xll.BDP("659666WC Muni","SPREAD_AT_ISSUANCE_TO_WORST")</f>
        <v>2.2498917252468109</v>
      </c>
      <c r="H1742" t="str">
        <f>_xll.BDP("659666WC Muni","ISSUE_DT")</f>
        <v>9/27/2017</v>
      </c>
      <c r="I1742" t="str">
        <f>_xll.BDS("659666WC Muni","MUNI_PURPOSE_SCHED", "aggregate=y")</f>
        <v>WATER UTILITY IMPS. REFUNDING NOTES</v>
      </c>
      <c r="J1742">
        <f>_xll.BDP("659666WC Muni","CPN")</f>
        <v>3</v>
      </c>
      <c r="K1742" t="str">
        <f>_xll.BDP("659666WC Muni","MATURITY")</f>
        <v>9/15/2025</v>
      </c>
      <c r="L1742">
        <v>130000</v>
      </c>
      <c r="M1742">
        <f>_xll.BDP("659666WC Muni","YIELD_ON_ISSUE_DATE")</f>
        <v>1.67</v>
      </c>
      <c r="N1742">
        <f>_xll.BDP("659666WC Muni","YTW_SPREAD_TO_MATURITY_AT_ISSU")</f>
        <v>2.2498917252468109</v>
      </c>
      <c r="O1742" t="str">
        <f>_xll.BDP("659666WC Muni","BVAL_MID_YTM")</f>
        <v>#N/A Authorization</v>
      </c>
      <c r="P1742" t="str">
        <f>_xll.BDP("659666WC Muni","MUNI_TAX_PROV")</f>
        <v>FED &amp; ST TAX-EXEMPT</v>
      </c>
      <c r="Q1742" t="str">
        <f>_xll.BDP("659666WC Muni","MUNI_FED_TAX")</f>
        <v>N</v>
      </c>
      <c r="R1742" t="str">
        <f>_xll.BDP("659666WC Muni","MUNI_MSRB_VOLUME")</f>
        <v>#N/A N/A</v>
      </c>
      <c r="S1742" t="str">
        <f>_xll.BDP("659666WC Muni","BB_COMPOSITE")</f>
        <v>#N/A N/A</v>
      </c>
      <c r="T1742">
        <f>_xll.BDP("659666WC Muni","LQA_LIQUIDITY_SCORE")</f>
        <v>70</v>
      </c>
    </row>
    <row r="1743" spans="1:20" x14ac:dyDescent="0.25">
      <c r="A1743" t="str">
        <f>_xll.BDP("659666XF Muni","ID_CUSIP")</f>
        <v>659666XF3</v>
      </c>
      <c r="B1743" t="s">
        <v>49</v>
      </c>
      <c r="C1743" t="str">
        <f>_xll.BDP("659666XF Muni","INSURANCE_STATUS")</f>
        <v>N</v>
      </c>
      <c r="D1743" t="str">
        <f>_xll.BDP("659666XF Muni","STATE_CODE")</f>
        <v>NY</v>
      </c>
      <c r="E1743" t="str">
        <f>_xll.BDP("659666XF Muni","COUNTY_LOCATION_ISSUER")</f>
        <v>Nassau, NY</v>
      </c>
      <c r="F1743">
        <f>_xll.BDP("659666XF Muni","DUR_ADJ_MID")</f>
        <v>0.11934925683141917</v>
      </c>
      <c r="G1743">
        <f>_xll.BDP("659666XF Muni","SPREAD_AT_ISSUANCE_TO_WORST")</f>
        <v>1.3750959901783766</v>
      </c>
      <c r="H1743" t="str">
        <f>_xll.BDP("659666XF Muni","ISSUE_DT")</f>
        <v>9/27/2017</v>
      </c>
      <c r="I1743" t="str">
        <f>_xll.BDS("659666XF Muni","MUNI_PURPOSE_SCHED", "aggregate=y")</f>
        <v>RECREATIONAL FAC. IMPS. WATER UTILITY IMPS. REFUNDING NOTES</v>
      </c>
      <c r="J1743">
        <f>_xll.BDP("659666XF Muni","CPN")</f>
        <v>2</v>
      </c>
      <c r="K1743" t="str">
        <f>_xll.BDP("659666XF Muni","MATURITY")</f>
        <v>9/15/2022</v>
      </c>
      <c r="L1743">
        <v>1055000</v>
      </c>
      <c r="M1743">
        <f>_xll.BDP("659666XF Muni","YIELD_ON_ISSUE_DATE")</f>
        <v>1.22</v>
      </c>
      <c r="N1743">
        <f>_xll.BDP("659666XF Muni","YTW_SPREAD_TO_MATURITY_AT_ISSU")</f>
        <v>1.3750959901783766</v>
      </c>
      <c r="O1743" t="str">
        <f>_xll.BDP("659666XF Muni","BVAL_MID_YTM")</f>
        <v>#N/A Authorization</v>
      </c>
      <c r="P1743" t="str">
        <f>_xll.BDP("659666XF Muni","MUNI_TAX_PROV")</f>
        <v>FED &amp; ST TAX-EXEMPT</v>
      </c>
      <c r="Q1743" t="str">
        <f>_xll.BDP("659666XF Muni","MUNI_FED_TAX")</f>
        <v>N</v>
      </c>
      <c r="R1743">
        <f>_xll.BDP("659666XF Muni","MUNI_MSRB_VOLUME")</f>
        <v>25000</v>
      </c>
      <c r="S1743" t="str">
        <f>_xll.BDP("659666XF Muni","BB_COMPOSITE")</f>
        <v>#N/A N/A</v>
      </c>
      <c r="T1743">
        <f>_xll.BDP("659666XF Muni","LQA_LIQUIDITY_SCORE")</f>
        <v>95</v>
      </c>
    </row>
    <row r="1744" spans="1:20" x14ac:dyDescent="0.25">
      <c r="A1744" t="str">
        <f>_xll.BDP("659666XG Muni","ID_CUSIP")</f>
        <v>659666XG1</v>
      </c>
      <c r="B1744" t="s">
        <v>49</v>
      </c>
      <c r="C1744" t="str">
        <f>_xll.BDP("659666XG Muni","INSURANCE_STATUS")</f>
        <v>N</v>
      </c>
      <c r="D1744" t="str">
        <f>_xll.BDP("659666XG Muni","STATE_CODE")</f>
        <v>NY</v>
      </c>
      <c r="E1744" t="str">
        <f>_xll.BDP("659666XG Muni","COUNTY_LOCATION_ISSUER")</f>
        <v>Nassau, NY</v>
      </c>
      <c r="F1744">
        <f>_xll.BDP("659666XG Muni","DUR_ADJ_MID")</f>
        <v>1.0978145668831478</v>
      </c>
      <c r="G1744">
        <f>_xll.BDP("659666XG Muni","SPREAD_AT_ISSUANCE_TO_WORST")</f>
        <v>-2.6243077022725103E-2</v>
      </c>
      <c r="H1744" t="str">
        <f>_xll.BDP("659666XG Muni","ISSUE_DT")</f>
        <v>9/27/2017</v>
      </c>
      <c r="I1744" t="str">
        <f>_xll.BDS("659666XG Muni","MUNI_PURPOSE_SCHED", "aggregate=y")</f>
        <v>RECREATIONAL FAC. IMPS. WATER UTILITY IMPS. REFUNDING NOTES</v>
      </c>
      <c r="J1744">
        <f>_xll.BDP("659666XG Muni","CPN")</f>
        <v>2</v>
      </c>
      <c r="K1744" t="str">
        <f>_xll.BDP("659666XG Muni","MATURITY")</f>
        <v>9/15/2023</v>
      </c>
      <c r="L1744">
        <v>1070000</v>
      </c>
      <c r="M1744">
        <f>_xll.BDP("659666XG Muni","YIELD_ON_ISSUE_DATE")</f>
        <v>1.35</v>
      </c>
      <c r="N1744">
        <f>_xll.BDP("659666XG Muni","YTW_SPREAD_TO_MATURITY_AT_ISSU")</f>
        <v>-2.6243077022725103E-2</v>
      </c>
      <c r="O1744" t="str">
        <f>_xll.BDP("659666XG Muni","BVAL_MID_YTM")</f>
        <v>#N/A Authorization</v>
      </c>
      <c r="P1744" t="str">
        <f>_xll.BDP("659666XG Muni","MUNI_TAX_PROV")</f>
        <v>FED &amp; ST TAX-EXEMPT</v>
      </c>
      <c r="Q1744" t="str">
        <f>_xll.BDP("659666XG Muni","MUNI_FED_TAX")</f>
        <v>N</v>
      </c>
      <c r="R1744" t="str">
        <f>_xll.BDP("659666XG Muni","MUNI_MSRB_VOLUME")</f>
        <v>#N/A N/A</v>
      </c>
      <c r="S1744" t="str">
        <f>_xll.BDP("659666XG Muni","BB_COMPOSITE")</f>
        <v>#N/A N/A</v>
      </c>
      <c r="T1744">
        <f>_xll.BDP("659666XG Muni","LQA_LIQUIDITY_SCORE")</f>
        <v>67</v>
      </c>
    </row>
    <row r="1745" spans="1:20" x14ac:dyDescent="0.25">
      <c r="A1745" t="str">
        <f>_xll.BDP("659666XJ Muni","ID_CUSIP")</f>
        <v>659666XJ5</v>
      </c>
      <c r="B1745" t="s">
        <v>49</v>
      </c>
      <c r="C1745" t="str">
        <f>_xll.BDP("659666XJ Muni","INSURANCE_STATUS")</f>
        <v>N</v>
      </c>
      <c r="D1745" t="str">
        <f>_xll.BDP("659666XJ Muni","STATE_CODE")</f>
        <v>NY</v>
      </c>
      <c r="E1745" t="str">
        <f>_xll.BDP("659666XJ Muni","COUNTY_LOCATION_ISSUER")</f>
        <v>Nassau, NY</v>
      </c>
      <c r="F1745">
        <f>_xll.BDP("659666XJ Muni","DUR_ADJ_MID")</f>
        <v>2.994783235157592</v>
      </c>
      <c r="G1745">
        <f>_xll.BDP("659666XJ Muni","SPREAD_AT_ISSUANCE_TO_WORST")</f>
        <v>5.2498917252468136</v>
      </c>
      <c r="H1745" t="str">
        <f>_xll.BDP("659666XJ Muni","ISSUE_DT")</f>
        <v>9/27/2017</v>
      </c>
      <c r="I1745" t="str">
        <f>_xll.BDS("659666XJ Muni","MUNI_PURPOSE_SCHED", "aggregate=y")</f>
        <v>RECREATIONAL FAC. IMPS. WATER UTILITY IMPS. REFUNDING NOTES</v>
      </c>
      <c r="J1745">
        <f>_xll.BDP("659666XJ Muni","CPN")</f>
        <v>2</v>
      </c>
      <c r="K1745" t="str">
        <f>_xll.BDP("659666XJ Muni","MATURITY")</f>
        <v>9/15/2025</v>
      </c>
      <c r="L1745">
        <v>1105000</v>
      </c>
      <c r="M1745">
        <f>_xll.BDP("659666XJ Muni","YIELD_ON_ISSUE_DATE")</f>
        <v>1.7000000000000002</v>
      </c>
      <c r="N1745">
        <f>_xll.BDP("659666XJ Muni","YTW_SPREAD_TO_MATURITY_AT_ISSU")</f>
        <v>5.2498917252468136</v>
      </c>
      <c r="O1745" t="str">
        <f>_xll.BDP("659666XJ Muni","BVAL_MID_YTM")</f>
        <v>#N/A Authorization</v>
      </c>
      <c r="P1745" t="str">
        <f>_xll.BDP("659666XJ Muni","MUNI_TAX_PROV")</f>
        <v>FED &amp; ST TAX-EXEMPT</v>
      </c>
      <c r="Q1745" t="str">
        <f>_xll.BDP("659666XJ Muni","MUNI_FED_TAX")</f>
        <v>N</v>
      </c>
      <c r="R1745">
        <f>_xll.BDP("659666XJ Muni","MUNI_MSRB_VOLUME")</f>
        <v>40000</v>
      </c>
      <c r="S1745" t="str">
        <f>_xll.BDP("659666XJ Muni","BB_COMPOSITE")</f>
        <v>#N/A N/A</v>
      </c>
      <c r="T1745">
        <f>_xll.BDP("659666XJ Muni","LQA_LIQUIDITY_SCORE")</f>
        <v>62</v>
      </c>
    </row>
    <row r="1746" spans="1:20" x14ac:dyDescent="0.25">
      <c r="A1746" t="str">
        <f>_xll.BDP("66416DFU Muni","ID_CUSIP")</f>
        <v>66416DFU9</v>
      </c>
      <c r="B1746" t="s">
        <v>472</v>
      </c>
      <c r="C1746" t="str">
        <f>_xll.BDP("66416DFU Muni","INSURANCE_STATUS")</f>
        <v>Y</v>
      </c>
      <c r="D1746" t="str">
        <f>_xll.BDP("66416DFU Muni","STATE_CODE")</f>
        <v>TX</v>
      </c>
      <c r="E1746" t="str">
        <f>_xll.BDP("66416DFU Muni","COUNTY_LOCATION_ISSUER")</f>
        <v>Harris, TX</v>
      </c>
      <c r="F1746">
        <f>_xll.BDP("66416DFU Muni","DUR_ADJ_MID")</f>
        <v>8.0466371697322556E-2</v>
      </c>
      <c r="G1746">
        <f>_xll.BDP("66416DFU Muni","SPREAD_AT_ISSUANCE_TO_WORST")</f>
        <v>87.186060114626727</v>
      </c>
      <c r="H1746" t="str">
        <f>_xll.BDP("66416DFU Muni","ISSUE_DT")</f>
        <v>8/1/2017</v>
      </c>
      <c r="I1746" t="str">
        <f>_xll.BDS("66416DFU Muni","MUNI_PURPOSE_SCHED", "aggregate=y")</f>
        <v>WATER UTILITY IMPS. SEWER IMPS. PUBLIC IMPS.</v>
      </c>
      <c r="J1746">
        <f>_xll.BDP("66416DFU Muni","CPN")</f>
        <v>5.5</v>
      </c>
      <c r="K1746" t="str">
        <f>_xll.BDP("66416DFU Muni","MATURITY")</f>
        <v>9/1/2022</v>
      </c>
      <c r="L1746">
        <v>50000</v>
      </c>
      <c r="M1746">
        <f>_xll.BDP("66416DFU Muni","YIELD_ON_ISSUE_DATE")</f>
        <v>2.25</v>
      </c>
      <c r="N1746">
        <f>_xll.BDP("66416DFU Muni","YTW_SPREAD_TO_MATURITY_AT_ISSU")</f>
        <v>87.186060114626727</v>
      </c>
      <c r="O1746" t="str">
        <f>_xll.BDP("66416DFU Muni","BVAL_MID_YTM")</f>
        <v>#N/A Authorization</v>
      </c>
      <c r="P1746" t="str">
        <f>_xll.BDP("66416DFU Muni","MUNI_TAX_PROV")</f>
        <v>FED BQ</v>
      </c>
      <c r="Q1746" t="str">
        <f>_xll.BDP("66416DFU Muni","MUNI_FED_TAX")</f>
        <v>N</v>
      </c>
      <c r="R1746" t="str">
        <f>_xll.BDP("66416DFU Muni","MUNI_MSRB_VOLUME")</f>
        <v>#N/A N/A</v>
      </c>
      <c r="S1746" t="str">
        <f>_xll.BDP("66416DFU Muni","BB_COMPOSITE")</f>
        <v>A-</v>
      </c>
      <c r="T1746">
        <f>_xll.BDP("66416DFU Muni","LQA_LIQUIDITY_SCORE")</f>
        <v>98</v>
      </c>
    </row>
    <row r="1747" spans="1:20" x14ac:dyDescent="0.25">
      <c r="A1747" t="str">
        <f>_xll.BDP("66416DFV Muni","ID_CUSIP")</f>
        <v>66416DFV7</v>
      </c>
      <c r="B1747" t="s">
        <v>472</v>
      </c>
      <c r="C1747" t="str">
        <f>_xll.BDP("66416DFV Muni","INSURANCE_STATUS")</f>
        <v>Y</v>
      </c>
      <c r="D1747" t="str">
        <f>_xll.BDP("66416DFV Muni","STATE_CODE")</f>
        <v>TX</v>
      </c>
      <c r="E1747" t="str">
        <f>_xll.BDP("66416DFV Muni","COUNTY_LOCATION_ISSUER")</f>
        <v>Harris, TX</v>
      </c>
      <c r="F1747">
        <f>_xll.BDP("66416DFV Muni","DUR_ADJ_MID")</f>
        <v>1.0316623224795303</v>
      </c>
      <c r="G1747">
        <f>_xll.BDP("66416DFV Muni","SPREAD_AT_ISSUANCE_TO_WORST")</f>
        <v>87.722576974312986</v>
      </c>
      <c r="H1747" t="str">
        <f>_xll.BDP("66416DFV Muni","ISSUE_DT")</f>
        <v>8/1/2017</v>
      </c>
      <c r="I1747" t="str">
        <f>_xll.BDS("66416DFV Muni","MUNI_PURPOSE_SCHED", "aggregate=y")</f>
        <v>WATER UTILITY IMPS. SEWER IMPS. PUBLIC IMPS.</v>
      </c>
      <c r="J1747">
        <f>_xll.BDP("66416DFV Muni","CPN")</f>
        <v>5.5</v>
      </c>
      <c r="K1747" t="str">
        <f>_xll.BDP("66416DFV Muni","MATURITY")</f>
        <v>9/1/2023</v>
      </c>
      <c r="L1747">
        <v>55000</v>
      </c>
      <c r="M1747">
        <f>_xll.BDP("66416DFV Muni","YIELD_ON_ISSUE_DATE")</f>
        <v>2.4000000000000004</v>
      </c>
      <c r="N1747">
        <f>_xll.BDP("66416DFV Muni","YTW_SPREAD_TO_MATURITY_AT_ISSU")</f>
        <v>87.722576974312986</v>
      </c>
      <c r="O1747" t="str">
        <f>_xll.BDP("66416DFV Muni","BVAL_MID_YTM")</f>
        <v>#N/A Authorization</v>
      </c>
      <c r="P1747" t="str">
        <f>_xll.BDP("66416DFV Muni","MUNI_TAX_PROV")</f>
        <v>FED BQ</v>
      </c>
      <c r="Q1747" t="str">
        <f>_xll.BDP("66416DFV Muni","MUNI_FED_TAX")</f>
        <v>N</v>
      </c>
      <c r="R1747" t="str">
        <f>_xll.BDP("66416DFV Muni","MUNI_MSRB_VOLUME")</f>
        <v>#N/A N/A</v>
      </c>
      <c r="S1747" t="str">
        <f>_xll.BDP("66416DFV Muni","BB_COMPOSITE")</f>
        <v>A-</v>
      </c>
      <c r="T1747">
        <f>_xll.BDP("66416DFV Muni","LQA_LIQUIDITY_SCORE")</f>
        <v>93</v>
      </c>
    </row>
    <row r="1748" spans="1:20" x14ac:dyDescent="0.25">
      <c r="A1748" t="str">
        <f>_xll.BDP("66416DFW Muni","ID_CUSIP")</f>
        <v>66416DFW5</v>
      </c>
      <c r="B1748" t="s">
        <v>472</v>
      </c>
      <c r="C1748" t="str">
        <f>_xll.BDP("66416DFW Muni","INSURANCE_STATUS")</f>
        <v>Y</v>
      </c>
      <c r="D1748" t="str">
        <f>_xll.BDP("66416DFW Muni","STATE_CODE")</f>
        <v>TX</v>
      </c>
      <c r="E1748" t="str">
        <f>_xll.BDP("66416DFW Muni","COUNTY_LOCATION_ISSUER")</f>
        <v>Harris, TX</v>
      </c>
      <c r="F1748">
        <f>_xll.BDP("66416DFW Muni","DUR_ADJ_MID")</f>
        <v>1.9346163868193569</v>
      </c>
      <c r="G1748">
        <f>_xll.BDP("66416DFW Muni","SPREAD_AT_ISSUANCE_TO_WORST")</f>
        <v>82.950440746582103</v>
      </c>
      <c r="H1748" t="str">
        <f>_xll.BDP("66416DFW Muni","ISSUE_DT")</f>
        <v>8/1/2017</v>
      </c>
      <c r="I1748" t="str">
        <f>_xll.BDS("66416DFW Muni","MUNI_PURPOSE_SCHED", "aggregate=y")</f>
        <v>WATER UTILITY IMPS. SEWER IMPS. PUBLIC IMPS.</v>
      </c>
      <c r="J1748">
        <f>_xll.BDP("66416DFW Muni","CPN")</f>
        <v>5.5</v>
      </c>
      <c r="K1748" t="str">
        <f>_xll.BDP("66416DFW Muni","MATURITY")</f>
        <v>9/1/2024</v>
      </c>
      <c r="L1748">
        <v>55000</v>
      </c>
      <c r="M1748">
        <f>_xll.BDP("66416DFW Muni","YIELD_ON_ISSUE_DATE")</f>
        <v>2.5</v>
      </c>
      <c r="N1748">
        <f>_xll.BDP("66416DFW Muni","YTW_SPREAD_TO_MATURITY_AT_ISSU")</f>
        <v>82.950440746582103</v>
      </c>
      <c r="O1748" t="str">
        <f>_xll.BDP("66416DFW Muni","BVAL_MID_YTM")</f>
        <v>#N/A Authorization</v>
      </c>
      <c r="P1748" t="str">
        <f>_xll.BDP("66416DFW Muni","MUNI_TAX_PROV")</f>
        <v>FED BQ</v>
      </c>
      <c r="Q1748" t="str">
        <f>_xll.BDP("66416DFW Muni","MUNI_FED_TAX")</f>
        <v>N</v>
      </c>
      <c r="R1748" t="str">
        <f>_xll.BDP("66416DFW Muni","MUNI_MSRB_VOLUME")</f>
        <v>#N/A N/A</v>
      </c>
      <c r="S1748" t="str">
        <f>_xll.BDP("66416DFW Muni","BB_COMPOSITE")</f>
        <v>A-</v>
      </c>
      <c r="T1748">
        <f>_xll.BDP("66416DFW Muni","LQA_LIQUIDITY_SCORE")</f>
        <v>83</v>
      </c>
    </row>
    <row r="1749" spans="1:20" x14ac:dyDescent="0.25">
      <c r="A1749" t="str">
        <f>_xll.BDP("664387MX Muni","ID_CUSIP")</f>
        <v>664387MX2</v>
      </c>
      <c r="B1749" t="s">
        <v>473</v>
      </c>
      <c r="C1749" t="str">
        <f>_xll.BDP("664387MX Muni","INSURANCE_STATUS")</f>
        <v>Y</v>
      </c>
      <c r="D1749" t="str">
        <f>_xll.BDP("664387MX Muni","STATE_CODE")</f>
        <v>TX</v>
      </c>
      <c r="E1749" t="str">
        <f>_xll.BDP("664387MX Muni","COUNTY_LOCATION_ISSUER")</f>
        <v>Travis, TX</v>
      </c>
      <c r="F1749">
        <f>_xll.BDP("664387MX Muni","DUR_ADJ_MID")</f>
        <v>8.0489198141356535E-2</v>
      </c>
      <c r="G1749">
        <f>_xll.BDP("664387MX Muni","SPREAD_AT_ISSUANCE_TO_WORST")</f>
        <v>93.608975342465769</v>
      </c>
      <c r="H1749" t="str">
        <f>_xll.BDP("664387MX Muni","ISSUE_DT")</f>
        <v>10/31/2017</v>
      </c>
      <c r="I1749" t="str">
        <f>_xll.BDS("664387MX Muni","MUNI_PURPOSE_SCHED", "aggregate=y")</f>
        <v>WATER UTILITY IMPS. SEWER IMPS.</v>
      </c>
      <c r="J1749">
        <f>_xll.BDP("664387MX Muni","CPN")</f>
        <v>4</v>
      </c>
      <c r="K1749" t="str">
        <f>_xll.BDP("664387MX Muni","MATURITY")</f>
        <v>9/1/2022</v>
      </c>
      <c r="L1749">
        <v>5000</v>
      </c>
      <c r="M1749">
        <f>_xll.BDP("664387MX Muni","YIELD_ON_ISSUE_DATE")</f>
        <v>2.2000000000000002</v>
      </c>
      <c r="N1749">
        <f>_xll.BDP("664387MX Muni","YTW_SPREAD_TO_MATURITY_AT_ISSU")</f>
        <v>93.608975342465769</v>
      </c>
      <c r="O1749" t="str">
        <f>_xll.BDP("664387MX Muni","BVAL_MID_YTM")</f>
        <v>#N/A Authorization</v>
      </c>
      <c r="P1749" t="str">
        <f>_xll.BDP("664387MX Muni","MUNI_TAX_PROV")</f>
        <v>FED BQ</v>
      </c>
      <c r="Q1749" t="str">
        <f>_xll.BDP("664387MX Muni","MUNI_FED_TAX")</f>
        <v>N</v>
      </c>
      <c r="R1749" t="str">
        <f>_xll.BDP("664387MX Muni","MUNI_MSRB_VOLUME")</f>
        <v>#N/A N/A</v>
      </c>
      <c r="S1749" t="str">
        <f>_xll.BDP("664387MX Muni","BB_COMPOSITE")</f>
        <v>A+</v>
      </c>
      <c r="T1749">
        <f>_xll.BDP("664387MX Muni","LQA_LIQUIDITY_SCORE")</f>
        <v>99</v>
      </c>
    </row>
    <row r="1750" spans="1:20" x14ac:dyDescent="0.25">
      <c r="A1750" t="str">
        <f>_xll.BDP("664387MY Muni","ID_CUSIP")</f>
        <v>664387MY0</v>
      </c>
      <c r="B1750" t="s">
        <v>473</v>
      </c>
      <c r="C1750" t="str">
        <f>_xll.BDP("664387MY Muni","INSURANCE_STATUS")</f>
        <v>Y</v>
      </c>
      <c r="D1750" t="str">
        <f>_xll.BDP("664387MY Muni","STATE_CODE")</f>
        <v>TX</v>
      </c>
      <c r="E1750" t="str">
        <f>_xll.BDP("664387MY Muni","COUNTY_LOCATION_ISSUER")</f>
        <v>Travis, TX</v>
      </c>
      <c r="F1750">
        <f>_xll.BDP("664387MY Muni","DUR_ADJ_MID")</f>
        <v>1.0434375952619614</v>
      </c>
      <c r="G1750">
        <f>_xll.BDP("664387MY Muni","SPREAD_AT_ISSUANCE_TO_WORST")</f>
        <v>90.082772602739709</v>
      </c>
      <c r="H1750" t="str">
        <f>_xll.BDP("664387MY Muni","ISSUE_DT")</f>
        <v>10/31/2017</v>
      </c>
      <c r="I1750" t="str">
        <f>_xll.BDS("664387MY Muni","MUNI_PURPOSE_SCHED", "aggregate=y")</f>
        <v>WATER UTILITY IMPS. SEWER IMPS.</v>
      </c>
      <c r="J1750">
        <f>_xll.BDP("664387MY Muni","CPN")</f>
        <v>4</v>
      </c>
      <c r="K1750" t="str">
        <f>_xll.BDP("664387MY Muni","MATURITY")</f>
        <v>9/1/2023</v>
      </c>
      <c r="L1750">
        <v>5000</v>
      </c>
      <c r="M1750">
        <f>_xll.BDP("664387MY Muni","YIELD_ON_ISSUE_DATE")</f>
        <v>2.3000000000000003</v>
      </c>
      <c r="N1750">
        <f>_xll.BDP("664387MY Muni","YTW_SPREAD_TO_MATURITY_AT_ISSU")</f>
        <v>90.082772602739709</v>
      </c>
      <c r="O1750" t="str">
        <f>_xll.BDP("664387MY Muni","BVAL_MID_YTM")</f>
        <v>#N/A Authorization</v>
      </c>
      <c r="P1750" t="str">
        <f>_xll.BDP("664387MY Muni","MUNI_TAX_PROV")</f>
        <v>FED BQ</v>
      </c>
      <c r="Q1750" t="str">
        <f>_xll.BDP("664387MY Muni","MUNI_FED_TAX")</f>
        <v>N</v>
      </c>
      <c r="R1750" t="str">
        <f>_xll.BDP("664387MY Muni","MUNI_MSRB_VOLUME")</f>
        <v>#N/A N/A</v>
      </c>
      <c r="S1750" t="str">
        <f>_xll.BDP("664387MY Muni","BB_COMPOSITE")</f>
        <v>A+</v>
      </c>
      <c r="T1750">
        <f>_xll.BDP("664387MY Muni","LQA_LIQUIDITY_SCORE")</f>
        <v>89</v>
      </c>
    </row>
    <row r="1751" spans="1:20" x14ac:dyDescent="0.25">
      <c r="A1751" t="str">
        <f>_xll.BDP("664387MZ Muni","ID_CUSIP")</f>
        <v>664387MZ7</v>
      </c>
      <c r="B1751" t="s">
        <v>473</v>
      </c>
      <c r="C1751" t="str">
        <f>_xll.BDP("664387MZ Muni","INSURANCE_STATUS")</f>
        <v>Y</v>
      </c>
      <c r="D1751" t="str">
        <f>_xll.BDP("664387MZ Muni","STATE_CODE")</f>
        <v>TX</v>
      </c>
      <c r="E1751" t="str">
        <f>_xll.BDP("664387MZ Muni","COUNTY_LOCATION_ISSUER")</f>
        <v>Travis, TX</v>
      </c>
      <c r="F1751">
        <f>_xll.BDP("664387MZ Muni","DUR_ADJ_MID")</f>
        <v>1.9689841682080365</v>
      </c>
      <c r="G1751">
        <f>_xll.BDP("664387MZ Muni","SPREAD_AT_ISSUANCE_TO_WORST")</f>
        <v>86.074876712328759</v>
      </c>
      <c r="H1751" t="str">
        <f>_xll.BDP("664387MZ Muni","ISSUE_DT")</f>
        <v>10/31/2017</v>
      </c>
      <c r="I1751" t="str">
        <f>_xll.BDS("664387MZ Muni","MUNI_PURPOSE_SCHED", "aggregate=y")</f>
        <v>WATER UTILITY IMPS. SEWER IMPS.</v>
      </c>
      <c r="J1751">
        <f>_xll.BDP("664387MZ Muni","CPN")</f>
        <v>4</v>
      </c>
      <c r="K1751" t="str">
        <f>_xll.BDP("664387MZ Muni","MATURITY")</f>
        <v>9/1/2024</v>
      </c>
      <c r="L1751">
        <v>5000</v>
      </c>
      <c r="M1751">
        <f>_xll.BDP("664387MZ Muni","YIELD_ON_ISSUE_DATE")</f>
        <v>2.4000000000000004</v>
      </c>
      <c r="N1751">
        <f>_xll.BDP("664387MZ Muni","YTW_SPREAD_TO_MATURITY_AT_ISSU")</f>
        <v>86.074876712328759</v>
      </c>
      <c r="O1751" t="str">
        <f>_xll.BDP("664387MZ Muni","BVAL_MID_YTM")</f>
        <v>#N/A Authorization</v>
      </c>
      <c r="P1751" t="str">
        <f>_xll.BDP("664387MZ Muni","MUNI_TAX_PROV")</f>
        <v>FED BQ</v>
      </c>
      <c r="Q1751" t="str">
        <f>_xll.BDP("664387MZ Muni","MUNI_FED_TAX")</f>
        <v>N</v>
      </c>
      <c r="R1751" t="str">
        <f>_xll.BDP("664387MZ Muni","MUNI_MSRB_VOLUME")</f>
        <v>#N/A N/A</v>
      </c>
      <c r="S1751" t="str">
        <f>_xll.BDP("664387MZ Muni","BB_COMPOSITE")</f>
        <v>A+</v>
      </c>
      <c r="T1751">
        <f>_xll.BDP("664387MZ Muni","LQA_LIQUIDITY_SCORE")</f>
        <v>80</v>
      </c>
    </row>
    <row r="1752" spans="1:20" x14ac:dyDescent="0.25">
      <c r="A1752" t="str">
        <f>_xll.BDP("666412CW Muni","ID_CUSIP")</f>
        <v>666412CW9</v>
      </c>
      <c r="B1752" t="s">
        <v>474</v>
      </c>
      <c r="C1752" t="str">
        <f>_xll.BDP("666412CW Muni","INSURANCE_STATUS")</f>
        <v>Y</v>
      </c>
      <c r="D1752" t="str">
        <f>_xll.BDP("666412CW Muni","STATE_CODE")</f>
        <v>TX</v>
      </c>
      <c r="E1752" t="str">
        <f>_xll.BDP("666412CW Muni","COUNTY_LOCATION_ISSUER")</f>
        <v>Harris, TX</v>
      </c>
      <c r="F1752">
        <f>_xll.BDP("666412CW Muni","DUR_ADJ_MID")</f>
        <v>0.32889730870066508</v>
      </c>
      <c r="G1752">
        <f>_xll.BDP("666412CW Muni","SPREAD_AT_ISSUANCE_TO_WORST")</f>
        <v>70.673443835616439</v>
      </c>
      <c r="H1752" t="str">
        <f>_xll.BDP("666412CW Muni","ISSUE_DT")</f>
        <v>11/1/2017</v>
      </c>
      <c r="I1752" t="str">
        <f>_xll.BDS("666412CW Muni","MUNI_PURPOSE_SCHED", "aggregate=y")</f>
        <v>SEWER IMPS. WATER UTILITY IMPS.</v>
      </c>
      <c r="J1752">
        <f>_xll.BDP("666412CW Muni","CPN")</f>
        <v>7.5</v>
      </c>
      <c r="K1752" t="str">
        <f>_xll.BDP("666412CW Muni","MATURITY")</f>
        <v>12/1/2022</v>
      </c>
      <c r="L1752">
        <v>105000</v>
      </c>
      <c r="M1752">
        <f>_xll.BDP("666412CW Muni","YIELD_ON_ISSUE_DATE")</f>
        <v>2.1</v>
      </c>
      <c r="N1752">
        <f>_xll.BDP("666412CW Muni","YTW_SPREAD_TO_MATURITY_AT_ISSU")</f>
        <v>70.673443835616439</v>
      </c>
      <c r="O1752" t="str">
        <f>_xll.BDP("666412CW Muni","BVAL_MID_YTM")</f>
        <v>#N/A Authorization</v>
      </c>
      <c r="P1752" t="str">
        <f>_xll.BDP("666412CW Muni","MUNI_TAX_PROV")</f>
        <v>FED BQ</v>
      </c>
      <c r="Q1752" t="str">
        <f>_xll.BDP("666412CW Muni","MUNI_FED_TAX")</f>
        <v>N</v>
      </c>
      <c r="R1752" t="str">
        <f>_xll.BDP("666412CW Muni","MUNI_MSRB_VOLUME")</f>
        <v>#N/A N/A</v>
      </c>
      <c r="S1752" t="str">
        <f>_xll.BDP("666412CW Muni","BB_COMPOSITE")</f>
        <v>AA-</v>
      </c>
      <c r="T1752">
        <f>_xll.BDP("666412CW Muni","LQA_LIQUIDITY_SCORE")</f>
        <v>91</v>
      </c>
    </row>
    <row r="1753" spans="1:20" x14ac:dyDescent="0.25">
      <c r="A1753" t="str">
        <f>_xll.BDP("666412CX Muni","ID_CUSIP")</f>
        <v>666412CX7</v>
      </c>
      <c r="B1753" t="s">
        <v>474</v>
      </c>
      <c r="C1753" t="str">
        <f>_xll.BDP("666412CX Muni","INSURANCE_STATUS")</f>
        <v>Y</v>
      </c>
      <c r="D1753" t="str">
        <f>_xll.BDP("666412CX Muni","STATE_CODE")</f>
        <v>TX</v>
      </c>
      <c r="E1753" t="str">
        <f>_xll.BDP("666412CX Muni","COUNTY_LOCATION_ISSUER")</f>
        <v>Harris, TX</v>
      </c>
      <c r="F1753">
        <f>_xll.BDP("666412CX Muni","DUR_ADJ_MID")</f>
        <v>1.2656180998212931</v>
      </c>
      <c r="G1753">
        <f>_xll.BDP("666412CX Muni","SPREAD_AT_ISSUANCE_TO_WORST")</f>
        <v>67.438739726027407</v>
      </c>
      <c r="H1753" t="str">
        <f>_xll.BDP("666412CX Muni","ISSUE_DT")</f>
        <v>11/1/2017</v>
      </c>
      <c r="I1753" t="str">
        <f>_xll.BDS("666412CX Muni","MUNI_PURPOSE_SCHED", "aggregate=y")</f>
        <v>SEWER IMPS. WATER UTILITY IMPS.</v>
      </c>
      <c r="J1753">
        <f>_xll.BDP("666412CX Muni","CPN")</f>
        <v>7.5</v>
      </c>
      <c r="K1753" t="str">
        <f>_xll.BDP("666412CX Muni","MATURITY")</f>
        <v>12/1/2023</v>
      </c>
      <c r="L1753">
        <v>105000</v>
      </c>
      <c r="M1753">
        <f>_xll.BDP("666412CX Muni","YIELD_ON_ISSUE_DATE")</f>
        <v>2.2000000000000002</v>
      </c>
      <c r="N1753">
        <f>_xll.BDP("666412CX Muni","YTW_SPREAD_TO_MATURITY_AT_ISSU")</f>
        <v>67.438739726027407</v>
      </c>
      <c r="O1753" t="str">
        <f>_xll.BDP("666412CX Muni","BVAL_MID_YTM")</f>
        <v>#N/A Authorization</v>
      </c>
      <c r="P1753" t="str">
        <f>_xll.BDP("666412CX Muni","MUNI_TAX_PROV")</f>
        <v>FED BQ</v>
      </c>
      <c r="Q1753" t="str">
        <f>_xll.BDP("666412CX Muni","MUNI_FED_TAX")</f>
        <v>N</v>
      </c>
      <c r="R1753" t="str">
        <f>_xll.BDP("666412CX Muni","MUNI_MSRB_VOLUME")</f>
        <v>#N/A N/A</v>
      </c>
      <c r="S1753" t="str">
        <f>_xll.BDP("666412CX Muni","BB_COMPOSITE")</f>
        <v>AA-</v>
      </c>
      <c r="T1753">
        <f>_xll.BDP("666412CX Muni","LQA_LIQUIDITY_SCORE")</f>
        <v>83</v>
      </c>
    </row>
    <row r="1754" spans="1:20" x14ac:dyDescent="0.25">
      <c r="A1754" t="str">
        <f>_xll.BDP("666412CY Muni","ID_CUSIP")</f>
        <v>666412CY5</v>
      </c>
      <c r="B1754" t="s">
        <v>474</v>
      </c>
      <c r="C1754" t="str">
        <f>_xll.BDP("666412CY Muni","INSURANCE_STATUS")</f>
        <v>Y</v>
      </c>
      <c r="D1754" t="str">
        <f>_xll.BDP("666412CY Muni","STATE_CODE")</f>
        <v>TX</v>
      </c>
      <c r="E1754" t="str">
        <f>_xll.BDP("666412CY Muni","COUNTY_LOCATION_ISSUER")</f>
        <v>Harris, TX</v>
      </c>
      <c r="F1754">
        <f>_xll.BDP("666412CY Muni","DUR_ADJ_MID")</f>
        <v>2.1426254865203322</v>
      </c>
      <c r="G1754">
        <f>_xll.BDP("666412CY Muni","SPREAD_AT_ISSUANCE_TO_WORST")</f>
        <v>68.821397260273983</v>
      </c>
      <c r="H1754" t="str">
        <f>_xll.BDP("666412CY Muni","ISSUE_DT")</f>
        <v>11/1/2017</v>
      </c>
      <c r="I1754" t="str">
        <f>_xll.BDS("666412CY Muni","MUNI_PURPOSE_SCHED", "aggregate=y")</f>
        <v>SEWER IMPS. WATER UTILITY IMPS.</v>
      </c>
      <c r="J1754">
        <f>_xll.BDP("666412CY Muni","CPN")</f>
        <v>7.5</v>
      </c>
      <c r="K1754" t="str">
        <f>_xll.BDP("666412CY Muni","MATURITY")</f>
        <v>12/1/2024</v>
      </c>
      <c r="L1754">
        <v>100000</v>
      </c>
      <c r="M1754">
        <f>_xll.BDP("666412CY Muni","YIELD_ON_ISSUE_DATE")</f>
        <v>2.35</v>
      </c>
      <c r="N1754">
        <f>_xll.BDP("666412CY Muni","YTW_SPREAD_TO_MATURITY_AT_ISSU")</f>
        <v>68.821397260273983</v>
      </c>
      <c r="O1754" t="str">
        <f>_xll.BDP("666412CY Muni","BVAL_MID_YTM")</f>
        <v>#N/A Authorization</v>
      </c>
      <c r="P1754" t="str">
        <f>_xll.BDP("666412CY Muni","MUNI_TAX_PROV")</f>
        <v>FED BQ</v>
      </c>
      <c r="Q1754" t="str">
        <f>_xll.BDP("666412CY Muni","MUNI_FED_TAX")</f>
        <v>N</v>
      </c>
      <c r="R1754">
        <f>_xll.BDP("666412CY Muni","MUNI_MSRB_VOLUME")</f>
        <v>30000</v>
      </c>
      <c r="S1754" t="str">
        <f>_xll.BDP("666412CY Muni","BB_COMPOSITE")</f>
        <v>AA-</v>
      </c>
      <c r="T1754">
        <f>_xll.BDP("666412CY Muni","LQA_LIQUIDITY_SCORE")</f>
        <v>74</v>
      </c>
    </row>
    <row r="1755" spans="1:20" x14ac:dyDescent="0.25">
      <c r="A1755" t="str">
        <f>_xll.BDP("675568CU Muni","ID_CUSIP")</f>
        <v>675568CU1</v>
      </c>
      <c r="B1755" t="s">
        <v>475</v>
      </c>
      <c r="C1755" t="str">
        <f>_xll.BDP("675568CU Muni","INSURANCE_STATUS")</f>
        <v>N</v>
      </c>
      <c r="D1755" t="str">
        <f>_xll.BDP("675568CU Muni","STATE_CODE")</f>
        <v>GA</v>
      </c>
      <c r="E1755" t="str">
        <f>_xll.BDP("675568CU Muni","COUNTY_LOCATION_ISSUER")</f>
        <v>Oconee, GA</v>
      </c>
      <c r="F1755">
        <f>_xll.BDP("675568CU Muni","DUR_ADJ_MID")</f>
        <v>1.9513375887480073</v>
      </c>
      <c r="G1755">
        <f>_xll.BDP("675568CU Muni","SPREAD_AT_ISSUANCE_TO_WORST")</f>
        <v>14.380293150684921</v>
      </c>
      <c r="H1755" t="str">
        <f>_xll.BDP("675568CU Muni","ISSUE_DT")</f>
        <v>10/17/2017</v>
      </c>
      <c r="I1755" t="str">
        <f>_xll.BDS("675568CU Muni","MUNI_PURPOSE_SCHED", "aggregate=y")</f>
        <v>WATER UTILITY IMPS. SEWER IMPS.</v>
      </c>
      <c r="J1755">
        <f>_xll.BDP("675568CU Muni","CPN")</f>
        <v>5</v>
      </c>
      <c r="K1755" t="str">
        <f>_xll.BDP("675568CU Muni","MATURITY")</f>
        <v>9/1/2024</v>
      </c>
      <c r="L1755">
        <v>550000</v>
      </c>
      <c r="M1755">
        <f>_xll.BDP("675568CU Muni","YIELD_ON_ISSUE_DATE")</f>
        <v>1.77</v>
      </c>
      <c r="N1755">
        <f>_xll.BDP("675568CU Muni","YTW_SPREAD_TO_MATURITY_AT_ISSU")</f>
        <v>14.380293150684921</v>
      </c>
      <c r="O1755" t="str">
        <f>_xll.BDP("675568CU Muni","BVAL_MID_YTM")</f>
        <v>#N/A Authorization</v>
      </c>
      <c r="P1755" t="str">
        <f>_xll.BDP("675568CU Muni","MUNI_TAX_PROV")</f>
        <v>FED &amp; ST TAX-EXEMPT</v>
      </c>
      <c r="Q1755" t="str">
        <f>_xll.BDP("675568CU Muni","MUNI_FED_TAX")</f>
        <v>N</v>
      </c>
      <c r="R1755" t="str">
        <f>_xll.BDP("675568CU Muni","MUNI_MSRB_VOLUME")</f>
        <v>#N/A N/A</v>
      </c>
      <c r="S1755" t="str">
        <f>_xll.BDP("675568CU Muni","BB_COMPOSITE")</f>
        <v>#N/A N/A</v>
      </c>
      <c r="T1755">
        <f>_xll.BDP("675568CU Muni","LQA_LIQUIDITY_SCORE")</f>
        <v>68</v>
      </c>
    </row>
    <row r="1756" spans="1:20" x14ac:dyDescent="0.25">
      <c r="A1756" t="str">
        <f>_xll.BDP("675568CV Muni","ID_CUSIP")</f>
        <v>675568CV9</v>
      </c>
      <c r="B1756" t="s">
        <v>475</v>
      </c>
      <c r="C1756" t="str">
        <f>_xll.BDP("675568CV Muni","INSURANCE_STATUS")</f>
        <v>N</v>
      </c>
      <c r="D1756" t="str">
        <f>_xll.BDP("675568CV Muni","STATE_CODE")</f>
        <v>GA</v>
      </c>
      <c r="E1756" t="str">
        <f>_xll.BDP("675568CV Muni","COUNTY_LOCATION_ISSUER")</f>
        <v>Oconee, GA</v>
      </c>
      <c r="F1756">
        <f>_xll.BDP("675568CV Muni","DUR_ADJ_MID")</f>
        <v>2.825701710811797</v>
      </c>
      <c r="G1756">
        <f>_xll.BDP("675568CV Muni","SPREAD_AT_ISSUANCE_TO_WORST")</f>
        <v>16.540093150684921</v>
      </c>
      <c r="H1756" t="str">
        <f>_xll.BDP("675568CV Muni","ISSUE_DT")</f>
        <v>10/17/2017</v>
      </c>
      <c r="I1756" t="str">
        <f>_xll.BDS("675568CV Muni","MUNI_PURPOSE_SCHED", "aggregate=y")</f>
        <v>WATER UTILITY IMPS. SEWER IMPS.</v>
      </c>
      <c r="J1756">
        <f>_xll.BDP("675568CV Muni","CPN")</f>
        <v>5</v>
      </c>
      <c r="K1756" t="str">
        <f>_xll.BDP("675568CV Muni","MATURITY")</f>
        <v>9/1/2025</v>
      </c>
      <c r="L1756">
        <v>580000</v>
      </c>
      <c r="M1756">
        <f>_xll.BDP("675568CV Muni","YIELD_ON_ISSUE_DATE")</f>
        <v>1.93</v>
      </c>
      <c r="N1756">
        <f>_xll.BDP("675568CV Muni","YTW_SPREAD_TO_MATURITY_AT_ISSU")</f>
        <v>16.540093150684921</v>
      </c>
      <c r="O1756" t="str">
        <f>_xll.BDP("675568CV Muni","BVAL_MID_YTM")</f>
        <v>#N/A Authorization</v>
      </c>
      <c r="P1756" t="str">
        <f>_xll.BDP("675568CV Muni","MUNI_TAX_PROV")</f>
        <v>FED &amp; ST TAX-EXEMPT</v>
      </c>
      <c r="Q1756" t="str">
        <f>_xll.BDP("675568CV Muni","MUNI_FED_TAX")</f>
        <v>N</v>
      </c>
      <c r="R1756" t="str">
        <f>_xll.BDP("675568CV Muni","MUNI_MSRB_VOLUME")</f>
        <v>#N/A N/A</v>
      </c>
      <c r="S1756" t="str">
        <f>_xll.BDP("675568CV Muni","BB_COMPOSITE")</f>
        <v>#N/A N/A</v>
      </c>
      <c r="T1756">
        <f>_xll.BDP("675568CV Muni","LQA_LIQUIDITY_SCORE")</f>
        <v>60</v>
      </c>
    </row>
    <row r="1757" spans="1:20" x14ac:dyDescent="0.25">
      <c r="A1757" t="str">
        <f>_xll.BDP("675568CW Muni","ID_CUSIP")</f>
        <v>675568CW7</v>
      </c>
      <c r="B1757" t="s">
        <v>475</v>
      </c>
      <c r="C1757" t="str">
        <f>_xll.BDP("675568CW Muni","INSURANCE_STATUS")</f>
        <v>N</v>
      </c>
      <c r="D1757" t="str">
        <f>_xll.BDP("675568CW Muni","STATE_CODE")</f>
        <v>GA</v>
      </c>
      <c r="E1757" t="str">
        <f>_xll.BDP("675568CW Muni","COUNTY_LOCATION_ISSUER")</f>
        <v>Oconee, GA</v>
      </c>
      <c r="F1757">
        <f>_xll.BDP("675568CW Muni","DUR_ADJ_MID")</f>
        <v>3.6637511947465184</v>
      </c>
      <c r="G1757">
        <f>_xll.BDP("675568CW Muni","SPREAD_AT_ISSUANCE_TO_WORST")</f>
        <v>17.232328767123285</v>
      </c>
      <c r="H1757" t="str">
        <f>_xll.BDP("675568CW Muni","ISSUE_DT")</f>
        <v>10/17/2017</v>
      </c>
      <c r="I1757" t="str">
        <f>_xll.BDS("675568CW Muni","MUNI_PURPOSE_SCHED", "aggregate=y")</f>
        <v>WATER UTILITY IMPS. SEWER IMPS.</v>
      </c>
      <c r="J1757">
        <f>_xll.BDP("675568CW Muni","CPN")</f>
        <v>5</v>
      </c>
      <c r="K1757" t="str">
        <f>_xll.BDP("675568CW Muni","MATURITY")</f>
        <v>9/1/2026</v>
      </c>
      <c r="L1757">
        <v>610000</v>
      </c>
      <c r="M1757">
        <f>_xll.BDP("675568CW Muni","YIELD_ON_ISSUE_DATE")</f>
        <v>2.06</v>
      </c>
      <c r="N1757">
        <f>_xll.BDP("675568CW Muni","YTW_SPREAD_TO_MATURITY_AT_ISSU")</f>
        <v>17.232328767123285</v>
      </c>
      <c r="O1757" t="str">
        <f>_xll.BDP("675568CW Muni","BVAL_MID_YTM")</f>
        <v>#N/A Authorization</v>
      </c>
      <c r="P1757" t="str">
        <f>_xll.BDP("675568CW Muni","MUNI_TAX_PROV")</f>
        <v>FED &amp; ST TAX-EXEMPT</v>
      </c>
      <c r="Q1757" t="str">
        <f>_xll.BDP("675568CW Muni","MUNI_FED_TAX")</f>
        <v>N</v>
      </c>
      <c r="R1757" t="str">
        <f>_xll.BDP("675568CW Muni","MUNI_MSRB_VOLUME")</f>
        <v>#N/A N/A</v>
      </c>
      <c r="S1757" t="str">
        <f>_xll.BDP("675568CW Muni","BB_COMPOSITE")</f>
        <v>#N/A N/A</v>
      </c>
      <c r="T1757">
        <f>_xll.BDP("675568CW Muni","LQA_LIQUIDITY_SCORE")</f>
        <v>58</v>
      </c>
    </row>
    <row r="1758" spans="1:20" x14ac:dyDescent="0.25">
      <c r="A1758" t="str">
        <f>_xll.BDP("675568CX Muni","ID_CUSIP")</f>
        <v>675568CX5</v>
      </c>
      <c r="B1758" t="s">
        <v>475</v>
      </c>
      <c r="C1758" t="str">
        <f>_xll.BDP("675568CX Muni","INSURANCE_STATUS")</f>
        <v>N</v>
      </c>
      <c r="D1758" t="str">
        <f>_xll.BDP("675568CX Muni","STATE_CODE")</f>
        <v>GA</v>
      </c>
      <c r="E1758" t="str">
        <f>_xll.BDP("675568CX Muni","COUNTY_LOCATION_ISSUER")</f>
        <v>Oconee, GA</v>
      </c>
      <c r="F1758">
        <f>_xll.BDP("675568CX Muni","DUR_ADJ_MID")</f>
        <v>4.4679867627279179</v>
      </c>
      <c r="G1758">
        <f>_xll.BDP("675568CX Muni","SPREAD_AT_ISSUANCE_TO_WORST")</f>
        <v>20.337526027397267</v>
      </c>
      <c r="H1758" t="str">
        <f>_xll.BDP("675568CX Muni","ISSUE_DT")</f>
        <v>10/17/2017</v>
      </c>
      <c r="I1758" t="str">
        <f>_xll.BDS("675568CX Muni","MUNI_PURPOSE_SCHED", "aggregate=y")</f>
        <v>WATER UTILITY IMPS. SEWER IMPS.</v>
      </c>
      <c r="J1758">
        <f>_xll.BDP("675568CX Muni","CPN")</f>
        <v>5</v>
      </c>
      <c r="K1758" t="str">
        <f>_xll.BDP("675568CX Muni","MATURITY")</f>
        <v>9/1/2027</v>
      </c>
      <c r="L1758">
        <v>640000</v>
      </c>
      <c r="M1758">
        <f>_xll.BDP("675568CX Muni","YIELD_ON_ISSUE_DATE")</f>
        <v>2.19</v>
      </c>
      <c r="N1758">
        <f>_xll.BDP("675568CX Muni","YTW_SPREAD_TO_MATURITY_AT_ISSU")</f>
        <v>20.337526027397267</v>
      </c>
      <c r="O1758" t="str">
        <f>_xll.BDP("675568CX Muni","BVAL_MID_YTM")</f>
        <v>#N/A Authorization</v>
      </c>
      <c r="P1758" t="str">
        <f>_xll.BDP("675568CX Muni","MUNI_TAX_PROV")</f>
        <v>FED &amp; ST TAX-EXEMPT</v>
      </c>
      <c r="Q1758" t="str">
        <f>_xll.BDP("675568CX Muni","MUNI_FED_TAX")</f>
        <v>N</v>
      </c>
      <c r="R1758" t="str">
        <f>_xll.BDP("675568CX Muni","MUNI_MSRB_VOLUME")</f>
        <v>#N/A N/A</v>
      </c>
      <c r="S1758" t="str">
        <f>_xll.BDP("675568CX Muni","BB_COMPOSITE")</f>
        <v>#N/A N/A</v>
      </c>
      <c r="T1758">
        <f>_xll.BDP("675568CX Muni","LQA_LIQUIDITY_SCORE")</f>
        <v>53</v>
      </c>
    </row>
    <row r="1759" spans="1:20" x14ac:dyDescent="0.25">
      <c r="A1759" t="str">
        <f>_xll.BDP("686628VH Muni","ID_CUSIP")</f>
        <v>686628VH8</v>
      </c>
      <c r="B1759" t="s">
        <v>75</v>
      </c>
      <c r="C1759" t="str">
        <f>_xll.BDP("686628VH Muni","INSURANCE_STATUS")</f>
        <v>N</v>
      </c>
      <c r="D1759" t="str">
        <f>_xll.BDP("686628VH Muni","STATE_CODE")</f>
        <v>MA</v>
      </c>
      <c r="E1759" t="str">
        <f>_xll.BDP("686628VH Muni","COUNTY_LOCATION_ISSUER")</f>
        <v>Barnstable, MA</v>
      </c>
      <c r="F1759">
        <f>_xll.BDP("686628VH Muni","DUR_ADJ_MID")</f>
        <v>0.1193276871478744</v>
      </c>
      <c r="G1759">
        <f>_xll.BDP("686628VH Muni","SPREAD_AT_ISSUANCE_TO_WORST")</f>
        <v>-0.81591780821916871</v>
      </c>
      <c r="H1759" t="str">
        <f>_xll.BDP("686628VH Muni","ISSUE_DT")</f>
        <v>11/16/2017</v>
      </c>
      <c r="I1759" t="str">
        <f>_xll.BDS("686628VH Muni","MUNI_PURPOSE_SCHED", "aggregate=y")</f>
        <v>PUBLIC IMPS. REFUNDING NOTES WATER UTILITY IMPS.</v>
      </c>
      <c r="J1759">
        <f>_xll.BDP("686628VH Muni","CPN")</f>
        <v>2.25</v>
      </c>
      <c r="K1759" t="str">
        <f>_xll.BDP("686628VH Muni","MATURITY")</f>
        <v>9/15/2022</v>
      </c>
      <c r="L1759">
        <v>1540000</v>
      </c>
      <c r="M1759">
        <f>_xll.BDP("686628VH Muni","YIELD_ON_ISSUE_DATE")</f>
        <v>1.41</v>
      </c>
      <c r="N1759">
        <f>_xll.BDP("686628VH Muni","YTW_SPREAD_TO_MATURITY_AT_ISSU")</f>
        <v>-0.81591780821916871</v>
      </c>
      <c r="O1759" t="str">
        <f>_xll.BDP("686628VH Muni","BVAL_MID_YTM")</f>
        <v>#N/A Authorization</v>
      </c>
      <c r="P1759" t="str">
        <f>_xll.BDP("686628VH Muni","MUNI_TAX_PROV")</f>
        <v>FED &amp; ST TAX-EXEMPT</v>
      </c>
      <c r="Q1759" t="str">
        <f>_xll.BDP("686628VH Muni","MUNI_FED_TAX")</f>
        <v>N</v>
      </c>
      <c r="R1759">
        <f>_xll.BDP("686628VH Muni","MUNI_MSRB_VOLUME")</f>
        <v>100000</v>
      </c>
      <c r="S1759" t="str">
        <f>_xll.BDP("686628VH Muni","BB_COMPOSITE")</f>
        <v>#N/A N/A</v>
      </c>
      <c r="T1759">
        <f>_xll.BDP("686628VH Muni","LQA_LIQUIDITY_SCORE")</f>
        <v>97</v>
      </c>
    </row>
    <row r="1760" spans="1:20" x14ac:dyDescent="0.25">
      <c r="A1760" t="str">
        <f>_xll.BDP("686628VJ Muni","ID_CUSIP")</f>
        <v>686628VJ4</v>
      </c>
      <c r="B1760" t="s">
        <v>75</v>
      </c>
      <c r="C1760" t="str">
        <f>_xll.BDP("686628VJ Muni","INSURANCE_STATUS")</f>
        <v>N</v>
      </c>
      <c r="D1760" t="str">
        <f>_xll.BDP("686628VJ Muni","STATE_CODE")</f>
        <v>MA</v>
      </c>
      <c r="E1760" t="str">
        <f>_xll.BDP("686628VJ Muni","COUNTY_LOCATION_ISSUER")</f>
        <v>Barnstable, MA</v>
      </c>
      <c r="F1760">
        <f>_xll.BDP("686628VJ Muni","DUR_ADJ_MID")</f>
        <v>1.0766278876465087</v>
      </c>
      <c r="G1760">
        <f>_xll.BDP("686628VJ Muni","SPREAD_AT_ISSUANCE_TO_WORST")</f>
        <v>2.8288630136986459</v>
      </c>
      <c r="H1760" t="str">
        <f>_xll.BDP("686628VJ Muni","ISSUE_DT")</f>
        <v>11/16/2017</v>
      </c>
      <c r="I1760" t="str">
        <f>_xll.BDS("686628VJ Muni","MUNI_PURPOSE_SCHED", "aggregate=y")</f>
        <v>PUBLIC IMPS. REFUNDING NOTES WATER UTILITY IMPS.</v>
      </c>
      <c r="J1760">
        <f>_xll.BDP("686628VJ Muni","CPN")</f>
        <v>5</v>
      </c>
      <c r="K1760" t="str">
        <f>_xll.BDP("686628VJ Muni","MATURITY")</f>
        <v>9/15/2023</v>
      </c>
      <c r="L1760">
        <v>1535000</v>
      </c>
      <c r="M1760">
        <f>_xll.BDP("686628VJ Muni","YIELD_ON_ISSUE_DATE")</f>
        <v>1.57</v>
      </c>
      <c r="N1760">
        <f>_xll.BDP("686628VJ Muni","YTW_SPREAD_TO_MATURITY_AT_ISSU")</f>
        <v>2.8288630136986459</v>
      </c>
      <c r="O1760" t="str">
        <f>_xll.BDP("686628VJ Muni","BVAL_MID_YTM")</f>
        <v>#N/A Authorization</v>
      </c>
      <c r="P1760" t="str">
        <f>_xll.BDP("686628VJ Muni","MUNI_TAX_PROV")</f>
        <v>FED &amp; ST TAX-EXEMPT</v>
      </c>
      <c r="Q1760" t="str">
        <f>_xll.BDP("686628VJ Muni","MUNI_FED_TAX")</f>
        <v>N</v>
      </c>
      <c r="R1760">
        <f>_xll.BDP("686628VJ Muni","MUNI_MSRB_VOLUME")</f>
        <v>400000</v>
      </c>
      <c r="S1760" t="str">
        <f>_xll.BDP("686628VJ Muni","BB_COMPOSITE")</f>
        <v>#N/A N/A</v>
      </c>
      <c r="T1760">
        <f>_xll.BDP("686628VJ Muni","LQA_LIQUIDITY_SCORE")</f>
        <v>92</v>
      </c>
    </row>
    <row r="1761" spans="1:20" x14ac:dyDescent="0.25">
      <c r="A1761" t="str">
        <f>_xll.BDP("686628VL Muni","ID_CUSIP")</f>
        <v>686628VL9</v>
      </c>
      <c r="B1761" t="s">
        <v>75</v>
      </c>
      <c r="C1761" t="str">
        <f>_xll.BDP("686628VL Muni","INSURANCE_STATUS")</f>
        <v>N</v>
      </c>
      <c r="D1761" t="str">
        <f>_xll.BDP("686628VL Muni","STATE_CODE")</f>
        <v>MA</v>
      </c>
      <c r="E1761" t="str">
        <f>_xll.BDP("686628VL Muni","COUNTY_LOCATION_ISSUER")</f>
        <v>Barnstable, MA</v>
      </c>
      <c r="F1761">
        <f>_xll.BDP("686628VL Muni","DUR_ADJ_MID")</f>
        <v>2.8651751183674197</v>
      </c>
      <c r="G1761">
        <f>_xll.BDP("686628VL Muni","SPREAD_AT_ISSUANCE_TO_WORST")</f>
        <v>0.3180136986301374</v>
      </c>
      <c r="H1761" t="str">
        <f>_xll.BDP("686628VL Muni","ISSUE_DT")</f>
        <v>11/16/2017</v>
      </c>
      <c r="I1761" t="str">
        <f>_xll.BDS("686628VL Muni","MUNI_PURPOSE_SCHED", "aggregate=y")</f>
        <v>PUBLIC IMPS. REFUNDING NOTES WATER UTILITY IMPS.</v>
      </c>
      <c r="J1761">
        <f>_xll.BDP("686628VL Muni","CPN")</f>
        <v>5</v>
      </c>
      <c r="K1761" t="str">
        <f>_xll.BDP("686628VL Muni","MATURITY")</f>
        <v>9/15/2025</v>
      </c>
      <c r="L1761">
        <v>1535000</v>
      </c>
      <c r="M1761">
        <f>_xll.BDP("686628VL Muni","YIELD_ON_ISSUE_DATE")</f>
        <v>1.8</v>
      </c>
      <c r="N1761">
        <f>_xll.BDP("686628VL Muni","YTW_SPREAD_TO_MATURITY_AT_ISSU")</f>
        <v>0.3180136986301374</v>
      </c>
      <c r="O1761" t="str">
        <f>_xll.BDP("686628VL Muni","BVAL_MID_YTM")</f>
        <v>#N/A Authorization</v>
      </c>
      <c r="P1761" t="str">
        <f>_xll.BDP("686628VL Muni","MUNI_TAX_PROV")</f>
        <v>FED &amp; ST TAX-EXEMPT</v>
      </c>
      <c r="Q1761" t="str">
        <f>_xll.BDP("686628VL Muni","MUNI_FED_TAX")</f>
        <v>N</v>
      </c>
      <c r="R1761" t="str">
        <f>_xll.BDP("686628VL Muni","MUNI_MSRB_VOLUME")</f>
        <v>#N/A N/A</v>
      </c>
      <c r="S1761" t="str">
        <f>_xll.BDP("686628VL Muni","BB_COMPOSITE")</f>
        <v>#N/A N/A</v>
      </c>
      <c r="T1761">
        <f>_xll.BDP("686628VL Muni","LQA_LIQUIDITY_SCORE")</f>
        <v>77</v>
      </c>
    </row>
    <row r="1762" spans="1:20" x14ac:dyDescent="0.25">
      <c r="A1762" t="str">
        <f>_xll.BDP("686628VM Muni","ID_CUSIP")</f>
        <v>686628VM7</v>
      </c>
      <c r="B1762" t="s">
        <v>75</v>
      </c>
      <c r="C1762" t="str">
        <f>_xll.BDP("686628VM Muni","INSURANCE_STATUS")</f>
        <v>N</v>
      </c>
      <c r="D1762" t="str">
        <f>_xll.BDP("686628VM Muni","STATE_CODE")</f>
        <v>MA</v>
      </c>
      <c r="E1762" t="str">
        <f>_xll.BDP("686628VM Muni","COUNTY_LOCATION_ISSUER")</f>
        <v>Barnstable, MA</v>
      </c>
      <c r="F1762">
        <f>_xll.BDP("686628VM Muni","DUR_ADJ_MID")</f>
        <v>3.7043005430487459</v>
      </c>
      <c r="G1762">
        <f>_xll.BDP("686628VM Muni","SPREAD_AT_ISSUANCE_TO_WORST")</f>
        <v>0.98230136986301453</v>
      </c>
      <c r="H1762" t="str">
        <f>_xll.BDP("686628VM Muni","ISSUE_DT")</f>
        <v>11/16/2017</v>
      </c>
      <c r="I1762" t="str">
        <f>_xll.BDS("686628VM Muni","MUNI_PURPOSE_SCHED", "aggregate=y")</f>
        <v>PUBLIC IMPS. REFUNDING NOTES WATER UTILITY IMPS.</v>
      </c>
      <c r="J1762">
        <f>_xll.BDP("686628VM Muni","CPN")</f>
        <v>5</v>
      </c>
      <c r="K1762" t="str">
        <f>_xll.BDP("686628VM Muni","MATURITY")</f>
        <v>9/15/2026</v>
      </c>
      <c r="L1762">
        <v>1520000</v>
      </c>
      <c r="M1762">
        <f>_xll.BDP("686628VM Muni","YIELD_ON_ISSUE_DATE")</f>
        <v>1.92</v>
      </c>
      <c r="N1762">
        <f>_xll.BDP("686628VM Muni","YTW_SPREAD_TO_MATURITY_AT_ISSU")</f>
        <v>0.98230136986301453</v>
      </c>
      <c r="O1762" t="str">
        <f>_xll.BDP("686628VM Muni","BVAL_MID_YTM")</f>
        <v>#N/A Authorization</v>
      </c>
      <c r="P1762" t="str">
        <f>_xll.BDP("686628VM Muni","MUNI_TAX_PROV")</f>
        <v>FED &amp; ST TAX-EXEMPT</v>
      </c>
      <c r="Q1762" t="str">
        <f>_xll.BDP("686628VM Muni","MUNI_FED_TAX")</f>
        <v>N</v>
      </c>
      <c r="R1762" t="str">
        <f>_xll.BDP("686628VM Muni","MUNI_MSRB_VOLUME")</f>
        <v>#N/A N/A</v>
      </c>
      <c r="S1762" t="str">
        <f>_xll.BDP("686628VM Muni","BB_COMPOSITE")</f>
        <v>#N/A N/A</v>
      </c>
      <c r="T1762">
        <f>_xll.BDP("686628VM Muni","LQA_LIQUIDITY_SCORE")</f>
        <v>70</v>
      </c>
    </row>
    <row r="1763" spans="1:20" x14ac:dyDescent="0.25">
      <c r="A1763" t="str">
        <f>_xll.BDP("686628VN Muni","ID_CUSIP")</f>
        <v>686628VN5</v>
      </c>
      <c r="B1763" t="s">
        <v>75</v>
      </c>
      <c r="C1763" t="str">
        <f>_xll.BDP("686628VN Muni","INSURANCE_STATUS")</f>
        <v>N</v>
      </c>
      <c r="D1763" t="str">
        <f>_xll.BDP("686628VN Muni","STATE_CODE")</f>
        <v>MA</v>
      </c>
      <c r="E1763" t="str">
        <f>_xll.BDP("686628VN Muni","COUNTY_LOCATION_ISSUER")</f>
        <v>Barnstable, MA</v>
      </c>
      <c r="F1763">
        <f>_xll.BDP("686628VN Muni","DUR_ADJ_MID")</f>
        <v>4.5102250698765367</v>
      </c>
      <c r="G1763">
        <f>_xll.BDP("686628VN Muni","SPREAD_AT_ISSUANCE_TO_WORST")</f>
        <v>2.0274630136986271</v>
      </c>
      <c r="H1763" t="str">
        <f>_xll.BDP("686628VN Muni","ISSUE_DT")</f>
        <v>11/16/2017</v>
      </c>
      <c r="I1763" t="str">
        <f>_xll.BDS("686628VN Muni","MUNI_PURPOSE_SCHED", "aggregate=y")</f>
        <v>PUBLIC IMPS. REFUNDING NOTES WATER UTILITY IMPS.</v>
      </c>
      <c r="J1763">
        <f>_xll.BDP("686628VN Muni","CPN")</f>
        <v>5</v>
      </c>
      <c r="K1763" t="str">
        <f>_xll.BDP("686628VN Muni","MATURITY")</f>
        <v>9/15/2027</v>
      </c>
      <c r="L1763">
        <v>1275000</v>
      </c>
      <c r="M1763">
        <f>_xll.BDP("686628VN Muni","YIELD_ON_ISSUE_DATE")</f>
        <v>2.02</v>
      </c>
      <c r="N1763">
        <f>_xll.BDP("686628VN Muni","YTW_SPREAD_TO_MATURITY_AT_ISSU")</f>
        <v>2.0274630136986271</v>
      </c>
      <c r="O1763" t="str">
        <f>_xll.BDP("686628VN Muni","BVAL_MID_YTM")</f>
        <v>#N/A Authorization</v>
      </c>
      <c r="P1763" t="str">
        <f>_xll.BDP("686628VN Muni","MUNI_TAX_PROV")</f>
        <v>FED &amp; ST TAX-EXEMPT</v>
      </c>
      <c r="Q1763" t="str">
        <f>_xll.BDP("686628VN Muni","MUNI_FED_TAX")</f>
        <v>N</v>
      </c>
      <c r="R1763" t="str">
        <f>_xll.BDP("686628VN Muni","MUNI_MSRB_VOLUME")</f>
        <v>#N/A N/A</v>
      </c>
      <c r="S1763" t="str">
        <f>_xll.BDP("686628VN Muni","BB_COMPOSITE")</f>
        <v>#N/A N/A</v>
      </c>
      <c r="T1763">
        <f>_xll.BDP("686628VN Muni","LQA_LIQUIDITY_SCORE")</f>
        <v>64</v>
      </c>
    </row>
    <row r="1764" spans="1:20" x14ac:dyDescent="0.25">
      <c r="A1764" t="str">
        <f>_xll.BDP("688058BH Muni","ID_CUSIP")</f>
        <v>688058BH8</v>
      </c>
      <c r="B1764" t="s">
        <v>476</v>
      </c>
      <c r="C1764" t="str">
        <f>_xll.BDP("688058BH Muni","INSURANCE_STATUS")</f>
        <v>Y</v>
      </c>
      <c r="D1764" t="str">
        <f>_xll.BDP("688058BH Muni","STATE_CODE")</f>
        <v>IA</v>
      </c>
      <c r="E1764" t="str">
        <f>_xll.BDP("688058BH Muni","COUNTY_LOCATION_ISSUER")</f>
        <v>Clarke, IA</v>
      </c>
      <c r="F1764">
        <f>_xll.BDP("688058BH Muni","DUR_ADJ_MID")</f>
        <v>1.7831331717236756</v>
      </c>
      <c r="G1764">
        <f>_xll.BDP("688058BH Muni","SPREAD_AT_ISSUANCE_TO_WORST")</f>
        <v>41.161027397260284</v>
      </c>
      <c r="H1764" t="str">
        <f>_xll.BDP("688058BH Muni","ISSUE_DT")</f>
        <v>12/1/2017</v>
      </c>
      <c r="I1764" t="str">
        <f>_xll.BDS("688058BH Muni","MUNI_PURPOSE_SCHED", "aggregate=y")</f>
        <v>WATER UTILITY IMPS. CURRENT REFUNDING</v>
      </c>
      <c r="J1764">
        <f>_xll.BDP("688058BH Muni","CPN")</f>
        <v>2</v>
      </c>
      <c r="K1764" t="str">
        <f>_xll.BDP("688058BH Muni","MATURITY")</f>
        <v>6/1/2024</v>
      </c>
      <c r="L1764">
        <v>165000</v>
      </c>
      <c r="M1764">
        <f>_xll.BDP("688058BH Muni","YIELD_ON_ISSUE_DATE")</f>
        <v>2.1</v>
      </c>
      <c r="N1764">
        <f>_xll.BDP("688058BH Muni","YTW_SPREAD_TO_MATURITY_AT_ISSU")</f>
        <v>41.161027397260284</v>
      </c>
      <c r="O1764" t="str">
        <f>_xll.BDP("688058BH Muni","BVAL_MID_YTM")</f>
        <v>#N/A Authorization</v>
      </c>
      <c r="P1764" t="str">
        <f>_xll.BDP("688058BH Muni","MUNI_TAX_PROV")</f>
        <v>FED BQ/ST TAXABLE</v>
      </c>
      <c r="Q1764" t="str">
        <f>_xll.BDP("688058BH Muni","MUNI_FED_TAX")</f>
        <v>N</v>
      </c>
      <c r="R1764" t="str">
        <f>_xll.BDP("688058BH Muni","MUNI_MSRB_VOLUME")</f>
        <v>#N/A N/A</v>
      </c>
      <c r="S1764" t="str">
        <f>_xll.BDP("688058BH Muni","BB_COMPOSITE")</f>
        <v>#N/A N/A</v>
      </c>
      <c r="T1764">
        <f>_xll.BDP("688058BH Muni","LQA_LIQUIDITY_SCORE")</f>
        <v>77</v>
      </c>
    </row>
    <row r="1765" spans="1:20" x14ac:dyDescent="0.25">
      <c r="A1765" t="str">
        <f>_xll.BDP("688058BJ Muni","ID_CUSIP")</f>
        <v>688058BJ4</v>
      </c>
      <c r="B1765" t="s">
        <v>476</v>
      </c>
      <c r="C1765" t="str">
        <f>_xll.BDP("688058BJ Muni","INSURANCE_STATUS")</f>
        <v>Y</v>
      </c>
      <c r="D1765" t="str">
        <f>_xll.BDP("688058BJ Muni","STATE_CODE")</f>
        <v>IA</v>
      </c>
      <c r="E1765" t="str">
        <f>_xll.BDP("688058BJ Muni","COUNTY_LOCATION_ISSUER")</f>
        <v>Clarke, IA</v>
      </c>
      <c r="F1765">
        <f>_xll.BDP("688058BJ Muni","DUR_ADJ_MID")</f>
        <v>2.719505729283751</v>
      </c>
      <c r="G1765">
        <f>_xll.BDP("688058BJ Muni","SPREAD_AT_ISSUANCE_TO_WORST")</f>
        <v>45.584726027397274</v>
      </c>
      <c r="H1765" t="str">
        <f>_xll.BDP("688058BJ Muni","ISSUE_DT")</f>
        <v>12/1/2017</v>
      </c>
      <c r="I1765" t="str">
        <f>_xll.BDS("688058BJ Muni","MUNI_PURPOSE_SCHED", "aggregate=y")</f>
        <v>WATER UTILITY IMPS. CURRENT REFUNDING</v>
      </c>
      <c r="J1765">
        <f>_xll.BDP("688058BJ Muni","CPN")</f>
        <v>2.25</v>
      </c>
      <c r="K1765" t="str">
        <f>_xll.BDP("688058BJ Muni","MATURITY")</f>
        <v>6/1/2025</v>
      </c>
      <c r="L1765">
        <v>165000</v>
      </c>
      <c r="M1765">
        <f>_xll.BDP("688058BJ Muni","YIELD_ON_ISSUE_DATE")</f>
        <v>2.25</v>
      </c>
      <c r="N1765">
        <f>_xll.BDP("688058BJ Muni","YTW_SPREAD_TO_MATURITY_AT_ISSU")</f>
        <v>45.584726027397274</v>
      </c>
      <c r="O1765" t="str">
        <f>_xll.BDP("688058BJ Muni","BVAL_MID_YTM")</f>
        <v>#N/A Authorization</v>
      </c>
      <c r="P1765" t="str">
        <f>_xll.BDP("688058BJ Muni","MUNI_TAX_PROV")</f>
        <v>FED BQ/ST TAXABLE</v>
      </c>
      <c r="Q1765" t="str">
        <f>_xll.BDP("688058BJ Muni","MUNI_FED_TAX")</f>
        <v>N</v>
      </c>
      <c r="R1765" t="str">
        <f>_xll.BDP("688058BJ Muni","MUNI_MSRB_VOLUME")</f>
        <v>#N/A N/A</v>
      </c>
      <c r="S1765" t="str">
        <f>_xll.BDP("688058BJ Muni","BB_COMPOSITE")</f>
        <v>#N/A N/A</v>
      </c>
      <c r="T1765">
        <f>_xll.BDP("688058BJ Muni","LQA_LIQUIDITY_SCORE")</f>
        <v>67</v>
      </c>
    </row>
    <row r="1766" spans="1:20" x14ac:dyDescent="0.25">
      <c r="A1766" t="str">
        <f>_xll.BDP("688259MA Muni","ID_CUSIP")</f>
        <v>688259MA5</v>
      </c>
      <c r="B1766" t="s">
        <v>477</v>
      </c>
      <c r="C1766" t="str">
        <f>_xll.BDP("688259MA Muni","INSURANCE_STATUS")</f>
        <v>N</v>
      </c>
      <c r="D1766" t="str">
        <f>_xll.BDP("688259MA Muni","STATE_CODE")</f>
        <v>WI</v>
      </c>
      <c r="E1766" t="str">
        <f>_xll.BDP("688259MA Muni","COUNTY_LOCATION_ISSUER")</f>
        <v>Winnebago, WI</v>
      </c>
      <c r="F1766">
        <f>_xll.BDP("688259MA Muni","DUR_ADJ_MID")</f>
        <v>0.41176870092214191</v>
      </c>
      <c r="G1766">
        <f>_xll.BDP("688259MA Muni","SPREAD_AT_ISSUANCE_TO_WORST")</f>
        <v>28.172186964394296</v>
      </c>
      <c r="H1766" t="str">
        <f>_xll.BDP("688259MA Muni","ISSUE_DT")</f>
        <v>7/6/2017</v>
      </c>
      <c r="I1766" t="str">
        <f>_xll.BDS("688259MA Muni","MUNI_PURPOSE_SCHED", "aggregate=y")</f>
        <v>PUBLIC IMPS. WATER UTILITY IMPS.</v>
      </c>
      <c r="J1766">
        <f>_xll.BDP("688259MA Muni","CPN")</f>
        <v>4</v>
      </c>
      <c r="K1766" t="str">
        <f>_xll.BDP("688259MA Muni","MATURITY")</f>
        <v>1/1/2023</v>
      </c>
      <c r="L1766">
        <v>445000</v>
      </c>
      <c r="M1766">
        <f>_xll.BDP("688259MA Muni","YIELD_ON_ISSUE_DATE")</f>
        <v>1.55</v>
      </c>
      <c r="N1766">
        <f>_xll.BDP("688259MA Muni","YTW_SPREAD_TO_MATURITY_AT_ISSU")</f>
        <v>28.172186964394296</v>
      </c>
      <c r="O1766" t="str">
        <f>_xll.BDP("688259MA Muni","BVAL_MID_YTM")</f>
        <v>#N/A Authorization</v>
      </c>
      <c r="P1766" t="str">
        <f>_xll.BDP("688259MA Muni","MUNI_TAX_PROV")</f>
        <v>FED TAX-EXEMPT</v>
      </c>
      <c r="Q1766" t="str">
        <f>_xll.BDP("688259MA Muni","MUNI_FED_TAX")</f>
        <v>N</v>
      </c>
      <c r="R1766" t="str">
        <f>_xll.BDP("688259MA Muni","MUNI_MSRB_VOLUME")</f>
        <v>#N/A N/A</v>
      </c>
      <c r="S1766" t="str">
        <f>_xll.BDP("688259MA Muni","BB_COMPOSITE")</f>
        <v>#N/A N/A</v>
      </c>
      <c r="T1766">
        <f>_xll.BDP("688259MA Muni","LQA_LIQUIDITY_SCORE")</f>
        <v>95</v>
      </c>
    </row>
    <row r="1767" spans="1:20" x14ac:dyDescent="0.25">
      <c r="A1767" t="str">
        <f>_xll.BDP("688259MB Muni","ID_CUSIP")</f>
        <v>688259MB3</v>
      </c>
      <c r="B1767" t="s">
        <v>477</v>
      </c>
      <c r="C1767" t="str">
        <f>_xll.BDP("688259MB Muni","INSURANCE_STATUS")</f>
        <v>N</v>
      </c>
      <c r="D1767" t="str">
        <f>_xll.BDP("688259MB Muni","STATE_CODE")</f>
        <v>WI</v>
      </c>
      <c r="E1767" t="str">
        <f>_xll.BDP("688259MB Muni","COUNTY_LOCATION_ISSUER")</f>
        <v>Winnebago, WI</v>
      </c>
      <c r="F1767">
        <f>_xll.BDP("688259MB Muni","DUR_ADJ_MID")</f>
        <v>1.3726200592875335</v>
      </c>
      <c r="G1767">
        <f>_xll.BDP("688259MB Muni","SPREAD_AT_ISSUANCE_TO_WORST")</f>
        <v>25.310546900856302</v>
      </c>
      <c r="H1767" t="str">
        <f>_xll.BDP("688259MB Muni","ISSUE_DT")</f>
        <v>7/6/2017</v>
      </c>
      <c r="I1767" t="str">
        <f>_xll.BDS("688259MB Muni","MUNI_PURPOSE_SCHED", "aggregate=y")</f>
        <v>PUBLIC IMPS. WATER UTILITY IMPS.</v>
      </c>
      <c r="J1767">
        <f>_xll.BDP("688259MB Muni","CPN")</f>
        <v>4</v>
      </c>
      <c r="K1767" t="str">
        <f>_xll.BDP("688259MB Muni","MATURITY")</f>
        <v>1/1/2024</v>
      </c>
      <c r="L1767">
        <v>465000</v>
      </c>
      <c r="M1767">
        <f>_xll.BDP("688259MB Muni","YIELD_ON_ISSUE_DATE")</f>
        <v>1.67</v>
      </c>
      <c r="N1767">
        <f>_xll.BDP("688259MB Muni","YTW_SPREAD_TO_MATURITY_AT_ISSU")</f>
        <v>25.310546900856302</v>
      </c>
      <c r="O1767" t="str">
        <f>_xll.BDP("688259MB Muni","BVAL_MID_YTM")</f>
        <v>#N/A Authorization</v>
      </c>
      <c r="P1767" t="str">
        <f>_xll.BDP("688259MB Muni","MUNI_TAX_PROV")</f>
        <v>FED TAX-EXEMPT</v>
      </c>
      <c r="Q1767" t="str">
        <f>_xll.BDP("688259MB Muni","MUNI_FED_TAX")</f>
        <v>N</v>
      </c>
      <c r="R1767" t="str">
        <f>_xll.BDP("688259MB Muni","MUNI_MSRB_VOLUME")</f>
        <v>#N/A N/A</v>
      </c>
      <c r="S1767" t="str">
        <f>_xll.BDP("688259MB Muni","BB_COMPOSITE")</f>
        <v>#N/A N/A</v>
      </c>
      <c r="T1767">
        <f>_xll.BDP("688259MB Muni","LQA_LIQUIDITY_SCORE")</f>
        <v>88</v>
      </c>
    </row>
    <row r="1768" spans="1:20" x14ac:dyDescent="0.25">
      <c r="A1768" t="str">
        <f>_xll.BDP("688259MC Muni","ID_CUSIP")</f>
        <v>688259MC1</v>
      </c>
      <c r="B1768" t="s">
        <v>477</v>
      </c>
      <c r="C1768" t="str">
        <f>_xll.BDP("688259MC Muni","INSURANCE_STATUS")</f>
        <v>N</v>
      </c>
      <c r="D1768" t="str">
        <f>_xll.BDP("688259MC Muni","STATE_CODE")</f>
        <v>WI</v>
      </c>
      <c r="E1768" t="str">
        <f>_xll.BDP("688259MC Muni","COUNTY_LOCATION_ISSUER")</f>
        <v>Winnebago, WI</v>
      </c>
      <c r="F1768">
        <f>_xll.BDP("688259MC Muni","DUR_ADJ_MID")</f>
        <v>2.2974470955223274</v>
      </c>
      <c r="G1768">
        <f>_xll.BDP("688259MC Muni","SPREAD_AT_ISSUANCE_TO_WORST")</f>
        <v>28.249306189478297</v>
      </c>
      <c r="H1768" t="str">
        <f>_xll.BDP("688259MC Muni","ISSUE_DT")</f>
        <v>7/6/2017</v>
      </c>
      <c r="I1768" t="str">
        <f>_xll.BDS("688259MC Muni","MUNI_PURPOSE_SCHED", "aggregate=y")</f>
        <v>PUBLIC IMPS. WATER UTILITY IMPS.</v>
      </c>
      <c r="J1768">
        <f>_xll.BDP("688259MC Muni","CPN")</f>
        <v>4</v>
      </c>
      <c r="K1768" t="str">
        <f>_xll.BDP("688259MC Muni","MATURITY")</f>
        <v>1/1/2025</v>
      </c>
      <c r="L1768">
        <v>485000</v>
      </c>
      <c r="M1768">
        <f>_xll.BDP("688259MC Muni","YIELD_ON_ISSUE_DATE")</f>
        <v>1.85</v>
      </c>
      <c r="N1768">
        <f>_xll.BDP("688259MC Muni","YTW_SPREAD_TO_MATURITY_AT_ISSU")</f>
        <v>28.249306189478297</v>
      </c>
      <c r="O1768" t="str">
        <f>_xll.BDP("688259MC Muni","BVAL_MID_YTM")</f>
        <v>#N/A Authorization</v>
      </c>
      <c r="P1768" t="str">
        <f>_xll.BDP("688259MC Muni","MUNI_TAX_PROV")</f>
        <v>FED TAX-EXEMPT</v>
      </c>
      <c r="Q1768" t="str">
        <f>_xll.BDP("688259MC Muni","MUNI_FED_TAX")</f>
        <v>N</v>
      </c>
      <c r="R1768">
        <f>_xll.BDP("688259MC Muni","MUNI_MSRB_VOLUME")</f>
        <v>10000</v>
      </c>
      <c r="S1768" t="str">
        <f>_xll.BDP("688259MC Muni","BB_COMPOSITE")</f>
        <v>#N/A N/A</v>
      </c>
      <c r="T1768">
        <f>_xll.BDP("688259MC Muni","LQA_LIQUIDITY_SCORE")</f>
        <v>78</v>
      </c>
    </row>
    <row r="1769" spans="1:20" x14ac:dyDescent="0.25">
      <c r="A1769" t="str">
        <f>_xll.BDP("688259MD Muni","ID_CUSIP")</f>
        <v>688259MD9</v>
      </c>
      <c r="B1769" t="s">
        <v>477</v>
      </c>
      <c r="C1769" t="str">
        <f>_xll.BDP("688259MD Muni","INSURANCE_STATUS")</f>
        <v>N</v>
      </c>
      <c r="D1769" t="str">
        <f>_xll.BDP("688259MD Muni","STATE_CODE")</f>
        <v>WI</v>
      </c>
      <c r="E1769" t="str">
        <f>_xll.BDP("688259MD Muni","COUNTY_LOCATION_ISSUER")</f>
        <v>Winnebago, WI</v>
      </c>
      <c r="F1769">
        <f>_xll.BDP("688259MD Muni","DUR_ADJ_MID")</f>
        <v>3.1887878732948192</v>
      </c>
      <c r="G1769">
        <f>_xll.BDP("688259MD Muni","SPREAD_AT_ISSUANCE_TO_WORST")</f>
        <v>33.888552979347075</v>
      </c>
      <c r="H1769" t="str">
        <f>_xll.BDP("688259MD Muni","ISSUE_DT")</f>
        <v>7/6/2017</v>
      </c>
      <c r="I1769" t="str">
        <f>_xll.BDS("688259MD Muni","MUNI_PURPOSE_SCHED", "aggregate=y")</f>
        <v>PUBLIC IMPS. WATER UTILITY IMPS.</v>
      </c>
      <c r="J1769">
        <f>_xll.BDP("688259MD Muni","CPN")</f>
        <v>4</v>
      </c>
      <c r="K1769" t="str">
        <f>_xll.BDP("688259MD Muni","MATURITY")</f>
        <v>1/1/2026</v>
      </c>
      <c r="L1769">
        <v>505000</v>
      </c>
      <c r="M1769">
        <f>_xll.BDP("688259MD Muni","YIELD_ON_ISSUE_DATE")</f>
        <v>2.0499999999999998</v>
      </c>
      <c r="N1769">
        <f>_xll.BDP("688259MD Muni","YTW_SPREAD_TO_MATURITY_AT_ISSU")</f>
        <v>33.888552979347075</v>
      </c>
      <c r="O1769" t="str">
        <f>_xll.BDP("688259MD Muni","BVAL_MID_YTM")</f>
        <v>#N/A Authorization</v>
      </c>
      <c r="P1769" t="str">
        <f>_xll.BDP("688259MD Muni","MUNI_TAX_PROV")</f>
        <v>FED TAX-EXEMPT</v>
      </c>
      <c r="Q1769" t="str">
        <f>_xll.BDP("688259MD Muni","MUNI_FED_TAX")</f>
        <v>N</v>
      </c>
      <c r="R1769" t="str">
        <f>_xll.BDP("688259MD Muni","MUNI_MSRB_VOLUME")</f>
        <v>#N/A N/A</v>
      </c>
      <c r="S1769" t="str">
        <f>_xll.BDP("688259MD Muni","BB_COMPOSITE")</f>
        <v>#N/A N/A</v>
      </c>
      <c r="T1769">
        <f>_xll.BDP("688259MD Muni","LQA_LIQUIDITY_SCORE")</f>
        <v>69</v>
      </c>
    </row>
    <row r="1770" spans="1:20" x14ac:dyDescent="0.25">
      <c r="A1770" t="str">
        <f>_xll.BDP("688259ME Muni","ID_CUSIP")</f>
        <v>688259ME7</v>
      </c>
      <c r="B1770" t="s">
        <v>477</v>
      </c>
      <c r="C1770" t="str">
        <f>_xll.BDP("688259ME Muni","INSURANCE_STATUS")</f>
        <v>N</v>
      </c>
      <c r="D1770" t="str">
        <f>_xll.BDP("688259ME Muni","STATE_CODE")</f>
        <v>WI</v>
      </c>
      <c r="E1770" t="str">
        <f>_xll.BDP("688259ME Muni","COUNTY_LOCATION_ISSUER")</f>
        <v>Winnebago, WI</v>
      </c>
      <c r="F1770">
        <f>_xll.BDP("688259ME Muni","DUR_ADJ_MID")</f>
        <v>4.0481369803694758</v>
      </c>
      <c r="G1770">
        <f>_xll.BDP("688259ME Muni","SPREAD_AT_ISSUANCE_TO_WORST")</f>
        <v>36.520106741941902</v>
      </c>
      <c r="H1770" t="str">
        <f>_xll.BDP("688259ME Muni","ISSUE_DT")</f>
        <v>7/6/2017</v>
      </c>
      <c r="I1770" t="str">
        <f>_xll.BDS("688259ME Muni","MUNI_PURPOSE_SCHED", "aggregate=y")</f>
        <v>PUBLIC IMPS. WATER UTILITY IMPS.</v>
      </c>
      <c r="J1770">
        <f>_xll.BDP("688259ME Muni","CPN")</f>
        <v>4</v>
      </c>
      <c r="K1770" t="str">
        <f>_xll.BDP("688259ME Muni","MATURITY")</f>
        <v>1/1/2027</v>
      </c>
      <c r="L1770">
        <v>520000</v>
      </c>
      <c r="M1770">
        <f>_xll.BDP("688259ME Muni","YIELD_ON_ISSUE_DATE")</f>
        <v>2.2000000000000002</v>
      </c>
      <c r="N1770">
        <f>_xll.BDP("688259ME Muni","YTW_SPREAD_TO_MATURITY_AT_ISSU")</f>
        <v>36.520106741941902</v>
      </c>
      <c r="O1770" t="str">
        <f>_xll.BDP("688259ME Muni","BVAL_MID_YTM")</f>
        <v>#N/A Authorization</v>
      </c>
      <c r="P1770" t="str">
        <f>_xll.BDP("688259ME Muni","MUNI_TAX_PROV")</f>
        <v>FED TAX-EXEMPT</v>
      </c>
      <c r="Q1770" t="str">
        <f>_xll.BDP("688259ME Muni","MUNI_FED_TAX")</f>
        <v>N</v>
      </c>
      <c r="R1770" t="str">
        <f>_xll.BDP("688259ME Muni","MUNI_MSRB_VOLUME")</f>
        <v>#N/A N/A</v>
      </c>
      <c r="S1770" t="str">
        <f>_xll.BDP("688259ME Muni","BB_COMPOSITE")</f>
        <v>#N/A N/A</v>
      </c>
      <c r="T1770">
        <f>_xll.BDP("688259ME Muni","LQA_LIQUIDITY_SCORE")</f>
        <v>61</v>
      </c>
    </row>
    <row r="1771" spans="1:20" x14ac:dyDescent="0.25">
      <c r="A1771" t="str">
        <f>_xll.BDP("689461VT Muni","ID_CUSIP")</f>
        <v>689461VT5</v>
      </c>
      <c r="B1771" t="s">
        <v>478</v>
      </c>
      <c r="C1771" t="str">
        <f>_xll.BDP("689461VT Muni","INSURANCE_STATUS")</f>
        <v>N</v>
      </c>
      <c r="D1771" t="str">
        <f>_xll.BDP("689461VT Muni","STATE_CODE")</f>
        <v>KS</v>
      </c>
      <c r="E1771" t="str">
        <f>_xll.BDP("689461VT Muni","COUNTY_LOCATION_ISSUER")</f>
        <v>Franklin, KS</v>
      </c>
      <c r="F1771">
        <f>_xll.BDP("689461VT Muni","DUR_ADJ_MID")</f>
        <v>0.16359490184386635</v>
      </c>
      <c r="G1771">
        <f>_xll.BDP("689461VT Muni","SPREAD_AT_ISSUANCE_TO_WORST")</f>
        <v>11.97573337952309</v>
      </c>
      <c r="H1771" t="str">
        <f>_xll.BDP("689461VT Muni","ISSUE_DT")</f>
        <v>4/19/2017</v>
      </c>
      <c r="I1771" t="str">
        <f>_xll.BDS("689461VT Muni","MUNI_PURPOSE_SCHED", "aggregate=y")</f>
        <v>WATER UTILITY IMPS. SEWER IMPS. ELEC. LT. &amp; PWR. IMPTS.</v>
      </c>
      <c r="J1771">
        <f>_xll.BDP("689461VT Muni","CPN")</f>
        <v>2.25</v>
      </c>
      <c r="K1771" t="str">
        <f>_xll.BDP("689461VT Muni","MATURITY")</f>
        <v>10/1/2022</v>
      </c>
      <c r="L1771">
        <v>560000</v>
      </c>
      <c r="M1771">
        <f>_xll.BDP("689461VT Muni","YIELD_ON_ISSUE_DATE")</f>
        <v>1.7000000000000002</v>
      </c>
      <c r="N1771">
        <f>_xll.BDP("689461VT Muni","YTW_SPREAD_TO_MATURITY_AT_ISSU")</f>
        <v>11.97573337952309</v>
      </c>
      <c r="O1771" t="str">
        <f>_xll.BDP("689461VT Muni","BVAL_MID_YTM")</f>
        <v>#N/A Authorization</v>
      </c>
      <c r="P1771" t="str">
        <f>_xll.BDP("689461VT Muni","MUNI_TAX_PROV")</f>
        <v>FED BQ/ST TAX-EXEMPT</v>
      </c>
      <c r="Q1771" t="str">
        <f>_xll.BDP("689461VT Muni","MUNI_FED_TAX")</f>
        <v>N</v>
      </c>
      <c r="R1771" t="str">
        <f>_xll.BDP("689461VT Muni","MUNI_MSRB_VOLUME")</f>
        <v>#N/A N/A</v>
      </c>
      <c r="S1771" t="str">
        <f>_xll.BDP("689461VT Muni","BB_COMPOSITE")</f>
        <v>#N/A N/A</v>
      </c>
      <c r="T1771">
        <f>_xll.BDP("689461VT Muni","LQA_LIQUIDITY_SCORE")</f>
        <v>95</v>
      </c>
    </row>
    <row r="1772" spans="1:20" x14ac:dyDescent="0.25">
      <c r="A1772" t="str">
        <f>_xll.BDP("689461VU Muni","ID_CUSIP")</f>
        <v>689461VU2</v>
      </c>
      <c r="B1772" t="s">
        <v>478</v>
      </c>
      <c r="C1772" t="str">
        <f>_xll.BDP("689461VU Muni","INSURANCE_STATUS")</f>
        <v>N</v>
      </c>
      <c r="D1772" t="str">
        <f>_xll.BDP("689461VU Muni","STATE_CODE")</f>
        <v>KS</v>
      </c>
      <c r="E1772" t="str">
        <f>_xll.BDP("689461VU Muni","COUNTY_LOCATION_ISSUER")</f>
        <v>Franklin, KS</v>
      </c>
      <c r="F1772">
        <f>_xll.BDP("689461VU Muni","DUR_ADJ_MID")</f>
        <v>1.1375894078557096</v>
      </c>
      <c r="G1772">
        <f>_xll.BDP("689461VU Muni","SPREAD_AT_ISSUANCE_TO_WORST")</f>
        <v>10.285101884375081</v>
      </c>
      <c r="H1772" t="str">
        <f>_xll.BDP("689461VU Muni","ISSUE_DT")</f>
        <v>4/19/2017</v>
      </c>
      <c r="I1772" t="str">
        <f>_xll.BDS("689461VU Muni","MUNI_PURPOSE_SCHED", "aggregate=y")</f>
        <v>WATER UTILITY IMPS. SEWER IMPS. ELEC. LT. &amp; PWR. IMPTS.</v>
      </c>
      <c r="J1772">
        <f>_xll.BDP("689461VU Muni","CPN")</f>
        <v>2.25</v>
      </c>
      <c r="K1772" t="str">
        <f>_xll.BDP("689461VU Muni","MATURITY")</f>
        <v>10/1/2023</v>
      </c>
      <c r="L1772">
        <v>575000</v>
      </c>
      <c r="M1772">
        <f>_xll.BDP("689461VU Muni","YIELD_ON_ISSUE_DATE")</f>
        <v>1.85</v>
      </c>
      <c r="N1772">
        <f>_xll.BDP("689461VU Muni","YTW_SPREAD_TO_MATURITY_AT_ISSU")</f>
        <v>10.285101884375081</v>
      </c>
      <c r="O1772" t="str">
        <f>_xll.BDP("689461VU Muni","BVAL_MID_YTM")</f>
        <v>#N/A Authorization</v>
      </c>
      <c r="P1772" t="str">
        <f>_xll.BDP("689461VU Muni","MUNI_TAX_PROV")</f>
        <v>FED BQ/ST TAX-EXEMPT</v>
      </c>
      <c r="Q1772" t="str">
        <f>_xll.BDP("689461VU Muni","MUNI_FED_TAX")</f>
        <v>N</v>
      </c>
      <c r="R1772" t="str">
        <f>_xll.BDP("689461VU Muni","MUNI_MSRB_VOLUME")</f>
        <v>#N/A N/A</v>
      </c>
      <c r="S1772" t="str">
        <f>_xll.BDP("689461VU Muni","BB_COMPOSITE")</f>
        <v>#N/A N/A</v>
      </c>
      <c r="T1772">
        <f>_xll.BDP("689461VU Muni","LQA_LIQUIDITY_SCORE")</f>
        <v>78</v>
      </c>
    </row>
    <row r="1773" spans="1:20" x14ac:dyDescent="0.25">
      <c r="A1773" t="str">
        <f>_xll.BDP("689461VV Muni","ID_CUSIP")</f>
        <v>689461VV0</v>
      </c>
      <c r="B1773" t="s">
        <v>478</v>
      </c>
      <c r="C1773" t="str">
        <f>_xll.BDP("689461VV Muni","INSURANCE_STATUS")</f>
        <v>N</v>
      </c>
      <c r="D1773" t="str">
        <f>_xll.BDP("689461VV Muni","STATE_CODE")</f>
        <v>KS</v>
      </c>
      <c r="E1773" t="str">
        <f>_xll.BDP("689461VV Muni","COUNTY_LOCATION_ISSUER")</f>
        <v>Franklin, KS</v>
      </c>
      <c r="F1773">
        <f>_xll.BDP("689461VV Muni","DUR_ADJ_MID")</f>
        <v>2.0832737700647095</v>
      </c>
      <c r="G1773">
        <f>_xll.BDP("689461VV Muni","SPREAD_AT_ISSUANCE_TO_WORST")</f>
        <v>8.9279790281588269</v>
      </c>
      <c r="H1773" t="str">
        <f>_xll.BDP("689461VV Muni","ISSUE_DT")</f>
        <v>4/19/2017</v>
      </c>
      <c r="I1773" t="str">
        <f>_xll.BDS("689461VV Muni","MUNI_PURPOSE_SCHED", "aggregate=y")</f>
        <v>WATER UTILITY IMPS. SEWER IMPS. ELEC. LT. &amp; PWR. IMPTS.</v>
      </c>
      <c r="J1773">
        <f>_xll.BDP("689461VV Muni","CPN")</f>
        <v>2.5</v>
      </c>
      <c r="K1773" t="str">
        <f>_xll.BDP("689461VV Muni","MATURITY")</f>
        <v>10/1/2024</v>
      </c>
      <c r="L1773">
        <v>585000</v>
      </c>
      <c r="M1773">
        <f>_xll.BDP("689461VV Muni","YIELD_ON_ISSUE_DATE")</f>
        <v>2</v>
      </c>
      <c r="N1773">
        <f>_xll.BDP("689461VV Muni","YTW_SPREAD_TO_MATURITY_AT_ISSU")</f>
        <v>8.9279790281588269</v>
      </c>
      <c r="O1773" t="str">
        <f>_xll.BDP("689461VV Muni","BVAL_MID_YTM")</f>
        <v>#N/A Authorization</v>
      </c>
      <c r="P1773" t="str">
        <f>_xll.BDP("689461VV Muni","MUNI_TAX_PROV")</f>
        <v>FED BQ/ST TAX-EXEMPT</v>
      </c>
      <c r="Q1773" t="str">
        <f>_xll.BDP("689461VV Muni","MUNI_FED_TAX")</f>
        <v>N</v>
      </c>
      <c r="R1773" t="str">
        <f>_xll.BDP("689461VV Muni","MUNI_MSRB_VOLUME")</f>
        <v>#N/A N/A</v>
      </c>
      <c r="S1773" t="str">
        <f>_xll.BDP("689461VV Muni","BB_COMPOSITE")</f>
        <v>#N/A N/A</v>
      </c>
      <c r="T1773">
        <f>_xll.BDP("689461VV Muni","LQA_LIQUIDITY_SCORE")</f>
        <v>67</v>
      </c>
    </row>
    <row r="1774" spans="1:20" x14ac:dyDescent="0.25">
      <c r="A1774" t="str">
        <f>_xll.BDP("691616PU Muni","ID_CUSIP")</f>
        <v>691616PU4</v>
      </c>
      <c r="B1774" t="s">
        <v>479</v>
      </c>
      <c r="C1774" t="str">
        <f>_xll.BDP("691616PU Muni","INSURANCE_STATUS")</f>
        <v>N</v>
      </c>
      <c r="D1774" t="str">
        <f>_xll.BDP("691616PU Muni","STATE_CODE")</f>
        <v>MS</v>
      </c>
      <c r="E1774" t="str">
        <f>_xll.BDP("691616PU Muni","COUNTY_LOCATION_ISSUER")</f>
        <v>Lafayette, MS</v>
      </c>
      <c r="F1774">
        <f>_xll.BDP("691616PU Muni","DUR_ADJ_MID")</f>
        <v>0.32961594225016044</v>
      </c>
      <c r="G1774">
        <f>_xll.BDP("691616PU Muni","SPREAD_AT_ISSUANCE_TO_WORST")</f>
        <v>14.685945205479456</v>
      </c>
      <c r="H1774" t="str">
        <f>_xll.BDP("691616PU Muni","ISSUE_DT")</f>
        <v>12/20/2017</v>
      </c>
      <c r="I1774" t="str">
        <f>_xll.BDS("691616PU Muni","MUNI_PURPOSE_SCHED", "aggregate=y")</f>
        <v>RECREATIONAL FAC. IMPS. WATER UTILITY IMPS. SEWER IMPS.</v>
      </c>
      <c r="J1774">
        <f>_xll.BDP("691616PU Muni","CPN")</f>
        <v>3</v>
      </c>
      <c r="K1774" t="str">
        <f>_xll.BDP("691616PU Muni","MATURITY")</f>
        <v>12/1/2022</v>
      </c>
      <c r="L1774">
        <v>310000</v>
      </c>
      <c r="M1774">
        <f>_xll.BDP("691616PU Muni","YIELD_ON_ISSUE_DATE")</f>
        <v>1.85</v>
      </c>
      <c r="N1774">
        <f>_xll.BDP("691616PU Muni","YTW_SPREAD_TO_MATURITY_AT_ISSU")</f>
        <v>14.685945205479456</v>
      </c>
      <c r="O1774" t="str">
        <f>_xll.BDP("691616PU Muni","BVAL_MID_YTM")</f>
        <v>#N/A Authorization</v>
      </c>
      <c r="P1774" t="str">
        <f>_xll.BDP("691616PU Muni","MUNI_TAX_PROV")</f>
        <v>FED &amp; ST TAX-EXEMPT</v>
      </c>
      <c r="Q1774" t="str">
        <f>_xll.BDP("691616PU Muni","MUNI_FED_TAX")</f>
        <v>N</v>
      </c>
      <c r="R1774" t="str">
        <f>_xll.BDP("691616PU Muni","MUNI_MSRB_VOLUME")</f>
        <v>#N/A N/A</v>
      </c>
      <c r="S1774" t="str">
        <f>_xll.BDP("691616PU Muni","BB_COMPOSITE")</f>
        <v>#N/A N/A</v>
      </c>
      <c r="T1774">
        <f>_xll.BDP("691616PU Muni","LQA_LIQUIDITY_SCORE")</f>
        <v>94</v>
      </c>
    </row>
    <row r="1775" spans="1:20" x14ac:dyDescent="0.25">
      <c r="A1775" t="str">
        <f>_xll.BDP("691616PV Muni","ID_CUSIP")</f>
        <v>691616PV2</v>
      </c>
      <c r="B1775" t="s">
        <v>479</v>
      </c>
      <c r="C1775" t="str">
        <f>_xll.BDP("691616PV Muni","INSURANCE_STATUS")</f>
        <v>N</v>
      </c>
      <c r="D1775" t="str">
        <f>_xll.BDP("691616PV Muni","STATE_CODE")</f>
        <v>MS</v>
      </c>
      <c r="E1775" t="str">
        <f>_xll.BDP("691616PV Muni","COUNTY_LOCATION_ISSUER")</f>
        <v>Lafayette, MS</v>
      </c>
      <c r="F1775">
        <f>_xll.BDP("691616PV Muni","DUR_ADJ_MID")</f>
        <v>1.2992668774693754</v>
      </c>
      <c r="G1775">
        <f>_xll.BDP("691616PV Muni","SPREAD_AT_ISSUANCE_TO_WORST")</f>
        <v>17.29146575342466</v>
      </c>
      <c r="H1775" t="str">
        <f>_xll.BDP("691616PV Muni","ISSUE_DT")</f>
        <v>12/20/2017</v>
      </c>
      <c r="I1775" t="str">
        <f>_xll.BDS("691616PV Muni","MUNI_PURPOSE_SCHED", "aggregate=y")</f>
        <v>RECREATIONAL FAC. IMPS. WATER UTILITY IMPS. SEWER IMPS.</v>
      </c>
      <c r="J1775">
        <f>_xll.BDP("691616PV Muni","CPN")</f>
        <v>3</v>
      </c>
      <c r="K1775" t="str">
        <f>_xll.BDP("691616PV Muni","MATURITY")</f>
        <v>12/1/2023</v>
      </c>
      <c r="L1775">
        <v>320000</v>
      </c>
      <c r="M1775">
        <f>_xll.BDP("691616PV Muni","YIELD_ON_ISSUE_DATE")</f>
        <v>1.95</v>
      </c>
      <c r="N1775">
        <f>_xll.BDP("691616PV Muni","YTW_SPREAD_TO_MATURITY_AT_ISSU")</f>
        <v>17.29146575342466</v>
      </c>
      <c r="O1775" t="str">
        <f>_xll.BDP("691616PV Muni","BVAL_MID_YTM")</f>
        <v>#N/A Authorization</v>
      </c>
      <c r="P1775" t="str">
        <f>_xll.BDP("691616PV Muni","MUNI_TAX_PROV")</f>
        <v>FED &amp; ST TAX-EXEMPT</v>
      </c>
      <c r="Q1775" t="str">
        <f>_xll.BDP("691616PV Muni","MUNI_FED_TAX")</f>
        <v>N</v>
      </c>
      <c r="R1775" t="str">
        <f>_xll.BDP("691616PV Muni","MUNI_MSRB_VOLUME")</f>
        <v>#N/A N/A</v>
      </c>
      <c r="S1775" t="str">
        <f>_xll.BDP("691616PV Muni","BB_COMPOSITE")</f>
        <v>#N/A N/A</v>
      </c>
      <c r="T1775">
        <f>_xll.BDP("691616PV Muni","LQA_LIQUIDITY_SCORE")</f>
        <v>83</v>
      </c>
    </row>
    <row r="1776" spans="1:20" x14ac:dyDescent="0.25">
      <c r="A1776" t="str">
        <f>_xll.BDP("691616PW Muni","ID_CUSIP")</f>
        <v>691616PW0</v>
      </c>
      <c r="B1776" t="s">
        <v>479</v>
      </c>
      <c r="C1776" t="str">
        <f>_xll.BDP("691616PW Muni","INSURANCE_STATUS")</f>
        <v>N</v>
      </c>
      <c r="D1776" t="str">
        <f>_xll.BDP("691616PW Muni","STATE_CODE")</f>
        <v>MS</v>
      </c>
      <c r="E1776" t="str">
        <f>_xll.BDP("691616PW Muni","COUNTY_LOCATION_ISSUER")</f>
        <v>Lafayette, MS</v>
      </c>
      <c r="F1776">
        <f>_xll.BDP("691616PW Muni","DUR_ADJ_MID")</f>
        <v>2.2406944060755398</v>
      </c>
      <c r="G1776">
        <f>_xll.BDP("691616PW Muni","SPREAD_AT_ISSUANCE_TO_WORST")</f>
        <v>13.206846575342478</v>
      </c>
      <c r="H1776" t="str">
        <f>_xll.BDP("691616PW Muni","ISSUE_DT")</f>
        <v>12/20/2017</v>
      </c>
      <c r="I1776" t="str">
        <f>_xll.BDS("691616PW Muni","MUNI_PURPOSE_SCHED", "aggregate=y")</f>
        <v>RECREATIONAL FAC. IMPS. WATER UTILITY IMPS. SEWER IMPS.</v>
      </c>
      <c r="J1776">
        <f>_xll.BDP("691616PW Muni","CPN")</f>
        <v>3</v>
      </c>
      <c r="K1776" t="str">
        <f>_xll.BDP("691616PW Muni","MATURITY")</f>
        <v>12/1/2024</v>
      </c>
      <c r="L1776">
        <v>330000</v>
      </c>
      <c r="M1776">
        <f>_xll.BDP("691616PW Muni","YIELD_ON_ISSUE_DATE")</f>
        <v>2</v>
      </c>
      <c r="N1776">
        <f>_xll.BDP("691616PW Muni","YTW_SPREAD_TO_MATURITY_AT_ISSU")</f>
        <v>13.206846575342478</v>
      </c>
      <c r="O1776" t="str">
        <f>_xll.BDP("691616PW Muni","BVAL_MID_YTM")</f>
        <v>#N/A Authorization</v>
      </c>
      <c r="P1776" t="str">
        <f>_xll.BDP("691616PW Muni","MUNI_TAX_PROV")</f>
        <v>FED &amp; ST TAX-EXEMPT</v>
      </c>
      <c r="Q1776" t="str">
        <f>_xll.BDP("691616PW Muni","MUNI_FED_TAX")</f>
        <v>N</v>
      </c>
      <c r="R1776" t="str">
        <f>_xll.BDP("691616PW Muni","MUNI_MSRB_VOLUME")</f>
        <v>#N/A N/A</v>
      </c>
      <c r="S1776" t="str">
        <f>_xll.BDP("691616PW Muni","BB_COMPOSITE")</f>
        <v>#N/A N/A</v>
      </c>
      <c r="T1776">
        <f>_xll.BDP("691616PW Muni","LQA_LIQUIDITY_SCORE")</f>
        <v>72</v>
      </c>
    </row>
    <row r="1777" spans="1:20" x14ac:dyDescent="0.25">
      <c r="A1777" t="str">
        <f>_xll.BDP("691616PX Muni","ID_CUSIP")</f>
        <v>691616PX8</v>
      </c>
      <c r="B1777" t="s">
        <v>479</v>
      </c>
      <c r="C1777" t="str">
        <f>_xll.BDP("691616PX Muni","INSURANCE_STATUS")</f>
        <v>N</v>
      </c>
      <c r="D1777" t="str">
        <f>_xll.BDP("691616PX Muni","STATE_CODE")</f>
        <v>MS</v>
      </c>
      <c r="E1777" t="str">
        <f>_xll.BDP("691616PX Muni","COUNTY_LOCATION_ISSUER")</f>
        <v>Lafayette, MS</v>
      </c>
      <c r="F1777">
        <f>_xll.BDP("691616PX Muni","DUR_ADJ_MID")</f>
        <v>3.1556171485112734</v>
      </c>
      <c r="G1777">
        <f>_xll.BDP("691616PX Muni","SPREAD_AT_ISSUANCE_TO_WORST")</f>
        <v>9.7661205479451887</v>
      </c>
      <c r="H1777" t="str">
        <f>_xll.BDP("691616PX Muni","ISSUE_DT")</f>
        <v>12/20/2017</v>
      </c>
      <c r="I1777" t="str">
        <f>_xll.BDS("691616PX Muni","MUNI_PURPOSE_SCHED", "aggregate=y")</f>
        <v>RECREATIONAL FAC. IMPS. WATER UTILITY IMPS. SEWER IMPS.</v>
      </c>
      <c r="J1777">
        <f>_xll.BDP("691616PX Muni","CPN")</f>
        <v>3</v>
      </c>
      <c r="K1777" t="str">
        <f>_xll.BDP("691616PX Muni","MATURITY")</f>
        <v>12/1/2025</v>
      </c>
      <c r="L1777">
        <v>340000</v>
      </c>
      <c r="M1777">
        <f>_xll.BDP("691616PX Muni","YIELD_ON_ISSUE_DATE")</f>
        <v>2.0499999999999998</v>
      </c>
      <c r="N1777">
        <f>_xll.BDP("691616PX Muni","YTW_SPREAD_TO_MATURITY_AT_ISSU")</f>
        <v>9.7661205479451887</v>
      </c>
      <c r="O1777" t="str">
        <f>_xll.BDP("691616PX Muni","BVAL_MID_YTM")</f>
        <v>#N/A Authorization</v>
      </c>
      <c r="P1777" t="str">
        <f>_xll.BDP("691616PX Muni","MUNI_TAX_PROV")</f>
        <v>FED &amp; ST TAX-EXEMPT</v>
      </c>
      <c r="Q1777" t="str">
        <f>_xll.BDP("691616PX Muni","MUNI_FED_TAX")</f>
        <v>N</v>
      </c>
      <c r="R1777" t="str">
        <f>_xll.BDP("691616PX Muni","MUNI_MSRB_VOLUME")</f>
        <v>#N/A N/A</v>
      </c>
      <c r="S1777" t="str">
        <f>_xll.BDP("691616PX Muni","BB_COMPOSITE")</f>
        <v>#N/A N/A</v>
      </c>
      <c r="T1777">
        <f>_xll.BDP("691616PX Muni","LQA_LIQUIDITY_SCORE")</f>
        <v>60</v>
      </c>
    </row>
    <row r="1778" spans="1:20" x14ac:dyDescent="0.25">
      <c r="A1778" t="str">
        <f>_xll.BDP("691616PY Muni","ID_CUSIP")</f>
        <v>691616PY6</v>
      </c>
      <c r="B1778" t="s">
        <v>479</v>
      </c>
      <c r="C1778" t="str">
        <f>_xll.BDP("691616PY Muni","INSURANCE_STATUS")</f>
        <v>N</v>
      </c>
      <c r="D1778" t="str">
        <f>_xll.BDP("691616PY Muni","STATE_CODE")</f>
        <v>MS</v>
      </c>
      <c r="E1778" t="str">
        <f>_xll.BDP("691616PY Muni","COUNTY_LOCATION_ISSUER")</f>
        <v>Lafayette, MS</v>
      </c>
      <c r="F1778">
        <f>_xll.BDP("691616PY Muni","DUR_ADJ_MID")</f>
        <v>4.0444851033272258</v>
      </c>
      <c r="G1778">
        <f>_xll.BDP("691616PY Muni","SPREAD_AT_ISSUANCE_TO_WORST")</f>
        <v>9.189498630136983</v>
      </c>
      <c r="H1778" t="str">
        <f>_xll.BDP("691616PY Muni","ISSUE_DT")</f>
        <v>12/20/2017</v>
      </c>
      <c r="I1778" t="str">
        <f>_xll.BDS("691616PY Muni","MUNI_PURPOSE_SCHED", "aggregate=y")</f>
        <v>RECREATIONAL FAC. IMPS. WATER UTILITY IMPS. SEWER IMPS.</v>
      </c>
      <c r="J1778">
        <f>_xll.BDP("691616PY Muni","CPN")</f>
        <v>3</v>
      </c>
      <c r="K1778" t="str">
        <f>_xll.BDP("691616PY Muni","MATURITY")</f>
        <v>12/1/2026</v>
      </c>
      <c r="L1778">
        <v>350000</v>
      </c>
      <c r="M1778">
        <f>_xll.BDP("691616PY Muni","YIELD_ON_ISSUE_DATE")</f>
        <v>2.13</v>
      </c>
      <c r="N1778">
        <f>_xll.BDP("691616PY Muni","YTW_SPREAD_TO_MATURITY_AT_ISSU")</f>
        <v>9.189498630136983</v>
      </c>
      <c r="O1778" t="str">
        <f>_xll.BDP("691616PY Muni","BVAL_MID_YTM")</f>
        <v>#N/A Authorization</v>
      </c>
      <c r="P1778" t="str">
        <f>_xll.BDP("691616PY Muni","MUNI_TAX_PROV")</f>
        <v>FED &amp; ST TAX-EXEMPT</v>
      </c>
      <c r="Q1778" t="str">
        <f>_xll.BDP("691616PY Muni","MUNI_FED_TAX")</f>
        <v>N</v>
      </c>
      <c r="R1778" t="str">
        <f>_xll.BDP("691616PY Muni","MUNI_MSRB_VOLUME")</f>
        <v>#N/A N/A</v>
      </c>
      <c r="S1778" t="str">
        <f>_xll.BDP("691616PY Muni","BB_COMPOSITE")</f>
        <v>#N/A N/A</v>
      </c>
      <c r="T1778">
        <f>_xll.BDP("691616PY Muni","LQA_LIQUIDITY_SCORE")</f>
        <v>52</v>
      </c>
    </row>
    <row r="1779" spans="1:20" x14ac:dyDescent="0.25">
      <c r="A1779" t="str">
        <f>_xll.BDP("691616PZ Muni","ID_CUSIP")</f>
        <v>691616PZ3</v>
      </c>
      <c r="B1779" t="s">
        <v>479</v>
      </c>
      <c r="C1779" t="str">
        <f>_xll.BDP("691616PZ Muni","INSURANCE_STATUS")</f>
        <v>N</v>
      </c>
      <c r="D1779" t="str">
        <f>_xll.BDP("691616PZ Muni","STATE_CODE")</f>
        <v>MS</v>
      </c>
      <c r="E1779" t="str">
        <f>_xll.BDP("691616PZ Muni","COUNTY_LOCATION_ISSUER")</f>
        <v>Lafayette, MS</v>
      </c>
      <c r="F1779">
        <f>_xll.BDP("691616PZ Muni","DUR_ADJ_MID")</f>
        <v>4.9075674956987445</v>
      </c>
      <c r="G1779">
        <f>_xll.BDP("691616PZ Muni","SPREAD_AT_ISSUANCE_TO_WORST")</f>
        <v>10.585331506849327</v>
      </c>
      <c r="H1779" t="str">
        <f>_xll.BDP("691616PZ Muni","ISSUE_DT")</f>
        <v>12/20/2017</v>
      </c>
      <c r="I1779" t="str">
        <f>_xll.BDS("691616PZ Muni","MUNI_PURPOSE_SCHED", "aggregate=y")</f>
        <v>RECREATIONAL FAC. IMPS. WATER UTILITY IMPS. SEWER IMPS.</v>
      </c>
      <c r="J1779">
        <f>_xll.BDP("691616PZ Muni","CPN")</f>
        <v>3</v>
      </c>
      <c r="K1779" t="str">
        <f>_xll.BDP("691616PZ Muni","MATURITY")</f>
        <v>12/1/2027</v>
      </c>
      <c r="L1779">
        <v>365000</v>
      </c>
      <c r="M1779">
        <f>_xll.BDP("691616PZ Muni","YIELD_ON_ISSUE_DATE")</f>
        <v>2.2000000000000002</v>
      </c>
      <c r="N1779">
        <f>_xll.BDP("691616PZ Muni","YTW_SPREAD_TO_MATURITY_AT_ISSU")</f>
        <v>10.585331506849327</v>
      </c>
      <c r="O1779" t="str">
        <f>_xll.BDP("691616PZ Muni","BVAL_MID_YTM")</f>
        <v>#N/A Authorization</v>
      </c>
      <c r="P1779" t="str">
        <f>_xll.BDP("691616PZ Muni","MUNI_TAX_PROV")</f>
        <v>FED &amp; ST TAX-EXEMPT</v>
      </c>
      <c r="Q1779" t="str">
        <f>_xll.BDP("691616PZ Muni","MUNI_FED_TAX")</f>
        <v>N</v>
      </c>
      <c r="R1779" t="str">
        <f>_xll.BDP("691616PZ Muni","MUNI_MSRB_VOLUME")</f>
        <v>#N/A N/A</v>
      </c>
      <c r="S1779" t="str">
        <f>_xll.BDP("691616PZ Muni","BB_COMPOSITE")</f>
        <v>#N/A N/A</v>
      </c>
      <c r="T1779">
        <f>_xll.BDP("691616PZ Muni","LQA_LIQUIDITY_SCORE")</f>
        <v>44</v>
      </c>
    </row>
    <row r="1780" spans="1:20" x14ac:dyDescent="0.25">
      <c r="A1780" t="str">
        <f>_xll.BDP("785751PM Muni","ID_CUSIP")</f>
        <v>785751PM4</v>
      </c>
      <c r="B1780" t="s">
        <v>111</v>
      </c>
      <c r="C1780" t="str">
        <f>_xll.BDP("785751PM Muni","INSURANCE_STATUS")</f>
        <v>N</v>
      </c>
      <c r="D1780" t="str">
        <f>_xll.BDP("785751PM Muni","STATE_CODE")</f>
        <v>TX</v>
      </c>
      <c r="E1780" t="str">
        <f>_xll.BDP("785751PM Muni","COUNTY_LOCATION_ISSUER")</f>
        <v>Dallas, TX</v>
      </c>
      <c r="F1780">
        <f>_xll.BDP("785751PM Muni","DUR_ADJ_MID")</f>
        <v>1.4679323024400028</v>
      </c>
      <c r="G1780">
        <f>_xll.BDP("785751PM Muni","SPREAD_AT_ISSUANCE_TO_WORST")</f>
        <v>9.7269173567497536</v>
      </c>
      <c r="H1780" t="str">
        <f>_xll.BDP("785751PM Muni","ISSUE_DT")</f>
        <v>6/15/2017</v>
      </c>
      <c r="I1780" t="str">
        <f>_xll.BDS("785751PM Muni","MUNI_PURPOSE_SCHED", "aggregate=y")</f>
        <v>WATER UTILITY IMPS. SEWER IMPS.</v>
      </c>
      <c r="J1780">
        <f>_xll.BDP("785751PM Muni","CPN")</f>
        <v>4</v>
      </c>
      <c r="K1780" t="str">
        <f>_xll.BDP("785751PM Muni","MATURITY")</f>
        <v>2/15/2024</v>
      </c>
      <c r="L1780">
        <v>415000</v>
      </c>
      <c r="M1780">
        <f>_xll.BDP("785751PM Muni","YIELD_ON_ISSUE_DATE")</f>
        <v>1.53</v>
      </c>
      <c r="N1780">
        <f>_xll.BDP("785751PM Muni","YTW_SPREAD_TO_MATURITY_AT_ISSU")</f>
        <v>9.7269173567497536</v>
      </c>
      <c r="O1780" t="str">
        <f>_xll.BDP("785751PM Muni","BVAL_MID_YTM")</f>
        <v>#N/A Authorization</v>
      </c>
      <c r="P1780" t="str">
        <f>_xll.BDP("785751PM Muni","MUNI_TAX_PROV")</f>
        <v>FED TAX-EXEMPT</v>
      </c>
      <c r="Q1780" t="str">
        <f>_xll.BDP("785751PM Muni","MUNI_FED_TAX")</f>
        <v>N</v>
      </c>
      <c r="R1780" t="str">
        <f>_xll.BDP("785751PM Muni","MUNI_MSRB_VOLUME")</f>
        <v>#N/A N/A</v>
      </c>
      <c r="S1780" t="str">
        <f>_xll.BDP("785751PM Muni","BB_COMPOSITE")</f>
        <v>AA</v>
      </c>
      <c r="T1780">
        <f>_xll.BDP("785751PM Muni","LQA_LIQUIDITY_SCORE")</f>
        <v>84</v>
      </c>
    </row>
    <row r="1781" spans="1:20" x14ac:dyDescent="0.25">
      <c r="A1781" t="str">
        <f>_xll.BDP("717741CJ Muni","ID_CUSIP")</f>
        <v>717741CJ9</v>
      </c>
      <c r="B1781" t="s">
        <v>165</v>
      </c>
      <c r="C1781" t="str">
        <f>_xll.BDP("717741CJ Muni","INSURANCE_STATUS")</f>
        <v>N</v>
      </c>
      <c r="D1781" t="str">
        <f>_xll.BDP("717741CJ Muni","STATE_CODE")</f>
        <v>MS</v>
      </c>
      <c r="E1781" t="str">
        <f>_xll.BDP("717741CJ Muni","COUNTY_LOCATION_ISSUER")</f>
        <v>Neshoba, MS</v>
      </c>
      <c r="F1781">
        <f>_xll.BDP("717741CJ Muni","DUR_ADJ_MID")</f>
        <v>0.65167264587531104</v>
      </c>
      <c r="G1781">
        <f>_xll.BDP("717741CJ Muni","SPREAD_AT_ISSUANCE_TO_WORST")</f>
        <v>29.448748464817776</v>
      </c>
      <c r="H1781" t="str">
        <f>_xll.BDP("717741CJ Muni","ISSUE_DT")</f>
        <v>4/6/2017</v>
      </c>
      <c r="I1781" t="str">
        <f>_xll.BDS("717741CJ Muni","MUNI_PURPOSE_SCHED", "aggregate=y")</f>
        <v>WATER UTILITY IMPS. SEWER IMPS.</v>
      </c>
      <c r="J1781">
        <f>_xll.BDP("717741CJ Muni","CPN")</f>
        <v>3.25</v>
      </c>
      <c r="K1781" t="str">
        <f>_xll.BDP("717741CJ Muni","MATURITY")</f>
        <v>4/1/2023</v>
      </c>
      <c r="L1781">
        <v>50000</v>
      </c>
      <c r="M1781">
        <f>_xll.BDP("717741CJ Muni","YIELD_ON_ISSUE_DATE")</f>
        <v>2.1</v>
      </c>
      <c r="N1781">
        <f>_xll.BDP("717741CJ Muni","YTW_SPREAD_TO_MATURITY_AT_ISSU")</f>
        <v>29.448748464817776</v>
      </c>
      <c r="O1781" t="str">
        <f>_xll.BDP("717741CJ Muni","BVAL_MID_YTM")</f>
        <v>#N/A Authorization</v>
      </c>
      <c r="P1781" t="str">
        <f>_xll.BDP("717741CJ Muni","MUNI_TAX_PROV")</f>
        <v>FED BQ/ST TAX-EXEMPT</v>
      </c>
      <c r="Q1781" t="str">
        <f>_xll.BDP("717741CJ Muni","MUNI_FED_TAX")</f>
        <v>N</v>
      </c>
      <c r="R1781" t="str">
        <f>_xll.BDP("717741CJ Muni","MUNI_MSRB_VOLUME")</f>
        <v>#N/A N/A</v>
      </c>
      <c r="S1781" t="str">
        <f>_xll.BDP("717741CJ Muni","BB_COMPOSITE")</f>
        <v>#N/A N/A</v>
      </c>
      <c r="T1781">
        <f>_xll.BDP("717741CJ Muni","LQA_LIQUIDITY_SCORE")</f>
        <v>86</v>
      </c>
    </row>
    <row r="1782" spans="1:20" x14ac:dyDescent="0.25">
      <c r="A1782" t="str">
        <f>_xll.BDP("717741CK Muni","ID_CUSIP")</f>
        <v>717741CK6</v>
      </c>
      <c r="B1782" t="s">
        <v>165</v>
      </c>
      <c r="C1782" t="str">
        <f>_xll.BDP("717741CK Muni","INSURANCE_STATUS")</f>
        <v>N</v>
      </c>
      <c r="D1782" t="str">
        <f>_xll.BDP("717741CK Muni","STATE_CODE")</f>
        <v>MS</v>
      </c>
      <c r="E1782" t="str">
        <f>_xll.BDP("717741CK Muni","COUNTY_LOCATION_ISSUER")</f>
        <v>Neshoba, MS</v>
      </c>
      <c r="F1782">
        <f>_xll.BDP("717741CK Muni","DUR_ADJ_MID")</f>
        <v>1.6029067260842476</v>
      </c>
      <c r="G1782">
        <f>_xll.BDP("717741CK Muni","SPREAD_AT_ISSUANCE_TO_WORST")</f>
        <v>27.971328251693883</v>
      </c>
      <c r="H1782" t="str">
        <f>_xll.BDP("717741CK Muni","ISSUE_DT")</f>
        <v>4/6/2017</v>
      </c>
      <c r="I1782" t="str">
        <f>_xll.BDS("717741CK Muni","MUNI_PURPOSE_SCHED", "aggregate=y")</f>
        <v>WATER UTILITY IMPS. SEWER IMPS.</v>
      </c>
      <c r="J1782">
        <f>_xll.BDP("717741CK Muni","CPN")</f>
        <v>3.25</v>
      </c>
      <c r="K1782" t="str">
        <f>_xll.BDP("717741CK Muni","MATURITY")</f>
        <v>4/1/2024</v>
      </c>
      <c r="L1782">
        <v>50000</v>
      </c>
      <c r="M1782">
        <f>_xll.BDP("717741CK Muni","YIELD_ON_ISSUE_DATE")</f>
        <v>2.25</v>
      </c>
      <c r="N1782">
        <f>_xll.BDP("717741CK Muni","YTW_SPREAD_TO_MATURITY_AT_ISSU")</f>
        <v>27.971328251693883</v>
      </c>
      <c r="O1782" t="str">
        <f>_xll.BDP("717741CK Muni","BVAL_MID_YTM")</f>
        <v>#N/A Authorization</v>
      </c>
      <c r="P1782" t="str">
        <f>_xll.BDP("717741CK Muni","MUNI_TAX_PROV")</f>
        <v>FED BQ/ST TAX-EXEMPT</v>
      </c>
      <c r="Q1782" t="str">
        <f>_xll.BDP("717741CK Muni","MUNI_FED_TAX")</f>
        <v>N</v>
      </c>
      <c r="R1782" t="str">
        <f>_xll.BDP("717741CK Muni","MUNI_MSRB_VOLUME")</f>
        <v>#N/A N/A</v>
      </c>
      <c r="S1782" t="str">
        <f>_xll.BDP("717741CK Muni","BB_COMPOSITE")</f>
        <v>#N/A N/A</v>
      </c>
      <c r="T1782">
        <f>_xll.BDP("717741CK Muni","LQA_LIQUIDITY_SCORE")</f>
        <v>70</v>
      </c>
    </row>
    <row r="1783" spans="1:20" x14ac:dyDescent="0.25">
      <c r="A1783" t="str">
        <f>_xll.BDP("717741CM Muni","ID_CUSIP")</f>
        <v>717741CM2</v>
      </c>
      <c r="B1783" t="s">
        <v>165</v>
      </c>
      <c r="C1783" t="str">
        <f>_xll.BDP("717741CM Muni","INSURANCE_STATUS")</f>
        <v>N</v>
      </c>
      <c r="D1783" t="str">
        <f>_xll.BDP("717741CM Muni","STATE_CODE")</f>
        <v>MS</v>
      </c>
      <c r="E1783" t="str">
        <f>_xll.BDP("717741CM Muni","COUNTY_LOCATION_ISSUER")</f>
        <v>Neshoba, MS</v>
      </c>
      <c r="F1783">
        <f>_xll.BDP("717741CM Muni","DUR_ADJ_MID")</f>
        <v>3.4176813487067847</v>
      </c>
      <c r="G1783">
        <f>_xll.BDP("717741CM Muni","SPREAD_AT_ISSUANCE_TO_WORST")</f>
        <v>23.053786077009299</v>
      </c>
      <c r="H1783" t="str">
        <f>_xll.BDP("717741CM Muni","ISSUE_DT")</f>
        <v>4/6/2017</v>
      </c>
      <c r="I1783" t="str">
        <f>_xll.BDS("717741CM Muni","MUNI_PURPOSE_SCHED", "aggregate=y")</f>
        <v>WATER UTILITY IMPS. SEWER IMPS.</v>
      </c>
      <c r="J1783">
        <f>_xll.BDP("717741CM Muni","CPN")</f>
        <v>3.25</v>
      </c>
      <c r="K1783" t="str">
        <f>_xll.BDP("717741CM Muni","MATURITY")</f>
        <v>4/1/2026</v>
      </c>
      <c r="L1783">
        <v>55000</v>
      </c>
      <c r="M1783">
        <f>_xll.BDP("717741CM Muni","YIELD_ON_ISSUE_DATE")</f>
        <v>2.5</v>
      </c>
      <c r="N1783">
        <f>_xll.BDP("717741CM Muni","YTW_SPREAD_TO_MATURITY_AT_ISSU")</f>
        <v>23.053786077009299</v>
      </c>
      <c r="O1783" t="str">
        <f>_xll.BDP("717741CM Muni","BVAL_MID_YTM")</f>
        <v>#N/A Authorization</v>
      </c>
      <c r="P1783" t="str">
        <f>_xll.BDP("717741CM Muni","MUNI_TAX_PROV")</f>
        <v>FED BQ/ST TAX-EXEMPT</v>
      </c>
      <c r="Q1783" t="str">
        <f>_xll.BDP("717741CM Muni","MUNI_FED_TAX")</f>
        <v>N</v>
      </c>
      <c r="R1783" t="str">
        <f>_xll.BDP("717741CM Muni","MUNI_MSRB_VOLUME")</f>
        <v>#N/A N/A</v>
      </c>
      <c r="S1783" t="str">
        <f>_xll.BDP("717741CM Muni","BB_COMPOSITE")</f>
        <v>#N/A N/A</v>
      </c>
      <c r="T1783">
        <f>_xll.BDP("717741CM Muni","LQA_LIQUIDITY_SCORE")</f>
        <v>47</v>
      </c>
    </row>
    <row r="1784" spans="1:20" x14ac:dyDescent="0.25">
      <c r="A1784" t="str">
        <f>_xll.BDP("717741CN Muni","ID_CUSIP")</f>
        <v>717741CN0</v>
      </c>
      <c r="B1784" t="s">
        <v>165</v>
      </c>
      <c r="C1784" t="str">
        <f>_xll.BDP("717741CN Muni","INSURANCE_STATUS")</f>
        <v>N</v>
      </c>
      <c r="D1784" t="str">
        <f>_xll.BDP("717741CN Muni","STATE_CODE")</f>
        <v>MS</v>
      </c>
      <c r="E1784" t="str">
        <f>_xll.BDP("717741CN Muni","COUNTY_LOCATION_ISSUER")</f>
        <v>Neshoba, MS</v>
      </c>
      <c r="F1784">
        <f>_xll.BDP("717741CN Muni","DUR_ADJ_MID")</f>
        <v>4.2829416379283023</v>
      </c>
      <c r="G1784">
        <f>_xll.BDP("717741CN Muni","SPREAD_AT_ISSUANCE_TO_WORST")</f>
        <v>21.906012108418249</v>
      </c>
      <c r="H1784" t="str">
        <f>_xll.BDP("717741CN Muni","ISSUE_DT")</f>
        <v>4/6/2017</v>
      </c>
      <c r="I1784" t="str">
        <f>_xll.BDS("717741CN Muni","MUNI_PURPOSE_SCHED", "aggregate=y")</f>
        <v>WATER UTILITY IMPS. SEWER IMPS.</v>
      </c>
      <c r="J1784">
        <f>_xll.BDP("717741CN Muni","CPN")</f>
        <v>3.25</v>
      </c>
      <c r="K1784" t="str">
        <f>_xll.BDP("717741CN Muni","MATURITY")</f>
        <v>4/1/2027</v>
      </c>
      <c r="L1784">
        <v>60000</v>
      </c>
      <c r="M1784">
        <f>_xll.BDP("717741CN Muni","YIELD_ON_ISSUE_DATE")</f>
        <v>2.6</v>
      </c>
      <c r="N1784">
        <f>_xll.BDP("717741CN Muni","YTW_SPREAD_TO_MATURITY_AT_ISSU")</f>
        <v>21.906012108418249</v>
      </c>
      <c r="O1784" t="str">
        <f>_xll.BDP("717741CN Muni","BVAL_MID_YTM")</f>
        <v>#N/A Authorization</v>
      </c>
      <c r="P1784" t="str">
        <f>_xll.BDP("717741CN Muni","MUNI_TAX_PROV")</f>
        <v>FED BQ/ST TAX-EXEMPT</v>
      </c>
      <c r="Q1784" t="str">
        <f>_xll.BDP("717741CN Muni","MUNI_FED_TAX")</f>
        <v>N</v>
      </c>
      <c r="R1784" t="str">
        <f>_xll.BDP("717741CN Muni","MUNI_MSRB_VOLUME")</f>
        <v>#N/A N/A</v>
      </c>
      <c r="S1784" t="str">
        <f>_xll.BDP("717741CN Muni","BB_COMPOSITE")</f>
        <v>#N/A N/A</v>
      </c>
      <c r="T1784">
        <f>_xll.BDP("717741CN Muni","LQA_LIQUIDITY_SCORE")</f>
        <v>39</v>
      </c>
    </row>
    <row r="1785" spans="1:20" x14ac:dyDescent="0.25">
      <c r="A1785" t="str">
        <f>_xll.BDP("71861PBA Muni","ID_CUSIP")</f>
        <v>71861PBA0</v>
      </c>
      <c r="B1785" t="s">
        <v>480</v>
      </c>
      <c r="C1785" t="str">
        <f>_xll.BDP("71861PBA Muni","INSURANCE_STATUS")</f>
        <v>Y</v>
      </c>
      <c r="D1785" t="str">
        <f>_xll.BDP("71861PBA Muni","STATE_CODE")</f>
        <v>WI</v>
      </c>
      <c r="E1785" t="str">
        <f>_xll.BDP("71861PBA Muni","COUNTY_LOCATION_ISSUER")</f>
        <v>Price, WI</v>
      </c>
      <c r="F1785">
        <f>_xll.BDP("71861PBA Muni","DUR_ADJ_MID")</f>
        <v>0.7330573930871862</v>
      </c>
      <c r="G1785">
        <f>_xll.BDP("71861PBA Muni","SPREAD_AT_ISSUANCE_TO_WORST")</f>
        <v>71.400164437036779</v>
      </c>
      <c r="H1785" t="str">
        <f>_xll.BDP("71861PBA Muni","ISSUE_DT")</f>
        <v>6/1/2017</v>
      </c>
      <c r="I1785" t="str">
        <f>_xll.BDS("71861PBA Muni","MUNI_PURPOSE_SCHED", "aggregate=y")</f>
        <v>WATER UTILITY IMPS. SEWER IMPS.</v>
      </c>
      <c r="J1785">
        <f>_xll.BDP("71861PBA Muni","CPN")</f>
        <v>3</v>
      </c>
      <c r="K1785" t="str">
        <f>_xll.BDP("71861PBA Muni","MATURITY")</f>
        <v>5/1/2023</v>
      </c>
      <c r="L1785">
        <v>120000</v>
      </c>
      <c r="M1785">
        <f>_xll.BDP("71861PBA Muni","YIELD_ON_ISSUE_DATE")</f>
        <v>2.25</v>
      </c>
      <c r="N1785">
        <f>_xll.BDP("71861PBA Muni","YTW_SPREAD_TO_MATURITY_AT_ISSU")</f>
        <v>71.400164437036779</v>
      </c>
      <c r="O1785" t="str">
        <f>_xll.BDP("71861PBA Muni","BVAL_MID_YTM")</f>
        <v>#N/A Authorization</v>
      </c>
      <c r="P1785" t="str">
        <f>_xll.BDP("71861PBA Muni","MUNI_TAX_PROV")</f>
        <v>FED BQ/ST TAXABLE</v>
      </c>
      <c r="Q1785" t="str">
        <f>_xll.BDP("71861PBA Muni","MUNI_FED_TAX")</f>
        <v>N</v>
      </c>
      <c r="R1785" t="str">
        <f>_xll.BDP("71861PBA Muni","MUNI_MSRB_VOLUME")</f>
        <v>#N/A N/A</v>
      </c>
      <c r="S1785" t="str">
        <f>_xll.BDP("71861PBA Muni","BB_COMPOSITE")</f>
        <v>#N/A N/A</v>
      </c>
      <c r="T1785">
        <f>_xll.BDP("71861PBA Muni","LQA_LIQUIDITY_SCORE")</f>
        <v>90</v>
      </c>
    </row>
    <row r="1786" spans="1:20" x14ac:dyDescent="0.25">
      <c r="A1786" t="str">
        <f>_xll.BDP("71861PBB Muni","ID_CUSIP")</f>
        <v>71861PBB8</v>
      </c>
      <c r="B1786" t="s">
        <v>480</v>
      </c>
      <c r="C1786" t="str">
        <f>_xll.BDP("71861PBB Muni","INSURANCE_STATUS")</f>
        <v>Y</v>
      </c>
      <c r="D1786" t="str">
        <f>_xll.BDP("71861PBB Muni","STATE_CODE")</f>
        <v>WI</v>
      </c>
      <c r="E1786" t="str">
        <f>_xll.BDP("71861PBB Muni","COUNTY_LOCATION_ISSUER")</f>
        <v>Price, WI</v>
      </c>
      <c r="F1786">
        <f>_xll.BDP("71861PBB Muni","DUR_ADJ_MID")</f>
        <v>1.6844789841976484</v>
      </c>
      <c r="G1786">
        <f>_xll.BDP("71861PBB Muni","SPREAD_AT_ISSUANCE_TO_WORST")</f>
        <v>70.110378604427211</v>
      </c>
      <c r="H1786" t="str">
        <f>_xll.BDP("71861PBB Muni","ISSUE_DT")</f>
        <v>6/1/2017</v>
      </c>
      <c r="I1786" t="str">
        <f>_xll.BDS("71861PBB Muni","MUNI_PURPOSE_SCHED", "aggregate=y")</f>
        <v>WATER UTILITY IMPS. SEWER IMPS.</v>
      </c>
      <c r="J1786">
        <f>_xll.BDP("71861PBB Muni","CPN")</f>
        <v>3</v>
      </c>
      <c r="K1786" t="str">
        <f>_xll.BDP("71861PBB Muni","MATURITY")</f>
        <v>5/1/2024</v>
      </c>
      <c r="L1786">
        <v>120000</v>
      </c>
      <c r="M1786">
        <f>_xll.BDP("71861PBB Muni","YIELD_ON_ISSUE_DATE")</f>
        <v>2.4000000000000004</v>
      </c>
      <c r="N1786">
        <f>_xll.BDP("71861PBB Muni","YTW_SPREAD_TO_MATURITY_AT_ISSU")</f>
        <v>70.110378604427211</v>
      </c>
      <c r="O1786" t="str">
        <f>_xll.BDP("71861PBB Muni","BVAL_MID_YTM")</f>
        <v>#N/A Authorization</v>
      </c>
      <c r="P1786" t="str">
        <f>_xll.BDP("71861PBB Muni","MUNI_TAX_PROV")</f>
        <v>FED BQ/ST TAXABLE</v>
      </c>
      <c r="Q1786" t="str">
        <f>_xll.BDP("71861PBB Muni","MUNI_FED_TAX")</f>
        <v>N</v>
      </c>
      <c r="R1786" t="str">
        <f>_xll.BDP("71861PBB Muni","MUNI_MSRB_VOLUME")</f>
        <v>#N/A N/A</v>
      </c>
      <c r="S1786" t="str">
        <f>_xll.BDP("71861PBB Muni","BB_COMPOSITE")</f>
        <v>#N/A N/A</v>
      </c>
      <c r="T1786">
        <f>_xll.BDP("71861PBB Muni","LQA_LIQUIDITY_SCORE")</f>
        <v>78</v>
      </c>
    </row>
    <row r="1787" spans="1:20" x14ac:dyDescent="0.25">
      <c r="A1787" t="str">
        <f>_xll.BDP("721340DL Muni","ID_CUSIP")</f>
        <v>721340DL8</v>
      </c>
      <c r="B1787" t="s">
        <v>481</v>
      </c>
      <c r="C1787" t="str">
        <f>_xll.BDP("721340DL Muni","INSURANCE_STATUS")</f>
        <v>N</v>
      </c>
      <c r="D1787" t="str">
        <f>_xll.BDP("721340DL Muni","STATE_CODE")</f>
        <v>KY</v>
      </c>
      <c r="E1787" t="str">
        <f>_xll.BDP("721340DL Muni","COUNTY_LOCATION_ISSUER")</f>
        <v>Pike, KY</v>
      </c>
      <c r="F1787">
        <f>_xll.BDP("721340DL Muni","DUR_ADJ_MID")</f>
        <v>0.2466350594464064</v>
      </c>
      <c r="G1787">
        <f>_xll.BDP("721340DL Muni","SPREAD_AT_ISSUANCE_TO_WORST")</f>
        <v>13.205849315068496</v>
      </c>
      <c r="H1787" t="str">
        <f>_xll.BDP("721340DL Muni","ISSUE_DT")</f>
        <v>12/27/2017</v>
      </c>
      <c r="I1787" t="str">
        <f>_xll.BDS("721340DL Muni","MUNI_PURPOSE_SCHED", "aggregate=y")</f>
        <v>RECREATIONAL FAC. IMPS. WATER UTILITY IMPS. SEWER IMPS.</v>
      </c>
      <c r="J1787">
        <f>_xll.BDP("721340DL Muni","CPN")</f>
        <v>3</v>
      </c>
      <c r="K1787" t="str">
        <f>_xll.BDP("721340DL Muni","MATURITY")</f>
        <v>11/1/2022</v>
      </c>
      <c r="L1787">
        <v>310000</v>
      </c>
      <c r="M1787">
        <f>_xll.BDP("721340DL Muni","YIELD_ON_ISSUE_DATE")</f>
        <v>1.8</v>
      </c>
      <c r="N1787">
        <f>_xll.BDP("721340DL Muni","YTW_SPREAD_TO_MATURITY_AT_ISSU")</f>
        <v>13.205849315068496</v>
      </c>
      <c r="O1787" t="str">
        <f>_xll.BDP("721340DL Muni","BVAL_MID_YTM")</f>
        <v>#N/A Authorization</v>
      </c>
      <c r="P1787" t="str">
        <f>_xll.BDP("721340DL Muni","MUNI_TAX_PROV")</f>
        <v>FED &amp; ST TAX-EXEMPT</v>
      </c>
      <c r="Q1787" t="str">
        <f>_xll.BDP("721340DL Muni","MUNI_FED_TAX")</f>
        <v>N</v>
      </c>
      <c r="R1787" t="str">
        <f>_xll.BDP("721340DL Muni","MUNI_MSRB_VOLUME")</f>
        <v>#N/A N/A</v>
      </c>
      <c r="S1787" t="str">
        <f>_xll.BDP("721340DL Muni","BB_COMPOSITE")</f>
        <v>#N/A N/A</v>
      </c>
      <c r="T1787">
        <f>_xll.BDP("721340DL Muni","LQA_LIQUIDITY_SCORE")</f>
        <v>94</v>
      </c>
    </row>
    <row r="1788" spans="1:20" x14ac:dyDescent="0.25">
      <c r="A1788" t="str">
        <f>_xll.BDP("721340DM Muni","ID_CUSIP")</f>
        <v>721340DM6</v>
      </c>
      <c r="B1788" t="s">
        <v>481</v>
      </c>
      <c r="C1788" t="str">
        <f>_xll.BDP("721340DM Muni","INSURANCE_STATUS")</f>
        <v>N</v>
      </c>
      <c r="D1788" t="str">
        <f>_xll.BDP("721340DM Muni","STATE_CODE")</f>
        <v>KY</v>
      </c>
      <c r="E1788" t="str">
        <f>_xll.BDP("721340DM Muni","COUNTY_LOCATION_ISSUER")</f>
        <v>Pike, KY</v>
      </c>
      <c r="F1788">
        <f>_xll.BDP("721340DM Muni","DUR_ADJ_MID")</f>
        <v>1.2157384707693784</v>
      </c>
      <c r="G1788">
        <f>_xll.BDP("721340DM Muni","SPREAD_AT_ISSUANCE_TO_WORST")</f>
        <v>16.26443835616438</v>
      </c>
      <c r="H1788" t="str">
        <f>_xll.BDP("721340DM Muni","ISSUE_DT")</f>
        <v>12/27/2017</v>
      </c>
      <c r="I1788" t="str">
        <f>_xll.BDS("721340DM Muni","MUNI_PURPOSE_SCHED", "aggregate=y")</f>
        <v>RECREATIONAL FAC. IMPS. WATER UTILITY IMPS. SEWER IMPS.</v>
      </c>
      <c r="J1788">
        <f>_xll.BDP("721340DM Muni","CPN")</f>
        <v>3</v>
      </c>
      <c r="K1788" t="str">
        <f>_xll.BDP("721340DM Muni","MATURITY")</f>
        <v>11/1/2023</v>
      </c>
      <c r="L1788">
        <v>375000</v>
      </c>
      <c r="M1788">
        <f>_xll.BDP("721340DM Muni","YIELD_ON_ISSUE_DATE")</f>
        <v>1.9000000000000001</v>
      </c>
      <c r="N1788">
        <f>_xll.BDP("721340DM Muni","YTW_SPREAD_TO_MATURITY_AT_ISSU")</f>
        <v>16.26443835616438</v>
      </c>
      <c r="O1788" t="str">
        <f>_xll.BDP("721340DM Muni","BVAL_MID_YTM")</f>
        <v>#N/A Authorization</v>
      </c>
      <c r="P1788" t="str">
        <f>_xll.BDP("721340DM Muni","MUNI_TAX_PROV")</f>
        <v>FED &amp; ST TAX-EXEMPT</v>
      </c>
      <c r="Q1788" t="str">
        <f>_xll.BDP("721340DM Muni","MUNI_FED_TAX")</f>
        <v>N</v>
      </c>
      <c r="R1788" t="str">
        <f>_xll.BDP("721340DM Muni","MUNI_MSRB_VOLUME")</f>
        <v>#N/A N/A</v>
      </c>
      <c r="S1788" t="str">
        <f>_xll.BDP("721340DM Muni","BB_COMPOSITE")</f>
        <v>#N/A N/A</v>
      </c>
      <c r="T1788">
        <f>_xll.BDP("721340DM Muni","LQA_LIQUIDITY_SCORE")</f>
        <v>73</v>
      </c>
    </row>
    <row r="1789" spans="1:20" x14ac:dyDescent="0.25">
      <c r="A1789" t="str">
        <f>_xll.BDP("721340DN Muni","ID_CUSIP")</f>
        <v>721340DN4</v>
      </c>
      <c r="B1789" t="s">
        <v>481</v>
      </c>
      <c r="C1789" t="str">
        <f>_xll.BDP("721340DN Muni","INSURANCE_STATUS")</f>
        <v>N</v>
      </c>
      <c r="D1789" t="str">
        <f>_xll.BDP("721340DN Muni","STATE_CODE")</f>
        <v>KY</v>
      </c>
      <c r="E1789" t="str">
        <f>_xll.BDP("721340DN Muni","COUNTY_LOCATION_ISSUER")</f>
        <v>Pike, KY</v>
      </c>
      <c r="F1789">
        <f>_xll.BDP("721340DN Muni","DUR_ADJ_MID")</f>
        <v>2.156247654133578</v>
      </c>
      <c r="G1789">
        <f>_xll.BDP("721340DN Muni","SPREAD_AT_ISSUANCE_TO_WORST")</f>
        <v>18.928049315068485</v>
      </c>
      <c r="H1789" t="str">
        <f>_xll.BDP("721340DN Muni","ISSUE_DT")</f>
        <v>12/27/2017</v>
      </c>
      <c r="I1789" t="str">
        <f>_xll.BDS("721340DN Muni","MUNI_PURPOSE_SCHED", "aggregate=y")</f>
        <v>RECREATIONAL FAC. IMPS. WATER UTILITY IMPS. SEWER IMPS.</v>
      </c>
      <c r="J1789">
        <f>_xll.BDP("721340DN Muni","CPN")</f>
        <v>3</v>
      </c>
      <c r="K1789" t="str">
        <f>_xll.BDP("721340DN Muni","MATURITY")</f>
        <v>11/1/2024</v>
      </c>
      <c r="L1789">
        <v>380000</v>
      </c>
      <c r="M1789">
        <f>_xll.BDP("721340DN Muni","YIELD_ON_ISSUE_DATE")</f>
        <v>2</v>
      </c>
      <c r="N1789">
        <f>_xll.BDP("721340DN Muni","YTW_SPREAD_TO_MATURITY_AT_ISSU")</f>
        <v>18.928049315068485</v>
      </c>
      <c r="O1789" t="str">
        <f>_xll.BDP("721340DN Muni","BVAL_MID_YTM")</f>
        <v>#N/A Authorization</v>
      </c>
      <c r="P1789" t="str">
        <f>_xll.BDP("721340DN Muni","MUNI_TAX_PROV")</f>
        <v>FED &amp; ST TAX-EXEMPT</v>
      </c>
      <c r="Q1789" t="str">
        <f>_xll.BDP("721340DN Muni","MUNI_FED_TAX")</f>
        <v>N</v>
      </c>
      <c r="R1789">
        <f>_xll.BDP("721340DN Muni","MUNI_MSRB_VOLUME")</f>
        <v>100000</v>
      </c>
      <c r="S1789" t="str">
        <f>_xll.BDP("721340DN Muni","BB_COMPOSITE")</f>
        <v>#N/A N/A</v>
      </c>
      <c r="T1789">
        <f>_xll.BDP("721340DN Muni","LQA_LIQUIDITY_SCORE")</f>
        <v>57</v>
      </c>
    </row>
    <row r="1790" spans="1:20" x14ac:dyDescent="0.25">
      <c r="A1790" t="str">
        <f>_xll.BDP("721340DP Muni","ID_CUSIP")</f>
        <v>721340DP9</v>
      </c>
      <c r="B1790" t="s">
        <v>481</v>
      </c>
      <c r="C1790" t="str">
        <f>_xll.BDP("721340DP Muni","INSURANCE_STATUS")</f>
        <v>N</v>
      </c>
      <c r="D1790" t="str">
        <f>_xll.BDP("721340DP Muni","STATE_CODE")</f>
        <v>KY</v>
      </c>
      <c r="E1790" t="str">
        <f>_xll.BDP("721340DP Muni","COUNTY_LOCATION_ISSUER")</f>
        <v>Pike, KY</v>
      </c>
      <c r="F1790">
        <f>_xll.BDP("721340DP Muni","DUR_ADJ_MID")</f>
        <v>3.0700778381770712</v>
      </c>
      <c r="G1790">
        <f>_xll.BDP("721340DP Muni","SPREAD_AT_ISSUANCE_TO_WORST")</f>
        <v>21.221487671232886</v>
      </c>
      <c r="H1790" t="str">
        <f>_xll.BDP("721340DP Muni","ISSUE_DT")</f>
        <v>12/27/2017</v>
      </c>
      <c r="I1790" t="str">
        <f>_xll.BDS("721340DP Muni","MUNI_PURPOSE_SCHED", "aggregate=y")</f>
        <v>RECREATIONAL FAC. IMPS. WATER UTILITY IMPS. SEWER IMPS.</v>
      </c>
      <c r="J1790">
        <f>_xll.BDP("721340DP Muni","CPN")</f>
        <v>3</v>
      </c>
      <c r="K1790" t="str">
        <f>_xll.BDP("721340DP Muni","MATURITY")</f>
        <v>11/1/2025</v>
      </c>
      <c r="L1790">
        <v>395000</v>
      </c>
      <c r="M1790">
        <f>_xll.BDP("721340DP Muni","YIELD_ON_ISSUE_DATE")</f>
        <v>2.1</v>
      </c>
      <c r="N1790">
        <f>_xll.BDP("721340DP Muni","YTW_SPREAD_TO_MATURITY_AT_ISSU")</f>
        <v>21.221487671232886</v>
      </c>
      <c r="O1790" t="str">
        <f>_xll.BDP("721340DP Muni","BVAL_MID_YTM")</f>
        <v>#N/A Authorization</v>
      </c>
      <c r="P1790" t="str">
        <f>_xll.BDP("721340DP Muni","MUNI_TAX_PROV")</f>
        <v>FED &amp; ST TAX-EXEMPT</v>
      </c>
      <c r="Q1790" t="str">
        <f>_xll.BDP("721340DP Muni","MUNI_FED_TAX")</f>
        <v>N</v>
      </c>
      <c r="R1790">
        <f>_xll.BDP("721340DP Muni","MUNI_MSRB_VOLUME")</f>
        <v>100000</v>
      </c>
      <c r="S1790" t="str">
        <f>_xll.BDP("721340DP Muni","BB_COMPOSITE")</f>
        <v>#N/A N/A</v>
      </c>
      <c r="T1790">
        <f>_xll.BDP("721340DP Muni","LQA_LIQUIDITY_SCORE")</f>
        <v>47</v>
      </c>
    </row>
    <row r="1791" spans="1:20" x14ac:dyDescent="0.25">
      <c r="A1791" t="str">
        <f>_xll.BDP("721340DQ Muni","ID_CUSIP")</f>
        <v>721340DQ7</v>
      </c>
      <c r="B1791" t="s">
        <v>481</v>
      </c>
      <c r="C1791" t="str">
        <f>_xll.BDP("721340DQ Muni","INSURANCE_STATUS")</f>
        <v>N</v>
      </c>
      <c r="D1791" t="str">
        <f>_xll.BDP("721340DQ Muni","STATE_CODE")</f>
        <v>KY</v>
      </c>
      <c r="E1791" t="str">
        <f>_xll.BDP("721340DQ Muni","COUNTY_LOCATION_ISSUER")</f>
        <v>Pike, KY</v>
      </c>
      <c r="F1791">
        <f>_xll.BDP("721340DQ Muni","DUR_ADJ_MID")</f>
        <v>3.9577937263557739</v>
      </c>
      <c r="G1791">
        <f>_xll.BDP("721340DQ Muni","SPREAD_AT_ISSUANCE_TO_WORST")</f>
        <v>23.903983561643848</v>
      </c>
      <c r="H1791" t="str">
        <f>_xll.BDP("721340DQ Muni","ISSUE_DT")</f>
        <v>12/27/2017</v>
      </c>
      <c r="I1791" t="str">
        <f>_xll.BDS("721340DQ Muni","MUNI_PURPOSE_SCHED", "aggregate=y")</f>
        <v>RECREATIONAL FAC. IMPS. WATER UTILITY IMPS. SEWER IMPS.</v>
      </c>
      <c r="J1791">
        <f>_xll.BDP("721340DQ Muni","CPN")</f>
        <v>3</v>
      </c>
      <c r="K1791" t="str">
        <f>_xll.BDP("721340DQ Muni","MATURITY")</f>
        <v>11/1/2026</v>
      </c>
      <c r="L1791">
        <v>410000</v>
      </c>
      <c r="M1791">
        <f>_xll.BDP("721340DQ Muni","YIELD_ON_ISSUE_DATE")</f>
        <v>2.2000000000000002</v>
      </c>
      <c r="N1791">
        <f>_xll.BDP("721340DQ Muni","YTW_SPREAD_TO_MATURITY_AT_ISSU")</f>
        <v>23.903983561643848</v>
      </c>
      <c r="O1791" t="str">
        <f>_xll.BDP("721340DQ Muni","BVAL_MID_YTM")</f>
        <v>#N/A Authorization</v>
      </c>
      <c r="P1791" t="str">
        <f>_xll.BDP("721340DQ Muni","MUNI_TAX_PROV")</f>
        <v>FED &amp; ST TAX-EXEMPT</v>
      </c>
      <c r="Q1791" t="str">
        <f>_xll.BDP("721340DQ Muni","MUNI_FED_TAX")</f>
        <v>N</v>
      </c>
      <c r="R1791" t="str">
        <f>_xll.BDP("721340DQ Muni","MUNI_MSRB_VOLUME")</f>
        <v>#N/A N/A</v>
      </c>
      <c r="S1791" t="str">
        <f>_xll.BDP("721340DQ Muni","BB_COMPOSITE")</f>
        <v>#N/A N/A</v>
      </c>
      <c r="T1791">
        <f>_xll.BDP("721340DQ Muni","LQA_LIQUIDITY_SCORE")</f>
        <v>36</v>
      </c>
    </row>
    <row r="1792" spans="1:20" x14ac:dyDescent="0.25">
      <c r="A1792" t="str">
        <f>_xll.BDP("721340DR Muni","ID_CUSIP")</f>
        <v>721340DR5</v>
      </c>
      <c r="B1792" t="s">
        <v>481</v>
      </c>
      <c r="C1792" t="str">
        <f>_xll.BDP("721340DR Muni","INSURANCE_STATUS")</f>
        <v>N</v>
      </c>
      <c r="D1792" t="str">
        <f>_xll.BDP("721340DR Muni","STATE_CODE")</f>
        <v>KY</v>
      </c>
      <c r="E1792" t="str">
        <f>_xll.BDP("721340DR Muni","COUNTY_LOCATION_ISSUER")</f>
        <v>Pike, KY</v>
      </c>
      <c r="F1792">
        <f>_xll.BDP("721340DR Muni","DUR_ADJ_MID")</f>
        <v>4.8200504292195339</v>
      </c>
      <c r="G1792">
        <f>_xll.BDP("721340DR Muni","SPREAD_AT_ISSUANCE_TO_WORST")</f>
        <v>28.343073972602717</v>
      </c>
      <c r="H1792" t="str">
        <f>_xll.BDP("721340DR Muni","ISSUE_DT")</f>
        <v>12/27/2017</v>
      </c>
      <c r="I1792" t="str">
        <f>_xll.BDS("721340DR Muni","MUNI_PURPOSE_SCHED", "aggregate=y")</f>
        <v>RECREATIONAL FAC. IMPS. WATER UTILITY IMPS. SEWER IMPS.</v>
      </c>
      <c r="J1792">
        <f>_xll.BDP("721340DR Muni","CPN")</f>
        <v>3</v>
      </c>
      <c r="K1792" t="str">
        <f>_xll.BDP("721340DR Muni","MATURITY")</f>
        <v>11/1/2027</v>
      </c>
      <c r="L1792">
        <v>420000</v>
      </c>
      <c r="M1792">
        <f>_xll.BDP("721340DR Muni","YIELD_ON_ISSUE_DATE")</f>
        <v>2.3000000000000003</v>
      </c>
      <c r="N1792">
        <f>_xll.BDP("721340DR Muni","YTW_SPREAD_TO_MATURITY_AT_ISSU")</f>
        <v>28.343073972602717</v>
      </c>
      <c r="O1792" t="str">
        <f>_xll.BDP("721340DR Muni","BVAL_MID_YTM")</f>
        <v>#N/A Authorization</v>
      </c>
      <c r="P1792" t="str">
        <f>_xll.BDP("721340DR Muni","MUNI_TAX_PROV")</f>
        <v>FED &amp; ST TAX-EXEMPT</v>
      </c>
      <c r="Q1792" t="str">
        <f>_xll.BDP("721340DR Muni","MUNI_FED_TAX")</f>
        <v>N</v>
      </c>
      <c r="R1792">
        <f>_xll.BDP("721340DR Muni","MUNI_MSRB_VOLUME")</f>
        <v>100000</v>
      </c>
      <c r="S1792" t="str">
        <f>_xll.BDP("721340DR Muni","BB_COMPOSITE")</f>
        <v>#N/A N/A</v>
      </c>
      <c r="T1792">
        <f>_xll.BDP("721340DR Muni","LQA_LIQUIDITY_SCORE")</f>
        <v>30</v>
      </c>
    </row>
    <row r="1793" spans="1:20" x14ac:dyDescent="0.25">
      <c r="A1793" t="str">
        <f>_xll.BDP("721595GR Muni","ID_CUSIP")</f>
        <v>721595GR1</v>
      </c>
      <c r="B1793" t="s">
        <v>482</v>
      </c>
      <c r="C1793" t="str">
        <f>_xll.BDP("721595GR Muni","INSURANCE_STATUS")</f>
        <v>N</v>
      </c>
      <c r="D1793" t="str">
        <f>_xll.BDP("721595GR Muni","STATE_CODE")</f>
        <v>TX</v>
      </c>
      <c r="E1793" t="str">
        <f>_xll.BDP("721595GR Muni","COUNTY_LOCATION_ISSUER")</f>
        <v>Denton, TX</v>
      </c>
      <c r="F1793">
        <f>_xll.BDP("721595GR Muni","DUR_ADJ_MID")</f>
        <v>0.52281349884524897</v>
      </c>
      <c r="G1793">
        <f>_xll.BDP("721595GR Muni","SPREAD_AT_ISSUANCE_TO_WORST")</f>
        <v>33.233789041095882</v>
      </c>
      <c r="H1793" t="str">
        <f>_xll.BDP("721595GR Muni","ISSUE_DT")</f>
        <v>9/15/2017</v>
      </c>
      <c r="I1793" t="str">
        <f>_xll.BDS("721595GR Muni","MUNI_PURPOSE_SCHED", "aggregate=y")</f>
        <v>WATER UTILITY IMPS. SEWER IMPS.</v>
      </c>
      <c r="J1793">
        <f>_xll.BDP("721595GR Muni","CPN")</f>
        <v>4</v>
      </c>
      <c r="K1793" t="str">
        <f>_xll.BDP("721595GR Muni","MATURITY")</f>
        <v>2/15/2023</v>
      </c>
      <c r="L1793">
        <v>80000</v>
      </c>
      <c r="M1793">
        <f>_xll.BDP("721595GR Muni","YIELD_ON_ISSUE_DATE")</f>
        <v>1.6500000000000001</v>
      </c>
      <c r="N1793">
        <f>_xll.BDP("721595GR Muni","YTW_SPREAD_TO_MATURITY_AT_ISSU")</f>
        <v>33.233789041095882</v>
      </c>
      <c r="O1793" t="str">
        <f>_xll.BDP("721595GR Muni","BVAL_MID_YTM")</f>
        <v>#N/A Authorization</v>
      </c>
      <c r="P1793" t="str">
        <f>_xll.BDP("721595GR Muni","MUNI_TAX_PROV")</f>
        <v>FED BQ</v>
      </c>
      <c r="Q1793" t="str">
        <f>_xll.BDP("721595GR Muni","MUNI_FED_TAX")</f>
        <v>N</v>
      </c>
      <c r="R1793" t="str">
        <f>_xll.BDP("721595GR Muni","MUNI_MSRB_VOLUME")</f>
        <v>#N/A N/A</v>
      </c>
      <c r="S1793" t="str">
        <f>_xll.BDP("721595GR Muni","BB_COMPOSITE")</f>
        <v>#N/A N/A</v>
      </c>
      <c r="T1793">
        <f>_xll.BDP("721595GR Muni","LQA_LIQUIDITY_SCORE")</f>
        <v>94</v>
      </c>
    </row>
    <row r="1794" spans="1:20" x14ac:dyDescent="0.25">
      <c r="A1794" t="str">
        <f>_xll.BDP("721595GS Muni","ID_CUSIP")</f>
        <v>721595GS9</v>
      </c>
      <c r="B1794" t="s">
        <v>482</v>
      </c>
      <c r="C1794" t="str">
        <f>_xll.BDP("721595GS Muni","INSURANCE_STATUS")</f>
        <v>N</v>
      </c>
      <c r="D1794" t="str">
        <f>_xll.BDP("721595GS Muni","STATE_CODE")</f>
        <v>TX</v>
      </c>
      <c r="E1794" t="str">
        <f>_xll.BDP("721595GS Muni","COUNTY_LOCATION_ISSUER")</f>
        <v>Denton, TX</v>
      </c>
      <c r="F1794">
        <f>_xll.BDP("721595GS Muni","DUR_ADJ_MID")</f>
        <v>1.4652964818218008</v>
      </c>
      <c r="G1794">
        <f>_xll.BDP("721595GS Muni","SPREAD_AT_ISSUANCE_TO_WORST")</f>
        <v>39.27652602739726</v>
      </c>
      <c r="H1794" t="str">
        <f>_xll.BDP("721595GS Muni","ISSUE_DT")</f>
        <v>9/15/2017</v>
      </c>
      <c r="I1794" t="str">
        <f>_xll.BDS("721595GS Muni","MUNI_PURPOSE_SCHED", "aggregate=y")</f>
        <v>WATER UTILITY IMPS. SEWER IMPS.</v>
      </c>
      <c r="J1794">
        <f>_xll.BDP("721595GS Muni","CPN")</f>
        <v>4</v>
      </c>
      <c r="K1794" t="str">
        <f>_xll.BDP("721595GS Muni","MATURITY")</f>
        <v>2/15/2024</v>
      </c>
      <c r="L1794">
        <v>85000</v>
      </c>
      <c r="M1794">
        <f>_xll.BDP("721595GS Muni","YIELD_ON_ISSUE_DATE")</f>
        <v>1.85</v>
      </c>
      <c r="N1794">
        <f>_xll.BDP("721595GS Muni","YTW_SPREAD_TO_MATURITY_AT_ISSU")</f>
        <v>39.27652602739726</v>
      </c>
      <c r="O1794" t="str">
        <f>_xll.BDP("721595GS Muni","BVAL_MID_YTM")</f>
        <v>#N/A Authorization</v>
      </c>
      <c r="P1794" t="str">
        <f>_xll.BDP("721595GS Muni","MUNI_TAX_PROV")</f>
        <v>FED BQ</v>
      </c>
      <c r="Q1794" t="str">
        <f>_xll.BDP("721595GS Muni","MUNI_FED_TAX")</f>
        <v>N</v>
      </c>
      <c r="R1794" t="str">
        <f>_xll.BDP("721595GS Muni","MUNI_MSRB_VOLUME")</f>
        <v>#N/A N/A</v>
      </c>
      <c r="S1794" t="str">
        <f>_xll.BDP("721595GS Muni","BB_COMPOSITE")</f>
        <v>#N/A N/A</v>
      </c>
      <c r="T1794">
        <f>_xll.BDP("721595GS Muni","LQA_LIQUIDITY_SCORE")</f>
        <v>84</v>
      </c>
    </row>
    <row r="1795" spans="1:20" x14ac:dyDescent="0.25">
      <c r="A1795" t="str">
        <f>_xll.BDP("721595GT Muni","ID_CUSIP")</f>
        <v>721595GT7</v>
      </c>
      <c r="B1795" t="s">
        <v>482</v>
      </c>
      <c r="C1795" t="str">
        <f>_xll.BDP("721595GT Muni","INSURANCE_STATUS")</f>
        <v>N</v>
      </c>
      <c r="D1795" t="str">
        <f>_xll.BDP("721595GT Muni","STATE_CODE")</f>
        <v>TX</v>
      </c>
      <c r="E1795" t="str">
        <f>_xll.BDP("721595GT Muni","COUNTY_LOCATION_ISSUER")</f>
        <v>Denton, TX</v>
      </c>
      <c r="F1795">
        <f>_xll.BDP("721595GT Muni","DUR_ADJ_MID")</f>
        <v>2.3728407317605815</v>
      </c>
      <c r="G1795">
        <f>_xll.BDP("721595GT Muni","SPREAD_AT_ISSUANCE_TO_WORST")</f>
        <v>40.01986301369864</v>
      </c>
      <c r="H1795" t="str">
        <f>_xll.BDP("721595GT Muni","ISSUE_DT")</f>
        <v>9/15/2017</v>
      </c>
      <c r="I1795" t="str">
        <f>_xll.BDS("721595GT Muni","MUNI_PURPOSE_SCHED", "aggregate=y")</f>
        <v>WATER UTILITY IMPS. SEWER IMPS.</v>
      </c>
      <c r="J1795">
        <f>_xll.BDP("721595GT Muni","CPN")</f>
        <v>4</v>
      </c>
      <c r="K1795" t="str">
        <f>_xll.BDP("721595GT Muni","MATURITY")</f>
        <v>2/15/2025</v>
      </c>
      <c r="L1795">
        <v>90000</v>
      </c>
      <c r="M1795">
        <f>_xll.BDP("721595GT Muni","YIELD_ON_ISSUE_DATE")</f>
        <v>2</v>
      </c>
      <c r="N1795">
        <f>_xll.BDP("721595GT Muni","YTW_SPREAD_TO_MATURITY_AT_ISSU")</f>
        <v>40.01986301369864</v>
      </c>
      <c r="O1795" t="str">
        <f>_xll.BDP("721595GT Muni","BVAL_MID_YTM")</f>
        <v>#N/A Authorization</v>
      </c>
      <c r="P1795" t="str">
        <f>_xll.BDP("721595GT Muni","MUNI_TAX_PROV")</f>
        <v>FED BQ</v>
      </c>
      <c r="Q1795" t="str">
        <f>_xll.BDP("721595GT Muni","MUNI_FED_TAX")</f>
        <v>N</v>
      </c>
      <c r="R1795" t="str">
        <f>_xll.BDP("721595GT Muni","MUNI_MSRB_VOLUME")</f>
        <v>#N/A N/A</v>
      </c>
      <c r="S1795" t="str">
        <f>_xll.BDP("721595GT Muni","BB_COMPOSITE")</f>
        <v>#N/A N/A</v>
      </c>
      <c r="T1795">
        <f>_xll.BDP("721595GT Muni","LQA_LIQUIDITY_SCORE")</f>
        <v>78</v>
      </c>
    </row>
    <row r="1796" spans="1:20" x14ac:dyDescent="0.25">
      <c r="A1796" t="str">
        <f>_xll.BDP("721595GU Muni","ID_CUSIP")</f>
        <v>721595GU4</v>
      </c>
      <c r="B1796" t="s">
        <v>482</v>
      </c>
      <c r="C1796" t="str">
        <f>_xll.BDP("721595GU Muni","INSURANCE_STATUS")</f>
        <v>N</v>
      </c>
      <c r="D1796" t="str">
        <f>_xll.BDP("721595GU Muni","STATE_CODE")</f>
        <v>TX</v>
      </c>
      <c r="E1796" t="str">
        <f>_xll.BDP("721595GU Muni","COUNTY_LOCATION_ISSUER")</f>
        <v>Denton, TX</v>
      </c>
      <c r="F1796">
        <f>_xll.BDP("721595GU Muni","DUR_ADJ_MID")</f>
        <v>3.2478942715808699</v>
      </c>
      <c r="G1796">
        <f>_xll.BDP("721595GU Muni","SPREAD_AT_ISSUANCE_TO_WORST")</f>
        <v>41.39687123287672</v>
      </c>
      <c r="H1796" t="str">
        <f>_xll.BDP("721595GU Muni","ISSUE_DT")</f>
        <v>9/15/2017</v>
      </c>
      <c r="I1796" t="str">
        <f>_xll.BDS("721595GU Muni","MUNI_PURPOSE_SCHED", "aggregate=y")</f>
        <v>WATER UTILITY IMPS. SEWER IMPS.</v>
      </c>
      <c r="J1796">
        <f>_xll.BDP("721595GU Muni","CPN")</f>
        <v>4</v>
      </c>
      <c r="K1796" t="str">
        <f>_xll.BDP("721595GU Muni","MATURITY")</f>
        <v>2/15/2026</v>
      </c>
      <c r="L1796">
        <v>95000</v>
      </c>
      <c r="M1796">
        <f>_xll.BDP("721595GU Muni","YIELD_ON_ISSUE_DATE")</f>
        <v>2.15</v>
      </c>
      <c r="N1796">
        <f>_xll.BDP("721595GU Muni","YTW_SPREAD_TO_MATURITY_AT_ISSU")</f>
        <v>41.39687123287672</v>
      </c>
      <c r="O1796" t="str">
        <f>_xll.BDP("721595GU Muni","BVAL_MID_YTM")</f>
        <v>#N/A Authorization</v>
      </c>
      <c r="P1796" t="str">
        <f>_xll.BDP("721595GU Muni","MUNI_TAX_PROV")</f>
        <v>FED BQ</v>
      </c>
      <c r="Q1796" t="str">
        <f>_xll.BDP("721595GU Muni","MUNI_FED_TAX")</f>
        <v>N</v>
      </c>
      <c r="R1796">
        <f>_xll.BDP("721595GU Muni","MUNI_MSRB_VOLUME")</f>
        <v>25000</v>
      </c>
      <c r="S1796" t="str">
        <f>_xll.BDP("721595GU Muni","BB_COMPOSITE")</f>
        <v>#N/A N/A</v>
      </c>
      <c r="T1796">
        <f>_xll.BDP("721595GU Muni","LQA_LIQUIDITY_SCORE")</f>
        <v>70</v>
      </c>
    </row>
    <row r="1797" spans="1:20" x14ac:dyDescent="0.25">
      <c r="A1797" t="str">
        <f>_xll.BDP("776195FX Muni","ID_CUSIP")</f>
        <v>776195FX2</v>
      </c>
      <c r="B1797" t="s">
        <v>170</v>
      </c>
      <c r="C1797" t="str">
        <f>_xll.BDP("776195FX Muni","INSURANCE_STATUS")</f>
        <v>N</v>
      </c>
      <c r="D1797" t="str">
        <f>_xll.BDP("776195FX Muni","STATE_CODE")</f>
        <v>MI</v>
      </c>
      <c r="E1797" t="str">
        <f>_xll.BDP("776195FX Muni","COUNTY_LOCATION_ISSUER")</f>
        <v>Wayne, MI</v>
      </c>
      <c r="F1797">
        <f>_xll.BDP("776195FX Muni","DUR_ADJ_MID")</f>
        <v>1.2174097911496311</v>
      </c>
      <c r="G1797">
        <f>_xll.BDP("776195FX Muni","SPREAD_AT_ISSUANCE_TO_WORST")</f>
        <v>29.78908767123287</v>
      </c>
      <c r="H1797" t="str">
        <f>_xll.BDP("776195FX Muni","ISSUE_DT")</f>
        <v>11/29/2017</v>
      </c>
      <c r="I1797" t="str">
        <f>_xll.BDS("776195FX Muni","MUNI_PURPOSE_SCHED", "aggregate=y")</f>
        <v>PUBLIC IMPS. WATER UTILITY IMPS. SEWER IMPS.</v>
      </c>
      <c r="J1797">
        <f>_xll.BDP("776195FX Muni","CPN")</f>
        <v>2.75</v>
      </c>
      <c r="K1797" t="str">
        <f>_xll.BDP("776195FX Muni","MATURITY")</f>
        <v>11/1/2023</v>
      </c>
      <c r="L1797">
        <v>110000</v>
      </c>
      <c r="M1797">
        <f>_xll.BDP("776195FX Muni","YIELD_ON_ISSUE_DATE")</f>
        <v>1.93</v>
      </c>
      <c r="N1797">
        <f>_xll.BDP("776195FX Muni","YTW_SPREAD_TO_MATURITY_AT_ISSU")</f>
        <v>29.78908767123287</v>
      </c>
      <c r="O1797" t="str">
        <f>_xll.BDP("776195FX Muni","BVAL_MID_YTM")</f>
        <v>#N/A Authorization</v>
      </c>
      <c r="P1797" t="str">
        <f>_xll.BDP("776195FX Muni","MUNI_TAX_PROV")</f>
        <v>FED &amp; ST TAX-EXEMPT</v>
      </c>
      <c r="Q1797" t="str">
        <f>_xll.BDP("776195FX Muni","MUNI_FED_TAX")</f>
        <v>N</v>
      </c>
      <c r="R1797" t="str">
        <f>_xll.BDP("776195FX Muni","MUNI_MSRB_VOLUME")</f>
        <v>#N/A N/A</v>
      </c>
      <c r="S1797" t="str">
        <f>_xll.BDP("776195FX Muni","BB_COMPOSITE")</f>
        <v>#N/A N/A</v>
      </c>
      <c r="T1797">
        <f>_xll.BDP("776195FX Muni","LQA_LIQUIDITY_SCORE")</f>
        <v>82</v>
      </c>
    </row>
    <row r="1798" spans="1:20" x14ac:dyDescent="0.25">
      <c r="A1798" t="str">
        <f>_xll.BDP("776195FY Muni","ID_CUSIP")</f>
        <v>776195FY0</v>
      </c>
      <c r="B1798" t="s">
        <v>170</v>
      </c>
      <c r="C1798" t="str">
        <f>_xll.BDP("776195FY Muni","INSURANCE_STATUS")</f>
        <v>N</v>
      </c>
      <c r="D1798" t="str">
        <f>_xll.BDP("776195FY Muni","STATE_CODE")</f>
        <v>MI</v>
      </c>
      <c r="E1798" t="str">
        <f>_xll.BDP("776195FY Muni","COUNTY_LOCATION_ISSUER")</f>
        <v>Wayne, MI</v>
      </c>
      <c r="F1798">
        <f>_xll.BDP("776195FY Muni","DUR_ADJ_MID")</f>
        <v>2.1346917097075337</v>
      </c>
      <c r="G1798">
        <f>_xll.BDP("776195FY Muni","SPREAD_AT_ISSUANCE_TO_WORST")</f>
        <v>33.522939726027403</v>
      </c>
      <c r="H1798" t="str">
        <f>_xll.BDP("776195FY Muni","ISSUE_DT")</f>
        <v>11/29/2017</v>
      </c>
      <c r="I1798" t="str">
        <f>_xll.BDS("776195FY Muni","MUNI_PURPOSE_SCHED", "aggregate=y")</f>
        <v>PUBLIC IMPS. WATER UTILITY IMPS. SEWER IMPS.</v>
      </c>
      <c r="J1798">
        <f>_xll.BDP("776195FY Muni","CPN")</f>
        <v>4</v>
      </c>
      <c r="K1798" t="str">
        <f>_xll.BDP("776195FY Muni","MATURITY")</f>
        <v>11/1/2024</v>
      </c>
      <c r="L1798">
        <v>745000</v>
      </c>
      <c r="M1798">
        <f>_xll.BDP("776195FY Muni","YIELD_ON_ISSUE_DATE")</f>
        <v>2.0699999999999998</v>
      </c>
      <c r="N1798">
        <f>_xll.BDP("776195FY Muni","YTW_SPREAD_TO_MATURITY_AT_ISSU")</f>
        <v>33.522939726027403</v>
      </c>
      <c r="O1798" t="str">
        <f>_xll.BDP("776195FY Muni","BVAL_MID_YTM")</f>
        <v>#N/A Authorization</v>
      </c>
      <c r="P1798" t="str">
        <f>_xll.BDP("776195FY Muni","MUNI_TAX_PROV")</f>
        <v>FED &amp; ST TAX-EXEMPT</v>
      </c>
      <c r="Q1798" t="str">
        <f>_xll.BDP("776195FY Muni","MUNI_FED_TAX")</f>
        <v>N</v>
      </c>
      <c r="R1798" t="str">
        <f>_xll.BDP("776195FY Muni","MUNI_MSRB_VOLUME")</f>
        <v>#N/A N/A</v>
      </c>
      <c r="S1798" t="str">
        <f>_xll.BDP("776195FY Muni","BB_COMPOSITE")</f>
        <v>#N/A N/A</v>
      </c>
      <c r="T1798">
        <f>_xll.BDP("776195FY Muni","LQA_LIQUIDITY_SCORE")</f>
        <v>77</v>
      </c>
    </row>
    <row r="1799" spans="1:20" x14ac:dyDescent="0.25">
      <c r="A1799" t="str">
        <f>_xll.BDP("776195FZ Muni","ID_CUSIP")</f>
        <v>776195FZ7</v>
      </c>
      <c r="B1799" t="s">
        <v>170</v>
      </c>
      <c r="C1799" t="str">
        <f>_xll.BDP("776195FZ Muni","INSURANCE_STATUS")</f>
        <v>N</v>
      </c>
      <c r="D1799" t="str">
        <f>_xll.BDP("776195FZ Muni","STATE_CODE")</f>
        <v>MI</v>
      </c>
      <c r="E1799" t="str">
        <f>_xll.BDP("776195FZ Muni","COUNTY_LOCATION_ISSUER")</f>
        <v>Wayne, MI</v>
      </c>
      <c r="F1799">
        <f>_xll.BDP("776195FZ Muni","DUR_ADJ_MID")</f>
        <v>3.0270957523444033</v>
      </c>
      <c r="G1799">
        <f>_xll.BDP("776195FZ Muni","SPREAD_AT_ISSUANCE_TO_WORST")</f>
        <v>33.268156164383591</v>
      </c>
      <c r="H1799" t="str">
        <f>_xll.BDP("776195FZ Muni","ISSUE_DT")</f>
        <v>11/29/2017</v>
      </c>
      <c r="I1799" t="str">
        <f>_xll.BDS("776195FZ Muni","MUNI_PURPOSE_SCHED", "aggregate=y")</f>
        <v>PUBLIC IMPS. WATER UTILITY IMPS. SEWER IMPS.</v>
      </c>
      <c r="J1799">
        <f>_xll.BDP("776195FZ Muni","CPN")</f>
        <v>4</v>
      </c>
      <c r="K1799" t="str">
        <f>_xll.BDP("776195FZ Muni","MATURITY")</f>
        <v>11/1/2025</v>
      </c>
      <c r="L1799">
        <v>745000</v>
      </c>
      <c r="M1799">
        <f>_xll.BDP("776195FZ Muni","YIELD_ON_ISSUE_DATE")</f>
        <v>2.1800000000000002</v>
      </c>
      <c r="N1799">
        <f>_xll.BDP("776195FZ Muni","YTW_SPREAD_TO_MATURITY_AT_ISSU")</f>
        <v>33.268156164383591</v>
      </c>
      <c r="O1799" t="str">
        <f>_xll.BDP("776195FZ Muni","BVAL_MID_YTM")</f>
        <v>#N/A Authorization</v>
      </c>
      <c r="P1799" t="str">
        <f>_xll.BDP("776195FZ Muni","MUNI_TAX_PROV")</f>
        <v>FED &amp; ST TAX-EXEMPT</v>
      </c>
      <c r="Q1799" t="str">
        <f>_xll.BDP("776195FZ Muni","MUNI_FED_TAX")</f>
        <v>N</v>
      </c>
      <c r="R1799">
        <f>_xll.BDP("776195FZ Muni","MUNI_MSRB_VOLUME")</f>
        <v>15000</v>
      </c>
      <c r="S1799" t="str">
        <f>_xll.BDP("776195FZ Muni","BB_COMPOSITE")</f>
        <v>#N/A N/A</v>
      </c>
      <c r="T1799">
        <f>_xll.BDP("776195FZ Muni","LQA_LIQUIDITY_SCORE")</f>
        <v>63</v>
      </c>
    </row>
    <row r="1800" spans="1:20" x14ac:dyDescent="0.25">
      <c r="A1800" t="str">
        <f>_xll.BDP("7776284J Muni","ID_CUSIP")</f>
        <v>7776284J4</v>
      </c>
      <c r="B1800" t="s">
        <v>483</v>
      </c>
      <c r="C1800" t="str">
        <f>_xll.BDP("7776284J Muni","INSURANCE_STATUS")</f>
        <v>N</v>
      </c>
      <c r="D1800" t="str">
        <f>_xll.BDP("7776284J Muni","STATE_CODE")</f>
        <v>TX</v>
      </c>
      <c r="E1800" t="str">
        <f>_xll.BDP("7776284J Muni","COUNTY_LOCATION_ISSUER")</f>
        <v>Fort Bend, TX</v>
      </c>
      <c r="F1800">
        <f>_xll.BDP("7776284J Muni","DUR_ADJ_MID")</f>
        <v>1.5226554693695156</v>
      </c>
      <c r="G1800">
        <f>_xll.BDP("7776284J Muni","SPREAD_AT_ISSUANCE_TO_WORST")</f>
        <v>20.147191780821917</v>
      </c>
      <c r="H1800" t="str">
        <f>_xll.BDP("7776284J Muni","ISSUE_DT")</f>
        <v>12/1/2017</v>
      </c>
      <c r="I1800" t="str">
        <f>_xll.BDS("7776284J Muni","MUNI_PURPOSE_SCHED", "aggregate=y")</f>
        <v>PUBLIC IMPS. WATER UTILITY IMPS. SEWER IMPS.</v>
      </c>
      <c r="J1800">
        <f>_xll.BDP("7776284J Muni","CPN")</f>
        <v>3</v>
      </c>
      <c r="K1800" t="str">
        <f>_xll.BDP("7776284J Muni","MATURITY")</f>
        <v>3/1/2024</v>
      </c>
      <c r="L1800">
        <v>415000</v>
      </c>
      <c r="M1800">
        <f>_xll.BDP("7776284J Muni","YIELD_ON_ISSUE_DATE")</f>
        <v>1.8</v>
      </c>
      <c r="N1800">
        <f>_xll.BDP("7776284J Muni","YTW_SPREAD_TO_MATURITY_AT_ISSU")</f>
        <v>20.147191780821917</v>
      </c>
      <c r="O1800" t="str">
        <f>_xll.BDP("7776284J Muni","BVAL_MID_YTM")</f>
        <v>#N/A Authorization</v>
      </c>
      <c r="P1800" t="str">
        <f>_xll.BDP("7776284J Muni","MUNI_TAX_PROV")</f>
        <v>FED BQ</v>
      </c>
      <c r="Q1800" t="str">
        <f>_xll.BDP("7776284J Muni","MUNI_FED_TAX")</f>
        <v>N</v>
      </c>
      <c r="R1800" t="str">
        <f>_xll.BDP("7776284J Muni","MUNI_MSRB_VOLUME")</f>
        <v>#N/A N/A</v>
      </c>
      <c r="S1800" t="str">
        <f>_xll.BDP("7776284J Muni","BB_COMPOSITE")</f>
        <v>#N/A N/A</v>
      </c>
      <c r="T1800">
        <f>_xll.BDP("7776284J Muni","LQA_LIQUIDITY_SCORE")</f>
        <v>84</v>
      </c>
    </row>
    <row r="1801" spans="1:20" x14ac:dyDescent="0.25">
      <c r="A1801" t="str">
        <f>_xll.BDP("7776284K Muni","ID_CUSIP")</f>
        <v>7776284K1</v>
      </c>
      <c r="B1801" t="s">
        <v>483</v>
      </c>
      <c r="C1801" t="str">
        <f>_xll.BDP("7776284K Muni","INSURANCE_STATUS")</f>
        <v>N</v>
      </c>
      <c r="D1801" t="str">
        <f>_xll.BDP("7776284K Muni","STATE_CODE")</f>
        <v>TX</v>
      </c>
      <c r="E1801" t="str">
        <f>_xll.BDP("7776284K Muni","COUNTY_LOCATION_ISSUER")</f>
        <v>Fort Bend, TX</v>
      </c>
      <c r="F1801">
        <f>_xll.BDP("7776284K Muni","DUR_ADJ_MID")</f>
        <v>2.4482265430462875</v>
      </c>
      <c r="G1801">
        <f>_xll.BDP("7776284K Muni","SPREAD_AT_ISSUANCE_TO_WORST")</f>
        <v>28.429753424657523</v>
      </c>
      <c r="H1801" t="str">
        <f>_xll.BDP("7776284K Muni","ISSUE_DT")</f>
        <v>12/1/2017</v>
      </c>
      <c r="I1801" t="str">
        <f>_xll.BDS("7776284K Muni","MUNI_PURPOSE_SCHED", "aggregate=y")</f>
        <v>PUBLIC IMPS. WATER UTILITY IMPS. SEWER IMPS.</v>
      </c>
      <c r="J1801">
        <f>_xll.BDP("7776284K Muni","CPN")</f>
        <v>3</v>
      </c>
      <c r="K1801" t="str">
        <f>_xll.BDP("7776284K Muni","MATURITY")</f>
        <v>3/1/2025</v>
      </c>
      <c r="L1801">
        <v>430000</v>
      </c>
      <c r="M1801">
        <f>_xll.BDP("7776284K Muni","YIELD_ON_ISSUE_DATE")</f>
        <v>2</v>
      </c>
      <c r="N1801">
        <f>_xll.BDP("7776284K Muni","YTW_SPREAD_TO_MATURITY_AT_ISSU")</f>
        <v>28.429753424657523</v>
      </c>
      <c r="O1801" t="str">
        <f>_xll.BDP("7776284K Muni","BVAL_MID_YTM")</f>
        <v>#N/A Authorization</v>
      </c>
      <c r="P1801" t="str">
        <f>_xll.BDP("7776284K Muni","MUNI_TAX_PROV")</f>
        <v>FED BQ</v>
      </c>
      <c r="Q1801" t="str">
        <f>_xll.BDP("7776284K Muni","MUNI_FED_TAX")</f>
        <v>N</v>
      </c>
      <c r="R1801" t="str">
        <f>_xll.BDP("7776284K Muni","MUNI_MSRB_VOLUME")</f>
        <v>#N/A N/A</v>
      </c>
      <c r="S1801" t="str">
        <f>_xll.BDP("7776284K Muni","BB_COMPOSITE")</f>
        <v>#N/A N/A</v>
      </c>
      <c r="T1801">
        <f>_xll.BDP("7776284K Muni","LQA_LIQUIDITY_SCORE")</f>
        <v>76</v>
      </c>
    </row>
    <row r="1802" spans="1:20" x14ac:dyDescent="0.25">
      <c r="A1802" t="str">
        <f>_xll.BDP("778561JW Muni","ID_CUSIP")</f>
        <v>778561JW1</v>
      </c>
      <c r="B1802" t="s">
        <v>484</v>
      </c>
      <c r="C1802" t="str">
        <f>_xll.BDP("778561JW Muni","INSURANCE_STATUS")</f>
        <v>Y</v>
      </c>
      <c r="D1802" t="str">
        <f>_xll.BDP("778561JW Muni","STATE_CODE")</f>
        <v>NM</v>
      </c>
      <c r="E1802" t="str">
        <f>_xll.BDP("778561JW Muni","COUNTY_LOCATION_ISSUER")</f>
        <v>Chaves, NM</v>
      </c>
      <c r="F1802">
        <f>_xll.BDP("778561JW Muni","DUR_ADJ_MID")</f>
        <v>0.81494648414953696</v>
      </c>
      <c r="G1802">
        <f>_xll.BDP("778561JW Muni","SPREAD_AT_ISSUANCE_TO_WORST")</f>
        <v>42.093260721738645</v>
      </c>
      <c r="H1802" t="str">
        <f>_xll.BDP("778561JW Muni","ISSUE_DT")</f>
        <v>2/21/2017</v>
      </c>
      <c r="I1802" t="str">
        <f>_xll.BDS("778561JW Muni","MUNI_PURPOSE_SCHED", "aggregate=y")</f>
        <v>WATER UTILITY IMPS. SEWER IMPS.</v>
      </c>
      <c r="J1802">
        <f>_xll.BDP("778561JW Muni","CPN")</f>
        <v>4</v>
      </c>
      <c r="K1802" t="str">
        <f>_xll.BDP("778561JW Muni","MATURITY")</f>
        <v>6/1/2023</v>
      </c>
      <c r="L1802">
        <v>895000</v>
      </c>
      <c r="M1802">
        <f>_xll.BDP("778561JW Muni","YIELD_ON_ISSUE_DATE")</f>
        <v>2.3000000000000003</v>
      </c>
      <c r="N1802">
        <f>_xll.BDP("778561JW Muni","YTW_SPREAD_TO_MATURITY_AT_ISSU")</f>
        <v>42.093260721738645</v>
      </c>
      <c r="O1802" t="str">
        <f>_xll.BDP("778561JW Muni","BVAL_MID_YTM")</f>
        <v>#N/A Authorization</v>
      </c>
      <c r="P1802" t="str">
        <f>_xll.BDP("778561JW Muni","MUNI_TAX_PROV")</f>
        <v>FED &amp; ST TAX-EXEMPT</v>
      </c>
      <c r="Q1802" t="str">
        <f>_xll.BDP("778561JW Muni","MUNI_FED_TAX")</f>
        <v>N</v>
      </c>
      <c r="R1802">
        <f>_xll.BDP("778561JW Muni","MUNI_MSRB_VOLUME")</f>
        <v>100000</v>
      </c>
      <c r="S1802" t="str">
        <f>_xll.BDP("778561JW Muni","BB_COMPOSITE")</f>
        <v>AA-</v>
      </c>
      <c r="T1802">
        <f>_xll.BDP("778561JW Muni","LQA_LIQUIDITY_SCORE")</f>
        <v>92</v>
      </c>
    </row>
    <row r="1803" spans="1:20" x14ac:dyDescent="0.25">
      <c r="A1803" t="str">
        <f>_xll.BDP("778561JY Muni","ID_CUSIP")</f>
        <v>778561JY7</v>
      </c>
      <c r="B1803" t="s">
        <v>484</v>
      </c>
      <c r="C1803" t="str">
        <f>_xll.BDP("778561JY Muni","INSURANCE_STATUS")</f>
        <v>Y</v>
      </c>
      <c r="D1803" t="str">
        <f>_xll.BDP("778561JY Muni","STATE_CODE")</f>
        <v>NM</v>
      </c>
      <c r="E1803" t="str">
        <f>_xll.BDP("778561JY Muni","COUNTY_LOCATION_ISSUER")</f>
        <v>Chaves, NM</v>
      </c>
      <c r="F1803">
        <f>_xll.BDP("778561JY Muni","DUR_ADJ_MID")</f>
        <v>2.6658553452308444</v>
      </c>
      <c r="G1803">
        <f>_xll.BDP("778561JY Muni","SPREAD_AT_ISSUANCE_TO_WORST")</f>
        <v>46.717826203622707</v>
      </c>
      <c r="H1803" t="str">
        <f>_xll.BDP("778561JY Muni","ISSUE_DT")</f>
        <v>2/21/2017</v>
      </c>
      <c r="I1803" t="str">
        <f>_xll.BDS("778561JY Muni","MUNI_PURPOSE_SCHED", "aggregate=y")</f>
        <v>WATER UTILITY IMPS. SEWER IMPS.</v>
      </c>
      <c r="J1803">
        <f>_xll.BDP("778561JY Muni","CPN")</f>
        <v>4</v>
      </c>
      <c r="K1803" t="str">
        <f>_xll.BDP("778561JY Muni","MATURITY")</f>
        <v>6/1/2025</v>
      </c>
      <c r="L1803">
        <v>1015000</v>
      </c>
      <c r="M1803">
        <f>_xll.BDP("778561JY Muni","YIELD_ON_ISSUE_DATE")</f>
        <v>2.61</v>
      </c>
      <c r="N1803">
        <f>_xll.BDP("778561JY Muni","YTW_SPREAD_TO_MATURITY_AT_ISSU")</f>
        <v>46.717826203622707</v>
      </c>
      <c r="O1803" t="str">
        <f>_xll.BDP("778561JY Muni","BVAL_MID_YTM")</f>
        <v>#N/A Authorization</v>
      </c>
      <c r="P1803" t="str">
        <f>_xll.BDP("778561JY Muni","MUNI_TAX_PROV")</f>
        <v>FED &amp; ST TAX-EXEMPT</v>
      </c>
      <c r="Q1803" t="str">
        <f>_xll.BDP("778561JY Muni","MUNI_FED_TAX")</f>
        <v>N</v>
      </c>
      <c r="R1803" t="str">
        <f>_xll.BDP("778561JY Muni","MUNI_MSRB_VOLUME")</f>
        <v>#N/A N/A</v>
      </c>
      <c r="S1803" t="str">
        <f>_xll.BDP("778561JY Muni","BB_COMPOSITE")</f>
        <v>AA-</v>
      </c>
      <c r="T1803">
        <f>_xll.BDP("778561JY Muni","LQA_LIQUIDITY_SCORE")</f>
        <v>77</v>
      </c>
    </row>
    <row r="1804" spans="1:20" x14ac:dyDescent="0.25">
      <c r="A1804" t="str">
        <f>_xll.BDP("778561JZ Muni","ID_CUSIP")</f>
        <v>778561JZ4</v>
      </c>
      <c r="B1804" t="s">
        <v>484</v>
      </c>
      <c r="C1804" t="str">
        <f>_xll.BDP("778561JZ Muni","INSURANCE_STATUS")</f>
        <v>Y</v>
      </c>
      <c r="D1804" t="str">
        <f>_xll.BDP("778561JZ Muni","STATE_CODE")</f>
        <v>NM</v>
      </c>
      <c r="E1804" t="str">
        <f>_xll.BDP("778561JZ Muni","COUNTY_LOCATION_ISSUER")</f>
        <v>Chaves, NM</v>
      </c>
      <c r="F1804">
        <f>_xll.BDP("778561JZ Muni","DUR_ADJ_MID")</f>
        <v>3.488997383881248</v>
      </c>
      <c r="G1804">
        <f>_xll.BDP("778561JZ Muni","SPREAD_AT_ISSUANCE_TO_WORST")</f>
        <v>51.831912669628501</v>
      </c>
      <c r="H1804" t="str">
        <f>_xll.BDP("778561JZ Muni","ISSUE_DT")</f>
        <v>2/21/2017</v>
      </c>
      <c r="I1804" t="str">
        <f>_xll.BDS("778561JZ Muni","MUNI_PURPOSE_SCHED", "aggregate=y")</f>
        <v>WATER UTILITY IMPS. SEWER IMPS.</v>
      </c>
      <c r="J1804">
        <f>_xll.BDP("778561JZ Muni","CPN")</f>
        <v>5</v>
      </c>
      <c r="K1804" t="str">
        <f>_xll.BDP("778561JZ Muni","MATURITY")</f>
        <v>6/1/2026</v>
      </c>
      <c r="L1804">
        <v>1080000</v>
      </c>
      <c r="M1804">
        <f>_xll.BDP("778561JZ Muni","YIELD_ON_ISSUE_DATE")</f>
        <v>2.77</v>
      </c>
      <c r="N1804">
        <f>_xll.BDP("778561JZ Muni","YTW_SPREAD_TO_MATURITY_AT_ISSU")</f>
        <v>51.831912669628501</v>
      </c>
      <c r="O1804" t="str">
        <f>_xll.BDP("778561JZ Muni","BVAL_MID_YTM")</f>
        <v>#N/A Authorization</v>
      </c>
      <c r="P1804" t="str">
        <f>_xll.BDP("778561JZ Muni","MUNI_TAX_PROV")</f>
        <v>FED &amp; ST TAX-EXEMPT</v>
      </c>
      <c r="Q1804" t="str">
        <f>_xll.BDP("778561JZ Muni","MUNI_FED_TAX")</f>
        <v>N</v>
      </c>
      <c r="R1804" t="str">
        <f>_xll.BDP("778561JZ Muni","MUNI_MSRB_VOLUME")</f>
        <v>#N/A N/A</v>
      </c>
      <c r="S1804" t="str">
        <f>_xll.BDP("778561JZ Muni","BB_COMPOSITE")</f>
        <v>AA-</v>
      </c>
      <c r="T1804">
        <f>_xll.BDP("778561JZ Muni","LQA_LIQUIDITY_SCORE")</f>
        <v>73</v>
      </c>
    </row>
    <row r="1805" spans="1:20" x14ac:dyDescent="0.25">
      <c r="A1805" t="str">
        <f>_xll.BDP("780860JL Muni","ID_CUSIP")</f>
        <v>780860JL7</v>
      </c>
      <c r="B1805" t="s">
        <v>485</v>
      </c>
      <c r="C1805" t="str">
        <f>_xll.BDP("780860JL Muni","INSURANCE_STATUS")</f>
        <v>N</v>
      </c>
      <c r="D1805" t="str">
        <f>_xll.BDP("780860JL Muni","STATE_CODE")</f>
        <v>TX</v>
      </c>
      <c r="E1805" t="str">
        <f>_xll.BDP("780860JL Muni","COUNTY_LOCATION_ISSUER")</f>
        <v>Rockwall, TX</v>
      </c>
      <c r="F1805">
        <f>_xll.BDP("780860JL Muni","DUR_ADJ_MID")</f>
        <v>0.99962511656980291</v>
      </c>
      <c r="G1805">
        <f>_xll.BDP("780860JL Muni","SPREAD_AT_ISSUANCE_TO_WORST")</f>
        <v>28.996733812041132</v>
      </c>
      <c r="H1805" t="str">
        <f>_xll.BDP("780860JL Muni","ISSUE_DT")</f>
        <v>6/1/2017</v>
      </c>
      <c r="I1805" t="str">
        <f>_xll.BDS("780860JL Muni","MUNI_PURPOSE_SCHED", "aggregate=y")</f>
        <v>PUBLIC IMPS. WATER UTILITY IMPS. SEWER IMPS.</v>
      </c>
      <c r="J1805">
        <f>_xll.BDP("780860JL Muni","CPN")</f>
        <v>4</v>
      </c>
      <c r="K1805" t="str">
        <f>_xll.BDP("780860JL Muni","MATURITY")</f>
        <v>8/15/2023</v>
      </c>
      <c r="L1805">
        <v>180000</v>
      </c>
      <c r="M1805">
        <f>_xll.BDP("780860JL Muni","YIELD_ON_ISSUE_DATE")</f>
        <v>1.6500000000000001</v>
      </c>
      <c r="N1805">
        <f>_xll.BDP("780860JL Muni","YTW_SPREAD_TO_MATURITY_AT_ISSU")</f>
        <v>28.996733812041132</v>
      </c>
      <c r="O1805" t="str">
        <f>_xll.BDP("780860JL Muni","BVAL_MID_YTM")</f>
        <v>#N/A Authorization</v>
      </c>
      <c r="P1805" t="str">
        <f>_xll.BDP("780860JL Muni","MUNI_TAX_PROV")</f>
        <v>FED TAX-EXEMPT</v>
      </c>
      <c r="Q1805" t="str">
        <f>_xll.BDP("780860JL Muni","MUNI_FED_TAX")</f>
        <v>N</v>
      </c>
      <c r="R1805" t="str">
        <f>_xll.BDP("780860JL Muni","MUNI_MSRB_VOLUME")</f>
        <v>#N/A N/A</v>
      </c>
      <c r="S1805" t="str">
        <f>_xll.BDP("780860JL Muni","BB_COMPOSITE")</f>
        <v>#N/A N/A</v>
      </c>
      <c r="T1805">
        <f>_xll.BDP("780860JL Muni","LQA_LIQUIDITY_SCORE")</f>
        <v>85</v>
      </c>
    </row>
    <row r="1806" spans="1:20" x14ac:dyDescent="0.25">
      <c r="A1806" t="str">
        <f>_xll.BDP("780860JN Muni","ID_CUSIP")</f>
        <v>780860JN3</v>
      </c>
      <c r="B1806" t="s">
        <v>485</v>
      </c>
      <c r="C1806" t="str">
        <f>_xll.BDP("780860JN Muni","INSURANCE_STATUS")</f>
        <v>N</v>
      </c>
      <c r="D1806" t="str">
        <f>_xll.BDP("780860JN Muni","STATE_CODE")</f>
        <v>TX</v>
      </c>
      <c r="E1806" t="str">
        <f>_xll.BDP("780860JN Muni","COUNTY_LOCATION_ISSUER")</f>
        <v>Rockwall, TX</v>
      </c>
      <c r="F1806">
        <f>_xll.BDP("780860JN Muni","DUR_ADJ_MID")</f>
        <v>2.8174307089671555</v>
      </c>
      <c r="G1806">
        <f>_xll.BDP("780860JN Muni","SPREAD_AT_ISSUANCE_TO_WORST")</f>
        <v>24.140756290085051</v>
      </c>
      <c r="H1806" t="str">
        <f>_xll.BDP("780860JN Muni","ISSUE_DT")</f>
        <v>6/1/2017</v>
      </c>
      <c r="I1806" t="str">
        <f>_xll.BDS("780860JN Muni","MUNI_PURPOSE_SCHED", "aggregate=y")</f>
        <v>PUBLIC IMPS. WATER UTILITY IMPS. SEWER IMPS.</v>
      </c>
      <c r="J1806">
        <f>_xll.BDP("780860JN Muni","CPN")</f>
        <v>4</v>
      </c>
      <c r="K1806" t="str">
        <f>_xll.BDP("780860JN Muni","MATURITY")</f>
        <v>8/15/2025</v>
      </c>
      <c r="L1806">
        <v>200000</v>
      </c>
      <c r="M1806">
        <f>_xll.BDP("780860JN Muni","YIELD_ON_ISSUE_DATE")</f>
        <v>1.9000000000000001</v>
      </c>
      <c r="N1806">
        <f>_xll.BDP("780860JN Muni","YTW_SPREAD_TO_MATURITY_AT_ISSU")</f>
        <v>24.140756290085051</v>
      </c>
      <c r="O1806" t="str">
        <f>_xll.BDP("780860JN Muni","BVAL_MID_YTM")</f>
        <v>#N/A Authorization</v>
      </c>
      <c r="P1806" t="str">
        <f>_xll.BDP("780860JN Muni","MUNI_TAX_PROV")</f>
        <v>FED TAX-EXEMPT</v>
      </c>
      <c r="Q1806" t="str">
        <f>_xll.BDP("780860JN Muni","MUNI_FED_TAX")</f>
        <v>N</v>
      </c>
      <c r="R1806" t="str">
        <f>_xll.BDP("780860JN Muni","MUNI_MSRB_VOLUME")</f>
        <v>#N/A N/A</v>
      </c>
      <c r="S1806" t="str">
        <f>_xll.BDP("780860JN Muni","BB_COMPOSITE")</f>
        <v>#N/A N/A</v>
      </c>
      <c r="T1806">
        <f>_xll.BDP("780860JN Muni","LQA_LIQUIDITY_SCORE")</f>
        <v>59</v>
      </c>
    </row>
    <row r="1807" spans="1:20" x14ac:dyDescent="0.25">
      <c r="A1807" t="str">
        <f>_xll.BDP("780860JP Muni","ID_CUSIP")</f>
        <v>780860JP8</v>
      </c>
      <c r="B1807" t="s">
        <v>485</v>
      </c>
      <c r="C1807" t="str">
        <f>_xll.BDP("780860JP Muni","INSURANCE_STATUS")</f>
        <v>N</v>
      </c>
      <c r="D1807" t="str">
        <f>_xll.BDP("780860JP Muni","STATE_CODE")</f>
        <v>TX</v>
      </c>
      <c r="E1807" t="str">
        <f>_xll.BDP("780860JP Muni","COUNTY_LOCATION_ISSUER")</f>
        <v>Rockwall, TX</v>
      </c>
      <c r="F1807">
        <f>_xll.BDP("780860JP Muni","DUR_ADJ_MID")</f>
        <v>3.6773680997037492</v>
      </c>
      <c r="G1807">
        <f>_xll.BDP("780860JP Muni","SPREAD_AT_ISSUANCE_TO_WORST")</f>
        <v>25.807235996972345</v>
      </c>
      <c r="H1807" t="str">
        <f>_xll.BDP("780860JP Muni","ISSUE_DT")</f>
        <v>6/1/2017</v>
      </c>
      <c r="I1807" t="str">
        <f>_xll.BDS("780860JP Muni","MUNI_PURPOSE_SCHED", "aggregate=y")</f>
        <v>PUBLIC IMPS. WATER UTILITY IMPS. SEWER IMPS.</v>
      </c>
      <c r="J1807">
        <f>_xll.BDP("780860JP Muni","CPN")</f>
        <v>4</v>
      </c>
      <c r="K1807" t="str">
        <f>_xll.BDP("780860JP Muni","MATURITY")</f>
        <v>8/15/2026</v>
      </c>
      <c r="L1807">
        <v>210000</v>
      </c>
      <c r="M1807">
        <f>_xll.BDP("780860JP Muni","YIELD_ON_ISSUE_DATE")</f>
        <v>2.0499999999999998</v>
      </c>
      <c r="N1807">
        <f>_xll.BDP("780860JP Muni","YTW_SPREAD_TO_MATURITY_AT_ISSU")</f>
        <v>25.807235996972345</v>
      </c>
      <c r="O1807" t="str">
        <f>_xll.BDP("780860JP Muni","BVAL_MID_YTM")</f>
        <v>#N/A Authorization</v>
      </c>
      <c r="P1807" t="str">
        <f>_xll.BDP("780860JP Muni","MUNI_TAX_PROV")</f>
        <v>FED TAX-EXEMPT</v>
      </c>
      <c r="Q1807" t="str">
        <f>_xll.BDP("780860JP Muni","MUNI_FED_TAX")</f>
        <v>N</v>
      </c>
      <c r="R1807" t="str">
        <f>_xll.BDP("780860JP Muni","MUNI_MSRB_VOLUME")</f>
        <v>#N/A N/A</v>
      </c>
      <c r="S1807" t="str">
        <f>_xll.BDP("780860JP Muni","BB_COMPOSITE")</f>
        <v>#N/A N/A</v>
      </c>
      <c r="T1807">
        <f>_xll.BDP("780860JP Muni","LQA_LIQUIDITY_SCORE")</f>
        <v>48</v>
      </c>
    </row>
    <row r="1808" spans="1:20" x14ac:dyDescent="0.25">
      <c r="A1808" t="str">
        <f>_xll.BDP("785751PN Muni","ID_CUSIP")</f>
        <v>785751PN2</v>
      </c>
      <c r="B1808" t="s">
        <v>111</v>
      </c>
      <c r="C1808" t="str">
        <f>_xll.BDP("785751PN Muni","INSURANCE_STATUS")</f>
        <v>N</v>
      </c>
      <c r="D1808" t="str">
        <f>_xll.BDP("785751PN Muni","STATE_CODE")</f>
        <v>TX</v>
      </c>
      <c r="E1808" t="str">
        <f>_xll.BDP("785751PN Muni","COUNTY_LOCATION_ISSUER")</f>
        <v>Dallas, TX</v>
      </c>
      <c r="F1808">
        <f>_xll.BDP("785751PN Muni","DUR_ADJ_MID")</f>
        <v>2.3770743272082777</v>
      </c>
      <c r="G1808">
        <f>_xll.BDP("785751PN Muni","SPREAD_AT_ISSUANCE_TO_WORST")</f>
        <v>7.1322037731811561</v>
      </c>
      <c r="H1808" t="str">
        <f>_xll.BDP("785751PN Muni","ISSUE_DT")</f>
        <v>6/15/2017</v>
      </c>
      <c r="I1808" t="str">
        <f>_xll.BDS("785751PN Muni","MUNI_PURPOSE_SCHED", "aggregate=y")</f>
        <v>WATER UTILITY IMPS. SEWER IMPS.</v>
      </c>
      <c r="J1808">
        <f>_xll.BDP("785751PN Muni","CPN")</f>
        <v>4</v>
      </c>
      <c r="K1808" t="str">
        <f>_xll.BDP("785751PN Muni","MATURITY")</f>
        <v>2/15/2025</v>
      </c>
      <c r="L1808">
        <v>435000</v>
      </c>
      <c r="M1808">
        <f>_xll.BDP("785751PN Muni","YIELD_ON_ISSUE_DATE")</f>
        <v>1.6500000000000001</v>
      </c>
      <c r="N1808">
        <f>_xll.BDP("785751PN Muni","YTW_SPREAD_TO_MATURITY_AT_ISSU")</f>
        <v>7.1322037731811561</v>
      </c>
      <c r="O1808" t="str">
        <f>_xll.BDP("785751PN Muni","BVAL_MID_YTM")</f>
        <v>#N/A Authorization</v>
      </c>
      <c r="P1808" t="str">
        <f>_xll.BDP("785751PN Muni","MUNI_TAX_PROV")</f>
        <v>FED TAX-EXEMPT</v>
      </c>
      <c r="Q1808" t="str">
        <f>_xll.BDP("785751PN Muni","MUNI_FED_TAX")</f>
        <v>N</v>
      </c>
      <c r="R1808" t="str">
        <f>_xll.BDP("785751PN Muni","MUNI_MSRB_VOLUME")</f>
        <v>#N/A N/A</v>
      </c>
      <c r="S1808" t="str">
        <f>_xll.BDP("785751PN Muni","BB_COMPOSITE")</f>
        <v>AA</v>
      </c>
      <c r="T1808">
        <f>_xll.BDP("785751PN Muni","LQA_LIQUIDITY_SCORE")</f>
        <v>76</v>
      </c>
    </row>
    <row r="1809" spans="1:20" x14ac:dyDescent="0.25">
      <c r="A1809" t="str">
        <f>_xll.BDP("785751PP Muni","ID_CUSIP")</f>
        <v>785751PP7</v>
      </c>
      <c r="B1809" t="s">
        <v>111</v>
      </c>
      <c r="C1809" t="str">
        <f>_xll.BDP("785751PP Muni","INSURANCE_STATUS")</f>
        <v>N</v>
      </c>
      <c r="D1809" t="str">
        <f>_xll.BDP("785751PP Muni","STATE_CODE")</f>
        <v>TX</v>
      </c>
      <c r="E1809" t="str">
        <f>_xll.BDP("785751PP Muni","COUNTY_LOCATION_ISSUER")</f>
        <v>Dallas, TX</v>
      </c>
      <c r="F1809">
        <f>_xll.BDP("785751PP Muni","DUR_ADJ_MID")</f>
        <v>3.2533629061608909</v>
      </c>
      <c r="G1809">
        <f>_xll.BDP("785751PP Muni","SPREAD_AT_ISSUANCE_TO_WORST")</f>
        <v>13.318012926121314</v>
      </c>
      <c r="H1809" t="str">
        <f>_xll.BDP("785751PP Muni","ISSUE_DT")</f>
        <v>6/15/2017</v>
      </c>
      <c r="I1809" t="str">
        <f>_xll.BDS("785751PP Muni","MUNI_PURPOSE_SCHED", "aggregate=y")</f>
        <v>WATER UTILITY IMPS. SEWER IMPS.</v>
      </c>
      <c r="J1809">
        <f>_xll.BDP("785751PP Muni","CPN")</f>
        <v>4</v>
      </c>
      <c r="K1809" t="str">
        <f>_xll.BDP("785751PP Muni","MATURITY")</f>
        <v>2/15/2026</v>
      </c>
      <c r="L1809">
        <v>450000</v>
      </c>
      <c r="M1809">
        <f>_xll.BDP("785751PP Muni","YIELD_ON_ISSUE_DATE")</f>
        <v>1.85</v>
      </c>
      <c r="N1809">
        <f>_xll.BDP("785751PP Muni","YTW_SPREAD_TO_MATURITY_AT_ISSU")</f>
        <v>13.318012926121314</v>
      </c>
      <c r="O1809" t="str">
        <f>_xll.BDP("785751PP Muni","BVAL_MID_YTM")</f>
        <v>#N/A Authorization</v>
      </c>
      <c r="P1809" t="str">
        <f>_xll.BDP("785751PP Muni","MUNI_TAX_PROV")</f>
        <v>FED TAX-EXEMPT</v>
      </c>
      <c r="Q1809" t="str">
        <f>_xll.BDP("785751PP Muni","MUNI_FED_TAX")</f>
        <v>N</v>
      </c>
      <c r="R1809" t="str">
        <f>_xll.BDP("785751PP Muni","MUNI_MSRB_VOLUME")</f>
        <v>#N/A N/A</v>
      </c>
      <c r="S1809" t="str">
        <f>_xll.BDP("785751PP Muni","BB_COMPOSITE")</f>
        <v>AA</v>
      </c>
      <c r="T1809">
        <f>_xll.BDP("785751PP Muni","LQA_LIQUIDITY_SCORE")</f>
        <v>69</v>
      </c>
    </row>
    <row r="1810" spans="1:20" x14ac:dyDescent="0.25">
      <c r="A1810" t="str">
        <f>_xll.BDP("785751PQ Muni","ID_CUSIP")</f>
        <v>785751PQ5</v>
      </c>
      <c r="B1810" t="s">
        <v>111</v>
      </c>
      <c r="C1810" t="str">
        <f>_xll.BDP("785751PQ Muni","INSURANCE_STATUS")</f>
        <v>N</v>
      </c>
      <c r="D1810" t="str">
        <f>_xll.BDP("785751PQ Muni","STATE_CODE")</f>
        <v>TX</v>
      </c>
      <c r="E1810" t="str">
        <f>_xll.BDP("785751PQ Muni","COUNTY_LOCATION_ISSUER")</f>
        <v>Dallas, TX</v>
      </c>
      <c r="F1810">
        <f>_xll.BDP("785751PQ Muni","DUR_ADJ_MID")</f>
        <v>4.0980599384555561</v>
      </c>
      <c r="G1810">
        <f>_xll.BDP("785751PQ Muni","SPREAD_AT_ISSUANCE_TO_WORST")</f>
        <v>16.633509745088016</v>
      </c>
      <c r="H1810" t="str">
        <f>_xll.BDP("785751PQ Muni","ISSUE_DT")</f>
        <v>6/15/2017</v>
      </c>
      <c r="I1810" t="str">
        <f>_xll.BDS("785751PQ Muni","MUNI_PURPOSE_SCHED", "aggregate=y")</f>
        <v>WATER UTILITY IMPS. SEWER IMPS.</v>
      </c>
      <c r="J1810">
        <f>_xll.BDP("785751PQ Muni","CPN")</f>
        <v>4</v>
      </c>
      <c r="K1810" t="str">
        <f>_xll.BDP("785751PQ Muni","MATURITY")</f>
        <v>2/15/2027</v>
      </c>
      <c r="L1810">
        <v>470000</v>
      </c>
      <c r="M1810">
        <f>_xll.BDP("785751PQ Muni","YIELD_ON_ISSUE_DATE")</f>
        <v>2</v>
      </c>
      <c r="N1810">
        <f>_xll.BDP("785751PQ Muni","YTW_SPREAD_TO_MATURITY_AT_ISSU")</f>
        <v>16.633509745088016</v>
      </c>
      <c r="O1810" t="str">
        <f>_xll.BDP("785751PQ Muni","BVAL_MID_YTM")</f>
        <v>#N/A Authorization</v>
      </c>
      <c r="P1810" t="str">
        <f>_xll.BDP("785751PQ Muni","MUNI_TAX_PROV")</f>
        <v>FED TAX-EXEMPT</v>
      </c>
      <c r="Q1810" t="str">
        <f>_xll.BDP("785751PQ Muni","MUNI_FED_TAX")</f>
        <v>N</v>
      </c>
      <c r="R1810">
        <f>_xll.BDP("785751PQ Muni","MUNI_MSRB_VOLUME")</f>
        <v>40000</v>
      </c>
      <c r="S1810" t="str">
        <f>_xll.BDP("785751PQ Muni","BB_COMPOSITE")</f>
        <v>AA</v>
      </c>
      <c r="T1810">
        <f>_xll.BDP("785751PQ Muni","LQA_LIQUIDITY_SCORE")</f>
        <v>62</v>
      </c>
    </row>
    <row r="1811" spans="1:20" x14ac:dyDescent="0.25">
      <c r="A1811" t="str">
        <f>_xll.BDP("604146DS Muni","ID_CUSIP")</f>
        <v>604146DS6</v>
      </c>
      <c r="B1811" t="s">
        <v>486</v>
      </c>
      <c r="C1811" t="str">
        <f>_xll.BDP("604146DS Muni","INSURANCE_STATUS")</f>
        <v>N</v>
      </c>
      <c r="D1811" t="str">
        <f>_xll.BDP("604146DS Muni","STATE_CODE")</f>
        <v>MN</v>
      </c>
      <c r="E1811" t="str">
        <f>_xll.BDP("604146DS Muni","COUNTY_LOCATION_ISSUER")</f>
        <v>Ramsey, MN</v>
      </c>
      <c r="F1811">
        <f>_xll.BDP("604146DS Muni","DUR_ADJ_MID")</f>
        <v>1.765729418425636</v>
      </c>
      <c r="G1811">
        <f>_xll.BDP("604146DS Muni","SPREAD_AT_ISSUANCE_TO_WORST")</f>
        <v>27.874123905608748</v>
      </c>
      <c r="H1811" t="str">
        <f>_xll.BDP("604146DS Muni","ISSUE_DT")</f>
        <v>11/9/2017</v>
      </c>
      <c r="I1811" t="str">
        <f>_xll.BDS("604146DS Muni","MUNI_PURPOSE_SCHED", "aggregate=y")</f>
        <v>WATER UTILITY IMPS.</v>
      </c>
      <c r="J1811">
        <f>_xll.BDP("604146DS Muni","CPN")</f>
        <v>2.4500000000000002</v>
      </c>
      <c r="K1811" t="str">
        <f>_xll.BDP("604146DS Muni","MATURITY")</f>
        <v>6/1/2024</v>
      </c>
      <c r="L1811">
        <v>345000</v>
      </c>
      <c r="M1811">
        <f>_xll.BDP("604146DS Muni","YIELD_ON_ISSUE_DATE")</f>
        <v>2.4500000000000002</v>
      </c>
      <c r="N1811">
        <f>_xll.BDP("604146DS Muni","YTW_SPREAD_TO_MATURITY_AT_ISSU")</f>
        <v>27.874123905608748</v>
      </c>
      <c r="O1811" t="str">
        <f>_xll.BDP("604146DS Muni","BVAL_MID_YTM")</f>
        <v>#N/A Authorization</v>
      </c>
      <c r="P1811" t="str">
        <f>_xll.BDP("604146DS Muni","MUNI_TAX_PROV")</f>
        <v>FED TAXABLE/ST TAXABLE</v>
      </c>
      <c r="Q1811" t="str">
        <f>_xll.BDP("604146DS Muni","MUNI_FED_TAX")</f>
        <v>Y</v>
      </c>
      <c r="R1811" t="str">
        <f>_xll.BDP("604146DS Muni","MUNI_MSRB_VOLUME")</f>
        <v>#N/A N/A</v>
      </c>
      <c r="S1811" t="str">
        <f>_xll.BDP("604146DS Muni","BB_COMPOSITE")</f>
        <v>AA+</v>
      </c>
      <c r="T1811">
        <f>_xll.BDP("604146DS Muni","LQA_LIQUIDITY_SCORE")</f>
        <v>69</v>
      </c>
    </row>
    <row r="1812" spans="1:20" x14ac:dyDescent="0.25">
      <c r="A1812" t="str">
        <f>_xll.BDP("604146DT Muni","ID_CUSIP")</f>
        <v>604146DT4</v>
      </c>
      <c r="B1812" t="s">
        <v>486</v>
      </c>
      <c r="C1812" t="str">
        <f>_xll.BDP("604146DT Muni","INSURANCE_STATUS")</f>
        <v>N</v>
      </c>
      <c r="D1812" t="str">
        <f>_xll.BDP("604146DT Muni","STATE_CODE")</f>
        <v>MN</v>
      </c>
      <c r="E1812" t="str">
        <f>_xll.BDP("604146DT Muni","COUNTY_LOCATION_ISSUER")</f>
        <v>Ramsey, MN</v>
      </c>
      <c r="F1812">
        <f>_xll.BDP("604146DT Muni","DUR_ADJ_MID")</f>
        <v>2.6906259574362643</v>
      </c>
      <c r="G1812">
        <f>_xll.BDP("604146DT Muni","SPREAD_AT_ISSUANCE_TO_WORST")</f>
        <v>35.088682303536345</v>
      </c>
      <c r="H1812" t="str">
        <f>_xll.BDP("604146DT Muni","ISSUE_DT")</f>
        <v>11/9/2017</v>
      </c>
      <c r="I1812" t="str">
        <f>_xll.BDS("604146DT Muni","MUNI_PURPOSE_SCHED", "aggregate=y")</f>
        <v>WATER UTILITY IMPS.</v>
      </c>
      <c r="J1812">
        <f>_xll.BDP("604146DT Muni","CPN")</f>
        <v>2.6</v>
      </c>
      <c r="K1812" t="str">
        <f>_xll.BDP("604146DT Muni","MATURITY")</f>
        <v>6/1/2025</v>
      </c>
      <c r="L1812">
        <v>355000</v>
      </c>
      <c r="M1812">
        <f>_xll.BDP("604146DT Muni","YIELD_ON_ISSUE_DATE")</f>
        <v>2.6</v>
      </c>
      <c r="N1812">
        <f>_xll.BDP("604146DT Muni","YTW_SPREAD_TO_MATURITY_AT_ISSU")</f>
        <v>35.088682303536345</v>
      </c>
      <c r="O1812" t="str">
        <f>_xll.BDP("604146DT Muni","BVAL_MID_YTM")</f>
        <v>#N/A Authorization</v>
      </c>
      <c r="P1812" t="str">
        <f>_xll.BDP("604146DT Muni","MUNI_TAX_PROV")</f>
        <v>FED TAXABLE/ST TAXABLE</v>
      </c>
      <c r="Q1812" t="str">
        <f>_xll.BDP("604146DT Muni","MUNI_FED_TAX")</f>
        <v>Y</v>
      </c>
      <c r="R1812" t="str">
        <f>_xll.BDP("604146DT Muni","MUNI_MSRB_VOLUME")</f>
        <v>#N/A N/A</v>
      </c>
      <c r="S1812" t="str">
        <f>_xll.BDP("604146DT Muni","BB_COMPOSITE")</f>
        <v>AA+</v>
      </c>
      <c r="T1812">
        <f>_xll.BDP("604146DT Muni","LQA_LIQUIDITY_SCORE")</f>
        <v>58</v>
      </c>
    </row>
    <row r="1813" spans="1:20" x14ac:dyDescent="0.25">
      <c r="A1813" t="str">
        <f>_xll.BDP("604146DV Muni","ID_CUSIP")</f>
        <v>604146DV9</v>
      </c>
      <c r="B1813" t="s">
        <v>486</v>
      </c>
      <c r="C1813" t="str">
        <f>_xll.BDP("604146DV Muni","INSURANCE_STATUS")</f>
        <v>N</v>
      </c>
      <c r="D1813" t="str">
        <f>_xll.BDP("604146DV Muni","STATE_CODE")</f>
        <v>MN</v>
      </c>
      <c r="E1813" t="str">
        <f>_xll.BDP("604146DV Muni","COUNTY_LOCATION_ISSUER")</f>
        <v>Ramsey, MN</v>
      </c>
      <c r="F1813">
        <f>_xll.BDP("604146DV Muni","DUR_ADJ_MID")</f>
        <v>4.4490221059196005</v>
      </c>
      <c r="G1813">
        <f>_xll.BDP("604146DV Muni","SPREAD_AT_ISSUANCE_TO_WORST")</f>
        <v>44.185146301571663</v>
      </c>
      <c r="H1813" t="str">
        <f>_xll.BDP("604146DV Muni","ISSUE_DT")</f>
        <v>11/9/2017</v>
      </c>
      <c r="I1813" t="str">
        <f>_xll.BDS("604146DV Muni","MUNI_PURPOSE_SCHED", "aggregate=y")</f>
        <v>WATER UTILITY IMPS.</v>
      </c>
      <c r="J1813">
        <f>_xll.BDP("604146DV Muni","CPN")</f>
        <v>2.8</v>
      </c>
      <c r="K1813" t="str">
        <f>_xll.BDP("604146DV Muni","MATURITY")</f>
        <v>6/1/2027</v>
      </c>
      <c r="L1813">
        <v>375000</v>
      </c>
      <c r="M1813">
        <f>_xll.BDP("604146DV Muni","YIELD_ON_ISSUE_DATE")</f>
        <v>2.8000000000000003</v>
      </c>
      <c r="N1813">
        <f>_xll.BDP("604146DV Muni","YTW_SPREAD_TO_MATURITY_AT_ISSU")</f>
        <v>44.185146301571663</v>
      </c>
      <c r="O1813" t="str">
        <f>_xll.BDP("604146DV Muni","BVAL_MID_YTM")</f>
        <v>#N/A Authorization</v>
      </c>
      <c r="P1813" t="str">
        <f>_xll.BDP("604146DV Muni","MUNI_TAX_PROV")</f>
        <v>FED TAXABLE/ST TAXABLE</v>
      </c>
      <c r="Q1813" t="str">
        <f>_xll.BDP("604146DV Muni","MUNI_FED_TAX")</f>
        <v>Y</v>
      </c>
      <c r="R1813" t="str">
        <f>_xll.BDP("604146DV Muni","MUNI_MSRB_VOLUME")</f>
        <v>#N/A N/A</v>
      </c>
      <c r="S1813" t="str">
        <f>_xll.BDP("604146DV Muni","BB_COMPOSITE")</f>
        <v>AA+</v>
      </c>
      <c r="T1813">
        <f>_xll.BDP("604146DV Muni","LQA_LIQUIDITY_SCORE")</f>
        <v>44</v>
      </c>
    </row>
    <row r="1814" spans="1:20" x14ac:dyDescent="0.25">
      <c r="A1814" t="str">
        <f>_xll.BDP("7776284H Muni","ID_CUSIP")</f>
        <v>7776284H8</v>
      </c>
      <c r="B1814" t="s">
        <v>483</v>
      </c>
      <c r="C1814" t="str">
        <f>_xll.BDP("7776284H Muni","INSURANCE_STATUS")</f>
        <v>N</v>
      </c>
      <c r="D1814" t="str">
        <f>_xll.BDP("7776284H Muni","STATE_CODE")</f>
        <v>TX</v>
      </c>
      <c r="E1814" t="str">
        <f>_xll.BDP("7776284H Muni","COUNTY_LOCATION_ISSUER")</f>
        <v>Fort Bend, TX</v>
      </c>
      <c r="F1814">
        <f>_xll.BDP("7776284H Muni","DUR_ADJ_MID")</f>
        <v>0.56928532678794286</v>
      </c>
      <c r="G1814">
        <f>_xll.BDP("7776284H Muni","SPREAD_AT_ISSUANCE_TO_WORST")</f>
        <v>16.610906849315054</v>
      </c>
      <c r="H1814" t="str">
        <f>_xll.BDP("7776284H Muni","ISSUE_DT")</f>
        <v>12/1/2017</v>
      </c>
      <c r="I1814" t="str">
        <f>_xll.BDS("7776284H Muni","MUNI_PURPOSE_SCHED", "aggregate=y")</f>
        <v>PUBLIC IMPS. WATER UTILITY IMPS. SEWER IMPS.</v>
      </c>
      <c r="J1814">
        <f>_xll.BDP("7776284H Muni","CPN")</f>
        <v>3</v>
      </c>
      <c r="K1814" t="str">
        <f>_xll.BDP("7776284H Muni","MATURITY")</f>
        <v>3/1/2023</v>
      </c>
      <c r="L1814">
        <v>405000</v>
      </c>
      <c r="M1814">
        <f>_xll.BDP("7776284H Muni","YIELD_ON_ISSUE_DATE")</f>
        <v>1.6500000000000001</v>
      </c>
      <c r="N1814">
        <f>_xll.BDP("7776284H Muni","YTW_SPREAD_TO_MATURITY_AT_ISSU")</f>
        <v>16.610906849315054</v>
      </c>
      <c r="O1814" t="str">
        <f>_xll.BDP("7776284H Muni","BVAL_MID_YTM")</f>
        <v>#N/A Authorization</v>
      </c>
      <c r="P1814" t="str">
        <f>_xll.BDP("7776284H Muni","MUNI_TAX_PROV")</f>
        <v>FED BQ</v>
      </c>
      <c r="Q1814" t="str">
        <f>_xll.BDP("7776284H Muni","MUNI_FED_TAX")</f>
        <v>N</v>
      </c>
      <c r="R1814" t="str">
        <f>_xll.BDP("7776284H Muni","MUNI_MSRB_VOLUME")</f>
        <v>#N/A N/A</v>
      </c>
      <c r="S1814" t="str">
        <f>_xll.BDP("7776284H Muni","BB_COMPOSITE")</f>
        <v>#N/A N/A</v>
      </c>
      <c r="T1814">
        <f>_xll.BDP("7776284H Muni","LQA_LIQUIDITY_SCORE")</f>
        <v>92</v>
      </c>
    </row>
    <row r="1815" spans="1:20" x14ac:dyDescent="0.25">
      <c r="A1815" t="str">
        <f>_xll.BDP("7776284L Muni","ID_CUSIP")</f>
        <v>7776284L9</v>
      </c>
      <c r="B1815" t="s">
        <v>483</v>
      </c>
      <c r="C1815" t="str">
        <f>_xll.BDP("7776284L Muni","INSURANCE_STATUS")</f>
        <v>N</v>
      </c>
      <c r="D1815" t="str">
        <f>_xll.BDP("7776284L Muni","STATE_CODE")</f>
        <v>TX</v>
      </c>
      <c r="E1815" t="str">
        <f>_xll.BDP("7776284L Muni","COUNTY_LOCATION_ISSUER")</f>
        <v>Fort Bend, TX</v>
      </c>
      <c r="F1815">
        <f>_xll.BDP("7776284L Muni","DUR_ADJ_MID")</f>
        <v>3.347379090718833</v>
      </c>
      <c r="G1815">
        <f>_xll.BDP("7776284L Muni","SPREAD_AT_ISSUANCE_TO_WORST")</f>
        <v>22.198465753424635</v>
      </c>
      <c r="H1815" t="str">
        <f>_xll.BDP("7776284L Muni","ISSUE_DT")</f>
        <v>12/1/2017</v>
      </c>
      <c r="I1815" t="str">
        <f>_xll.BDS("7776284L Muni","MUNI_PURPOSE_SCHED", "aggregate=y")</f>
        <v>PUBLIC IMPS. WATER UTILITY IMPS. SEWER IMPS.</v>
      </c>
      <c r="J1815">
        <f>_xll.BDP("7776284L Muni","CPN")</f>
        <v>3</v>
      </c>
      <c r="K1815" t="str">
        <f>_xll.BDP("7776284L Muni","MATURITY")</f>
        <v>3/1/2026</v>
      </c>
      <c r="L1815">
        <v>440000</v>
      </c>
      <c r="M1815">
        <f>_xll.BDP("7776284L Muni","YIELD_ON_ISSUE_DATE")</f>
        <v>2.0499999999999998</v>
      </c>
      <c r="N1815">
        <f>_xll.BDP("7776284L Muni","YTW_SPREAD_TO_MATURITY_AT_ISSU")</f>
        <v>22.198465753424635</v>
      </c>
      <c r="O1815" t="str">
        <f>_xll.BDP("7776284L Muni","BVAL_MID_YTM")</f>
        <v>#N/A Authorization</v>
      </c>
      <c r="P1815" t="str">
        <f>_xll.BDP("7776284L Muni","MUNI_TAX_PROV")</f>
        <v>FED BQ</v>
      </c>
      <c r="Q1815" t="str">
        <f>_xll.BDP("7776284L Muni","MUNI_FED_TAX")</f>
        <v>N</v>
      </c>
      <c r="R1815" t="str">
        <f>_xll.BDP("7776284L Muni","MUNI_MSRB_VOLUME")</f>
        <v>#N/A N/A</v>
      </c>
      <c r="S1815" t="str">
        <f>_xll.BDP("7776284L Muni","BB_COMPOSITE")</f>
        <v>#N/A N/A</v>
      </c>
      <c r="T1815">
        <f>_xll.BDP("7776284L Muni","LQA_LIQUIDITY_SCORE")</f>
        <v>69</v>
      </c>
    </row>
    <row r="1816" spans="1:20" x14ac:dyDescent="0.25">
      <c r="A1816" t="str">
        <f>_xll.BDP("7776284M Muni","ID_CUSIP")</f>
        <v>7776284M7</v>
      </c>
      <c r="B1816" t="s">
        <v>483</v>
      </c>
      <c r="C1816" t="str">
        <f>_xll.BDP("7776284M Muni","INSURANCE_STATUS")</f>
        <v>N</v>
      </c>
      <c r="D1816" t="str">
        <f>_xll.BDP("7776284M Muni","STATE_CODE")</f>
        <v>TX</v>
      </c>
      <c r="E1816" t="str">
        <f>_xll.BDP("7776284M Muni","COUNTY_LOCATION_ISSUER")</f>
        <v>Fort Bend, TX</v>
      </c>
      <c r="F1816">
        <f>_xll.BDP("7776284M Muni","DUR_ADJ_MID")</f>
        <v>4.2206929727609497</v>
      </c>
      <c r="G1816">
        <f>_xll.BDP("7776284M Muni","SPREAD_AT_ISSUANCE_TO_WORST")</f>
        <v>22.893104109589025</v>
      </c>
      <c r="H1816" t="str">
        <f>_xll.BDP("7776284M Muni","ISSUE_DT")</f>
        <v>12/1/2017</v>
      </c>
      <c r="I1816" t="str">
        <f>_xll.BDS("7776284M Muni","MUNI_PURPOSE_SCHED", "aggregate=y")</f>
        <v>PUBLIC IMPS. WATER UTILITY IMPS. SEWER IMPS.</v>
      </c>
      <c r="J1816">
        <f>_xll.BDP("7776284M Muni","CPN")</f>
        <v>3</v>
      </c>
      <c r="K1816" t="str">
        <f>_xll.BDP("7776284M Muni","MATURITY")</f>
        <v>3/1/2027</v>
      </c>
      <c r="L1816">
        <v>455000</v>
      </c>
      <c r="M1816">
        <f>_xll.BDP("7776284M Muni","YIELD_ON_ISSUE_DATE")</f>
        <v>2.15</v>
      </c>
      <c r="N1816">
        <f>_xll.BDP("7776284M Muni","YTW_SPREAD_TO_MATURITY_AT_ISSU")</f>
        <v>22.893104109589025</v>
      </c>
      <c r="O1816" t="str">
        <f>_xll.BDP("7776284M Muni","BVAL_MID_YTM")</f>
        <v>#N/A Authorization</v>
      </c>
      <c r="P1816" t="str">
        <f>_xll.BDP("7776284M Muni","MUNI_TAX_PROV")</f>
        <v>FED BQ</v>
      </c>
      <c r="Q1816" t="str">
        <f>_xll.BDP("7776284M Muni","MUNI_FED_TAX")</f>
        <v>N</v>
      </c>
      <c r="R1816" t="str">
        <f>_xll.BDP("7776284M Muni","MUNI_MSRB_VOLUME")</f>
        <v>#N/A N/A</v>
      </c>
      <c r="S1816" t="str">
        <f>_xll.BDP("7776284M Muni","BB_COMPOSITE")</f>
        <v>#N/A N/A</v>
      </c>
      <c r="T1816">
        <f>_xll.BDP("7776284M Muni","LQA_LIQUIDITY_SCORE")</f>
        <v>64</v>
      </c>
    </row>
    <row r="1817" spans="1:20" x14ac:dyDescent="0.25">
      <c r="A1817" t="str">
        <f>_xll.BDP("778561JX Muni","ID_CUSIP")</f>
        <v>778561JX9</v>
      </c>
      <c r="B1817" t="s">
        <v>484</v>
      </c>
      <c r="C1817" t="str">
        <f>_xll.BDP("778561JX Muni","INSURANCE_STATUS")</f>
        <v>Y</v>
      </c>
      <c r="D1817" t="str">
        <f>_xll.BDP("778561JX Muni","STATE_CODE")</f>
        <v>NM</v>
      </c>
      <c r="E1817" t="str">
        <f>_xll.BDP("778561JX Muni","COUNTY_LOCATION_ISSUER")</f>
        <v>Chaves, NM</v>
      </c>
      <c r="F1817">
        <f>_xll.BDP("778561JX Muni","DUR_ADJ_MID")</f>
        <v>1.7578375273452389</v>
      </c>
      <c r="G1817">
        <f>_xll.BDP("778561JX Muni","SPREAD_AT_ISSUANCE_TO_WORST")</f>
        <v>45.561216943659353</v>
      </c>
      <c r="H1817" t="str">
        <f>_xll.BDP("778561JX Muni","ISSUE_DT")</f>
        <v>2/21/2017</v>
      </c>
      <c r="I1817" t="str">
        <f>_xll.BDS("778561JX Muni","MUNI_PURPOSE_SCHED", "aggregate=y")</f>
        <v>WATER UTILITY IMPS. SEWER IMPS.</v>
      </c>
      <c r="J1817">
        <f>_xll.BDP("778561JX Muni","CPN")</f>
        <v>4</v>
      </c>
      <c r="K1817" t="str">
        <f>_xll.BDP("778561JX Muni","MATURITY")</f>
        <v>6/1/2024</v>
      </c>
      <c r="L1817">
        <v>955000</v>
      </c>
      <c r="M1817">
        <f>_xll.BDP("778561JX Muni","YIELD_ON_ISSUE_DATE")</f>
        <v>2.4700000000000002</v>
      </c>
      <c r="N1817">
        <f>_xll.BDP("778561JX Muni","YTW_SPREAD_TO_MATURITY_AT_ISSU")</f>
        <v>45.561216943659353</v>
      </c>
      <c r="O1817" t="str">
        <f>_xll.BDP("778561JX Muni","BVAL_MID_YTM")</f>
        <v>#N/A Authorization</v>
      </c>
      <c r="P1817" t="str">
        <f>_xll.BDP("778561JX Muni","MUNI_TAX_PROV")</f>
        <v>FED &amp; ST TAX-EXEMPT</v>
      </c>
      <c r="Q1817" t="str">
        <f>_xll.BDP("778561JX Muni","MUNI_FED_TAX")</f>
        <v>N</v>
      </c>
      <c r="R1817" t="str">
        <f>_xll.BDP("778561JX Muni","MUNI_MSRB_VOLUME")</f>
        <v>#N/A N/A</v>
      </c>
      <c r="S1817" t="str">
        <f>_xll.BDP("778561JX Muni","BB_COMPOSITE")</f>
        <v>AA-</v>
      </c>
      <c r="T1817">
        <f>_xll.BDP("778561JX Muni","LQA_LIQUIDITY_SCORE")</f>
        <v>84</v>
      </c>
    </row>
    <row r="1818" spans="1:20" x14ac:dyDescent="0.25">
      <c r="A1818" t="str">
        <f>_xll.BDP("780860JK Muni","ID_CUSIP")</f>
        <v>780860JK9</v>
      </c>
      <c r="B1818" t="s">
        <v>485</v>
      </c>
      <c r="C1818" t="str">
        <f>_xll.BDP("780860JK Muni","INSURANCE_STATUS")</f>
        <v>N</v>
      </c>
      <c r="D1818" t="str">
        <f>_xll.BDP("780860JK Muni","STATE_CODE")</f>
        <v>TX</v>
      </c>
      <c r="E1818" t="str">
        <f>_xll.BDP("780860JK Muni","COUNTY_LOCATION_ISSUER")</f>
        <v>Rockwall, TX</v>
      </c>
      <c r="F1818">
        <f>_xll.BDP("780860JK Muni","DUR_ADJ_MID")</f>
        <v>3.6098367979799616E-2</v>
      </c>
      <c r="G1818">
        <f>_xll.BDP("780860JK Muni","SPREAD_AT_ISSUANCE_TO_WORST")</f>
        <v>28.798185964084212</v>
      </c>
      <c r="H1818" t="str">
        <f>_xll.BDP("780860JK Muni","ISSUE_DT")</f>
        <v>6/1/2017</v>
      </c>
      <c r="I1818" t="str">
        <f>_xll.BDS("780860JK Muni","MUNI_PURPOSE_SCHED", "aggregate=y")</f>
        <v>PUBLIC IMPS. WATER UTILITY IMPS. SEWER IMPS.</v>
      </c>
      <c r="J1818">
        <f>_xll.BDP("780860JK Muni","CPN")</f>
        <v>4</v>
      </c>
      <c r="K1818" t="str">
        <f>_xll.BDP("780860JK Muni","MATURITY")</f>
        <v>8/15/2022</v>
      </c>
      <c r="L1818">
        <v>180000</v>
      </c>
      <c r="M1818">
        <f>_xll.BDP("780860JK Muni","YIELD_ON_ISSUE_DATE")</f>
        <v>1.5</v>
      </c>
      <c r="N1818">
        <f>_xll.BDP("780860JK Muni","YTW_SPREAD_TO_MATURITY_AT_ISSU")</f>
        <v>28.798185964084212</v>
      </c>
      <c r="O1818" t="str">
        <f>_xll.BDP("780860JK Muni","BVAL_MID_YTM")</f>
        <v>#N/A Authorization</v>
      </c>
      <c r="P1818" t="str">
        <f>_xll.BDP("780860JK Muni","MUNI_TAX_PROV")</f>
        <v>FED TAX-EXEMPT</v>
      </c>
      <c r="Q1818" t="str">
        <f>_xll.BDP("780860JK Muni","MUNI_FED_TAX")</f>
        <v>N</v>
      </c>
      <c r="R1818" t="str">
        <f>_xll.BDP("780860JK Muni","MUNI_MSRB_VOLUME")</f>
        <v>#N/A N/A</v>
      </c>
      <c r="S1818" t="str">
        <f>_xll.BDP("780860JK Muni","BB_COMPOSITE")</f>
        <v>#N/A N/A</v>
      </c>
      <c r="T1818">
        <f>_xll.BDP("780860JK Muni","LQA_LIQUIDITY_SCORE")</f>
        <v>95</v>
      </c>
    </row>
    <row r="1819" spans="1:20" x14ac:dyDescent="0.25">
      <c r="A1819" t="str">
        <f>_xll.BDP("780860JM Muni","ID_CUSIP")</f>
        <v>780860JM5</v>
      </c>
      <c r="B1819" t="s">
        <v>485</v>
      </c>
      <c r="C1819" t="str">
        <f>_xll.BDP("780860JM Muni","INSURANCE_STATUS")</f>
        <v>N</v>
      </c>
      <c r="D1819" t="str">
        <f>_xll.BDP("780860JM Muni","STATE_CODE")</f>
        <v>TX</v>
      </c>
      <c r="E1819" t="str">
        <f>_xll.BDP("780860JM Muni","COUNTY_LOCATION_ISSUER")</f>
        <v>Rockwall, TX</v>
      </c>
      <c r="F1819">
        <f>_xll.BDP("780860JM Muni","DUR_ADJ_MID")</f>
        <v>1.9253319800056421</v>
      </c>
      <c r="G1819">
        <f>_xll.BDP("780860JM Muni","SPREAD_AT_ISSUANCE_TO_WORST")</f>
        <v>28.995825048896773</v>
      </c>
      <c r="H1819" t="str">
        <f>_xll.BDP("780860JM Muni","ISSUE_DT")</f>
        <v>6/1/2017</v>
      </c>
      <c r="I1819" t="str">
        <f>_xll.BDS("780860JM Muni","MUNI_PURPOSE_SCHED", "aggregate=y")</f>
        <v>PUBLIC IMPS. WATER UTILITY IMPS. SEWER IMPS.</v>
      </c>
      <c r="J1819">
        <f>_xll.BDP("780860JM Muni","CPN")</f>
        <v>4</v>
      </c>
      <c r="K1819" t="str">
        <f>_xll.BDP("780860JM Muni","MATURITY")</f>
        <v>8/15/2024</v>
      </c>
      <c r="L1819">
        <v>190000</v>
      </c>
      <c r="M1819">
        <f>_xll.BDP("780860JM Muni","YIELD_ON_ISSUE_DATE")</f>
        <v>1.8</v>
      </c>
      <c r="N1819">
        <f>_xll.BDP("780860JM Muni","YTW_SPREAD_TO_MATURITY_AT_ISSU")</f>
        <v>28.995825048896773</v>
      </c>
      <c r="O1819" t="str">
        <f>_xll.BDP("780860JM Muni","BVAL_MID_YTM")</f>
        <v>#N/A Authorization</v>
      </c>
      <c r="P1819" t="str">
        <f>_xll.BDP("780860JM Muni","MUNI_TAX_PROV")</f>
        <v>FED TAX-EXEMPT</v>
      </c>
      <c r="Q1819" t="str">
        <f>_xll.BDP("780860JM Muni","MUNI_FED_TAX")</f>
        <v>N</v>
      </c>
      <c r="R1819" t="str">
        <f>_xll.BDP("780860JM Muni","MUNI_MSRB_VOLUME")</f>
        <v>#N/A N/A</v>
      </c>
      <c r="S1819" t="str">
        <f>_xll.BDP("780860JM Muni","BB_COMPOSITE")</f>
        <v>#N/A N/A</v>
      </c>
      <c r="T1819">
        <f>_xll.BDP("780860JM Muni","LQA_LIQUIDITY_SCORE")</f>
        <v>72</v>
      </c>
    </row>
    <row r="1820" spans="1:20" x14ac:dyDescent="0.25">
      <c r="A1820" t="str">
        <f>_xll.BDP("52109HGR Muni","ID_CUSIP")</f>
        <v>52109HGR8</v>
      </c>
      <c r="B1820" t="s">
        <v>487</v>
      </c>
      <c r="C1820" t="str">
        <f>_xll.BDP("52109HGR Muni","INSURANCE_STATUS")</f>
        <v>Y</v>
      </c>
      <c r="D1820" t="str">
        <f>_xll.BDP("52109HGR Muni","STATE_CODE")</f>
        <v>TX</v>
      </c>
      <c r="E1820" t="str">
        <f>_xll.BDP("52109HGR Muni","COUNTY_LOCATION_ISSUER")</f>
        <v>Travis, TX</v>
      </c>
      <c r="F1820">
        <f>_xll.BDP("52109HGR Muni","DUR_ADJ_MID")</f>
        <v>8.0474312174032572E-2</v>
      </c>
      <c r="G1820">
        <f>_xll.BDP("52109HGR Muni","SPREAD_AT_ISSUANCE_TO_WORST")</f>
        <v>51.60845205479454</v>
      </c>
      <c r="H1820" t="str">
        <f>_xll.BDP("52109HGR Muni","ISSUE_DT")</f>
        <v>11/1/2017</v>
      </c>
      <c r="I1820" t="str">
        <f>_xll.BDS("52109HGR Muni","MUNI_PURPOSE_SCHED", "aggregate=y")</f>
        <v>WATER UTILITY IMPS. SEWER IMPS.</v>
      </c>
      <c r="J1820">
        <f>_xll.BDP("52109HGR Muni","CPN")</f>
        <v>3</v>
      </c>
      <c r="K1820" t="str">
        <f>_xll.BDP("52109HGR Muni","MATURITY")</f>
        <v>9/1/2022</v>
      </c>
      <c r="L1820">
        <v>135000</v>
      </c>
      <c r="M1820">
        <f>_xll.BDP("52109HGR Muni","YIELD_ON_ISSUE_DATE")</f>
        <v>1.85</v>
      </c>
      <c r="N1820">
        <f>_xll.BDP("52109HGR Muni","YTW_SPREAD_TO_MATURITY_AT_ISSU")</f>
        <v>51.60845205479454</v>
      </c>
      <c r="O1820" t="str">
        <f>_xll.BDP("52109HGR Muni","BVAL_MID_YTM")</f>
        <v>#N/A Authorization</v>
      </c>
      <c r="P1820" t="str">
        <f>_xll.BDP("52109HGR Muni","MUNI_TAX_PROV")</f>
        <v>FED BQ</v>
      </c>
      <c r="Q1820" t="str">
        <f>_xll.BDP("52109HGR Muni","MUNI_FED_TAX")</f>
        <v>N</v>
      </c>
      <c r="R1820" t="str">
        <f>_xll.BDP("52109HGR Muni","MUNI_MSRB_VOLUME")</f>
        <v>#N/A N/A</v>
      </c>
      <c r="S1820" t="str">
        <f>_xll.BDP("52109HGR Muni","BB_COMPOSITE")</f>
        <v>AA-</v>
      </c>
      <c r="T1820">
        <f>_xll.BDP("52109HGR Muni","LQA_LIQUIDITY_SCORE")</f>
        <v>98</v>
      </c>
    </row>
    <row r="1821" spans="1:20" x14ac:dyDescent="0.25">
      <c r="A1821" t="str">
        <f>_xll.BDP("52109HGS Muni","ID_CUSIP")</f>
        <v>52109HGS6</v>
      </c>
      <c r="B1821" t="s">
        <v>487</v>
      </c>
      <c r="C1821" t="str">
        <f>_xll.BDP("52109HGS Muni","INSURANCE_STATUS")</f>
        <v>Y</v>
      </c>
      <c r="D1821" t="str">
        <f>_xll.BDP("52109HGS Muni","STATE_CODE")</f>
        <v>TX</v>
      </c>
      <c r="E1821" t="str">
        <f>_xll.BDP("52109HGS Muni","COUNTY_LOCATION_ISSUER")</f>
        <v>Travis, TX</v>
      </c>
      <c r="F1821">
        <f>_xll.BDP("52109HGS Muni","DUR_ADJ_MID")</f>
        <v>1.0489864773367461</v>
      </c>
      <c r="G1821">
        <f>_xll.BDP("52109HGS Muni","SPREAD_AT_ISSUANCE_TO_WORST")</f>
        <v>54.236315068493155</v>
      </c>
      <c r="H1821" t="str">
        <f>_xll.BDP("52109HGS Muni","ISSUE_DT")</f>
        <v>11/1/2017</v>
      </c>
      <c r="I1821" t="str">
        <f>_xll.BDS("52109HGS Muni","MUNI_PURPOSE_SCHED", "aggregate=y")</f>
        <v>WATER UTILITY IMPS. SEWER IMPS.</v>
      </c>
      <c r="J1821">
        <f>_xll.BDP("52109HGS Muni","CPN")</f>
        <v>3</v>
      </c>
      <c r="K1821" t="str">
        <f>_xll.BDP("52109HGS Muni","MATURITY")</f>
        <v>9/1/2023</v>
      </c>
      <c r="L1821">
        <v>135000</v>
      </c>
      <c r="M1821">
        <f>_xll.BDP("52109HGS Muni","YIELD_ON_ISSUE_DATE")</f>
        <v>2</v>
      </c>
      <c r="N1821">
        <f>_xll.BDP("52109HGS Muni","YTW_SPREAD_TO_MATURITY_AT_ISSU")</f>
        <v>54.236315068493155</v>
      </c>
      <c r="O1821" t="str">
        <f>_xll.BDP("52109HGS Muni","BVAL_MID_YTM")</f>
        <v>#N/A Authorization</v>
      </c>
      <c r="P1821" t="str">
        <f>_xll.BDP("52109HGS Muni","MUNI_TAX_PROV")</f>
        <v>FED BQ</v>
      </c>
      <c r="Q1821" t="str">
        <f>_xll.BDP("52109HGS Muni","MUNI_FED_TAX")</f>
        <v>N</v>
      </c>
      <c r="R1821" t="str">
        <f>_xll.BDP("52109HGS Muni","MUNI_MSRB_VOLUME")</f>
        <v>#N/A N/A</v>
      </c>
      <c r="S1821" t="str">
        <f>_xll.BDP("52109HGS Muni","BB_COMPOSITE")</f>
        <v>AA-</v>
      </c>
      <c r="T1821">
        <f>_xll.BDP("52109HGS Muni","LQA_LIQUIDITY_SCORE")</f>
        <v>87</v>
      </c>
    </row>
    <row r="1822" spans="1:20" x14ac:dyDescent="0.25">
      <c r="A1822" t="str">
        <f>_xll.BDP("521453WU Muni","ID_CUSIP")</f>
        <v>521453WU0</v>
      </c>
      <c r="B1822" t="s">
        <v>488</v>
      </c>
      <c r="C1822" t="str">
        <f>_xll.BDP("521453WU Muni","INSURANCE_STATUS")</f>
        <v>N</v>
      </c>
      <c r="D1822" t="str">
        <f>_xll.BDP("521453WU Muni","STATE_CODE")</f>
        <v>MN</v>
      </c>
      <c r="E1822" t="str">
        <f>_xll.BDP("521453WU Muni","COUNTY_LOCATION_ISSUER")</f>
        <v>Le Sueur, MN</v>
      </c>
      <c r="F1822">
        <f>_xll.BDP("521453WU Muni","DUR_ADJ_MID")</f>
        <v>1.303086548601859</v>
      </c>
      <c r="G1822">
        <f>_xll.BDP("521453WU Muni","SPREAD_AT_ISSUANCE_TO_WORST")</f>
        <v>14.517833625073816</v>
      </c>
      <c r="H1822" t="str">
        <f>_xll.BDP("521453WU Muni","ISSUE_DT")</f>
        <v>8/10/2017</v>
      </c>
      <c r="I1822" t="str">
        <f>_xll.BDS("521453WU Muni","MUNI_PURPOSE_SCHED", "aggregate=y")</f>
        <v>PUBLIC IMPS. WATER UTILITY IMPS.</v>
      </c>
      <c r="J1822">
        <f>_xll.BDP("521453WU Muni","CPN")</f>
        <v>2.25</v>
      </c>
      <c r="K1822" t="str">
        <f>_xll.BDP("521453WU Muni","MATURITY")</f>
        <v>12/1/2023</v>
      </c>
      <c r="L1822">
        <v>165000</v>
      </c>
      <c r="M1822">
        <f>_xll.BDP("521453WU Muni","YIELD_ON_ISSUE_DATE")</f>
        <v>1.7000000000000002</v>
      </c>
      <c r="N1822">
        <f>_xll.BDP("521453WU Muni","YTW_SPREAD_TO_MATURITY_AT_ISSU")</f>
        <v>14.517833625073816</v>
      </c>
      <c r="O1822" t="str">
        <f>_xll.BDP("521453WU Muni","BVAL_MID_YTM")</f>
        <v>#N/A Authorization</v>
      </c>
      <c r="P1822" t="str">
        <f>_xll.BDP("521453WU Muni","MUNI_TAX_PROV")</f>
        <v>FED BQ/ST TAX-EXEMPT</v>
      </c>
      <c r="Q1822" t="str">
        <f>_xll.BDP("521453WU Muni","MUNI_FED_TAX")</f>
        <v>N</v>
      </c>
      <c r="R1822" t="str">
        <f>_xll.BDP("521453WU Muni","MUNI_MSRB_VOLUME")</f>
        <v>#N/A N/A</v>
      </c>
      <c r="S1822" t="str">
        <f>_xll.BDP("521453WU Muni","BB_COMPOSITE")</f>
        <v>#N/A N/A</v>
      </c>
      <c r="T1822">
        <f>_xll.BDP("521453WU Muni","LQA_LIQUIDITY_SCORE")</f>
        <v>77</v>
      </c>
    </row>
    <row r="1823" spans="1:20" x14ac:dyDescent="0.25">
      <c r="A1823" t="str">
        <f>_xll.BDP("521453WV Muni","ID_CUSIP")</f>
        <v>521453WV8</v>
      </c>
      <c r="B1823" t="s">
        <v>488</v>
      </c>
      <c r="C1823" t="str">
        <f>_xll.BDP("521453WV Muni","INSURANCE_STATUS")</f>
        <v>N</v>
      </c>
      <c r="D1823" t="str">
        <f>_xll.BDP("521453WV Muni","STATE_CODE")</f>
        <v>MN</v>
      </c>
      <c r="E1823" t="str">
        <f>_xll.BDP("521453WV Muni","COUNTY_LOCATION_ISSUER")</f>
        <v>Le Sueur, MN</v>
      </c>
      <c r="F1823">
        <f>_xll.BDP("521453WV Muni","DUR_ADJ_MID")</f>
        <v>2.254869769397124</v>
      </c>
      <c r="G1823">
        <f>_xll.BDP("521453WV Muni","SPREAD_AT_ISSUANCE_TO_WORST")</f>
        <v>14.612576421084622</v>
      </c>
      <c r="H1823" t="str">
        <f>_xll.BDP("521453WV Muni","ISSUE_DT")</f>
        <v>8/10/2017</v>
      </c>
      <c r="I1823" t="str">
        <f>_xll.BDS("521453WV Muni","MUNI_PURPOSE_SCHED", "aggregate=y")</f>
        <v>PUBLIC IMPS. WATER UTILITY IMPS.</v>
      </c>
      <c r="J1823">
        <f>_xll.BDP("521453WV Muni","CPN")</f>
        <v>2.25</v>
      </c>
      <c r="K1823" t="str">
        <f>_xll.BDP("521453WV Muni","MATURITY")</f>
        <v>12/1/2024</v>
      </c>
      <c r="L1823">
        <v>170000</v>
      </c>
      <c r="M1823">
        <f>_xll.BDP("521453WV Muni","YIELD_ON_ISSUE_DATE")</f>
        <v>1.85</v>
      </c>
      <c r="N1823">
        <f>_xll.BDP("521453WV Muni","YTW_SPREAD_TO_MATURITY_AT_ISSU")</f>
        <v>14.612576421084622</v>
      </c>
      <c r="O1823" t="str">
        <f>_xll.BDP("521453WV Muni","BVAL_MID_YTM")</f>
        <v>#N/A Authorization</v>
      </c>
      <c r="P1823" t="str">
        <f>_xll.BDP("521453WV Muni","MUNI_TAX_PROV")</f>
        <v>FED BQ/ST TAX-EXEMPT</v>
      </c>
      <c r="Q1823" t="str">
        <f>_xll.BDP("521453WV Muni","MUNI_FED_TAX")</f>
        <v>N</v>
      </c>
      <c r="R1823" t="str">
        <f>_xll.BDP("521453WV Muni","MUNI_MSRB_VOLUME")</f>
        <v>#N/A N/A</v>
      </c>
      <c r="S1823" t="str">
        <f>_xll.BDP("521453WV Muni","BB_COMPOSITE")</f>
        <v>#N/A N/A</v>
      </c>
      <c r="T1823">
        <f>_xll.BDP("521453WV Muni","LQA_LIQUIDITY_SCORE")</f>
        <v>65</v>
      </c>
    </row>
    <row r="1824" spans="1:20" x14ac:dyDescent="0.25">
      <c r="A1824" t="str">
        <f>_xll.BDP("521453WW Muni","ID_CUSIP")</f>
        <v>521453WW6</v>
      </c>
      <c r="B1824" t="s">
        <v>488</v>
      </c>
      <c r="C1824" t="str">
        <f>_xll.BDP("521453WW Muni","INSURANCE_STATUS")</f>
        <v>N</v>
      </c>
      <c r="D1824" t="str">
        <f>_xll.BDP("521453WW Muni","STATE_CODE")</f>
        <v>MN</v>
      </c>
      <c r="E1824" t="str">
        <f>_xll.BDP("521453WW Muni","COUNTY_LOCATION_ISSUER")</f>
        <v>Le Sueur, MN</v>
      </c>
      <c r="F1824">
        <f>_xll.BDP("521453WW Muni","DUR_ADJ_MID")</f>
        <v>3.1740128486404062</v>
      </c>
      <c r="G1824">
        <f>_xll.BDP("521453WW Muni","SPREAD_AT_ISSUANCE_TO_WORST")</f>
        <v>15.162739946184089</v>
      </c>
      <c r="H1824" t="str">
        <f>_xll.BDP("521453WW Muni","ISSUE_DT")</f>
        <v>8/10/2017</v>
      </c>
      <c r="I1824" t="str">
        <f>_xll.BDS("521453WW Muni","MUNI_PURPOSE_SCHED", "aggregate=y")</f>
        <v>PUBLIC IMPS. WATER UTILITY IMPS.</v>
      </c>
      <c r="J1824">
        <f>_xll.BDP("521453WW Muni","CPN")</f>
        <v>2.5</v>
      </c>
      <c r="K1824" t="str">
        <f>_xll.BDP("521453WW Muni","MATURITY")</f>
        <v>12/1/2025</v>
      </c>
      <c r="L1824">
        <v>175000</v>
      </c>
      <c r="M1824">
        <f>_xll.BDP("521453WW Muni","YIELD_ON_ISSUE_DATE")</f>
        <v>2</v>
      </c>
      <c r="N1824">
        <f>_xll.BDP("521453WW Muni","YTW_SPREAD_TO_MATURITY_AT_ISSU")</f>
        <v>15.162739946184089</v>
      </c>
      <c r="O1824" t="str">
        <f>_xll.BDP("521453WW Muni","BVAL_MID_YTM")</f>
        <v>#N/A Authorization</v>
      </c>
      <c r="P1824" t="str">
        <f>_xll.BDP("521453WW Muni","MUNI_TAX_PROV")</f>
        <v>FED BQ/ST TAX-EXEMPT</v>
      </c>
      <c r="Q1824" t="str">
        <f>_xll.BDP("521453WW Muni","MUNI_FED_TAX")</f>
        <v>N</v>
      </c>
      <c r="R1824" t="str">
        <f>_xll.BDP("521453WW Muni","MUNI_MSRB_VOLUME")</f>
        <v>#N/A N/A</v>
      </c>
      <c r="S1824" t="str">
        <f>_xll.BDP("521453WW Muni","BB_COMPOSITE")</f>
        <v>#N/A N/A</v>
      </c>
      <c r="T1824">
        <f>_xll.BDP("521453WW Muni","LQA_LIQUIDITY_SCORE")</f>
        <v>48</v>
      </c>
    </row>
    <row r="1825" spans="1:20" x14ac:dyDescent="0.25">
      <c r="A1825" t="str">
        <f>_xll.BDP("551803CJ Muni","ID_CUSIP")</f>
        <v>551803CJ6</v>
      </c>
      <c r="B1825" t="s">
        <v>460</v>
      </c>
      <c r="C1825" t="str">
        <f>_xll.BDP("551803CJ Muni","INSURANCE_STATUS")</f>
        <v>Y</v>
      </c>
      <c r="D1825" t="str">
        <f>_xll.BDP("551803CJ Muni","STATE_CODE")</f>
        <v>CA</v>
      </c>
      <c r="E1825" t="str">
        <f>_xll.BDP("551803CJ Muni","COUNTY_LOCATION_ISSUER")</f>
        <v>Los Angeles, CA</v>
      </c>
      <c r="F1825">
        <f>_xll.BDP("551803CJ Muni","DUR_ADJ_MID")</f>
        <v>0.81574875076456066</v>
      </c>
      <c r="G1825">
        <f>_xll.BDP("551803CJ Muni","SPREAD_AT_ISSUANCE_TO_WORST")</f>
        <v>14.79270866412441</v>
      </c>
      <c r="H1825" t="str">
        <f>_xll.BDP("551803CJ Muni","ISSUE_DT")</f>
        <v>9/7/2017</v>
      </c>
      <c r="I1825" t="str">
        <f>_xll.BDS("551803CJ Muni","MUNI_PURPOSE_SCHED", "aggregate=y")</f>
        <v>WATER UTILITY IMPS. SEWER IMPS.</v>
      </c>
      <c r="J1825">
        <f>_xll.BDP("551803CJ Muni","CPN")</f>
        <v>4</v>
      </c>
      <c r="K1825" t="str">
        <f>_xll.BDP("551803CJ Muni","MATURITY")</f>
        <v>6/1/2023</v>
      </c>
      <c r="L1825">
        <v>65000</v>
      </c>
      <c r="M1825" t="str">
        <f>_xll.BDP("551803CJ Muni","YIELD_ON_ISSUE_DATE")</f>
        <v>#N/A N/A</v>
      </c>
      <c r="N1825">
        <f>_xll.BDP("551803CJ Muni","YTW_SPREAD_TO_MATURITY_AT_ISSU")</f>
        <v>14.79270866412441</v>
      </c>
      <c r="O1825" t="str">
        <f>_xll.BDP("551803CJ Muni","BVAL_MID_YTM")</f>
        <v>#N/A Authorization</v>
      </c>
      <c r="P1825" t="str">
        <f>_xll.BDP("551803CJ Muni","MUNI_TAX_PROV")</f>
        <v>FED &amp; ST TAX-EXEMPT</v>
      </c>
      <c r="Q1825" t="str">
        <f>_xll.BDP("551803CJ Muni","MUNI_FED_TAX")</f>
        <v>N</v>
      </c>
      <c r="R1825" t="str">
        <f>_xll.BDP("551803CJ Muni","MUNI_MSRB_VOLUME")</f>
        <v>#N/A N/A</v>
      </c>
      <c r="S1825" t="str">
        <f>_xll.BDP("551803CJ Muni","BB_COMPOSITE")</f>
        <v>#N/A N/A</v>
      </c>
      <c r="T1825">
        <f>_xll.BDP("551803CJ Muni","LQA_LIQUIDITY_SCORE")</f>
        <v>90</v>
      </c>
    </row>
    <row r="1826" spans="1:20" x14ac:dyDescent="0.25">
      <c r="A1826" t="str">
        <f>_xll.BDP("551803CL Muni","ID_CUSIP")</f>
        <v>551803CL1</v>
      </c>
      <c r="B1826" t="s">
        <v>460</v>
      </c>
      <c r="C1826" t="str">
        <f>_xll.BDP("551803CL Muni","INSURANCE_STATUS")</f>
        <v>Y</v>
      </c>
      <c r="D1826" t="str">
        <f>_xll.BDP("551803CL Muni","STATE_CODE")</f>
        <v>CA</v>
      </c>
      <c r="E1826" t="str">
        <f>_xll.BDP("551803CL Muni","COUNTY_LOCATION_ISSUER")</f>
        <v>Los Angeles, CA</v>
      </c>
      <c r="F1826">
        <f>_xll.BDP("551803CL Muni","DUR_ADJ_MID")</f>
        <v>2.66868147966587</v>
      </c>
      <c r="G1826">
        <f>_xll.BDP("551803CL Muni","SPREAD_AT_ISSUANCE_TO_WORST")</f>
        <v>19.328656268005972</v>
      </c>
      <c r="H1826" t="str">
        <f>_xll.BDP("551803CL Muni","ISSUE_DT")</f>
        <v>9/7/2017</v>
      </c>
      <c r="I1826" t="str">
        <f>_xll.BDS("551803CL Muni","MUNI_PURPOSE_SCHED", "aggregate=y")</f>
        <v>WATER UTILITY IMPS. SEWER IMPS.</v>
      </c>
      <c r="J1826">
        <f>_xll.BDP("551803CL Muni","CPN")</f>
        <v>4</v>
      </c>
      <c r="K1826" t="str">
        <f>_xll.BDP("551803CL Muni","MATURITY")</f>
        <v>6/1/2025</v>
      </c>
      <c r="L1826">
        <v>70000</v>
      </c>
      <c r="M1826" t="str">
        <f>_xll.BDP("551803CL Muni","YIELD_ON_ISSUE_DATE")</f>
        <v>#N/A N/A</v>
      </c>
      <c r="N1826">
        <f>_xll.BDP("551803CL Muni","YTW_SPREAD_TO_MATURITY_AT_ISSU")</f>
        <v>19.328656268005972</v>
      </c>
      <c r="O1826" t="str">
        <f>_xll.BDP("551803CL Muni","BVAL_MID_YTM")</f>
        <v>#N/A Authorization</v>
      </c>
      <c r="P1826" t="str">
        <f>_xll.BDP("551803CL Muni","MUNI_TAX_PROV")</f>
        <v>FED &amp; ST TAX-EXEMPT</v>
      </c>
      <c r="Q1826" t="str">
        <f>_xll.BDP("551803CL Muni","MUNI_FED_TAX")</f>
        <v>N</v>
      </c>
      <c r="R1826" t="str">
        <f>_xll.BDP("551803CL Muni","MUNI_MSRB_VOLUME")</f>
        <v>#N/A N/A</v>
      </c>
      <c r="S1826" t="str">
        <f>_xll.BDP("551803CL Muni","BB_COMPOSITE")</f>
        <v>#N/A N/A</v>
      </c>
      <c r="T1826">
        <f>_xll.BDP("551803CL Muni","LQA_LIQUIDITY_SCORE")</f>
        <v>68</v>
      </c>
    </row>
    <row r="1827" spans="1:20" x14ac:dyDescent="0.25">
      <c r="A1827" t="str">
        <f>_xll.BDP("551803CM Muni","ID_CUSIP")</f>
        <v>551803CM9</v>
      </c>
      <c r="B1827" t="s">
        <v>460</v>
      </c>
      <c r="C1827" t="str">
        <f>_xll.BDP("551803CM Muni","INSURANCE_STATUS")</f>
        <v>Y</v>
      </c>
      <c r="D1827" t="str">
        <f>_xll.BDP("551803CM Muni","STATE_CODE")</f>
        <v>CA</v>
      </c>
      <c r="E1827" t="str">
        <f>_xll.BDP("551803CM Muni","COUNTY_LOCATION_ISSUER")</f>
        <v>Los Angeles, CA</v>
      </c>
      <c r="F1827">
        <f>_xll.BDP("551803CM Muni","DUR_ADJ_MID")</f>
        <v>3.5447368324819428</v>
      </c>
      <c r="G1827">
        <f>_xll.BDP("551803CM Muni","SPREAD_AT_ISSUANCE_TO_WORST")</f>
        <v>23.205522778051545</v>
      </c>
      <c r="H1827" t="str">
        <f>_xll.BDP("551803CM Muni","ISSUE_DT")</f>
        <v>9/7/2017</v>
      </c>
      <c r="I1827" t="str">
        <f>_xll.BDS("551803CM Muni","MUNI_PURPOSE_SCHED", "aggregate=y")</f>
        <v>WATER UTILITY IMPS. SEWER IMPS.</v>
      </c>
      <c r="J1827">
        <f>_xll.BDP("551803CM Muni","CPN")</f>
        <v>4</v>
      </c>
      <c r="K1827" t="str">
        <f>_xll.BDP("551803CM Muni","MATURITY")</f>
        <v>6/1/2026</v>
      </c>
      <c r="L1827">
        <v>70000</v>
      </c>
      <c r="M1827" t="str">
        <f>_xll.BDP("551803CM Muni","YIELD_ON_ISSUE_DATE")</f>
        <v>#N/A N/A</v>
      </c>
      <c r="N1827">
        <f>_xll.BDP("551803CM Muni","YTW_SPREAD_TO_MATURITY_AT_ISSU")</f>
        <v>23.205522778051545</v>
      </c>
      <c r="O1827" t="str">
        <f>_xll.BDP("551803CM Muni","BVAL_MID_YTM")</f>
        <v>#N/A Authorization</v>
      </c>
      <c r="P1827" t="str">
        <f>_xll.BDP("551803CM Muni","MUNI_TAX_PROV")</f>
        <v>FED &amp; ST TAX-EXEMPT</v>
      </c>
      <c r="Q1827" t="str">
        <f>_xll.BDP("551803CM Muni","MUNI_FED_TAX")</f>
        <v>N</v>
      </c>
      <c r="R1827" t="str">
        <f>_xll.BDP("551803CM Muni","MUNI_MSRB_VOLUME")</f>
        <v>#N/A N/A</v>
      </c>
      <c r="S1827" t="str">
        <f>_xll.BDP("551803CM Muni","BB_COMPOSITE")</f>
        <v>#N/A N/A</v>
      </c>
      <c r="T1827">
        <f>_xll.BDP("551803CM Muni","LQA_LIQUIDITY_SCORE")</f>
        <v>62</v>
      </c>
    </row>
    <row r="1828" spans="1:20" x14ac:dyDescent="0.25">
      <c r="A1828" t="str">
        <f>_xll.BDP("551803CN Muni","ID_CUSIP")</f>
        <v>551803CN7</v>
      </c>
      <c r="B1828" t="s">
        <v>460</v>
      </c>
      <c r="C1828" t="str">
        <f>_xll.BDP("551803CN Muni","INSURANCE_STATUS")</f>
        <v>Y</v>
      </c>
      <c r="D1828" t="str">
        <f>_xll.BDP("551803CN Muni","STATE_CODE")</f>
        <v>CA</v>
      </c>
      <c r="E1828" t="str">
        <f>_xll.BDP("551803CN Muni","COUNTY_LOCATION_ISSUER")</f>
        <v>Los Angeles, CA</v>
      </c>
      <c r="F1828">
        <f>_xll.BDP("551803CN Muni","DUR_ADJ_MID")</f>
        <v>4.3895056449658449</v>
      </c>
      <c r="G1828">
        <f>_xll.BDP("551803CN Muni","SPREAD_AT_ISSUANCE_TO_WORST")</f>
        <v>31.528088118201893</v>
      </c>
      <c r="H1828" t="str">
        <f>_xll.BDP("551803CN Muni","ISSUE_DT")</f>
        <v>9/7/2017</v>
      </c>
      <c r="I1828" t="str">
        <f>_xll.BDS("551803CN Muni","MUNI_PURPOSE_SCHED", "aggregate=y")</f>
        <v>WATER UTILITY IMPS. SEWER IMPS.</v>
      </c>
      <c r="J1828">
        <f>_xll.BDP("551803CN Muni","CPN")</f>
        <v>4</v>
      </c>
      <c r="K1828" t="str">
        <f>_xll.BDP("551803CN Muni","MATURITY")</f>
        <v>6/1/2027</v>
      </c>
      <c r="L1828">
        <v>75000</v>
      </c>
      <c r="M1828" t="str">
        <f>_xll.BDP("551803CN Muni","YIELD_ON_ISSUE_DATE")</f>
        <v>#N/A N/A</v>
      </c>
      <c r="N1828">
        <f>_xll.BDP("551803CN Muni","YTW_SPREAD_TO_MATURITY_AT_ISSU")</f>
        <v>31.528088118201893</v>
      </c>
      <c r="O1828" t="str">
        <f>_xll.BDP("551803CN Muni","BVAL_MID_YTM")</f>
        <v>#N/A Authorization</v>
      </c>
      <c r="P1828" t="str">
        <f>_xll.BDP("551803CN Muni","MUNI_TAX_PROV")</f>
        <v>FED &amp; ST TAX-EXEMPT</v>
      </c>
      <c r="Q1828" t="str">
        <f>_xll.BDP("551803CN Muni","MUNI_FED_TAX")</f>
        <v>N</v>
      </c>
      <c r="R1828" t="str">
        <f>_xll.BDP("551803CN Muni","MUNI_MSRB_VOLUME")</f>
        <v>#N/A N/A</v>
      </c>
      <c r="S1828" t="str">
        <f>_xll.BDP("551803CN Muni","BB_COMPOSITE")</f>
        <v>#N/A N/A</v>
      </c>
      <c r="T1828">
        <f>_xll.BDP("551803CN Muni","LQA_LIQUIDITY_SCORE")</f>
        <v>57</v>
      </c>
    </row>
    <row r="1829" spans="1:20" x14ac:dyDescent="0.25">
      <c r="A1829" t="str">
        <f>_xll.BDP("552048PY Muni","ID_CUSIP")</f>
        <v>552048PY0</v>
      </c>
      <c r="B1829" t="s">
        <v>78</v>
      </c>
      <c r="C1829" t="str">
        <f>_xll.BDP("552048PY Muni","INSURANCE_STATUS")</f>
        <v>N</v>
      </c>
      <c r="D1829" t="str">
        <f>_xll.BDP("552048PY Muni","STATE_CODE")</f>
        <v>MI</v>
      </c>
      <c r="E1829" t="str">
        <f>_xll.BDP("552048PY Muni","COUNTY_LOCATION_ISSUER")</f>
        <v>Oakland, MI</v>
      </c>
      <c r="F1829">
        <f>_xll.BDP("552048PY Muni","DUR_ADJ_MID")</f>
        <v>1.7043118746532953</v>
      </c>
      <c r="G1829">
        <f>_xll.BDP("552048PY Muni","SPREAD_AT_ISSUANCE_TO_WORST")</f>
        <v>24.4095620053427</v>
      </c>
      <c r="H1829" t="str">
        <f>_xll.BDP("552048PY Muni","ISSUE_DT")</f>
        <v>8/31/2017</v>
      </c>
      <c r="I1829" t="str">
        <f>_xll.BDS("552048PY Muni","MUNI_PURPOSE_SCHED", "aggregate=y")</f>
        <v>WATER UTILITY IMPS.</v>
      </c>
      <c r="J1829">
        <f>_xll.BDP("552048PY Muni","CPN")</f>
        <v>2</v>
      </c>
      <c r="K1829" t="str">
        <f>_xll.BDP("552048PY Muni","MATURITY")</f>
        <v>5/1/2024</v>
      </c>
      <c r="L1829">
        <v>745000</v>
      </c>
      <c r="M1829">
        <f>_xll.BDP("552048PY Muni","YIELD_ON_ISSUE_DATE")</f>
        <v>1.6500000000000001</v>
      </c>
      <c r="N1829">
        <f>_xll.BDP("552048PY Muni","YTW_SPREAD_TO_MATURITY_AT_ISSU")</f>
        <v>24.4095620053427</v>
      </c>
      <c r="O1829" t="str">
        <f>_xll.BDP("552048PY Muni","BVAL_MID_YTM")</f>
        <v>#N/A Authorization</v>
      </c>
      <c r="P1829" t="str">
        <f>_xll.BDP("552048PY Muni","MUNI_TAX_PROV")</f>
        <v>FED &amp; ST TAX-EXEMPT</v>
      </c>
      <c r="Q1829" t="str">
        <f>_xll.BDP("552048PY Muni","MUNI_FED_TAX")</f>
        <v>N</v>
      </c>
      <c r="R1829">
        <f>_xll.BDP("552048PY Muni","MUNI_MSRB_VOLUME")</f>
        <v>75000</v>
      </c>
      <c r="S1829" t="str">
        <f>_xll.BDP("552048PY Muni","BB_COMPOSITE")</f>
        <v>#N/A N/A</v>
      </c>
      <c r="T1829">
        <f>_xll.BDP("552048PY Muni","LQA_LIQUIDITY_SCORE")</f>
        <v>68</v>
      </c>
    </row>
    <row r="1830" spans="1:20" x14ac:dyDescent="0.25">
      <c r="A1830" t="str">
        <f>_xll.BDP("552048PZ Muni","ID_CUSIP")</f>
        <v>552048PZ7</v>
      </c>
      <c r="B1830" t="s">
        <v>78</v>
      </c>
      <c r="C1830" t="str">
        <f>_xll.BDP("552048PZ Muni","INSURANCE_STATUS")</f>
        <v>N</v>
      </c>
      <c r="D1830" t="str">
        <f>_xll.BDP("552048PZ Muni","STATE_CODE")</f>
        <v>MI</v>
      </c>
      <c r="E1830" t="str">
        <f>_xll.BDP("552048PZ Muni","COUNTY_LOCATION_ISSUER")</f>
        <v>Oakland, MI</v>
      </c>
      <c r="F1830">
        <f>_xll.BDP("552048PZ Muni","DUR_ADJ_MID")</f>
        <v>2.6515457010413979</v>
      </c>
      <c r="G1830">
        <f>_xll.BDP("552048PZ Muni","SPREAD_AT_ISSUANCE_TO_WORST")</f>
        <v>29.171350269416397</v>
      </c>
      <c r="H1830" t="str">
        <f>_xll.BDP("552048PZ Muni","ISSUE_DT")</f>
        <v>8/31/2017</v>
      </c>
      <c r="I1830" t="str">
        <f>_xll.BDS("552048PZ Muni","MUNI_PURPOSE_SCHED", "aggregate=y")</f>
        <v>WATER UTILITY IMPS.</v>
      </c>
      <c r="J1830">
        <f>_xll.BDP("552048PZ Muni","CPN")</f>
        <v>2</v>
      </c>
      <c r="K1830" t="str">
        <f>_xll.BDP("552048PZ Muni","MATURITY")</f>
        <v>5/1/2025</v>
      </c>
      <c r="L1830">
        <v>760000</v>
      </c>
      <c r="M1830">
        <f>_xll.BDP("552048PZ Muni","YIELD_ON_ISSUE_DATE")</f>
        <v>1.85</v>
      </c>
      <c r="N1830">
        <f>_xll.BDP("552048PZ Muni","YTW_SPREAD_TO_MATURITY_AT_ISSU")</f>
        <v>29.171350269416397</v>
      </c>
      <c r="O1830" t="str">
        <f>_xll.BDP("552048PZ Muni","BVAL_MID_YTM")</f>
        <v>#N/A Authorization</v>
      </c>
      <c r="P1830" t="str">
        <f>_xll.BDP("552048PZ Muni","MUNI_TAX_PROV")</f>
        <v>FED &amp; ST TAX-EXEMPT</v>
      </c>
      <c r="Q1830" t="str">
        <f>_xll.BDP("552048PZ Muni","MUNI_FED_TAX")</f>
        <v>N</v>
      </c>
      <c r="R1830" t="str">
        <f>_xll.BDP("552048PZ Muni","MUNI_MSRB_VOLUME")</f>
        <v>#N/A N/A</v>
      </c>
      <c r="S1830" t="str">
        <f>_xll.BDP("552048PZ Muni","BB_COMPOSITE")</f>
        <v>#N/A N/A</v>
      </c>
      <c r="T1830">
        <f>_xll.BDP("552048PZ Muni","LQA_LIQUIDITY_SCORE")</f>
        <v>56</v>
      </c>
    </row>
    <row r="1831" spans="1:20" x14ac:dyDescent="0.25">
      <c r="A1831" t="str">
        <f>_xll.BDP("716418AX Muni","ID_CUSIP")</f>
        <v>716418AX6</v>
      </c>
      <c r="B1831" t="s">
        <v>489</v>
      </c>
      <c r="C1831" t="str">
        <f>_xll.BDP("716418AX Muni","INSURANCE_STATUS")</f>
        <v>N</v>
      </c>
      <c r="D1831" t="str">
        <f>_xll.BDP("716418AX Muni","STATE_CODE")</f>
        <v>MI</v>
      </c>
      <c r="E1831" t="str">
        <f>_xll.BDP("716418AX Muni","COUNTY_LOCATION_ISSUER")</f>
        <v>Emmet, MI</v>
      </c>
      <c r="F1831">
        <f>_xll.BDP("716418AX Muni","DUR_ADJ_MID")</f>
        <v>0.4945503683856971</v>
      </c>
      <c r="G1831">
        <f>_xll.BDP("716418AX Muni","SPREAD_AT_ISSUANCE_TO_WORST")</f>
        <v>27.910195180839771</v>
      </c>
      <c r="H1831" t="str">
        <f>_xll.BDP("716418AX Muni","ISSUE_DT")</f>
        <v>6/13/2017</v>
      </c>
      <c r="I1831" t="str">
        <f>_xll.BDS("716418AX Muni","MUNI_PURPOSE_SCHED", "aggregate=y")</f>
        <v>WATER UTILITY IMPS. SEWER IMPS.</v>
      </c>
      <c r="J1831">
        <f>_xll.BDP("716418AX Muni","CPN")</f>
        <v>3</v>
      </c>
      <c r="K1831" t="str">
        <f>_xll.BDP("716418AX Muni","MATURITY")</f>
        <v>2/1/2023</v>
      </c>
      <c r="L1831">
        <v>210000</v>
      </c>
      <c r="M1831">
        <f>_xll.BDP("716418AX Muni","YIELD_ON_ISSUE_DATE")</f>
        <v>1.6300000000000001</v>
      </c>
      <c r="N1831">
        <f>_xll.BDP("716418AX Muni","YTW_SPREAD_TO_MATURITY_AT_ISSU")</f>
        <v>27.910195180839771</v>
      </c>
      <c r="O1831" t="str">
        <f>_xll.BDP("716418AX Muni","BVAL_MID_YTM")</f>
        <v>#N/A Authorization</v>
      </c>
      <c r="P1831" t="str">
        <f>_xll.BDP("716418AX Muni","MUNI_TAX_PROV")</f>
        <v>FED BQ/ST TAX-EXEMPT</v>
      </c>
      <c r="Q1831" t="str">
        <f>_xll.BDP("716418AX Muni","MUNI_FED_TAX")</f>
        <v>N</v>
      </c>
      <c r="R1831" t="str">
        <f>_xll.BDP("716418AX Muni","MUNI_MSRB_VOLUME")</f>
        <v>#N/A N/A</v>
      </c>
      <c r="S1831" t="str">
        <f>_xll.BDP("716418AX Muni","BB_COMPOSITE")</f>
        <v>#N/A N/A</v>
      </c>
      <c r="T1831">
        <f>_xll.BDP("716418AX Muni","LQA_LIQUIDITY_SCORE")</f>
        <v>98</v>
      </c>
    </row>
    <row r="1832" spans="1:20" x14ac:dyDescent="0.25">
      <c r="A1832" t="str">
        <f>_xll.BDP("716418AY Muni","ID_CUSIP")</f>
        <v>716418AY4</v>
      </c>
      <c r="B1832" t="s">
        <v>489</v>
      </c>
      <c r="C1832" t="str">
        <f>_xll.BDP("716418AY Muni","INSURANCE_STATUS")</f>
        <v>N</v>
      </c>
      <c r="D1832" t="str">
        <f>_xll.BDP("716418AY Muni","STATE_CODE")</f>
        <v>MI</v>
      </c>
      <c r="E1832" t="str">
        <f>_xll.BDP("716418AY Muni","COUNTY_LOCATION_ISSUER")</f>
        <v>Emmet, MI</v>
      </c>
      <c r="F1832">
        <f>_xll.BDP("716418AY Muni","DUR_ADJ_MID")</f>
        <v>1.4632352363312484</v>
      </c>
      <c r="G1832">
        <f>_xll.BDP("716418AY Muni","SPREAD_AT_ISSUANCE_TO_WORST")</f>
        <v>25.92378496738381</v>
      </c>
      <c r="H1832" t="str">
        <f>_xll.BDP("716418AY Muni","ISSUE_DT")</f>
        <v>6/13/2017</v>
      </c>
      <c r="I1832" t="str">
        <f>_xll.BDS("716418AY Muni","MUNI_PURPOSE_SCHED", "aggregate=y")</f>
        <v>WATER UTILITY IMPS. SEWER IMPS.</v>
      </c>
      <c r="J1832">
        <f>_xll.BDP("716418AY Muni","CPN")</f>
        <v>3</v>
      </c>
      <c r="K1832" t="str">
        <f>_xll.BDP("716418AY Muni","MATURITY")</f>
        <v>2/1/2024</v>
      </c>
      <c r="L1832">
        <v>220000</v>
      </c>
      <c r="M1832">
        <f>_xll.BDP("716418AY Muni","YIELD_ON_ISSUE_DATE")</f>
        <v>1.77</v>
      </c>
      <c r="N1832">
        <f>_xll.BDP("716418AY Muni","YTW_SPREAD_TO_MATURITY_AT_ISSU")</f>
        <v>25.92378496738381</v>
      </c>
      <c r="O1832" t="str">
        <f>_xll.BDP("716418AY Muni","BVAL_MID_YTM")</f>
        <v>#N/A Authorization</v>
      </c>
      <c r="P1832" t="str">
        <f>_xll.BDP("716418AY Muni","MUNI_TAX_PROV")</f>
        <v>FED BQ/ST TAX-EXEMPT</v>
      </c>
      <c r="Q1832" t="str">
        <f>_xll.BDP("716418AY Muni","MUNI_FED_TAX")</f>
        <v>N</v>
      </c>
      <c r="R1832" t="str">
        <f>_xll.BDP("716418AY Muni","MUNI_MSRB_VOLUME")</f>
        <v>#N/A N/A</v>
      </c>
      <c r="S1832" t="str">
        <f>_xll.BDP("716418AY Muni","BB_COMPOSITE")</f>
        <v>#N/A N/A</v>
      </c>
      <c r="T1832">
        <f>_xll.BDP("716418AY Muni","LQA_LIQUIDITY_SCORE")</f>
        <v>85</v>
      </c>
    </row>
    <row r="1833" spans="1:20" x14ac:dyDescent="0.25">
      <c r="A1833" t="str">
        <f>_xll.BDP("716418AZ Muni","ID_CUSIP")</f>
        <v>716418AZ1</v>
      </c>
      <c r="B1833" t="s">
        <v>489</v>
      </c>
      <c r="C1833" t="str">
        <f>_xll.BDP("716418AZ Muni","INSURANCE_STATUS")</f>
        <v>N</v>
      </c>
      <c r="D1833" t="str">
        <f>_xll.BDP("716418AZ Muni","STATE_CODE")</f>
        <v>MI</v>
      </c>
      <c r="E1833" t="str">
        <f>_xll.BDP("716418AZ Muni","COUNTY_LOCATION_ISSUER")</f>
        <v>Emmet, MI</v>
      </c>
      <c r="F1833">
        <f>_xll.BDP("716418AZ Muni","DUR_ADJ_MID")</f>
        <v>2.4033326485016033</v>
      </c>
      <c r="G1833">
        <f>_xll.BDP("716418AZ Muni","SPREAD_AT_ISSUANCE_TO_WORST")</f>
        <v>25.918110437858608</v>
      </c>
      <c r="H1833" t="str">
        <f>_xll.BDP("716418AZ Muni","ISSUE_DT")</f>
        <v>6/13/2017</v>
      </c>
      <c r="I1833" t="str">
        <f>_xll.BDS("716418AZ Muni","MUNI_PURPOSE_SCHED", "aggregate=y")</f>
        <v>WATER UTILITY IMPS. SEWER IMPS.</v>
      </c>
      <c r="J1833">
        <f>_xll.BDP("716418AZ Muni","CPN")</f>
        <v>3</v>
      </c>
      <c r="K1833" t="str">
        <f>_xll.BDP("716418AZ Muni","MATURITY")</f>
        <v>2/1/2025</v>
      </c>
      <c r="L1833">
        <v>230000</v>
      </c>
      <c r="M1833">
        <f>_xll.BDP("716418AZ Muni","YIELD_ON_ISSUE_DATE")</f>
        <v>1.93</v>
      </c>
      <c r="N1833">
        <f>_xll.BDP("716418AZ Muni","YTW_SPREAD_TO_MATURITY_AT_ISSU")</f>
        <v>25.918110437858608</v>
      </c>
      <c r="O1833" t="str">
        <f>_xll.BDP("716418AZ Muni","BVAL_MID_YTM")</f>
        <v>#N/A Authorization</v>
      </c>
      <c r="P1833" t="str">
        <f>_xll.BDP("716418AZ Muni","MUNI_TAX_PROV")</f>
        <v>FED BQ/ST TAX-EXEMPT</v>
      </c>
      <c r="Q1833" t="str">
        <f>_xll.BDP("716418AZ Muni","MUNI_FED_TAX")</f>
        <v>N</v>
      </c>
      <c r="R1833" t="str">
        <f>_xll.BDP("716418AZ Muni","MUNI_MSRB_VOLUME")</f>
        <v>#N/A N/A</v>
      </c>
      <c r="S1833" t="str">
        <f>_xll.BDP("716418AZ Muni","BB_COMPOSITE")</f>
        <v>#N/A N/A</v>
      </c>
      <c r="T1833">
        <f>_xll.BDP("716418AZ Muni","LQA_LIQUIDITY_SCORE")</f>
        <v>76</v>
      </c>
    </row>
    <row r="1834" spans="1:20" x14ac:dyDescent="0.25">
      <c r="A1834" t="str">
        <f>_xll.BDP("716418BA Muni","ID_CUSIP")</f>
        <v>716418BA5</v>
      </c>
      <c r="B1834" t="s">
        <v>489</v>
      </c>
      <c r="C1834" t="str">
        <f>_xll.BDP("716418BA Muni","INSURANCE_STATUS")</f>
        <v>N</v>
      </c>
      <c r="D1834" t="str">
        <f>_xll.BDP("716418BA Muni","STATE_CODE")</f>
        <v>MI</v>
      </c>
      <c r="E1834" t="str">
        <f>_xll.BDP("716418BA Muni","COUNTY_LOCATION_ISSUER")</f>
        <v>Emmet, MI</v>
      </c>
      <c r="F1834">
        <f>_xll.BDP("716418BA Muni","DUR_ADJ_MID")</f>
        <v>3.3160823365054939</v>
      </c>
      <c r="G1834">
        <f>_xll.BDP("716418BA Muni","SPREAD_AT_ISSUANCE_TO_WORST")</f>
        <v>28.093060701326866</v>
      </c>
      <c r="H1834" t="str">
        <f>_xll.BDP("716418BA Muni","ISSUE_DT")</f>
        <v>6/13/2017</v>
      </c>
      <c r="I1834" t="str">
        <f>_xll.BDS("716418BA Muni","MUNI_PURPOSE_SCHED", "aggregate=y")</f>
        <v>WATER UTILITY IMPS. SEWER IMPS.</v>
      </c>
      <c r="J1834">
        <f>_xll.BDP("716418BA Muni","CPN")</f>
        <v>3</v>
      </c>
      <c r="K1834" t="str">
        <f>_xll.BDP("716418BA Muni","MATURITY")</f>
        <v>2/1/2026</v>
      </c>
      <c r="L1834">
        <v>240000</v>
      </c>
      <c r="M1834">
        <f>_xll.BDP("716418BA Muni","YIELD_ON_ISSUE_DATE")</f>
        <v>2.1</v>
      </c>
      <c r="N1834">
        <f>_xll.BDP("716418BA Muni","YTW_SPREAD_TO_MATURITY_AT_ISSU")</f>
        <v>28.093060701326866</v>
      </c>
      <c r="O1834" t="str">
        <f>_xll.BDP("716418BA Muni","BVAL_MID_YTM")</f>
        <v>#N/A Authorization</v>
      </c>
      <c r="P1834" t="str">
        <f>_xll.BDP("716418BA Muni","MUNI_TAX_PROV")</f>
        <v>FED BQ/ST TAX-EXEMPT</v>
      </c>
      <c r="Q1834" t="str">
        <f>_xll.BDP("716418BA Muni","MUNI_FED_TAX")</f>
        <v>N</v>
      </c>
      <c r="R1834" t="str">
        <f>_xll.BDP("716418BA Muni","MUNI_MSRB_VOLUME")</f>
        <v>#N/A N/A</v>
      </c>
      <c r="S1834" t="str">
        <f>_xll.BDP("716418BA Muni","BB_COMPOSITE")</f>
        <v>#N/A N/A</v>
      </c>
      <c r="T1834">
        <f>_xll.BDP("716418BA Muni","LQA_LIQUIDITY_SCORE")</f>
        <v>68</v>
      </c>
    </row>
    <row r="1835" spans="1:20" x14ac:dyDescent="0.25">
      <c r="A1835" t="str">
        <f>_xll.BDP("716418BB Muni","ID_CUSIP")</f>
        <v>716418BB3</v>
      </c>
      <c r="B1835" t="s">
        <v>489</v>
      </c>
      <c r="C1835" t="str">
        <f>_xll.BDP("716418BB Muni","INSURANCE_STATUS")</f>
        <v>N</v>
      </c>
      <c r="D1835" t="str">
        <f>_xll.BDP("716418BB Muni","STATE_CODE")</f>
        <v>MI</v>
      </c>
      <c r="E1835" t="str">
        <f>_xll.BDP("716418BB Muni","COUNTY_LOCATION_ISSUER")</f>
        <v>Emmet, MI</v>
      </c>
      <c r="F1835">
        <f>_xll.BDP("716418BB Muni","DUR_ADJ_MID")</f>
        <v>4.2019489475031007</v>
      </c>
      <c r="G1835">
        <f>_xll.BDP("716418BB Muni","SPREAD_AT_ISSUANCE_TO_WORST")</f>
        <v>26.750494113869628</v>
      </c>
      <c r="H1835" t="str">
        <f>_xll.BDP("716418BB Muni","ISSUE_DT")</f>
        <v>6/13/2017</v>
      </c>
      <c r="I1835" t="str">
        <f>_xll.BDS("716418BB Muni","MUNI_PURPOSE_SCHED", "aggregate=y")</f>
        <v>WATER UTILITY IMPS. SEWER IMPS.</v>
      </c>
      <c r="J1835">
        <f>_xll.BDP("716418BB Muni","CPN")</f>
        <v>3</v>
      </c>
      <c r="K1835" t="str">
        <f>_xll.BDP("716418BB Muni","MATURITY")</f>
        <v>2/1/2027</v>
      </c>
      <c r="L1835">
        <v>245000</v>
      </c>
      <c r="M1835">
        <f>_xll.BDP("716418BB Muni","YIELD_ON_ISSUE_DATE")</f>
        <v>2.21</v>
      </c>
      <c r="N1835">
        <f>_xll.BDP("716418BB Muni","YTW_SPREAD_TO_MATURITY_AT_ISSU")</f>
        <v>26.750494113869628</v>
      </c>
      <c r="O1835" t="str">
        <f>_xll.BDP("716418BB Muni","BVAL_MID_YTM")</f>
        <v>#N/A Authorization</v>
      </c>
      <c r="P1835" t="str">
        <f>_xll.BDP("716418BB Muni","MUNI_TAX_PROV")</f>
        <v>FED BQ/ST TAX-EXEMPT</v>
      </c>
      <c r="Q1835" t="str">
        <f>_xll.BDP("716418BB Muni","MUNI_FED_TAX")</f>
        <v>N</v>
      </c>
      <c r="R1835" t="str">
        <f>_xll.BDP("716418BB Muni","MUNI_MSRB_VOLUME")</f>
        <v>#N/A N/A</v>
      </c>
      <c r="S1835" t="str">
        <f>_xll.BDP("716418BB Muni","BB_COMPOSITE")</f>
        <v>#N/A N/A</v>
      </c>
      <c r="T1835">
        <f>_xll.BDP("716418BB Muni","LQA_LIQUIDITY_SCORE")</f>
        <v>63</v>
      </c>
    </row>
    <row r="1836" spans="1:20" x14ac:dyDescent="0.25">
      <c r="A1836" t="str">
        <f>_xll.BDP("713253CP Muni","ID_CUSIP")</f>
        <v>713253CP5</v>
      </c>
      <c r="B1836" t="s">
        <v>490</v>
      </c>
      <c r="C1836" t="str">
        <f>_xll.BDP("713253CP Muni","INSURANCE_STATUS")</f>
        <v>N</v>
      </c>
      <c r="D1836" t="str">
        <f>_xll.BDP("713253CP Muni","STATE_CODE")</f>
        <v>IA</v>
      </c>
      <c r="E1836" t="str">
        <f>_xll.BDP("713253CP Muni","COUNTY_LOCATION_ISSUER")</f>
        <v>Dubuque, IA</v>
      </c>
      <c r="F1836">
        <f>_xll.BDP("713253CP Muni","DUR_ADJ_MID")</f>
        <v>0.81776222925167164</v>
      </c>
      <c r="G1836">
        <f>_xll.BDP("713253CP Muni","SPREAD_AT_ISSUANCE_TO_WORST")</f>
        <v>50.047172602739721</v>
      </c>
      <c r="H1836" t="str">
        <f>_xll.BDP("713253CP Muni","ISSUE_DT")</f>
        <v>11/29/2017</v>
      </c>
      <c r="I1836" t="str">
        <f>_xll.BDS("713253CP Muni","MUNI_PURPOSE_SCHED", "aggregate=y")</f>
        <v>PUBLIC IMPS. WATER UTILITY IMPS. SEWER IMPS.</v>
      </c>
      <c r="J1836">
        <f>_xll.BDP("713253CP Muni","CPN")</f>
        <v>3</v>
      </c>
      <c r="K1836" t="str">
        <f>_xll.BDP("713253CP Muni","MATURITY")</f>
        <v>6/1/2023</v>
      </c>
      <c r="L1836">
        <v>165000</v>
      </c>
      <c r="M1836">
        <f>_xll.BDP("713253CP Muni","YIELD_ON_ISSUE_DATE")</f>
        <v>1.95</v>
      </c>
      <c r="N1836">
        <f>_xll.BDP("713253CP Muni","YTW_SPREAD_TO_MATURITY_AT_ISSU")</f>
        <v>50.047172602739721</v>
      </c>
      <c r="O1836" t="str">
        <f>_xll.BDP("713253CP Muni","BVAL_MID_YTM")</f>
        <v>#N/A Authorization</v>
      </c>
      <c r="P1836" t="str">
        <f>_xll.BDP("713253CP Muni","MUNI_TAX_PROV")</f>
        <v>FED BQ</v>
      </c>
      <c r="Q1836" t="str">
        <f>_xll.BDP("713253CP Muni","MUNI_FED_TAX")</f>
        <v>N</v>
      </c>
      <c r="R1836" t="str">
        <f>_xll.BDP("713253CP Muni","MUNI_MSRB_VOLUME")</f>
        <v>#N/A N/A</v>
      </c>
      <c r="S1836" t="str">
        <f>_xll.BDP("713253CP Muni","BB_COMPOSITE")</f>
        <v>#N/A N/A</v>
      </c>
      <c r="T1836">
        <f>_xll.BDP("713253CP Muni","LQA_LIQUIDITY_SCORE")</f>
        <v>85</v>
      </c>
    </row>
    <row r="1837" spans="1:20" x14ac:dyDescent="0.25">
      <c r="A1837" t="str">
        <f>_xll.BDP("713253CQ Muni","ID_CUSIP")</f>
        <v>713253CQ3</v>
      </c>
      <c r="B1837" t="s">
        <v>490</v>
      </c>
      <c r="C1837" t="str">
        <f>_xll.BDP("713253CQ Muni","INSURANCE_STATUS")</f>
        <v>N</v>
      </c>
      <c r="D1837" t="str">
        <f>_xll.BDP("713253CQ Muni","STATE_CODE")</f>
        <v>IA</v>
      </c>
      <c r="E1837" t="str">
        <f>_xll.BDP("713253CQ Muni","COUNTY_LOCATION_ISSUER")</f>
        <v>Dubuque, IA</v>
      </c>
      <c r="F1837">
        <f>_xll.BDP("713253CQ Muni","DUR_ADJ_MID")</f>
        <v>1.7725001306766714</v>
      </c>
      <c r="G1837">
        <f>_xll.BDP("713253CQ Muni","SPREAD_AT_ISSUANCE_TO_WORST")</f>
        <v>52.459156164383572</v>
      </c>
      <c r="H1837" t="str">
        <f>_xll.BDP("713253CQ Muni","ISSUE_DT")</f>
        <v>11/29/2017</v>
      </c>
      <c r="I1837" t="str">
        <f>_xll.BDS("713253CQ Muni","MUNI_PURPOSE_SCHED", "aggregate=y")</f>
        <v>PUBLIC IMPS. WATER UTILITY IMPS. SEWER IMPS.</v>
      </c>
      <c r="J1837">
        <f>_xll.BDP("713253CQ Muni","CPN")</f>
        <v>3</v>
      </c>
      <c r="K1837" t="str">
        <f>_xll.BDP("713253CQ Muni","MATURITY")</f>
        <v>6/1/2024</v>
      </c>
      <c r="L1837">
        <v>165000</v>
      </c>
      <c r="M1837">
        <f>_xll.BDP("713253CQ Muni","YIELD_ON_ISSUE_DATE")</f>
        <v>2.1</v>
      </c>
      <c r="N1837">
        <f>_xll.BDP("713253CQ Muni","YTW_SPREAD_TO_MATURITY_AT_ISSU")</f>
        <v>52.459156164383572</v>
      </c>
      <c r="O1837" t="str">
        <f>_xll.BDP("713253CQ Muni","BVAL_MID_YTM")</f>
        <v>#N/A Authorization</v>
      </c>
      <c r="P1837" t="str">
        <f>_xll.BDP("713253CQ Muni","MUNI_TAX_PROV")</f>
        <v>FED BQ</v>
      </c>
      <c r="Q1837" t="str">
        <f>_xll.BDP("713253CQ Muni","MUNI_FED_TAX")</f>
        <v>N</v>
      </c>
      <c r="R1837" t="str">
        <f>_xll.BDP("713253CQ Muni","MUNI_MSRB_VOLUME")</f>
        <v>#N/A N/A</v>
      </c>
      <c r="S1837" t="str">
        <f>_xll.BDP("713253CQ Muni","BB_COMPOSITE")</f>
        <v>#N/A N/A</v>
      </c>
      <c r="T1837">
        <f>_xll.BDP("713253CQ Muni","LQA_LIQUIDITY_SCORE")</f>
        <v>75</v>
      </c>
    </row>
    <row r="1838" spans="1:20" x14ac:dyDescent="0.25">
      <c r="A1838" t="str">
        <f>_xll.BDP("713253CR Muni","ID_CUSIP")</f>
        <v>713253CR1</v>
      </c>
      <c r="B1838" t="s">
        <v>490</v>
      </c>
      <c r="C1838" t="str">
        <f>_xll.BDP("713253CR Muni","INSURANCE_STATUS")</f>
        <v>N</v>
      </c>
      <c r="D1838" t="str">
        <f>_xll.BDP("713253CR Muni","STATE_CODE")</f>
        <v>IA</v>
      </c>
      <c r="E1838" t="str">
        <f>_xll.BDP("713253CR Muni","COUNTY_LOCATION_ISSUER")</f>
        <v>Dubuque, IA</v>
      </c>
      <c r="F1838">
        <f>_xll.BDP("713253CR Muni","DUR_ADJ_MID")</f>
        <v>2.7001858859347672</v>
      </c>
      <c r="G1838">
        <f>_xll.BDP("713253CR Muni","SPREAD_AT_ISSUANCE_TO_WORST")</f>
        <v>54.712832876712334</v>
      </c>
      <c r="H1838" t="str">
        <f>_xll.BDP("713253CR Muni","ISSUE_DT")</f>
        <v>11/29/2017</v>
      </c>
      <c r="I1838" t="str">
        <f>_xll.BDS("713253CR Muni","MUNI_PURPOSE_SCHED", "aggregate=y")</f>
        <v>PUBLIC IMPS. WATER UTILITY IMPS. SEWER IMPS.</v>
      </c>
      <c r="J1838">
        <f>_xll.BDP("713253CR Muni","CPN")</f>
        <v>3</v>
      </c>
      <c r="K1838" t="str">
        <f>_xll.BDP("713253CR Muni","MATURITY")</f>
        <v>6/1/2025</v>
      </c>
      <c r="L1838">
        <v>175000</v>
      </c>
      <c r="M1838">
        <f>_xll.BDP("713253CR Muni","YIELD_ON_ISSUE_DATE")</f>
        <v>2.25</v>
      </c>
      <c r="N1838">
        <f>_xll.BDP("713253CR Muni","YTW_SPREAD_TO_MATURITY_AT_ISSU")</f>
        <v>54.712832876712334</v>
      </c>
      <c r="O1838" t="str">
        <f>_xll.BDP("713253CR Muni","BVAL_MID_YTM")</f>
        <v>#N/A Authorization</v>
      </c>
      <c r="P1838" t="str">
        <f>_xll.BDP("713253CR Muni","MUNI_TAX_PROV")</f>
        <v>FED BQ</v>
      </c>
      <c r="Q1838" t="str">
        <f>_xll.BDP("713253CR Muni","MUNI_FED_TAX")</f>
        <v>N</v>
      </c>
      <c r="R1838" t="str">
        <f>_xll.BDP("713253CR Muni","MUNI_MSRB_VOLUME")</f>
        <v>#N/A N/A</v>
      </c>
      <c r="S1838" t="str">
        <f>_xll.BDP("713253CR Muni","BB_COMPOSITE")</f>
        <v>#N/A N/A</v>
      </c>
      <c r="T1838">
        <f>_xll.BDP("713253CR Muni","LQA_LIQUIDITY_SCORE")</f>
        <v>58</v>
      </c>
    </row>
    <row r="1839" spans="1:20" x14ac:dyDescent="0.25">
      <c r="A1839" t="str">
        <f>_xll.BDP("713253CS Muni","ID_CUSIP")</f>
        <v>713253CS9</v>
      </c>
      <c r="B1839" t="s">
        <v>490</v>
      </c>
      <c r="C1839" t="str">
        <f>_xll.BDP("713253CS Muni","INSURANCE_STATUS")</f>
        <v>N</v>
      </c>
      <c r="D1839" t="str">
        <f>_xll.BDP("713253CS Muni","STATE_CODE")</f>
        <v>IA</v>
      </c>
      <c r="E1839" t="str">
        <f>_xll.BDP("713253CS Muni","COUNTY_LOCATION_ISSUER")</f>
        <v>Dubuque, IA</v>
      </c>
      <c r="F1839">
        <f>_xll.BDP("713253CS Muni","DUR_ADJ_MID")</f>
        <v>3.6013825497835263</v>
      </c>
      <c r="G1839">
        <f>_xll.BDP("713253CS Muni","SPREAD_AT_ISSUANCE_TO_WORST")</f>
        <v>57.958079452054804</v>
      </c>
      <c r="H1839" t="str">
        <f>_xll.BDP("713253CS Muni","ISSUE_DT")</f>
        <v>11/29/2017</v>
      </c>
      <c r="I1839" t="str">
        <f>_xll.BDS("713253CS Muni","MUNI_PURPOSE_SCHED", "aggregate=y")</f>
        <v>PUBLIC IMPS. WATER UTILITY IMPS. SEWER IMPS.</v>
      </c>
      <c r="J1839">
        <f>_xll.BDP("713253CS Muni","CPN")</f>
        <v>3</v>
      </c>
      <c r="K1839" t="str">
        <f>_xll.BDP("713253CS Muni","MATURITY")</f>
        <v>6/1/2026</v>
      </c>
      <c r="L1839">
        <v>180000</v>
      </c>
      <c r="M1839">
        <f>_xll.BDP("713253CS Muni","YIELD_ON_ISSUE_DATE")</f>
        <v>2.4000000000000004</v>
      </c>
      <c r="N1839">
        <f>_xll.BDP("713253CS Muni","YTW_SPREAD_TO_MATURITY_AT_ISSU")</f>
        <v>57.958079452054804</v>
      </c>
      <c r="O1839" t="str">
        <f>_xll.BDP("713253CS Muni","BVAL_MID_YTM")</f>
        <v>#N/A Authorization</v>
      </c>
      <c r="P1839" t="str">
        <f>_xll.BDP("713253CS Muni","MUNI_TAX_PROV")</f>
        <v>FED BQ</v>
      </c>
      <c r="Q1839" t="str">
        <f>_xll.BDP("713253CS Muni","MUNI_FED_TAX")</f>
        <v>N</v>
      </c>
      <c r="R1839" t="str">
        <f>_xll.BDP("713253CS Muni","MUNI_MSRB_VOLUME")</f>
        <v>#N/A N/A</v>
      </c>
      <c r="S1839" t="str">
        <f>_xll.BDP("713253CS Muni","BB_COMPOSITE")</f>
        <v>#N/A N/A</v>
      </c>
      <c r="T1839">
        <f>_xll.BDP("713253CS Muni","LQA_LIQUIDITY_SCORE")</f>
        <v>46</v>
      </c>
    </row>
    <row r="1840" spans="1:20" x14ac:dyDescent="0.25">
      <c r="A1840" t="str">
        <f>_xll.BDP("56782UAR Muni","ID_CUSIP")</f>
        <v>56782UAR0</v>
      </c>
      <c r="B1840" t="s">
        <v>491</v>
      </c>
      <c r="C1840" t="str">
        <f>_xll.BDP("56782UAR Muni","INSURANCE_STATUS")</f>
        <v>N</v>
      </c>
      <c r="D1840" t="str">
        <f>_xll.BDP("56782UAR Muni","STATE_CODE")</f>
        <v>CA</v>
      </c>
      <c r="E1840" t="str">
        <f>_xll.BDP("56782UAR Muni","COUNTY_LOCATION_ISSUER")</f>
        <v>Marin, CA</v>
      </c>
      <c r="F1840">
        <f>_xll.BDP("56782UAR Muni","DUR_ADJ_MID")</f>
        <v>0.89583011986758521</v>
      </c>
      <c r="G1840">
        <f>_xll.BDP("56782UAR Muni","SPREAD_AT_ISSUANCE_TO_WORST")</f>
        <v>-4.7782556768064977</v>
      </c>
      <c r="H1840" t="str">
        <f>_xll.BDP("56782UAR Muni","ISSUE_DT")</f>
        <v>8/1/2017</v>
      </c>
      <c r="I1840" t="str">
        <f>_xll.BDS("56782UAR Muni","MUNI_PURPOSE_SCHED", "aggregate=y")</f>
        <v>WATER UTILITY IMPS.</v>
      </c>
      <c r="J1840">
        <f>_xll.BDP("56782UAR Muni","CPN")</f>
        <v>5</v>
      </c>
      <c r="K1840" t="str">
        <f>_xll.BDP("56782UAR Muni","MATURITY")</f>
        <v>7/1/2023</v>
      </c>
      <c r="L1840">
        <v>720000</v>
      </c>
      <c r="M1840">
        <f>_xll.BDP("56782UAR Muni","YIELD_ON_ISSUE_DATE")</f>
        <v>1.33</v>
      </c>
      <c r="N1840">
        <f>_xll.BDP("56782UAR Muni","YTW_SPREAD_TO_MATURITY_AT_ISSU")</f>
        <v>-4.7782556768064977</v>
      </c>
      <c r="O1840" t="str">
        <f>_xll.BDP("56782UAR Muni","BVAL_MID_YTM")</f>
        <v>#N/A Authorization</v>
      </c>
      <c r="P1840" t="str">
        <f>_xll.BDP("56782UAR Muni","MUNI_TAX_PROV")</f>
        <v>FED &amp; ST TAX-EXEMPT</v>
      </c>
      <c r="Q1840" t="str">
        <f>_xll.BDP("56782UAR Muni","MUNI_FED_TAX")</f>
        <v>N</v>
      </c>
      <c r="R1840" t="str">
        <f>_xll.BDP("56782UAR Muni","MUNI_MSRB_VOLUME")</f>
        <v>#N/A N/A</v>
      </c>
      <c r="S1840" t="str">
        <f>_xll.BDP("56782UAR Muni","BB_COMPOSITE")</f>
        <v>AA</v>
      </c>
      <c r="T1840">
        <f>_xll.BDP("56782UAR Muni","LQA_LIQUIDITY_SCORE")</f>
        <v>90</v>
      </c>
    </row>
    <row r="1841" spans="1:20" x14ac:dyDescent="0.25">
      <c r="A1841" t="str">
        <f>_xll.BDP("6457918A Muni","ID_CUSIP")</f>
        <v>6457918A5</v>
      </c>
      <c r="B1841" t="s">
        <v>167</v>
      </c>
      <c r="C1841" t="str">
        <f>_xll.BDP("6457918A Muni","INSURANCE_STATUS")</f>
        <v>N</v>
      </c>
      <c r="D1841" t="str">
        <f>_xll.BDP("6457918A Muni","STATE_CODE")</f>
        <v>NJ</v>
      </c>
      <c r="E1841" t="str">
        <f>_xll.BDP("6457918A Muni","COUNTY_LOCATION_ISSUER")</f>
        <v>Mercer, NJ</v>
      </c>
      <c r="F1841">
        <f>_xll.BDP("6457918A Muni","DUR_ADJ_MID")</f>
        <v>8.0506257307261728E-2</v>
      </c>
      <c r="G1841">
        <f>_xll.BDP("6457918A Muni","SPREAD_AT_ISSUANCE_TO_WORST")</f>
        <v>-2.5904459511033817</v>
      </c>
      <c r="H1841" t="str">
        <f>_xll.BDP("6457918A Muni","ISSUE_DT")</f>
        <v>5/25/2017</v>
      </c>
      <c r="I1841" t="str">
        <f>_xll.BDS("6457918A Muni","MUNI_PURPOSE_SCHED", "aggregate=y")</f>
        <v>GREEN PURPOSE SEWER IMPS. WATER UTILITY IMPS.</v>
      </c>
      <c r="J1841">
        <f>_xll.BDP("6457918A Muni","CPN")</f>
        <v>5</v>
      </c>
      <c r="K1841" t="str">
        <f>_xll.BDP("6457918A Muni","MATURITY")</f>
        <v>9/1/2022</v>
      </c>
      <c r="L1841">
        <v>1015000</v>
      </c>
      <c r="M1841">
        <f>_xll.BDP("6457918A Muni","YIELD_ON_ISSUE_DATE")</f>
        <v>1.41</v>
      </c>
      <c r="N1841">
        <f>_xll.BDP("6457918A Muni","YTW_SPREAD_TO_MATURITY_AT_ISSU")</f>
        <v>-2.5904459511033817</v>
      </c>
      <c r="O1841" t="str">
        <f>_xll.BDP("6457918A Muni","BVAL_MID_YTM")</f>
        <v>#N/A Authorization</v>
      </c>
      <c r="P1841" t="str">
        <f>_xll.BDP("6457918A Muni","MUNI_TAX_PROV")</f>
        <v>FED &amp; ST TAX-EXEMPT</v>
      </c>
      <c r="Q1841" t="str">
        <f>_xll.BDP("6457918A Muni","MUNI_FED_TAX")</f>
        <v>N</v>
      </c>
      <c r="R1841">
        <f>_xll.BDP("6457918A Muni","MUNI_MSRB_VOLUME")</f>
        <v>50000</v>
      </c>
      <c r="S1841" t="str">
        <f>_xll.BDP("6457918A Muni","BB_COMPOSITE")</f>
        <v>AAA</v>
      </c>
      <c r="T1841">
        <f>_xll.BDP("6457918A Muni","LQA_LIQUIDITY_SCORE")</f>
        <v>89</v>
      </c>
    </row>
    <row r="1842" spans="1:20" x14ac:dyDescent="0.25">
      <c r="A1842" t="str">
        <f>_xll.BDP("6457918C Muni","ID_CUSIP")</f>
        <v>6457918C1</v>
      </c>
      <c r="B1842" t="s">
        <v>167</v>
      </c>
      <c r="C1842" t="str">
        <f>_xll.BDP("6457918C Muni","INSURANCE_STATUS")</f>
        <v>N</v>
      </c>
      <c r="D1842" t="str">
        <f>_xll.BDP("6457918C Muni","STATE_CODE")</f>
        <v>NJ</v>
      </c>
      <c r="E1842" t="str">
        <f>_xll.BDP("6457918C Muni","COUNTY_LOCATION_ISSUER")</f>
        <v>Mercer, NJ</v>
      </c>
      <c r="F1842">
        <f>_xll.BDP("6457918C Muni","DUR_ADJ_MID")</f>
        <v>1.9515149866635912</v>
      </c>
      <c r="G1842">
        <f>_xll.BDP("6457918C Muni","SPREAD_AT_ISSUANCE_TO_WORST")</f>
        <v>-4.1794732628771758</v>
      </c>
      <c r="H1842" t="str">
        <f>_xll.BDP("6457918C Muni","ISSUE_DT")</f>
        <v>5/25/2017</v>
      </c>
      <c r="I1842" t="str">
        <f>_xll.BDS("6457918C Muni","MUNI_PURPOSE_SCHED", "aggregate=y")</f>
        <v>GREEN PURPOSE SEWER IMPS. WATER UTILITY IMPS.</v>
      </c>
      <c r="J1842">
        <f>_xll.BDP("6457918C Muni","CPN")</f>
        <v>5</v>
      </c>
      <c r="K1842" t="str">
        <f>_xll.BDP("6457918C Muni","MATURITY")</f>
        <v>9/1/2024</v>
      </c>
      <c r="L1842">
        <v>1125000</v>
      </c>
      <c r="M1842">
        <f>_xll.BDP("6457918C Muni","YIELD_ON_ISSUE_DATE")</f>
        <v>1.72</v>
      </c>
      <c r="N1842">
        <f>_xll.BDP("6457918C Muni","YTW_SPREAD_TO_MATURITY_AT_ISSU")</f>
        <v>-4.1794732628771758</v>
      </c>
      <c r="O1842" t="str">
        <f>_xll.BDP("6457918C Muni","BVAL_MID_YTM")</f>
        <v>#N/A Authorization</v>
      </c>
      <c r="P1842" t="str">
        <f>_xll.BDP("6457918C Muni","MUNI_TAX_PROV")</f>
        <v>FED &amp; ST TAX-EXEMPT</v>
      </c>
      <c r="Q1842" t="str">
        <f>_xll.BDP("6457918C Muni","MUNI_FED_TAX")</f>
        <v>N</v>
      </c>
      <c r="R1842">
        <f>_xll.BDP("6457918C Muni","MUNI_MSRB_VOLUME")</f>
        <v>30000</v>
      </c>
      <c r="S1842" t="str">
        <f>_xll.BDP("6457918C Muni","BB_COMPOSITE")</f>
        <v>AAA</v>
      </c>
      <c r="T1842">
        <f>_xll.BDP("6457918C Muni","LQA_LIQUIDITY_SCORE")</f>
        <v>88</v>
      </c>
    </row>
    <row r="1843" spans="1:20" x14ac:dyDescent="0.25">
      <c r="A1843" t="str">
        <f>_xll.BDP("64579SAY Muni","ID_CUSIP")</f>
        <v>64579SAY1</v>
      </c>
      <c r="B1843" t="s">
        <v>167</v>
      </c>
      <c r="C1843" t="str">
        <f>_xll.BDP("64579SAY Muni","INSURANCE_STATUS")</f>
        <v>N</v>
      </c>
      <c r="D1843" t="str">
        <f>_xll.BDP("64579SAY Muni","STATE_CODE")</f>
        <v>NJ</v>
      </c>
      <c r="E1843" t="str">
        <f>_xll.BDP("64579SAY Muni","COUNTY_LOCATION_ISSUER")</f>
        <v>Mercer, NJ</v>
      </c>
      <c r="F1843">
        <f>_xll.BDP("64579SAY Muni","DUR_ADJ_MID")</f>
        <v>1.0381825826393962</v>
      </c>
      <c r="G1843">
        <f>_xll.BDP("64579SAY Muni","SPREAD_AT_ISSUANCE_TO_WORST")</f>
        <v>-3.911249315068499</v>
      </c>
      <c r="H1843" t="str">
        <f>_xll.BDP("64579SAY Muni","ISSUE_DT")</f>
        <v>11/21/2017</v>
      </c>
      <c r="I1843" t="str">
        <f>_xll.BDS("64579SAY Muni","MUNI_PURPOSE_SCHED", "aggregate=y")</f>
        <v>WATER UTILITY IMPS. SEWER IMPS. GREEN PURPOSE</v>
      </c>
      <c r="J1843">
        <f>_xll.BDP("64579SAY Muni","CPN")</f>
        <v>5</v>
      </c>
      <c r="K1843" t="str">
        <f>_xll.BDP("64579SAY Muni","MATURITY")</f>
        <v>9/1/2023</v>
      </c>
      <c r="L1843">
        <v>790000</v>
      </c>
      <c r="M1843">
        <f>_xll.BDP("64579SAY Muni","YIELD_ON_ISSUE_DATE")</f>
        <v>1.49</v>
      </c>
      <c r="N1843">
        <f>_xll.BDP("64579SAY Muni","YTW_SPREAD_TO_MATURITY_AT_ISSU")</f>
        <v>-3.911249315068499</v>
      </c>
      <c r="O1843" t="str">
        <f>_xll.BDP("64579SAY Muni","BVAL_MID_YTM")</f>
        <v>#N/A Authorization</v>
      </c>
      <c r="P1843" t="str">
        <f>_xll.BDP("64579SAY Muni","MUNI_TAX_PROV")</f>
        <v>FED &amp; ST TAX-EXEMPT</v>
      </c>
      <c r="Q1843" t="str">
        <f>_xll.BDP("64579SAY Muni","MUNI_FED_TAX")</f>
        <v>N</v>
      </c>
      <c r="R1843" t="str">
        <f>_xll.BDP("64579SAY Muni","MUNI_MSRB_VOLUME")</f>
        <v>#N/A N/A</v>
      </c>
      <c r="S1843" t="str">
        <f>_xll.BDP("64579SAY Muni","BB_COMPOSITE")</f>
        <v>AAA</v>
      </c>
      <c r="T1843">
        <f>_xll.BDP("64579SAY Muni","LQA_LIQUIDITY_SCORE")</f>
        <v>91</v>
      </c>
    </row>
    <row r="1844" spans="1:20" x14ac:dyDescent="0.25">
      <c r="A1844" t="str">
        <f>_xll.BDP("64579SBB Muni","ID_CUSIP")</f>
        <v>64579SBB0</v>
      </c>
      <c r="B1844" t="s">
        <v>167</v>
      </c>
      <c r="C1844" t="str">
        <f>_xll.BDP("64579SBB Muni","INSURANCE_STATUS")</f>
        <v>N</v>
      </c>
      <c r="D1844" t="str">
        <f>_xll.BDP("64579SBB Muni","STATE_CODE")</f>
        <v>NJ</v>
      </c>
      <c r="E1844" t="str">
        <f>_xll.BDP("64579SBB Muni","COUNTY_LOCATION_ISSUER")</f>
        <v>Mercer, NJ</v>
      </c>
      <c r="F1844">
        <f>_xll.BDP("64579SBB Muni","DUR_ADJ_MID")</f>
        <v>3.6631030765378356</v>
      </c>
      <c r="G1844">
        <f>_xll.BDP("64579SBB Muni","SPREAD_AT_ISSUANCE_TO_WORST")</f>
        <v>-5.0219863013698518</v>
      </c>
      <c r="H1844" t="str">
        <f>_xll.BDP("64579SBB Muni","ISSUE_DT")</f>
        <v>11/21/2017</v>
      </c>
      <c r="I1844" t="str">
        <f>_xll.BDS("64579SBB Muni","MUNI_PURPOSE_SCHED", "aggregate=y")</f>
        <v>WATER UTILITY IMPS. SEWER IMPS. GREEN PURPOSE</v>
      </c>
      <c r="J1844">
        <f>_xll.BDP("64579SBB Muni","CPN")</f>
        <v>5</v>
      </c>
      <c r="K1844" t="str">
        <f>_xll.BDP("64579SBB Muni","MATURITY")</f>
        <v>9/1/2026</v>
      </c>
      <c r="L1844">
        <v>910000</v>
      </c>
      <c r="M1844">
        <f>_xll.BDP("64579SBB Muni","YIELD_ON_ISSUE_DATE")</f>
        <v>1.8</v>
      </c>
      <c r="N1844">
        <f>_xll.BDP("64579SBB Muni","YTW_SPREAD_TO_MATURITY_AT_ISSU")</f>
        <v>-5.0219863013698518</v>
      </c>
      <c r="O1844" t="str">
        <f>_xll.BDP("64579SBB Muni","BVAL_MID_YTM")</f>
        <v>#N/A Authorization</v>
      </c>
      <c r="P1844" t="str">
        <f>_xll.BDP("64579SBB Muni","MUNI_TAX_PROV")</f>
        <v>FED &amp; ST TAX-EXEMPT</v>
      </c>
      <c r="Q1844" t="str">
        <f>_xll.BDP("64579SBB Muni","MUNI_FED_TAX")</f>
        <v>N</v>
      </c>
      <c r="R1844" t="str">
        <f>_xll.BDP("64579SBB Muni","MUNI_MSRB_VOLUME")</f>
        <v>#N/A N/A</v>
      </c>
      <c r="S1844" t="str">
        <f>_xll.BDP("64579SBB Muni","BB_COMPOSITE")</f>
        <v>AAA</v>
      </c>
      <c r="T1844">
        <f>_xll.BDP("64579SBB Muni","LQA_LIQUIDITY_SCORE")</f>
        <v>66</v>
      </c>
    </row>
    <row r="1845" spans="1:20" x14ac:dyDescent="0.25">
      <c r="A1845" t="str">
        <f>_xll.BDP("64579SCE Muni","ID_CUSIP")</f>
        <v>64579SCE3</v>
      </c>
      <c r="B1845" t="s">
        <v>167</v>
      </c>
      <c r="C1845" t="str">
        <f>_xll.BDP("64579SCE Muni","INSURANCE_STATUS")</f>
        <v>N</v>
      </c>
      <c r="D1845" t="str">
        <f>_xll.BDP("64579SCE Muni","STATE_CODE")</f>
        <v>NJ</v>
      </c>
      <c r="E1845" t="str">
        <f>_xll.BDP("64579SCE Muni","COUNTY_LOCATION_ISSUER")</f>
        <v>Mercer, NJ</v>
      </c>
      <c r="F1845">
        <f>_xll.BDP("64579SCE Muni","DUR_ADJ_MID")</f>
        <v>1.9489386658328574</v>
      </c>
      <c r="G1845">
        <f>_xll.BDP("64579SCE Muni","SPREAD_AT_ISSUANCE_TO_WORST")</f>
        <v>15.998054794520545</v>
      </c>
      <c r="H1845" t="str">
        <f>_xll.BDP("64579SCE Muni","ISSUE_DT")</f>
        <v>11/21/2017</v>
      </c>
      <c r="I1845" t="str">
        <f>_xll.BDS("64579SCE Muni","MUNI_PURPOSE_SCHED", "aggregate=y")</f>
        <v>WATER UTILITY IMPS. SEWER IMPS. GREEN PURPOSE</v>
      </c>
      <c r="J1845">
        <f>_xll.BDP("64579SCE Muni","CPN")</f>
        <v>5</v>
      </c>
      <c r="K1845" t="str">
        <f>_xll.BDP("64579SCE Muni","MATURITY")</f>
        <v>9/1/2024</v>
      </c>
      <c r="L1845">
        <v>95000</v>
      </c>
      <c r="M1845">
        <f>_xll.BDP("64579SCE Muni","YIELD_ON_ISSUE_DATE")</f>
        <v>1.8</v>
      </c>
      <c r="N1845">
        <f>_xll.BDP("64579SCE Muni","YTW_SPREAD_TO_MATURITY_AT_ISSU")</f>
        <v>15.998054794520545</v>
      </c>
      <c r="O1845" t="str">
        <f>_xll.BDP("64579SCE Muni","BVAL_MID_YTM")</f>
        <v>#N/A Authorization</v>
      </c>
      <c r="P1845" t="str">
        <f>_xll.BDP("64579SCE Muni","MUNI_TAX_PROV")</f>
        <v>AMT/ST TAX-EXEMPT</v>
      </c>
      <c r="Q1845" t="str">
        <f>_xll.BDP("64579SCE Muni","MUNI_FED_TAX")</f>
        <v>N</v>
      </c>
      <c r="R1845" t="str">
        <f>_xll.BDP("64579SCE Muni","MUNI_MSRB_VOLUME")</f>
        <v>#N/A N/A</v>
      </c>
      <c r="S1845" t="str">
        <f>_xll.BDP("64579SCE Muni","BB_COMPOSITE")</f>
        <v>AAA</v>
      </c>
      <c r="T1845">
        <f>_xll.BDP("64579SCE Muni","LQA_LIQUIDITY_SCORE")</f>
        <v>76</v>
      </c>
    </row>
    <row r="1846" spans="1:20" x14ac:dyDescent="0.25">
      <c r="A1846" t="str">
        <f>_xll.BDP("56782UAS Muni","ID_CUSIP")</f>
        <v>56782UAS8</v>
      </c>
      <c r="B1846" t="s">
        <v>491</v>
      </c>
      <c r="C1846" t="str">
        <f>_xll.BDP("56782UAS Muni","INSURANCE_STATUS")</f>
        <v>N</v>
      </c>
      <c r="D1846" t="str">
        <f>_xll.BDP("56782UAS Muni","STATE_CODE")</f>
        <v>CA</v>
      </c>
      <c r="E1846" t="str">
        <f>_xll.BDP("56782UAS Muni","COUNTY_LOCATION_ISSUER")</f>
        <v>Marin, CA</v>
      </c>
      <c r="F1846">
        <f>_xll.BDP("56782UAS Muni","DUR_ADJ_MID")</f>
        <v>1.8293644775366744</v>
      </c>
      <c r="G1846">
        <f>_xll.BDP("56782UAS Muni","SPREAD_AT_ISSUANCE_TO_WORST")</f>
        <v>-7.7007914804063438</v>
      </c>
      <c r="H1846" t="str">
        <f>_xll.BDP("56782UAS Muni","ISSUE_DT")</f>
        <v>8/1/2017</v>
      </c>
      <c r="I1846" t="str">
        <f>_xll.BDS("56782UAS Muni","MUNI_PURPOSE_SCHED", "aggregate=y")</f>
        <v>WATER UTILITY IMPS.</v>
      </c>
      <c r="J1846">
        <f>_xll.BDP("56782UAS Muni","CPN")</f>
        <v>5</v>
      </c>
      <c r="K1846" t="str">
        <f>_xll.BDP("56782UAS Muni","MATURITY")</f>
        <v>7/1/2024</v>
      </c>
      <c r="L1846">
        <v>755000</v>
      </c>
      <c r="M1846">
        <f>_xll.BDP("56782UAS Muni","YIELD_ON_ISSUE_DATE")</f>
        <v>1.45</v>
      </c>
      <c r="N1846">
        <f>_xll.BDP("56782UAS Muni","YTW_SPREAD_TO_MATURITY_AT_ISSU")</f>
        <v>-7.7007914804063438</v>
      </c>
      <c r="O1846" t="str">
        <f>_xll.BDP("56782UAS Muni","BVAL_MID_YTM")</f>
        <v>#N/A Authorization</v>
      </c>
      <c r="P1846" t="str">
        <f>_xll.BDP("56782UAS Muni","MUNI_TAX_PROV")</f>
        <v>FED &amp; ST TAX-EXEMPT</v>
      </c>
      <c r="Q1846" t="str">
        <f>_xll.BDP("56782UAS Muni","MUNI_FED_TAX")</f>
        <v>N</v>
      </c>
      <c r="R1846">
        <f>_xll.BDP("56782UAS Muni","MUNI_MSRB_VOLUME")</f>
        <v>45000</v>
      </c>
      <c r="S1846" t="str">
        <f>_xll.BDP("56782UAS Muni","BB_COMPOSITE")</f>
        <v>AA</v>
      </c>
      <c r="T1846">
        <f>_xll.BDP("56782UAS Muni","LQA_LIQUIDITY_SCORE")</f>
        <v>83</v>
      </c>
    </row>
    <row r="1847" spans="1:20" x14ac:dyDescent="0.25">
      <c r="A1847" t="str">
        <f>_xll.BDP("56782UAT Muni","ID_CUSIP")</f>
        <v>56782UAT6</v>
      </c>
      <c r="B1847" t="s">
        <v>491</v>
      </c>
      <c r="C1847" t="str">
        <f>_xll.BDP("56782UAT Muni","INSURANCE_STATUS")</f>
        <v>N</v>
      </c>
      <c r="D1847" t="str">
        <f>_xll.BDP("56782UAT Muni","STATE_CODE")</f>
        <v>CA</v>
      </c>
      <c r="E1847" t="str">
        <f>_xll.BDP("56782UAT Muni","COUNTY_LOCATION_ISSUER")</f>
        <v>Marin, CA</v>
      </c>
      <c r="F1847">
        <f>_xll.BDP("56782UAT Muni","DUR_ADJ_MID")</f>
        <v>2.7221230685072588</v>
      </c>
      <c r="G1847">
        <f>_xll.BDP("56782UAT Muni","SPREAD_AT_ISSUANCE_TO_WORST")</f>
        <v>-8.7771220023786114</v>
      </c>
      <c r="H1847" t="str">
        <f>_xll.BDP("56782UAT Muni","ISSUE_DT")</f>
        <v>8/1/2017</v>
      </c>
      <c r="I1847" t="str">
        <f>_xll.BDS("56782UAT Muni","MUNI_PURPOSE_SCHED", "aggregate=y")</f>
        <v>WATER UTILITY IMPS.</v>
      </c>
      <c r="J1847">
        <f>_xll.BDP("56782UAT Muni","CPN")</f>
        <v>5</v>
      </c>
      <c r="K1847" t="str">
        <f>_xll.BDP("56782UAT Muni","MATURITY")</f>
        <v>7/1/2025</v>
      </c>
      <c r="L1847">
        <v>790000</v>
      </c>
      <c r="M1847">
        <f>_xll.BDP("56782UAT Muni","YIELD_ON_ISSUE_DATE")</f>
        <v>1.59</v>
      </c>
      <c r="N1847">
        <f>_xll.BDP("56782UAT Muni","YTW_SPREAD_TO_MATURITY_AT_ISSU")</f>
        <v>-8.7771220023786114</v>
      </c>
      <c r="O1847" t="str">
        <f>_xll.BDP("56782UAT Muni","BVAL_MID_YTM")</f>
        <v>#N/A Authorization</v>
      </c>
      <c r="P1847" t="str">
        <f>_xll.BDP("56782UAT Muni","MUNI_TAX_PROV")</f>
        <v>FED &amp; ST TAX-EXEMPT</v>
      </c>
      <c r="Q1847" t="str">
        <f>_xll.BDP("56782UAT Muni","MUNI_FED_TAX")</f>
        <v>N</v>
      </c>
      <c r="R1847">
        <f>_xll.BDP("56782UAT Muni","MUNI_MSRB_VOLUME")</f>
        <v>10000</v>
      </c>
      <c r="S1847" t="str">
        <f>_xll.BDP("56782UAT Muni","BB_COMPOSITE")</f>
        <v>AA</v>
      </c>
      <c r="T1847">
        <f>_xll.BDP("56782UAT Muni","LQA_LIQUIDITY_SCORE")</f>
        <v>76</v>
      </c>
    </row>
    <row r="1848" spans="1:20" x14ac:dyDescent="0.25">
      <c r="A1848" t="str">
        <f>_xll.BDP("56782UAU Muni","ID_CUSIP")</f>
        <v>56782UAU3</v>
      </c>
      <c r="B1848" t="s">
        <v>491</v>
      </c>
      <c r="C1848" t="str">
        <f>_xll.BDP("56782UAU Muni","INSURANCE_STATUS")</f>
        <v>N</v>
      </c>
      <c r="D1848" t="str">
        <f>_xll.BDP("56782UAU Muni","STATE_CODE")</f>
        <v>CA</v>
      </c>
      <c r="E1848" t="str">
        <f>_xll.BDP("56782UAU Muni","COUNTY_LOCATION_ISSUER")</f>
        <v>Marin, CA</v>
      </c>
      <c r="F1848">
        <f>_xll.BDP("56782UAU Muni","DUR_ADJ_MID")</f>
        <v>3.5774876035409244</v>
      </c>
      <c r="G1848">
        <f>_xll.BDP("56782UAU Muni","SPREAD_AT_ISSUANCE_TO_WORST")</f>
        <v>-4.5747338899412293</v>
      </c>
      <c r="H1848" t="str">
        <f>_xll.BDP("56782UAU Muni","ISSUE_DT")</f>
        <v>8/1/2017</v>
      </c>
      <c r="I1848" t="str">
        <f>_xll.BDS("56782UAU Muni","MUNI_PURPOSE_SCHED", "aggregate=y")</f>
        <v>WATER UTILITY IMPS.</v>
      </c>
      <c r="J1848">
        <f>_xll.BDP("56782UAU Muni","CPN")</f>
        <v>5</v>
      </c>
      <c r="K1848" t="str">
        <f>_xll.BDP("56782UAU Muni","MATURITY")</f>
        <v>7/1/2026</v>
      </c>
      <c r="L1848">
        <v>830000</v>
      </c>
      <c r="M1848">
        <f>_xll.BDP("56782UAU Muni","YIELD_ON_ISSUE_DATE")</f>
        <v>1.77</v>
      </c>
      <c r="N1848">
        <f>_xll.BDP("56782UAU Muni","YTW_SPREAD_TO_MATURITY_AT_ISSU")</f>
        <v>-4.5747338899412293</v>
      </c>
      <c r="O1848" t="str">
        <f>_xll.BDP("56782UAU Muni","BVAL_MID_YTM")</f>
        <v>#N/A Authorization</v>
      </c>
      <c r="P1848" t="str">
        <f>_xll.BDP("56782UAU Muni","MUNI_TAX_PROV")</f>
        <v>FED &amp; ST TAX-EXEMPT</v>
      </c>
      <c r="Q1848" t="str">
        <f>_xll.BDP("56782UAU Muni","MUNI_FED_TAX")</f>
        <v>N</v>
      </c>
      <c r="R1848">
        <f>_xll.BDP("56782UAU Muni","MUNI_MSRB_VOLUME")</f>
        <v>180000</v>
      </c>
      <c r="S1848" t="str">
        <f>_xll.BDP("56782UAU Muni","BB_COMPOSITE")</f>
        <v>AA</v>
      </c>
      <c r="T1848">
        <f>_xll.BDP("56782UAU Muni","LQA_LIQUIDITY_SCORE")</f>
        <v>72</v>
      </c>
    </row>
    <row r="1849" spans="1:20" x14ac:dyDescent="0.25">
      <c r="A1849" t="str">
        <f>_xll.BDP("6457918E Muni","ID_CUSIP")</f>
        <v>6457918E7</v>
      </c>
      <c r="B1849" t="s">
        <v>167</v>
      </c>
      <c r="C1849" t="str">
        <f>_xll.BDP("6457918E Muni","INSURANCE_STATUS")</f>
        <v>N</v>
      </c>
      <c r="D1849" t="str">
        <f>_xll.BDP("6457918E Muni","STATE_CODE")</f>
        <v>NJ</v>
      </c>
      <c r="E1849" t="str">
        <f>_xll.BDP("6457918E Muni","COUNTY_LOCATION_ISSUER")</f>
        <v>Mercer, NJ</v>
      </c>
      <c r="F1849">
        <f>_xll.BDP("6457918E Muni","DUR_ADJ_MID")</f>
        <v>3.7981015238401468</v>
      </c>
      <c r="G1849">
        <f>_xll.BDP("6457918E Muni","SPREAD_AT_ISSUANCE_TO_WORST")</f>
        <v>9.2068865533548649</v>
      </c>
      <c r="H1849" t="str">
        <f>_xll.BDP("6457918E Muni","ISSUE_DT")</f>
        <v>5/25/2017</v>
      </c>
      <c r="I1849" t="str">
        <f>_xll.BDS("6457918E Muni","MUNI_PURPOSE_SCHED", "aggregate=y")</f>
        <v>GREEN PURPOSE SEWER IMPS. WATER UTILITY IMPS.</v>
      </c>
      <c r="J1849">
        <f>_xll.BDP("6457918E Muni","CPN")</f>
        <v>3</v>
      </c>
      <c r="K1849" t="str">
        <f>_xll.BDP("6457918E Muni","MATURITY")</f>
        <v>9/1/2026</v>
      </c>
      <c r="L1849">
        <v>1225000</v>
      </c>
      <c r="M1849">
        <f>_xll.BDP("6457918E Muni","YIELD_ON_ISSUE_DATE")</f>
        <v>2.15</v>
      </c>
      <c r="N1849">
        <f>_xll.BDP("6457918E Muni","YTW_SPREAD_TO_MATURITY_AT_ISSU")</f>
        <v>9.2068865533548649</v>
      </c>
      <c r="O1849" t="str">
        <f>_xll.BDP("6457918E Muni","BVAL_MID_YTM")</f>
        <v>#N/A Authorization</v>
      </c>
      <c r="P1849" t="str">
        <f>_xll.BDP("6457918E Muni","MUNI_TAX_PROV")</f>
        <v>FED &amp; ST TAX-EXEMPT</v>
      </c>
      <c r="Q1849" t="str">
        <f>_xll.BDP("6457918E Muni","MUNI_FED_TAX")</f>
        <v>N</v>
      </c>
      <c r="R1849">
        <f>_xll.BDP("6457918E Muni","MUNI_MSRB_VOLUME")</f>
        <v>30000</v>
      </c>
      <c r="S1849" t="str">
        <f>_xll.BDP("6457918E Muni","BB_COMPOSITE")</f>
        <v>AAA</v>
      </c>
      <c r="T1849">
        <f>_xll.BDP("6457918E Muni","LQA_LIQUIDITY_SCORE")</f>
        <v>64</v>
      </c>
    </row>
    <row r="1850" spans="1:20" x14ac:dyDescent="0.25">
      <c r="A1850" t="str">
        <f>_xll.BDP("64579SAX Muni","ID_CUSIP")</f>
        <v>64579SAX3</v>
      </c>
      <c r="B1850" t="s">
        <v>167</v>
      </c>
      <c r="C1850" t="str">
        <f>_xll.BDP("64579SAX Muni","INSURANCE_STATUS")</f>
        <v>N</v>
      </c>
      <c r="D1850" t="str">
        <f>_xll.BDP("64579SAX Muni","STATE_CODE")</f>
        <v>NJ</v>
      </c>
      <c r="E1850" t="str">
        <f>_xll.BDP("64579SAX Muni","COUNTY_LOCATION_ISSUER")</f>
        <v>Mercer, NJ</v>
      </c>
      <c r="F1850">
        <f>_xll.BDP("64579SAX Muni","DUR_ADJ_MID")</f>
        <v>8.0505628580747765E-2</v>
      </c>
      <c r="G1850">
        <f>_xll.BDP("64579SAX Muni","SPREAD_AT_ISSUANCE_TO_WORST")</f>
        <v>-3.9694301369863183</v>
      </c>
      <c r="H1850" t="str">
        <f>_xll.BDP("64579SAX Muni","ISSUE_DT")</f>
        <v>11/21/2017</v>
      </c>
      <c r="I1850" t="str">
        <f>_xll.BDS("64579SAX Muni","MUNI_PURPOSE_SCHED", "aggregate=y")</f>
        <v>WATER UTILITY IMPS. SEWER IMPS. GREEN PURPOSE</v>
      </c>
      <c r="J1850">
        <f>_xll.BDP("64579SAX Muni","CPN")</f>
        <v>5</v>
      </c>
      <c r="K1850" t="str">
        <f>_xll.BDP("64579SAX Muni","MATURITY")</f>
        <v>9/1/2022</v>
      </c>
      <c r="L1850">
        <v>735000</v>
      </c>
      <c r="M1850">
        <f>_xll.BDP("64579SAX Muni","YIELD_ON_ISSUE_DATE")</f>
        <v>1.3800000000000001</v>
      </c>
      <c r="N1850">
        <f>_xll.BDP("64579SAX Muni","YTW_SPREAD_TO_MATURITY_AT_ISSU")</f>
        <v>-3.9694301369863183</v>
      </c>
      <c r="O1850" t="str">
        <f>_xll.BDP("64579SAX Muni","BVAL_MID_YTM")</f>
        <v>#N/A Authorization</v>
      </c>
      <c r="P1850" t="str">
        <f>_xll.BDP("64579SAX Muni","MUNI_TAX_PROV")</f>
        <v>FED &amp; ST TAX-EXEMPT</v>
      </c>
      <c r="Q1850" t="str">
        <f>_xll.BDP("64579SAX Muni","MUNI_FED_TAX")</f>
        <v>N</v>
      </c>
      <c r="R1850" t="str">
        <f>_xll.BDP("64579SAX Muni","MUNI_MSRB_VOLUME")</f>
        <v>#N/A N/A</v>
      </c>
      <c r="S1850" t="str">
        <f>_xll.BDP("64579SAX Muni","BB_COMPOSITE")</f>
        <v>AAA</v>
      </c>
      <c r="T1850">
        <f>_xll.BDP("64579SAX Muni","LQA_LIQUIDITY_SCORE")</f>
        <v>97</v>
      </c>
    </row>
    <row r="1851" spans="1:20" x14ac:dyDescent="0.25">
      <c r="A1851" t="str">
        <f>_xll.BDP("64579SBA Muni","ID_CUSIP")</f>
        <v>64579SBA2</v>
      </c>
      <c r="B1851" t="s">
        <v>167</v>
      </c>
      <c r="C1851" t="str">
        <f>_xll.BDP("64579SBA Muni","INSURANCE_STATUS")</f>
        <v>N</v>
      </c>
      <c r="D1851" t="str">
        <f>_xll.BDP("64579SBA Muni","STATE_CODE")</f>
        <v>NJ</v>
      </c>
      <c r="E1851" t="str">
        <f>_xll.BDP("64579SBA Muni","COUNTY_LOCATION_ISSUER")</f>
        <v>Mercer, NJ</v>
      </c>
      <c r="F1851">
        <f>_xll.BDP("64579SBA Muni","DUR_ADJ_MID")</f>
        <v>2.8251773719296271</v>
      </c>
      <c r="G1851">
        <f>_xll.BDP("64579SBA Muni","SPREAD_AT_ISSUANCE_TO_WORST")</f>
        <v>-5.1903013698630041</v>
      </c>
      <c r="H1851" t="str">
        <f>_xll.BDP("64579SBA Muni","ISSUE_DT")</f>
        <v>11/21/2017</v>
      </c>
      <c r="I1851" t="str">
        <f>_xll.BDS("64579SBA Muni","MUNI_PURPOSE_SCHED", "aggregate=y")</f>
        <v>WATER UTILITY IMPS. SEWER IMPS. GREEN PURPOSE</v>
      </c>
      <c r="J1851">
        <f>_xll.BDP("64579SBA Muni","CPN")</f>
        <v>5</v>
      </c>
      <c r="K1851" t="str">
        <f>_xll.BDP("64579SBA Muni","MATURITY")</f>
        <v>9/1/2025</v>
      </c>
      <c r="L1851">
        <v>855000</v>
      </c>
      <c r="M1851">
        <f>_xll.BDP("64579SBA Muni","YIELD_ON_ISSUE_DATE")</f>
        <v>1.7000000000000002</v>
      </c>
      <c r="N1851">
        <f>_xll.BDP("64579SBA Muni","YTW_SPREAD_TO_MATURITY_AT_ISSU")</f>
        <v>-5.1903013698630041</v>
      </c>
      <c r="O1851" t="str">
        <f>_xll.BDP("64579SBA Muni","BVAL_MID_YTM")</f>
        <v>#N/A Authorization</v>
      </c>
      <c r="P1851" t="str">
        <f>_xll.BDP("64579SBA Muni","MUNI_TAX_PROV")</f>
        <v>FED &amp; ST TAX-EXEMPT</v>
      </c>
      <c r="Q1851" t="str">
        <f>_xll.BDP("64579SBA Muni","MUNI_FED_TAX")</f>
        <v>N</v>
      </c>
      <c r="R1851">
        <f>_xll.BDP("64579SBA Muni","MUNI_MSRB_VOLUME")</f>
        <v>250000</v>
      </c>
      <c r="S1851" t="str">
        <f>_xll.BDP("64579SBA Muni","BB_COMPOSITE")</f>
        <v>AAA</v>
      </c>
      <c r="T1851">
        <f>_xll.BDP("64579SBA Muni","LQA_LIQUIDITY_SCORE")</f>
        <v>72</v>
      </c>
    </row>
    <row r="1852" spans="1:20" x14ac:dyDescent="0.25">
      <c r="A1852" t="str">
        <f>_xll.BDP("64579SBC Muni","ID_CUSIP")</f>
        <v>64579SBC8</v>
      </c>
      <c r="B1852" t="s">
        <v>167</v>
      </c>
      <c r="C1852" t="str">
        <f>_xll.BDP("64579SBC Muni","INSURANCE_STATUS")</f>
        <v>N</v>
      </c>
      <c r="D1852" t="str">
        <f>_xll.BDP("64579SBC Muni","STATE_CODE")</f>
        <v>NJ</v>
      </c>
      <c r="E1852" t="str">
        <f>_xll.BDP("64579SBC Muni","COUNTY_LOCATION_ISSUER")</f>
        <v>Mercer, NJ</v>
      </c>
      <c r="F1852">
        <f>_xll.BDP("64579SBC Muni","DUR_ADJ_MID")</f>
        <v>4.7571492060903564</v>
      </c>
      <c r="G1852" t="str">
        <f>_xll.BDP("64579SBC Muni","SPREAD_AT_ISSUANCE_TO_WORST")</f>
        <v>#N/A N/A</v>
      </c>
      <c r="H1852" t="str">
        <f>_xll.BDP("64579SBC Muni","ISSUE_DT")</f>
        <v>11/21/2017</v>
      </c>
      <c r="I1852" t="str">
        <f>_xll.BDS("64579SBC Muni","MUNI_PURPOSE_SCHED", "aggregate=y")</f>
        <v>WATER UTILITY IMPS. SEWER IMPS. GREEN PURPOSE</v>
      </c>
      <c r="J1852">
        <f>_xll.BDP("64579SBC Muni","CPN")</f>
        <v>2.125</v>
      </c>
      <c r="K1852" t="str">
        <f>_xll.BDP("64579SBC Muni","MATURITY")</f>
        <v>9/1/2027</v>
      </c>
      <c r="L1852">
        <v>940000</v>
      </c>
      <c r="M1852">
        <f>_xll.BDP("64579SBC Muni","YIELD_ON_ISSUE_DATE")</f>
        <v>2.2389999999999999</v>
      </c>
      <c r="N1852" t="str">
        <f>_xll.BDP("64579SBC Muni","YTW_SPREAD_TO_MATURITY_AT_ISSU")</f>
        <v>#N/A N/A</v>
      </c>
      <c r="O1852" t="str">
        <f>_xll.BDP("64579SBC Muni","BVAL_MID_YTM")</f>
        <v>#N/A Authorization</v>
      </c>
      <c r="P1852" t="str">
        <f>_xll.BDP("64579SBC Muni","MUNI_TAX_PROV")</f>
        <v>FED &amp; ST TAX-EXEMPT</v>
      </c>
      <c r="Q1852" t="str">
        <f>_xll.BDP("64579SBC Muni","MUNI_FED_TAX")</f>
        <v>N</v>
      </c>
      <c r="R1852" t="str">
        <f>_xll.BDP("64579SBC Muni","MUNI_MSRB_VOLUME")</f>
        <v>#N/A N/A</v>
      </c>
      <c r="S1852" t="str">
        <f>_xll.BDP("64579SBC Muni","BB_COMPOSITE")</f>
        <v>AAA</v>
      </c>
      <c r="T1852">
        <f>_xll.BDP("64579SBC Muni","LQA_LIQUIDITY_SCORE")</f>
        <v>37</v>
      </c>
    </row>
    <row r="1853" spans="1:20" x14ac:dyDescent="0.25">
      <c r="A1853" t="str">
        <f>_xll.BDP("64579SCC Muni","ID_CUSIP")</f>
        <v>64579SCC7</v>
      </c>
      <c r="B1853" t="s">
        <v>167</v>
      </c>
      <c r="C1853" t="str">
        <f>_xll.BDP("64579SCC Muni","INSURANCE_STATUS")</f>
        <v>N</v>
      </c>
      <c r="D1853" t="str">
        <f>_xll.BDP("64579SCC Muni","STATE_CODE")</f>
        <v>NJ</v>
      </c>
      <c r="E1853" t="str">
        <f>_xll.BDP("64579SCC Muni","COUNTY_LOCATION_ISSUER")</f>
        <v>Mercer, NJ</v>
      </c>
      <c r="F1853">
        <f>_xll.BDP("64579SCC Muni","DUR_ADJ_MID")</f>
        <v>8.0493997144964788E-2</v>
      </c>
      <c r="G1853">
        <f>_xll.BDP("64579SCC Muni","SPREAD_AT_ISSUANCE_TO_WORST")</f>
        <v>17.030569863013699</v>
      </c>
      <c r="H1853" t="str">
        <f>_xll.BDP("64579SCC Muni","ISSUE_DT")</f>
        <v>11/21/2017</v>
      </c>
      <c r="I1853" t="str">
        <f>_xll.BDS("64579SCC Muni","MUNI_PURPOSE_SCHED", "aggregate=y")</f>
        <v>WATER UTILITY IMPS. SEWER IMPS. GREEN PURPOSE</v>
      </c>
      <c r="J1853">
        <f>_xll.BDP("64579SCC Muni","CPN")</f>
        <v>5</v>
      </c>
      <c r="K1853" t="str">
        <f>_xll.BDP("64579SCC Muni","MATURITY")</f>
        <v>9/1/2022</v>
      </c>
      <c r="L1853">
        <v>85000</v>
      </c>
      <c r="M1853">
        <f>_xll.BDP("64579SCC Muni","YIELD_ON_ISSUE_DATE")</f>
        <v>1.59</v>
      </c>
      <c r="N1853">
        <f>_xll.BDP("64579SCC Muni","YTW_SPREAD_TO_MATURITY_AT_ISSU")</f>
        <v>17.030569863013699</v>
      </c>
      <c r="O1853" t="str">
        <f>_xll.BDP("64579SCC Muni","BVAL_MID_YTM")</f>
        <v>#N/A Authorization</v>
      </c>
      <c r="P1853" t="str">
        <f>_xll.BDP("64579SCC Muni","MUNI_TAX_PROV")</f>
        <v>AMT/ST TAX-EXEMPT</v>
      </c>
      <c r="Q1853" t="str">
        <f>_xll.BDP("64579SCC Muni","MUNI_FED_TAX")</f>
        <v>N</v>
      </c>
      <c r="R1853" t="str">
        <f>_xll.BDP("64579SCC Muni","MUNI_MSRB_VOLUME")</f>
        <v>#N/A N/A</v>
      </c>
      <c r="S1853" t="str">
        <f>_xll.BDP("64579SCC Muni","BB_COMPOSITE")</f>
        <v>AAA</v>
      </c>
      <c r="T1853">
        <f>_xll.BDP("64579SCC Muni","LQA_LIQUIDITY_SCORE")</f>
        <v>87</v>
      </c>
    </row>
    <row r="1854" spans="1:20" x14ac:dyDescent="0.25">
      <c r="A1854" t="str">
        <f>_xll.BDP("64579SCF Muni","ID_CUSIP")</f>
        <v>64579SCF0</v>
      </c>
      <c r="B1854" t="s">
        <v>167</v>
      </c>
      <c r="C1854" t="str">
        <f>_xll.BDP("64579SCF Muni","INSURANCE_STATUS")</f>
        <v>N</v>
      </c>
      <c r="D1854" t="str">
        <f>_xll.BDP("64579SCF Muni","STATE_CODE")</f>
        <v>NJ</v>
      </c>
      <c r="E1854" t="str">
        <f>_xll.BDP("64579SCF Muni","COUNTY_LOCATION_ISSUER")</f>
        <v>Mercer, NJ</v>
      </c>
      <c r="F1854">
        <f>_xll.BDP("64579SCF Muni","DUR_ADJ_MID")</f>
        <v>2.8214616627026046</v>
      </c>
      <c r="G1854">
        <f>_xll.BDP("64579SCF Muni","SPREAD_AT_ISSUANCE_TO_WORST")</f>
        <v>19.809698630136996</v>
      </c>
      <c r="H1854" t="str">
        <f>_xll.BDP("64579SCF Muni","ISSUE_DT")</f>
        <v>11/21/2017</v>
      </c>
      <c r="I1854" t="str">
        <f>_xll.BDS("64579SCF Muni","MUNI_PURPOSE_SCHED", "aggregate=y")</f>
        <v>WATER UTILITY IMPS. SEWER IMPS. GREEN PURPOSE</v>
      </c>
      <c r="J1854">
        <f>_xll.BDP("64579SCF Muni","CPN")</f>
        <v>5</v>
      </c>
      <c r="K1854" t="str">
        <f>_xll.BDP("64579SCF Muni","MATURITY")</f>
        <v>9/1/2025</v>
      </c>
      <c r="L1854">
        <v>100000</v>
      </c>
      <c r="M1854">
        <f>_xll.BDP("64579SCF Muni","YIELD_ON_ISSUE_DATE")</f>
        <v>1.95</v>
      </c>
      <c r="N1854">
        <f>_xll.BDP("64579SCF Muni","YTW_SPREAD_TO_MATURITY_AT_ISSU")</f>
        <v>19.809698630136996</v>
      </c>
      <c r="O1854" t="str">
        <f>_xll.BDP("64579SCF Muni","BVAL_MID_YTM")</f>
        <v>#N/A Authorization</v>
      </c>
      <c r="P1854" t="str">
        <f>_xll.BDP("64579SCF Muni","MUNI_TAX_PROV")</f>
        <v>AMT/ST TAX-EXEMPT</v>
      </c>
      <c r="Q1854" t="str">
        <f>_xll.BDP("64579SCF Muni","MUNI_FED_TAX")</f>
        <v>N</v>
      </c>
      <c r="R1854" t="str">
        <f>_xll.BDP("64579SCF Muni","MUNI_MSRB_VOLUME")</f>
        <v>#N/A N/A</v>
      </c>
      <c r="S1854" t="str">
        <f>_xll.BDP("64579SCF Muni","BB_COMPOSITE")</f>
        <v>AAA</v>
      </c>
      <c r="T1854">
        <f>_xll.BDP("64579SCF Muni","LQA_LIQUIDITY_SCORE")</f>
        <v>65</v>
      </c>
    </row>
    <row r="1855" spans="1:20" x14ac:dyDescent="0.25">
      <c r="A1855" t="str">
        <f>_xll.BDP("64579SCG Muni","ID_CUSIP")</f>
        <v>64579SCG8</v>
      </c>
      <c r="B1855" t="s">
        <v>167</v>
      </c>
      <c r="C1855" t="str">
        <f>_xll.BDP("64579SCG Muni","INSURANCE_STATUS")</f>
        <v>N</v>
      </c>
      <c r="D1855" t="str">
        <f>_xll.BDP("64579SCG Muni","STATE_CODE")</f>
        <v>NJ</v>
      </c>
      <c r="E1855" t="str">
        <f>_xll.BDP("64579SCG Muni","COUNTY_LOCATION_ISSUER")</f>
        <v>Mercer, NJ</v>
      </c>
      <c r="F1855">
        <f>_xll.BDP("64579SCG Muni","DUR_ADJ_MID")</f>
        <v>3.6570159469966295</v>
      </c>
      <c r="G1855">
        <f>_xll.BDP("64579SCG Muni","SPREAD_AT_ISSUANCE_TO_WORST")</f>
        <v>19.978013698630125</v>
      </c>
      <c r="H1855" t="str">
        <f>_xll.BDP("64579SCG Muni","ISSUE_DT")</f>
        <v>11/21/2017</v>
      </c>
      <c r="I1855" t="str">
        <f>_xll.BDS("64579SCG Muni","MUNI_PURPOSE_SCHED", "aggregate=y")</f>
        <v>WATER UTILITY IMPS. SEWER IMPS. GREEN PURPOSE</v>
      </c>
      <c r="J1855">
        <f>_xll.BDP("64579SCG Muni","CPN")</f>
        <v>5</v>
      </c>
      <c r="K1855" t="str">
        <f>_xll.BDP("64579SCG Muni","MATURITY")</f>
        <v>9/1/2026</v>
      </c>
      <c r="L1855">
        <v>105000</v>
      </c>
      <c r="M1855">
        <f>_xll.BDP("64579SCG Muni","YIELD_ON_ISSUE_DATE")</f>
        <v>2.0499999999999998</v>
      </c>
      <c r="N1855">
        <f>_xll.BDP("64579SCG Muni","YTW_SPREAD_TO_MATURITY_AT_ISSU")</f>
        <v>19.978013698630125</v>
      </c>
      <c r="O1855" t="str">
        <f>_xll.BDP("64579SCG Muni","BVAL_MID_YTM")</f>
        <v>#N/A Authorization</v>
      </c>
      <c r="P1855" t="str">
        <f>_xll.BDP("64579SCG Muni","MUNI_TAX_PROV")</f>
        <v>AMT/ST TAX-EXEMPT</v>
      </c>
      <c r="Q1855" t="str">
        <f>_xll.BDP("64579SCG Muni","MUNI_FED_TAX")</f>
        <v>N</v>
      </c>
      <c r="R1855" t="str">
        <f>_xll.BDP("64579SCG Muni","MUNI_MSRB_VOLUME")</f>
        <v>#N/A N/A</v>
      </c>
      <c r="S1855" t="str">
        <f>_xll.BDP("64579SCG Muni","BB_COMPOSITE")</f>
        <v>AAA</v>
      </c>
      <c r="T1855">
        <f>_xll.BDP("64579SCG Muni","LQA_LIQUIDITY_SCORE")</f>
        <v>58</v>
      </c>
    </row>
    <row r="1856" spans="1:20" x14ac:dyDescent="0.25">
      <c r="A1856" t="str">
        <f>_xll.BDP("516768JL Muni","ID_CUSIP")</f>
        <v>516768JL3</v>
      </c>
      <c r="B1856" t="s">
        <v>152</v>
      </c>
      <c r="C1856" t="str">
        <f>_xll.BDP("516768JL Muni","INSURANCE_STATUS")</f>
        <v>N</v>
      </c>
      <c r="D1856" t="str">
        <f>_xll.BDP("516768JL Muni","STATE_CODE")</f>
        <v>NY</v>
      </c>
      <c r="E1856" t="str">
        <f>_xll.BDP("516768JL Muni","COUNTY_LOCATION_ISSUER")</f>
        <v>Westchester, NY</v>
      </c>
      <c r="F1856">
        <f>_xll.BDP("516768JL Muni","DUR_ADJ_MID")</f>
        <v>2.9461980476145451</v>
      </c>
      <c r="G1856">
        <f>_xll.BDP("516768JL Muni","SPREAD_AT_ISSUANCE_TO_WORST")</f>
        <v>-1.8221629642293902</v>
      </c>
      <c r="H1856" t="str">
        <f>_xll.BDP("516768JL Muni","ISSUE_DT")</f>
        <v>2/1/2017</v>
      </c>
      <c r="I1856" t="str">
        <f>_xll.BDS("516768JL Muni","MUNI_PURPOSE_SCHED", "aggregate=y")</f>
        <v>WATER UTILITY IMPS. PUBLIC IMPS.</v>
      </c>
      <c r="J1856">
        <f>_xll.BDP("516768JL Muni","CPN")</f>
        <v>2</v>
      </c>
      <c r="K1856" t="str">
        <f>_xll.BDP("516768JL Muni","MATURITY")</f>
        <v>9/1/2025</v>
      </c>
      <c r="L1856">
        <v>400000</v>
      </c>
      <c r="M1856">
        <f>_xll.BDP("516768JL Muni","YIELD_ON_ISSUE_DATE")</f>
        <v>2</v>
      </c>
      <c r="N1856">
        <f>_xll.BDP("516768JL Muni","YTW_SPREAD_TO_MATURITY_AT_ISSU")</f>
        <v>-1.8221629642293902</v>
      </c>
      <c r="O1856" t="str">
        <f>_xll.BDP("516768JL Muni","BVAL_MID_YTM")</f>
        <v>#N/A Authorization</v>
      </c>
      <c r="P1856" t="str">
        <f>_xll.BDP("516768JL Muni","MUNI_TAX_PROV")</f>
        <v>FED BQ/ST TAX-EXEMPT</v>
      </c>
      <c r="Q1856" t="str">
        <f>_xll.BDP("516768JL Muni","MUNI_FED_TAX")</f>
        <v>N</v>
      </c>
      <c r="R1856" t="str">
        <f>_xll.BDP("516768JL Muni","MUNI_MSRB_VOLUME")</f>
        <v>#N/A N/A</v>
      </c>
      <c r="S1856" t="str">
        <f>_xll.BDP("516768JL Muni","BB_COMPOSITE")</f>
        <v>#N/A N/A</v>
      </c>
      <c r="T1856">
        <f>_xll.BDP("516768JL Muni","LQA_LIQUIDITY_SCORE")</f>
        <v>44</v>
      </c>
    </row>
    <row r="1857" spans="1:20" x14ac:dyDescent="0.25">
      <c r="A1857" t="str">
        <f>_xll.BDP("517039UD Muni","ID_CUSIP")</f>
        <v>517039UD3</v>
      </c>
      <c r="B1857" t="s">
        <v>153</v>
      </c>
      <c r="C1857" t="str">
        <f>_xll.BDP("517039UD Muni","INSURANCE_STATUS")</f>
        <v>N</v>
      </c>
      <c r="D1857" t="str">
        <f>_xll.BDP("517039UD Muni","STATE_CODE")</f>
        <v>TX</v>
      </c>
      <c r="E1857" t="str">
        <f>_xll.BDP("517039UD Muni","COUNTY_LOCATION_ISSUER")</f>
        <v>Webb, TX</v>
      </c>
      <c r="F1857">
        <f>_xll.BDP("517039UD Muni","DUR_ADJ_MID")</f>
        <v>2.3899991660493667</v>
      </c>
      <c r="G1857">
        <f>_xll.BDP("517039UD Muni","SPREAD_AT_ISSUANCE_TO_WORST")</f>
        <v>34.429753424657527</v>
      </c>
      <c r="H1857" t="str">
        <f>_xll.BDP("517039UD Muni","ISSUE_DT")</f>
        <v>11/15/2017</v>
      </c>
      <c r="I1857" t="str">
        <f>_xll.BDS("517039UD Muni","MUNI_PURPOSE_SCHED", "aggregate=y")</f>
        <v>WATER UTILITY IMPS. SEWER IMPS.</v>
      </c>
      <c r="J1857">
        <f>_xll.BDP("517039UD Muni","CPN")</f>
        <v>5</v>
      </c>
      <c r="K1857" t="str">
        <f>_xll.BDP("517039UD Muni","MATURITY")</f>
        <v>3/1/2025</v>
      </c>
      <c r="L1857">
        <v>375000</v>
      </c>
      <c r="M1857">
        <f>_xll.BDP("517039UD Muni","YIELD_ON_ISSUE_DATE")</f>
        <v>2.06</v>
      </c>
      <c r="N1857">
        <f>_xll.BDP("517039UD Muni","YTW_SPREAD_TO_MATURITY_AT_ISSU")</f>
        <v>34.429753424657527</v>
      </c>
      <c r="O1857" t="str">
        <f>_xll.BDP("517039UD Muni","BVAL_MID_YTM")</f>
        <v>#N/A Authorization</v>
      </c>
      <c r="P1857" t="str">
        <f>_xll.BDP("517039UD Muni","MUNI_TAX_PROV")</f>
        <v>FED TAX-EXEMPT</v>
      </c>
      <c r="Q1857" t="str">
        <f>_xll.BDP("517039UD Muni","MUNI_FED_TAX")</f>
        <v>N</v>
      </c>
      <c r="R1857" t="str">
        <f>_xll.BDP("517039UD Muni","MUNI_MSRB_VOLUME")</f>
        <v>#N/A N/A</v>
      </c>
      <c r="S1857" t="str">
        <f>_xll.BDP("517039UD Muni","BB_COMPOSITE")</f>
        <v>AA-</v>
      </c>
      <c r="T1857">
        <f>_xll.BDP("517039UD Muni","LQA_LIQUIDITY_SCORE")</f>
        <v>76</v>
      </c>
    </row>
    <row r="1858" spans="1:20" x14ac:dyDescent="0.25">
      <c r="A1858" t="str">
        <f>_xll.BDP("517039UF Muni","ID_CUSIP")</f>
        <v>517039UF8</v>
      </c>
      <c r="B1858" t="s">
        <v>153</v>
      </c>
      <c r="C1858" t="str">
        <f>_xll.BDP("517039UF Muni","INSURANCE_STATUS")</f>
        <v>N</v>
      </c>
      <c r="D1858" t="str">
        <f>_xll.BDP("517039UF Muni","STATE_CODE")</f>
        <v>TX</v>
      </c>
      <c r="E1858" t="str">
        <f>_xll.BDP("517039UF Muni","COUNTY_LOCATION_ISSUER")</f>
        <v>Webb, TX</v>
      </c>
      <c r="F1858">
        <f>_xll.BDP("517039UF Muni","DUR_ADJ_MID")</f>
        <v>4.0623176887370249</v>
      </c>
      <c r="G1858">
        <f>_xll.BDP("517039UF Muni","SPREAD_AT_ISSUANCE_TO_WORST")</f>
        <v>39.893104109589018</v>
      </c>
      <c r="H1858" t="str">
        <f>_xll.BDP("517039UF Muni","ISSUE_DT")</f>
        <v>11/15/2017</v>
      </c>
      <c r="I1858" t="str">
        <f>_xll.BDS("517039UF Muni","MUNI_PURPOSE_SCHED", "aggregate=y")</f>
        <v>WATER UTILITY IMPS. SEWER IMPS.</v>
      </c>
      <c r="J1858">
        <f>_xll.BDP("517039UF Muni","CPN")</f>
        <v>5</v>
      </c>
      <c r="K1858" t="str">
        <f>_xll.BDP("517039UF Muni","MATURITY")</f>
        <v>3/1/2027</v>
      </c>
      <c r="L1858">
        <v>415000</v>
      </c>
      <c r="M1858">
        <f>_xll.BDP("517039UF Muni","YIELD_ON_ISSUE_DATE")</f>
        <v>2.3199999999999998</v>
      </c>
      <c r="N1858">
        <f>_xll.BDP("517039UF Muni","YTW_SPREAD_TO_MATURITY_AT_ISSU")</f>
        <v>39.893104109589018</v>
      </c>
      <c r="O1858" t="str">
        <f>_xll.BDP("517039UF Muni","BVAL_MID_YTM")</f>
        <v>#N/A Authorization</v>
      </c>
      <c r="P1858" t="str">
        <f>_xll.BDP("517039UF Muni","MUNI_TAX_PROV")</f>
        <v>FED TAX-EXEMPT</v>
      </c>
      <c r="Q1858" t="str">
        <f>_xll.BDP("517039UF Muni","MUNI_FED_TAX")</f>
        <v>N</v>
      </c>
      <c r="R1858" t="str">
        <f>_xll.BDP("517039UF Muni","MUNI_MSRB_VOLUME")</f>
        <v>#N/A N/A</v>
      </c>
      <c r="S1858" t="str">
        <f>_xll.BDP("517039UF Muni","BB_COMPOSITE")</f>
        <v>AA-</v>
      </c>
      <c r="T1858">
        <f>_xll.BDP("517039UF Muni","LQA_LIQUIDITY_SCORE")</f>
        <v>62</v>
      </c>
    </row>
    <row r="1859" spans="1:20" x14ac:dyDescent="0.25">
      <c r="A1859" t="str">
        <f>_xll.BDP("53746QAE Muni","ID_CUSIP")</f>
        <v>53746QAE0</v>
      </c>
      <c r="B1859" t="s">
        <v>492</v>
      </c>
      <c r="C1859" t="str">
        <f>_xll.BDP("53746QAE Muni","INSURANCE_STATUS")</f>
        <v>N</v>
      </c>
      <c r="D1859" t="str">
        <f>_xll.BDP("53746QAE Muni","STATE_CODE")</f>
        <v>AR</v>
      </c>
      <c r="E1859" t="str">
        <f>_xll.BDP("53746QAE Muni","COUNTY_LOCATION_ISSUER")</f>
        <v>Pulaski, AR</v>
      </c>
      <c r="F1859">
        <f>_xll.BDP("53746QAE Muni","DUR_ADJ_MID")</f>
        <v>0.16364409106229577</v>
      </c>
      <c r="G1859">
        <f>_xll.BDP("53746QAE Muni","SPREAD_AT_ISSUANCE_TO_WORST")</f>
        <v>42.994745382303101</v>
      </c>
      <c r="H1859" t="str">
        <f>_xll.BDP("53746QAE Muni","ISSUE_DT")</f>
        <v>10/26/2017</v>
      </c>
      <c r="I1859" t="str">
        <f>_xll.BDS("53746QAE Muni","MUNI_PURPOSE_SCHED", "aggregate=y")</f>
        <v>WATER UTILITY IMPS. SEWER IMPS.</v>
      </c>
      <c r="J1859">
        <f>_xll.BDP("53746QAE Muni","CPN")</f>
        <v>4</v>
      </c>
      <c r="K1859" t="str">
        <f>_xll.BDP("53746QAE Muni","MATURITY")</f>
        <v>10/1/2022</v>
      </c>
      <c r="L1859">
        <v>235000</v>
      </c>
      <c r="M1859">
        <f>_xll.BDP("53746QAE Muni","YIELD_ON_ISSUE_DATE")</f>
        <v>1.6500000000000001</v>
      </c>
      <c r="N1859">
        <f>_xll.BDP("53746QAE Muni","YTW_SPREAD_TO_MATURITY_AT_ISSU")</f>
        <v>42.994745382303101</v>
      </c>
      <c r="O1859" t="str">
        <f>_xll.BDP("53746QAE Muni","BVAL_MID_YTM")</f>
        <v>#N/A Authorization</v>
      </c>
      <c r="P1859" t="str">
        <f>_xll.BDP("53746QAE Muni","MUNI_TAX_PROV")</f>
        <v>FED &amp; ST TAX-EXEMPT</v>
      </c>
      <c r="Q1859" t="str">
        <f>_xll.BDP("53746QAE Muni","MUNI_FED_TAX")</f>
        <v>N</v>
      </c>
      <c r="R1859" t="str">
        <f>_xll.BDP("53746QAE Muni","MUNI_MSRB_VOLUME")</f>
        <v>#N/A N/A</v>
      </c>
      <c r="S1859" t="str">
        <f>_xll.BDP("53746QAE Muni","BB_COMPOSITE")</f>
        <v>#N/A N/A</v>
      </c>
      <c r="T1859">
        <f>_xll.BDP("53746QAE Muni","LQA_LIQUIDITY_SCORE")</f>
        <v>98</v>
      </c>
    </row>
    <row r="1860" spans="1:20" x14ac:dyDescent="0.25">
      <c r="A1860" t="str">
        <f>_xll.BDP("53746QAG Muni","ID_CUSIP")</f>
        <v>53746QAG5</v>
      </c>
      <c r="B1860" t="s">
        <v>492</v>
      </c>
      <c r="C1860" t="str">
        <f>_xll.BDP("53746QAG Muni","INSURANCE_STATUS")</f>
        <v>N</v>
      </c>
      <c r="D1860" t="str">
        <f>_xll.BDP("53746QAG Muni","STATE_CODE")</f>
        <v>AR</v>
      </c>
      <c r="E1860" t="str">
        <f>_xll.BDP("53746QAG Muni","COUNTY_LOCATION_ISSUER")</f>
        <v>Pulaski, AR</v>
      </c>
      <c r="F1860">
        <f>_xll.BDP("53746QAG Muni","DUR_ADJ_MID")</f>
        <v>2.0527902961055076</v>
      </c>
      <c r="G1860">
        <f>_xll.BDP("53746QAG Muni","SPREAD_AT_ISSUANCE_TO_WORST")</f>
        <v>49.144515559922588</v>
      </c>
      <c r="H1860" t="str">
        <f>_xll.BDP("53746QAG Muni","ISSUE_DT")</f>
        <v>10/26/2017</v>
      </c>
      <c r="I1860" t="str">
        <f>_xll.BDS("53746QAG Muni","MUNI_PURPOSE_SCHED", "aggregate=y")</f>
        <v>WATER UTILITY IMPS. SEWER IMPS.</v>
      </c>
      <c r="J1860">
        <f>_xll.BDP("53746QAG Muni","CPN")</f>
        <v>4</v>
      </c>
      <c r="K1860" t="str">
        <f>_xll.BDP("53746QAG Muni","MATURITY")</f>
        <v>10/1/2024</v>
      </c>
      <c r="L1860">
        <v>250000</v>
      </c>
      <c r="M1860">
        <f>_xll.BDP("53746QAG Muni","YIELD_ON_ISSUE_DATE")</f>
        <v>2</v>
      </c>
      <c r="N1860">
        <f>_xll.BDP("53746QAG Muni","YTW_SPREAD_TO_MATURITY_AT_ISSU")</f>
        <v>49.144515559922588</v>
      </c>
      <c r="O1860" t="str">
        <f>_xll.BDP("53746QAG Muni","BVAL_MID_YTM")</f>
        <v>#N/A Authorization</v>
      </c>
      <c r="P1860" t="str">
        <f>_xll.BDP("53746QAG Muni","MUNI_TAX_PROV")</f>
        <v>FED &amp; ST TAX-EXEMPT</v>
      </c>
      <c r="Q1860" t="str">
        <f>_xll.BDP("53746QAG Muni","MUNI_FED_TAX")</f>
        <v>N</v>
      </c>
      <c r="R1860" t="str">
        <f>_xll.BDP("53746QAG Muni","MUNI_MSRB_VOLUME")</f>
        <v>#N/A N/A</v>
      </c>
      <c r="S1860" t="str">
        <f>_xll.BDP("53746QAG Muni","BB_COMPOSITE")</f>
        <v>#N/A N/A</v>
      </c>
      <c r="T1860">
        <f>_xll.BDP("53746QAG Muni","LQA_LIQUIDITY_SCORE")</f>
        <v>83</v>
      </c>
    </row>
    <row r="1861" spans="1:20" x14ac:dyDescent="0.25">
      <c r="A1861" t="str">
        <f>_xll.BDP("517708WP Muni","ID_CUSIP")</f>
        <v>517708WP4</v>
      </c>
      <c r="B1861" t="s">
        <v>493</v>
      </c>
      <c r="C1861" t="str">
        <f>_xll.BDP("517708WP Muni","INSURANCE_STATUS")</f>
        <v>N</v>
      </c>
      <c r="D1861" t="str">
        <f>_xll.BDP("517708WP Muni","STATE_CODE")</f>
        <v>NV</v>
      </c>
      <c r="E1861" t="str">
        <f>_xll.BDP("517708WP Muni","COUNTY_LOCATION_ISSUER")</f>
        <v>Clark, NV</v>
      </c>
      <c r="F1861">
        <f>_xll.BDP("517708WP Muni","DUR_ADJ_MID")</f>
        <v>0.81425458737489886</v>
      </c>
      <c r="G1861">
        <f>_xll.BDP("517708WP Muni","SPREAD_AT_ISSUANCE_TO_WORST")</f>
        <v>147.60707789166884</v>
      </c>
      <c r="H1861" t="str">
        <f>_xll.BDP("517708WP Muni","ISSUE_DT")</f>
        <v>9/27/2017</v>
      </c>
      <c r="I1861" t="str">
        <f>_xll.BDS("517708WP Muni","MUNI_PURPOSE_SCHED", "aggregate=y")</f>
        <v>PUBLIC IMPS. WATER UTILITY IMPS. SEWER IMPS.</v>
      </c>
      <c r="J1861">
        <f>_xll.BDP("517708WP Muni","CPN")</f>
        <v>2.25</v>
      </c>
      <c r="K1861" t="str">
        <f>_xll.BDP("517708WP Muni","MATURITY")</f>
        <v>6/1/2023</v>
      </c>
      <c r="L1861">
        <v>260000</v>
      </c>
      <c r="M1861">
        <f>_xll.BDP("517708WP Muni","YIELD_ON_ISSUE_DATE")</f>
        <v>2.74</v>
      </c>
      <c r="N1861">
        <f>_xll.BDP("517708WP Muni","YTW_SPREAD_TO_MATURITY_AT_ISSU")</f>
        <v>147.60707789166884</v>
      </c>
      <c r="O1861" t="str">
        <f>_xll.BDP("517708WP Muni","BVAL_MID_YTM")</f>
        <v>#N/A Authorization</v>
      </c>
      <c r="P1861" t="str">
        <f>_xll.BDP("517708WP Muni","MUNI_TAX_PROV")</f>
        <v>FED &amp; ST TAX-EXEMPT</v>
      </c>
      <c r="Q1861" t="str">
        <f>_xll.BDP("517708WP Muni","MUNI_FED_TAX")</f>
        <v>N</v>
      </c>
      <c r="R1861" t="str">
        <f>_xll.BDP("517708WP Muni","MUNI_MSRB_VOLUME")</f>
        <v>#N/A N/A</v>
      </c>
      <c r="S1861" t="str">
        <f>_xll.BDP("517708WP Muni","BB_COMPOSITE")</f>
        <v>#N/A N/A</v>
      </c>
      <c r="T1861">
        <f>_xll.BDP("517708WP Muni","LQA_LIQUIDITY_SCORE")</f>
        <v>66</v>
      </c>
    </row>
    <row r="1862" spans="1:20" x14ac:dyDescent="0.25">
      <c r="A1862" t="str">
        <f>_xll.BDP("517708WQ Muni","ID_CUSIP")</f>
        <v>517708WQ2</v>
      </c>
      <c r="B1862" t="s">
        <v>493</v>
      </c>
      <c r="C1862" t="str">
        <f>_xll.BDP("517708WQ Muni","INSURANCE_STATUS")</f>
        <v>N</v>
      </c>
      <c r="D1862" t="str">
        <f>_xll.BDP("517708WQ Muni","STATE_CODE")</f>
        <v>NV</v>
      </c>
      <c r="E1862" t="str">
        <f>_xll.BDP("517708WQ Muni","COUNTY_LOCATION_ISSUER")</f>
        <v>Clark, NV</v>
      </c>
      <c r="F1862">
        <f>_xll.BDP("517708WQ Muni","DUR_ADJ_MID")</f>
        <v>1.7673915545145364</v>
      </c>
      <c r="G1862">
        <f>_xll.BDP("517708WQ Muni","SPREAD_AT_ISSUANCE_TO_WORST")</f>
        <v>158.01008551715722</v>
      </c>
      <c r="H1862" t="str">
        <f>_xll.BDP("517708WQ Muni","ISSUE_DT")</f>
        <v>9/27/2017</v>
      </c>
      <c r="I1862" t="str">
        <f>_xll.BDS("517708WQ Muni","MUNI_PURPOSE_SCHED", "aggregate=y")</f>
        <v>PUBLIC IMPS. WATER UTILITY IMPS. SEWER IMPS.</v>
      </c>
      <c r="J1862">
        <f>_xll.BDP("517708WQ Muni","CPN")</f>
        <v>2.5</v>
      </c>
      <c r="K1862" t="str">
        <f>_xll.BDP("517708WQ Muni","MATURITY")</f>
        <v>6/1/2024</v>
      </c>
      <c r="L1862">
        <v>265000</v>
      </c>
      <c r="M1862">
        <f>_xll.BDP("517708WQ Muni","YIELD_ON_ISSUE_DATE")</f>
        <v>2.99</v>
      </c>
      <c r="N1862">
        <f>_xll.BDP("517708WQ Muni","YTW_SPREAD_TO_MATURITY_AT_ISSU")</f>
        <v>158.01008551715722</v>
      </c>
      <c r="O1862" t="str">
        <f>_xll.BDP("517708WQ Muni","BVAL_MID_YTM")</f>
        <v>#N/A Authorization</v>
      </c>
      <c r="P1862" t="str">
        <f>_xll.BDP("517708WQ Muni","MUNI_TAX_PROV")</f>
        <v>FED &amp; ST TAX-EXEMPT</v>
      </c>
      <c r="Q1862" t="str">
        <f>_xll.BDP("517708WQ Muni","MUNI_FED_TAX")</f>
        <v>N</v>
      </c>
      <c r="R1862" t="str">
        <f>_xll.BDP("517708WQ Muni","MUNI_MSRB_VOLUME")</f>
        <v>#N/A N/A</v>
      </c>
      <c r="S1862" t="str">
        <f>_xll.BDP("517708WQ Muni","BB_COMPOSITE")</f>
        <v>#N/A N/A</v>
      </c>
      <c r="T1862">
        <f>_xll.BDP("517708WQ Muni","LQA_LIQUIDITY_SCORE")</f>
        <v>46</v>
      </c>
    </row>
    <row r="1863" spans="1:20" x14ac:dyDescent="0.25">
      <c r="A1863" t="str">
        <f>_xll.BDP("517708WR Muni","ID_CUSIP")</f>
        <v>517708WR0</v>
      </c>
      <c r="B1863" t="s">
        <v>493</v>
      </c>
      <c r="C1863" t="str">
        <f>_xll.BDP("517708WR Muni","INSURANCE_STATUS")</f>
        <v>N</v>
      </c>
      <c r="D1863" t="str">
        <f>_xll.BDP("517708WR Muni","STATE_CODE")</f>
        <v>NV</v>
      </c>
      <c r="E1863" t="str">
        <f>_xll.BDP("517708WR Muni","COUNTY_LOCATION_ISSUER")</f>
        <v>Clark, NV</v>
      </c>
      <c r="F1863">
        <f>_xll.BDP("517708WR Muni","DUR_ADJ_MID")</f>
        <v>2.6805570901338145</v>
      </c>
      <c r="G1863">
        <f>_xll.BDP("517708WR Muni","SPREAD_AT_ISSUANCE_TO_WORST")</f>
        <v>165.2539928238086</v>
      </c>
      <c r="H1863" t="str">
        <f>_xll.BDP("517708WR Muni","ISSUE_DT")</f>
        <v>9/27/2017</v>
      </c>
      <c r="I1863" t="str">
        <f>_xll.BDS("517708WR Muni","MUNI_PURPOSE_SCHED", "aggregate=y")</f>
        <v>PUBLIC IMPS. WATER UTILITY IMPS. SEWER IMPS.</v>
      </c>
      <c r="J1863">
        <f>_xll.BDP("517708WR Muni","CPN")</f>
        <v>3</v>
      </c>
      <c r="K1863" t="str">
        <f>_xll.BDP("517708WR Muni","MATURITY")</f>
        <v>6/1/2025</v>
      </c>
      <c r="L1863">
        <v>275000</v>
      </c>
      <c r="M1863">
        <f>_xll.BDP("517708WR Muni","YIELD_ON_ISSUE_DATE")</f>
        <v>3.21</v>
      </c>
      <c r="N1863">
        <f>_xll.BDP("517708WR Muni","YTW_SPREAD_TO_MATURITY_AT_ISSU")</f>
        <v>165.2539928238086</v>
      </c>
      <c r="O1863" t="str">
        <f>_xll.BDP("517708WR Muni","BVAL_MID_YTM")</f>
        <v>#N/A Authorization</v>
      </c>
      <c r="P1863" t="str">
        <f>_xll.BDP("517708WR Muni","MUNI_TAX_PROV")</f>
        <v>FED &amp; ST TAX-EXEMPT</v>
      </c>
      <c r="Q1863" t="str">
        <f>_xll.BDP("517708WR Muni","MUNI_FED_TAX")</f>
        <v>N</v>
      </c>
      <c r="R1863" t="str">
        <f>_xll.BDP("517708WR Muni","MUNI_MSRB_VOLUME")</f>
        <v>#N/A N/A</v>
      </c>
      <c r="S1863" t="str">
        <f>_xll.BDP("517708WR Muni","BB_COMPOSITE")</f>
        <v>#N/A N/A</v>
      </c>
      <c r="T1863">
        <f>_xll.BDP("517708WR Muni","LQA_LIQUIDITY_SCORE")</f>
        <v>35</v>
      </c>
    </row>
    <row r="1864" spans="1:20" x14ac:dyDescent="0.25">
      <c r="A1864" t="str">
        <f>_xll.BDP("517708WS Muni","ID_CUSIP")</f>
        <v>517708WS8</v>
      </c>
      <c r="B1864" t="s">
        <v>493</v>
      </c>
      <c r="C1864" t="str">
        <f>_xll.BDP("517708WS Muni","INSURANCE_STATUS")</f>
        <v>N</v>
      </c>
      <c r="D1864" t="str">
        <f>_xll.BDP("517708WS Muni","STATE_CODE")</f>
        <v>NV</v>
      </c>
      <c r="E1864" t="str">
        <f>_xll.BDP("517708WS Muni","COUNTY_LOCATION_ISSUER")</f>
        <v>Clark, NV</v>
      </c>
      <c r="F1864">
        <f>_xll.BDP("517708WS Muni","DUR_ADJ_MID")</f>
        <v>3.5729456670037609</v>
      </c>
      <c r="G1864">
        <f>_xll.BDP("517708WS Muni","SPREAD_AT_ISSUANCE_TO_WORST")</f>
        <v>169.62965329778413</v>
      </c>
      <c r="H1864" t="str">
        <f>_xll.BDP("517708WS Muni","ISSUE_DT")</f>
        <v>9/27/2017</v>
      </c>
      <c r="I1864" t="str">
        <f>_xll.BDS("517708WS Muni","MUNI_PURPOSE_SCHED", "aggregate=y")</f>
        <v>PUBLIC IMPS. WATER UTILITY IMPS. SEWER IMPS.</v>
      </c>
      <c r="J1864">
        <f>_xll.BDP("517708WS Muni","CPN")</f>
        <v>3</v>
      </c>
      <c r="K1864" t="str">
        <f>_xll.BDP("517708WS Muni","MATURITY")</f>
        <v>6/1/2026</v>
      </c>
      <c r="L1864">
        <v>280000</v>
      </c>
      <c r="M1864">
        <f>_xll.BDP("517708WS Muni","YIELD_ON_ISSUE_DATE")</f>
        <v>3.39</v>
      </c>
      <c r="N1864">
        <f>_xll.BDP("517708WS Muni","YTW_SPREAD_TO_MATURITY_AT_ISSU")</f>
        <v>169.62965329778413</v>
      </c>
      <c r="O1864" t="str">
        <f>_xll.BDP("517708WS Muni","BVAL_MID_YTM")</f>
        <v>#N/A Authorization</v>
      </c>
      <c r="P1864" t="str">
        <f>_xll.BDP("517708WS Muni","MUNI_TAX_PROV")</f>
        <v>FED &amp; ST TAX-EXEMPT</v>
      </c>
      <c r="Q1864" t="str">
        <f>_xll.BDP("517708WS Muni","MUNI_FED_TAX")</f>
        <v>N</v>
      </c>
      <c r="R1864" t="str">
        <f>_xll.BDP("517708WS Muni","MUNI_MSRB_VOLUME")</f>
        <v>#N/A N/A</v>
      </c>
      <c r="S1864" t="str">
        <f>_xll.BDP("517708WS Muni","BB_COMPOSITE")</f>
        <v>#N/A N/A</v>
      </c>
      <c r="T1864">
        <f>_xll.BDP("517708WS Muni","LQA_LIQUIDITY_SCORE")</f>
        <v>28</v>
      </c>
    </row>
    <row r="1865" spans="1:20" x14ac:dyDescent="0.25">
      <c r="A1865" t="str">
        <f>_xll.BDP("517708WT Muni","ID_CUSIP")</f>
        <v>517708WT6</v>
      </c>
      <c r="B1865" t="s">
        <v>493</v>
      </c>
      <c r="C1865" t="str">
        <f>_xll.BDP("517708WT Muni","INSURANCE_STATUS")</f>
        <v>N</v>
      </c>
      <c r="D1865" t="str">
        <f>_xll.BDP("517708WT Muni","STATE_CODE")</f>
        <v>NV</v>
      </c>
      <c r="E1865" t="str">
        <f>_xll.BDP("517708WT Muni","COUNTY_LOCATION_ISSUER")</f>
        <v>Clark, NV</v>
      </c>
      <c r="F1865">
        <f>_xll.BDP("517708WT Muni","DUR_ADJ_MID")</f>
        <v>4.4155526039902009</v>
      </c>
      <c r="G1865">
        <f>_xll.BDP("517708WT Muni","SPREAD_AT_ISSUANCE_TO_WORST")</f>
        <v>174.37906683565538</v>
      </c>
      <c r="H1865" t="str">
        <f>_xll.BDP("517708WT Muni","ISSUE_DT")</f>
        <v>9/27/2017</v>
      </c>
      <c r="I1865" t="str">
        <f>_xll.BDS("517708WT Muni","MUNI_PURPOSE_SCHED", "aggregate=y")</f>
        <v>PUBLIC IMPS. WATER UTILITY IMPS. SEWER IMPS.</v>
      </c>
      <c r="J1865">
        <f>_xll.BDP("517708WT Muni","CPN")</f>
        <v>3.25</v>
      </c>
      <c r="K1865" t="str">
        <f>_xll.BDP("517708WT Muni","MATURITY")</f>
        <v>6/1/2027</v>
      </c>
      <c r="L1865">
        <v>290000</v>
      </c>
      <c r="M1865">
        <f>_xll.BDP("517708WT Muni","YIELD_ON_ISSUE_DATE")</f>
        <v>3.5500000000000003</v>
      </c>
      <c r="N1865">
        <f>_xll.BDP("517708WT Muni","YTW_SPREAD_TO_MATURITY_AT_ISSU")</f>
        <v>174.37906683565538</v>
      </c>
      <c r="O1865" t="str">
        <f>_xll.BDP("517708WT Muni","BVAL_MID_YTM")</f>
        <v>#N/A Authorization</v>
      </c>
      <c r="P1865" t="str">
        <f>_xll.BDP("517708WT Muni","MUNI_TAX_PROV")</f>
        <v>FED &amp; ST TAX-EXEMPT</v>
      </c>
      <c r="Q1865" t="str">
        <f>_xll.BDP("517708WT Muni","MUNI_FED_TAX")</f>
        <v>N</v>
      </c>
      <c r="R1865" t="str">
        <f>_xll.BDP("517708WT Muni","MUNI_MSRB_VOLUME")</f>
        <v>#N/A N/A</v>
      </c>
      <c r="S1865" t="str">
        <f>_xll.BDP("517708WT Muni","BB_COMPOSITE")</f>
        <v>#N/A N/A</v>
      </c>
      <c r="T1865">
        <f>_xll.BDP("517708WT Muni","LQA_LIQUIDITY_SCORE")</f>
        <v>25</v>
      </c>
    </row>
    <row r="1866" spans="1:20" x14ac:dyDescent="0.25">
      <c r="A1866" t="str">
        <f>_xll.BDP("51778EAF Muni","ID_CUSIP")</f>
        <v>51778EAF9</v>
      </c>
      <c r="B1866" t="s">
        <v>494</v>
      </c>
      <c r="C1866" t="str">
        <f>_xll.BDP("51778EAF Muni","INSURANCE_STATUS")</f>
        <v>N</v>
      </c>
      <c r="D1866" t="str">
        <f>_xll.BDP("51778EAF Muni","STATE_CODE")</f>
        <v>NV</v>
      </c>
      <c r="E1866" t="str">
        <f>_xll.BDP("51778EAF Muni","COUNTY_LOCATION_ISSUER")</f>
        <v>#N/A Field Not Applicable</v>
      </c>
      <c r="F1866">
        <f>_xll.BDP("51778EAF Muni","DUR_ADJ_MID")</f>
        <v>0.81247426295790282</v>
      </c>
      <c r="G1866">
        <f>_xll.BDP("51778EAF Muni","SPREAD_AT_ISSUANCE_TO_WORST")</f>
        <v>155.422029569855</v>
      </c>
      <c r="H1866" t="str">
        <f>_xll.BDP("51778EAF Muni","ISSUE_DT")</f>
        <v>8/2/2017</v>
      </c>
      <c r="I1866" t="str">
        <f>_xll.BDS("51778EAF Muni","MUNI_PURPOSE_SCHED", "aggregate=y")</f>
        <v>PUBLIC IMPS. WATER UTILITY IMPS. SEWER IMPS.</v>
      </c>
      <c r="J1866">
        <f>_xll.BDP("51778EAF Muni","CPN")</f>
        <v>3</v>
      </c>
      <c r="K1866" t="str">
        <f>_xll.BDP("51778EAF Muni","MATURITY")</f>
        <v>6/1/2023</v>
      </c>
      <c r="L1866">
        <v>250000</v>
      </c>
      <c r="M1866">
        <f>_xll.BDP("51778EAF Muni","YIELD_ON_ISSUE_DATE")</f>
        <v>2.92</v>
      </c>
      <c r="N1866">
        <f>_xll.BDP("51778EAF Muni","YTW_SPREAD_TO_MATURITY_AT_ISSU")</f>
        <v>155.422029569855</v>
      </c>
      <c r="O1866" t="str">
        <f>_xll.BDP("51778EAF Muni","BVAL_MID_YTM")</f>
        <v>#N/A Authorization</v>
      </c>
      <c r="P1866" t="str">
        <f>_xll.BDP("51778EAF Muni","MUNI_TAX_PROV")</f>
        <v>FED &amp; ST TAX-EXEMPT</v>
      </c>
      <c r="Q1866" t="str">
        <f>_xll.BDP("51778EAF Muni","MUNI_FED_TAX")</f>
        <v>N</v>
      </c>
      <c r="R1866" t="str">
        <f>_xll.BDP("51778EAF Muni","MUNI_MSRB_VOLUME")</f>
        <v>#N/A N/A</v>
      </c>
      <c r="S1866" t="str">
        <f>_xll.BDP("51778EAF Muni","BB_COMPOSITE")</f>
        <v>#N/A N/A</v>
      </c>
      <c r="T1866">
        <f>_xll.BDP("51778EAF Muni","LQA_LIQUIDITY_SCORE")</f>
        <v>69</v>
      </c>
    </row>
    <row r="1867" spans="1:20" x14ac:dyDescent="0.25">
      <c r="A1867" t="str">
        <f>_xll.BDP("51778EAG Muni","ID_CUSIP")</f>
        <v>51778EAG7</v>
      </c>
      <c r="B1867" t="s">
        <v>494</v>
      </c>
      <c r="C1867" t="str">
        <f>_xll.BDP("51778EAG Muni","INSURANCE_STATUS")</f>
        <v>N</v>
      </c>
      <c r="D1867" t="str">
        <f>_xll.BDP("51778EAG Muni","STATE_CODE")</f>
        <v>NV</v>
      </c>
      <c r="E1867" t="str">
        <f>_xll.BDP("51778EAG Muni","COUNTY_LOCATION_ISSUER")</f>
        <v>#N/A Field Not Applicable</v>
      </c>
      <c r="F1867">
        <f>_xll.BDP("51778EAG Muni","DUR_ADJ_MID")</f>
        <v>1.7605330826015675</v>
      </c>
      <c r="G1867">
        <f>_xll.BDP("51778EAG Muni","SPREAD_AT_ISSUANCE_TO_WORST")</f>
        <v>167.52348137035224</v>
      </c>
      <c r="H1867" t="str">
        <f>_xll.BDP("51778EAG Muni","ISSUE_DT")</f>
        <v>8/2/2017</v>
      </c>
      <c r="I1867" t="str">
        <f>_xll.BDS("51778EAG Muni","MUNI_PURPOSE_SCHED", "aggregate=y")</f>
        <v>PUBLIC IMPS. WATER UTILITY IMPS. SEWER IMPS.</v>
      </c>
      <c r="J1867">
        <f>_xll.BDP("51778EAG Muni","CPN")</f>
        <v>3</v>
      </c>
      <c r="K1867" t="str">
        <f>_xll.BDP("51778EAG Muni","MATURITY")</f>
        <v>6/1/2024</v>
      </c>
      <c r="L1867">
        <v>260000</v>
      </c>
      <c r="M1867">
        <f>_xll.BDP("51778EAG Muni","YIELD_ON_ISSUE_DATE")</f>
        <v>3.19</v>
      </c>
      <c r="N1867">
        <f>_xll.BDP("51778EAG Muni","YTW_SPREAD_TO_MATURITY_AT_ISSU")</f>
        <v>167.52348137035224</v>
      </c>
      <c r="O1867" t="str">
        <f>_xll.BDP("51778EAG Muni","BVAL_MID_YTM")</f>
        <v>#N/A Authorization</v>
      </c>
      <c r="P1867" t="str">
        <f>_xll.BDP("51778EAG Muni","MUNI_TAX_PROV")</f>
        <v>FED &amp; ST TAX-EXEMPT</v>
      </c>
      <c r="Q1867" t="str">
        <f>_xll.BDP("51778EAG Muni","MUNI_FED_TAX")</f>
        <v>N</v>
      </c>
      <c r="R1867" t="str">
        <f>_xll.BDP("51778EAG Muni","MUNI_MSRB_VOLUME")</f>
        <v>#N/A N/A</v>
      </c>
      <c r="S1867" t="str">
        <f>_xll.BDP("51778EAG Muni","BB_COMPOSITE")</f>
        <v>#N/A N/A</v>
      </c>
      <c r="T1867">
        <f>_xll.BDP("51778EAG Muni","LQA_LIQUIDITY_SCORE")</f>
        <v>48</v>
      </c>
    </row>
    <row r="1868" spans="1:20" x14ac:dyDescent="0.25">
      <c r="A1868" t="str">
        <f>_xll.BDP("51778EAH Muni","ID_CUSIP")</f>
        <v>51778EAH5</v>
      </c>
      <c r="B1868" t="s">
        <v>494</v>
      </c>
      <c r="C1868" t="str">
        <f>_xll.BDP("51778EAH Muni","INSURANCE_STATUS")</f>
        <v>N</v>
      </c>
      <c r="D1868" t="str">
        <f>_xll.BDP("51778EAH Muni","STATE_CODE")</f>
        <v>NV</v>
      </c>
      <c r="E1868" t="str">
        <f>_xll.BDP("51778EAH Muni","COUNTY_LOCATION_ISSUER")</f>
        <v>#N/A Field Not Applicable</v>
      </c>
      <c r="F1868">
        <f>_xll.BDP("51778EAH Muni","DUR_ADJ_MID")</f>
        <v>2.6805570901338145</v>
      </c>
      <c r="G1868">
        <f>_xll.BDP("51778EAH Muni","SPREAD_AT_ISSUANCE_TO_WORST")</f>
        <v>171.46271051924609</v>
      </c>
      <c r="H1868" t="str">
        <f>_xll.BDP("51778EAH Muni","ISSUE_DT")</f>
        <v>8/2/2017</v>
      </c>
      <c r="I1868" t="str">
        <f>_xll.BDS("51778EAH Muni","MUNI_PURPOSE_SCHED", "aggregate=y")</f>
        <v>PUBLIC IMPS. WATER UTILITY IMPS. SEWER IMPS.</v>
      </c>
      <c r="J1868">
        <f>_xll.BDP("51778EAH Muni","CPN")</f>
        <v>3</v>
      </c>
      <c r="K1868" t="str">
        <f>_xll.BDP("51778EAH Muni","MATURITY")</f>
        <v>6/1/2025</v>
      </c>
      <c r="L1868">
        <v>265000</v>
      </c>
      <c r="M1868">
        <f>_xll.BDP("51778EAH Muni","YIELD_ON_ISSUE_DATE")</f>
        <v>3.38</v>
      </c>
      <c r="N1868">
        <f>_xll.BDP("51778EAH Muni","YTW_SPREAD_TO_MATURITY_AT_ISSU")</f>
        <v>171.46271051924609</v>
      </c>
      <c r="O1868" t="str">
        <f>_xll.BDP("51778EAH Muni","BVAL_MID_YTM")</f>
        <v>#N/A Authorization</v>
      </c>
      <c r="P1868" t="str">
        <f>_xll.BDP("51778EAH Muni","MUNI_TAX_PROV")</f>
        <v>FED &amp; ST TAX-EXEMPT</v>
      </c>
      <c r="Q1868" t="str">
        <f>_xll.BDP("51778EAH Muni","MUNI_FED_TAX")</f>
        <v>N</v>
      </c>
      <c r="R1868" t="str">
        <f>_xll.BDP("51778EAH Muni","MUNI_MSRB_VOLUME")</f>
        <v>#N/A N/A</v>
      </c>
      <c r="S1868" t="str">
        <f>_xll.BDP("51778EAH Muni","BB_COMPOSITE")</f>
        <v>#N/A N/A</v>
      </c>
      <c r="T1868">
        <f>_xll.BDP("51778EAH Muni","LQA_LIQUIDITY_SCORE")</f>
        <v>34</v>
      </c>
    </row>
    <row r="1869" spans="1:20" x14ac:dyDescent="0.25">
      <c r="A1869" t="str">
        <f>_xll.BDP("51778EAJ Muni","ID_CUSIP")</f>
        <v>51778EAJ1</v>
      </c>
      <c r="B1869" t="s">
        <v>494</v>
      </c>
      <c r="C1869" t="str">
        <f>_xll.BDP("51778EAJ Muni","INSURANCE_STATUS")</f>
        <v>N</v>
      </c>
      <c r="D1869" t="str">
        <f>_xll.BDP("51778EAJ Muni","STATE_CODE")</f>
        <v>NV</v>
      </c>
      <c r="E1869" t="str">
        <f>_xll.BDP("51778EAJ Muni","COUNTY_LOCATION_ISSUER")</f>
        <v>#N/A Field Not Applicable</v>
      </c>
      <c r="F1869">
        <f>_xll.BDP("51778EAJ Muni","DUR_ADJ_MID")</f>
        <v>3.5584048175851337</v>
      </c>
      <c r="G1869">
        <f>_xll.BDP("51778EAJ Muni","SPREAD_AT_ISSUANCE_TO_WORST")</f>
        <v>176.55446678708134</v>
      </c>
      <c r="H1869" t="str">
        <f>_xll.BDP("51778EAJ Muni","ISSUE_DT")</f>
        <v>8/2/2017</v>
      </c>
      <c r="I1869" t="str">
        <f>_xll.BDS("51778EAJ Muni","MUNI_PURPOSE_SCHED", "aggregate=y")</f>
        <v>PUBLIC IMPS. WATER UTILITY IMPS. SEWER IMPS.</v>
      </c>
      <c r="J1869">
        <f>_xll.BDP("51778EAJ Muni","CPN")</f>
        <v>3.25</v>
      </c>
      <c r="K1869" t="str">
        <f>_xll.BDP("51778EAJ Muni","MATURITY")</f>
        <v>6/1/2026</v>
      </c>
      <c r="L1869">
        <v>275000</v>
      </c>
      <c r="M1869">
        <f>_xll.BDP("51778EAJ Muni","YIELD_ON_ISSUE_DATE")</f>
        <v>3.5700000000000003</v>
      </c>
      <c r="N1869">
        <f>_xll.BDP("51778EAJ Muni","YTW_SPREAD_TO_MATURITY_AT_ISSU")</f>
        <v>176.55446678708134</v>
      </c>
      <c r="O1869" t="str">
        <f>_xll.BDP("51778EAJ Muni","BVAL_MID_YTM")</f>
        <v>#N/A Authorization</v>
      </c>
      <c r="P1869" t="str">
        <f>_xll.BDP("51778EAJ Muni","MUNI_TAX_PROV")</f>
        <v>FED &amp; ST TAX-EXEMPT</v>
      </c>
      <c r="Q1869" t="str">
        <f>_xll.BDP("51778EAJ Muni","MUNI_FED_TAX")</f>
        <v>N</v>
      </c>
      <c r="R1869" t="str">
        <f>_xll.BDP("51778EAJ Muni","MUNI_MSRB_VOLUME")</f>
        <v>#N/A N/A</v>
      </c>
      <c r="S1869" t="str">
        <f>_xll.BDP("51778EAJ Muni","BB_COMPOSITE")</f>
        <v>#N/A N/A</v>
      </c>
      <c r="T1869">
        <f>_xll.BDP("51778EAJ Muni","LQA_LIQUIDITY_SCORE")</f>
        <v>28</v>
      </c>
    </row>
    <row r="1870" spans="1:20" x14ac:dyDescent="0.25">
      <c r="A1870" t="str">
        <f>_xll.BDP("51778EAK Muni","ID_CUSIP")</f>
        <v>51778EAK8</v>
      </c>
      <c r="B1870" t="s">
        <v>494</v>
      </c>
      <c r="C1870" t="str">
        <f>_xll.BDP("51778EAK Muni","INSURANCE_STATUS")</f>
        <v>N</v>
      </c>
      <c r="D1870" t="str">
        <f>_xll.BDP("51778EAK Muni","STATE_CODE")</f>
        <v>NV</v>
      </c>
      <c r="E1870" t="str">
        <f>_xll.BDP("51778EAK Muni","COUNTY_LOCATION_ISSUER")</f>
        <v>#N/A Field Not Applicable</v>
      </c>
      <c r="F1870">
        <f>_xll.BDP("51778EAK Muni","DUR_ADJ_MID")</f>
        <v>4.3936041659004239</v>
      </c>
      <c r="G1870">
        <f>_xll.BDP("51778EAK Muni","SPREAD_AT_ISSUANCE_TO_WORST")</f>
        <v>180.2997220472885</v>
      </c>
      <c r="H1870" t="str">
        <f>_xll.BDP("51778EAK Muni","ISSUE_DT")</f>
        <v>8/2/2017</v>
      </c>
      <c r="I1870" t="str">
        <f>_xll.BDS("51778EAK Muni","MUNI_PURPOSE_SCHED", "aggregate=y")</f>
        <v>PUBLIC IMPS. WATER UTILITY IMPS. SEWER IMPS.</v>
      </c>
      <c r="J1870">
        <f>_xll.BDP("51778EAK Muni","CPN")</f>
        <v>3.5</v>
      </c>
      <c r="K1870" t="str">
        <f>_xll.BDP("51778EAK Muni","MATURITY")</f>
        <v>6/1/2027</v>
      </c>
      <c r="L1870">
        <v>285000</v>
      </c>
      <c r="M1870">
        <f>_xll.BDP("51778EAK Muni","YIELD_ON_ISSUE_DATE")</f>
        <v>3.72</v>
      </c>
      <c r="N1870">
        <f>_xll.BDP("51778EAK Muni","YTW_SPREAD_TO_MATURITY_AT_ISSU")</f>
        <v>180.2997220472885</v>
      </c>
      <c r="O1870" t="str">
        <f>_xll.BDP("51778EAK Muni","BVAL_MID_YTM")</f>
        <v>#N/A Authorization</v>
      </c>
      <c r="P1870" t="str">
        <f>_xll.BDP("51778EAK Muni","MUNI_TAX_PROV")</f>
        <v>FED &amp; ST TAX-EXEMPT</v>
      </c>
      <c r="Q1870" t="str">
        <f>_xll.BDP("51778EAK Muni","MUNI_FED_TAX")</f>
        <v>N</v>
      </c>
      <c r="R1870" t="str">
        <f>_xll.BDP("51778EAK Muni","MUNI_MSRB_VOLUME")</f>
        <v>#N/A N/A</v>
      </c>
      <c r="S1870" t="str">
        <f>_xll.BDP("51778EAK Muni","BB_COMPOSITE")</f>
        <v>#N/A N/A</v>
      </c>
      <c r="T1870">
        <f>_xll.BDP("51778EAK Muni","LQA_LIQUIDITY_SCORE")</f>
        <v>25</v>
      </c>
    </row>
    <row r="1871" spans="1:20" x14ac:dyDescent="0.25">
      <c r="A1871" t="str">
        <f>_xll.BDP("518799BX Muni","ID_CUSIP")</f>
        <v>518799BX8</v>
      </c>
      <c r="B1871" t="s">
        <v>495</v>
      </c>
      <c r="C1871" t="str">
        <f>_xll.BDP("518799BX Muni","INSURANCE_STATUS")</f>
        <v>N</v>
      </c>
      <c r="D1871" t="str">
        <f>_xll.BDP("518799BX Muni","STATE_CODE")</f>
        <v>MS</v>
      </c>
      <c r="E1871" t="str">
        <f>_xll.BDP("518799BX Muni","COUNTY_LOCATION_ISSUER")</f>
        <v>Jones, MS</v>
      </c>
      <c r="F1871">
        <f>_xll.BDP("518799BX Muni","DUR_ADJ_MID")</f>
        <v>0.81460356214246599</v>
      </c>
      <c r="G1871">
        <f>_xll.BDP("518799BX Muni","SPREAD_AT_ISSUANCE_TO_WORST")</f>
        <v>35.799537509005241</v>
      </c>
      <c r="H1871" t="str">
        <f>_xll.BDP("518799BX Muni","ISSUE_DT")</f>
        <v>7/6/2017</v>
      </c>
      <c r="I1871" t="str">
        <f>_xll.BDS("518799BX Muni","MUNI_PURPOSE_SCHED", "aggregate=y")</f>
        <v>WATER UTILITY IMPS. SEWER IMPS.</v>
      </c>
      <c r="J1871">
        <f>_xll.BDP("518799BX Muni","CPN")</f>
        <v>3</v>
      </c>
      <c r="K1871" t="str">
        <f>_xll.BDP("518799BX Muni","MATURITY")</f>
        <v>6/1/2023</v>
      </c>
      <c r="L1871">
        <v>160000</v>
      </c>
      <c r="M1871">
        <f>_xll.BDP("518799BX Muni","YIELD_ON_ISSUE_DATE")</f>
        <v>1.6500000000000001</v>
      </c>
      <c r="N1871">
        <f>_xll.BDP("518799BX Muni","YTW_SPREAD_TO_MATURITY_AT_ISSU")</f>
        <v>35.799537509005241</v>
      </c>
      <c r="O1871" t="str">
        <f>_xll.BDP("518799BX Muni","BVAL_MID_YTM")</f>
        <v>#N/A Authorization</v>
      </c>
      <c r="P1871" t="str">
        <f>_xll.BDP("518799BX Muni","MUNI_TAX_PROV")</f>
        <v>FED BQ/ST TAX-EXEMPT</v>
      </c>
      <c r="Q1871" t="str">
        <f>_xll.BDP("518799BX Muni","MUNI_FED_TAX")</f>
        <v>N</v>
      </c>
      <c r="R1871" t="str">
        <f>_xll.BDP("518799BX Muni","MUNI_MSRB_VOLUME")</f>
        <v>#N/A N/A</v>
      </c>
      <c r="S1871" t="str">
        <f>_xll.BDP("518799BX Muni","BB_COMPOSITE")</f>
        <v>#N/A N/A</v>
      </c>
      <c r="T1871">
        <f>_xll.BDP("518799BX Muni","LQA_LIQUIDITY_SCORE")</f>
        <v>86</v>
      </c>
    </row>
    <row r="1872" spans="1:20" x14ac:dyDescent="0.25">
      <c r="A1872" t="str">
        <f>_xll.BDP("518799BY Muni","ID_CUSIP")</f>
        <v>518799BY6</v>
      </c>
      <c r="B1872" t="s">
        <v>495</v>
      </c>
      <c r="C1872" t="str">
        <f>_xll.BDP("518799BY Muni","INSURANCE_STATUS")</f>
        <v>N</v>
      </c>
      <c r="D1872" t="str">
        <f>_xll.BDP("518799BY Muni","STATE_CODE")</f>
        <v>MS</v>
      </c>
      <c r="E1872" t="str">
        <f>_xll.BDP("518799BY Muni","COUNTY_LOCATION_ISSUER")</f>
        <v>Jones, MS</v>
      </c>
      <c r="F1872">
        <f>_xll.BDP("518799BY Muni","DUR_ADJ_MID")</f>
        <v>1.765111140571034</v>
      </c>
      <c r="G1872">
        <f>_xll.BDP("518799BY Muni","SPREAD_AT_ISSUANCE_TO_WORST")</f>
        <v>35.075457336550308</v>
      </c>
      <c r="H1872" t="str">
        <f>_xll.BDP("518799BY Muni","ISSUE_DT")</f>
        <v>7/6/2017</v>
      </c>
      <c r="I1872" t="str">
        <f>_xll.BDS("518799BY Muni","MUNI_PURPOSE_SCHED", "aggregate=y")</f>
        <v>WATER UTILITY IMPS. SEWER IMPS.</v>
      </c>
      <c r="J1872">
        <f>_xll.BDP("518799BY Muni","CPN")</f>
        <v>3</v>
      </c>
      <c r="K1872" t="str">
        <f>_xll.BDP("518799BY Muni","MATURITY")</f>
        <v>6/1/2024</v>
      </c>
      <c r="L1872">
        <v>165000</v>
      </c>
      <c r="M1872">
        <f>_xll.BDP("518799BY Muni","YIELD_ON_ISSUE_DATE")</f>
        <v>1.8</v>
      </c>
      <c r="N1872">
        <f>_xll.BDP("518799BY Muni","YTW_SPREAD_TO_MATURITY_AT_ISSU")</f>
        <v>35.075457336550308</v>
      </c>
      <c r="O1872" t="str">
        <f>_xll.BDP("518799BY Muni","BVAL_MID_YTM")</f>
        <v>#N/A Authorization</v>
      </c>
      <c r="P1872" t="str">
        <f>_xll.BDP("518799BY Muni","MUNI_TAX_PROV")</f>
        <v>FED BQ/ST TAX-EXEMPT</v>
      </c>
      <c r="Q1872" t="str">
        <f>_xll.BDP("518799BY Muni","MUNI_FED_TAX")</f>
        <v>N</v>
      </c>
      <c r="R1872" t="str">
        <f>_xll.BDP("518799BY Muni","MUNI_MSRB_VOLUME")</f>
        <v>#N/A N/A</v>
      </c>
      <c r="S1872" t="str">
        <f>_xll.BDP("518799BY Muni","BB_COMPOSITE")</f>
        <v>#N/A N/A</v>
      </c>
      <c r="T1872">
        <f>_xll.BDP("518799BY Muni","LQA_LIQUIDITY_SCORE")</f>
        <v>74</v>
      </c>
    </row>
    <row r="1873" spans="1:20" x14ac:dyDescent="0.25">
      <c r="A1873" t="str">
        <f>_xll.BDP("518799BZ Muni","ID_CUSIP")</f>
        <v>518799BZ3</v>
      </c>
      <c r="B1873" t="s">
        <v>495</v>
      </c>
      <c r="C1873" t="str">
        <f>_xll.BDP("518799BZ Muni","INSURANCE_STATUS")</f>
        <v>N</v>
      </c>
      <c r="D1873" t="str">
        <f>_xll.BDP("518799BZ Muni","STATE_CODE")</f>
        <v>MS</v>
      </c>
      <c r="E1873" t="str">
        <f>_xll.BDP("518799BZ Muni","COUNTY_LOCATION_ISSUER")</f>
        <v>Jones, MS</v>
      </c>
      <c r="F1873">
        <f>_xll.BDP("518799BZ Muni","DUR_ADJ_MID")</f>
        <v>2.7039144639300821</v>
      </c>
      <c r="G1873">
        <f>_xll.BDP("518799BZ Muni","SPREAD_AT_ISSUANCE_TO_WORST")</f>
        <v>39.43575579273444</v>
      </c>
      <c r="H1873" t="str">
        <f>_xll.BDP("518799BZ Muni","ISSUE_DT")</f>
        <v>7/6/2017</v>
      </c>
      <c r="I1873" t="str">
        <f>_xll.BDS("518799BZ Muni","MUNI_PURPOSE_SCHED", "aggregate=y")</f>
        <v>WATER UTILITY IMPS. SEWER IMPS.</v>
      </c>
      <c r="J1873">
        <f>_xll.BDP("518799BZ Muni","CPN")</f>
        <v>2.5</v>
      </c>
      <c r="K1873" t="str">
        <f>_xll.BDP("518799BZ Muni","MATURITY")</f>
        <v>6/1/2025</v>
      </c>
      <c r="L1873">
        <v>175000</v>
      </c>
      <c r="M1873">
        <f>_xll.BDP("518799BZ Muni","YIELD_ON_ISSUE_DATE")</f>
        <v>2</v>
      </c>
      <c r="N1873">
        <f>_xll.BDP("518799BZ Muni","YTW_SPREAD_TO_MATURITY_AT_ISSU")</f>
        <v>39.43575579273444</v>
      </c>
      <c r="O1873" t="str">
        <f>_xll.BDP("518799BZ Muni","BVAL_MID_YTM")</f>
        <v>#N/A Authorization</v>
      </c>
      <c r="P1873" t="str">
        <f>_xll.BDP("518799BZ Muni","MUNI_TAX_PROV")</f>
        <v>FED BQ/ST TAX-EXEMPT</v>
      </c>
      <c r="Q1873" t="str">
        <f>_xll.BDP("518799BZ Muni","MUNI_FED_TAX")</f>
        <v>N</v>
      </c>
      <c r="R1873" t="str">
        <f>_xll.BDP("518799BZ Muni","MUNI_MSRB_VOLUME")</f>
        <v>#N/A N/A</v>
      </c>
      <c r="S1873" t="str">
        <f>_xll.BDP("518799BZ Muni","BB_COMPOSITE")</f>
        <v>#N/A N/A</v>
      </c>
      <c r="T1873">
        <f>_xll.BDP("518799BZ Muni","LQA_LIQUIDITY_SCORE")</f>
        <v>61</v>
      </c>
    </row>
    <row r="1874" spans="1:20" x14ac:dyDescent="0.25">
      <c r="A1874" t="str">
        <f>_xll.BDP("518799CA Muni","ID_CUSIP")</f>
        <v>518799CA7</v>
      </c>
      <c r="B1874" t="s">
        <v>495</v>
      </c>
      <c r="C1874" t="str">
        <f>_xll.BDP("518799CA Muni","INSURANCE_STATUS")</f>
        <v>N</v>
      </c>
      <c r="D1874" t="str">
        <f>_xll.BDP("518799CA Muni","STATE_CODE")</f>
        <v>MS</v>
      </c>
      <c r="E1874" t="str">
        <f>_xll.BDP("518799CA Muni","COUNTY_LOCATION_ISSUER")</f>
        <v>Jones, MS</v>
      </c>
      <c r="F1874">
        <f>_xll.BDP("518799CA Muni","DUR_ADJ_MID")</f>
        <v>3.6114229752139182</v>
      </c>
      <c r="G1874">
        <f>_xll.BDP("518799CA Muni","SPREAD_AT_ISSUANCE_TO_WORST")</f>
        <v>45.258191829442993</v>
      </c>
      <c r="H1874" t="str">
        <f>_xll.BDP("518799CA Muni","ISSUE_DT")</f>
        <v>7/6/2017</v>
      </c>
      <c r="I1874" t="str">
        <f>_xll.BDS("518799CA Muni","MUNI_PURPOSE_SCHED", "aggregate=y")</f>
        <v>WATER UTILITY IMPS. SEWER IMPS.</v>
      </c>
      <c r="J1874">
        <f>_xll.BDP("518799CA Muni","CPN")</f>
        <v>2.5</v>
      </c>
      <c r="K1874" t="str">
        <f>_xll.BDP("518799CA Muni","MATURITY")</f>
        <v>6/1/2026</v>
      </c>
      <c r="L1874">
        <v>180000</v>
      </c>
      <c r="M1874">
        <f>_xll.BDP("518799CA Muni","YIELD_ON_ISSUE_DATE")</f>
        <v>2.2000000000000002</v>
      </c>
      <c r="N1874">
        <f>_xll.BDP("518799CA Muni","YTW_SPREAD_TO_MATURITY_AT_ISSU")</f>
        <v>45.258191829442993</v>
      </c>
      <c r="O1874" t="str">
        <f>_xll.BDP("518799CA Muni","BVAL_MID_YTM")</f>
        <v>#N/A Authorization</v>
      </c>
      <c r="P1874" t="str">
        <f>_xll.BDP("518799CA Muni","MUNI_TAX_PROV")</f>
        <v>FED BQ/ST TAX-EXEMPT</v>
      </c>
      <c r="Q1874" t="str">
        <f>_xll.BDP("518799CA Muni","MUNI_FED_TAX")</f>
        <v>N</v>
      </c>
      <c r="R1874" t="str">
        <f>_xll.BDP("518799CA Muni","MUNI_MSRB_VOLUME")</f>
        <v>#N/A N/A</v>
      </c>
      <c r="S1874" t="str">
        <f>_xll.BDP("518799CA Muni","BB_COMPOSITE")</f>
        <v>#N/A N/A</v>
      </c>
      <c r="T1874">
        <f>_xll.BDP("518799CA Muni","LQA_LIQUIDITY_SCORE")</f>
        <v>53</v>
      </c>
    </row>
    <row r="1875" spans="1:20" x14ac:dyDescent="0.25">
      <c r="A1875" t="str">
        <f>_xll.BDP("518799CB Muni","ID_CUSIP")</f>
        <v>518799CB5</v>
      </c>
      <c r="B1875" t="s">
        <v>495</v>
      </c>
      <c r="C1875" t="str">
        <f>_xll.BDP("518799CB Muni","INSURANCE_STATUS")</f>
        <v>N</v>
      </c>
      <c r="D1875" t="str">
        <f>_xll.BDP("518799CB Muni","STATE_CODE")</f>
        <v>MS</v>
      </c>
      <c r="E1875" t="str">
        <f>_xll.BDP("518799CB Muni","COUNTY_LOCATION_ISSUER")</f>
        <v>Jones, MS</v>
      </c>
      <c r="F1875">
        <f>_xll.BDP("518799CB Muni","DUR_ADJ_MID")</f>
        <v>4.4945907492600634</v>
      </c>
      <c r="G1875">
        <f>_xll.BDP("518799CB Muni","SPREAD_AT_ISSUANCE_TO_WORST")</f>
        <v>43.73892468833531</v>
      </c>
      <c r="H1875" t="str">
        <f>_xll.BDP("518799CB Muni","ISSUE_DT")</f>
        <v>7/6/2017</v>
      </c>
      <c r="I1875" t="str">
        <f>_xll.BDS("518799CB Muni","MUNI_PURPOSE_SCHED", "aggregate=y")</f>
        <v>WATER UTILITY IMPS. SEWER IMPS.</v>
      </c>
      <c r="J1875">
        <f>_xll.BDP("518799CB Muni","CPN")</f>
        <v>2.5</v>
      </c>
      <c r="K1875" t="str">
        <f>_xll.BDP("518799CB Muni","MATURITY")</f>
        <v>6/1/2027</v>
      </c>
      <c r="L1875">
        <v>190000</v>
      </c>
      <c r="M1875">
        <f>_xll.BDP("518799CB Muni","YIELD_ON_ISSUE_DATE")</f>
        <v>2.3000000000000003</v>
      </c>
      <c r="N1875">
        <f>_xll.BDP("518799CB Muni","YTW_SPREAD_TO_MATURITY_AT_ISSU")</f>
        <v>43.73892468833531</v>
      </c>
      <c r="O1875" t="str">
        <f>_xll.BDP("518799CB Muni","BVAL_MID_YTM")</f>
        <v>#N/A Authorization</v>
      </c>
      <c r="P1875" t="str">
        <f>_xll.BDP("518799CB Muni","MUNI_TAX_PROV")</f>
        <v>FED BQ/ST TAX-EXEMPT</v>
      </c>
      <c r="Q1875" t="str">
        <f>_xll.BDP("518799CB Muni","MUNI_FED_TAX")</f>
        <v>N</v>
      </c>
      <c r="R1875" t="str">
        <f>_xll.BDP("518799CB Muni","MUNI_MSRB_VOLUME")</f>
        <v>#N/A N/A</v>
      </c>
      <c r="S1875" t="str">
        <f>_xll.BDP("518799CB Muni","BB_COMPOSITE")</f>
        <v>#N/A N/A</v>
      </c>
      <c r="T1875">
        <f>_xll.BDP("518799CB Muni","LQA_LIQUIDITY_SCORE")</f>
        <v>46</v>
      </c>
    </row>
    <row r="1876" spans="1:20" x14ac:dyDescent="0.25">
      <c r="A1876" t="str">
        <f>_xll.BDP("520192PY Muni","ID_CUSIP")</f>
        <v>520192PY5</v>
      </c>
      <c r="B1876" t="s">
        <v>496</v>
      </c>
      <c r="C1876" t="str">
        <f>_xll.BDP("520192PY Muni","INSURANCE_STATUS")</f>
        <v>N</v>
      </c>
      <c r="D1876" t="str">
        <f>_xll.BDP("520192PY Muni","STATE_CODE")</f>
        <v>KS</v>
      </c>
      <c r="E1876" t="str">
        <f>_xll.BDP("520192PY Muni","COUNTY_LOCATION_ISSUER")</f>
        <v>Douglas, KS</v>
      </c>
      <c r="F1876">
        <f>_xll.BDP("520192PY Muni","DUR_ADJ_MID")</f>
        <v>0.24667661833804738</v>
      </c>
      <c r="G1876">
        <f>_xll.BDP("520192PY Muni","SPREAD_AT_ISSUANCE_TO_WORST")</f>
        <v>14.292397260273981</v>
      </c>
      <c r="H1876" t="str">
        <f>_xll.BDP("520192PY Muni","ISSUE_DT")</f>
        <v>12/28/2017</v>
      </c>
      <c r="I1876" t="str">
        <f>_xll.BDS("520192PY Muni","MUNI_PURPOSE_SCHED", "aggregate=y")</f>
        <v>WATER UTILITY IMPS. SEWER IMPS. ADVANCE REFUNDING</v>
      </c>
      <c r="J1876">
        <f>_xll.BDP("520192PY Muni","CPN")</f>
        <v>5</v>
      </c>
      <c r="K1876" t="str">
        <f>_xll.BDP("520192PY Muni","MATURITY")</f>
        <v>11/1/2022</v>
      </c>
      <c r="L1876">
        <v>760000</v>
      </c>
      <c r="M1876">
        <f>_xll.BDP("520192PY Muni","YIELD_ON_ISSUE_DATE")</f>
        <v>1.79</v>
      </c>
      <c r="N1876">
        <f>_xll.BDP("520192PY Muni","YTW_SPREAD_TO_MATURITY_AT_ISSU")</f>
        <v>14.292397260273981</v>
      </c>
      <c r="O1876" t="str">
        <f>_xll.BDP("520192PY Muni","BVAL_MID_YTM")</f>
        <v>#N/A Authorization</v>
      </c>
      <c r="P1876" t="str">
        <f>_xll.BDP("520192PY Muni","MUNI_TAX_PROV")</f>
        <v>FED &amp; ST TAX-EXEMPT</v>
      </c>
      <c r="Q1876" t="str">
        <f>_xll.BDP("520192PY Muni","MUNI_FED_TAX")</f>
        <v>N</v>
      </c>
      <c r="R1876" t="str">
        <f>_xll.BDP("520192PY Muni","MUNI_MSRB_VOLUME")</f>
        <v>#N/A N/A</v>
      </c>
      <c r="S1876" t="str">
        <f>_xll.BDP("520192PY Muni","BB_COMPOSITE")</f>
        <v>#N/A N/A</v>
      </c>
      <c r="T1876">
        <f>_xll.BDP("520192PY Muni","LQA_LIQUIDITY_SCORE")</f>
        <v>95</v>
      </c>
    </row>
    <row r="1877" spans="1:20" x14ac:dyDescent="0.25">
      <c r="A1877" t="str">
        <f>_xll.BDP("520192PZ Muni","ID_CUSIP")</f>
        <v>520192PZ2</v>
      </c>
      <c r="B1877" t="s">
        <v>496</v>
      </c>
      <c r="C1877" t="str">
        <f>_xll.BDP("520192PZ Muni","INSURANCE_STATUS")</f>
        <v>N</v>
      </c>
      <c r="D1877" t="str">
        <f>_xll.BDP("520192PZ Muni","STATE_CODE")</f>
        <v>KS</v>
      </c>
      <c r="E1877" t="str">
        <f>_xll.BDP("520192PZ Muni","COUNTY_LOCATION_ISSUER")</f>
        <v>Douglas, KS</v>
      </c>
      <c r="F1877">
        <f>_xll.BDP("520192PZ Muni","DUR_ADJ_MID")</f>
        <v>1.202751928826854</v>
      </c>
      <c r="G1877">
        <f>_xll.BDP("520192PZ Muni","SPREAD_AT_ISSUANCE_TO_WORST")</f>
        <v>19.269123287671231</v>
      </c>
      <c r="H1877" t="str">
        <f>_xll.BDP("520192PZ Muni","ISSUE_DT")</f>
        <v>12/28/2017</v>
      </c>
      <c r="I1877" t="str">
        <f>_xll.BDS("520192PZ Muni","MUNI_PURPOSE_SCHED", "aggregate=y")</f>
        <v>WATER UTILITY IMPS. SEWER IMPS. ADVANCE REFUNDING</v>
      </c>
      <c r="J1877">
        <f>_xll.BDP("520192PZ Muni","CPN")</f>
        <v>5</v>
      </c>
      <c r="K1877" t="str">
        <f>_xll.BDP("520192PZ Muni","MATURITY")</f>
        <v>11/1/2023</v>
      </c>
      <c r="L1877">
        <v>795000</v>
      </c>
      <c r="M1877">
        <f>_xll.BDP("520192PZ Muni","YIELD_ON_ISSUE_DATE")</f>
        <v>1.9000000000000001</v>
      </c>
      <c r="N1877">
        <f>_xll.BDP("520192PZ Muni","YTW_SPREAD_TO_MATURITY_AT_ISSU")</f>
        <v>19.269123287671231</v>
      </c>
      <c r="O1877" t="str">
        <f>_xll.BDP("520192PZ Muni","BVAL_MID_YTM")</f>
        <v>#N/A Authorization</v>
      </c>
      <c r="P1877" t="str">
        <f>_xll.BDP("520192PZ Muni","MUNI_TAX_PROV")</f>
        <v>FED &amp; ST TAX-EXEMPT</v>
      </c>
      <c r="Q1877" t="str">
        <f>_xll.BDP("520192PZ Muni","MUNI_FED_TAX")</f>
        <v>N</v>
      </c>
      <c r="R1877" t="str">
        <f>_xll.BDP("520192PZ Muni","MUNI_MSRB_VOLUME")</f>
        <v>#N/A N/A</v>
      </c>
      <c r="S1877" t="str">
        <f>_xll.BDP("520192PZ Muni","BB_COMPOSITE")</f>
        <v>#N/A N/A</v>
      </c>
      <c r="T1877">
        <f>_xll.BDP("520192PZ Muni","LQA_LIQUIDITY_SCORE")</f>
        <v>87</v>
      </c>
    </row>
    <row r="1878" spans="1:20" x14ac:dyDescent="0.25">
      <c r="A1878" t="str">
        <f>_xll.BDP("520192QA Muni","ID_CUSIP")</f>
        <v>520192QA6</v>
      </c>
      <c r="B1878" t="s">
        <v>496</v>
      </c>
      <c r="C1878" t="str">
        <f>_xll.BDP("520192QA Muni","INSURANCE_STATUS")</f>
        <v>N</v>
      </c>
      <c r="D1878" t="str">
        <f>_xll.BDP("520192QA Muni","STATE_CODE")</f>
        <v>KS</v>
      </c>
      <c r="E1878" t="str">
        <f>_xll.BDP("520192QA Muni","COUNTY_LOCATION_ISSUER")</f>
        <v>Douglas, KS</v>
      </c>
      <c r="F1878">
        <f>_xll.BDP("520192QA Muni","DUR_ADJ_MID")</f>
        <v>2.1151112361419915</v>
      </c>
      <c r="G1878">
        <f>_xll.BDP("520192QA Muni","SPREAD_AT_ISSUANCE_TO_WORST")</f>
        <v>21.138772602739706</v>
      </c>
      <c r="H1878" t="str">
        <f>_xll.BDP("520192QA Muni","ISSUE_DT")</f>
        <v>12/28/2017</v>
      </c>
      <c r="I1878" t="str">
        <f>_xll.BDS("520192QA Muni","MUNI_PURPOSE_SCHED", "aggregate=y")</f>
        <v>WATER UTILITY IMPS. SEWER IMPS. ADVANCE REFUNDING</v>
      </c>
      <c r="J1878">
        <f>_xll.BDP("520192QA Muni","CPN")</f>
        <v>5</v>
      </c>
      <c r="K1878" t="str">
        <f>_xll.BDP("520192QA Muni","MATURITY")</f>
        <v>11/1/2024</v>
      </c>
      <c r="L1878">
        <v>835000</v>
      </c>
      <c r="M1878">
        <f>_xll.BDP("520192QA Muni","YIELD_ON_ISSUE_DATE")</f>
        <v>1.99</v>
      </c>
      <c r="N1878">
        <f>_xll.BDP("520192QA Muni","YTW_SPREAD_TO_MATURITY_AT_ISSU")</f>
        <v>21.138772602739706</v>
      </c>
      <c r="O1878" t="str">
        <f>_xll.BDP("520192QA Muni","BVAL_MID_YTM")</f>
        <v>#N/A Authorization</v>
      </c>
      <c r="P1878" t="str">
        <f>_xll.BDP("520192QA Muni","MUNI_TAX_PROV")</f>
        <v>FED &amp; ST TAX-EXEMPT</v>
      </c>
      <c r="Q1878" t="str">
        <f>_xll.BDP("520192QA Muni","MUNI_FED_TAX")</f>
        <v>N</v>
      </c>
      <c r="R1878">
        <f>_xll.BDP("520192QA Muni","MUNI_MSRB_VOLUME")</f>
        <v>15000</v>
      </c>
      <c r="S1878" t="str">
        <f>_xll.BDP("520192QA Muni","BB_COMPOSITE")</f>
        <v>#N/A N/A</v>
      </c>
      <c r="T1878">
        <f>_xll.BDP("520192QA Muni","LQA_LIQUIDITY_SCORE")</f>
        <v>80</v>
      </c>
    </row>
    <row r="1879" spans="1:20" x14ac:dyDescent="0.25">
      <c r="A1879" t="str">
        <f>_xll.BDP("520192QB Muni","ID_CUSIP")</f>
        <v>520192QB4</v>
      </c>
      <c r="B1879" t="s">
        <v>496</v>
      </c>
      <c r="C1879" t="str">
        <f>_xll.BDP("520192QB Muni","INSURANCE_STATUS")</f>
        <v>N</v>
      </c>
      <c r="D1879" t="str">
        <f>_xll.BDP("520192QB Muni","STATE_CODE")</f>
        <v>KS</v>
      </c>
      <c r="E1879" t="str">
        <f>_xll.BDP("520192QB Muni","COUNTY_LOCATION_ISSUER")</f>
        <v>Douglas, KS</v>
      </c>
      <c r="F1879">
        <f>_xll.BDP("520192QB Muni","DUR_ADJ_MID")</f>
        <v>2.9882663620326695</v>
      </c>
      <c r="G1879">
        <f>_xll.BDP("520192QB Muni","SPREAD_AT_ISSUANCE_TO_WORST")</f>
        <v>20.28404657534244</v>
      </c>
      <c r="H1879" t="str">
        <f>_xll.BDP("520192QB Muni","ISSUE_DT")</f>
        <v>12/28/2017</v>
      </c>
      <c r="I1879" t="str">
        <f>_xll.BDS("520192QB Muni","MUNI_PURPOSE_SCHED", "aggregate=y")</f>
        <v>WATER UTILITY IMPS. SEWER IMPS. ADVANCE REFUNDING</v>
      </c>
      <c r="J1879">
        <f>_xll.BDP("520192QB Muni","CPN")</f>
        <v>5</v>
      </c>
      <c r="K1879" t="str">
        <f>_xll.BDP("520192QB Muni","MATURITY")</f>
        <v>11/1/2025</v>
      </c>
      <c r="L1879">
        <v>885000</v>
      </c>
      <c r="M1879">
        <f>_xll.BDP("520192QB Muni","YIELD_ON_ISSUE_DATE")</f>
        <v>2.0699999999999998</v>
      </c>
      <c r="N1879">
        <f>_xll.BDP("520192QB Muni","YTW_SPREAD_TO_MATURITY_AT_ISSU")</f>
        <v>20.28404657534244</v>
      </c>
      <c r="O1879" t="str">
        <f>_xll.BDP("520192QB Muni","BVAL_MID_YTM")</f>
        <v>#N/A Authorization</v>
      </c>
      <c r="P1879" t="str">
        <f>_xll.BDP("520192QB Muni","MUNI_TAX_PROV")</f>
        <v>FED &amp; ST TAX-EXEMPT</v>
      </c>
      <c r="Q1879" t="str">
        <f>_xll.BDP("520192QB Muni","MUNI_FED_TAX")</f>
        <v>N</v>
      </c>
      <c r="R1879" t="str">
        <f>_xll.BDP("520192QB Muni","MUNI_MSRB_VOLUME")</f>
        <v>#N/A N/A</v>
      </c>
      <c r="S1879" t="str">
        <f>_xll.BDP("520192QB Muni","BB_COMPOSITE")</f>
        <v>#N/A N/A</v>
      </c>
      <c r="T1879">
        <f>_xll.BDP("520192QB Muni","LQA_LIQUIDITY_SCORE")</f>
        <v>69</v>
      </c>
    </row>
    <row r="1880" spans="1:20" x14ac:dyDescent="0.25">
      <c r="A1880" t="str">
        <f>_xll.BDP("520192QC Muni","ID_CUSIP")</f>
        <v>520192QC2</v>
      </c>
      <c r="B1880" t="s">
        <v>496</v>
      </c>
      <c r="C1880" t="str">
        <f>_xll.BDP("520192QC Muni","INSURANCE_STATUS")</f>
        <v>N</v>
      </c>
      <c r="D1880" t="str">
        <f>_xll.BDP("520192QC Muni","STATE_CODE")</f>
        <v>KS</v>
      </c>
      <c r="E1880" t="str">
        <f>_xll.BDP("520192QC Muni","COUNTY_LOCATION_ISSUER")</f>
        <v>Douglas, KS</v>
      </c>
      <c r="F1880">
        <f>_xll.BDP("520192QC Muni","DUR_ADJ_MID")</f>
        <v>3.8248925599123704</v>
      </c>
      <c r="G1880">
        <f>_xll.BDP("520192QC Muni","SPREAD_AT_ISSUANCE_TO_WORST")</f>
        <v>21.823605479452056</v>
      </c>
      <c r="H1880" t="str">
        <f>_xll.BDP("520192QC Muni","ISSUE_DT")</f>
        <v>12/28/2017</v>
      </c>
      <c r="I1880" t="str">
        <f>_xll.BDS("520192QC Muni","MUNI_PURPOSE_SCHED", "aggregate=y")</f>
        <v>WATER UTILITY IMPS. SEWER IMPS. ADVANCE REFUNDING</v>
      </c>
      <c r="J1880">
        <f>_xll.BDP("520192QC Muni","CPN")</f>
        <v>5</v>
      </c>
      <c r="K1880" t="str">
        <f>_xll.BDP("520192QC Muni","MATURITY")</f>
        <v>11/1/2026</v>
      </c>
      <c r="L1880">
        <v>920000</v>
      </c>
      <c r="M1880">
        <f>_xll.BDP("520192QC Muni","YIELD_ON_ISSUE_DATE")</f>
        <v>2.16</v>
      </c>
      <c r="N1880">
        <f>_xll.BDP("520192QC Muni","YTW_SPREAD_TO_MATURITY_AT_ISSU")</f>
        <v>21.823605479452056</v>
      </c>
      <c r="O1880" t="str">
        <f>_xll.BDP("520192QC Muni","BVAL_MID_YTM")</f>
        <v>#N/A Authorization</v>
      </c>
      <c r="P1880" t="str">
        <f>_xll.BDP("520192QC Muni","MUNI_TAX_PROV")</f>
        <v>FED &amp; ST TAX-EXEMPT</v>
      </c>
      <c r="Q1880" t="str">
        <f>_xll.BDP("520192QC Muni","MUNI_FED_TAX")</f>
        <v>N</v>
      </c>
      <c r="R1880" t="str">
        <f>_xll.BDP("520192QC Muni","MUNI_MSRB_VOLUME")</f>
        <v>#N/A N/A</v>
      </c>
      <c r="S1880" t="str">
        <f>_xll.BDP("520192QC Muni","BB_COMPOSITE")</f>
        <v>#N/A N/A</v>
      </c>
      <c r="T1880">
        <f>_xll.BDP("520192QC Muni","LQA_LIQUIDITY_SCORE")</f>
        <v>61</v>
      </c>
    </row>
    <row r="1881" spans="1:20" x14ac:dyDescent="0.25">
      <c r="A1881" t="str">
        <f>_xll.BDP("514489DE Muni","ID_CUSIP")</f>
        <v>514489DE0</v>
      </c>
      <c r="B1881" t="s">
        <v>455</v>
      </c>
      <c r="C1881" t="str">
        <f>_xll.BDP("514489DE Muni","INSURANCE_STATUS")</f>
        <v>N</v>
      </c>
      <c r="D1881" t="str">
        <f>_xll.BDP("514489DE Muni","STATE_CODE")</f>
        <v>TX</v>
      </c>
      <c r="E1881" t="str">
        <f>_xll.BDP("514489DE Muni","COUNTY_LOCATION_ISSUER")</f>
        <v>Dallas, TX</v>
      </c>
      <c r="F1881">
        <f>_xll.BDP("514489DE Muni","DUR_ADJ_MID")</f>
        <v>5.5550843590619972E-3</v>
      </c>
      <c r="G1881">
        <f>_xll.BDP("514489DE Muni","SPREAD_AT_ISSUANCE_TO_WORST")</f>
        <v>93.665328767123285</v>
      </c>
      <c r="H1881" t="str">
        <f>_xll.BDP("514489DE Muni","ISSUE_DT")</f>
        <v>12/1/2017</v>
      </c>
      <c r="I1881" t="str">
        <f>_xll.BDS("514489DE Muni","MUNI_PURPOSE_SCHED", "aggregate=y")</f>
        <v>WATER UTILITY IMPS. SEWER IMPS.</v>
      </c>
      <c r="J1881">
        <f>_xll.BDP("514489DE Muni","CPN")</f>
        <v>2.4</v>
      </c>
      <c r="K1881" t="str">
        <f>_xll.BDP("514489DE Muni","MATURITY")</f>
        <v>8/1/2022</v>
      </c>
      <c r="L1881">
        <v>50000</v>
      </c>
      <c r="M1881">
        <f>_xll.BDP("514489DE Muni","YIELD_ON_ISSUE_DATE")</f>
        <v>2.4000000000000004</v>
      </c>
      <c r="N1881">
        <f>_xll.BDP("514489DE Muni","YTW_SPREAD_TO_MATURITY_AT_ISSU")</f>
        <v>93.665328767123285</v>
      </c>
      <c r="O1881" t="str">
        <f>_xll.BDP("514489DE Muni","BVAL_MID_YTM")</f>
        <v>#N/A Authorization</v>
      </c>
      <c r="P1881" t="str">
        <f>_xll.BDP("514489DE Muni","MUNI_TAX_PROV")</f>
        <v>FED BQ</v>
      </c>
      <c r="Q1881" t="str">
        <f>_xll.BDP("514489DE Muni","MUNI_FED_TAX")</f>
        <v>N</v>
      </c>
      <c r="R1881" t="str">
        <f>_xll.BDP("514489DE Muni","MUNI_MSRB_VOLUME")</f>
        <v>#N/A N/A</v>
      </c>
      <c r="S1881" t="str">
        <f>_xll.BDP("514489DE Muni","BB_COMPOSITE")</f>
        <v>#N/A N/A</v>
      </c>
      <c r="T1881">
        <f>_xll.BDP("514489DE Muni","LQA_LIQUIDITY_SCORE")</f>
        <v>99</v>
      </c>
    </row>
    <row r="1882" spans="1:20" x14ac:dyDescent="0.25">
      <c r="A1882" t="str">
        <f>_xll.BDP("514489DG Muni","ID_CUSIP")</f>
        <v>514489DG5</v>
      </c>
      <c r="B1882" t="s">
        <v>455</v>
      </c>
      <c r="C1882" t="str">
        <f>_xll.BDP("514489DG Muni","INSURANCE_STATUS")</f>
        <v>N</v>
      </c>
      <c r="D1882" t="str">
        <f>_xll.BDP("514489DG Muni","STATE_CODE")</f>
        <v>TX</v>
      </c>
      <c r="E1882" t="str">
        <f>_xll.BDP("514489DG Muni","COUNTY_LOCATION_ISSUER")</f>
        <v>Dallas, TX</v>
      </c>
      <c r="F1882">
        <f>_xll.BDP("514489DG Muni","DUR_ADJ_MID")</f>
        <v>1.9334686234569585</v>
      </c>
      <c r="G1882">
        <f>_xll.BDP("514489DG Muni","SPREAD_AT_ISSUANCE_TO_WORST")</f>
        <v>112.11447397260272</v>
      </c>
      <c r="H1882" t="str">
        <f>_xll.BDP("514489DG Muni","ISSUE_DT")</f>
        <v>12/1/2017</v>
      </c>
      <c r="I1882" t="str">
        <f>_xll.BDS("514489DG Muni","MUNI_PURPOSE_SCHED", "aggregate=y")</f>
        <v>WATER UTILITY IMPS. SEWER IMPS.</v>
      </c>
      <c r="J1882">
        <f>_xll.BDP("514489DG Muni","CPN")</f>
        <v>2.8</v>
      </c>
      <c r="K1882" t="str">
        <f>_xll.BDP("514489DG Muni","MATURITY")</f>
        <v>8/1/2024</v>
      </c>
      <c r="L1882">
        <v>50000</v>
      </c>
      <c r="M1882">
        <f>_xll.BDP("514489DG Muni","YIELD_ON_ISSUE_DATE")</f>
        <v>2.8000000000000003</v>
      </c>
      <c r="N1882">
        <f>_xll.BDP("514489DG Muni","YTW_SPREAD_TO_MATURITY_AT_ISSU")</f>
        <v>112.11447397260272</v>
      </c>
      <c r="O1882" t="str">
        <f>_xll.BDP("514489DG Muni","BVAL_MID_YTM")</f>
        <v>#N/A Authorization</v>
      </c>
      <c r="P1882" t="str">
        <f>_xll.BDP("514489DG Muni","MUNI_TAX_PROV")</f>
        <v>FED BQ</v>
      </c>
      <c r="Q1882" t="str">
        <f>_xll.BDP("514489DG Muni","MUNI_FED_TAX")</f>
        <v>N</v>
      </c>
      <c r="R1882" t="str">
        <f>_xll.BDP("514489DG Muni","MUNI_MSRB_VOLUME")</f>
        <v>#N/A N/A</v>
      </c>
      <c r="S1882" t="str">
        <f>_xll.BDP("514489DG Muni","BB_COMPOSITE")</f>
        <v>#N/A N/A</v>
      </c>
      <c r="T1882">
        <f>_xll.BDP("514489DG Muni","LQA_LIQUIDITY_SCORE")</f>
        <v>74</v>
      </c>
    </row>
    <row r="1883" spans="1:20" x14ac:dyDescent="0.25">
      <c r="A1883" t="str">
        <f>_xll.BDP("515723LS Muni","ID_CUSIP")</f>
        <v>515723LS1</v>
      </c>
      <c r="B1883" t="s">
        <v>497</v>
      </c>
      <c r="C1883" t="str">
        <f>_xll.BDP("515723LS Muni","INSURANCE_STATUS")</f>
        <v>Y</v>
      </c>
      <c r="D1883" t="str">
        <f>_xll.BDP("515723LS Muni","STATE_CODE")</f>
        <v>TX</v>
      </c>
      <c r="E1883" t="str">
        <f>_xll.BDP("515723LS Muni","COUNTY_LOCATION_ISSUER")</f>
        <v>Harris, TX</v>
      </c>
      <c r="F1883">
        <f>_xll.BDP("515723LS Muni","DUR_ADJ_MID")</f>
        <v>2.56402497449045</v>
      </c>
      <c r="G1883">
        <f>_xll.BDP("515723LS Muni","SPREAD_AT_ISSUANCE_TO_WORST")</f>
        <v>47.273375318111199</v>
      </c>
      <c r="H1883" t="str">
        <f>_xll.BDP("515723LS Muni","ISSUE_DT")</f>
        <v>7/1/2017</v>
      </c>
      <c r="I1883" t="str">
        <f>_xll.BDS("515723LS Muni","MUNI_PURPOSE_SCHED", "aggregate=y")</f>
        <v>WATER UTILITY IMPS. SEWER IMPS.</v>
      </c>
      <c r="J1883">
        <f>_xll.BDP("515723LS Muni","CPN")</f>
        <v>2</v>
      </c>
      <c r="K1883" t="str">
        <f>_xll.BDP("515723LS Muni","MATURITY")</f>
        <v>4/1/2025</v>
      </c>
      <c r="L1883">
        <v>130000</v>
      </c>
      <c r="M1883">
        <f>_xll.BDP("515723LS Muni","YIELD_ON_ISSUE_DATE")</f>
        <v>2.1</v>
      </c>
      <c r="N1883">
        <f>_xll.BDP("515723LS Muni","YTW_SPREAD_TO_MATURITY_AT_ISSU")</f>
        <v>47.273375318111199</v>
      </c>
      <c r="O1883" t="str">
        <f>_xll.BDP("515723LS Muni","BVAL_MID_YTM")</f>
        <v>#N/A Authorization</v>
      </c>
      <c r="P1883" t="str">
        <f>_xll.BDP("515723LS Muni","MUNI_TAX_PROV")</f>
        <v>FED BQ</v>
      </c>
      <c r="Q1883" t="str">
        <f>_xll.BDP("515723LS Muni","MUNI_FED_TAX")</f>
        <v>N</v>
      </c>
      <c r="R1883" t="str">
        <f>_xll.BDP("515723LS Muni","MUNI_MSRB_VOLUME")</f>
        <v>#N/A N/A</v>
      </c>
      <c r="S1883" t="str">
        <f>_xll.BDP("515723LS Muni","BB_COMPOSITE")</f>
        <v>#N/A N/A</v>
      </c>
      <c r="T1883">
        <f>_xll.BDP("515723LS Muni","LQA_LIQUIDITY_SCORE")</f>
        <v>70</v>
      </c>
    </row>
    <row r="1884" spans="1:20" x14ac:dyDescent="0.25">
      <c r="A1884" t="str">
        <f>_xll.BDP("516768JH Muni","ID_CUSIP")</f>
        <v>516768JH2</v>
      </c>
      <c r="B1884" t="s">
        <v>152</v>
      </c>
      <c r="C1884" t="str">
        <f>_xll.BDP("516768JH Muni","INSURANCE_STATUS")</f>
        <v>N</v>
      </c>
      <c r="D1884" t="str">
        <f>_xll.BDP("516768JH Muni","STATE_CODE")</f>
        <v>NY</v>
      </c>
      <c r="E1884" t="str">
        <f>_xll.BDP("516768JH Muni","COUNTY_LOCATION_ISSUER")</f>
        <v>Westchester, NY</v>
      </c>
      <c r="F1884">
        <f>_xll.BDP("516768JH Muni","DUR_ADJ_MID")</f>
        <v>8.0478141582691634E-2</v>
      </c>
      <c r="G1884">
        <f>_xll.BDP("516768JH Muni","SPREAD_AT_ISSUANCE_TO_WORST")</f>
        <v>-3.722012474267089</v>
      </c>
      <c r="H1884" t="str">
        <f>_xll.BDP("516768JH Muni","ISSUE_DT")</f>
        <v>2/1/2017</v>
      </c>
      <c r="I1884" t="str">
        <f>_xll.BDS("516768JH Muni","MUNI_PURPOSE_SCHED", "aggregate=y")</f>
        <v>WATER UTILITY IMPS. PUBLIC IMPS.</v>
      </c>
      <c r="J1884">
        <f>_xll.BDP("516768JH Muni","CPN")</f>
        <v>2</v>
      </c>
      <c r="K1884" t="str">
        <f>_xll.BDP("516768JH Muni","MATURITY")</f>
        <v>9/1/2022</v>
      </c>
      <c r="L1884">
        <v>370000</v>
      </c>
      <c r="M1884">
        <f>_xll.BDP("516768JH Muni","YIELD_ON_ISSUE_DATE")</f>
        <v>1.6</v>
      </c>
      <c r="N1884">
        <f>_xll.BDP("516768JH Muni","YTW_SPREAD_TO_MATURITY_AT_ISSU")</f>
        <v>-3.722012474267089</v>
      </c>
      <c r="O1884" t="str">
        <f>_xll.BDP("516768JH Muni","BVAL_MID_YTM")</f>
        <v>#N/A Authorization</v>
      </c>
      <c r="P1884" t="str">
        <f>_xll.BDP("516768JH Muni","MUNI_TAX_PROV")</f>
        <v>FED BQ/ST TAX-EXEMPT</v>
      </c>
      <c r="Q1884" t="str">
        <f>_xll.BDP("516768JH Muni","MUNI_FED_TAX")</f>
        <v>N</v>
      </c>
      <c r="R1884" t="str">
        <f>_xll.BDP("516768JH Muni","MUNI_MSRB_VOLUME")</f>
        <v>#N/A N/A</v>
      </c>
      <c r="S1884" t="str">
        <f>_xll.BDP("516768JH Muni","BB_COMPOSITE")</f>
        <v>#N/A N/A</v>
      </c>
      <c r="T1884">
        <f>_xll.BDP("516768JH Muni","LQA_LIQUIDITY_SCORE")</f>
        <v>98</v>
      </c>
    </row>
    <row r="1885" spans="1:20" x14ac:dyDescent="0.25">
      <c r="A1885" t="str">
        <f>_xll.BDP("516768JK Muni","ID_CUSIP")</f>
        <v>516768JK5</v>
      </c>
      <c r="B1885" t="s">
        <v>152</v>
      </c>
      <c r="C1885" t="str">
        <f>_xll.BDP("516768JK Muni","INSURANCE_STATUS")</f>
        <v>N</v>
      </c>
      <c r="D1885" t="str">
        <f>_xll.BDP("516768JK Muni","STATE_CODE")</f>
        <v>NY</v>
      </c>
      <c r="E1885" t="str">
        <f>_xll.BDP("516768JK Muni","COUNTY_LOCATION_ISSUER")</f>
        <v>Westchester, NY</v>
      </c>
      <c r="F1885">
        <f>_xll.BDP("516768JK Muni","DUR_ADJ_MID")</f>
        <v>2.0109758964202342</v>
      </c>
      <c r="G1885">
        <f>_xll.BDP("516768JK Muni","SPREAD_AT_ISSUANCE_TO_WORST")</f>
        <v>5.3379429439323278</v>
      </c>
      <c r="H1885" t="str">
        <f>_xll.BDP("516768JK Muni","ISSUE_DT")</f>
        <v>2/1/2017</v>
      </c>
      <c r="I1885" t="str">
        <f>_xll.BDS("516768JK Muni","MUNI_PURPOSE_SCHED", "aggregate=y")</f>
        <v>WATER UTILITY IMPS. PUBLIC IMPS.</v>
      </c>
      <c r="J1885">
        <f>_xll.BDP("516768JK Muni","CPN")</f>
        <v>2</v>
      </c>
      <c r="K1885" t="str">
        <f>_xll.BDP("516768JK Muni","MATURITY")</f>
        <v>9/1/2024</v>
      </c>
      <c r="L1885">
        <v>390000</v>
      </c>
      <c r="M1885">
        <f>_xll.BDP("516768JK Muni","YIELD_ON_ISSUE_DATE")</f>
        <v>1.95</v>
      </c>
      <c r="N1885">
        <f>_xll.BDP("516768JK Muni","YTW_SPREAD_TO_MATURITY_AT_ISSU")</f>
        <v>5.3379429439323278</v>
      </c>
      <c r="O1885" t="str">
        <f>_xll.BDP("516768JK Muni","BVAL_MID_YTM")</f>
        <v>#N/A Authorization</v>
      </c>
      <c r="P1885" t="str">
        <f>_xll.BDP("516768JK Muni","MUNI_TAX_PROV")</f>
        <v>FED BQ/ST TAX-EXEMPT</v>
      </c>
      <c r="Q1885" t="str">
        <f>_xll.BDP("516768JK Muni","MUNI_FED_TAX")</f>
        <v>N</v>
      </c>
      <c r="R1885" t="str">
        <f>_xll.BDP("516768JK Muni","MUNI_MSRB_VOLUME")</f>
        <v>#N/A N/A</v>
      </c>
      <c r="S1885" t="str">
        <f>_xll.BDP("516768JK Muni","BB_COMPOSITE")</f>
        <v>#N/A N/A</v>
      </c>
      <c r="T1885">
        <f>_xll.BDP("516768JK Muni","LQA_LIQUIDITY_SCORE")</f>
        <v>50</v>
      </c>
    </row>
    <row r="1886" spans="1:20" x14ac:dyDescent="0.25">
      <c r="A1886" t="str">
        <f>_xll.BDP("517039UC Muni","ID_CUSIP")</f>
        <v>517039UC5</v>
      </c>
      <c r="B1886" t="s">
        <v>153</v>
      </c>
      <c r="C1886" t="str">
        <f>_xll.BDP("517039UC Muni","INSURANCE_STATUS")</f>
        <v>N</v>
      </c>
      <c r="D1886" t="str">
        <f>_xll.BDP("517039UC Muni","STATE_CODE")</f>
        <v>TX</v>
      </c>
      <c r="E1886" t="str">
        <f>_xll.BDP("517039UC Muni","COUNTY_LOCATION_ISSUER")</f>
        <v>Webb, TX</v>
      </c>
      <c r="F1886">
        <f>_xll.BDP("517039UC Muni","DUR_ADJ_MID")</f>
        <v>1.4983123342603273</v>
      </c>
      <c r="G1886">
        <f>_xll.BDP("517039UC Muni","SPREAD_AT_ISSUANCE_TO_WORST")</f>
        <v>36.147191780821906</v>
      </c>
      <c r="H1886" t="str">
        <f>_xll.BDP("517039UC Muni","ISSUE_DT")</f>
        <v>11/15/2017</v>
      </c>
      <c r="I1886" t="str">
        <f>_xll.BDS("517039UC Muni","MUNI_PURPOSE_SCHED", "aggregate=y")</f>
        <v>WATER UTILITY IMPS. SEWER IMPS.</v>
      </c>
      <c r="J1886">
        <f>_xll.BDP("517039UC Muni","CPN")</f>
        <v>5</v>
      </c>
      <c r="K1886" t="str">
        <f>_xll.BDP("517039UC Muni","MATURITY")</f>
        <v>3/1/2024</v>
      </c>
      <c r="L1886">
        <v>355000</v>
      </c>
      <c r="M1886">
        <f>_xll.BDP("517039UC Muni","YIELD_ON_ISSUE_DATE")</f>
        <v>1.96</v>
      </c>
      <c r="N1886">
        <f>_xll.BDP("517039UC Muni","YTW_SPREAD_TO_MATURITY_AT_ISSU")</f>
        <v>36.147191780821906</v>
      </c>
      <c r="O1886" t="str">
        <f>_xll.BDP("517039UC Muni","BVAL_MID_YTM")</f>
        <v>#N/A Authorization</v>
      </c>
      <c r="P1886" t="str">
        <f>_xll.BDP("517039UC Muni","MUNI_TAX_PROV")</f>
        <v>FED TAX-EXEMPT</v>
      </c>
      <c r="Q1886" t="str">
        <f>_xll.BDP("517039UC Muni","MUNI_FED_TAX")</f>
        <v>N</v>
      </c>
      <c r="R1886" t="str">
        <f>_xll.BDP("517039UC Muni","MUNI_MSRB_VOLUME")</f>
        <v>#N/A N/A</v>
      </c>
      <c r="S1886" t="str">
        <f>_xll.BDP("517039UC Muni","BB_COMPOSITE")</f>
        <v>AA-</v>
      </c>
      <c r="T1886">
        <f>_xll.BDP("517039UC Muni","LQA_LIQUIDITY_SCORE")</f>
        <v>85</v>
      </c>
    </row>
    <row r="1887" spans="1:20" x14ac:dyDescent="0.25">
      <c r="A1887" t="str">
        <f>_xll.BDP("517039UE Muni","ID_CUSIP")</f>
        <v>517039UE1</v>
      </c>
      <c r="B1887" t="s">
        <v>153</v>
      </c>
      <c r="C1887" t="str">
        <f>_xll.BDP("517039UE Muni","INSURANCE_STATUS")</f>
        <v>N</v>
      </c>
      <c r="D1887" t="str">
        <f>_xll.BDP("517039UE Muni","STATE_CODE")</f>
        <v>TX</v>
      </c>
      <c r="E1887" t="str">
        <f>_xll.BDP("517039UE Muni","COUNTY_LOCATION_ISSUER")</f>
        <v>Webb, TX</v>
      </c>
      <c r="F1887">
        <f>_xll.BDP("517039UE Muni","DUR_ADJ_MID")</f>
        <v>3.2403890752348676</v>
      </c>
      <c r="G1887">
        <f>_xll.BDP("517039UE Muni","SPREAD_AT_ISSUANCE_TO_WORST")</f>
        <v>36.198465753424649</v>
      </c>
      <c r="H1887" t="str">
        <f>_xll.BDP("517039UE Muni","ISSUE_DT")</f>
        <v>11/15/2017</v>
      </c>
      <c r="I1887" t="str">
        <f>_xll.BDS("517039UE Muni","MUNI_PURPOSE_SCHED", "aggregate=y")</f>
        <v>WATER UTILITY IMPS. SEWER IMPS.</v>
      </c>
      <c r="J1887">
        <f>_xll.BDP("517039UE Muni","CPN")</f>
        <v>5</v>
      </c>
      <c r="K1887" t="str">
        <f>_xll.BDP("517039UE Muni","MATURITY")</f>
        <v>3/1/2026</v>
      </c>
      <c r="L1887">
        <v>395000</v>
      </c>
      <c r="M1887">
        <f>_xll.BDP("517039UE Muni","YIELD_ON_ISSUE_DATE")</f>
        <v>2.19</v>
      </c>
      <c r="N1887">
        <f>_xll.BDP("517039UE Muni","YTW_SPREAD_TO_MATURITY_AT_ISSU")</f>
        <v>36.198465753424649</v>
      </c>
      <c r="O1887" t="str">
        <f>_xll.BDP("517039UE Muni","BVAL_MID_YTM")</f>
        <v>#N/A Authorization</v>
      </c>
      <c r="P1887" t="str">
        <f>_xll.BDP("517039UE Muni","MUNI_TAX_PROV")</f>
        <v>FED TAX-EXEMPT</v>
      </c>
      <c r="Q1887" t="str">
        <f>_xll.BDP("517039UE Muni","MUNI_FED_TAX")</f>
        <v>N</v>
      </c>
      <c r="R1887">
        <f>_xll.BDP("517039UE Muni","MUNI_MSRB_VOLUME")</f>
        <v>25000</v>
      </c>
      <c r="S1887" t="str">
        <f>_xll.BDP("517039UE Muni","BB_COMPOSITE")</f>
        <v>AA-</v>
      </c>
      <c r="T1887">
        <f>_xll.BDP("517039UE Muni","LQA_LIQUIDITY_SCORE")</f>
        <v>68</v>
      </c>
    </row>
    <row r="1888" spans="1:20" x14ac:dyDescent="0.25">
      <c r="A1888" t="str">
        <f>_xll.BDP("53746QAF Muni","ID_CUSIP")</f>
        <v>53746QAF7</v>
      </c>
      <c r="B1888" t="s">
        <v>492</v>
      </c>
      <c r="C1888" t="str">
        <f>_xll.BDP("53746QAF Muni","INSURANCE_STATUS")</f>
        <v>N</v>
      </c>
      <c r="D1888" t="str">
        <f>_xll.BDP("53746QAF Muni","STATE_CODE")</f>
        <v>AR</v>
      </c>
      <c r="E1888" t="str">
        <f>_xll.BDP("53746QAF Muni","COUNTY_LOCATION_ISSUER")</f>
        <v>Pulaski, AR</v>
      </c>
      <c r="F1888">
        <f>_xll.BDP("53746QAF Muni","DUR_ADJ_MID")</f>
        <v>1.1266380276315244</v>
      </c>
      <c r="G1888">
        <f>_xll.BDP("53746QAF Muni","SPREAD_AT_ISSUANCE_TO_WORST")</f>
        <v>48.784419620675457</v>
      </c>
      <c r="H1888" t="str">
        <f>_xll.BDP("53746QAF Muni","ISSUE_DT")</f>
        <v>10/26/2017</v>
      </c>
      <c r="I1888" t="str">
        <f>_xll.BDS("53746QAF Muni","MUNI_PURPOSE_SCHED", "aggregate=y")</f>
        <v>WATER UTILITY IMPS. SEWER IMPS.</v>
      </c>
      <c r="J1888">
        <f>_xll.BDP("53746QAF Muni","CPN")</f>
        <v>4</v>
      </c>
      <c r="K1888" t="str">
        <f>_xll.BDP("53746QAF Muni","MATURITY")</f>
        <v>10/1/2023</v>
      </c>
      <c r="L1888">
        <v>245000</v>
      </c>
      <c r="M1888">
        <f>_xll.BDP("53746QAF Muni","YIELD_ON_ISSUE_DATE")</f>
        <v>1.85</v>
      </c>
      <c r="N1888">
        <f>_xll.BDP("53746QAF Muni","YTW_SPREAD_TO_MATURITY_AT_ISSU")</f>
        <v>48.784419620675457</v>
      </c>
      <c r="O1888" t="str">
        <f>_xll.BDP("53746QAF Muni","BVAL_MID_YTM")</f>
        <v>#N/A Authorization</v>
      </c>
      <c r="P1888" t="str">
        <f>_xll.BDP("53746QAF Muni","MUNI_TAX_PROV")</f>
        <v>FED &amp; ST TAX-EXEMPT</v>
      </c>
      <c r="Q1888" t="str">
        <f>_xll.BDP("53746QAF Muni","MUNI_FED_TAX")</f>
        <v>N</v>
      </c>
      <c r="R1888" t="str">
        <f>_xll.BDP("53746QAF Muni","MUNI_MSRB_VOLUME")</f>
        <v>#N/A N/A</v>
      </c>
      <c r="S1888" t="str">
        <f>_xll.BDP("53746QAF Muni","BB_COMPOSITE")</f>
        <v>#N/A N/A</v>
      </c>
      <c r="T1888">
        <f>_xll.BDP("53746QAF Muni","LQA_LIQUIDITY_SCORE")</f>
        <v>91</v>
      </c>
    </row>
    <row r="1889" spans="1:20" x14ac:dyDescent="0.25">
      <c r="A1889" t="str">
        <f>_xll.BDP("53746QAH Muni","ID_CUSIP")</f>
        <v>53746QAH3</v>
      </c>
      <c r="B1889" t="s">
        <v>492</v>
      </c>
      <c r="C1889" t="str">
        <f>_xll.BDP("53746QAH Muni","INSURANCE_STATUS")</f>
        <v>N</v>
      </c>
      <c r="D1889" t="str">
        <f>_xll.BDP("53746QAH Muni","STATE_CODE")</f>
        <v>AR</v>
      </c>
      <c r="E1889" t="str">
        <f>_xll.BDP("53746QAH Muni","COUNTY_LOCATION_ISSUER")</f>
        <v>Pulaski, AR</v>
      </c>
      <c r="F1889">
        <f>_xll.BDP("53746QAH Muni","DUR_ADJ_MID")</f>
        <v>2.9455237354221873</v>
      </c>
      <c r="G1889">
        <f>_xll.BDP("53746QAH Muni","SPREAD_AT_ISSUANCE_TO_WORST")</f>
        <v>54.50980623666635</v>
      </c>
      <c r="H1889" t="str">
        <f>_xll.BDP("53746QAH Muni","ISSUE_DT")</f>
        <v>10/26/2017</v>
      </c>
      <c r="I1889" t="str">
        <f>_xll.BDS("53746QAH Muni","MUNI_PURPOSE_SCHED", "aggregate=y")</f>
        <v>WATER UTILITY IMPS. SEWER IMPS.</v>
      </c>
      <c r="J1889">
        <f>_xll.BDP("53746QAH Muni","CPN")</f>
        <v>4</v>
      </c>
      <c r="K1889" t="str">
        <f>_xll.BDP("53746QAH Muni","MATURITY")</f>
        <v>10/1/2025</v>
      </c>
      <c r="L1889">
        <v>265000</v>
      </c>
      <c r="M1889">
        <f>_xll.BDP("53746QAH Muni","YIELD_ON_ISSUE_DATE")</f>
        <v>2.2000000000000002</v>
      </c>
      <c r="N1889">
        <f>_xll.BDP("53746QAH Muni","YTW_SPREAD_TO_MATURITY_AT_ISSU")</f>
        <v>54.50980623666635</v>
      </c>
      <c r="O1889" t="str">
        <f>_xll.BDP("53746QAH Muni","BVAL_MID_YTM")</f>
        <v>#N/A Authorization</v>
      </c>
      <c r="P1889" t="str">
        <f>_xll.BDP("53746QAH Muni","MUNI_TAX_PROV")</f>
        <v>FED &amp; ST TAX-EXEMPT</v>
      </c>
      <c r="Q1889" t="str">
        <f>_xll.BDP("53746QAH Muni","MUNI_FED_TAX")</f>
        <v>N</v>
      </c>
      <c r="R1889" t="str">
        <f>_xll.BDP("53746QAH Muni","MUNI_MSRB_VOLUME")</f>
        <v>#N/A N/A</v>
      </c>
      <c r="S1889" t="str">
        <f>_xll.BDP("53746QAH Muni","BB_COMPOSITE")</f>
        <v>#N/A N/A</v>
      </c>
      <c r="T1889">
        <f>_xll.BDP("53746QAH Muni","LQA_LIQUIDITY_SCORE")</f>
        <v>74</v>
      </c>
    </row>
    <row r="1890" spans="1:20" x14ac:dyDescent="0.25">
      <c r="A1890" t="str">
        <f>_xll.BDP("52109HGT Muni","ID_CUSIP")</f>
        <v>52109HGT4</v>
      </c>
      <c r="B1890" t="s">
        <v>487</v>
      </c>
      <c r="C1890" t="str">
        <f>_xll.BDP("52109HGT Muni","INSURANCE_STATUS")</f>
        <v>Y</v>
      </c>
      <c r="D1890" t="str">
        <f>_xll.BDP("52109HGT Muni","STATE_CODE")</f>
        <v>TX</v>
      </c>
      <c r="E1890" t="str">
        <f>_xll.BDP("52109HGT Muni","COUNTY_LOCATION_ISSUER")</f>
        <v>Travis, TX</v>
      </c>
      <c r="F1890">
        <f>_xll.BDP("52109HGT Muni","DUR_ADJ_MID")</f>
        <v>1.9879801084261959</v>
      </c>
      <c r="G1890">
        <f>_xll.BDP("52109HGT Muni","SPREAD_AT_ISSUANCE_TO_WORST")</f>
        <v>56.413353424657522</v>
      </c>
      <c r="H1890" t="str">
        <f>_xll.BDP("52109HGT Muni","ISSUE_DT")</f>
        <v>11/1/2017</v>
      </c>
      <c r="I1890" t="str">
        <f>_xll.BDS("52109HGT Muni","MUNI_PURPOSE_SCHED", "aggregate=y")</f>
        <v>WATER UTILITY IMPS. SEWER IMPS.</v>
      </c>
      <c r="J1890">
        <f>_xll.BDP("52109HGT Muni","CPN")</f>
        <v>3</v>
      </c>
      <c r="K1890" t="str">
        <f>_xll.BDP("52109HGT Muni","MATURITY")</f>
        <v>9/1/2024</v>
      </c>
      <c r="L1890">
        <v>135000</v>
      </c>
      <c r="M1890">
        <f>_xll.BDP("52109HGT Muni","YIELD_ON_ISSUE_DATE")</f>
        <v>2.15</v>
      </c>
      <c r="N1890">
        <f>_xll.BDP("52109HGT Muni","YTW_SPREAD_TO_MATURITY_AT_ISSU")</f>
        <v>56.413353424657522</v>
      </c>
      <c r="O1890" t="str">
        <f>_xll.BDP("52109HGT Muni","BVAL_MID_YTM")</f>
        <v>#N/A Authorization</v>
      </c>
      <c r="P1890" t="str">
        <f>_xll.BDP("52109HGT Muni","MUNI_TAX_PROV")</f>
        <v>FED BQ</v>
      </c>
      <c r="Q1890" t="str">
        <f>_xll.BDP("52109HGT Muni","MUNI_FED_TAX")</f>
        <v>N</v>
      </c>
      <c r="R1890" t="str">
        <f>_xll.BDP("52109HGT Muni","MUNI_MSRB_VOLUME")</f>
        <v>#N/A N/A</v>
      </c>
      <c r="S1890" t="str">
        <f>_xll.BDP("52109HGT Muni","BB_COMPOSITE")</f>
        <v>AA-</v>
      </c>
      <c r="T1890">
        <f>_xll.BDP("52109HGT Muni","LQA_LIQUIDITY_SCORE")</f>
        <v>74</v>
      </c>
    </row>
    <row r="1891" spans="1:20" x14ac:dyDescent="0.25">
      <c r="A1891" t="str">
        <f>_xll.BDP("521453WT Muni","ID_CUSIP")</f>
        <v>521453WT3</v>
      </c>
      <c r="B1891" t="s">
        <v>488</v>
      </c>
      <c r="C1891" t="str">
        <f>_xll.BDP("521453WT Muni","INSURANCE_STATUS")</f>
        <v>N</v>
      </c>
      <c r="D1891" t="str">
        <f>_xll.BDP("521453WT Muni","STATE_CODE")</f>
        <v>MN</v>
      </c>
      <c r="E1891" t="str">
        <f>_xll.BDP("521453WT Muni","COUNTY_LOCATION_ISSUER")</f>
        <v>Le Sueur, MN</v>
      </c>
      <c r="F1891">
        <f>_xll.BDP("521453WT Muni","DUR_ADJ_MID")</f>
        <v>0.32939317493932935</v>
      </c>
      <c r="G1891">
        <f>_xll.BDP("521453WT Muni","SPREAD_AT_ISSUANCE_TO_WORST")</f>
        <v>19.119586258657773</v>
      </c>
      <c r="H1891" t="str">
        <f>_xll.BDP("521453WT Muni","ISSUE_DT")</f>
        <v>8/10/2017</v>
      </c>
      <c r="I1891" t="str">
        <f>_xll.BDS("521453WT Muni","MUNI_PURPOSE_SCHED", "aggregate=y")</f>
        <v>PUBLIC IMPS. WATER UTILITY IMPS.</v>
      </c>
      <c r="J1891">
        <f>_xll.BDP("521453WT Muni","CPN")</f>
        <v>2</v>
      </c>
      <c r="K1891" t="str">
        <f>_xll.BDP("521453WT Muni","MATURITY")</f>
        <v>12/1/2022</v>
      </c>
      <c r="L1891">
        <v>165000</v>
      </c>
      <c r="M1891">
        <f>_xll.BDP("521453WT Muni","YIELD_ON_ISSUE_DATE")</f>
        <v>1.6</v>
      </c>
      <c r="N1891">
        <f>_xll.BDP("521453WT Muni","YTW_SPREAD_TO_MATURITY_AT_ISSU")</f>
        <v>19.119586258657773</v>
      </c>
      <c r="O1891" t="str">
        <f>_xll.BDP("521453WT Muni","BVAL_MID_YTM")</f>
        <v>#N/A Authorization</v>
      </c>
      <c r="P1891" t="str">
        <f>_xll.BDP("521453WT Muni","MUNI_TAX_PROV")</f>
        <v>FED BQ/ST TAX-EXEMPT</v>
      </c>
      <c r="Q1891" t="str">
        <f>_xll.BDP("521453WT Muni","MUNI_FED_TAX")</f>
        <v>N</v>
      </c>
      <c r="R1891" t="str">
        <f>_xll.BDP("521453WT Muni","MUNI_MSRB_VOLUME")</f>
        <v>#N/A N/A</v>
      </c>
      <c r="S1891" t="str">
        <f>_xll.BDP("521453WT Muni","BB_COMPOSITE")</f>
        <v>#N/A N/A</v>
      </c>
      <c r="T1891">
        <f>_xll.BDP("521453WT Muni","LQA_LIQUIDITY_SCORE")</f>
        <v>90</v>
      </c>
    </row>
    <row r="1892" spans="1:20" x14ac:dyDescent="0.25">
      <c r="A1892" t="str">
        <f>_xll.BDP("521453WX Muni","ID_CUSIP")</f>
        <v>521453WX4</v>
      </c>
      <c r="B1892" t="s">
        <v>488</v>
      </c>
      <c r="C1892" t="str">
        <f>_xll.BDP("521453WX Muni","INSURANCE_STATUS")</f>
        <v>N</v>
      </c>
      <c r="D1892" t="str">
        <f>_xll.BDP("521453WX Muni","STATE_CODE")</f>
        <v>MN</v>
      </c>
      <c r="E1892" t="str">
        <f>_xll.BDP("521453WX Muni","COUNTY_LOCATION_ISSUER")</f>
        <v>Le Sueur, MN</v>
      </c>
      <c r="F1892">
        <f>_xll.BDP("521453WX Muni","DUR_ADJ_MID")</f>
        <v>4.0757217972764446</v>
      </c>
      <c r="G1892">
        <f>_xll.BDP("521453WX Muni","SPREAD_AT_ISSUANCE_TO_WORST")</f>
        <v>12.626912731917074</v>
      </c>
      <c r="H1892" t="str">
        <f>_xll.BDP("521453WX Muni","ISSUE_DT")</f>
        <v>8/10/2017</v>
      </c>
      <c r="I1892" t="str">
        <f>_xll.BDS("521453WX Muni","MUNI_PURPOSE_SCHED", "aggregate=y")</f>
        <v>PUBLIC IMPS. WATER UTILITY IMPS.</v>
      </c>
      <c r="J1892">
        <f>_xll.BDP("521453WX Muni","CPN")</f>
        <v>2.5</v>
      </c>
      <c r="K1892" t="str">
        <f>_xll.BDP("521453WX Muni","MATURITY")</f>
        <v>12/1/2026</v>
      </c>
      <c r="L1892">
        <v>180000</v>
      </c>
      <c r="M1892">
        <f>_xll.BDP("521453WX Muni","YIELD_ON_ISSUE_DATE")</f>
        <v>2.1</v>
      </c>
      <c r="N1892">
        <f>_xll.BDP("521453WX Muni","YTW_SPREAD_TO_MATURITY_AT_ISSU")</f>
        <v>12.626912731917074</v>
      </c>
      <c r="O1892" t="str">
        <f>_xll.BDP("521453WX Muni","BVAL_MID_YTM")</f>
        <v>#N/A Authorization</v>
      </c>
      <c r="P1892" t="str">
        <f>_xll.BDP("521453WX Muni","MUNI_TAX_PROV")</f>
        <v>FED BQ/ST TAX-EXEMPT</v>
      </c>
      <c r="Q1892" t="str">
        <f>_xll.BDP("521453WX Muni","MUNI_FED_TAX")</f>
        <v>N</v>
      </c>
      <c r="R1892" t="str">
        <f>_xll.BDP("521453WX Muni","MUNI_MSRB_VOLUME")</f>
        <v>#N/A N/A</v>
      </c>
      <c r="S1892" t="str">
        <f>_xll.BDP("521453WX Muni","BB_COMPOSITE")</f>
        <v>#N/A N/A</v>
      </c>
      <c r="T1892">
        <f>_xll.BDP("521453WX Muni","LQA_LIQUIDITY_SCORE")</f>
        <v>35</v>
      </c>
    </row>
    <row r="1893" spans="1:20" x14ac:dyDescent="0.25">
      <c r="A1893" t="str">
        <f>_xll.BDP("549188D5 Muni","ID_CUSIP")</f>
        <v>549188D56</v>
      </c>
      <c r="B1893" t="s">
        <v>166</v>
      </c>
      <c r="C1893" t="str">
        <f>_xll.BDP("549188D5 Muni","INSURANCE_STATUS")</f>
        <v>N</v>
      </c>
      <c r="D1893" t="str">
        <f>_xll.BDP("549188D5 Muni","STATE_CODE")</f>
        <v>TX</v>
      </c>
      <c r="E1893" t="str">
        <f>_xll.BDP("549188D5 Muni","COUNTY_LOCATION_ISSUER")</f>
        <v>Lubbock, TX</v>
      </c>
      <c r="F1893">
        <f>_xll.BDP("549188D5 Muni","DUR_ADJ_MID")</f>
        <v>0.52209671488909004</v>
      </c>
      <c r="G1893">
        <f>_xll.BDP("549188D5 Muni","SPREAD_AT_ISSUANCE_TO_WORST")</f>
        <v>21.32014867353902</v>
      </c>
      <c r="H1893" t="str">
        <f>_xll.BDP("549188D5 Muni","ISSUE_DT")</f>
        <v>4/15/2017</v>
      </c>
      <c r="I1893" t="str">
        <f>_xll.BDS("549188D5 Muni","MUNI_PURPOSE_SCHED", "aggregate=y")</f>
        <v>PUBLIC IMPS. WATER UTILITY IMPS. SEWER IMPS.</v>
      </c>
      <c r="J1893">
        <f>_xll.BDP("549188D5 Muni","CPN")</f>
        <v>5</v>
      </c>
      <c r="K1893" t="str">
        <f>_xll.BDP("549188D5 Muni","MATURITY")</f>
        <v>2/15/2023</v>
      </c>
      <c r="L1893">
        <v>1385000</v>
      </c>
      <c r="M1893">
        <f>_xll.BDP("549188D5 Muni","YIELD_ON_ISSUE_DATE")</f>
        <v>1.8800000000000001</v>
      </c>
      <c r="N1893">
        <f>_xll.BDP("549188D5 Muni","YTW_SPREAD_TO_MATURITY_AT_ISSU")</f>
        <v>21.32014867353902</v>
      </c>
      <c r="O1893" t="str">
        <f>_xll.BDP("549188D5 Muni","BVAL_MID_YTM")</f>
        <v>#N/A Authorization</v>
      </c>
      <c r="P1893" t="str">
        <f>_xll.BDP("549188D5 Muni","MUNI_TAX_PROV")</f>
        <v>FED TAX-EXEMPT</v>
      </c>
      <c r="Q1893" t="str">
        <f>_xll.BDP("549188D5 Muni","MUNI_FED_TAX")</f>
        <v>N</v>
      </c>
      <c r="R1893">
        <f>_xll.BDP("549188D5 Muni","MUNI_MSRB_VOLUME")</f>
        <v>190000</v>
      </c>
      <c r="S1893" t="str">
        <f>_xll.BDP("549188D5 Muni","BB_COMPOSITE")</f>
        <v>AA+</v>
      </c>
      <c r="T1893">
        <f>_xll.BDP("549188D5 Muni","LQA_LIQUIDITY_SCORE")</f>
        <v>89</v>
      </c>
    </row>
    <row r="1894" spans="1:20" x14ac:dyDescent="0.25">
      <c r="A1894" t="str">
        <f>_xll.BDP("549188D7 Muni","ID_CUSIP")</f>
        <v>549188D72</v>
      </c>
      <c r="B1894" t="s">
        <v>166</v>
      </c>
      <c r="C1894" t="str">
        <f>_xll.BDP("549188D7 Muni","INSURANCE_STATUS")</f>
        <v>N</v>
      </c>
      <c r="D1894" t="str">
        <f>_xll.BDP("549188D7 Muni","STATE_CODE")</f>
        <v>TX</v>
      </c>
      <c r="E1894" t="str">
        <f>_xll.BDP("549188D7 Muni","COUNTY_LOCATION_ISSUER")</f>
        <v>Lubbock, TX</v>
      </c>
      <c r="F1894">
        <f>_xll.BDP("549188D7 Muni","DUR_ADJ_MID")</f>
        <v>2.3509816958389078</v>
      </c>
      <c r="G1894">
        <f>_xll.BDP("549188D7 Muni","SPREAD_AT_ISSUANCE_TO_WORST")</f>
        <v>28.156309616861886</v>
      </c>
      <c r="H1894" t="str">
        <f>_xll.BDP("549188D7 Muni","ISSUE_DT")</f>
        <v>4/15/2017</v>
      </c>
      <c r="I1894" t="str">
        <f>_xll.BDS("549188D7 Muni","MUNI_PURPOSE_SCHED", "aggregate=y")</f>
        <v>PUBLIC IMPS. WATER UTILITY IMPS. SEWER IMPS.</v>
      </c>
      <c r="J1894">
        <f>_xll.BDP("549188D7 Muni","CPN")</f>
        <v>5</v>
      </c>
      <c r="K1894" t="str">
        <f>_xll.BDP("549188D7 Muni","MATURITY")</f>
        <v>2/15/2025</v>
      </c>
      <c r="L1894">
        <v>835000</v>
      </c>
      <c r="M1894">
        <f>_xll.BDP("549188D7 Muni","YIELD_ON_ISSUE_DATE")</f>
        <v>2.2800000000000002</v>
      </c>
      <c r="N1894">
        <f>_xll.BDP("549188D7 Muni","YTW_SPREAD_TO_MATURITY_AT_ISSU")</f>
        <v>28.156309616861886</v>
      </c>
      <c r="O1894" t="str">
        <f>_xll.BDP("549188D7 Muni","BVAL_MID_YTM")</f>
        <v>#N/A Authorization</v>
      </c>
      <c r="P1894" t="str">
        <f>_xll.BDP("549188D7 Muni","MUNI_TAX_PROV")</f>
        <v>FED TAX-EXEMPT</v>
      </c>
      <c r="Q1894" t="str">
        <f>_xll.BDP("549188D7 Muni","MUNI_FED_TAX")</f>
        <v>N</v>
      </c>
      <c r="R1894">
        <f>_xll.BDP("549188D7 Muni","MUNI_MSRB_VOLUME")</f>
        <v>30000</v>
      </c>
      <c r="S1894" t="str">
        <f>_xll.BDP("549188D7 Muni","BB_COMPOSITE")</f>
        <v>AA+</v>
      </c>
      <c r="T1894">
        <f>_xll.BDP("549188D7 Muni","LQA_LIQUIDITY_SCORE")</f>
        <v>75</v>
      </c>
    </row>
    <row r="1895" spans="1:20" x14ac:dyDescent="0.25">
      <c r="A1895" t="str">
        <f>_xll.BDP("549188D8 Muni","ID_CUSIP")</f>
        <v>549188D80</v>
      </c>
      <c r="B1895" t="s">
        <v>166</v>
      </c>
      <c r="C1895" t="str">
        <f>_xll.BDP("549188D8 Muni","INSURANCE_STATUS")</f>
        <v>N</v>
      </c>
      <c r="D1895" t="str">
        <f>_xll.BDP("549188D8 Muni","STATE_CODE")</f>
        <v>TX</v>
      </c>
      <c r="E1895" t="str">
        <f>_xll.BDP("549188D8 Muni","COUNTY_LOCATION_ISSUER")</f>
        <v>Lubbock, TX</v>
      </c>
      <c r="F1895">
        <f>_xll.BDP("549188D8 Muni","DUR_ADJ_MID")</f>
        <v>3.1976252112904215</v>
      </c>
      <c r="G1895">
        <f>_xll.BDP("549188D8 Muni","SPREAD_AT_ISSUANCE_TO_WORST")</f>
        <v>27.545965732800948</v>
      </c>
      <c r="H1895" t="str">
        <f>_xll.BDP("549188D8 Muni","ISSUE_DT")</f>
        <v>4/15/2017</v>
      </c>
      <c r="I1895" t="str">
        <f>_xll.BDS("549188D8 Muni","MUNI_PURPOSE_SCHED", "aggregate=y")</f>
        <v>PUBLIC IMPS. WATER UTILITY IMPS. SEWER IMPS.</v>
      </c>
      <c r="J1895">
        <f>_xll.BDP("549188D8 Muni","CPN")</f>
        <v>5</v>
      </c>
      <c r="K1895" t="str">
        <f>_xll.BDP("549188D8 Muni","MATURITY")</f>
        <v>2/15/2026</v>
      </c>
      <c r="L1895">
        <v>880000</v>
      </c>
      <c r="M1895">
        <f>_xll.BDP("549188D8 Muni","YIELD_ON_ISSUE_DATE")</f>
        <v>2.42</v>
      </c>
      <c r="N1895">
        <f>_xll.BDP("549188D8 Muni","YTW_SPREAD_TO_MATURITY_AT_ISSU")</f>
        <v>27.545965732800948</v>
      </c>
      <c r="O1895" t="str">
        <f>_xll.BDP("549188D8 Muni","BVAL_MID_YTM")</f>
        <v>#N/A Authorization</v>
      </c>
      <c r="P1895" t="str">
        <f>_xll.BDP("549188D8 Muni","MUNI_TAX_PROV")</f>
        <v>FED TAX-EXEMPT</v>
      </c>
      <c r="Q1895" t="str">
        <f>_xll.BDP("549188D8 Muni","MUNI_FED_TAX")</f>
        <v>N</v>
      </c>
      <c r="R1895">
        <f>_xll.BDP("549188D8 Muni","MUNI_MSRB_VOLUME")</f>
        <v>50000</v>
      </c>
      <c r="S1895" t="str">
        <f>_xll.BDP("549188D8 Muni","BB_COMPOSITE")</f>
        <v>AA+</v>
      </c>
      <c r="T1895">
        <f>_xll.BDP("549188D8 Muni","LQA_LIQUIDITY_SCORE")</f>
        <v>69</v>
      </c>
    </row>
    <row r="1896" spans="1:20" x14ac:dyDescent="0.25">
      <c r="A1896" t="str">
        <f>_xll.BDP("549188D9 Muni","ID_CUSIP")</f>
        <v>549188D98</v>
      </c>
      <c r="B1896" t="s">
        <v>166</v>
      </c>
      <c r="C1896" t="str">
        <f>_xll.BDP("549188D9 Muni","INSURANCE_STATUS")</f>
        <v>N</v>
      </c>
      <c r="D1896" t="str">
        <f>_xll.BDP("549188D9 Muni","STATE_CODE")</f>
        <v>TX</v>
      </c>
      <c r="E1896" t="str">
        <f>_xll.BDP("549188D9 Muni","COUNTY_LOCATION_ISSUER")</f>
        <v>Lubbock, TX</v>
      </c>
      <c r="F1896">
        <f>_xll.BDP("549188D9 Muni","DUR_ADJ_MID")</f>
        <v>4.0283095764406935</v>
      </c>
      <c r="G1896">
        <f>_xll.BDP("549188D9 Muni","SPREAD_AT_ISSUANCE_TO_WORST")</f>
        <v>25.859319703544603</v>
      </c>
      <c r="H1896" t="str">
        <f>_xll.BDP("549188D9 Muni","ISSUE_DT")</f>
        <v>4/15/2017</v>
      </c>
      <c r="I1896" t="str">
        <f>_xll.BDS("549188D9 Muni","MUNI_PURPOSE_SCHED", "aggregate=y")</f>
        <v>PUBLIC IMPS. WATER UTILITY IMPS. SEWER IMPS.</v>
      </c>
      <c r="J1896">
        <f>_xll.BDP("549188D9 Muni","CPN")</f>
        <v>5</v>
      </c>
      <c r="K1896" t="str">
        <f>_xll.BDP("549188D9 Muni","MATURITY")</f>
        <v>2/15/2027</v>
      </c>
      <c r="L1896">
        <v>925000</v>
      </c>
      <c r="M1896">
        <f>_xll.BDP("549188D9 Muni","YIELD_ON_ISSUE_DATE")</f>
        <v>2.52</v>
      </c>
      <c r="N1896">
        <f>_xll.BDP("549188D9 Muni","YTW_SPREAD_TO_MATURITY_AT_ISSU")</f>
        <v>25.859319703544603</v>
      </c>
      <c r="O1896" t="str">
        <f>_xll.BDP("549188D9 Muni","BVAL_MID_YTM")</f>
        <v>#N/A Authorization</v>
      </c>
      <c r="P1896" t="str">
        <f>_xll.BDP("549188D9 Muni","MUNI_TAX_PROV")</f>
        <v>FED TAX-EXEMPT</v>
      </c>
      <c r="Q1896" t="str">
        <f>_xll.BDP("549188D9 Muni","MUNI_FED_TAX")</f>
        <v>N</v>
      </c>
      <c r="R1896" t="str">
        <f>_xll.BDP("549188D9 Muni","MUNI_MSRB_VOLUME")</f>
        <v>#N/A N/A</v>
      </c>
      <c r="S1896" t="str">
        <f>_xll.BDP("549188D9 Muni","BB_COMPOSITE")</f>
        <v>AA+</v>
      </c>
      <c r="T1896">
        <f>_xll.BDP("549188D9 Muni","LQA_LIQUIDITY_SCORE")</f>
        <v>64</v>
      </c>
    </row>
    <row r="1897" spans="1:20" x14ac:dyDescent="0.25">
      <c r="A1897" t="str">
        <f>_xll.BDP("611190EL Muni","ID_CUSIP")</f>
        <v>611190EL9</v>
      </c>
      <c r="B1897" t="s">
        <v>459</v>
      </c>
      <c r="C1897" t="str">
        <f>_xll.BDP("611190EL Muni","INSURANCE_STATUS")</f>
        <v>N</v>
      </c>
      <c r="D1897" t="str">
        <f>_xll.BDP("611190EL Muni","STATE_CODE")</f>
        <v>NC</v>
      </c>
      <c r="E1897" t="str">
        <f>_xll.BDP("611190EL Muni","COUNTY_LOCATION_ISSUER")</f>
        <v>Union, NC</v>
      </c>
      <c r="F1897">
        <f>_xll.BDP("611190EL Muni","DUR_ADJ_MID")</f>
        <v>0.56496309992953819</v>
      </c>
      <c r="G1897">
        <f>_xll.BDP("611190EL Muni","SPREAD_AT_ISSUANCE_TO_WORST")</f>
        <v>35.261205479452038</v>
      </c>
      <c r="H1897" t="str">
        <f>_xll.BDP("611190EL Muni","ISSUE_DT")</f>
        <v>12/21/2017</v>
      </c>
      <c r="I1897" t="str">
        <f>_xll.BDS("611190EL Muni","MUNI_PURPOSE_SCHED", "aggregate=y")</f>
        <v>WATER UTILITY IMPS. SEWER IMPS. PRT, AIRPRT &amp; MARINA IMPS</v>
      </c>
      <c r="J1897">
        <f>_xll.BDP("611190EL Muni","CPN")</f>
        <v>5</v>
      </c>
      <c r="K1897" t="str">
        <f>_xll.BDP("611190EL Muni","MATURITY")</f>
        <v>3/1/2023</v>
      </c>
      <c r="L1897">
        <v>325000</v>
      </c>
      <c r="M1897">
        <f>_xll.BDP("611190EL Muni","YIELD_ON_ISSUE_DATE")</f>
        <v>2.0300000000000002</v>
      </c>
      <c r="N1897">
        <f>_xll.BDP("611190EL Muni","YTW_SPREAD_TO_MATURITY_AT_ISSU")</f>
        <v>35.261205479452038</v>
      </c>
      <c r="O1897" t="str">
        <f>_xll.BDP("611190EL Muni","BVAL_MID_YTM")</f>
        <v>#N/A Authorization</v>
      </c>
      <c r="P1897" t="str">
        <f>_xll.BDP("611190EL Muni","MUNI_TAX_PROV")</f>
        <v>FED &amp; ST TAX-EXEMPT</v>
      </c>
      <c r="Q1897" t="str">
        <f>_xll.BDP("611190EL Muni","MUNI_FED_TAX")</f>
        <v>N</v>
      </c>
      <c r="R1897" t="str">
        <f>_xll.BDP("611190EL Muni","MUNI_MSRB_VOLUME")</f>
        <v>#N/A N/A</v>
      </c>
      <c r="S1897" t="str">
        <f>_xll.BDP("611190EL Muni","BB_COMPOSITE")</f>
        <v>A+</v>
      </c>
      <c r="T1897">
        <f>_xll.BDP("611190EL Muni","LQA_LIQUIDITY_SCORE")</f>
        <v>93</v>
      </c>
    </row>
    <row r="1898" spans="1:20" x14ac:dyDescent="0.25">
      <c r="A1898" t="str">
        <f>_xll.BDP("611190EN Muni","ID_CUSIP")</f>
        <v>611190EN5</v>
      </c>
      <c r="B1898" t="s">
        <v>459</v>
      </c>
      <c r="C1898" t="str">
        <f>_xll.BDP("611190EN Muni","INSURANCE_STATUS")</f>
        <v>N</v>
      </c>
      <c r="D1898" t="str">
        <f>_xll.BDP("611190EN Muni","STATE_CODE")</f>
        <v>NC</v>
      </c>
      <c r="E1898" t="str">
        <f>_xll.BDP("611190EN Muni","COUNTY_LOCATION_ISSUER")</f>
        <v>Union, NC</v>
      </c>
      <c r="F1898">
        <f>_xll.BDP("611190EN Muni","DUR_ADJ_MID")</f>
        <v>2.3883161759000449</v>
      </c>
      <c r="G1898">
        <f>_xll.BDP("611190EN Muni","SPREAD_AT_ISSUANCE_TO_WORST")</f>
        <v>37.409509589041079</v>
      </c>
      <c r="H1898" t="str">
        <f>_xll.BDP("611190EN Muni","ISSUE_DT")</f>
        <v>12/21/2017</v>
      </c>
      <c r="I1898" t="str">
        <f>_xll.BDS("611190EN Muni","MUNI_PURPOSE_SCHED", "aggregate=y")</f>
        <v>WATER UTILITY IMPS. SEWER IMPS. PRT, AIRPRT &amp; MARINA IMPS</v>
      </c>
      <c r="J1898">
        <f>_xll.BDP("611190EN Muni","CPN")</f>
        <v>5</v>
      </c>
      <c r="K1898" t="str">
        <f>_xll.BDP("611190EN Muni","MATURITY")</f>
        <v>3/1/2025</v>
      </c>
      <c r="L1898">
        <v>360000</v>
      </c>
      <c r="M1898">
        <f>_xll.BDP("611190EN Muni","YIELD_ON_ISSUE_DATE")</f>
        <v>2.21</v>
      </c>
      <c r="N1898">
        <f>_xll.BDP("611190EN Muni","YTW_SPREAD_TO_MATURITY_AT_ISSU")</f>
        <v>37.409509589041079</v>
      </c>
      <c r="O1898" t="str">
        <f>_xll.BDP("611190EN Muni","BVAL_MID_YTM")</f>
        <v>#N/A Authorization</v>
      </c>
      <c r="P1898" t="str">
        <f>_xll.BDP("611190EN Muni","MUNI_TAX_PROV")</f>
        <v>FED &amp; ST TAX-EXEMPT</v>
      </c>
      <c r="Q1898" t="str">
        <f>_xll.BDP("611190EN Muni","MUNI_FED_TAX")</f>
        <v>N</v>
      </c>
      <c r="R1898" t="str">
        <f>_xll.BDP("611190EN Muni","MUNI_MSRB_VOLUME")</f>
        <v>#N/A N/A</v>
      </c>
      <c r="S1898" t="str">
        <f>_xll.BDP("611190EN Muni","BB_COMPOSITE")</f>
        <v>A+</v>
      </c>
      <c r="T1898">
        <f>_xll.BDP("611190EN Muni","LQA_LIQUIDITY_SCORE")</f>
        <v>71</v>
      </c>
    </row>
    <row r="1899" spans="1:20" x14ac:dyDescent="0.25">
      <c r="A1899" t="str">
        <f>_xll.BDP("611190EP Muni","ID_CUSIP")</f>
        <v>611190EP0</v>
      </c>
      <c r="B1899" t="s">
        <v>459</v>
      </c>
      <c r="C1899" t="str">
        <f>_xll.BDP("611190EP Muni","INSURANCE_STATUS")</f>
        <v>N</v>
      </c>
      <c r="D1899" t="str">
        <f>_xll.BDP("611190EP Muni","STATE_CODE")</f>
        <v>NC</v>
      </c>
      <c r="E1899" t="str">
        <f>_xll.BDP("611190EP Muni","COUNTY_LOCATION_ISSUER")</f>
        <v>Union, NC</v>
      </c>
      <c r="F1899">
        <f>_xll.BDP("611190EP Muni","DUR_ADJ_MID")</f>
        <v>3.2411842705334752</v>
      </c>
      <c r="G1899">
        <f>_xll.BDP("611190EP Muni","SPREAD_AT_ISSUANCE_TO_WORST")</f>
        <v>36.43933698630137</v>
      </c>
      <c r="H1899" t="str">
        <f>_xll.BDP("611190EP Muni","ISSUE_DT")</f>
        <v>12/21/2017</v>
      </c>
      <c r="I1899" t="str">
        <f>_xll.BDS("611190EP Muni","MUNI_PURPOSE_SCHED", "aggregate=y")</f>
        <v>WATER UTILITY IMPS. SEWER IMPS. PRT, AIRPRT &amp; MARINA IMPS</v>
      </c>
      <c r="J1899">
        <f>_xll.BDP("611190EP Muni","CPN")</f>
        <v>5</v>
      </c>
      <c r="K1899" t="str">
        <f>_xll.BDP("611190EP Muni","MATURITY")</f>
        <v>3/1/2026</v>
      </c>
      <c r="L1899">
        <v>380000</v>
      </c>
      <c r="M1899">
        <f>_xll.BDP("611190EP Muni","YIELD_ON_ISSUE_DATE")</f>
        <v>2.29</v>
      </c>
      <c r="N1899">
        <f>_xll.BDP("611190EP Muni","YTW_SPREAD_TO_MATURITY_AT_ISSU")</f>
        <v>36.43933698630137</v>
      </c>
      <c r="O1899" t="str">
        <f>_xll.BDP("611190EP Muni","BVAL_MID_YTM")</f>
        <v>#N/A Authorization</v>
      </c>
      <c r="P1899" t="str">
        <f>_xll.BDP("611190EP Muni","MUNI_TAX_PROV")</f>
        <v>FED &amp; ST TAX-EXEMPT</v>
      </c>
      <c r="Q1899" t="str">
        <f>_xll.BDP("611190EP Muni","MUNI_FED_TAX")</f>
        <v>N</v>
      </c>
      <c r="R1899">
        <f>_xll.BDP("611190EP Muni","MUNI_MSRB_VOLUME")</f>
        <v>180000</v>
      </c>
      <c r="S1899" t="str">
        <f>_xll.BDP("611190EP Muni","BB_COMPOSITE")</f>
        <v>A+</v>
      </c>
      <c r="T1899">
        <f>_xll.BDP("611190EP Muni","LQA_LIQUIDITY_SCORE")</f>
        <v>62</v>
      </c>
    </row>
    <row r="1900" spans="1:20" x14ac:dyDescent="0.25">
      <c r="A1900" t="str">
        <f>_xll.BDP("622503UX Muni","ID_CUSIP")</f>
        <v>622503UX6</v>
      </c>
      <c r="B1900" t="s">
        <v>84</v>
      </c>
      <c r="C1900" t="str">
        <f>_xll.BDP("622503UX Muni","INSURANCE_STATUS")</f>
        <v>N</v>
      </c>
      <c r="D1900" t="str">
        <f>_xll.BDP("622503UX Muni","STATE_CODE")</f>
        <v>NY</v>
      </c>
      <c r="E1900" t="str">
        <f>_xll.BDP("622503UX Muni","COUNTY_LOCATION_ISSUER")</f>
        <v>Westchester, NY</v>
      </c>
      <c r="F1900">
        <f>_xll.BDP("622503UX Muni","DUR_ADJ_MID")</f>
        <v>0.65324487627816796</v>
      </c>
      <c r="G1900">
        <f>_xll.BDP("622503UX Muni","SPREAD_AT_ISSUANCE_TO_WORST")</f>
        <v>7.8920917342630847</v>
      </c>
      <c r="H1900" t="str">
        <f>_xll.BDP("622503UX Muni","ISSUE_DT")</f>
        <v>4/12/2017</v>
      </c>
      <c r="I1900" t="str">
        <f>_xll.BDS("622503UX Muni","MUNI_PURPOSE_SCHED", "aggregate=y")</f>
        <v>WATER UTILITY IMPS. PUBLIC IMPS. RECREATIONAL FAC. IMPS.</v>
      </c>
      <c r="J1900">
        <f>_xll.BDP("622503UX Muni","CPN")</f>
        <v>3</v>
      </c>
      <c r="K1900" t="str">
        <f>_xll.BDP("622503UX Muni","MATURITY")</f>
        <v>4/1/2023</v>
      </c>
      <c r="L1900">
        <v>585000</v>
      </c>
      <c r="M1900">
        <f>_xll.BDP("622503UX Muni","YIELD_ON_ISSUE_DATE")</f>
        <v>1.8</v>
      </c>
      <c r="N1900">
        <f>_xll.BDP("622503UX Muni","YTW_SPREAD_TO_MATURITY_AT_ISSU")</f>
        <v>7.8920917342630847</v>
      </c>
      <c r="O1900" t="str">
        <f>_xll.BDP("622503UX Muni","BVAL_MID_YTM")</f>
        <v>#N/A Authorization</v>
      </c>
      <c r="P1900" t="str">
        <f>_xll.BDP("622503UX Muni","MUNI_TAX_PROV")</f>
        <v>FED &amp; ST TAX-EXEMPT</v>
      </c>
      <c r="Q1900" t="str">
        <f>_xll.BDP("622503UX Muni","MUNI_FED_TAX")</f>
        <v>N</v>
      </c>
      <c r="R1900" t="str">
        <f>_xll.BDP("622503UX Muni","MUNI_MSRB_VOLUME")</f>
        <v>#N/A N/A</v>
      </c>
      <c r="S1900" t="str">
        <f>_xll.BDP("622503UX Muni","BB_COMPOSITE")</f>
        <v>#N/A N/A</v>
      </c>
      <c r="T1900">
        <f>_xll.BDP("622503UX Muni","LQA_LIQUIDITY_SCORE")</f>
        <v>78</v>
      </c>
    </row>
    <row r="1901" spans="1:20" x14ac:dyDescent="0.25">
      <c r="A1901" t="str">
        <f>_xll.BDP("622634FD Muni","ID_CUSIP")</f>
        <v>622634FD0</v>
      </c>
      <c r="B1901" t="s">
        <v>456</v>
      </c>
      <c r="C1901" t="str">
        <f>_xll.BDP("622634FD Muni","INSURANCE_STATUS")</f>
        <v>N</v>
      </c>
      <c r="D1901" t="str">
        <f>_xll.BDP("622634FD Muni","STATE_CODE")</f>
        <v>SC</v>
      </c>
      <c r="E1901" t="str">
        <f>_xll.BDP("622634FD Muni","COUNTY_LOCATION_ISSUER")</f>
        <v>Charleston, SC</v>
      </c>
      <c r="F1901">
        <f>_xll.BDP("622634FD Muni","DUR_ADJ_MID")</f>
        <v>1.746525552348738</v>
      </c>
      <c r="G1901">
        <f>_xll.BDP("622634FD Muni","SPREAD_AT_ISSUANCE_TO_WORST")</f>
        <v>10.907210013793822</v>
      </c>
      <c r="H1901" t="str">
        <f>_xll.BDP("622634FD Muni","ISSUE_DT")</f>
        <v>5/17/2017</v>
      </c>
      <c r="I1901" t="str">
        <f>_xll.BDS("622634FD Muni","MUNI_PURPOSE_SCHED", "aggregate=y")</f>
        <v>WATER UTILITY IMPS. SEWER IMPS.</v>
      </c>
      <c r="J1901">
        <f>_xll.BDP("622634FD Muni","CPN")</f>
        <v>5</v>
      </c>
      <c r="K1901" t="str">
        <f>_xll.BDP("622634FD Muni","MATURITY")</f>
        <v>6/1/2024</v>
      </c>
      <c r="L1901">
        <v>805000</v>
      </c>
      <c r="M1901">
        <f>_xll.BDP("622634FD Muni","YIELD_ON_ISSUE_DATE")</f>
        <v>1.84</v>
      </c>
      <c r="N1901">
        <f>_xll.BDP("622634FD Muni","YTW_SPREAD_TO_MATURITY_AT_ISSU")</f>
        <v>10.907210013793822</v>
      </c>
      <c r="O1901" t="str">
        <f>_xll.BDP("622634FD Muni","BVAL_MID_YTM")</f>
        <v>#N/A Authorization</v>
      </c>
      <c r="P1901" t="str">
        <f>_xll.BDP("622634FD Muni","MUNI_TAX_PROV")</f>
        <v>FED &amp; ST TAX-EXEMPT</v>
      </c>
      <c r="Q1901" t="str">
        <f>_xll.BDP("622634FD Muni","MUNI_FED_TAX")</f>
        <v>N</v>
      </c>
      <c r="R1901" t="str">
        <f>_xll.BDP("622634FD Muni","MUNI_MSRB_VOLUME")</f>
        <v>#N/A N/A</v>
      </c>
      <c r="S1901" t="str">
        <f>_xll.BDP("622634FD Muni","BB_COMPOSITE")</f>
        <v>AA+</v>
      </c>
      <c r="T1901">
        <f>_xll.BDP("622634FD Muni","LQA_LIQUIDITY_SCORE")</f>
        <v>88</v>
      </c>
    </row>
    <row r="1902" spans="1:20" x14ac:dyDescent="0.25">
      <c r="A1902" t="str">
        <f>_xll.BDP("622826UU Muni","ID_CUSIP")</f>
        <v>622826UU7</v>
      </c>
      <c r="B1902" t="s">
        <v>457</v>
      </c>
      <c r="C1902" t="str">
        <f>_xll.BDP("622826UU Muni","INSURANCE_STATUS")</f>
        <v>N</v>
      </c>
      <c r="D1902" t="str">
        <f>_xll.BDP("622826UU Muni","STATE_CODE")</f>
        <v>IL</v>
      </c>
      <c r="E1902" t="str">
        <f>_xll.BDP("622826UU Muni","COUNTY_LOCATION_ISSUER")</f>
        <v>Cook, IL</v>
      </c>
      <c r="F1902">
        <f>_xll.BDP("622826UU Muni","DUR_ADJ_MID")</f>
        <v>0.32920036815616072</v>
      </c>
      <c r="G1902">
        <f>_xll.BDP("622826UU Muni","SPREAD_AT_ISSUANCE_TO_WORST")</f>
        <v>30.787917808219191</v>
      </c>
      <c r="H1902" t="str">
        <f>_xll.BDP("622826UU Muni","ISSUE_DT")</f>
        <v>12/20/2017</v>
      </c>
      <c r="I1902" t="str">
        <f>_xll.BDS("622826UU Muni","MUNI_PURPOSE_SCHED", "aggregate=y")</f>
        <v>WATER UTILITY IMPS. SEWER IMPS. MISC. PURPOSES</v>
      </c>
      <c r="J1902">
        <f>_xll.BDP("622826UU Muni","CPN")</f>
        <v>4</v>
      </c>
      <c r="K1902" t="str">
        <f>_xll.BDP("622826UU Muni","MATURITY")</f>
        <v>12/1/2022</v>
      </c>
      <c r="L1902">
        <v>315000</v>
      </c>
      <c r="M1902">
        <f>_xll.BDP("622826UU Muni","YIELD_ON_ISSUE_DATE")</f>
        <v>1.86</v>
      </c>
      <c r="N1902">
        <f>_xll.BDP("622826UU Muni","YTW_SPREAD_TO_MATURITY_AT_ISSU")</f>
        <v>30.787917808219191</v>
      </c>
      <c r="O1902" t="str">
        <f>_xll.BDP("622826UU Muni","BVAL_MID_YTM")</f>
        <v>#N/A Authorization</v>
      </c>
      <c r="P1902" t="str">
        <f>_xll.BDP("622826UU Muni","MUNI_TAX_PROV")</f>
        <v>FED BQ/ST TAXABLE</v>
      </c>
      <c r="Q1902" t="str">
        <f>_xll.BDP("622826UU Muni","MUNI_FED_TAX")</f>
        <v>N</v>
      </c>
      <c r="R1902" t="str">
        <f>_xll.BDP("622826UU Muni","MUNI_MSRB_VOLUME")</f>
        <v>#N/A N/A</v>
      </c>
      <c r="S1902" t="str">
        <f>_xll.BDP("622826UU Muni","BB_COMPOSITE")</f>
        <v>#N/A N/A</v>
      </c>
      <c r="T1902">
        <f>_xll.BDP("622826UU Muni","LQA_LIQUIDITY_SCORE")</f>
        <v>97</v>
      </c>
    </row>
    <row r="1903" spans="1:20" x14ac:dyDescent="0.25">
      <c r="A1903" t="str">
        <f>_xll.BDP("622826UV Muni","ID_CUSIP")</f>
        <v>622826UV5</v>
      </c>
      <c r="B1903" t="s">
        <v>457</v>
      </c>
      <c r="C1903" t="str">
        <f>_xll.BDP("622826UV Muni","INSURANCE_STATUS")</f>
        <v>N</v>
      </c>
      <c r="D1903" t="str">
        <f>_xll.BDP("622826UV Muni","STATE_CODE")</f>
        <v>IL</v>
      </c>
      <c r="E1903" t="str">
        <f>_xll.BDP("622826UV Muni","COUNTY_LOCATION_ISSUER")</f>
        <v>Cook, IL</v>
      </c>
      <c r="F1903">
        <f>_xll.BDP("622826UV Muni","DUR_ADJ_MID")</f>
        <v>1.2899224080416312</v>
      </c>
      <c r="G1903">
        <f>_xll.BDP("622826UV Muni","SPREAD_AT_ISSUANCE_TO_WORST")</f>
        <v>32.2991917808219</v>
      </c>
      <c r="H1903" t="str">
        <f>_xll.BDP("622826UV Muni","ISSUE_DT")</f>
        <v>12/20/2017</v>
      </c>
      <c r="I1903" t="str">
        <f>_xll.BDS("622826UV Muni","MUNI_PURPOSE_SCHED", "aggregate=y")</f>
        <v>WATER UTILITY IMPS. SEWER IMPS. MISC. PURPOSES</v>
      </c>
      <c r="J1903">
        <f>_xll.BDP("622826UV Muni","CPN")</f>
        <v>4</v>
      </c>
      <c r="K1903" t="str">
        <f>_xll.BDP("622826UV Muni","MATURITY")</f>
        <v>12/1/2023</v>
      </c>
      <c r="L1903">
        <v>345000</v>
      </c>
      <c r="M1903">
        <f>_xll.BDP("622826UV Muni","YIELD_ON_ISSUE_DATE")</f>
        <v>1.98</v>
      </c>
      <c r="N1903">
        <f>_xll.BDP("622826UV Muni","YTW_SPREAD_TO_MATURITY_AT_ISSU")</f>
        <v>32.2991917808219</v>
      </c>
      <c r="O1903" t="str">
        <f>_xll.BDP("622826UV Muni","BVAL_MID_YTM")</f>
        <v>#N/A Authorization</v>
      </c>
      <c r="P1903" t="str">
        <f>_xll.BDP("622826UV Muni","MUNI_TAX_PROV")</f>
        <v>FED BQ/ST TAXABLE</v>
      </c>
      <c r="Q1903" t="str">
        <f>_xll.BDP("622826UV Muni","MUNI_FED_TAX")</f>
        <v>N</v>
      </c>
      <c r="R1903" t="str">
        <f>_xll.BDP("622826UV Muni","MUNI_MSRB_VOLUME")</f>
        <v>#N/A N/A</v>
      </c>
      <c r="S1903" t="str">
        <f>_xll.BDP("622826UV Muni","BB_COMPOSITE")</f>
        <v>#N/A N/A</v>
      </c>
      <c r="T1903">
        <f>_xll.BDP("622826UV Muni","LQA_LIQUIDITY_SCORE")</f>
        <v>88</v>
      </c>
    </row>
    <row r="1904" spans="1:20" x14ac:dyDescent="0.25">
      <c r="A1904" t="str">
        <f>_xll.BDP("622826UX Muni","ID_CUSIP")</f>
        <v>622826UX1</v>
      </c>
      <c r="B1904" t="s">
        <v>457</v>
      </c>
      <c r="C1904" t="str">
        <f>_xll.BDP("622826UX Muni","INSURANCE_STATUS")</f>
        <v>N</v>
      </c>
      <c r="D1904" t="str">
        <f>_xll.BDP("622826UX Muni","STATE_CODE")</f>
        <v>IL</v>
      </c>
      <c r="E1904" t="str">
        <f>_xll.BDP("622826UX Muni","COUNTY_LOCATION_ISSUER")</f>
        <v>Cook, IL</v>
      </c>
      <c r="F1904">
        <f>_xll.BDP("622826UX Muni","DUR_ADJ_MID")</f>
        <v>3.1057730328303284</v>
      </c>
      <c r="G1904">
        <f>_xll.BDP("622826UX Muni","SPREAD_AT_ISSUANCE_TO_WORST")</f>
        <v>34.430065753424643</v>
      </c>
      <c r="H1904" t="str">
        <f>_xll.BDP("622826UX Muni","ISSUE_DT")</f>
        <v>12/20/2017</v>
      </c>
      <c r="I1904" t="str">
        <f>_xll.BDS("622826UX Muni","MUNI_PURPOSE_SCHED", "aggregate=y")</f>
        <v>WATER UTILITY IMPS. SEWER IMPS. MISC. PURPOSES</v>
      </c>
      <c r="J1904">
        <f>_xll.BDP("622826UX Muni","CPN")</f>
        <v>4</v>
      </c>
      <c r="K1904" t="str">
        <f>_xll.BDP("622826UX Muni","MATURITY")</f>
        <v>12/1/2025</v>
      </c>
      <c r="L1904">
        <v>405000</v>
      </c>
      <c r="M1904">
        <f>_xll.BDP("622826UX Muni","YIELD_ON_ISSUE_DATE")</f>
        <v>2.21</v>
      </c>
      <c r="N1904">
        <f>_xll.BDP("622826UX Muni","YTW_SPREAD_TO_MATURITY_AT_ISSU")</f>
        <v>34.430065753424643</v>
      </c>
      <c r="O1904" t="str">
        <f>_xll.BDP("622826UX Muni","BVAL_MID_YTM")</f>
        <v>#N/A Authorization</v>
      </c>
      <c r="P1904" t="str">
        <f>_xll.BDP("622826UX Muni","MUNI_TAX_PROV")</f>
        <v>FED BQ/ST TAXABLE</v>
      </c>
      <c r="Q1904" t="str">
        <f>_xll.BDP("622826UX Muni","MUNI_FED_TAX")</f>
        <v>N</v>
      </c>
      <c r="R1904" t="str">
        <f>_xll.BDP("622826UX Muni","MUNI_MSRB_VOLUME")</f>
        <v>#N/A N/A</v>
      </c>
      <c r="S1904" t="str">
        <f>_xll.BDP("622826UX Muni","BB_COMPOSITE")</f>
        <v>#N/A N/A</v>
      </c>
      <c r="T1904">
        <f>_xll.BDP("622826UX Muni","LQA_LIQUIDITY_SCORE")</f>
        <v>69</v>
      </c>
    </row>
    <row r="1905" spans="1:20" x14ac:dyDescent="0.25">
      <c r="A1905" t="str">
        <f>_xll.BDP("56782UAV Muni","ID_CUSIP")</f>
        <v>56782UAV1</v>
      </c>
      <c r="B1905" t="s">
        <v>491</v>
      </c>
      <c r="C1905" t="str">
        <f>_xll.BDP("56782UAV Muni","INSURANCE_STATUS")</f>
        <v>N</v>
      </c>
      <c r="D1905" t="str">
        <f>_xll.BDP("56782UAV Muni","STATE_CODE")</f>
        <v>CA</v>
      </c>
      <c r="E1905" t="str">
        <f>_xll.BDP("56782UAV Muni","COUNTY_LOCATION_ISSUER")</f>
        <v>Marin, CA</v>
      </c>
      <c r="F1905">
        <f>_xll.BDP("56782UAV Muni","DUR_ADJ_MID")</f>
        <v>4.3985815735352665</v>
      </c>
      <c r="G1905">
        <f>_xll.BDP("56782UAV Muni","SPREAD_AT_ISSUANCE_TO_WORST")</f>
        <v>2.4041135486967846</v>
      </c>
      <c r="H1905" t="str">
        <f>_xll.BDP("56782UAV Muni","ISSUE_DT")</f>
        <v>8/1/2017</v>
      </c>
      <c r="I1905" t="str">
        <f>_xll.BDS("56782UAV Muni","MUNI_PURPOSE_SCHED", "aggregate=y")</f>
        <v>WATER UTILITY IMPS.</v>
      </c>
      <c r="J1905">
        <f>_xll.BDP("56782UAV Muni","CPN")</f>
        <v>5</v>
      </c>
      <c r="K1905" t="str">
        <f>_xll.BDP("56782UAV Muni","MATURITY")</f>
        <v>7/1/2027</v>
      </c>
      <c r="L1905">
        <v>870000</v>
      </c>
      <c r="M1905">
        <f>_xll.BDP("56782UAV Muni","YIELD_ON_ISSUE_DATE")</f>
        <v>1.95</v>
      </c>
      <c r="N1905">
        <f>_xll.BDP("56782UAV Muni","YTW_SPREAD_TO_MATURITY_AT_ISSU")</f>
        <v>2.4041135486967846</v>
      </c>
      <c r="O1905" t="str">
        <f>_xll.BDP("56782UAV Muni","BVAL_MID_YTM")</f>
        <v>#N/A Authorization</v>
      </c>
      <c r="P1905" t="str">
        <f>_xll.BDP("56782UAV Muni","MUNI_TAX_PROV")</f>
        <v>FED &amp; ST TAX-EXEMPT</v>
      </c>
      <c r="Q1905" t="str">
        <f>_xll.BDP("56782UAV Muni","MUNI_FED_TAX")</f>
        <v>N</v>
      </c>
      <c r="R1905">
        <f>_xll.BDP("56782UAV Muni","MUNI_MSRB_VOLUME")</f>
        <v>40000</v>
      </c>
      <c r="S1905" t="str">
        <f>_xll.BDP("56782UAV Muni","BB_COMPOSITE")</f>
        <v>AA</v>
      </c>
      <c r="T1905">
        <f>_xll.BDP("56782UAV Muni","LQA_LIQUIDITY_SCORE")</f>
        <v>66</v>
      </c>
    </row>
    <row r="1906" spans="1:20" x14ac:dyDescent="0.25">
      <c r="A1906" t="str">
        <f>_xll.BDP("6457918D Muni","ID_CUSIP")</f>
        <v>6457918D9</v>
      </c>
      <c r="B1906" t="s">
        <v>167</v>
      </c>
      <c r="C1906" t="str">
        <f>_xll.BDP("6457918D Muni","INSURANCE_STATUS")</f>
        <v>N</v>
      </c>
      <c r="D1906" t="str">
        <f>_xll.BDP("6457918D Muni","STATE_CODE")</f>
        <v>NJ</v>
      </c>
      <c r="E1906" t="str">
        <f>_xll.BDP("6457918D Muni","COUNTY_LOCATION_ISSUER")</f>
        <v>Mercer, NJ</v>
      </c>
      <c r="F1906">
        <f>_xll.BDP("6457918D Muni","DUR_ADJ_MID")</f>
        <v>2.825967214063188</v>
      </c>
      <c r="G1906">
        <f>_xll.BDP("6457918D Muni","SPREAD_AT_ISSUANCE_TO_WORST")</f>
        <v>-1.9771174120278845</v>
      </c>
      <c r="H1906" t="str">
        <f>_xll.BDP("6457918D Muni","ISSUE_DT")</f>
        <v>5/25/2017</v>
      </c>
      <c r="I1906" t="str">
        <f>_xll.BDS("6457918D Muni","MUNI_PURPOSE_SCHED", "aggregate=y")</f>
        <v>GREEN PURPOSE SEWER IMPS. WATER UTILITY IMPS.</v>
      </c>
      <c r="J1906">
        <f>_xll.BDP("6457918D Muni","CPN")</f>
        <v>5</v>
      </c>
      <c r="K1906" t="str">
        <f>_xll.BDP("6457918D Muni","MATURITY")</f>
        <v>9/1/2025</v>
      </c>
      <c r="L1906">
        <v>1170000</v>
      </c>
      <c r="M1906">
        <f>_xll.BDP("6457918D Muni","YIELD_ON_ISSUE_DATE")</f>
        <v>1.9000000000000001</v>
      </c>
      <c r="N1906">
        <f>_xll.BDP("6457918D Muni","YTW_SPREAD_TO_MATURITY_AT_ISSU")</f>
        <v>-1.9771174120278845</v>
      </c>
      <c r="O1906" t="str">
        <f>_xll.BDP("6457918D Muni","BVAL_MID_YTM")</f>
        <v>#N/A Authorization</v>
      </c>
      <c r="P1906" t="str">
        <f>_xll.BDP("6457918D Muni","MUNI_TAX_PROV")</f>
        <v>FED &amp; ST TAX-EXEMPT</v>
      </c>
      <c r="Q1906" t="str">
        <f>_xll.BDP("6457918D Muni","MUNI_FED_TAX")</f>
        <v>N</v>
      </c>
      <c r="R1906" t="str">
        <f>_xll.BDP("6457918D Muni","MUNI_MSRB_VOLUME")</f>
        <v>#N/A N/A</v>
      </c>
      <c r="S1906" t="str">
        <f>_xll.BDP("6457918D Muni","BB_COMPOSITE")</f>
        <v>AAA</v>
      </c>
      <c r="T1906">
        <f>_xll.BDP("6457918D Muni","LQA_LIQUIDITY_SCORE")</f>
        <v>80</v>
      </c>
    </row>
    <row r="1907" spans="1:20" x14ac:dyDescent="0.25">
      <c r="A1907" t="str">
        <f>_xll.BDP("64579SAZ Muni","ID_CUSIP")</f>
        <v>64579SAZ8</v>
      </c>
      <c r="B1907" t="s">
        <v>167</v>
      </c>
      <c r="C1907" t="str">
        <f>_xll.BDP("64579SAZ Muni","INSURANCE_STATUS")</f>
        <v>N</v>
      </c>
      <c r="D1907" t="str">
        <f>_xll.BDP("64579SAZ Muni","STATE_CODE")</f>
        <v>NJ</v>
      </c>
      <c r="E1907" t="str">
        <f>_xll.BDP("64579SAZ Muni","COUNTY_LOCATION_ISSUER")</f>
        <v>Mercer, NJ</v>
      </c>
      <c r="F1907">
        <f>_xll.BDP("64579SAZ Muni","DUR_ADJ_MID")</f>
        <v>1.9511823272740181</v>
      </c>
      <c r="G1907">
        <f>_xll.BDP("64579SAZ Muni","SPREAD_AT_ISSUANCE_TO_WORST")</f>
        <v>-6.0019452054794531</v>
      </c>
      <c r="H1907" t="str">
        <f>_xll.BDP("64579SAZ Muni","ISSUE_DT")</f>
        <v>11/21/2017</v>
      </c>
      <c r="I1907" t="str">
        <f>_xll.BDS("64579SAZ Muni","MUNI_PURPOSE_SCHED", "aggregate=y")</f>
        <v>WATER UTILITY IMPS. SEWER IMPS. GREEN PURPOSE</v>
      </c>
      <c r="J1907">
        <f>_xll.BDP("64579SAZ Muni","CPN")</f>
        <v>5</v>
      </c>
      <c r="K1907" t="str">
        <f>_xll.BDP("64579SAZ Muni","MATURITY")</f>
        <v>9/1/2024</v>
      </c>
      <c r="L1907">
        <v>815000</v>
      </c>
      <c r="M1907">
        <f>_xll.BDP("64579SAZ Muni","YIELD_ON_ISSUE_DATE")</f>
        <v>1.58</v>
      </c>
      <c r="N1907">
        <f>_xll.BDP("64579SAZ Muni","YTW_SPREAD_TO_MATURITY_AT_ISSU")</f>
        <v>-6.0019452054794531</v>
      </c>
      <c r="O1907" t="str">
        <f>_xll.BDP("64579SAZ Muni","BVAL_MID_YTM")</f>
        <v>#N/A Authorization</v>
      </c>
      <c r="P1907" t="str">
        <f>_xll.BDP("64579SAZ Muni","MUNI_TAX_PROV")</f>
        <v>FED &amp; ST TAX-EXEMPT</v>
      </c>
      <c r="Q1907" t="str">
        <f>_xll.BDP("64579SAZ Muni","MUNI_FED_TAX")</f>
        <v>N</v>
      </c>
      <c r="R1907" t="str">
        <f>_xll.BDP("64579SAZ Muni","MUNI_MSRB_VOLUME")</f>
        <v>#N/A N/A</v>
      </c>
      <c r="S1907" t="str">
        <f>_xll.BDP("64579SAZ Muni","BB_COMPOSITE")</f>
        <v>AAA</v>
      </c>
      <c r="T1907">
        <f>_xll.BDP("64579SAZ Muni","LQA_LIQUIDITY_SCORE")</f>
        <v>81</v>
      </c>
    </row>
    <row r="1908" spans="1:20" x14ac:dyDescent="0.25">
      <c r="A1908" t="str">
        <f>_xll.BDP("64579SCH Muni","ID_CUSIP")</f>
        <v>64579SCH6</v>
      </c>
      <c r="B1908" t="s">
        <v>167</v>
      </c>
      <c r="C1908" t="str">
        <f>_xll.BDP("64579SCH Muni","INSURANCE_STATUS")</f>
        <v>N</v>
      </c>
      <c r="D1908" t="str">
        <f>_xll.BDP("64579SCH Muni","STATE_CODE")</f>
        <v>NJ</v>
      </c>
      <c r="E1908" t="str">
        <f>_xll.BDP("64579SCH Muni","COUNTY_LOCATION_ISSUER")</f>
        <v>Mercer, NJ</v>
      </c>
      <c r="F1908">
        <f>_xll.BDP("64579SCH Muni","DUR_ADJ_MID")</f>
        <v>4.6519909399399362</v>
      </c>
      <c r="G1908">
        <f>_xll.BDP("64579SCH Muni","SPREAD_AT_ISSUANCE_TO_WORST")</f>
        <v>37.479726027397241</v>
      </c>
      <c r="H1908" t="str">
        <f>_xll.BDP("64579SCH Muni","ISSUE_DT")</f>
        <v>11/21/2017</v>
      </c>
      <c r="I1908" t="str">
        <f>_xll.BDS("64579SCH Muni","MUNI_PURPOSE_SCHED", "aggregate=y")</f>
        <v>WATER UTILITY IMPS. SEWER IMPS. GREEN PURPOSE</v>
      </c>
      <c r="J1908">
        <f>_xll.BDP("64579SCH Muni","CPN")</f>
        <v>3</v>
      </c>
      <c r="K1908" t="str">
        <f>_xll.BDP("64579SCH Muni","MATURITY")</f>
        <v>9/1/2027</v>
      </c>
      <c r="L1908">
        <v>110000</v>
      </c>
      <c r="M1908">
        <f>_xll.BDP("64579SCH Muni","YIELD_ON_ISSUE_DATE")</f>
        <v>2.3000000000000003</v>
      </c>
      <c r="N1908">
        <f>_xll.BDP("64579SCH Muni","YTW_SPREAD_TO_MATURITY_AT_ISSU")</f>
        <v>37.479726027397241</v>
      </c>
      <c r="O1908" t="str">
        <f>_xll.BDP("64579SCH Muni","BVAL_MID_YTM")</f>
        <v>#N/A Authorization</v>
      </c>
      <c r="P1908" t="str">
        <f>_xll.BDP("64579SCH Muni","MUNI_TAX_PROV")</f>
        <v>AMT/ST TAX-EXEMPT</v>
      </c>
      <c r="Q1908" t="str">
        <f>_xll.BDP("64579SCH Muni","MUNI_FED_TAX")</f>
        <v>N</v>
      </c>
      <c r="R1908" t="str">
        <f>_xll.BDP("64579SCH Muni","MUNI_MSRB_VOLUME")</f>
        <v>#N/A N/A</v>
      </c>
      <c r="S1908" t="str">
        <f>_xll.BDP("64579SCH Muni","BB_COMPOSITE")</f>
        <v>AAA</v>
      </c>
      <c r="T1908">
        <f>_xll.BDP("64579SCH Muni","LQA_LIQUIDITY_SCORE")</f>
        <v>38</v>
      </c>
    </row>
    <row r="1909" spans="1:20" x14ac:dyDescent="0.25">
      <c r="A1909" t="str">
        <f>_xll.BDP("667900FM Muni","ID_CUSIP")</f>
        <v>667900FM1</v>
      </c>
      <c r="B1909" t="s">
        <v>498</v>
      </c>
      <c r="C1909" t="str">
        <f>_xll.BDP("667900FM Muni","INSURANCE_STATUS")</f>
        <v>Y</v>
      </c>
      <c r="D1909" t="str">
        <f>_xll.BDP("667900FM Muni","STATE_CODE")</f>
        <v>TX</v>
      </c>
      <c r="E1909" t="str">
        <f>_xll.BDP("667900FM Muni","COUNTY_LOCATION_ISSUER")</f>
        <v>Harris, TX</v>
      </c>
      <c r="F1909">
        <f>_xll.BDP("667900FM Muni","DUR_ADJ_MID")</f>
        <v>1.1147774484327764</v>
      </c>
      <c r="G1909">
        <f>_xll.BDP("667900FM Muni","SPREAD_AT_ISSUANCE_TO_WORST")</f>
        <v>67.01786411878885</v>
      </c>
      <c r="H1909" t="str">
        <f>_xll.BDP("667900FM Muni","ISSUE_DT")</f>
        <v>3/1/2017</v>
      </c>
      <c r="I1909" t="str">
        <f>_xll.BDS("667900FM Muni","MUNI_PURPOSE_SCHED", "aggregate=y")</f>
        <v>WATER UTILITY IMPS. SEWER IMPS.</v>
      </c>
      <c r="J1909">
        <f>_xll.BDP("667900FM Muni","CPN")</f>
        <v>5.5</v>
      </c>
      <c r="K1909" t="str">
        <f>_xll.BDP("667900FM Muni","MATURITY")</f>
        <v>10/1/2023</v>
      </c>
      <c r="L1909">
        <v>25000</v>
      </c>
      <c r="M1909">
        <f>_xll.BDP("667900FM Muni","YIELD_ON_ISSUE_DATE")</f>
        <v>2.5</v>
      </c>
      <c r="N1909">
        <f>_xll.BDP("667900FM Muni","YTW_SPREAD_TO_MATURITY_AT_ISSU")</f>
        <v>67.01786411878885</v>
      </c>
      <c r="O1909" t="str">
        <f>_xll.BDP("667900FM Muni","BVAL_MID_YTM")</f>
        <v>#N/A Authorization</v>
      </c>
      <c r="P1909" t="str">
        <f>_xll.BDP("667900FM Muni","MUNI_TAX_PROV")</f>
        <v>FED BQ</v>
      </c>
      <c r="Q1909" t="str">
        <f>_xll.BDP("667900FM Muni","MUNI_FED_TAX")</f>
        <v>N</v>
      </c>
      <c r="R1909" t="str">
        <f>_xll.BDP("667900FM Muni","MUNI_MSRB_VOLUME")</f>
        <v>#N/A N/A</v>
      </c>
      <c r="S1909" t="str">
        <f>_xll.BDP("667900FM Muni","BB_COMPOSITE")</f>
        <v>#N/A N/A</v>
      </c>
      <c r="T1909">
        <f>_xll.BDP("667900FM Muni","LQA_LIQUIDITY_SCORE")</f>
        <v>94</v>
      </c>
    </row>
    <row r="1910" spans="1:20" x14ac:dyDescent="0.25">
      <c r="A1910" t="str">
        <f>_xll.BDP("667900FN Muni","ID_CUSIP")</f>
        <v>667900FN9</v>
      </c>
      <c r="B1910" t="s">
        <v>498</v>
      </c>
      <c r="C1910" t="str">
        <f>_xll.BDP("667900FN Muni","INSURANCE_STATUS")</f>
        <v>Y</v>
      </c>
      <c r="D1910" t="str">
        <f>_xll.BDP("667900FN Muni","STATE_CODE")</f>
        <v>TX</v>
      </c>
      <c r="E1910" t="str">
        <f>_xll.BDP("667900FN Muni","COUNTY_LOCATION_ISSUER")</f>
        <v>Harris, TX</v>
      </c>
      <c r="F1910">
        <f>_xll.BDP("667900FN Muni","DUR_ADJ_MID")</f>
        <v>2.0282875585260798</v>
      </c>
      <c r="G1910">
        <f>_xll.BDP("667900FN Muni","SPREAD_AT_ISSUANCE_TO_WORST")</f>
        <v>71.699059721253121</v>
      </c>
      <c r="H1910" t="str">
        <f>_xll.BDP("667900FN Muni","ISSUE_DT")</f>
        <v>3/1/2017</v>
      </c>
      <c r="I1910" t="str">
        <f>_xll.BDS("667900FN Muni","MUNI_PURPOSE_SCHED", "aggregate=y")</f>
        <v>WATER UTILITY IMPS. SEWER IMPS.</v>
      </c>
      <c r="J1910">
        <f>_xll.BDP("667900FN Muni","CPN")</f>
        <v>5</v>
      </c>
      <c r="K1910" t="str">
        <f>_xll.BDP("667900FN Muni","MATURITY")</f>
        <v>10/1/2024</v>
      </c>
      <c r="L1910">
        <v>50000</v>
      </c>
      <c r="M1910">
        <f>_xll.BDP("667900FN Muni","YIELD_ON_ISSUE_DATE")</f>
        <v>2.7</v>
      </c>
      <c r="N1910">
        <f>_xll.BDP("667900FN Muni","YTW_SPREAD_TO_MATURITY_AT_ISSU")</f>
        <v>71.699059721253121</v>
      </c>
      <c r="O1910" t="str">
        <f>_xll.BDP("667900FN Muni","BVAL_MID_YTM")</f>
        <v>#N/A Authorization</v>
      </c>
      <c r="P1910" t="str">
        <f>_xll.BDP("667900FN Muni","MUNI_TAX_PROV")</f>
        <v>FED BQ</v>
      </c>
      <c r="Q1910" t="str">
        <f>_xll.BDP("667900FN Muni","MUNI_FED_TAX")</f>
        <v>N</v>
      </c>
      <c r="R1910" t="str">
        <f>_xll.BDP("667900FN Muni","MUNI_MSRB_VOLUME")</f>
        <v>#N/A N/A</v>
      </c>
      <c r="S1910" t="str">
        <f>_xll.BDP("667900FN Muni","BB_COMPOSITE")</f>
        <v>#N/A N/A</v>
      </c>
      <c r="T1910">
        <f>_xll.BDP("667900FN Muni","LQA_LIQUIDITY_SCORE")</f>
        <v>84</v>
      </c>
    </row>
    <row r="1911" spans="1:20" x14ac:dyDescent="0.25">
      <c r="A1911" t="str">
        <f>_xll.BDP("667910GA Muni","ID_CUSIP")</f>
        <v>667910GA5</v>
      </c>
      <c r="B1911" t="s">
        <v>499</v>
      </c>
      <c r="C1911" t="str">
        <f>_xll.BDP("667910GA Muni","INSURANCE_STATUS")</f>
        <v>Y</v>
      </c>
      <c r="D1911" t="str">
        <f>_xll.BDP("667910GA Muni","STATE_CODE")</f>
        <v>TX</v>
      </c>
      <c r="E1911" t="str">
        <f>_xll.BDP("667910GA Muni","COUNTY_LOCATION_ISSUER")</f>
        <v>Harris, TX</v>
      </c>
      <c r="F1911">
        <f>_xll.BDP("667910GA Muni","DUR_ADJ_MID")</f>
        <v>0.56368751653162474</v>
      </c>
      <c r="G1911">
        <f>_xll.BDP("667910GA Muni","SPREAD_AT_ISSUANCE_TO_WORST")</f>
        <v>62.534339726027397</v>
      </c>
      <c r="H1911" t="str">
        <f>_xll.BDP("667910GA Muni","ISSUE_DT")</f>
        <v>12/1/2017</v>
      </c>
      <c r="I1911" t="str">
        <f>_xll.BDS("667910GA Muni","MUNI_PURPOSE_SCHED", "aggregate=y")</f>
        <v>WATER UTILITY IMPS. SEWER IMPS. REFUNDING NOTES</v>
      </c>
      <c r="J1911">
        <f>_xll.BDP("667910GA Muni","CPN")</f>
        <v>5</v>
      </c>
      <c r="K1911" t="str">
        <f>_xll.BDP("667910GA Muni","MATURITY")</f>
        <v>3/1/2023</v>
      </c>
      <c r="L1911">
        <v>50000</v>
      </c>
      <c r="M1911">
        <f>_xll.BDP("667910GA Muni","YIELD_ON_ISSUE_DATE")</f>
        <v>2.1</v>
      </c>
      <c r="N1911">
        <f>_xll.BDP("667910GA Muni","YTW_SPREAD_TO_MATURITY_AT_ISSU")</f>
        <v>62.534339726027397</v>
      </c>
      <c r="O1911" t="str">
        <f>_xll.BDP("667910GA Muni","BVAL_MID_YTM")</f>
        <v>#N/A Authorization</v>
      </c>
      <c r="P1911" t="str">
        <f>_xll.BDP("667910GA Muni","MUNI_TAX_PROV")</f>
        <v>FED BQ</v>
      </c>
      <c r="Q1911" t="str">
        <f>_xll.BDP("667910GA Muni","MUNI_FED_TAX")</f>
        <v>N</v>
      </c>
      <c r="R1911" t="str">
        <f>_xll.BDP("667910GA Muni","MUNI_MSRB_VOLUME")</f>
        <v>#N/A N/A</v>
      </c>
      <c r="S1911" t="str">
        <f>_xll.BDP("667910GA Muni","BB_COMPOSITE")</f>
        <v>#N/A N/A</v>
      </c>
      <c r="T1911">
        <f>_xll.BDP("667910GA Muni","LQA_LIQUIDITY_SCORE")</f>
        <v>98</v>
      </c>
    </row>
    <row r="1912" spans="1:20" x14ac:dyDescent="0.25">
      <c r="A1912" t="str">
        <f>_xll.BDP("669045PZ Muni","ID_CUSIP")</f>
        <v>669045PZ3</v>
      </c>
      <c r="B1912" t="s">
        <v>500</v>
      </c>
      <c r="C1912" t="str">
        <f>_xll.BDP("669045PZ Muni","INSURANCE_STATUS")</f>
        <v>N</v>
      </c>
      <c r="D1912" t="str">
        <f>_xll.BDP("669045PZ Muni","STATE_CODE")</f>
        <v>IA</v>
      </c>
      <c r="E1912" t="str">
        <f>_xll.BDP("669045PZ Muni","COUNTY_LOCATION_ISSUER")</f>
        <v>Warren, IA</v>
      </c>
      <c r="F1912">
        <f>_xll.BDP("669045PZ Muni","DUR_ADJ_MID")</f>
        <v>0.81686165206194794</v>
      </c>
      <c r="G1912">
        <f>_xll.BDP("669045PZ Muni","SPREAD_AT_ISSUANCE_TO_WORST")</f>
        <v>-10.84868659242213</v>
      </c>
      <c r="H1912" t="str">
        <f>_xll.BDP("669045PZ Muni","ISSUE_DT")</f>
        <v>1/3/2017</v>
      </c>
      <c r="I1912" t="str">
        <f>_xll.BDS("669045PZ Muni","MUNI_PURPOSE_SCHED", "aggregate=y")</f>
        <v>WATER UTILITY IMPS. SEWER IMPS. PUBLIC IMPS.</v>
      </c>
      <c r="J1912">
        <f>_xll.BDP("669045PZ Muni","CPN")</f>
        <v>3</v>
      </c>
      <c r="K1912" t="str">
        <f>_xll.BDP("669045PZ Muni","MATURITY")</f>
        <v>6/1/2023</v>
      </c>
      <c r="L1912">
        <v>430000</v>
      </c>
      <c r="M1912">
        <f>_xll.BDP("669045PZ Muni","YIELD_ON_ISSUE_DATE")</f>
        <v>2</v>
      </c>
      <c r="N1912">
        <f>_xll.BDP("669045PZ Muni","YTW_SPREAD_TO_MATURITY_AT_ISSU")</f>
        <v>-10.84868659242213</v>
      </c>
      <c r="O1912" t="str">
        <f>_xll.BDP("669045PZ Muni","BVAL_MID_YTM")</f>
        <v>#N/A Authorization</v>
      </c>
      <c r="P1912" t="str">
        <f>_xll.BDP("669045PZ Muni","MUNI_TAX_PROV")</f>
        <v>FED BQ</v>
      </c>
      <c r="Q1912" t="str">
        <f>_xll.BDP("669045PZ Muni","MUNI_FED_TAX")</f>
        <v>N</v>
      </c>
      <c r="R1912" t="str">
        <f>_xll.BDP("669045PZ Muni","MUNI_MSRB_VOLUME")</f>
        <v>#N/A N/A</v>
      </c>
      <c r="S1912" t="str">
        <f>_xll.BDP("669045PZ Muni","BB_COMPOSITE")</f>
        <v>#N/A N/A</v>
      </c>
      <c r="T1912">
        <f>_xll.BDP("669045PZ Muni","LQA_LIQUIDITY_SCORE")</f>
        <v>91</v>
      </c>
    </row>
    <row r="1913" spans="1:20" x14ac:dyDescent="0.25">
      <c r="A1913" t="str">
        <f>_xll.BDP("669045QR Muni","ID_CUSIP")</f>
        <v>669045QR0</v>
      </c>
      <c r="B1913" t="s">
        <v>500</v>
      </c>
      <c r="C1913" t="str">
        <f>_xll.BDP("669045QR Muni","INSURANCE_STATUS")</f>
        <v>N</v>
      </c>
      <c r="D1913" t="str">
        <f>_xll.BDP("669045QR Muni","STATE_CODE")</f>
        <v>IA</v>
      </c>
      <c r="E1913" t="str">
        <f>_xll.BDP("669045QR Muni","COUNTY_LOCATION_ISSUER")</f>
        <v>Warren, IA</v>
      </c>
      <c r="F1913">
        <f>_xll.BDP("669045QR Muni","DUR_ADJ_MID")</f>
        <v>1.7770770126784392</v>
      </c>
      <c r="G1913">
        <f>_xll.BDP("669045QR Muni","SPREAD_AT_ISSUANCE_TO_WORST")</f>
        <v>30.049624298468224</v>
      </c>
      <c r="H1913" t="str">
        <f>_xll.BDP("669045QR Muni","ISSUE_DT")</f>
        <v>7/6/2017</v>
      </c>
      <c r="I1913" t="str">
        <f>_xll.BDS("669045QR Muni","MUNI_PURPOSE_SCHED", "aggregate=y")</f>
        <v>PUBLIC IMPS. WATER UTILITY IMPS. SEWER IMPS.</v>
      </c>
      <c r="J1913">
        <f>_xll.BDP("669045QR Muni","CPN")</f>
        <v>2.5</v>
      </c>
      <c r="K1913" t="str">
        <f>_xll.BDP("669045QR Muni","MATURITY")</f>
        <v>6/1/2024</v>
      </c>
      <c r="L1913">
        <v>205000</v>
      </c>
      <c r="M1913">
        <f>_xll.BDP("669045QR Muni","YIELD_ON_ISSUE_DATE")</f>
        <v>1.75</v>
      </c>
      <c r="N1913">
        <f>_xll.BDP("669045QR Muni","YTW_SPREAD_TO_MATURITY_AT_ISSU")</f>
        <v>30.049624298468224</v>
      </c>
      <c r="O1913" t="str">
        <f>_xll.BDP("669045QR Muni","BVAL_MID_YTM")</f>
        <v>#N/A Authorization</v>
      </c>
      <c r="P1913" t="str">
        <f>_xll.BDP("669045QR Muni","MUNI_TAX_PROV")</f>
        <v>FED BQ/ST TAXABLE</v>
      </c>
      <c r="Q1913" t="str">
        <f>_xll.BDP("669045QR Muni","MUNI_FED_TAX")</f>
        <v>N</v>
      </c>
      <c r="R1913" t="str">
        <f>_xll.BDP("669045QR Muni","MUNI_MSRB_VOLUME")</f>
        <v>#N/A N/A</v>
      </c>
      <c r="S1913" t="str">
        <f>_xll.BDP("669045QR Muni","BB_COMPOSITE")</f>
        <v>#N/A N/A</v>
      </c>
      <c r="T1913">
        <f>_xll.BDP("669045QR Muni","LQA_LIQUIDITY_SCORE")</f>
        <v>79</v>
      </c>
    </row>
    <row r="1914" spans="1:20" x14ac:dyDescent="0.25">
      <c r="A1914" t="str">
        <f>_xll.BDP("667488QU Muni","ID_CUSIP")</f>
        <v>667488QU7</v>
      </c>
      <c r="B1914" t="s">
        <v>501</v>
      </c>
      <c r="C1914" t="str">
        <f>_xll.BDP("667488QU Muni","INSURANCE_STATUS")</f>
        <v>Y</v>
      </c>
      <c r="D1914" t="str">
        <f>_xll.BDP("667488QU Muni","STATE_CODE")</f>
        <v>TX</v>
      </c>
      <c r="E1914" t="str">
        <f>_xll.BDP("667488QU Muni","COUNTY_LOCATION_ISSUER")</f>
        <v>Harris, TX</v>
      </c>
      <c r="F1914">
        <f>_xll.BDP("667488QU Muni","DUR_ADJ_MID")</f>
        <v>0.73218179993434618</v>
      </c>
      <c r="G1914">
        <f>_xll.BDP("667488QU Muni","SPREAD_AT_ISSUANCE_TO_WORST")</f>
        <v>44.662324324738577</v>
      </c>
      <c r="H1914" t="str">
        <f>_xll.BDP("667488QU Muni","ISSUE_DT")</f>
        <v>8/1/2017</v>
      </c>
      <c r="I1914" t="str">
        <f>_xll.BDS("667488QU Muni","MUNI_PURPOSE_SCHED", "aggregate=y")</f>
        <v>WATER UTILITY IMPS. SEWER IMPS. REFUNDING NOTES</v>
      </c>
      <c r="J1914">
        <f>_xll.BDP("667488QU Muni","CPN")</f>
        <v>4</v>
      </c>
      <c r="K1914" t="str">
        <f>_xll.BDP("667488QU Muni","MATURITY")</f>
        <v>5/1/2023</v>
      </c>
      <c r="L1914">
        <v>1025000</v>
      </c>
      <c r="M1914">
        <f>_xll.BDP("667488QU Muni","YIELD_ON_ISSUE_DATE")</f>
        <v>1.8</v>
      </c>
      <c r="N1914">
        <f>_xll.BDP("667488QU Muni","YTW_SPREAD_TO_MATURITY_AT_ISSU")</f>
        <v>44.662324324738577</v>
      </c>
      <c r="O1914" t="str">
        <f>_xll.BDP("667488QU Muni","BVAL_MID_YTM")</f>
        <v>#N/A Authorization</v>
      </c>
      <c r="P1914" t="str">
        <f>_xll.BDP("667488QU Muni","MUNI_TAX_PROV")</f>
        <v>FED TAX-EXEMPT</v>
      </c>
      <c r="Q1914" t="str">
        <f>_xll.BDP("667488QU Muni","MUNI_FED_TAX")</f>
        <v>N</v>
      </c>
      <c r="R1914">
        <f>_xll.BDP("667488QU Muni","MUNI_MSRB_VOLUME")</f>
        <v>20000</v>
      </c>
      <c r="S1914" t="str">
        <f>_xll.BDP("667488QU Muni","BB_COMPOSITE")</f>
        <v>AA-</v>
      </c>
      <c r="T1914">
        <f>_xll.BDP("667488QU Muni","LQA_LIQUIDITY_SCORE")</f>
        <v>94</v>
      </c>
    </row>
    <row r="1915" spans="1:20" x14ac:dyDescent="0.25">
      <c r="A1915" t="str">
        <f>_xll.BDP("667488QV Muni","ID_CUSIP")</f>
        <v>667488QV5</v>
      </c>
      <c r="B1915" t="s">
        <v>501</v>
      </c>
      <c r="C1915" t="str">
        <f>_xll.BDP("667488QV Muni","INSURANCE_STATUS")</f>
        <v>Y</v>
      </c>
      <c r="D1915" t="str">
        <f>_xll.BDP("667488QV Muni","STATE_CODE")</f>
        <v>TX</v>
      </c>
      <c r="E1915" t="str">
        <f>_xll.BDP("667488QV Muni","COUNTY_LOCATION_ISSUER")</f>
        <v>Harris, TX</v>
      </c>
      <c r="F1915">
        <f>_xll.BDP("667488QV Muni","DUR_ADJ_MID")</f>
        <v>1.7016800945616632</v>
      </c>
      <c r="G1915">
        <f>_xll.BDP("667488QV Muni","SPREAD_AT_ISSUANCE_TO_WORST")</f>
        <v>49.788563316136148</v>
      </c>
      <c r="H1915" t="str">
        <f>_xll.BDP("667488QV Muni","ISSUE_DT")</f>
        <v>8/1/2017</v>
      </c>
      <c r="I1915" t="str">
        <f>_xll.BDS("667488QV Muni","MUNI_PURPOSE_SCHED", "aggregate=y")</f>
        <v>WATER UTILITY IMPS. SEWER IMPS. REFUNDING NOTES</v>
      </c>
      <c r="J1915">
        <f>_xll.BDP("667488QV Muni","CPN")</f>
        <v>2</v>
      </c>
      <c r="K1915" t="str">
        <f>_xll.BDP("667488QV Muni","MATURITY")</f>
        <v>5/1/2024</v>
      </c>
      <c r="L1915">
        <v>1030000</v>
      </c>
      <c r="M1915">
        <f>_xll.BDP("667488QV Muni","YIELD_ON_ISSUE_DATE")</f>
        <v>2</v>
      </c>
      <c r="N1915">
        <f>_xll.BDP("667488QV Muni","YTW_SPREAD_TO_MATURITY_AT_ISSU")</f>
        <v>49.788563316136148</v>
      </c>
      <c r="O1915" t="str">
        <f>_xll.BDP("667488QV Muni","BVAL_MID_YTM")</f>
        <v>#N/A Authorization</v>
      </c>
      <c r="P1915" t="str">
        <f>_xll.BDP("667488QV Muni","MUNI_TAX_PROV")</f>
        <v>FED TAX-EXEMPT</v>
      </c>
      <c r="Q1915" t="str">
        <f>_xll.BDP("667488QV Muni","MUNI_FED_TAX")</f>
        <v>N</v>
      </c>
      <c r="R1915" t="str">
        <f>_xll.BDP("667488QV Muni","MUNI_MSRB_VOLUME")</f>
        <v>#N/A N/A</v>
      </c>
      <c r="S1915" t="str">
        <f>_xll.BDP("667488QV Muni","BB_COMPOSITE")</f>
        <v>AA-</v>
      </c>
      <c r="T1915">
        <f>_xll.BDP("667488QV Muni","LQA_LIQUIDITY_SCORE")</f>
        <v>71</v>
      </c>
    </row>
    <row r="1916" spans="1:20" x14ac:dyDescent="0.25">
      <c r="A1916" t="str">
        <f>_xll.BDP("667489GL Muni","ID_CUSIP")</f>
        <v>667489GL6</v>
      </c>
      <c r="B1916" t="s">
        <v>502</v>
      </c>
      <c r="C1916" t="str">
        <f>_xll.BDP("667489GL Muni","INSURANCE_STATUS")</f>
        <v>Y</v>
      </c>
      <c r="D1916" t="str">
        <f>_xll.BDP("667489GL Muni","STATE_CODE")</f>
        <v>TX</v>
      </c>
      <c r="E1916" t="str">
        <f>_xll.BDP("667489GL Muni","COUNTY_LOCATION_ISSUER")</f>
        <v>Harris, TX</v>
      </c>
      <c r="F1916">
        <f>_xll.BDP("667489GL Muni","DUR_ADJ_MID")</f>
        <v>0.65404916352425135</v>
      </c>
      <c r="G1916">
        <f>_xll.BDP("667489GL Muni","SPREAD_AT_ISSUANCE_TO_WORST")</f>
        <v>46.133931506849322</v>
      </c>
      <c r="H1916" t="str">
        <f>_xll.BDP("667489GL Muni","ISSUE_DT")</f>
        <v>12/1/2017</v>
      </c>
      <c r="I1916" t="str">
        <f>_xll.BDS("667489GL Muni","MUNI_PURPOSE_SCHED", "aggregate=y")</f>
        <v>PROPERTY ACQUISITION WATER UTILITY IMPS. SEWER IMPS.</v>
      </c>
      <c r="J1916">
        <f>_xll.BDP("667489GL Muni","CPN")</f>
        <v>2</v>
      </c>
      <c r="K1916" t="str">
        <f>_xll.BDP("667489GL Muni","MATURITY")</f>
        <v>4/1/2023</v>
      </c>
      <c r="L1916">
        <v>50000</v>
      </c>
      <c r="M1916">
        <f>_xll.BDP("667489GL Muni","YIELD_ON_ISSUE_DATE")</f>
        <v>2</v>
      </c>
      <c r="N1916">
        <f>_xll.BDP("667489GL Muni","YTW_SPREAD_TO_MATURITY_AT_ISSU")</f>
        <v>46.133931506849322</v>
      </c>
      <c r="O1916" t="str">
        <f>_xll.BDP("667489GL Muni","BVAL_MID_YTM")</f>
        <v>#N/A Authorization</v>
      </c>
      <c r="P1916" t="str">
        <f>_xll.BDP("667489GL Muni","MUNI_TAX_PROV")</f>
        <v>FED BQ</v>
      </c>
      <c r="Q1916" t="str">
        <f>_xll.BDP("667489GL Muni","MUNI_FED_TAX")</f>
        <v>N</v>
      </c>
      <c r="R1916" t="str">
        <f>_xll.BDP("667489GL Muni","MUNI_MSRB_VOLUME")</f>
        <v>#N/A N/A</v>
      </c>
      <c r="S1916" t="str">
        <f>_xll.BDP("667489GL Muni","BB_COMPOSITE")</f>
        <v>#N/A N/A</v>
      </c>
      <c r="T1916">
        <f>_xll.BDP("667489GL Muni","LQA_LIQUIDITY_SCORE")</f>
        <v>92</v>
      </c>
    </row>
    <row r="1917" spans="1:20" x14ac:dyDescent="0.25">
      <c r="A1917" t="str">
        <f>_xll.BDP("667489GM Muni","ID_CUSIP")</f>
        <v>667489GM4</v>
      </c>
      <c r="B1917" t="s">
        <v>502</v>
      </c>
      <c r="C1917" t="str">
        <f>_xll.BDP("667489GM Muni","INSURANCE_STATUS")</f>
        <v>Y</v>
      </c>
      <c r="D1917" t="str">
        <f>_xll.BDP("667489GM Muni","STATE_CODE")</f>
        <v>TX</v>
      </c>
      <c r="E1917" t="str">
        <f>_xll.BDP("667489GM Muni","COUNTY_LOCATION_ISSUER")</f>
        <v>Harris, TX</v>
      </c>
      <c r="F1917">
        <f>_xll.BDP("667489GM Muni","DUR_ADJ_MID")</f>
        <v>1.6047203398041692</v>
      </c>
      <c r="G1917">
        <f>_xll.BDP("667489GM Muni","SPREAD_AT_ISSUANCE_TO_WORST")</f>
        <v>50.526128767123282</v>
      </c>
      <c r="H1917" t="str">
        <f>_xll.BDP("667489GM Muni","ISSUE_DT")</f>
        <v>12/1/2017</v>
      </c>
      <c r="I1917" t="str">
        <f>_xll.BDS("667489GM Muni","MUNI_PURPOSE_SCHED", "aggregate=y")</f>
        <v>PROPERTY ACQUISITION WATER UTILITY IMPS. SEWER IMPS.</v>
      </c>
      <c r="J1917">
        <f>_xll.BDP("667489GM Muni","CPN")</f>
        <v>3</v>
      </c>
      <c r="K1917" t="str">
        <f>_xll.BDP("667489GM Muni","MATURITY")</f>
        <v>4/1/2024</v>
      </c>
      <c r="L1917">
        <v>50000</v>
      </c>
      <c r="M1917">
        <f>_xll.BDP("667489GM Muni","YIELD_ON_ISSUE_DATE")</f>
        <v>2.15</v>
      </c>
      <c r="N1917">
        <f>_xll.BDP("667489GM Muni","YTW_SPREAD_TO_MATURITY_AT_ISSU")</f>
        <v>50.526128767123282</v>
      </c>
      <c r="O1917" t="str">
        <f>_xll.BDP("667489GM Muni","BVAL_MID_YTM")</f>
        <v>#N/A Authorization</v>
      </c>
      <c r="P1917" t="str">
        <f>_xll.BDP("667489GM Muni","MUNI_TAX_PROV")</f>
        <v>FED BQ</v>
      </c>
      <c r="Q1917" t="str">
        <f>_xll.BDP("667489GM Muni","MUNI_FED_TAX")</f>
        <v>N</v>
      </c>
      <c r="R1917" t="str">
        <f>_xll.BDP("667489GM Muni","MUNI_MSRB_VOLUME")</f>
        <v>#N/A N/A</v>
      </c>
      <c r="S1917" t="str">
        <f>_xll.BDP("667489GM Muni","BB_COMPOSITE")</f>
        <v>#N/A N/A</v>
      </c>
      <c r="T1917">
        <f>_xll.BDP("667489GM Muni","LQA_LIQUIDITY_SCORE")</f>
        <v>83</v>
      </c>
    </row>
    <row r="1918" spans="1:20" x14ac:dyDescent="0.25">
      <c r="A1918" t="str">
        <f>_xll.BDP("667900FL Muni","ID_CUSIP")</f>
        <v>667900FL3</v>
      </c>
      <c r="B1918" t="s">
        <v>498</v>
      </c>
      <c r="C1918" t="str">
        <f>_xll.BDP("667900FL Muni","INSURANCE_STATUS")</f>
        <v>Y</v>
      </c>
      <c r="D1918" t="str">
        <f>_xll.BDP("667900FL Muni","STATE_CODE")</f>
        <v>TX</v>
      </c>
      <c r="E1918" t="str">
        <f>_xll.BDP("667900FL Muni","COUNTY_LOCATION_ISSUER")</f>
        <v>Harris, TX</v>
      </c>
      <c r="F1918">
        <f>_xll.BDP("667900FL Muni","DUR_ADJ_MID")</f>
        <v>0.16355211698185146</v>
      </c>
      <c r="G1918">
        <f>_xll.BDP("667900FL Muni","SPREAD_AT_ISSUANCE_TO_WORST")</f>
        <v>62.561309286063405</v>
      </c>
      <c r="H1918" t="str">
        <f>_xll.BDP("667900FL Muni","ISSUE_DT")</f>
        <v>3/1/2017</v>
      </c>
      <c r="I1918" t="str">
        <f>_xll.BDS("667900FL Muni","MUNI_PURPOSE_SCHED", "aggregate=y")</f>
        <v>WATER UTILITY IMPS. SEWER IMPS.</v>
      </c>
      <c r="J1918">
        <f>_xll.BDP("667900FL Muni","CPN")</f>
        <v>5.5</v>
      </c>
      <c r="K1918" t="str">
        <f>_xll.BDP("667900FL Muni","MATURITY")</f>
        <v>10/1/2022</v>
      </c>
      <c r="L1918">
        <v>25000</v>
      </c>
      <c r="M1918">
        <f>_xll.BDP("667900FL Muni","YIELD_ON_ISSUE_DATE")</f>
        <v>2.3000000000000003</v>
      </c>
      <c r="N1918">
        <f>_xll.BDP("667900FL Muni","YTW_SPREAD_TO_MATURITY_AT_ISSU")</f>
        <v>62.561309286063405</v>
      </c>
      <c r="O1918" t="str">
        <f>_xll.BDP("667900FL Muni","BVAL_MID_YTM")</f>
        <v>#N/A Authorization</v>
      </c>
      <c r="P1918" t="str">
        <f>_xll.BDP("667900FL Muni","MUNI_TAX_PROV")</f>
        <v>FED BQ</v>
      </c>
      <c r="Q1918" t="str">
        <f>_xll.BDP("667900FL Muni","MUNI_FED_TAX")</f>
        <v>N</v>
      </c>
      <c r="R1918" t="str">
        <f>_xll.BDP("667900FL Muni","MUNI_MSRB_VOLUME")</f>
        <v>#N/A N/A</v>
      </c>
      <c r="S1918" t="str">
        <f>_xll.BDP("667900FL Muni","BB_COMPOSITE")</f>
        <v>#N/A N/A</v>
      </c>
      <c r="T1918">
        <f>_xll.BDP("667900FL Muni","LQA_LIQUIDITY_SCORE")</f>
        <v>97</v>
      </c>
    </row>
    <row r="1919" spans="1:20" x14ac:dyDescent="0.25">
      <c r="A1919" t="str">
        <f>_xll.BDP("669045QA Muni","ID_CUSIP")</f>
        <v>669045QA7</v>
      </c>
      <c r="B1919" t="s">
        <v>500</v>
      </c>
      <c r="C1919" t="str">
        <f>_xll.BDP("669045QA Muni","INSURANCE_STATUS")</f>
        <v>N</v>
      </c>
      <c r="D1919" t="str">
        <f>_xll.BDP("669045QA Muni","STATE_CODE")</f>
        <v>IA</v>
      </c>
      <c r="E1919" t="str">
        <f>_xll.BDP("669045QA Muni","COUNTY_LOCATION_ISSUER")</f>
        <v>Warren, IA</v>
      </c>
      <c r="F1919">
        <f>_xll.BDP("669045QA Muni","DUR_ADJ_MID")</f>
        <v>1.7702615934540353</v>
      </c>
      <c r="G1919">
        <f>_xll.BDP("669045QA Muni","SPREAD_AT_ISSUANCE_TO_WORST")</f>
        <v>-9.355553110355519</v>
      </c>
      <c r="H1919" t="str">
        <f>_xll.BDP("669045QA Muni","ISSUE_DT")</f>
        <v>1/3/2017</v>
      </c>
      <c r="I1919" t="str">
        <f>_xll.BDS("669045QA Muni","MUNI_PURPOSE_SCHED", "aggregate=y")</f>
        <v>WATER UTILITY IMPS. SEWER IMPS. PUBLIC IMPS.</v>
      </c>
      <c r="J1919">
        <f>_xll.BDP("669045QA Muni","CPN")</f>
        <v>3</v>
      </c>
      <c r="K1919" t="str">
        <f>_xll.BDP("669045QA Muni","MATURITY")</f>
        <v>6/1/2024</v>
      </c>
      <c r="L1919">
        <v>445000</v>
      </c>
      <c r="M1919">
        <f>_xll.BDP("669045QA Muni","YIELD_ON_ISSUE_DATE")</f>
        <v>2.15</v>
      </c>
      <c r="N1919">
        <f>_xll.BDP("669045QA Muni","YTW_SPREAD_TO_MATURITY_AT_ISSU")</f>
        <v>-9.355553110355519</v>
      </c>
      <c r="O1919" t="str">
        <f>_xll.BDP("669045QA Muni","BVAL_MID_YTM")</f>
        <v>#N/A Authorization</v>
      </c>
      <c r="P1919" t="str">
        <f>_xll.BDP("669045QA Muni","MUNI_TAX_PROV")</f>
        <v>FED BQ</v>
      </c>
      <c r="Q1919" t="str">
        <f>_xll.BDP("669045QA Muni","MUNI_FED_TAX")</f>
        <v>N</v>
      </c>
      <c r="R1919" t="str">
        <f>_xll.BDP("669045QA Muni","MUNI_MSRB_VOLUME")</f>
        <v>#N/A N/A</v>
      </c>
      <c r="S1919" t="str">
        <f>_xll.BDP("669045QA Muni","BB_COMPOSITE")</f>
        <v>#N/A N/A</v>
      </c>
      <c r="T1919">
        <f>_xll.BDP("669045QA Muni","LQA_LIQUIDITY_SCORE")</f>
        <v>83</v>
      </c>
    </row>
    <row r="1920" spans="1:20" x14ac:dyDescent="0.25">
      <c r="A1920" t="str">
        <f>_xll.BDP("669045QQ Muni","ID_CUSIP")</f>
        <v>669045QQ2</v>
      </c>
      <c r="B1920" t="s">
        <v>500</v>
      </c>
      <c r="C1920" t="str">
        <f>_xll.BDP("669045QQ Muni","INSURANCE_STATUS")</f>
        <v>N</v>
      </c>
      <c r="D1920" t="str">
        <f>_xll.BDP("669045QQ Muni","STATE_CODE")</f>
        <v>IA</v>
      </c>
      <c r="E1920" t="str">
        <f>_xll.BDP("669045QQ Muni","COUNTY_LOCATION_ISSUER")</f>
        <v>Warren, IA</v>
      </c>
      <c r="F1920">
        <f>_xll.BDP("669045QQ Muni","DUR_ADJ_MID")</f>
        <v>0.81804565236040272</v>
      </c>
      <c r="G1920">
        <f>_xll.BDP("669045QQ Muni","SPREAD_AT_ISSUANCE_TO_WORST")</f>
        <v>25.310915855958861</v>
      </c>
      <c r="H1920" t="str">
        <f>_xll.BDP("669045QQ Muni","ISSUE_DT")</f>
        <v>7/6/2017</v>
      </c>
      <c r="I1920" t="str">
        <f>_xll.BDS("669045QQ Muni","MUNI_PURPOSE_SCHED", "aggregate=y")</f>
        <v>PUBLIC IMPS. WATER UTILITY IMPS. SEWER IMPS.</v>
      </c>
      <c r="J1920">
        <f>_xll.BDP("669045QQ Muni","CPN")</f>
        <v>2.5</v>
      </c>
      <c r="K1920" t="str">
        <f>_xll.BDP("669045QQ Muni","MATURITY")</f>
        <v>6/1/2023</v>
      </c>
      <c r="L1920">
        <v>200000</v>
      </c>
      <c r="M1920">
        <f>_xll.BDP("669045QQ Muni","YIELD_ON_ISSUE_DATE")</f>
        <v>1.55</v>
      </c>
      <c r="N1920">
        <f>_xll.BDP("669045QQ Muni","YTW_SPREAD_TO_MATURITY_AT_ISSU")</f>
        <v>25.310915855958861</v>
      </c>
      <c r="O1920" t="str">
        <f>_xll.BDP("669045QQ Muni","BVAL_MID_YTM")</f>
        <v>#N/A Authorization</v>
      </c>
      <c r="P1920" t="str">
        <f>_xll.BDP("669045QQ Muni","MUNI_TAX_PROV")</f>
        <v>FED BQ/ST TAXABLE</v>
      </c>
      <c r="Q1920" t="str">
        <f>_xll.BDP("669045QQ Muni","MUNI_FED_TAX")</f>
        <v>N</v>
      </c>
      <c r="R1920" t="str">
        <f>_xll.BDP("669045QQ Muni","MUNI_MSRB_VOLUME")</f>
        <v>#N/A N/A</v>
      </c>
      <c r="S1920" t="str">
        <f>_xll.BDP("669045QQ Muni","BB_COMPOSITE")</f>
        <v>#N/A N/A</v>
      </c>
      <c r="T1920">
        <f>_xll.BDP("669045QQ Muni","LQA_LIQUIDITY_SCORE")</f>
        <v>88</v>
      </c>
    </row>
    <row r="1921" spans="1:20" x14ac:dyDescent="0.25">
      <c r="A1921" t="str">
        <f>_xll.BDP("641462BA Muni","ID_CUSIP")</f>
        <v>641462BA3</v>
      </c>
      <c r="B1921" t="s">
        <v>503</v>
      </c>
      <c r="C1921" t="str">
        <f>_xll.BDP("641462BA Muni","INSURANCE_STATUS")</f>
        <v>N</v>
      </c>
      <c r="D1921" t="str">
        <f>_xll.BDP("641462BA Muni","STATE_CODE")</f>
        <v>NV</v>
      </c>
      <c r="E1921" t="str">
        <f>_xll.BDP("641462BA Muni","COUNTY_LOCATION_ISSUER")</f>
        <v>Carson City, NV</v>
      </c>
      <c r="F1921">
        <f>_xll.BDP("641462BA Muni","DUR_ADJ_MID")</f>
        <v>0.72948626364542135</v>
      </c>
      <c r="G1921">
        <f>_xll.BDP("641462BA Muni","SPREAD_AT_ISSUANCE_TO_WORST")</f>
        <v>4.7571123287671213</v>
      </c>
      <c r="H1921" t="str">
        <f>_xll.BDP("641462BA Muni","ISSUE_DT")</f>
        <v>11/7/2017</v>
      </c>
      <c r="I1921" t="str">
        <f>_xll.BDS("641462BA Muni","MUNI_PURPOSE_SCHED", "aggregate=y")</f>
        <v>WATER UTILITY IMPS. ADVANCE REFUNDING</v>
      </c>
      <c r="J1921">
        <f>_xll.BDP("641462BA Muni","CPN")</f>
        <v>5</v>
      </c>
      <c r="K1921" t="str">
        <f>_xll.BDP("641462BA Muni","MATURITY")</f>
        <v>5/1/2023</v>
      </c>
      <c r="L1921">
        <v>345000</v>
      </c>
      <c r="M1921">
        <f>_xll.BDP("641462BA Muni","YIELD_ON_ISSUE_DATE")</f>
        <v>1.47</v>
      </c>
      <c r="N1921">
        <f>_xll.BDP("641462BA Muni","YTW_SPREAD_TO_MATURITY_AT_ISSU")</f>
        <v>4.7571123287671213</v>
      </c>
      <c r="O1921" t="str">
        <f>_xll.BDP("641462BA Muni","BVAL_MID_YTM")</f>
        <v>#N/A Authorization</v>
      </c>
      <c r="P1921" t="str">
        <f>_xll.BDP("641462BA Muni","MUNI_TAX_PROV")</f>
        <v>FED &amp; ST TAX-EXEMPT</v>
      </c>
      <c r="Q1921" t="str">
        <f>_xll.BDP("641462BA Muni","MUNI_FED_TAX")</f>
        <v>N</v>
      </c>
      <c r="R1921">
        <f>_xll.BDP("641462BA Muni","MUNI_MSRB_VOLUME")</f>
        <v>5000</v>
      </c>
      <c r="S1921" t="str">
        <f>_xll.BDP("641462BA Muni","BB_COMPOSITE")</f>
        <v>AA+</v>
      </c>
      <c r="T1921">
        <f>_xll.BDP("641462BA Muni","LQA_LIQUIDITY_SCORE")</f>
        <v>86</v>
      </c>
    </row>
    <row r="1922" spans="1:20" x14ac:dyDescent="0.25">
      <c r="A1922" t="str">
        <f>_xll.BDP("641462BB Muni","ID_CUSIP")</f>
        <v>641462BB1</v>
      </c>
      <c r="B1922" t="s">
        <v>503</v>
      </c>
      <c r="C1922" t="str">
        <f>_xll.BDP("641462BB Muni","INSURANCE_STATUS")</f>
        <v>N</v>
      </c>
      <c r="D1922" t="str">
        <f>_xll.BDP("641462BB Muni","STATE_CODE")</f>
        <v>NV</v>
      </c>
      <c r="E1922" t="str">
        <f>_xll.BDP("641462BB Muni","COUNTY_LOCATION_ISSUER")</f>
        <v>Carson City, NV</v>
      </c>
      <c r="F1922">
        <f>_xll.BDP("641462BB Muni","DUR_ADJ_MID")</f>
        <v>1.6621564672064431</v>
      </c>
      <c r="G1922">
        <f>_xll.BDP("641462BB Muni","SPREAD_AT_ISSUANCE_TO_WORST")</f>
        <v>4.6657506849315133</v>
      </c>
      <c r="H1922" t="str">
        <f>_xll.BDP("641462BB Muni","ISSUE_DT")</f>
        <v>11/7/2017</v>
      </c>
      <c r="I1922" t="str">
        <f>_xll.BDS("641462BB Muni","MUNI_PURPOSE_SCHED", "aggregate=y")</f>
        <v>WATER UTILITY IMPS. ADVANCE REFUNDING</v>
      </c>
      <c r="J1922">
        <f>_xll.BDP("641462BB Muni","CPN")</f>
        <v>5</v>
      </c>
      <c r="K1922" t="str">
        <f>_xll.BDP("641462BB Muni","MATURITY")</f>
        <v>5/1/2024</v>
      </c>
      <c r="L1922">
        <v>365000</v>
      </c>
      <c r="M1922">
        <f>_xll.BDP("641462BB Muni","YIELD_ON_ISSUE_DATE")</f>
        <v>1.6</v>
      </c>
      <c r="N1922">
        <f>_xll.BDP("641462BB Muni","YTW_SPREAD_TO_MATURITY_AT_ISSU")</f>
        <v>4.6657506849315133</v>
      </c>
      <c r="O1922" t="str">
        <f>_xll.BDP("641462BB Muni","BVAL_MID_YTM")</f>
        <v>#N/A Authorization</v>
      </c>
      <c r="P1922" t="str">
        <f>_xll.BDP("641462BB Muni","MUNI_TAX_PROV")</f>
        <v>FED &amp; ST TAX-EXEMPT</v>
      </c>
      <c r="Q1922" t="str">
        <f>_xll.BDP("641462BB Muni","MUNI_FED_TAX")</f>
        <v>N</v>
      </c>
      <c r="R1922" t="str">
        <f>_xll.BDP("641462BB Muni","MUNI_MSRB_VOLUME")</f>
        <v>#N/A N/A</v>
      </c>
      <c r="S1922" t="str">
        <f>_xll.BDP("641462BB Muni","BB_COMPOSITE")</f>
        <v>AA+</v>
      </c>
      <c r="T1922">
        <f>_xll.BDP("641462BB Muni","LQA_LIQUIDITY_SCORE")</f>
        <v>80</v>
      </c>
    </row>
    <row r="1923" spans="1:20" x14ac:dyDescent="0.25">
      <c r="A1923" t="str">
        <f>_xll.BDP("641462BC Muni","ID_CUSIP")</f>
        <v>641462BC9</v>
      </c>
      <c r="B1923" t="s">
        <v>503</v>
      </c>
      <c r="C1923" t="str">
        <f>_xll.BDP("641462BC Muni","INSURANCE_STATUS")</f>
        <v>N</v>
      </c>
      <c r="D1923" t="str">
        <f>_xll.BDP("641462BC Muni","STATE_CODE")</f>
        <v>NV</v>
      </c>
      <c r="E1923" t="str">
        <f>_xll.BDP("641462BC Muni","COUNTY_LOCATION_ISSUER")</f>
        <v>Carson City, NV</v>
      </c>
      <c r="F1923">
        <f>_xll.BDP("641462BC Muni","DUR_ADJ_MID")</f>
        <v>2.5558795212499579</v>
      </c>
      <c r="G1923">
        <f>_xll.BDP("641462BC Muni","SPREAD_AT_ISSUANCE_TO_WORST")</f>
        <v>5.3946767123287609</v>
      </c>
      <c r="H1923" t="str">
        <f>_xll.BDP("641462BC Muni","ISSUE_DT")</f>
        <v>11/7/2017</v>
      </c>
      <c r="I1923" t="str">
        <f>_xll.BDS("641462BC Muni","MUNI_PURPOSE_SCHED", "aggregate=y")</f>
        <v>WATER UTILITY IMPS. ADVANCE REFUNDING</v>
      </c>
      <c r="J1923">
        <f>_xll.BDP("641462BC Muni","CPN")</f>
        <v>5</v>
      </c>
      <c r="K1923" t="str">
        <f>_xll.BDP("641462BC Muni","MATURITY")</f>
        <v>5/1/2025</v>
      </c>
      <c r="L1923">
        <v>380000</v>
      </c>
      <c r="M1923">
        <f>_xll.BDP("641462BC Muni","YIELD_ON_ISSUE_DATE")</f>
        <v>1.74</v>
      </c>
      <c r="N1923">
        <f>_xll.BDP("641462BC Muni","YTW_SPREAD_TO_MATURITY_AT_ISSU")</f>
        <v>5.3946767123287609</v>
      </c>
      <c r="O1923" t="str">
        <f>_xll.BDP("641462BC Muni","BVAL_MID_YTM")</f>
        <v>#N/A Authorization</v>
      </c>
      <c r="P1923" t="str">
        <f>_xll.BDP("641462BC Muni","MUNI_TAX_PROV")</f>
        <v>FED &amp; ST TAX-EXEMPT</v>
      </c>
      <c r="Q1923" t="str">
        <f>_xll.BDP("641462BC Muni","MUNI_FED_TAX")</f>
        <v>N</v>
      </c>
      <c r="R1923" t="str">
        <f>_xll.BDP("641462BC Muni","MUNI_MSRB_VOLUME")</f>
        <v>#N/A N/A</v>
      </c>
      <c r="S1923" t="str">
        <f>_xll.BDP("641462BC Muni","BB_COMPOSITE")</f>
        <v>AA+</v>
      </c>
      <c r="T1923">
        <f>_xll.BDP("641462BC Muni","LQA_LIQUIDITY_SCORE")</f>
        <v>73</v>
      </c>
    </row>
    <row r="1924" spans="1:20" x14ac:dyDescent="0.25">
      <c r="A1924" t="str">
        <f>_xll.BDP("641462BD Muni","ID_CUSIP")</f>
        <v>641462BD7</v>
      </c>
      <c r="B1924" t="s">
        <v>503</v>
      </c>
      <c r="C1924" t="str">
        <f>_xll.BDP("641462BD Muni","INSURANCE_STATUS")</f>
        <v>N</v>
      </c>
      <c r="D1924" t="str">
        <f>_xll.BDP("641462BD Muni","STATE_CODE")</f>
        <v>NV</v>
      </c>
      <c r="E1924" t="str">
        <f>_xll.BDP("641462BD Muni","COUNTY_LOCATION_ISSUER")</f>
        <v>Carson City, NV</v>
      </c>
      <c r="F1924">
        <f>_xll.BDP("641462BD Muni","DUR_ADJ_MID")</f>
        <v>3.4141252997046654</v>
      </c>
      <c r="G1924">
        <f>_xll.BDP("641462BD Muni","SPREAD_AT_ISSUANCE_TO_WORST")</f>
        <v>9.0020794520547796</v>
      </c>
      <c r="H1924" t="str">
        <f>_xll.BDP("641462BD Muni","ISSUE_DT")</f>
        <v>11/7/2017</v>
      </c>
      <c r="I1924" t="str">
        <f>_xll.BDS("641462BD Muni","MUNI_PURPOSE_SCHED", "aggregate=y")</f>
        <v>WATER UTILITY IMPS. ADVANCE REFUNDING</v>
      </c>
      <c r="J1924">
        <f>_xll.BDP("641462BD Muni","CPN")</f>
        <v>5</v>
      </c>
      <c r="K1924" t="str">
        <f>_xll.BDP("641462BD Muni","MATURITY")</f>
        <v>5/1/2026</v>
      </c>
      <c r="L1924">
        <v>400000</v>
      </c>
      <c r="M1924">
        <f>_xll.BDP("641462BD Muni","YIELD_ON_ISSUE_DATE")</f>
        <v>1.9000000000000001</v>
      </c>
      <c r="N1924">
        <f>_xll.BDP("641462BD Muni","YTW_SPREAD_TO_MATURITY_AT_ISSU")</f>
        <v>9.0020794520547796</v>
      </c>
      <c r="O1924" t="str">
        <f>_xll.BDP("641462BD Muni","BVAL_MID_YTM")</f>
        <v>#N/A Authorization</v>
      </c>
      <c r="P1924" t="str">
        <f>_xll.BDP("641462BD Muni","MUNI_TAX_PROV")</f>
        <v>FED &amp; ST TAX-EXEMPT</v>
      </c>
      <c r="Q1924" t="str">
        <f>_xll.BDP("641462BD Muni","MUNI_FED_TAX")</f>
        <v>N</v>
      </c>
      <c r="R1924">
        <f>_xll.BDP("641462BD Muni","MUNI_MSRB_VOLUME")</f>
        <v>400000</v>
      </c>
      <c r="S1924" t="str">
        <f>_xll.BDP("641462BD Muni","BB_COMPOSITE")</f>
        <v>AA+</v>
      </c>
      <c r="T1924">
        <f>_xll.BDP("641462BD Muni","LQA_LIQUIDITY_SCORE")</f>
        <v>76</v>
      </c>
    </row>
    <row r="1925" spans="1:20" x14ac:dyDescent="0.25">
      <c r="A1925" t="str">
        <f>_xll.BDP("641462BE Muni","ID_CUSIP")</f>
        <v>641462BE5</v>
      </c>
      <c r="B1925" t="s">
        <v>503</v>
      </c>
      <c r="C1925" t="str">
        <f>_xll.BDP("641462BE Muni","INSURANCE_STATUS")</f>
        <v>N</v>
      </c>
      <c r="D1925" t="str">
        <f>_xll.BDP("641462BE Muni","STATE_CODE")</f>
        <v>NV</v>
      </c>
      <c r="E1925" t="str">
        <f>_xll.BDP("641462BE Muni","COUNTY_LOCATION_ISSUER")</f>
        <v>Carson City, NV</v>
      </c>
      <c r="F1925">
        <f>_xll.BDP("641462BE Muni","DUR_ADJ_MID")</f>
        <v>4.2384653756939308</v>
      </c>
      <c r="G1925">
        <f>_xll.BDP("641462BE Muni","SPREAD_AT_ISSUANCE_TO_WORST")</f>
        <v>10.718008219178099</v>
      </c>
      <c r="H1925" t="str">
        <f>_xll.BDP("641462BE Muni","ISSUE_DT")</f>
        <v>11/7/2017</v>
      </c>
      <c r="I1925" t="str">
        <f>_xll.BDS("641462BE Muni","MUNI_PURPOSE_SCHED", "aggregate=y")</f>
        <v>WATER UTILITY IMPS. ADVANCE REFUNDING</v>
      </c>
      <c r="J1925">
        <f>_xll.BDP("641462BE Muni","CPN")</f>
        <v>5</v>
      </c>
      <c r="K1925" t="str">
        <f>_xll.BDP("641462BE Muni","MATURITY")</f>
        <v>5/1/2027</v>
      </c>
      <c r="L1925">
        <v>415000</v>
      </c>
      <c r="M1925">
        <f>_xll.BDP("641462BE Muni","YIELD_ON_ISSUE_DATE")</f>
        <v>2.02</v>
      </c>
      <c r="N1925">
        <f>_xll.BDP("641462BE Muni","YTW_SPREAD_TO_MATURITY_AT_ISSU")</f>
        <v>10.718008219178099</v>
      </c>
      <c r="O1925" t="str">
        <f>_xll.BDP("641462BE Muni","BVAL_MID_YTM")</f>
        <v>#N/A Authorization</v>
      </c>
      <c r="P1925" t="str">
        <f>_xll.BDP("641462BE Muni","MUNI_TAX_PROV")</f>
        <v>FED &amp; ST TAX-EXEMPT</v>
      </c>
      <c r="Q1925" t="str">
        <f>_xll.BDP("641462BE Muni","MUNI_FED_TAX")</f>
        <v>N</v>
      </c>
      <c r="R1925" t="str">
        <f>_xll.BDP("641462BE Muni","MUNI_MSRB_VOLUME")</f>
        <v>#N/A N/A</v>
      </c>
      <c r="S1925" t="str">
        <f>_xll.BDP("641462BE Muni","BB_COMPOSITE")</f>
        <v>AA+</v>
      </c>
      <c r="T1925">
        <f>_xll.BDP("641462BE Muni","LQA_LIQUIDITY_SCORE")</f>
        <v>57</v>
      </c>
    </row>
    <row r="1926" spans="1:20" x14ac:dyDescent="0.25">
      <c r="A1926" t="str">
        <f>_xll.BDP("641462DK Muni","ID_CUSIP")</f>
        <v>641462DK9</v>
      </c>
      <c r="B1926" t="s">
        <v>503</v>
      </c>
      <c r="C1926" t="str">
        <f>_xll.BDP("641462DK Muni","INSURANCE_STATUS")</f>
        <v>N</v>
      </c>
      <c r="D1926" t="str">
        <f>_xll.BDP("641462DK Muni","STATE_CODE")</f>
        <v>NV</v>
      </c>
      <c r="E1926" t="str">
        <f>_xll.BDP("641462DK Muni","COUNTY_LOCATION_ISSUER")</f>
        <v>Carson City, NV</v>
      </c>
      <c r="F1926">
        <f>_xll.BDP("641462DK Muni","DUR_ADJ_MID")</f>
        <v>5.55517735751343E-3</v>
      </c>
      <c r="G1926">
        <f>_xll.BDP("641462DK Muni","SPREAD_AT_ISSUANCE_TO_WORST")</f>
        <v>9.1817397260274056</v>
      </c>
      <c r="H1926" t="str">
        <f>_xll.BDP("641462DK Muni","ISSUE_DT")</f>
        <v>11/7/2017</v>
      </c>
      <c r="I1926" t="str">
        <f>_xll.BDS("641462DK Muni","MUNI_PURPOSE_SCHED", "aggregate=y")</f>
        <v>WATER UTILITY IMPS.</v>
      </c>
      <c r="J1926">
        <f>_xll.BDP("641462DK Muni","CPN")</f>
        <v>5</v>
      </c>
      <c r="K1926" t="str">
        <f>_xll.BDP("641462DK Muni","MATURITY")</f>
        <v>8/1/2022</v>
      </c>
      <c r="L1926">
        <v>310000</v>
      </c>
      <c r="M1926">
        <f>_xll.BDP("641462DK Muni","YIELD_ON_ISSUE_DATE")</f>
        <v>1.42</v>
      </c>
      <c r="N1926">
        <f>_xll.BDP("641462DK Muni","YTW_SPREAD_TO_MATURITY_AT_ISSU")</f>
        <v>9.1817397260274056</v>
      </c>
      <c r="O1926" t="str">
        <f>_xll.BDP("641462DK Muni","BVAL_MID_YTM")</f>
        <v>#N/A Authorization</v>
      </c>
      <c r="P1926" t="str">
        <f>_xll.BDP("641462DK Muni","MUNI_TAX_PROV")</f>
        <v>FED &amp; ST TAX-EXEMPT</v>
      </c>
      <c r="Q1926" t="str">
        <f>_xll.BDP("641462DK Muni","MUNI_FED_TAX")</f>
        <v>N</v>
      </c>
      <c r="R1926" t="str">
        <f>_xll.BDP("641462DK Muni","MUNI_MSRB_VOLUME")</f>
        <v>#N/A N/A</v>
      </c>
      <c r="S1926" t="str">
        <f>_xll.BDP("641462DK Muni","BB_COMPOSITE")</f>
        <v>AA+</v>
      </c>
      <c r="T1926">
        <f>_xll.BDP("641462DK Muni","LQA_LIQUIDITY_SCORE")</f>
        <v>96</v>
      </c>
    </row>
    <row r="1927" spans="1:20" x14ac:dyDescent="0.25">
      <c r="A1927" t="str">
        <f>_xll.BDP("641462DL Muni","ID_CUSIP")</f>
        <v>641462DL7</v>
      </c>
      <c r="B1927" t="s">
        <v>503</v>
      </c>
      <c r="C1927" t="str">
        <f>_xll.BDP("641462DL Muni","INSURANCE_STATUS")</f>
        <v>N</v>
      </c>
      <c r="D1927" t="str">
        <f>_xll.BDP("641462DL Muni","STATE_CODE")</f>
        <v>NV</v>
      </c>
      <c r="E1927" t="str">
        <f>_xll.BDP("641462DL Muni","COUNTY_LOCATION_ISSUER")</f>
        <v>Carson City, NV</v>
      </c>
      <c r="F1927">
        <f>_xll.BDP("641462DL Muni","DUR_ADJ_MID")</f>
        <v>0.97648578411114484</v>
      </c>
      <c r="G1927">
        <f>_xll.BDP("641462DL Muni","SPREAD_AT_ISSUANCE_TO_WORST")</f>
        <v>9.5199726027397347</v>
      </c>
      <c r="H1927" t="str">
        <f>_xll.BDP("641462DL Muni","ISSUE_DT")</f>
        <v>11/7/2017</v>
      </c>
      <c r="I1927" t="str">
        <f>_xll.BDS("641462DL Muni","MUNI_PURPOSE_SCHED", "aggregate=y")</f>
        <v>WATER UTILITY IMPS.</v>
      </c>
      <c r="J1927">
        <f>_xll.BDP("641462DL Muni","CPN")</f>
        <v>5</v>
      </c>
      <c r="K1927" t="str">
        <f>_xll.BDP("641462DL Muni","MATURITY")</f>
        <v>8/1/2023</v>
      </c>
      <c r="L1927">
        <v>310000</v>
      </c>
      <c r="M1927">
        <f>_xll.BDP("641462DL Muni","YIELD_ON_ISSUE_DATE")</f>
        <v>1.55</v>
      </c>
      <c r="N1927">
        <f>_xll.BDP("641462DL Muni","YTW_SPREAD_TO_MATURITY_AT_ISSU")</f>
        <v>9.5199726027397347</v>
      </c>
      <c r="O1927" t="str">
        <f>_xll.BDP("641462DL Muni","BVAL_MID_YTM")</f>
        <v>#N/A Authorization</v>
      </c>
      <c r="P1927" t="str">
        <f>_xll.BDP("641462DL Muni","MUNI_TAX_PROV")</f>
        <v>FED &amp; ST TAX-EXEMPT</v>
      </c>
      <c r="Q1927" t="str">
        <f>_xll.BDP("641462DL Muni","MUNI_FED_TAX")</f>
        <v>N</v>
      </c>
      <c r="R1927" t="str">
        <f>_xll.BDP("641462DL Muni","MUNI_MSRB_VOLUME")</f>
        <v>#N/A N/A</v>
      </c>
      <c r="S1927" t="str">
        <f>_xll.BDP("641462DL Muni","BB_COMPOSITE")</f>
        <v>AA+</v>
      </c>
      <c r="T1927">
        <f>_xll.BDP("641462DL Muni","LQA_LIQUIDITY_SCORE")</f>
        <v>81</v>
      </c>
    </row>
    <row r="1928" spans="1:20" x14ac:dyDescent="0.25">
      <c r="A1928" t="str">
        <f>_xll.BDP("641462DM Muni","ID_CUSIP")</f>
        <v>641462DM5</v>
      </c>
      <c r="B1928" t="s">
        <v>503</v>
      </c>
      <c r="C1928" t="str">
        <f>_xll.BDP("641462DM Muni","INSURANCE_STATUS")</f>
        <v>N</v>
      </c>
      <c r="D1928" t="str">
        <f>_xll.BDP("641462DM Muni","STATE_CODE")</f>
        <v>NV</v>
      </c>
      <c r="E1928" t="str">
        <f>_xll.BDP("641462DM Muni","COUNTY_LOCATION_ISSUER")</f>
        <v>Carson City, NV</v>
      </c>
      <c r="F1928">
        <f>_xll.BDP("641462DM Muni","DUR_ADJ_MID")</f>
        <v>1.9096135437600172</v>
      </c>
      <c r="G1928">
        <f>_xll.BDP("641462DM Muni","SPREAD_AT_ISSUANCE_TO_WORST")</f>
        <v>11.330057534246585</v>
      </c>
      <c r="H1928" t="str">
        <f>_xll.BDP("641462DM Muni","ISSUE_DT")</f>
        <v>11/7/2017</v>
      </c>
      <c r="I1928" t="str">
        <f>_xll.BDS("641462DM Muni","MUNI_PURPOSE_SCHED", "aggregate=y")</f>
        <v>WATER UTILITY IMPS.</v>
      </c>
      <c r="J1928">
        <f>_xll.BDP("641462DM Muni","CPN")</f>
        <v>5</v>
      </c>
      <c r="K1928" t="str">
        <f>_xll.BDP("641462DM Muni","MATURITY")</f>
        <v>8/1/2024</v>
      </c>
      <c r="L1928">
        <v>310000</v>
      </c>
      <c r="M1928">
        <f>_xll.BDP("641462DM Muni","YIELD_ON_ISSUE_DATE")</f>
        <v>1.7000000000000002</v>
      </c>
      <c r="N1928">
        <f>_xll.BDP("641462DM Muni","YTW_SPREAD_TO_MATURITY_AT_ISSU")</f>
        <v>11.330057534246585</v>
      </c>
      <c r="O1928" t="str">
        <f>_xll.BDP("641462DM Muni","BVAL_MID_YTM")</f>
        <v>#N/A Authorization</v>
      </c>
      <c r="P1928" t="str">
        <f>_xll.BDP("641462DM Muni","MUNI_TAX_PROV")</f>
        <v>FED &amp; ST TAX-EXEMPT</v>
      </c>
      <c r="Q1928" t="str">
        <f>_xll.BDP("641462DM Muni","MUNI_FED_TAX")</f>
        <v>N</v>
      </c>
      <c r="R1928" t="str">
        <f>_xll.BDP("641462DM Muni","MUNI_MSRB_VOLUME")</f>
        <v>#N/A N/A</v>
      </c>
      <c r="S1928" t="str">
        <f>_xll.BDP("641462DM Muni","BB_COMPOSITE")</f>
        <v>AA+</v>
      </c>
      <c r="T1928">
        <f>_xll.BDP("641462DM Muni","LQA_LIQUIDITY_SCORE")</f>
        <v>77</v>
      </c>
    </row>
    <row r="1929" spans="1:20" x14ac:dyDescent="0.25">
      <c r="A1929" t="str">
        <f>_xll.BDP("641462DN Muni","ID_CUSIP")</f>
        <v>641462DN3</v>
      </c>
      <c r="B1929" t="s">
        <v>503</v>
      </c>
      <c r="C1929" t="str">
        <f>_xll.BDP("641462DN Muni","INSURANCE_STATUS")</f>
        <v>N</v>
      </c>
      <c r="D1929" t="str">
        <f>_xll.BDP("641462DN Muni","STATE_CODE")</f>
        <v>NV</v>
      </c>
      <c r="E1929" t="str">
        <f>_xll.BDP("641462DN Muni","COUNTY_LOCATION_ISSUER")</f>
        <v>Carson City, NV</v>
      </c>
      <c r="F1929">
        <f>_xll.BDP("641462DN Muni","DUR_ADJ_MID")</f>
        <v>2.8039811388976852</v>
      </c>
      <c r="G1929">
        <f>_xll.BDP("641462DN Muni","SPREAD_AT_ISSUANCE_TO_WORST")</f>
        <v>13.04184383561644</v>
      </c>
      <c r="H1929" t="str">
        <f>_xll.BDP("641462DN Muni","ISSUE_DT")</f>
        <v>11/7/2017</v>
      </c>
      <c r="I1929" t="str">
        <f>_xll.BDS("641462DN Muni","MUNI_PURPOSE_SCHED", "aggregate=y")</f>
        <v>WATER UTILITY IMPS.</v>
      </c>
      <c r="J1929">
        <f>_xll.BDP("641462DN Muni","CPN")</f>
        <v>5</v>
      </c>
      <c r="K1929" t="str">
        <f>_xll.BDP("641462DN Muni","MATURITY")</f>
        <v>8/1/2025</v>
      </c>
      <c r="L1929">
        <v>310000</v>
      </c>
      <c r="M1929">
        <f>_xll.BDP("641462DN Muni","YIELD_ON_ISSUE_DATE")</f>
        <v>1.85</v>
      </c>
      <c r="N1929">
        <f>_xll.BDP("641462DN Muni","YTW_SPREAD_TO_MATURITY_AT_ISSU")</f>
        <v>13.04184383561644</v>
      </c>
      <c r="O1929" t="str">
        <f>_xll.BDP("641462DN Muni","BVAL_MID_YTM")</f>
        <v>#N/A Authorization</v>
      </c>
      <c r="P1929" t="str">
        <f>_xll.BDP("641462DN Muni","MUNI_TAX_PROV")</f>
        <v>FED &amp; ST TAX-EXEMPT</v>
      </c>
      <c r="Q1929" t="str">
        <f>_xll.BDP("641462DN Muni","MUNI_FED_TAX")</f>
        <v>N</v>
      </c>
      <c r="R1929" t="str">
        <f>_xll.BDP("641462DN Muni","MUNI_MSRB_VOLUME")</f>
        <v>#N/A N/A</v>
      </c>
      <c r="S1929" t="str">
        <f>_xll.BDP("641462DN Muni","BB_COMPOSITE")</f>
        <v>AA+</v>
      </c>
      <c r="T1929">
        <f>_xll.BDP("641462DN Muni","LQA_LIQUIDITY_SCORE")</f>
        <v>69</v>
      </c>
    </row>
    <row r="1930" spans="1:20" x14ac:dyDescent="0.25">
      <c r="A1930" t="str">
        <f>_xll.BDP("641462DP Muni","ID_CUSIP")</f>
        <v>641462DP8</v>
      </c>
      <c r="B1930" t="s">
        <v>503</v>
      </c>
      <c r="C1930" t="str">
        <f>_xll.BDP("641462DP Muni","INSURANCE_STATUS")</f>
        <v>N</v>
      </c>
      <c r="D1930" t="str">
        <f>_xll.BDP("641462DP Muni","STATE_CODE")</f>
        <v>NV</v>
      </c>
      <c r="E1930" t="str">
        <f>_xll.BDP("641462DP Muni","COUNTY_LOCATION_ISSUER")</f>
        <v>Carson City, NV</v>
      </c>
      <c r="F1930">
        <f>_xll.BDP("641462DP Muni","DUR_ADJ_MID")</f>
        <v>3.65497890660202</v>
      </c>
      <c r="G1930">
        <f>_xll.BDP("641462DP Muni","SPREAD_AT_ISSUANCE_TO_WORST")</f>
        <v>15.069673972602748</v>
      </c>
      <c r="H1930" t="str">
        <f>_xll.BDP("641462DP Muni","ISSUE_DT")</f>
        <v>11/7/2017</v>
      </c>
      <c r="I1930" t="str">
        <f>_xll.BDS("641462DP Muni","MUNI_PURPOSE_SCHED", "aggregate=y")</f>
        <v>WATER UTILITY IMPS.</v>
      </c>
      <c r="J1930">
        <f>_xll.BDP("641462DP Muni","CPN")</f>
        <v>5</v>
      </c>
      <c r="K1930" t="str">
        <f>_xll.BDP("641462DP Muni","MATURITY")</f>
        <v>8/1/2026</v>
      </c>
      <c r="L1930">
        <v>310000</v>
      </c>
      <c r="M1930">
        <f>_xll.BDP("641462DP Muni","YIELD_ON_ISSUE_DATE")</f>
        <v>1.99</v>
      </c>
      <c r="N1930">
        <f>_xll.BDP("641462DP Muni","YTW_SPREAD_TO_MATURITY_AT_ISSU")</f>
        <v>15.069673972602748</v>
      </c>
      <c r="O1930" t="str">
        <f>_xll.BDP("641462DP Muni","BVAL_MID_YTM")</f>
        <v>#N/A Authorization</v>
      </c>
      <c r="P1930" t="str">
        <f>_xll.BDP("641462DP Muni","MUNI_TAX_PROV")</f>
        <v>FED &amp; ST TAX-EXEMPT</v>
      </c>
      <c r="Q1930" t="str">
        <f>_xll.BDP("641462DP Muni","MUNI_FED_TAX")</f>
        <v>N</v>
      </c>
      <c r="R1930">
        <f>_xll.BDP("641462DP Muni","MUNI_MSRB_VOLUME")</f>
        <v>10000</v>
      </c>
      <c r="S1930" t="str">
        <f>_xll.BDP("641462DP Muni","BB_COMPOSITE")</f>
        <v>AA+</v>
      </c>
      <c r="T1930">
        <f>_xll.BDP("641462DP Muni","LQA_LIQUIDITY_SCORE")</f>
        <v>69</v>
      </c>
    </row>
    <row r="1931" spans="1:20" x14ac:dyDescent="0.25">
      <c r="A1931" t="str">
        <f>_xll.BDP("641462DQ Muni","ID_CUSIP")</f>
        <v>641462DQ6</v>
      </c>
      <c r="B1931" t="s">
        <v>503</v>
      </c>
      <c r="C1931" t="str">
        <f>_xll.BDP("641462DQ Muni","INSURANCE_STATUS")</f>
        <v>N</v>
      </c>
      <c r="D1931" t="str">
        <f>_xll.BDP("641462DQ Muni","STATE_CODE")</f>
        <v>NV</v>
      </c>
      <c r="E1931" t="str">
        <f>_xll.BDP("641462DQ Muni","COUNTY_LOCATION_ISSUER")</f>
        <v>Carson City, NV</v>
      </c>
      <c r="F1931">
        <f>_xll.BDP("641462DQ Muni","DUR_ADJ_MID")</f>
        <v>4.4862146966115244</v>
      </c>
      <c r="G1931">
        <f>_xll.BDP("641462DQ Muni","SPREAD_AT_ISSUANCE_TO_WORST")</f>
        <v>15.409690410958898</v>
      </c>
      <c r="H1931" t="str">
        <f>_xll.BDP("641462DQ Muni","ISSUE_DT")</f>
        <v>11/7/2017</v>
      </c>
      <c r="I1931" t="str">
        <f>_xll.BDS("641462DQ Muni","MUNI_PURPOSE_SCHED", "aggregate=y")</f>
        <v>WATER UTILITY IMPS.</v>
      </c>
      <c r="J1931">
        <f>_xll.BDP("641462DQ Muni","CPN")</f>
        <v>5</v>
      </c>
      <c r="K1931" t="str">
        <f>_xll.BDP("641462DQ Muni","MATURITY")</f>
        <v>8/1/2027</v>
      </c>
      <c r="L1931">
        <v>310000</v>
      </c>
      <c r="M1931">
        <f>_xll.BDP("641462DQ Muni","YIELD_ON_ISSUE_DATE")</f>
        <v>2.09</v>
      </c>
      <c r="N1931">
        <f>_xll.BDP("641462DQ Muni","YTW_SPREAD_TO_MATURITY_AT_ISSU")</f>
        <v>15.409690410958898</v>
      </c>
      <c r="O1931" t="str">
        <f>_xll.BDP("641462DQ Muni","BVAL_MID_YTM")</f>
        <v>#N/A Authorization</v>
      </c>
      <c r="P1931" t="str">
        <f>_xll.BDP("641462DQ Muni","MUNI_TAX_PROV")</f>
        <v>FED &amp; ST TAX-EXEMPT</v>
      </c>
      <c r="Q1931" t="str">
        <f>_xll.BDP("641462DQ Muni","MUNI_FED_TAX")</f>
        <v>N</v>
      </c>
      <c r="R1931">
        <f>_xll.BDP("641462DQ Muni","MUNI_MSRB_VOLUME")</f>
        <v>5000</v>
      </c>
      <c r="S1931" t="str">
        <f>_xll.BDP("641462DQ Muni","BB_COMPOSITE")</f>
        <v>AA+</v>
      </c>
      <c r="T1931">
        <f>_xll.BDP("641462DQ Muni","LQA_LIQUIDITY_SCORE")</f>
        <v>50</v>
      </c>
    </row>
    <row r="1932" spans="1:20" x14ac:dyDescent="0.25">
      <c r="A1932" t="str">
        <f>_xll.BDP("739545MQ Muni","ID_CUSIP")</f>
        <v>739545MQ1</v>
      </c>
      <c r="B1932" t="s">
        <v>233</v>
      </c>
      <c r="C1932" t="str">
        <f>_xll.BDP("739545MQ Muni","INSURANCE_STATUS")</f>
        <v>N</v>
      </c>
      <c r="D1932" t="str">
        <f>_xll.BDP("739545MQ Muni","STATE_CODE")</f>
        <v>WI</v>
      </c>
      <c r="E1932" t="str">
        <f>_xll.BDP("739545MQ Muni","COUNTY_LOCATION_ISSUER")</f>
        <v>Sauk, WI</v>
      </c>
      <c r="F1932">
        <f>_xll.BDP("739545MQ Muni","DUR_ADJ_MID")</f>
        <v>1.5303583308749462</v>
      </c>
      <c r="G1932">
        <f>_xll.BDP("739545MQ Muni","SPREAD_AT_ISSUANCE_TO_WORST")</f>
        <v>13.44151549203132</v>
      </c>
      <c r="H1932" t="str">
        <f>_xll.BDP("739545MQ Muni","ISSUE_DT")</f>
        <v>3/23/2017</v>
      </c>
      <c r="I1932" t="str">
        <f>_xll.BDS("739545MQ Muni","MUNI_PURPOSE_SCHED", "aggregate=y")</f>
        <v>PUBLIC IMPS. WATER UTILITY IMPS. SEWER IMPS.</v>
      </c>
      <c r="J1932">
        <f>_xll.BDP("739545MQ Muni","CPN")</f>
        <v>2.5</v>
      </c>
      <c r="K1932" t="str">
        <f>_xll.BDP("739545MQ Muni","MATURITY")</f>
        <v>3/1/2024</v>
      </c>
      <c r="L1932">
        <v>125000</v>
      </c>
      <c r="M1932">
        <f>_xll.BDP("739545MQ Muni","YIELD_ON_ISSUE_DATE")</f>
        <v>2</v>
      </c>
      <c r="N1932">
        <f>_xll.BDP("739545MQ Muni","YTW_SPREAD_TO_MATURITY_AT_ISSU")</f>
        <v>13.44151549203132</v>
      </c>
      <c r="O1932" t="str">
        <f>_xll.BDP("739545MQ Muni","BVAL_MID_YTM")</f>
        <v>#N/A Authorization</v>
      </c>
      <c r="P1932" t="str">
        <f>_xll.BDP("739545MQ Muni","MUNI_TAX_PROV")</f>
        <v>FED BQ/ST TAXABLE</v>
      </c>
      <c r="Q1932" t="str">
        <f>_xll.BDP("739545MQ Muni","MUNI_FED_TAX")</f>
        <v>N</v>
      </c>
      <c r="R1932" t="str">
        <f>_xll.BDP("739545MQ Muni","MUNI_MSRB_VOLUME")</f>
        <v>#N/A N/A</v>
      </c>
      <c r="S1932" t="str">
        <f>_xll.BDP("739545MQ Muni","BB_COMPOSITE")</f>
        <v>#N/A N/A</v>
      </c>
      <c r="T1932">
        <f>_xll.BDP("739545MQ Muni","LQA_LIQUIDITY_SCORE")</f>
        <v>78</v>
      </c>
    </row>
    <row r="1933" spans="1:20" x14ac:dyDescent="0.25">
      <c r="A1933" t="str">
        <f>_xll.BDP("765531EZ Muni","ID_CUSIP")</f>
        <v>765531EZ7</v>
      </c>
      <c r="B1933" t="s">
        <v>112</v>
      </c>
      <c r="C1933" t="str">
        <f>_xll.BDP("765531EZ Muni","INSURANCE_STATUS")</f>
        <v>Y</v>
      </c>
      <c r="D1933" t="str">
        <f>_xll.BDP("765531EZ Muni","STATE_CODE")</f>
        <v>IL</v>
      </c>
      <c r="E1933" t="str">
        <f>_xll.BDP("765531EZ Muni","COUNTY_LOCATION_ISSUER")</f>
        <v>Cook, IL</v>
      </c>
      <c r="F1933">
        <f>_xll.BDP("765531EZ Muni","DUR_ADJ_MID")</f>
        <v>1.2860431951392528</v>
      </c>
      <c r="G1933">
        <f>_xll.BDP("765531EZ Muni","SPREAD_AT_ISSUANCE_TO_WORST")</f>
        <v>121.34507487995636</v>
      </c>
      <c r="H1933" t="str">
        <f>_xll.BDP("765531EZ Muni","ISSUE_DT")</f>
        <v>9/28/2017</v>
      </c>
      <c r="I1933" t="str">
        <f>_xll.BDS("765531EZ Muni","MUNI_PURPOSE_SCHED", "aggregate=y")</f>
        <v>WATER UTILITY IMPS. SEWER IMPS. CURRENT REFUNDING</v>
      </c>
      <c r="J1933">
        <f>_xll.BDP("765531EZ Muni","CPN")</f>
        <v>4</v>
      </c>
      <c r="K1933" t="str">
        <f>_xll.BDP("765531EZ Muni","MATURITY")</f>
        <v>12/1/2023</v>
      </c>
      <c r="L1933">
        <v>245000</v>
      </c>
      <c r="M1933">
        <f>_xll.BDP("765531EZ Muni","YIELD_ON_ISSUE_DATE")</f>
        <v>2.6</v>
      </c>
      <c r="N1933">
        <f>_xll.BDP("765531EZ Muni","YTW_SPREAD_TO_MATURITY_AT_ISSU")</f>
        <v>121.34507487995636</v>
      </c>
      <c r="O1933" t="str">
        <f>_xll.BDP("765531EZ Muni","BVAL_MID_YTM")</f>
        <v>#N/A Authorization</v>
      </c>
      <c r="P1933" t="str">
        <f>_xll.BDP("765531EZ Muni","MUNI_TAX_PROV")</f>
        <v>FED BQ/ST TAXABLE</v>
      </c>
      <c r="Q1933" t="str">
        <f>_xll.BDP("765531EZ Muni","MUNI_FED_TAX")</f>
        <v>N</v>
      </c>
      <c r="R1933" t="str">
        <f>_xll.BDP("765531EZ Muni","MUNI_MSRB_VOLUME")</f>
        <v>#N/A N/A</v>
      </c>
      <c r="S1933" t="str">
        <f>_xll.BDP("765531EZ Muni","BB_COMPOSITE")</f>
        <v>#N/A N/A</v>
      </c>
      <c r="T1933">
        <f>_xll.BDP("765531EZ Muni","LQA_LIQUIDITY_SCORE")</f>
        <v>84</v>
      </c>
    </row>
    <row r="1934" spans="1:20" x14ac:dyDescent="0.25">
      <c r="A1934" t="str">
        <f>_xll.BDP("765531FC Muni","ID_CUSIP")</f>
        <v>765531FC7</v>
      </c>
      <c r="B1934" t="s">
        <v>112</v>
      </c>
      <c r="C1934" t="str">
        <f>_xll.BDP("765531FC Muni","INSURANCE_STATUS")</f>
        <v>Y</v>
      </c>
      <c r="D1934" t="str">
        <f>_xll.BDP("765531FC Muni","STATE_CODE")</f>
        <v>IL</v>
      </c>
      <c r="E1934" t="str">
        <f>_xll.BDP("765531FC Muni","COUNTY_LOCATION_ISSUER")</f>
        <v>Cook, IL</v>
      </c>
      <c r="F1934">
        <f>_xll.BDP("765531FC Muni","DUR_ADJ_MID")</f>
        <v>3.9474590711308135</v>
      </c>
      <c r="G1934">
        <f>_xll.BDP("765531FC Muni","SPREAD_AT_ISSUANCE_TO_WORST")</f>
        <v>134.77986176173169</v>
      </c>
      <c r="H1934" t="str">
        <f>_xll.BDP("765531FC Muni","ISSUE_DT")</f>
        <v>9/28/2017</v>
      </c>
      <c r="I1934" t="str">
        <f>_xll.BDS("765531FC Muni","MUNI_PURPOSE_SCHED", "aggregate=y")</f>
        <v>WATER UTILITY IMPS. SEWER IMPS. CURRENT REFUNDING</v>
      </c>
      <c r="J1934">
        <f>_xll.BDP("765531FC Muni","CPN")</f>
        <v>4</v>
      </c>
      <c r="K1934" t="str">
        <f>_xll.BDP("765531FC Muni","MATURITY")</f>
        <v>12/1/2026</v>
      </c>
      <c r="L1934">
        <v>275000</v>
      </c>
      <c r="M1934">
        <f>_xll.BDP("765531FC Muni","YIELD_ON_ISSUE_DATE")</f>
        <v>3.15</v>
      </c>
      <c r="N1934">
        <f>_xll.BDP("765531FC Muni","YTW_SPREAD_TO_MATURITY_AT_ISSU")</f>
        <v>134.77986176173169</v>
      </c>
      <c r="O1934" t="str">
        <f>_xll.BDP("765531FC Muni","BVAL_MID_YTM")</f>
        <v>#N/A Authorization</v>
      </c>
      <c r="P1934" t="str">
        <f>_xll.BDP("765531FC Muni","MUNI_TAX_PROV")</f>
        <v>FED BQ/ST TAXABLE</v>
      </c>
      <c r="Q1934" t="str">
        <f>_xll.BDP("765531FC Muni","MUNI_FED_TAX")</f>
        <v>N</v>
      </c>
      <c r="R1934" t="str">
        <f>_xll.BDP("765531FC Muni","MUNI_MSRB_VOLUME")</f>
        <v>#N/A N/A</v>
      </c>
      <c r="S1934" t="str">
        <f>_xll.BDP("765531FC Muni","BB_COMPOSITE")</f>
        <v>#N/A N/A</v>
      </c>
      <c r="T1934">
        <f>_xll.BDP("765531FC Muni","LQA_LIQUIDITY_SCORE")</f>
        <v>64</v>
      </c>
    </row>
    <row r="1935" spans="1:20" x14ac:dyDescent="0.25">
      <c r="A1935" t="str">
        <f>_xll.BDP("765531FA Muni","ID_CUSIP")</f>
        <v>765531FA1</v>
      </c>
      <c r="B1935" t="s">
        <v>112</v>
      </c>
      <c r="C1935" t="str">
        <f>_xll.BDP("765531FA Muni","INSURANCE_STATUS")</f>
        <v>Y</v>
      </c>
      <c r="D1935" t="str">
        <f>_xll.BDP("765531FA Muni","STATE_CODE")</f>
        <v>IL</v>
      </c>
      <c r="E1935" t="str">
        <f>_xll.BDP("765531FA Muni","COUNTY_LOCATION_ISSUER")</f>
        <v>Cook, IL</v>
      </c>
      <c r="F1935">
        <f>_xll.BDP("765531FA Muni","DUR_ADJ_MID")</f>
        <v>2.207139614346274</v>
      </c>
      <c r="G1935">
        <f>_xll.BDP("765531FA Muni","SPREAD_AT_ISSUANCE_TO_WORST")</f>
        <v>126.68845849043635</v>
      </c>
      <c r="H1935" t="str">
        <f>_xll.BDP("765531FA Muni","ISSUE_DT")</f>
        <v>9/28/2017</v>
      </c>
      <c r="I1935" t="str">
        <f>_xll.BDS("765531FA Muni","MUNI_PURPOSE_SCHED", "aggregate=y")</f>
        <v>WATER UTILITY IMPS. SEWER IMPS. CURRENT REFUNDING</v>
      </c>
      <c r="J1935">
        <f>_xll.BDP("765531FA Muni","CPN")</f>
        <v>4</v>
      </c>
      <c r="K1935" t="str">
        <f>_xll.BDP("765531FA Muni","MATURITY")</f>
        <v>12/1/2024</v>
      </c>
      <c r="L1935">
        <v>250000</v>
      </c>
      <c r="M1935">
        <f>_xll.BDP("765531FA Muni","YIELD_ON_ISSUE_DATE")</f>
        <v>2.8000000000000003</v>
      </c>
      <c r="N1935">
        <f>_xll.BDP("765531FA Muni","YTW_SPREAD_TO_MATURITY_AT_ISSU")</f>
        <v>126.68845849043635</v>
      </c>
      <c r="O1935" t="str">
        <f>_xll.BDP("765531FA Muni","BVAL_MID_YTM")</f>
        <v>#N/A Authorization</v>
      </c>
      <c r="P1935" t="str">
        <f>_xll.BDP("765531FA Muni","MUNI_TAX_PROV")</f>
        <v>FED BQ/ST TAXABLE</v>
      </c>
      <c r="Q1935" t="str">
        <f>_xll.BDP("765531FA Muni","MUNI_FED_TAX")</f>
        <v>N</v>
      </c>
      <c r="R1935">
        <f>_xll.BDP("765531FA Muni","MUNI_MSRB_VOLUME")</f>
        <v>40000</v>
      </c>
      <c r="S1935" t="str">
        <f>_xll.BDP("765531FA Muni","BB_COMPOSITE")</f>
        <v>#N/A N/A</v>
      </c>
      <c r="T1935">
        <f>_xll.BDP("765531FA Muni","LQA_LIQUIDITY_SCORE")</f>
        <v>76</v>
      </c>
    </row>
    <row r="1936" spans="1:20" x14ac:dyDescent="0.25">
      <c r="A1936" t="str">
        <f>_xll.BDP("604146DR Muni","ID_CUSIP")</f>
        <v>604146DR8</v>
      </c>
      <c r="B1936" t="s">
        <v>486</v>
      </c>
      <c r="C1936" t="str">
        <f>_xll.BDP("604146DR Muni","INSURANCE_STATUS")</f>
        <v>N</v>
      </c>
      <c r="D1936" t="str">
        <f>_xll.BDP("604146DR Muni","STATE_CODE")</f>
        <v>MN</v>
      </c>
      <c r="E1936" t="str">
        <f>_xll.BDP("604146DR Muni","COUNTY_LOCATION_ISSUER")</f>
        <v>Ramsey, MN</v>
      </c>
      <c r="F1936">
        <f>_xll.BDP("604146DR Muni","DUR_ADJ_MID")</f>
        <v>0.80921736782933851</v>
      </c>
      <c r="G1936">
        <f>_xll.BDP("604146DR Muni","SPREAD_AT_ISSUANCE_TO_WORST")</f>
        <v>18.960068638850871</v>
      </c>
      <c r="H1936" t="str">
        <f>_xll.BDP("604146DR Muni","ISSUE_DT")</f>
        <v>11/9/2017</v>
      </c>
      <c r="I1936" t="str">
        <f>_xll.BDS("604146DR Muni","MUNI_PURPOSE_SCHED", "aggregate=y")</f>
        <v>WATER UTILITY IMPS.</v>
      </c>
      <c r="J1936">
        <f>_xll.BDP("604146DR Muni","CPN")</f>
        <v>3.5</v>
      </c>
      <c r="K1936" t="str">
        <f>_xll.BDP("604146DR Muni","MATURITY")</f>
        <v>6/1/2023</v>
      </c>
      <c r="L1936">
        <v>335000</v>
      </c>
      <c r="M1936">
        <f>_xll.BDP("604146DR Muni","YIELD_ON_ISSUE_DATE")</f>
        <v>2.25</v>
      </c>
      <c r="N1936">
        <f>_xll.BDP("604146DR Muni","YTW_SPREAD_TO_MATURITY_AT_ISSU")</f>
        <v>18.960068638850871</v>
      </c>
      <c r="O1936" t="str">
        <f>_xll.BDP("604146DR Muni","BVAL_MID_YTM")</f>
        <v>#N/A Authorization</v>
      </c>
      <c r="P1936" t="str">
        <f>_xll.BDP("604146DR Muni","MUNI_TAX_PROV")</f>
        <v>FED TAXABLE/ST TAXABLE</v>
      </c>
      <c r="Q1936" t="str">
        <f>_xll.BDP("604146DR Muni","MUNI_FED_TAX")</f>
        <v>Y</v>
      </c>
      <c r="R1936" t="str">
        <f>_xll.BDP("604146DR Muni","MUNI_MSRB_VOLUME")</f>
        <v>#N/A N/A</v>
      </c>
      <c r="S1936" t="str">
        <f>_xll.BDP("604146DR Muni","BB_COMPOSITE")</f>
        <v>AA+</v>
      </c>
      <c r="T1936">
        <f>_xll.BDP("604146DR Muni","LQA_LIQUIDITY_SCORE")</f>
        <v>86</v>
      </c>
    </row>
    <row r="1937" spans="1:20" x14ac:dyDescent="0.25">
      <c r="A1937" t="str">
        <f>_xll.BDP("604146DU Muni","ID_CUSIP")</f>
        <v>604146DU1</v>
      </c>
      <c r="B1937" t="s">
        <v>486</v>
      </c>
      <c r="C1937" t="str">
        <f>_xll.BDP("604146DU Muni","INSURANCE_STATUS")</f>
        <v>N</v>
      </c>
      <c r="D1937" t="str">
        <f>_xll.BDP("604146DU Muni","STATE_CODE")</f>
        <v>MN</v>
      </c>
      <c r="E1937" t="str">
        <f>_xll.BDP("604146DU Muni","COUNTY_LOCATION_ISSUER")</f>
        <v>Ramsey, MN</v>
      </c>
      <c r="F1937">
        <f>_xll.BDP("604146DU Muni","DUR_ADJ_MID")</f>
        <v>3.586008911132831</v>
      </c>
      <c r="G1937">
        <f>_xll.BDP("604146DU Muni","SPREAD_AT_ISSUANCE_TO_WORST")</f>
        <v>39.636914302554025</v>
      </c>
      <c r="H1937" t="str">
        <f>_xll.BDP("604146DU Muni","ISSUE_DT")</f>
        <v>11/9/2017</v>
      </c>
      <c r="I1937" t="str">
        <f>_xll.BDS("604146DU Muni","MUNI_PURPOSE_SCHED", "aggregate=y")</f>
        <v>WATER UTILITY IMPS.</v>
      </c>
      <c r="J1937">
        <f>_xll.BDP("604146DU Muni","CPN")</f>
        <v>2.7</v>
      </c>
      <c r="K1937" t="str">
        <f>_xll.BDP("604146DU Muni","MATURITY")</f>
        <v>6/1/2026</v>
      </c>
      <c r="L1937">
        <v>365000</v>
      </c>
      <c r="M1937">
        <f>_xll.BDP("604146DU Muni","YIELD_ON_ISSUE_DATE")</f>
        <v>2.7</v>
      </c>
      <c r="N1937">
        <f>_xll.BDP("604146DU Muni","YTW_SPREAD_TO_MATURITY_AT_ISSU")</f>
        <v>39.636914302554025</v>
      </c>
      <c r="O1937" t="str">
        <f>_xll.BDP("604146DU Muni","BVAL_MID_YTM")</f>
        <v>#N/A Authorization</v>
      </c>
      <c r="P1937" t="str">
        <f>_xll.BDP("604146DU Muni","MUNI_TAX_PROV")</f>
        <v>FED TAXABLE/ST TAXABLE</v>
      </c>
      <c r="Q1937" t="str">
        <f>_xll.BDP("604146DU Muni","MUNI_FED_TAX")</f>
        <v>Y</v>
      </c>
      <c r="R1937" t="str">
        <f>_xll.BDP("604146DU Muni","MUNI_MSRB_VOLUME")</f>
        <v>#N/A N/A</v>
      </c>
      <c r="S1937" t="str">
        <f>_xll.BDP("604146DU Muni","BB_COMPOSITE")</f>
        <v>AA+</v>
      </c>
      <c r="T1937">
        <f>_xll.BDP("604146DU Muni","LQA_LIQUIDITY_SCORE")</f>
        <v>50</v>
      </c>
    </row>
    <row r="1938" spans="1:20" x14ac:dyDescent="0.25">
      <c r="A1938" t="str">
        <f>_xll.BDP("575829DD Muni","ID_CUSIP")</f>
        <v>575829DD5</v>
      </c>
      <c r="B1938" t="s">
        <v>57</v>
      </c>
      <c r="C1938" t="str">
        <f>_xll.BDP("575829DD Muni","INSURANCE_STATUS")</f>
        <v>N</v>
      </c>
      <c r="D1938" t="str">
        <f>_xll.BDP("575829DD Muni","STATE_CODE")</f>
        <v>MA</v>
      </c>
      <c r="E1938" t="str">
        <f>_xll.BDP("575829DD Muni","COUNTY_LOCATION_ISSUER")</f>
        <v>Suffolk, MA</v>
      </c>
      <c r="F1938">
        <f>_xll.BDP("575829DD Muni","DUR_ADJ_MID")</f>
        <v>2.3643930743023063</v>
      </c>
      <c r="G1938">
        <f>_xll.BDP("575829DD Muni","SPREAD_AT_ISSUANCE_TO_WORST")</f>
        <v>6.7814797158831208</v>
      </c>
      <c r="H1938" t="str">
        <f>_xll.BDP("575829DD Muni","ISSUE_DT")</f>
        <v>4/13/2017</v>
      </c>
      <c r="I1938" t="str">
        <f>_xll.BDS("575829DD Muni","MUNI_PURPOSE_SCHED", "aggregate=y")</f>
        <v>GREEN PURPOSE WATER UTILITY IMPS. SEWER IMPS.</v>
      </c>
      <c r="J1938">
        <f>_xll.BDP("575829DD Muni","CPN")</f>
        <v>5</v>
      </c>
      <c r="K1938" t="str">
        <f>_xll.BDP("575829DD Muni","MATURITY")</f>
        <v>2/1/2025</v>
      </c>
      <c r="L1938">
        <v>8235000</v>
      </c>
      <c r="M1938">
        <f>_xll.BDP("575829DD Muni","YIELD_ON_ISSUE_DATE")</f>
        <v>2.06</v>
      </c>
      <c r="N1938">
        <f>_xll.BDP("575829DD Muni","YTW_SPREAD_TO_MATURITY_AT_ISSU")</f>
        <v>6.7814797158831208</v>
      </c>
      <c r="O1938" t="str">
        <f>_xll.BDP("575829DD Muni","BVAL_MID_YTM")</f>
        <v>#N/A Authorization</v>
      </c>
      <c r="P1938" t="str">
        <f>_xll.BDP("575829DD Muni","MUNI_TAX_PROV")</f>
        <v>FED &amp; ST TAX-EXEMPT</v>
      </c>
      <c r="Q1938" t="str">
        <f>_xll.BDP("575829DD Muni","MUNI_FED_TAX")</f>
        <v>N</v>
      </c>
      <c r="R1938">
        <f>_xll.BDP("575829DD Muni","MUNI_MSRB_VOLUME")</f>
        <v>140000</v>
      </c>
      <c r="S1938" t="str">
        <f>_xll.BDP("575829DD Muni","BB_COMPOSITE")</f>
        <v>AAA</v>
      </c>
      <c r="T1938">
        <f>_xll.BDP("575829DD Muni","LQA_LIQUIDITY_SCORE")</f>
        <v>84</v>
      </c>
    </row>
    <row r="1939" spans="1:20" x14ac:dyDescent="0.25">
      <c r="A1939" t="str">
        <f>_xll.BDP("924258X6 Muni","ID_CUSIP")</f>
        <v>924258X68</v>
      </c>
      <c r="B1939" t="s">
        <v>77</v>
      </c>
      <c r="C1939" t="str">
        <f>_xll.BDP("924258X6 Muni","INSURANCE_STATUS")</f>
        <v>N</v>
      </c>
      <c r="D1939" t="str">
        <f>_xll.BDP("924258X6 Muni","STATE_CODE")</f>
        <v>VT</v>
      </c>
      <c r="E1939" t="str">
        <f>_xll.BDP("924258X6 Muni","COUNTY_LOCATION_ISSUER")</f>
        <v>Washington, VT</v>
      </c>
      <c r="F1939">
        <f>_xll.BDP("924258X6 Muni","DUR_ADJ_MID")</f>
        <v>3.6101505287352224E-2</v>
      </c>
      <c r="G1939">
        <f>_xll.BDP("924258X6 Muni","SPREAD_AT_ISSUANCE_TO_WORST")</f>
        <v>1.5623619855375193</v>
      </c>
      <c r="H1939" t="str">
        <f>_xll.BDP("924258X6 Muni","ISSUE_DT")</f>
        <v>9/13/2017</v>
      </c>
      <c r="I1939" t="str">
        <f>_xll.BDS("924258X6 Muni","MUNI_PURPOSE_SCHED", "aggregate=y")</f>
        <v>PUBLIC IMPS. WATER UTILITY IMPS. UNIV. &amp; COLLEGE IMPS.</v>
      </c>
      <c r="J1939">
        <f>_xll.BDP("924258X6 Muni","CPN")</f>
        <v>2.25</v>
      </c>
      <c r="K1939" t="str">
        <f>_xll.BDP("924258X6 Muni","MATURITY")</f>
        <v>8/15/2022</v>
      </c>
      <c r="L1939">
        <v>1725000</v>
      </c>
      <c r="M1939">
        <f>_xll.BDP("924258X6 Muni","YIELD_ON_ISSUE_DATE")</f>
        <v>1.17</v>
      </c>
      <c r="N1939">
        <f>_xll.BDP("924258X6 Muni","YTW_SPREAD_TO_MATURITY_AT_ISSU")</f>
        <v>1.5623619855375193</v>
      </c>
      <c r="O1939" t="str">
        <f>_xll.BDP("924258X6 Muni","BVAL_MID_YTM")</f>
        <v>#N/A Authorization</v>
      </c>
      <c r="P1939" t="str">
        <f>_xll.BDP("924258X6 Muni","MUNI_TAX_PROV")</f>
        <v>FED &amp; ST TAX-EXEMPT</v>
      </c>
      <c r="Q1939" t="str">
        <f>_xll.BDP("924258X6 Muni","MUNI_FED_TAX")</f>
        <v>N</v>
      </c>
      <c r="R1939" t="str">
        <f>_xll.BDP("924258X6 Muni","MUNI_MSRB_VOLUME")</f>
        <v>#N/A N/A</v>
      </c>
      <c r="S1939" t="str">
        <f>_xll.BDP("924258X6 Muni","BB_COMPOSITE")</f>
        <v>AA+</v>
      </c>
      <c r="T1939">
        <f>_xll.BDP("924258X6 Muni","LQA_LIQUIDITY_SCORE")</f>
        <v>99</v>
      </c>
    </row>
    <row r="1940" spans="1:20" x14ac:dyDescent="0.25">
      <c r="A1940" t="str">
        <f>_xll.BDP("924258Y3 Muni","ID_CUSIP")</f>
        <v>924258Y34</v>
      </c>
      <c r="B1940" t="s">
        <v>77</v>
      </c>
      <c r="C1940" t="str">
        <f>_xll.BDP("924258Y3 Muni","INSURANCE_STATUS")</f>
        <v>N</v>
      </c>
      <c r="D1940" t="str">
        <f>_xll.BDP("924258Y3 Muni","STATE_CODE")</f>
        <v>VT</v>
      </c>
      <c r="E1940" t="str">
        <f>_xll.BDP("924258Y3 Muni","COUNTY_LOCATION_ISSUER")</f>
        <v>Washington, VT</v>
      </c>
      <c r="F1940">
        <f>_xll.BDP("924258Y3 Muni","DUR_ADJ_MID")</f>
        <v>4.4272787851054334</v>
      </c>
      <c r="G1940">
        <f>_xll.BDP("924258Y3 Muni","SPREAD_AT_ISSUANCE_TO_WORST")</f>
        <v>11.995412412513872</v>
      </c>
      <c r="H1940" t="str">
        <f>_xll.BDP("924258Y3 Muni","ISSUE_DT")</f>
        <v>9/13/2017</v>
      </c>
      <c r="I1940" t="str">
        <f>_xll.BDS("924258Y3 Muni","MUNI_PURPOSE_SCHED", "aggregate=y")</f>
        <v>PUBLIC IMPS. WATER UTILITY IMPS. UNIV. &amp; COLLEGE IMPS.</v>
      </c>
      <c r="J1940">
        <f>_xll.BDP("924258Y3 Muni","CPN")</f>
        <v>5</v>
      </c>
      <c r="K1940" t="str">
        <f>_xll.BDP("924258Y3 Muni","MATURITY")</f>
        <v>8/15/2027</v>
      </c>
      <c r="L1940">
        <v>1500000</v>
      </c>
      <c r="M1940">
        <f>_xll.BDP("924258Y3 Muni","YIELD_ON_ISSUE_DATE")</f>
        <v>1.97</v>
      </c>
      <c r="N1940">
        <f>_xll.BDP("924258Y3 Muni","YTW_SPREAD_TO_MATURITY_AT_ISSU")</f>
        <v>11.995412412513872</v>
      </c>
      <c r="O1940" t="str">
        <f>_xll.BDP("924258Y3 Muni","BVAL_MID_YTM")</f>
        <v>#N/A Authorization</v>
      </c>
      <c r="P1940" t="str">
        <f>_xll.BDP("924258Y3 Muni","MUNI_TAX_PROV")</f>
        <v>FED &amp; ST TAX-EXEMPT</v>
      </c>
      <c r="Q1940" t="str">
        <f>_xll.BDP("924258Y3 Muni","MUNI_FED_TAX")</f>
        <v>N</v>
      </c>
      <c r="R1940">
        <f>_xll.BDP("924258Y3 Muni","MUNI_MSRB_VOLUME")</f>
        <v>15000</v>
      </c>
      <c r="S1940" t="str">
        <f>_xll.BDP("924258Y3 Muni","BB_COMPOSITE")</f>
        <v>AA+</v>
      </c>
      <c r="T1940">
        <f>_xll.BDP("924258Y3 Muni","LQA_LIQUIDITY_SCORE")</f>
        <v>67</v>
      </c>
    </row>
    <row r="1941" spans="1:20" x14ac:dyDescent="0.25">
      <c r="A1941" t="str">
        <f>_xll.BDP("925088VK Muni","ID_CUSIP")</f>
        <v>925088VK9</v>
      </c>
      <c r="B1941" t="s">
        <v>212</v>
      </c>
      <c r="C1941" t="str">
        <f>_xll.BDP("925088VK Muni","INSURANCE_STATUS")</f>
        <v>N</v>
      </c>
      <c r="D1941" t="str">
        <f>_xll.BDP("925088VK Muni","STATE_CODE")</f>
        <v>WI</v>
      </c>
      <c r="E1941" t="str">
        <f>_xll.BDP("925088VK Muni","COUNTY_LOCATION_ISSUER")</f>
        <v>Dane, WI</v>
      </c>
      <c r="F1941">
        <f>_xll.BDP("925088VK Muni","DUR_ADJ_MID")</f>
        <v>0.81983587763181776</v>
      </c>
      <c r="G1941">
        <f>_xll.BDP("925088VK Muni","SPREAD_AT_ISSUANCE_TO_WORST")</f>
        <v>19.400272448151611</v>
      </c>
      <c r="H1941" t="str">
        <f>_xll.BDP("925088VK Muni","ISSUE_DT")</f>
        <v>7/20/2017</v>
      </c>
      <c r="I1941" t="str">
        <f>_xll.BDS("925088VK Muni","MUNI_PURPOSE_SCHED", "aggregate=y")</f>
        <v>PUBLIC IMPS. SEWER IMPS. WATER UTILITY IMPS.</v>
      </c>
      <c r="J1941">
        <f>_xll.BDP("925088VK Muni","CPN")</f>
        <v>2</v>
      </c>
      <c r="K1941" t="str">
        <f>_xll.BDP("925088VK Muni","MATURITY")</f>
        <v>6/1/2023</v>
      </c>
      <c r="L1941">
        <v>340000</v>
      </c>
      <c r="M1941">
        <f>_xll.BDP("925088VK Muni","YIELD_ON_ISSUE_DATE")</f>
        <v>1.55</v>
      </c>
      <c r="N1941">
        <f>_xll.BDP("925088VK Muni","YTW_SPREAD_TO_MATURITY_AT_ISSU")</f>
        <v>19.400272448151611</v>
      </c>
      <c r="O1941" t="str">
        <f>_xll.BDP("925088VK Muni","BVAL_MID_YTM")</f>
        <v>#N/A Authorization</v>
      </c>
      <c r="P1941" t="str">
        <f>_xll.BDP("925088VK Muni","MUNI_TAX_PROV")</f>
        <v>FED BQ/ST TAXABLE</v>
      </c>
      <c r="Q1941" t="str">
        <f>_xll.BDP("925088VK Muni","MUNI_FED_TAX")</f>
        <v>N</v>
      </c>
      <c r="R1941" t="str">
        <f>_xll.BDP("925088VK Muni","MUNI_MSRB_VOLUME")</f>
        <v>#N/A N/A</v>
      </c>
      <c r="S1941" t="str">
        <f>_xll.BDP("925088VK Muni","BB_COMPOSITE")</f>
        <v>#N/A N/A</v>
      </c>
      <c r="T1941">
        <f>_xll.BDP("925088VK Muni","LQA_LIQUIDITY_SCORE")</f>
        <v>83</v>
      </c>
    </row>
    <row r="1942" spans="1:20" x14ac:dyDescent="0.25">
      <c r="A1942" t="str">
        <f>_xll.BDP("95942TFV Muni","ID_CUSIP")</f>
        <v>95942TFV4</v>
      </c>
      <c r="B1942" t="s">
        <v>504</v>
      </c>
      <c r="C1942" t="str">
        <f>_xll.BDP("95942TFV Muni","INSURANCE_STATUS")</f>
        <v>N</v>
      </c>
      <c r="D1942" t="str">
        <f>_xll.BDP("95942TFV Muni","STATE_CODE")</f>
        <v>CA</v>
      </c>
      <c r="E1942" t="str">
        <f>_xll.BDP("95942TFV Muni","COUNTY_LOCATION_ISSUER")</f>
        <v>#N/A Field Not Applicable</v>
      </c>
      <c r="F1942">
        <f>_xll.BDP("95942TFV Muni","DUR_ADJ_MID")</f>
        <v>8.0449817754919953E-2</v>
      </c>
      <c r="G1942">
        <f>_xll.BDP("95942TFV Muni","SPREAD_AT_ISSUANCE_TO_WORST")</f>
        <v>97.376457811899513</v>
      </c>
      <c r="H1942" t="str">
        <f>_xll.BDP("95942TFV Muni","ISSUE_DT")</f>
        <v>4/12/2017</v>
      </c>
      <c r="I1942" t="str">
        <f>_xll.BDS("95942TFV Muni","MUNI_PURPOSE_SCHED", "aggregate=y")</f>
        <v>WATER UTILITY IMPS. SEWER IMPS.</v>
      </c>
      <c r="J1942">
        <f>_xll.BDP("95942TFV Muni","CPN")</f>
        <v>2.375</v>
      </c>
      <c r="K1942" t="str">
        <f>_xll.BDP("95942TFV Muni","MATURITY")</f>
        <v>9/1/2022</v>
      </c>
      <c r="L1942">
        <v>195000</v>
      </c>
      <c r="M1942">
        <f>_xll.BDP("95942TFV Muni","YIELD_ON_ISSUE_DATE")</f>
        <v>2.57</v>
      </c>
      <c r="N1942">
        <f>_xll.BDP("95942TFV Muni","YTW_SPREAD_TO_MATURITY_AT_ISSU")</f>
        <v>97.376457811899513</v>
      </c>
      <c r="O1942" t="str">
        <f>_xll.BDP("95942TFV Muni","BVAL_MID_YTM")</f>
        <v>#N/A Authorization</v>
      </c>
      <c r="P1942" t="str">
        <f>_xll.BDP("95942TFV Muni","MUNI_TAX_PROV")</f>
        <v>FED &amp; ST TAX-EXEMPT</v>
      </c>
      <c r="Q1942" t="str">
        <f>_xll.BDP("95942TFV Muni","MUNI_FED_TAX")</f>
        <v>N</v>
      </c>
      <c r="R1942" t="str">
        <f>_xll.BDP("95942TFV Muni","MUNI_MSRB_VOLUME")</f>
        <v>#N/A N/A</v>
      </c>
      <c r="S1942" t="str">
        <f>_xll.BDP("95942TFV Muni","BB_COMPOSITE")</f>
        <v>#N/A N/A</v>
      </c>
      <c r="T1942">
        <f>_xll.BDP("95942TFV Muni","LQA_LIQUIDITY_SCORE")</f>
        <v>100</v>
      </c>
    </row>
    <row r="1943" spans="1:20" x14ac:dyDescent="0.25">
      <c r="A1943" t="str">
        <f>_xll.BDP("95942TFW Muni","ID_CUSIP")</f>
        <v>95942TFW2</v>
      </c>
      <c r="B1943" t="s">
        <v>504</v>
      </c>
      <c r="C1943" t="str">
        <f>_xll.BDP("95942TFW Muni","INSURANCE_STATUS")</f>
        <v>N</v>
      </c>
      <c r="D1943" t="str">
        <f>_xll.BDP("95942TFW Muni","STATE_CODE")</f>
        <v>CA</v>
      </c>
      <c r="E1943" t="str">
        <f>_xll.BDP("95942TFW Muni","COUNTY_LOCATION_ISSUER")</f>
        <v>#N/A Field Not Applicable</v>
      </c>
      <c r="F1943">
        <f>_xll.BDP("95942TFW Muni","DUR_ADJ_MID")</f>
        <v>1.0495664526398278</v>
      </c>
      <c r="G1943">
        <f>_xll.BDP("95942TFW Muni","SPREAD_AT_ISSUANCE_TO_WORST")</f>
        <v>110.49064259905595</v>
      </c>
      <c r="H1943" t="str">
        <f>_xll.BDP("95942TFW Muni","ISSUE_DT")</f>
        <v>4/12/2017</v>
      </c>
      <c r="I1943" t="str">
        <f>_xll.BDS("95942TFW Muni","MUNI_PURPOSE_SCHED", "aggregate=y")</f>
        <v>WATER UTILITY IMPS. SEWER IMPS.</v>
      </c>
      <c r="J1943">
        <f>_xll.BDP("95942TFW Muni","CPN")</f>
        <v>2.625</v>
      </c>
      <c r="K1943" t="str">
        <f>_xll.BDP("95942TFW Muni","MATURITY")</f>
        <v>9/1/2023</v>
      </c>
      <c r="L1943">
        <v>195000</v>
      </c>
      <c r="M1943">
        <f>_xll.BDP("95942TFW Muni","YIELD_ON_ISSUE_DATE")</f>
        <v>2.87</v>
      </c>
      <c r="N1943">
        <f>_xll.BDP("95942TFW Muni","YTW_SPREAD_TO_MATURITY_AT_ISSU")</f>
        <v>110.49064259905595</v>
      </c>
      <c r="O1943" t="str">
        <f>_xll.BDP("95942TFW Muni","BVAL_MID_YTM")</f>
        <v>#N/A Authorization</v>
      </c>
      <c r="P1943" t="str">
        <f>_xll.BDP("95942TFW Muni","MUNI_TAX_PROV")</f>
        <v>FED &amp; ST TAX-EXEMPT</v>
      </c>
      <c r="Q1943" t="str">
        <f>_xll.BDP("95942TFW Muni","MUNI_FED_TAX")</f>
        <v>N</v>
      </c>
      <c r="R1943" t="str">
        <f>_xll.BDP("95942TFW Muni","MUNI_MSRB_VOLUME")</f>
        <v>#N/A N/A</v>
      </c>
      <c r="S1943" t="str">
        <f>_xll.BDP("95942TFW Muni","BB_COMPOSITE")</f>
        <v>#N/A N/A</v>
      </c>
      <c r="T1943">
        <f>_xll.BDP("95942TFW Muni","LQA_LIQUIDITY_SCORE")</f>
        <v>84</v>
      </c>
    </row>
    <row r="1944" spans="1:20" x14ac:dyDescent="0.25">
      <c r="A1944" t="str">
        <f>_xll.BDP("95942TFX Muni","ID_CUSIP")</f>
        <v>95942TFX0</v>
      </c>
      <c r="B1944" t="s">
        <v>504</v>
      </c>
      <c r="C1944" t="str">
        <f>_xll.BDP("95942TFX Muni","INSURANCE_STATUS")</f>
        <v>N</v>
      </c>
      <c r="D1944" t="str">
        <f>_xll.BDP("95942TFX Muni","STATE_CODE")</f>
        <v>CA</v>
      </c>
      <c r="E1944" t="str">
        <f>_xll.BDP("95942TFX Muni","COUNTY_LOCATION_ISSUER")</f>
        <v>#N/A Field Not Applicable</v>
      </c>
      <c r="F1944">
        <f>_xll.BDP("95942TFX Muni","DUR_ADJ_MID")</f>
        <v>1.9416392836152019</v>
      </c>
      <c r="G1944">
        <f>_xll.BDP("95942TFX Muni","SPREAD_AT_ISSUANCE_TO_WORST")</f>
        <v>114.00965677867238</v>
      </c>
      <c r="H1944" t="str">
        <f>_xll.BDP("95942TFX Muni","ISSUE_DT")</f>
        <v>4/12/2017</v>
      </c>
      <c r="I1944" t="str">
        <f>_xll.BDS("95942TFX Muni","MUNI_PURPOSE_SCHED", "aggregate=y")</f>
        <v>WATER UTILITY IMPS. SEWER IMPS.</v>
      </c>
      <c r="J1944">
        <f>_xll.BDP("95942TFX Muni","CPN")</f>
        <v>5</v>
      </c>
      <c r="K1944" t="str">
        <f>_xll.BDP("95942TFX Muni","MATURITY")</f>
        <v>9/1/2024</v>
      </c>
      <c r="L1944">
        <v>200000</v>
      </c>
      <c r="M1944">
        <f>_xll.BDP("95942TFX Muni","YIELD_ON_ISSUE_DATE")</f>
        <v>3.0700000000000003</v>
      </c>
      <c r="N1944">
        <f>_xll.BDP("95942TFX Muni","YTW_SPREAD_TO_MATURITY_AT_ISSU")</f>
        <v>114.00965677867238</v>
      </c>
      <c r="O1944" t="str">
        <f>_xll.BDP("95942TFX Muni","BVAL_MID_YTM")</f>
        <v>#N/A Authorization</v>
      </c>
      <c r="P1944" t="str">
        <f>_xll.BDP("95942TFX Muni","MUNI_TAX_PROV")</f>
        <v>FED &amp; ST TAX-EXEMPT</v>
      </c>
      <c r="Q1944" t="str">
        <f>_xll.BDP("95942TFX Muni","MUNI_FED_TAX")</f>
        <v>N</v>
      </c>
      <c r="R1944" t="str">
        <f>_xll.BDP("95942TFX Muni","MUNI_MSRB_VOLUME")</f>
        <v>#N/A N/A</v>
      </c>
      <c r="S1944" t="str">
        <f>_xll.BDP("95942TFX Muni","BB_COMPOSITE")</f>
        <v>#N/A N/A</v>
      </c>
      <c r="T1944">
        <f>_xll.BDP("95942TFX Muni","LQA_LIQUIDITY_SCORE")</f>
        <v>77</v>
      </c>
    </row>
    <row r="1945" spans="1:20" x14ac:dyDescent="0.25">
      <c r="A1945" t="str">
        <f>_xll.BDP("863813CE Muni","ID_CUSIP")</f>
        <v>863813CE9</v>
      </c>
      <c r="B1945" t="s">
        <v>505</v>
      </c>
      <c r="C1945" t="str">
        <f>_xll.BDP("863813CE Muni","INSURANCE_STATUS")</f>
        <v>N</v>
      </c>
      <c r="D1945" t="str">
        <f>_xll.BDP("863813CE Muni","STATE_CODE")</f>
        <v>IA</v>
      </c>
      <c r="E1945" t="str">
        <f>_xll.BDP("863813CE Muni","COUNTY_LOCATION_ISSUER")</f>
        <v>Guthrie, IA</v>
      </c>
      <c r="F1945">
        <f>_xll.BDP("863813CE Muni","DUR_ADJ_MID")</f>
        <v>0.57053798767865649</v>
      </c>
      <c r="G1945">
        <f>_xll.BDP("863813CE Muni","SPREAD_AT_ISSUANCE_TO_WORST")</f>
        <v>67.321684931506837</v>
      </c>
      <c r="H1945" t="str">
        <f>_xll.BDP("863813CE Muni","ISSUE_DT")</f>
        <v>12/28/2017</v>
      </c>
      <c r="I1945" t="str">
        <f>_xll.BDS("863813CE Muni","MUNI_PURPOSE_SCHED", "aggregate=y")</f>
        <v>ELEC. LT. &amp; PWR. IMPTS. WATER UTILITY IMPS. CURRENT REFUNDING</v>
      </c>
      <c r="J1945">
        <f>_xll.BDP("863813CE Muni","CPN")</f>
        <v>2.75</v>
      </c>
      <c r="K1945" t="str">
        <f>_xll.BDP("863813CE Muni","MATURITY")</f>
        <v>3/1/2023</v>
      </c>
      <c r="L1945">
        <v>275000</v>
      </c>
      <c r="M1945">
        <f>_xll.BDP("863813CE Muni","YIELD_ON_ISSUE_DATE")</f>
        <v>2.3000000000000003</v>
      </c>
      <c r="N1945">
        <f>_xll.BDP("863813CE Muni","YTW_SPREAD_TO_MATURITY_AT_ISSU")</f>
        <v>67.321684931506837</v>
      </c>
      <c r="O1945" t="str">
        <f>_xll.BDP("863813CE Muni","BVAL_MID_YTM")</f>
        <v>#N/A Authorization</v>
      </c>
      <c r="P1945" t="str">
        <f>_xll.BDP("863813CE Muni","MUNI_TAX_PROV")</f>
        <v>FED BQ/ST TAXABLE</v>
      </c>
      <c r="Q1945" t="str">
        <f>_xll.BDP("863813CE Muni","MUNI_FED_TAX")</f>
        <v>N</v>
      </c>
      <c r="R1945" t="str">
        <f>_xll.BDP("863813CE Muni","MUNI_MSRB_VOLUME")</f>
        <v>#N/A N/A</v>
      </c>
      <c r="S1945" t="str">
        <f>_xll.BDP("863813CE Muni","BB_COMPOSITE")</f>
        <v>#N/A N/A</v>
      </c>
      <c r="T1945">
        <f>_xll.BDP("863813CE Muni","LQA_LIQUIDITY_SCORE")</f>
        <v>89</v>
      </c>
    </row>
    <row r="1946" spans="1:20" x14ac:dyDescent="0.25">
      <c r="A1946" t="str">
        <f>_xll.BDP("863813CF Muni","ID_CUSIP")</f>
        <v>863813CF6</v>
      </c>
      <c r="B1946" t="s">
        <v>505</v>
      </c>
      <c r="C1946" t="str">
        <f>_xll.BDP("863813CF Muni","INSURANCE_STATUS")</f>
        <v>N</v>
      </c>
      <c r="D1946" t="str">
        <f>_xll.BDP("863813CF Muni","STATE_CODE")</f>
        <v>IA</v>
      </c>
      <c r="E1946" t="str">
        <f>_xll.BDP("863813CF Muni","COUNTY_LOCATION_ISSUER")</f>
        <v>Guthrie, IA</v>
      </c>
      <c r="F1946">
        <f>_xll.BDP("863813CF Muni","DUR_ADJ_MID")</f>
        <v>1.5279115791304347</v>
      </c>
      <c r="G1946">
        <f>_xll.BDP("863813CF Muni","SPREAD_AT_ISSUANCE_TO_WORST")</f>
        <v>72.150358904109595</v>
      </c>
      <c r="H1946" t="str">
        <f>_xll.BDP("863813CF Muni","ISSUE_DT")</f>
        <v>12/28/2017</v>
      </c>
      <c r="I1946" t="str">
        <f>_xll.BDS("863813CF Muni","MUNI_PURPOSE_SCHED", "aggregate=y")</f>
        <v>ELEC. LT. &amp; PWR. IMPTS. WATER UTILITY IMPS. CURRENT REFUNDING</v>
      </c>
      <c r="J1946">
        <f>_xll.BDP("863813CF Muni","CPN")</f>
        <v>2.75</v>
      </c>
      <c r="K1946" t="str">
        <f>_xll.BDP("863813CF Muni","MATURITY")</f>
        <v>3/1/2024</v>
      </c>
      <c r="L1946">
        <v>285000</v>
      </c>
      <c r="M1946">
        <f>_xll.BDP("863813CF Muni","YIELD_ON_ISSUE_DATE")</f>
        <v>2.4000000000000004</v>
      </c>
      <c r="N1946">
        <f>_xll.BDP("863813CF Muni","YTW_SPREAD_TO_MATURITY_AT_ISSU")</f>
        <v>72.150358904109595</v>
      </c>
      <c r="O1946" t="str">
        <f>_xll.BDP("863813CF Muni","BVAL_MID_YTM")</f>
        <v>#N/A Authorization</v>
      </c>
      <c r="P1946" t="str">
        <f>_xll.BDP("863813CF Muni","MUNI_TAX_PROV")</f>
        <v>FED BQ/ST TAXABLE</v>
      </c>
      <c r="Q1946" t="str">
        <f>_xll.BDP("863813CF Muni","MUNI_FED_TAX")</f>
        <v>N</v>
      </c>
      <c r="R1946" t="str">
        <f>_xll.BDP("863813CF Muni","MUNI_MSRB_VOLUME")</f>
        <v>#N/A N/A</v>
      </c>
      <c r="S1946" t="str">
        <f>_xll.BDP("863813CF Muni","BB_COMPOSITE")</f>
        <v>#N/A N/A</v>
      </c>
      <c r="T1946">
        <f>_xll.BDP("863813CF Muni","LQA_LIQUIDITY_SCORE")</f>
        <v>73</v>
      </c>
    </row>
    <row r="1947" spans="1:20" x14ac:dyDescent="0.25">
      <c r="A1947" t="str">
        <f>_xll.BDP("863813CG Muni","ID_CUSIP")</f>
        <v>863813CG4</v>
      </c>
      <c r="B1947" t="s">
        <v>505</v>
      </c>
      <c r="C1947" t="str">
        <f>_xll.BDP("863813CG Muni","INSURANCE_STATUS")</f>
        <v>N</v>
      </c>
      <c r="D1947" t="str">
        <f>_xll.BDP("863813CG Muni","STATE_CODE")</f>
        <v>IA</v>
      </c>
      <c r="E1947" t="str">
        <f>_xll.BDP("863813CG Muni","COUNTY_LOCATION_ISSUER")</f>
        <v>Guthrie, IA</v>
      </c>
      <c r="F1947">
        <f>_xll.BDP("863813CG Muni","DUR_ADJ_MID")</f>
        <v>2.4513339926688174</v>
      </c>
      <c r="G1947">
        <f>_xll.BDP("863813CG Muni","SPREAD_AT_ISSUANCE_TO_WORST")</f>
        <v>75.458564383561651</v>
      </c>
      <c r="H1947" t="str">
        <f>_xll.BDP("863813CG Muni","ISSUE_DT")</f>
        <v>12/28/2017</v>
      </c>
      <c r="I1947" t="str">
        <f>_xll.BDS("863813CG Muni","MUNI_PURPOSE_SCHED", "aggregate=y")</f>
        <v>ELEC. LT. &amp; PWR. IMPTS. WATER UTILITY IMPS. CURRENT REFUNDING</v>
      </c>
      <c r="J1947">
        <f>_xll.BDP("863813CG Muni","CPN")</f>
        <v>3</v>
      </c>
      <c r="K1947" t="str">
        <f>_xll.BDP("863813CG Muni","MATURITY")</f>
        <v>3/1/2025</v>
      </c>
      <c r="L1947">
        <v>290000</v>
      </c>
      <c r="M1947">
        <f>_xll.BDP("863813CG Muni","YIELD_ON_ISSUE_DATE")</f>
        <v>2.5</v>
      </c>
      <c r="N1947">
        <f>_xll.BDP("863813CG Muni","YTW_SPREAD_TO_MATURITY_AT_ISSU")</f>
        <v>75.458564383561651</v>
      </c>
      <c r="O1947" t="str">
        <f>_xll.BDP("863813CG Muni","BVAL_MID_YTM")</f>
        <v>#N/A Authorization</v>
      </c>
      <c r="P1947" t="str">
        <f>_xll.BDP("863813CG Muni","MUNI_TAX_PROV")</f>
        <v>FED BQ/ST TAXABLE</v>
      </c>
      <c r="Q1947" t="str">
        <f>_xll.BDP("863813CG Muni","MUNI_FED_TAX")</f>
        <v>N</v>
      </c>
      <c r="R1947" t="str">
        <f>_xll.BDP("863813CG Muni","MUNI_MSRB_VOLUME")</f>
        <v>#N/A N/A</v>
      </c>
      <c r="S1947" t="str">
        <f>_xll.BDP("863813CG Muni","BB_COMPOSITE")</f>
        <v>#N/A N/A</v>
      </c>
      <c r="T1947">
        <f>_xll.BDP("863813CG Muni","LQA_LIQUIDITY_SCORE")</f>
        <v>61</v>
      </c>
    </row>
    <row r="1948" spans="1:20" x14ac:dyDescent="0.25">
      <c r="A1948" t="str">
        <f>_xll.BDP("864881QX Muni","ID_CUSIP")</f>
        <v>864881QX8</v>
      </c>
      <c r="B1948" t="s">
        <v>506</v>
      </c>
      <c r="C1948" t="str">
        <f>_xll.BDP("864881QX Muni","INSURANCE_STATUS")</f>
        <v>N</v>
      </c>
      <c r="D1948" t="str">
        <f>_xll.BDP("864881QX Muni","STATE_CODE")</f>
        <v>TX</v>
      </c>
      <c r="E1948" t="str">
        <f>_xll.BDP("864881QX Muni","COUNTY_LOCATION_ISSUER")</f>
        <v>Fort Bend, TX</v>
      </c>
      <c r="F1948">
        <f>_xll.BDP("864881QX Muni","DUR_ADJ_MID")</f>
        <v>3.6099905901235047E-2</v>
      </c>
      <c r="G1948">
        <f>_xll.BDP("864881QX Muni","SPREAD_AT_ISSUANCE_TO_WORST")</f>
        <v>19.182172404232766</v>
      </c>
      <c r="H1948" t="str">
        <f>_xll.BDP("864881QX Muni","ISSUE_DT")</f>
        <v>4/15/2017</v>
      </c>
      <c r="I1948" t="str">
        <f>_xll.BDS("864881QX Muni","MUNI_PURPOSE_SCHED", "aggregate=y")</f>
        <v>WATER UTILITY IMPS. SEWER IMPS.</v>
      </c>
      <c r="J1948">
        <f>_xll.BDP("864881QX Muni","CPN")</f>
        <v>5</v>
      </c>
      <c r="K1948" t="str">
        <f>_xll.BDP("864881QX Muni","MATURITY")</f>
        <v>8/15/2022</v>
      </c>
      <c r="L1948">
        <v>775000</v>
      </c>
      <c r="M1948">
        <f>_xll.BDP("864881QX Muni","YIELD_ON_ISSUE_DATE")</f>
        <v>1.9100000000000001</v>
      </c>
      <c r="N1948">
        <f>_xll.BDP("864881QX Muni","YTW_SPREAD_TO_MATURITY_AT_ISSU")</f>
        <v>19.182172404232766</v>
      </c>
      <c r="O1948" t="str">
        <f>_xll.BDP("864881QX Muni","BVAL_MID_YTM")</f>
        <v>#N/A Authorization</v>
      </c>
      <c r="P1948" t="str">
        <f>_xll.BDP("864881QX Muni","MUNI_TAX_PROV")</f>
        <v>FED TAX-EXEMPT</v>
      </c>
      <c r="Q1948" t="str">
        <f>_xll.BDP("864881QX Muni","MUNI_FED_TAX")</f>
        <v>N</v>
      </c>
      <c r="R1948" t="str">
        <f>_xll.BDP("864881QX Muni","MUNI_MSRB_VOLUME")</f>
        <v>#N/A N/A</v>
      </c>
      <c r="S1948" t="str">
        <f>_xll.BDP("864881QX Muni","BB_COMPOSITE")</f>
        <v>AA</v>
      </c>
      <c r="T1948">
        <f>_xll.BDP("864881QX Muni","LQA_LIQUIDITY_SCORE")</f>
        <v>96</v>
      </c>
    </row>
    <row r="1949" spans="1:20" x14ac:dyDescent="0.25">
      <c r="A1949" t="str">
        <f>_xll.BDP("864881QY Muni","ID_CUSIP")</f>
        <v>864881QY6</v>
      </c>
      <c r="B1949" t="s">
        <v>506</v>
      </c>
      <c r="C1949" t="str">
        <f>_xll.BDP("864881QY Muni","INSURANCE_STATUS")</f>
        <v>N</v>
      </c>
      <c r="D1949" t="str">
        <f>_xll.BDP("864881QY Muni","STATE_CODE")</f>
        <v>TX</v>
      </c>
      <c r="E1949" t="str">
        <f>_xll.BDP("864881QY Muni","COUNTY_LOCATION_ISSUER")</f>
        <v>Fort Bend, TX</v>
      </c>
      <c r="F1949">
        <f>_xll.BDP("864881QY Muni","DUR_ADJ_MID")</f>
        <v>0.99364517039217681</v>
      </c>
      <c r="G1949">
        <f>_xll.BDP("864881QY Muni","SPREAD_AT_ISSUANCE_TO_WORST")</f>
        <v>22.596404596591757</v>
      </c>
      <c r="H1949" t="str">
        <f>_xll.BDP("864881QY Muni","ISSUE_DT")</f>
        <v>4/15/2017</v>
      </c>
      <c r="I1949" t="str">
        <f>_xll.BDS("864881QY Muni","MUNI_PURPOSE_SCHED", "aggregate=y")</f>
        <v>WATER UTILITY IMPS. SEWER IMPS.</v>
      </c>
      <c r="J1949">
        <f>_xll.BDP("864881QY Muni","CPN")</f>
        <v>5</v>
      </c>
      <c r="K1949" t="str">
        <f>_xll.BDP("864881QY Muni","MATURITY")</f>
        <v>8/15/2023</v>
      </c>
      <c r="L1949">
        <v>815000</v>
      </c>
      <c r="M1949">
        <f>_xll.BDP("864881QY Muni","YIELD_ON_ISSUE_DATE")</f>
        <v>2.11</v>
      </c>
      <c r="N1949">
        <f>_xll.BDP("864881QY Muni","YTW_SPREAD_TO_MATURITY_AT_ISSU")</f>
        <v>22.596404596591757</v>
      </c>
      <c r="O1949" t="str">
        <f>_xll.BDP("864881QY Muni","BVAL_MID_YTM")</f>
        <v>#N/A Authorization</v>
      </c>
      <c r="P1949" t="str">
        <f>_xll.BDP("864881QY Muni","MUNI_TAX_PROV")</f>
        <v>FED TAX-EXEMPT</v>
      </c>
      <c r="Q1949" t="str">
        <f>_xll.BDP("864881QY Muni","MUNI_FED_TAX")</f>
        <v>N</v>
      </c>
      <c r="R1949">
        <f>_xll.BDP("864881QY Muni","MUNI_MSRB_VOLUME")</f>
        <v>165000</v>
      </c>
      <c r="S1949" t="str">
        <f>_xll.BDP("864881QY Muni","BB_COMPOSITE")</f>
        <v>AA</v>
      </c>
      <c r="T1949">
        <f>_xll.BDP("864881QY Muni","LQA_LIQUIDITY_SCORE")</f>
        <v>90</v>
      </c>
    </row>
    <row r="1950" spans="1:20" x14ac:dyDescent="0.25">
      <c r="A1950" t="str">
        <f>_xll.BDP("864881QZ Muni","ID_CUSIP")</f>
        <v>864881QZ3</v>
      </c>
      <c r="B1950" t="s">
        <v>506</v>
      </c>
      <c r="C1950" t="str">
        <f>_xll.BDP("864881QZ Muni","INSURANCE_STATUS")</f>
        <v>N</v>
      </c>
      <c r="D1950" t="str">
        <f>_xll.BDP("864881QZ Muni","STATE_CODE")</f>
        <v>TX</v>
      </c>
      <c r="E1950" t="str">
        <f>_xll.BDP("864881QZ Muni","COUNTY_LOCATION_ISSUER")</f>
        <v>Fort Bend, TX</v>
      </c>
      <c r="F1950">
        <f>_xll.BDP("864881QZ Muni","DUR_ADJ_MID")</f>
        <v>1.906487258304892</v>
      </c>
      <c r="G1950">
        <f>_xll.BDP("864881QZ Muni","SPREAD_AT_ISSUANCE_TO_WORST")</f>
        <v>23.452742581472297</v>
      </c>
      <c r="H1950" t="str">
        <f>_xll.BDP("864881QZ Muni","ISSUE_DT")</f>
        <v>4/15/2017</v>
      </c>
      <c r="I1950" t="str">
        <f>_xll.BDS("864881QZ Muni","MUNI_PURPOSE_SCHED", "aggregate=y")</f>
        <v>WATER UTILITY IMPS. SEWER IMPS.</v>
      </c>
      <c r="J1950">
        <f>_xll.BDP("864881QZ Muni","CPN")</f>
        <v>5</v>
      </c>
      <c r="K1950" t="str">
        <f>_xll.BDP("864881QZ Muni","MATURITY")</f>
        <v>8/15/2024</v>
      </c>
      <c r="L1950">
        <v>855000</v>
      </c>
      <c r="M1950">
        <f>_xll.BDP("864881QZ Muni","YIELD_ON_ISSUE_DATE")</f>
        <v>2.2800000000000002</v>
      </c>
      <c r="N1950">
        <f>_xll.BDP("864881QZ Muni","YTW_SPREAD_TO_MATURITY_AT_ISSU")</f>
        <v>23.452742581472297</v>
      </c>
      <c r="O1950" t="str">
        <f>_xll.BDP("864881QZ Muni","BVAL_MID_YTM")</f>
        <v>#N/A Authorization</v>
      </c>
      <c r="P1950" t="str">
        <f>_xll.BDP("864881QZ Muni","MUNI_TAX_PROV")</f>
        <v>FED TAX-EXEMPT</v>
      </c>
      <c r="Q1950" t="str">
        <f>_xll.BDP("864881QZ Muni","MUNI_FED_TAX")</f>
        <v>N</v>
      </c>
      <c r="R1950">
        <f>_xll.BDP("864881QZ Muni","MUNI_MSRB_VOLUME")</f>
        <v>20000</v>
      </c>
      <c r="S1950" t="str">
        <f>_xll.BDP("864881QZ Muni","BB_COMPOSITE")</f>
        <v>AA</v>
      </c>
      <c r="T1950">
        <f>_xll.BDP("864881QZ Muni","LQA_LIQUIDITY_SCORE")</f>
        <v>84</v>
      </c>
    </row>
    <row r="1951" spans="1:20" x14ac:dyDescent="0.25">
      <c r="A1951" t="str">
        <f>_xll.BDP("864881RA Muni","ID_CUSIP")</f>
        <v>864881RA7</v>
      </c>
      <c r="B1951" t="s">
        <v>506</v>
      </c>
      <c r="C1951" t="str">
        <f>_xll.BDP("864881RA Muni","INSURANCE_STATUS")</f>
        <v>N</v>
      </c>
      <c r="D1951" t="str">
        <f>_xll.BDP("864881RA Muni","STATE_CODE")</f>
        <v>TX</v>
      </c>
      <c r="E1951" t="str">
        <f>_xll.BDP("864881RA Muni","COUNTY_LOCATION_ISSUER")</f>
        <v>Fort Bend, TX</v>
      </c>
      <c r="F1951">
        <f>_xll.BDP("864881RA Muni","DUR_ADJ_MID")</f>
        <v>2.7803962843390186</v>
      </c>
      <c r="G1951">
        <f>_xll.BDP("864881RA Muni","SPREAD_AT_ISSUANCE_TO_WORST")</f>
        <v>24.40525037592014</v>
      </c>
      <c r="H1951" t="str">
        <f>_xll.BDP("864881RA Muni","ISSUE_DT")</f>
        <v>4/15/2017</v>
      </c>
      <c r="I1951" t="str">
        <f>_xll.BDS("864881RA Muni","MUNI_PURPOSE_SCHED", "aggregate=y")</f>
        <v>WATER UTILITY IMPS. SEWER IMPS.</v>
      </c>
      <c r="J1951">
        <f>_xll.BDP("864881RA Muni","CPN")</f>
        <v>5</v>
      </c>
      <c r="K1951" t="str">
        <f>_xll.BDP("864881RA Muni","MATURITY")</f>
        <v>8/15/2025</v>
      </c>
      <c r="L1951">
        <v>900000</v>
      </c>
      <c r="M1951">
        <f>_xll.BDP("864881RA Muni","YIELD_ON_ISSUE_DATE")</f>
        <v>2.44</v>
      </c>
      <c r="N1951">
        <f>_xll.BDP("864881RA Muni","YTW_SPREAD_TO_MATURITY_AT_ISSU")</f>
        <v>24.40525037592014</v>
      </c>
      <c r="O1951" t="str">
        <f>_xll.BDP("864881RA Muni","BVAL_MID_YTM")</f>
        <v>#N/A Authorization</v>
      </c>
      <c r="P1951" t="str">
        <f>_xll.BDP("864881RA Muni","MUNI_TAX_PROV")</f>
        <v>FED TAX-EXEMPT</v>
      </c>
      <c r="Q1951" t="str">
        <f>_xll.BDP("864881RA Muni","MUNI_FED_TAX")</f>
        <v>N</v>
      </c>
      <c r="R1951">
        <f>_xll.BDP("864881RA Muni","MUNI_MSRB_VOLUME")</f>
        <v>75000</v>
      </c>
      <c r="S1951" t="str">
        <f>_xll.BDP("864881RA Muni","BB_COMPOSITE")</f>
        <v>AA</v>
      </c>
      <c r="T1951">
        <f>_xll.BDP("864881RA Muni","LQA_LIQUIDITY_SCORE")</f>
        <v>74</v>
      </c>
    </row>
    <row r="1952" spans="1:20" x14ac:dyDescent="0.25">
      <c r="A1952" t="str">
        <f>_xll.BDP("864881RB Muni","ID_CUSIP")</f>
        <v>864881RB5</v>
      </c>
      <c r="B1952" t="s">
        <v>506</v>
      </c>
      <c r="C1952" t="str">
        <f>_xll.BDP("864881RB Muni","INSURANCE_STATUS")</f>
        <v>N</v>
      </c>
      <c r="D1952" t="str">
        <f>_xll.BDP("864881RB Muni","STATE_CODE")</f>
        <v>TX</v>
      </c>
      <c r="E1952" t="str">
        <f>_xll.BDP("864881RB Muni","COUNTY_LOCATION_ISSUER")</f>
        <v>Fort Bend, TX</v>
      </c>
      <c r="F1952">
        <f>_xll.BDP("864881RB Muni","DUR_ADJ_MID")</f>
        <v>3.6179720975855725</v>
      </c>
      <c r="G1952">
        <f>_xll.BDP("864881RB Muni","SPREAD_AT_ISSUANCE_TO_WORST")</f>
        <v>24.730552912503924</v>
      </c>
      <c r="H1952" t="str">
        <f>_xll.BDP("864881RB Muni","ISSUE_DT")</f>
        <v>4/15/2017</v>
      </c>
      <c r="I1952" t="str">
        <f>_xll.BDS("864881RB Muni","MUNI_PURPOSE_SCHED", "aggregate=y")</f>
        <v>WATER UTILITY IMPS. SEWER IMPS.</v>
      </c>
      <c r="J1952">
        <f>_xll.BDP("864881RB Muni","CPN")</f>
        <v>5</v>
      </c>
      <c r="K1952" t="str">
        <f>_xll.BDP("864881RB Muni","MATURITY")</f>
        <v>8/15/2026</v>
      </c>
      <c r="L1952">
        <v>945000</v>
      </c>
      <c r="M1952">
        <f>_xll.BDP("864881RB Muni","YIELD_ON_ISSUE_DATE")</f>
        <v>2.57</v>
      </c>
      <c r="N1952">
        <f>_xll.BDP("864881RB Muni","YTW_SPREAD_TO_MATURITY_AT_ISSU")</f>
        <v>24.730552912503924</v>
      </c>
      <c r="O1952" t="str">
        <f>_xll.BDP("864881RB Muni","BVAL_MID_YTM")</f>
        <v>#N/A Authorization</v>
      </c>
      <c r="P1952" t="str">
        <f>_xll.BDP("864881RB Muni","MUNI_TAX_PROV")</f>
        <v>FED TAX-EXEMPT</v>
      </c>
      <c r="Q1952" t="str">
        <f>_xll.BDP("864881RB Muni","MUNI_FED_TAX")</f>
        <v>N</v>
      </c>
      <c r="R1952">
        <f>_xll.BDP("864881RB Muni","MUNI_MSRB_VOLUME")</f>
        <v>100000</v>
      </c>
      <c r="S1952" t="str">
        <f>_xll.BDP("864881RB Muni","BB_COMPOSITE")</f>
        <v>AA</v>
      </c>
      <c r="T1952">
        <f>_xll.BDP("864881RB Muni","LQA_LIQUIDITY_SCORE")</f>
        <v>66</v>
      </c>
    </row>
    <row r="1953" spans="1:20" x14ac:dyDescent="0.25">
      <c r="A1953" t="str">
        <f>_xll.BDP("865525TJ Muni","ID_CUSIP")</f>
        <v>865525TJ8</v>
      </c>
      <c r="B1953" t="s">
        <v>507</v>
      </c>
      <c r="C1953" t="str">
        <f>_xll.BDP("865525TJ Muni","INSURANCE_STATUS")</f>
        <v>N</v>
      </c>
      <c r="D1953" t="str">
        <f>_xll.BDP("865525TJ Muni","STATE_CODE")</f>
        <v>TX</v>
      </c>
      <c r="E1953" t="str">
        <f>_xll.BDP("865525TJ Muni","COUNTY_LOCATION_ISSUER")</f>
        <v>Hopkins, TX</v>
      </c>
      <c r="F1953">
        <f>_xll.BDP("865525TJ Muni","DUR_ADJ_MID")</f>
        <v>8.0476601462501823E-2</v>
      </c>
      <c r="G1953">
        <f>_xll.BDP("865525TJ Muni","SPREAD_AT_ISSUANCE_TO_WORST")</f>
        <v>17.789990578656443</v>
      </c>
      <c r="H1953" t="str">
        <f>_xll.BDP("865525TJ Muni","ISSUE_DT")</f>
        <v>8/1/2017</v>
      </c>
      <c r="I1953" t="str">
        <f>_xll.BDS("865525TJ Muni","MUNI_PURPOSE_SCHED", "aggregate=y")</f>
        <v>WATER UTILITY IMPS. SEWER IMPS. PUBLIC IMPS.</v>
      </c>
      <c r="J1953">
        <f>_xll.BDP("865525TJ Muni","CPN")</f>
        <v>4</v>
      </c>
      <c r="K1953" t="str">
        <f>_xll.BDP("865525TJ Muni","MATURITY")</f>
        <v>9/1/2022</v>
      </c>
      <c r="L1953">
        <v>390000</v>
      </c>
      <c r="M1953">
        <f>_xll.BDP("865525TJ Muni","YIELD_ON_ISSUE_DATE")</f>
        <v>1.4000000000000001</v>
      </c>
      <c r="N1953">
        <f>_xll.BDP("865525TJ Muni","YTW_SPREAD_TO_MATURITY_AT_ISSU")</f>
        <v>17.789990578656443</v>
      </c>
      <c r="O1953" t="str">
        <f>_xll.BDP("865525TJ Muni","BVAL_MID_YTM")</f>
        <v>#N/A Authorization</v>
      </c>
      <c r="P1953" t="str">
        <f>_xll.BDP("865525TJ Muni","MUNI_TAX_PROV")</f>
        <v>FED BQ</v>
      </c>
      <c r="Q1953" t="str">
        <f>_xll.BDP("865525TJ Muni","MUNI_FED_TAX")</f>
        <v>N</v>
      </c>
      <c r="R1953" t="str">
        <f>_xll.BDP("865525TJ Muni","MUNI_MSRB_VOLUME")</f>
        <v>#N/A N/A</v>
      </c>
      <c r="S1953" t="str">
        <f>_xll.BDP("865525TJ Muni","BB_COMPOSITE")</f>
        <v>#N/A N/A</v>
      </c>
      <c r="T1953">
        <f>_xll.BDP("865525TJ Muni","LQA_LIQUIDITY_SCORE")</f>
        <v>97</v>
      </c>
    </row>
    <row r="1954" spans="1:20" x14ac:dyDescent="0.25">
      <c r="A1954" t="str">
        <f>_xll.BDP("865525TK Muni","ID_CUSIP")</f>
        <v>865525TK5</v>
      </c>
      <c r="B1954" t="s">
        <v>507</v>
      </c>
      <c r="C1954" t="str">
        <f>_xll.BDP("865525TK Muni","INSURANCE_STATUS")</f>
        <v>N</v>
      </c>
      <c r="D1954" t="str">
        <f>_xll.BDP("865525TK Muni","STATE_CODE")</f>
        <v>TX</v>
      </c>
      <c r="E1954" t="str">
        <f>_xll.BDP("865525TK Muni","COUNTY_LOCATION_ISSUER")</f>
        <v>Hopkins, TX</v>
      </c>
      <c r="F1954">
        <f>_xll.BDP("865525TK Muni","DUR_ADJ_MID")</f>
        <v>1.0423847412100598</v>
      </c>
      <c r="G1954">
        <f>_xll.BDP("865525TK Muni","SPREAD_AT_ISSUANCE_TO_WORST")</f>
        <v>17.840323228988343</v>
      </c>
      <c r="H1954" t="str">
        <f>_xll.BDP("865525TK Muni","ISSUE_DT")</f>
        <v>8/1/2017</v>
      </c>
      <c r="I1954" t="str">
        <f>_xll.BDS("865525TK Muni","MUNI_PURPOSE_SCHED", "aggregate=y")</f>
        <v>WATER UTILITY IMPS. SEWER IMPS. PUBLIC IMPS.</v>
      </c>
      <c r="J1954">
        <f>_xll.BDP("865525TK Muni","CPN")</f>
        <v>4</v>
      </c>
      <c r="K1954" t="str">
        <f>_xll.BDP("865525TK Muni","MATURITY")</f>
        <v>9/1/2023</v>
      </c>
      <c r="L1954">
        <v>405000</v>
      </c>
      <c r="M1954">
        <f>_xll.BDP("865525TK Muni","YIELD_ON_ISSUE_DATE")</f>
        <v>1.55</v>
      </c>
      <c r="N1954">
        <f>_xll.BDP("865525TK Muni","YTW_SPREAD_TO_MATURITY_AT_ISSU")</f>
        <v>17.840323228988343</v>
      </c>
      <c r="O1954" t="str">
        <f>_xll.BDP("865525TK Muni","BVAL_MID_YTM")</f>
        <v>#N/A Authorization</v>
      </c>
      <c r="P1954" t="str">
        <f>_xll.BDP("865525TK Muni","MUNI_TAX_PROV")</f>
        <v>FED BQ</v>
      </c>
      <c r="Q1954" t="str">
        <f>_xll.BDP("865525TK Muni","MUNI_FED_TAX")</f>
        <v>N</v>
      </c>
      <c r="R1954" t="str">
        <f>_xll.BDP("865525TK Muni","MUNI_MSRB_VOLUME")</f>
        <v>#N/A N/A</v>
      </c>
      <c r="S1954" t="str">
        <f>_xll.BDP("865525TK Muni","BB_COMPOSITE")</f>
        <v>#N/A N/A</v>
      </c>
      <c r="T1954">
        <f>_xll.BDP("865525TK Muni","LQA_LIQUIDITY_SCORE")</f>
        <v>84</v>
      </c>
    </row>
    <row r="1955" spans="1:20" x14ac:dyDescent="0.25">
      <c r="A1955" t="str">
        <f>_xll.BDP("865525TL Muni","ID_CUSIP")</f>
        <v>865525TL3</v>
      </c>
      <c r="B1955" t="s">
        <v>507</v>
      </c>
      <c r="C1955" t="str">
        <f>_xll.BDP("865525TL Muni","INSURANCE_STATUS")</f>
        <v>N</v>
      </c>
      <c r="D1955" t="str">
        <f>_xll.BDP("865525TL Muni","STATE_CODE")</f>
        <v>TX</v>
      </c>
      <c r="E1955" t="str">
        <f>_xll.BDP("865525TL Muni","COUNTY_LOCATION_ISSUER")</f>
        <v>Hopkins, TX</v>
      </c>
      <c r="F1955">
        <f>_xll.BDP("865525TL Muni","DUR_ADJ_MID")</f>
        <v>1.9670309336115877</v>
      </c>
      <c r="G1955">
        <f>_xll.BDP("865525TL Muni","SPREAD_AT_ISSUANCE_TO_WORST")</f>
        <v>17.707419007748015</v>
      </c>
      <c r="H1955" t="str">
        <f>_xll.BDP("865525TL Muni","ISSUE_DT")</f>
        <v>8/1/2017</v>
      </c>
      <c r="I1955" t="str">
        <f>_xll.BDS("865525TL Muni","MUNI_PURPOSE_SCHED", "aggregate=y")</f>
        <v>WATER UTILITY IMPS. SEWER IMPS. PUBLIC IMPS.</v>
      </c>
      <c r="J1955">
        <f>_xll.BDP("865525TL Muni","CPN")</f>
        <v>4</v>
      </c>
      <c r="K1955" t="str">
        <f>_xll.BDP("865525TL Muni","MATURITY")</f>
        <v>9/1/2024</v>
      </c>
      <c r="L1955">
        <v>425000</v>
      </c>
      <c r="M1955">
        <f>_xll.BDP("865525TL Muni","YIELD_ON_ISSUE_DATE")</f>
        <v>1.7000000000000002</v>
      </c>
      <c r="N1955">
        <f>_xll.BDP("865525TL Muni","YTW_SPREAD_TO_MATURITY_AT_ISSU")</f>
        <v>17.707419007748015</v>
      </c>
      <c r="O1955" t="str">
        <f>_xll.BDP("865525TL Muni","BVAL_MID_YTM")</f>
        <v>#N/A Authorization</v>
      </c>
      <c r="P1955" t="str">
        <f>_xll.BDP("865525TL Muni","MUNI_TAX_PROV")</f>
        <v>FED BQ</v>
      </c>
      <c r="Q1955" t="str">
        <f>_xll.BDP("865525TL Muni","MUNI_FED_TAX")</f>
        <v>N</v>
      </c>
      <c r="R1955" t="str">
        <f>_xll.BDP("865525TL Muni","MUNI_MSRB_VOLUME")</f>
        <v>#N/A N/A</v>
      </c>
      <c r="S1955" t="str">
        <f>_xll.BDP("865525TL Muni","BB_COMPOSITE")</f>
        <v>#N/A N/A</v>
      </c>
      <c r="T1955">
        <f>_xll.BDP("865525TL Muni","LQA_LIQUIDITY_SCORE")</f>
        <v>77</v>
      </c>
    </row>
    <row r="1956" spans="1:20" x14ac:dyDescent="0.25">
      <c r="A1956" t="str">
        <f>_xll.BDP("865525TM Muni","ID_CUSIP")</f>
        <v>865525TM1</v>
      </c>
      <c r="B1956" t="s">
        <v>507</v>
      </c>
      <c r="C1956" t="str">
        <f>_xll.BDP("865525TM Muni","INSURANCE_STATUS")</f>
        <v>N</v>
      </c>
      <c r="D1956" t="str">
        <f>_xll.BDP("865525TM Muni","STATE_CODE")</f>
        <v>TX</v>
      </c>
      <c r="E1956" t="str">
        <f>_xll.BDP("865525TM Muni","COUNTY_LOCATION_ISSUER")</f>
        <v>Hopkins, TX</v>
      </c>
      <c r="F1956">
        <f>_xll.BDP("865525TM Muni","DUR_ADJ_MID")</f>
        <v>2.8582673550759301</v>
      </c>
      <c r="G1956">
        <f>_xll.BDP("865525TM Muni","SPREAD_AT_ISSUANCE_TO_WORST")</f>
        <v>17.700594148878768</v>
      </c>
      <c r="H1956" t="str">
        <f>_xll.BDP("865525TM Muni","ISSUE_DT")</f>
        <v>8/1/2017</v>
      </c>
      <c r="I1956" t="str">
        <f>_xll.BDS("865525TM Muni","MUNI_PURPOSE_SCHED", "aggregate=y")</f>
        <v>WATER UTILITY IMPS. SEWER IMPS. PUBLIC IMPS.</v>
      </c>
      <c r="J1956">
        <f>_xll.BDP("865525TM Muni","CPN")</f>
        <v>4</v>
      </c>
      <c r="K1956" t="str">
        <f>_xll.BDP("865525TM Muni","MATURITY")</f>
        <v>9/1/2025</v>
      </c>
      <c r="L1956">
        <v>160000</v>
      </c>
      <c r="M1956">
        <f>_xll.BDP("865525TM Muni","YIELD_ON_ISSUE_DATE")</f>
        <v>1.85</v>
      </c>
      <c r="N1956">
        <f>_xll.BDP("865525TM Muni","YTW_SPREAD_TO_MATURITY_AT_ISSU")</f>
        <v>17.700594148878768</v>
      </c>
      <c r="O1956" t="str">
        <f>_xll.BDP("865525TM Muni","BVAL_MID_YTM")</f>
        <v>#N/A Authorization</v>
      </c>
      <c r="P1956" t="str">
        <f>_xll.BDP("865525TM Muni","MUNI_TAX_PROV")</f>
        <v>FED BQ</v>
      </c>
      <c r="Q1956" t="str">
        <f>_xll.BDP("865525TM Muni","MUNI_FED_TAX")</f>
        <v>N</v>
      </c>
      <c r="R1956" t="str">
        <f>_xll.BDP("865525TM Muni","MUNI_MSRB_VOLUME")</f>
        <v>#N/A N/A</v>
      </c>
      <c r="S1956" t="str">
        <f>_xll.BDP("865525TM Muni","BB_COMPOSITE")</f>
        <v>#N/A N/A</v>
      </c>
      <c r="T1956">
        <f>_xll.BDP("865525TM Muni","LQA_LIQUIDITY_SCORE")</f>
        <v>68</v>
      </c>
    </row>
    <row r="1957" spans="1:20" x14ac:dyDescent="0.25">
      <c r="A1957" t="str">
        <f>_xll.BDP("865525TN Muni","ID_CUSIP")</f>
        <v>865525TN9</v>
      </c>
      <c r="B1957" t="s">
        <v>507</v>
      </c>
      <c r="C1957" t="str">
        <f>_xll.BDP("865525TN Muni","INSURANCE_STATUS")</f>
        <v>N</v>
      </c>
      <c r="D1957" t="str">
        <f>_xll.BDP("865525TN Muni","STATE_CODE")</f>
        <v>TX</v>
      </c>
      <c r="E1957" t="str">
        <f>_xll.BDP("865525TN Muni","COUNTY_LOCATION_ISSUER")</f>
        <v>Hopkins, TX</v>
      </c>
      <c r="F1957">
        <f>_xll.BDP("865525TN Muni","DUR_ADJ_MID")</f>
        <v>3.7175394143864247</v>
      </c>
      <c r="G1957">
        <f>_xll.BDP("865525TN Muni","SPREAD_AT_ISSUANCE_TO_WORST")</f>
        <v>19.333599558952173</v>
      </c>
      <c r="H1957" t="str">
        <f>_xll.BDP("865525TN Muni","ISSUE_DT")</f>
        <v>8/1/2017</v>
      </c>
      <c r="I1957" t="str">
        <f>_xll.BDS("865525TN Muni","MUNI_PURPOSE_SCHED", "aggregate=y")</f>
        <v>WATER UTILITY IMPS. SEWER IMPS. PUBLIC IMPS.</v>
      </c>
      <c r="J1957">
        <f>_xll.BDP("865525TN Muni","CPN")</f>
        <v>4</v>
      </c>
      <c r="K1957" t="str">
        <f>_xll.BDP("865525TN Muni","MATURITY")</f>
        <v>9/1/2026</v>
      </c>
      <c r="L1957">
        <v>165000</v>
      </c>
      <c r="M1957">
        <f>_xll.BDP("865525TN Muni","YIELD_ON_ISSUE_DATE")</f>
        <v>2</v>
      </c>
      <c r="N1957">
        <f>_xll.BDP("865525TN Muni","YTW_SPREAD_TO_MATURITY_AT_ISSU")</f>
        <v>19.333599558952173</v>
      </c>
      <c r="O1957" t="str">
        <f>_xll.BDP("865525TN Muni","BVAL_MID_YTM")</f>
        <v>#N/A Authorization</v>
      </c>
      <c r="P1957" t="str">
        <f>_xll.BDP("865525TN Muni","MUNI_TAX_PROV")</f>
        <v>FED BQ</v>
      </c>
      <c r="Q1957" t="str">
        <f>_xll.BDP("865525TN Muni","MUNI_FED_TAX")</f>
        <v>N</v>
      </c>
      <c r="R1957">
        <f>_xll.BDP("865525TN Muni","MUNI_MSRB_VOLUME")</f>
        <v>50000</v>
      </c>
      <c r="S1957" t="str">
        <f>_xll.BDP("865525TN Muni","BB_COMPOSITE")</f>
        <v>#N/A N/A</v>
      </c>
      <c r="T1957">
        <f>_xll.BDP("865525TN Muni","LQA_LIQUIDITY_SCORE")</f>
        <v>59</v>
      </c>
    </row>
    <row r="1958" spans="1:20" x14ac:dyDescent="0.25">
      <c r="A1958" t="str">
        <f>_xll.BDP("865525TP Muni","ID_CUSIP")</f>
        <v>865525TP4</v>
      </c>
      <c r="B1958" t="s">
        <v>507</v>
      </c>
      <c r="C1958" t="str">
        <f>_xll.BDP("865525TP Muni","INSURANCE_STATUS")</f>
        <v>N</v>
      </c>
      <c r="D1958" t="str">
        <f>_xll.BDP("865525TP Muni","STATE_CODE")</f>
        <v>TX</v>
      </c>
      <c r="E1958" t="str">
        <f>_xll.BDP("865525TP Muni","COUNTY_LOCATION_ISSUER")</f>
        <v>Hopkins, TX</v>
      </c>
      <c r="F1958">
        <f>_xll.BDP("865525TP Muni","DUR_ADJ_MID")</f>
        <v>4.5464702518285147</v>
      </c>
      <c r="G1958">
        <f>_xll.BDP("865525TP Muni","SPREAD_AT_ISSUANCE_TO_WORST")</f>
        <v>23.503665561938035</v>
      </c>
      <c r="H1958" t="str">
        <f>_xll.BDP("865525TP Muni","ISSUE_DT")</f>
        <v>8/1/2017</v>
      </c>
      <c r="I1958" t="str">
        <f>_xll.BDS("865525TP Muni","MUNI_PURPOSE_SCHED", "aggregate=y")</f>
        <v>WATER UTILITY IMPS. SEWER IMPS. PUBLIC IMPS.</v>
      </c>
      <c r="J1958">
        <f>_xll.BDP("865525TP Muni","CPN")</f>
        <v>4</v>
      </c>
      <c r="K1958" t="str">
        <f>_xll.BDP("865525TP Muni","MATURITY")</f>
        <v>9/1/2027</v>
      </c>
      <c r="L1958">
        <v>170000</v>
      </c>
      <c r="M1958">
        <f>_xll.BDP("865525TP Muni","YIELD_ON_ISSUE_DATE")</f>
        <v>2.15</v>
      </c>
      <c r="N1958">
        <f>_xll.BDP("865525TP Muni","YTW_SPREAD_TO_MATURITY_AT_ISSU")</f>
        <v>23.503665561938035</v>
      </c>
      <c r="O1958" t="str">
        <f>_xll.BDP("865525TP Muni","BVAL_MID_YTM")</f>
        <v>#N/A Authorization</v>
      </c>
      <c r="P1958" t="str">
        <f>_xll.BDP("865525TP Muni","MUNI_TAX_PROV")</f>
        <v>FED BQ</v>
      </c>
      <c r="Q1958" t="str">
        <f>_xll.BDP("865525TP Muni","MUNI_FED_TAX")</f>
        <v>N</v>
      </c>
      <c r="R1958" t="str">
        <f>_xll.BDP("865525TP Muni","MUNI_MSRB_VOLUME")</f>
        <v>#N/A N/A</v>
      </c>
      <c r="S1958" t="str">
        <f>_xll.BDP("865525TP Muni","BB_COMPOSITE")</f>
        <v>#N/A N/A</v>
      </c>
      <c r="T1958">
        <f>_xll.BDP("865525TP Muni","LQA_LIQUIDITY_SCORE")</f>
        <v>51</v>
      </c>
    </row>
    <row r="1959" spans="1:20" x14ac:dyDescent="0.25">
      <c r="A1959" t="str">
        <f>_xll.BDP("867343GW Muni","ID_CUSIP")</f>
        <v>867343GW9</v>
      </c>
      <c r="B1959" t="s">
        <v>508</v>
      </c>
      <c r="C1959" t="str">
        <f>_xll.BDP("867343GW Muni","INSURANCE_STATUS")</f>
        <v>Y</v>
      </c>
      <c r="D1959" t="str">
        <f>_xll.BDP("867343GW Muni","STATE_CODE")</f>
        <v>TX</v>
      </c>
      <c r="E1959" t="str">
        <f>_xll.BDP("867343GW Muni","COUNTY_LOCATION_ISSUER")</f>
        <v>Hays, TX</v>
      </c>
      <c r="F1959">
        <f>_xll.BDP("867343GW Muni","DUR_ADJ_MID")</f>
        <v>8.0472328047381872E-2</v>
      </c>
      <c r="G1959">
        <f>_xll.BDP("867343GW Muni","SPREAD_AT_ISSUANCE_TO_WORST")</f>
        <v>47.503964637772356</v>
      </c>
      <c r="H1959" t="str">
        <f>_xll.BDP("867343GW Muni","ISSUE_DT")</f>
        <v>2/1/2017</v>
      </c>
      <c r="I1959" t="str">
        <f>_xll.BDS("867343GW Muni","MUNI_PURPOSE_SCHED", "aggregate=y")</f>
        <v>WATER UTILITY IMPS.</v>
      </c>
      <c r="J1959">
        <f>_xll.BDP("867343GW Muni","CPN")</f>
        <v>3</v>
      </c>
      <c r="K1959" t="str">
        <f>_xll.BDP("867343GW Muni","MATURITY")</f>
        <v>9/1/2022</v>
      </c>
      <c r="L1959">
        <v>160000</v>
      </c>
      <c r="M1959">
        <f>_xll.BDP("867343GW Muni","YIELD_ON_ISSUE_DATE")</f>
        <v>2.25</v>
      </c>
      <c r="N1959">
        <f>_xll.BDP("867343GW Muni","YTW_SPREAD_TO_MATURITY_AT_ISSU")</f>
        <v>47.503964637772356</v>
      </c>
      <c r="O1959" t="str">
        <f>_xll.BDP("867343GW Muni","BVAL_MID_YTM")</f>
        <v>#N/A Authorization</v>
      </c>
      <c r="P1959" t="str">
        <f>_xll.BDP("867343GW Muni","MUNI_TAX_PROV")</f>
        <v>FED TAX-EXEMPT</v>
      </c>
      <c r="Q1959" t="str">
        <f>_xll.BDP("867343GW Muni","MUNI_FED_TAX")</f>
        <v>N</v>
      </c>
      <c r="R1959" t="str">
        <f>_xll.BDP("867343GW Muni","MUNI_MSRB_VOLUME")</f>
        <v>#N/A N/A</v>
      </c>
      <c r="S1959" t="str">
        <f>_xll.BDP("867343GW Muni","BB_COMPOSITE")</f>
        <v>A</v>
      </c>
      <c r="T1959">
        <f>_xll.BDP("867343GW Muni","LQA_LIQUIDITY_SCORE")</f>
        <v>98</v>
      </c>
    </row>
    <row r="1960" spans="1:20" x14ac:dyDescent="0.25">
      <c r="A1960" t="str">
        <f>_xll.BDP("867343GX Muni","ID_CUSIP")</f>
        <v>867343GX7</v>
      </c>
      <c r="B1960" t="s">
        <v>508</v>
      </c>
      <c r="C1960" t="str">
        <f>_xll.BDP("867343GX Muni","INSURANCE_STATUS")</f>
        <v>Y</v>
      </c>
      <c r="D1960" t="str">
        <f>_xll.BDP("867343GX Muni","STATE_CODE")</f>
        <v>TX</v>
      </c>
      <c r="E1960" t="str">
        <f>_xll.BDP("867343GX Muni","COUNTY_LOCATION_ISSUER")</f>
        <v>Hays, TX</v>
      </c>
      <c r="F1960">
        <f>_xll.BDP("867343GX Muni","DUR_ADJ_MID")</f>
        <v>1.0487988431362609</v>
      </c>
      <c r="G1960">
        <f>_xll.BDP("867343GX Muni","SPREAD_AT_ISSUANCE_TO_WORST")</f>
        <v>54.811529796558148</v>
      </c>
      <c r="H1960" t="str">
        <f>_xll.BDP("867343GX Muni","ISSUE_DT")</f>
        <v>2/1/2017</v>
      </c>
      <c r="I1960" t="str">
        <f>_xll.BDS("867343GX Muni","MUNI_PURPOSE_SCHED", "aggregate=y")</f>
        <v>WATER UTILITY IMPS.</v>
      </c>
      <c r="J1960">
        <f>_xll.BDP("867343GX Muni","CPN")</f>
        <v>3</v>
      </c>
      <c r="K1960" t="str">
        <f>_xll.BDP("867343GX Muni","MATURITY")</f>
        <v>9/1/2023</v>
      </c>
      <c r="L1960">
        <v>165000</v>
      </c>
      <c r="M1960">
        <f>_xll.BDP("867343GX Muni","YIELD_ON_ISSUE_DATE")</f>
        <v>2.4500000000000002</v>
      </c>
      <c r="N1960">
        <f>_xll.BDP("867343GX Muni","YTW_SPREAD_TO_MATURITY_AT_ISSU")</f>
        <v>54.811529796558148</v>
      </c>
      <c r="O1960" t="str">
        <f>_xll.BDP("867343GX Muni","BVAL_MID_YTM")</f>
        <v>#N/A Authorization</v>
      </c>
      <c r="P1960" t="str">
        <f>_xll.BDP("867343GX Muni","MUNI_TAX_PROV")</f>
        <v>FED TAX-EXEMPT</v>
      </c>
      <c r="Q1960" t="str">
        <f>_xll.BDP("867343GX Muni","MUNI_FED_TAX")</f>
        <v>N</v>
      </c>
      <c r="R1960" t="str">
        <f>_xll.BDP("867343GX Muni","MUNI_MSRB_VOLUME")</f>
        <v>#N/A N/A</v>
      </c>
      <c r="S1960" t="str">
        <f>_xll.BDP("867343GX Muni","BB_COMPOSITE")</f>
        <v>A</v>
      </c>
      <c r="T1960">
        <f>_xll.BDP("867343GX Muni","LQA_LIQUIDITY_SCORE")</f>
        <v>83</v>
      </c>
    </row>
    <row r="1961" spans="1:20" x14ac:dyDescent="0.25">
      <c r="A1961" t="str">
        <f>_xll.BDP("867343GY Muni","ID_CUSIP")</f>
        <v>867343GY5</v>
      </c>
      <c r="B1961" t="s">
        <v>508</v>
      </c>
      <c r="C1961" t="str">
        <f>_xll.BDP("867343GY Muni","INSURANCE_STATUS")</f>
        <v>Y</v>
      </c>
      <c r="D1961" t="str">
        <f>_xll.BDP("867343GY Muni","STATE_CODE")</f>
        <v>TX</v>
      </c>
      <c r="E1961" t="str">
        <f>_xll.BDP("867343GY Muni","COUNTY_LOCATION_ISSUER")</f>
        <v>Hays, TX</v>
      </c>
      <c r="F1961">
        <f>_xll.BDP("867343GY Muni","DUR_ADJ_MID")</f>
        <v>1.9873631323822336</v>
      </c>
      <c r="G1961">
        <f>_xll.BDP("867343GY Muni","SPREAD_AT_ISSUANCE_TO_WORST")</f>
        <v>57.202040387753648</v>
      </c>
      <c r="H1961" t="str">
        <f>_xll.BDP("867343GY Muni","ISSUE_DT")</f>
        <v>2/1/2017</v>
      </c>
      <c r="I1961" t="str">
        <f>_xll.BDS("867343GY Muni","MUNI_PURPOSE_SCHED", "aggregate=y")</f>
        <v>WATER UTILITY IMPS.</v>
      </c>
      <c r="J1961">
        <f>_xll.BDP("867343GY Muni","CPN")</f>
        <v>3</v>
      </c>
      <c r="K1961" t="str">
        <f>_xll.BDP("867343GY Muni","MATURITY")</f>
        <v>9/1/2024</v>
      </c>
      <c r="L1961">
        <v>175000</v>
      </c>
      <c r="M1961">
        <f>_xll.BDP("867343GY Muni","YIELD_ON_ISSUE_DATE")</f>
        <v>2.6</v>
      </c>
      <c r="N1961">
        <f>_xll.BDP("867343GY Muni","YTW_SPREAD_TO_MATURITY_AT_ISSU")</f>
        <v>57.202040387753648</v>
      </c>
      <c r="O1961" t="str">
        <f>_xll.BDP("867343GY Muni","BVAL_MID_YTM")</f>
        <v>#N/A Authorization</v>
      </c>
      <c r="P1961" t="str">
        <f>_xll.BDP("867343GY Muni","MUNI_TAX_PROV")</f>
        <v>FED TAX-EXEMPT</v>
      </c>
      <c r="Q1961" t="str">
        <f>_xll.BDP("867343GY Muni","MUNI_FED_TAX")</f>
        <v>N</v>
      </c>
      <c r="R1961" t="str">
        <f>_xll.BDP("867343GY Muni","MUNI_MSRB_VOLUME")</f>
        <v>#N/A N/A</v>
      </c>
      <c r="S1961" t="str">
        <f>_xll.BDP("867343GY Muni","BB_COMPOSITE")</f>
        <v>A</v>
      </c>
      <c r="T1961">
        <f>_xll.BDP("867343GY Muni","LQA_LIQUIDITY_SCORE")</f>
        <v>74</v>
      </c>
    </row>
    <row r="1962" spans="1:20" x14ac:dyDescent="0.25">
      <c r="A1962" t="str">
        <f>_xll.BDP("91529NGG Muni","ID_CUSIP")</f>
        <v>91529NGG9</v>
      </c>
      <c r="B1962" t="s">
        <v>509</v>
      </c>
      <c r="C1962" t="str">
        <f>_xll.BDP("91529NGG Muni","INSURANCE_STATUS")</f>
        <v>Y</v>
      </c>
      <c r="D1962" t="str">
        <f>_xll.BDP("91529NGG Muni","STATE_CODE")</f>
        <v>TX</v>
      </c>
      <c r="E1962" t="str">
        <f>_xll.BDP("91529NGG Muni","COUNTY_LOCATION_ISSUER")</f>
        <v>Harris, TX</v>
      </c>
      <c r="F1962">
        <f>_xll.BDP("91529NGG Muni","DUR_ADJ_MID")</f>
        <v>8.0456896942509751E-2</v>
      </c>
      <c r="G1962">
        <f>_xll.BDP("91529NGG Muni","SPREAD_AT_ISSUANCE_TO_WORST")</f>
        <v>53.876822526782185</v>
      </c>
      <c r="H1962" t="str">
        <f>_xll.BDP("91529NGG Muni","ISSUE_DT")</f>
        <v>9/1/2017</v>
      </c>
      <c r="I1962" t="str">
        <f>_xll.BDS("91529NGG Muni","MUNI_PURPOSE_SCHED", "aggregate=y")</f>
        <v>REFUNDING NOTES WATER UTILITY IMPS. SEWER IMPS.</v>
      </c>
      <c r="J1962">
        <f>_xll.BDP("91529NGG Muni","CPN")</f>
        <v>4</v>
      </c>
      <c r="K1962" t="str">
        <f>_xll.BDP("91529NGG Muni","MATURITY")</f>
        <v>9/1/2022</v>
      </c>
      <c r="L1962">
        <v>175000</v>
      </c>
      <c r="M1962">
        <f>_xll.BDP("91529NGG Muni","YIELD_ON_ISSUE_DATE")</f>
        <v>1.7000000000000002</v>
      </c>
      <c r="N1962">
        <f>_xll.BDP("91529NGG Muni","YTW_SPREAD_TO_MATURITY_AT_ISSU")</f>
        <v>53.876822526782185</v>
      </c>
      <c r="O1962" t="str">
        <f>_xll.BDP("91529NGG Muni","BVAL_MID_YTM")</f>
        <v>#N/A Authorization</v>
      </c>
      <c r="P1962" t="str">
        <f>_xll.BDP("91529NGG Muni","MUNI_TAX_PROV")</f>
        <v>FED BQ</v>
      </c>
      <c r="Q1962" t="str">
        <f>_xll.BDP("91529NGG Muni","MUNI_FED_TAX")</f>
        <v>N</v>
      </c>
      <c r="R1962" t="str">
        <f>_xll.BDP("91529NGG Muni","MUNI_MSRB_VOLUME")</f>
        <v>#N/A N/A</v>
      </c>
      <c r="S1962" t="str">
        <f>_xll.BDP("91529NGG Muni","BB_COMPOSITE")</f>
        <v>AA-</v>
      </c>
      <c r="T1962">
        <f>_xll.BDP("91529NGG Muni","LQA_LIQUIDITY_SCORE")</f>
        <v>97</v>
      </c>
    </row>
    <row r="1963" spans="1:20" x14ac:dyDescent="0.25">
      <c r="A1963" t="str">
        <f>_xll.BDP("91529NGH Muni","ID_CUSIP")</f>
        <v>91529NGH7</v>
      </c>
      <c r="B1963" t="s">
        <v>509</v>
      </c>
      <c r="C1963" t="str">
        <f>_xll.BDP("91529NGH Muni","INSURANCE_STATUS")</f>
        <v>Y</v>
      </c>
      <c r="D1963" t="str">
        <f>_xll.BDP("91529NGH Muni","STATE_CODE")</f>
        <v>TX</v>
      </c>
      <c r="E1963" t="str">
        <f>_xll.BDP("91529NGH Muni","COUNTY_LOCATION_ISSUER")</f>
        <v>Harris, TX</v>
      </c>
      <c r="F1963">
        <f>_xll.BDP("91529NGH Muni","DUR_ADJ_MID")</f>
        <v>1.047548140221116</v>
      </c>
      <c r="G1963">
        <f>_xll.BDP("91529NGH Muni","SPREAD_AT_ISSUANCE_TO_WORST")</f>
        <v>54.111325212722591</v>
      </c>
      <c r="H1963" t="str">
        <f>_xll.BDP("91529NGH Muni","ISSUE_DT")</f>
        <v>9/1/2017</v>
      </c>
      <c r="I1963" t="str">
        <f>_xll.BDS("91529NGH Muni","MUNI_PURPOSE_SCHED", "aggregate=y")</f>
        <v>REFUNDING NOTES WATER UTILITY IMPS. SEWER IMPS.</v>
      </c>
      <c r="J1963">
        <f>_xll.BDP("91529NGH Muni","CPN")</f>
        <v>3</v>
      </c>
      <c r="K1963" t="str">
        <f>_xll.BDP("91529NGH Muni","MATURITY")</f>
        <v>9/1/2023</v>
      </c>
      <c r="L1963">
        <v>175000</v>
      </c>
      <c r="M1963">
        <f>_xll.BDP("91529NGH Muni","YIELD_ON_ISSUE_DATE")</f>
        <v>1.85</v>
      </c>
      <c r="N1963">
        <f>_xll.BDP("91529NGH Muni","YTW_SPREAD_TO_MATURITY_AT_ISSU")</f>
        <v>54.111325212722591</v>
      </c>
      <c r="O1963" t="str">
        <f>_xll.BDP("91529NGH Muni","BVAL_MID_YTM")</f>
        <v>#N/A Authorization</v>
      </c>
      <c r="P1963" t="str">
        <f>_xll.BDP("91529NGH Muni","MUNI_TAX_PROV")</f>
        <v>FED BQ</v>
      </c>
      <c r="Q1963" t="str">
        <f>_xll.BDP("91529NGH Muni","MUNI_FED_TAX")</f>
        <v>N</v>
      </c>
      <c r="R1963" t="str">
        <f>_xll.BDP("91529NGH Muni","MUNI_MSRB_VOLUME")</f>
        <v>#N/A N/A</v>
      </c>
      <c r="S1963" t="str">
        <f>_xll.BDP("91529NGH Muni","BB_COMPOSITE")</f>
        <v>AA-</v>
      </c>
      <c r="T1963">
        <f>_xll.BDP("91529NGH Muni","LQA_LIQUIDITY_SCORE")</f>
        <v>84</v>
      </c>
    </row>
    <row r="1964" spans="1:20" x14ac:dyDescent="0.25">
      <c r="A1964" t="str">
        <f>_xll.BDP("91529NGJ Muni","ID_CUSIP")</f>
        <v>91529NGJ3</v>
      </c>
      <c r="B1964" t="s">
        <v>509</v>
      </c>
      <c r="C1964" t="str">
        <f>_xll.BDP("91529NGJ Muni","INSURANCE_STATUS")</f>
        <v>Y</v>
      </c>
      <c r="D1964" t="str">
        <f>_xll.BDP("91529NGJ Muni","STATE_CODE")</f>
        <v>TX</v>
      </c>
      <c r="E1964" t="str">
        <f>_xll.BDP("91529NGJ Muni","COUNTY_LOCATION_ISSUER")</f>
        <v>Harris, TX</v>
      </c>
      <c r="F1964">
        <f>_xll.BDP("91529NGJ Muni","DUR_ADJ_MID")</f>
        <v>1.9850919641250502</v>
      </c>
      <c r="G1964">
        <f>_xll.BDP("91529NGJ Muni","SPREAD_AT_ISSUANCE_TO_WORST")</f>
        <v>54.014237264582391</v>
      </c>
      <c r="H1964" t="str">
        <f>_xll.BDP("91529NGJ Muni","ISSUE_DT")</f>
        <v>9/1/2017</v>
      </c>
      <c r="I1964" t="str">
        <f>_xll.BDS("91529NGJ Muni","MUNI_PURPOSE_SCHED", "aggregate=y")</f>
        <v>REFUNDING NOTES WATER UTILITY IMPS. SEWER IMPS.</v>
      </c>
      <c r="J1964">
        <f>_xll.BDP("91529NGJ Muni","CPN")</f>
        <v>3</v>
      </c>
      <c r="K1964" t="str">
        <f>_xll.BDP("91529NGJ Muni","MATURITY")</f>
        <v>9/1/2024</v>
      </c>
      <c r="L1964">
        <v>175000</v>
      </c>
      <c r="M1964">
        <f>_xll.BDP("91529NGJ Muni","YIELD_ON_ISSUE_DATE")</f>
        <v>2</v>
      </c>
      <c r="N1964">
        <f>_xll.BDP("91529NGJ Muni","YTW_SPREAD_TO_MATURITY_AT_ISSU")</f>
        <v>54.014237264582391</v>
      </c>
      <c r="O1964" t="str">
        <f>_xll.BDP("91529NGJ Muni","BVAL_MID_YTM")</f>
        <v>#N/A Authorization</v>
      </c>
      <c r="P1964" t="str">
        <f>_xll.BDP("91529NGJ Muni","MUNI_TAX_PROV")</f>
        <v>FED BQ</v>
      </c>
      <c r="Q1964" t="str">
        <f>_xll.BDP("91529NGJ Muni","MUNI_FED_TAX")</f>
        <v>N</v>
      </c>
      <c r="R1964" t="str">
        <f>_xll.BDP("91529NGJ Muni","MUNI_MSRB_VOLUME")</f>
        <v>#N/A N/A</v>
      </c>
      <c r="S1964" t="str">
        <f>_xll.BDP("91529NGJ Muni","BB_COMPOSITE")</f>
        <v>AA-</v>
      </c>
      <c r="T1964">
        <f>_xll.BDP("91529NGJ Muni","LQA_LIQUIDITY_SCORE")</f>
        <v>70</v>
      </c>
    </row>
    <row r="1965" spans="1:20" x14ac:dyDescent="0.25">
      <c r="A1965" t="str">
        <f>_xll.BDP("915489XZ Muni","ID_CUSIP")</f>
        <v>915489XZ6</v>
      </c>
      <c r="B1965" t="s">
        <v>510</v>
      </c>
      <c r="C1965" t="str">
        <f>_xll.BDP("915489XZ Muni","INSURANCE_STATUS")</f>
        <v>N</v>
      </c>
      <c r="D1965" t="str">
        <f>_xll.BDP("915489XZ Muni","STATE_CODE")</f>
        <v>OH</v>
      </c>
      <c r="E1965" t="str">
        <f>_xll.BDP("915489XZ Muni","COUNTY_LOCATION_ISSUER")</f>
        <v>Franklin, OH</v>
      </c>
      <c r="F1965">
        <f>_xll.BDP("915489XZ Muni","DUR_ADJ_MID")</f>
        <v>0.32943584646362545</v>
      </c>
      <c r="G1965">
        <f>_xll.BDP("915489XZ Muni","SPREAD_AT_ISSUANCE_TO_WORST")</f>
        <v>-12.667882778638573</v>
      </c>
      <c r="H1965" t="str">
        <f>_xll.BDP("915489XZ Muni","ISSUE_DT")</f>
        <v>1/10/2017</v>
      </c>
      <c r="I1965" t="str">
        <f>_xll.BDS("915489XZ Muni","MUNI_PURPOSE_SCHED", "aggregate=y")</f>
        <v>PUBLIC IMPS. WATER UTILITY IMPS. SEWER IMPS.</v>
      </c>
      <c r="J1965">
        <f>_xll.BDP("915489XZ Muni","CPN")</f>
        <v>3</v>
      </c>
      <c r="K1965" t="str">
        <f>_xll.BDP("915489XZ Muni","MATURITY")</f>
        <v>12/1/2022</v>
      </c>
      <c r="L1965">
        <v>885000</v>
      </c>
      <c r="M1965">
        <f>_xll.BDP("915489XZ Muni","YIELD_ON_ISSUE_DATE")</f>
        <v>1.8800000000000001</v>
      </c>
      <c r="N1965">
        <f>_xll.BDP("915489XZ Muni","YTW_SPREAD_TO_MATURITY_AT_ISSU")</f>
        <v>-12.667882778638573</v>
      </c>
      <c r="O1965" t="str">
        <f>_xll.BDP("915489XZ Muni","BVAL_MID_YTM")</f>
        <v>#N/A Authorization</v>
      </c>
      <c r="P1965" t="str">
        <f>_xll.BDP("915489XZ Muni","MUNI_TAX_PROV")</f>
        <v>FED BQ/ST TAX-EXEMPT</v>
      </c>
      <c r="Q1965" t="str">
        <f>_xll.BDP("915489XZ Muni","MUNI_FED_TAX")</f>
        <v>N</v>
      </c>
      <c r="R1965" t="str">
        <f>_xll.BDP("915489XZ Muni","MUNI_MSRB_VOLUME")</f>
        <v>#N/A N/A</v>
      </c>
      <c r="S1965" t="str">
        <f>_xll.BDP("915489XZ Muni","BB_COMPOSITE")</f>
        <v>AAA</v>
      </c>
      <c r="T1965">
        <f>_xll.BDP("915489XZ Muni","LQA_LIQUIDITY_SCORE")</f>
        <v>99</v>
      </c>
    </row>
    <row r="1966" spans="1:20" x14ac:dyDescent="0.25">
      <c r="A1966" t="str">
        <f>_xll.BDP("915489YA Muni","ID_CUSIP")</f>
        <v>915489YA0</v>
      </c>
      <c r="B1966" t="s">
        <v>510</v>
      </c>
      <c r="C1966" t="str">
        <f>_xll.BDP("915489YA Muni","INSURANCE_STATUS")</f>
        <v>N</v>
      </c>
      <c r="D1966" t="str">
        <f>_xll.BDP("915489YA Muni","STATE_CODE")</f>
        <v>OH</v>
      </c>
      <c r="E1966" t="str">
        <f>_xll.BDP("915489YA Muni","COUNTY_LOCATION_ISSUER")</f>
        <v>Franklin, OH</v>
      </c>
      <c r="F1966">
        <f>_xll.BDP("915489YA Muni","DUR_ADJ_MID")</f>
        <v>1.2980995106227087</v>
      </c>
      <c r="G1966">
        <f>_xll.BDP("915489YA Muni","SPREAD_AT_ISSUANCE_TO_WORST")</f>
        <v>-10.141815816983701</v>
      </c>
      <c r="H1966" t="str">
        <f>_xll.BDP("915489YA Muni","ISSUE_DT")</f>
        <v>1/10/2017</v>
      </c>
      <c r="I1966" t="str">
        <f>_xll.BDS("915489YA Muni","MUNI_PURPOSE_SCHED", "aggregate=y")</f>
        <v>PUBLIC IMPS. WATER UTILITY IMPS. SEWER IMPS.</v>
      </c>
      <c r="J1966">
        <f>_xll.BDP("915489YA Muni","CPN")</f>
        <v>3</v>
      </c>
      <c r="K1966" t="str">
        <f>_xll.BDP("915489YA Muni","MATURITY")</f>
        <v>12/1/2023</v>
      </c>
      <c r="L1966">
        <v>895000</v>
      </c>
      <c r="M1966">
        <f>_xll.BDP("915489YA Muni","YIELD_ON_ISSUE_DATE")</f>
        <v>2.04</v>
      </c>
      <c r="N1966">
        <f>_xll.BDP("915489YA Muni","YTW_SPREAD_TO_MATURITY_AT_ISSU")</f>
        <v>-10.141815816983701</v>
      </c>
      <c r="O1966" t="str">
        <f>_xll.BDP("915489YA Muni","BVAL_MID_YTM")</f>
        <v>#N/A Authorization</v>
      </c>
      <c r="P1966" t="str">
        <f>_xll.BDP("915489YA Muni","MUNI_TAX_PROV")</f>
        <v>FED BQ/ST TAX-EXEMPT</v>
      </c>
      <c r="Q1966" t="str">
        <f>_xll.BDP("915489YA Muni","MUNI_FED_TAX")</f>
        <v>N</v>
      </c>
      <c r="R1966" t="str">
        <f>_xll.BDP("915489YA Muni","MUNI_MSRB_VOLUME")</f>
        <v>#N/A N/A</v>
      </c>
      <c r="S1966" t="str">
        <f>_xll.BDP("915489YA Muni","BB_COMPOSITE")</f>
        <v>AAA</v>
      </c>
      <c r="T1966">
        <f>_xll.BDP("915489YA Muni","LQA_LIQUIDITY_SCORE")</f>
        <v>87</v>
      </c>
    </row>
    <row r="1967" spans="1:20" x14ac:dyDescent="0.25">
      <c r="A1967" t="str">
        <f>_xll.BDP("915489YB Muni","ID_CUSIP")</f>
        <v>915489YB8</v>
      </c>
      <c r="B1967" t="s">
        <v>510</v>
      </c>
      <c r="C1967" t="str">
        <f>_xll.BDP("915489YB Muni","INSURANCE_STATUS")</f>
        <v>N</v>
      </c>
      <c r="D1967" t="str">
        <f>_xll.BDP("915489YB Muni","STATE_CODE")</f>
        <v>OH</v>
      </c>
      <c r="E1967" t="str">
        <f>_xll.BDP("915489YB Muni","COUNTY_LOCATION_ISSUER")</f>
        <v>Franklin, OH</v>
      </c>
      <c r="F1967">
        <f>_xll.BDP("915489YB Muni","DUR_ADJ_MID")</f>
        <v>2.2385801189076924</v>
      </c>
      <c r="G1967">
        <f>_xll.BDP("915489YB Muni","SPREAD_AT_ISSUANCE_TO_WORST")</f>
        <v>-13.724716960493666</v>
      </c>
      <c r="H1967" t="str">
        <f>_xll.BDP("915489YB Muni","ISSUE_DT")</f>
        <v>1/10/2017</v>
      </c>
      <c r="I1967" t="str">
        <f>_xll.BDS("915489YB Muni","MUNI_PURPOSE_SCHED", "aggregate=y")</f>
        <v>PUBLIC IMPS. WATER UTILITY IMPS. SEWER IMPS.</v>
      </c>
      <c r="J1967">
        <f>_xll.BDP("915489YB Muni","CPN")</f>
        <v>3</v>
      </c>
      <c r="K1967" t="str">
        <f>_xll.BDP("915489YB Muni","MATURITY")</f>
        <v>12/1/2024</v>
      </c>
      <c r="L1967">
        <v>910000</v>
      </c>
      <c r="M1967">
        <f>_xll.BDP("915489YB Muni","YIELD_ON_ISSUE_DATE")</f>
        <v>2.14</v>
      </c>
      <c r="N1967">
        <f>_xll.BDP("915489YB Muni","YTW_SPREAD_TO_MATURITY_AT_ISSU")</f>
        <v>-13.724716960493666</v>
      </c>
      <c r="O1967" t="str">
        <f>_xll.BDP("915489YB Muni","BVAL_MID_YTM")</f>
        <v>#N/A Authorization</v>
      </c>
      <c r="P1967" t="str">
        <f>_xll.BDP("915489YB Muni","MUNI_TAX_PROV")</f>
        <v>FED BQ/ST TAX-EXEMPT</v>
      </c>
      <c r="Q1967" t="str">
        <f>_xll.BDP("915489YB Muni","MUNI_FED_TAX")</f>
        <v>N</v>
      </c>
      <c r="R1967" t="str">
        <f>_xll.BDP("915489YB Muni","MUNI_MSRB_VOLUME")</f>
        <v>#N/A N/A</v>
      </c>
      <c r="S1967" t="str">
        <f>_xll.BDP("915489YB Muni","BB_COMPOSITE")</f>
        <v>AAA</v>
      </c>
      <c r="T1967">
        <f>_xll.BDP("915489YB Muni","LQA_LIQUIDITY_SCORE")</f>
        <v>79</v>
      </c>
    </row>
    <row r="1968" spans="1:20" x14ac:dyDescent="0.25">
      <c r="A1968" t="str">
        <f>_xll.BDP("915489YC Muni","ID_CUSIP")</f>
        <v>915489YC6</v>
      </c>
      <c r="B1968" t="s">
        <v>510</v>
      </c>
      <c r="C1968" t="str">
        <f>_xll.BDP("915489YC Muni","INSURANCE_STATUS")</f>
        <v>N</v>
      </c>
      <c r="D1968" t="str">
        <f>_xll.BDP("915489YC Muni","STATE_CODE")</f>
        <v>OH</v>
      </c>
      <c r="E1968" t="str">
        <f>_xll.BDP("915489YC Muni","COUNTY_LOCATION_ISSUER")</f>
        <v>Franklin, OH</v>
      </c>
      <c r="F1968">
        <f>_xll.BDP("915489YC Muni","DUR_ADJ_MID")</f>
        <v>3.1526502988945664</v>
      </c>
      <c r="G1968">
        <f>_xll.BDP("915489YC Muni","SPREAD_AT_ISSUANCE_TO_WORST")</f>
        <v>-15.030552450852364</v>
      </c>
      <c r="H1968" t="str">
        <f>_xll.BDP("915489YC Muni","ISSUE_DT")</f>
        <v>1/10/2017</v>
      </c>
      <c r="I1968" t="str">
        <f>_xll.BDS("915489YC Muni","MUNI_PURPOSE_SCHED", "aggregate=y")</f>
        <v>PUBLIC IMPS. WATER UTILITY IMPS. SEWER IMPS.</v>
      </c>
      <c r="J1968">
        <f>_xll.BDP("915489YC Muni","CPN")</f>
        <v>3</v>
      </c>
      <c r="K1968" t="str">
        <f>_xll.BDP("915489YC Muni","MATURITY")</f>
        <v>12/1/2025</v>
      </c>
      <c r="L1968">
        <v>920000</v>
      </c>
      <c r="M1968">
        <f>_xll.BDP("915489YC Muni","YIELD_ON_ISSUE_DATE")</f>
        <v>2.25</v>
      </c>
      <c r="N1968">
        <f>_xll.BDP("915489YC Muni","YTW_SPREAD_TO_MATURITY_AT_ISSU")</f>
        <v>-15.030552450852364</v>
      </c>
      <c r="O1968" t="str">
        <f>_xll.BDP("915489YC Muni","BVAL_MID_YTM")</f>
        <v>#N/A Authorization</v>
      </c>
      <c r="P1968" t="str">
        <f>_xll.BDP("915489YC Muni","MUNI_TAX_PROV")</f>
        <v>FED BQ/ST TAX-EXEMPT</v>
      </c>
      <c r="Q1968" t="str">
        <f>_xll.BDP("915489YC Muni","MUNI_FED_TAX")</f>
        <v>N</v>
      </c>
      <c r="R1968" t="str">
        <f>_xll.BDP("915489YC Muni","MUNI_MSRB_VOLUME")</f>
        <v>#N/A N/A</v>
      </c>
      <c r="S1968" t="str">
        <f>_xll.BDP("915489YC Muni","BB_COMPOSITE")</f>
        <v>AAA</v>
      </c>
      <c r="T1968">
        <f>_xll.BDP("915489YC Muni","LQA_LIQUIDITY_SCORE")</f>
        <v>70</v>
      </c>
    </row>
    <row r="1969" spans="1:20" x14ac:dyDescent="0.25">
      <c r="A1969" t="str">
        <f>_xll.BDP("97000RHS Muni","ID_CUSIP")</f>
        <v>97000RHS8</v>
      </c>
      <c r="B1969" t="s">
        <v>511</v>
      </c>
      <c r="C1969" t="str">
        <f>_xll.BDP("97000RHS Muni","INSURANCE_STATUS")</f>
        <v>Y</v>
      </c>
      <c r="D1969" t="str">
        <f>_xll.BDP("97000RHS Muni","STATE_CODE")</f>
        <v>TX</v>
      </c>
      <c r="E1969" t="str">
        <f>_xll.BDP("97000RHS Muni","COUNTY_LOCATION_ISSUER")</f>
        <v>Williamson, TX</v>
      </c>
      <c r="F1969">
        <f>_xll.BDP("97000RHS Muni","DUR_ADJ_MID")</f>
        <v>3.6091842052672768E-2</v>
      </c>
      <c r="G1969">
        <f>_xll.BDP("97000RHS Muni","SPREAD_AT_ISSUANCE_TO_WORST")</f>
        <v>47.983805796775258</v>
      </c>
      <c r="H1969" t="str">
        <f>_xll.BDP("97000RHS Muni","ISSUE_DT")</f>
        <v>2/28/2017</v>
      </c>
      <c r="I1969" t="str">
        <f>_xll.BDS("97000RHS Muni","MUNI_PURPOSE_SCHED", "aggregate=y")</f>
        <v>WATER UTILITY IMPS. SEWER IMPS. PUBLIC IMPS.</v>
      </c>
      <c r="J1969">
        <f>_xll.BDP("97000RHS Muni","CPN")</f>
        <v>4.75</v>
      </c>
      <c r="K1969" t="str">
        <f>_xll.BDP("97000RHS Muni","MATURITY")</f>
        <v>8/15/2022</v>
      </c>
      <c r="L1969">
        <v>115000</v>
      </c>
      <c r="M1969">
        <f>_xll.BDP("97000RHS Muni","YIELD_ON_ISSUE_DATE")</f>
        <v>2.25</v>
      </c>
      <c r="N1969">
        <f>_xll.BDP("97000RHS Muni","YTW_SPREAD_TO_MATURITY_AT_ISSU")</f>
        <v>47.983805796775258</v>
      </c>
      <c r="O1969" t="str">
        <f>_xll.BDP("97000RHS Muni","BVAL_MID_YTM")</f>
        <v>#N/A Authorization</v>
      </c>
      <c r="P1969" t="str">
        <f>_xll.BDP("97000RHS Muni","MUNI_TAX_PROV")</f>
        <v>FED BQ</v>
      </c>
      <c r="Q1969" t="str">
        <f>_xll.BDP("97000RHS Muni","MUNI_FED_TAX")</f>
        <v>N</v>
      </c>
      <c r="R1969" t="str">
        <f>_xll.BDP("97000RHS Muni","MUNI_MSRB_VOLUME")</f>
        <v>#N/A N/A</v>
      </c>
      <c r="S1969" t="str">
        <f>_xll.BDP("97000RHS Muni","BB_COMPOSITE")</f>
        <v>#N/A N/A</v>
      </c>
      <c r="T1969">
        <f>_xll.BDP("97000RHS Muni","LQA_LIQUIDITY_SCORE")</f>
        <v>89</v>
      </c>
    </row>
    <row r="1970" spans="1:20" x14ac:dyDescent="0.25">
      <c r="A1970" t="str">
        <f>_xll.BDP("97000RHT Muni","ID_CUSIP")</f>
        <v>97000RHT6</v>
      </c>
      <c r="B1970" t="s">
        <v>511</v>
      </c>
      <c r="C1970" t="str">
        <f>_xll.BDP("97000RHT Muni","INSURANCE_STATUS")</f>
        <v>Y</v>
      </c>
      <c r="D1970" t="str">
        <f>_xll.BDP("97000RHT Muni","STATE_CODE")</f>
        <v>TX</v>
      </c>
      <c r="E1970" t="str">
        <f>_xll.BDP("97000RHT Muni","COUNTY_LOCATION_ISSUER")</f>
        <v>Williamson, TX</v>
      </c>
      <c r="F1970">
        <f>_xll.BDP("97000RHT Muni","DUR_ADJ_MID")</f>
        <v>1.0090628937321597</v>
      </c>
      <c r="G1970">
        <f>_xll.BDP("97000RHT Muni","SPREAD_AT_ISSUANCE_TO_WORST")</f>
        <v>49.304779043484629</v>
      </c>
      <c r="H1970" t="str">
        <f>_xll.BDP("97000RHT Muni","ISSUE_DT")</f>
        <v>2/28/2017</v>
      </c>
      <c r="I1970" t="str">
        <f>_xll.BDS("97000RHT Muni","MUNI_PURPOSE_SCHED", "aggregate=y")</f>
        <v>WATER UTILITY IMPS. SEWER IMPS. PUBLIC IMPS.</v>
      </c>
      <c r="J1970">
        <f>_xll.BDP("97000RHT Muni","CPN")</f>
        <v>2.25</v>
      </c>
      <c r="K1970" t="str">
        <f>_xll.BDP("97000RHT Muni","MATURITY")</f>
        <v>8/15/2023</v>
      </c>
      <c r="L1970">
        <v>120000</v>
      </c>
      <c r="M1970">
        <f>_xll.BDP("97000RHT Muni","YIELD_ON_ISSUE_DATE")</f>
        <v>2.4000000000000004</v>
      </c>
      <c r="N1970">
        <f>_xll.BDP("97000RHT Muni","YTW_SPREAD_TO_MATURITY_AT_ISSU")</f>
        <v>49.304779043484629</v>
      </c>
      <c r="O1970" t="str">
        <f>_xll.BDP("97000RHT Muni","BVAL_MID_YTM")</f>
        <v>#N/A Authorization</v>
      </c>
      <c r="P1970" t="str">
        <f>_xll.BDP("97000RHT Muni","MUNI_TAX_PROV")</f>
        <v>FED BQ</v>
      </c>
      <c r="Q1970" t="str">
        <f>_xll.BDP("97000RHT Muni","MUNI_FED_TAX")</f>
        <v>N</v>
      </c>
      <c r="R1970" t="str">
        <f>_xll.BDP("97000RHT Muni","MUNI_MSRB_VOLUME")</f>
        <v>#N/A N/A</v>
      </c>
      <c r="S1970" t="str">
        <f>_xll.BDP("97000RHT Muni","BB_COMPOSITE")</f>
        <v>#N/A N/A</v>
      </c>
      <c r="T1970">
        <f>_xll.BDP("97000RHT Muni","LQA_LIQUIDITY_SCORE")</f>
        <v>81</v>
      </c>
    </row>
    <row r="1971" spans="1:20" x14ac:dyDescent="0.25">
      <c r="A1971" t="str">
        <f>_xll.BDP("97000RHU Muni","ID_CUSIP")</f>
        <v>97000RHU3</v>
      </c>
      <c r="B1971" t="s">
        <v>511</v>
      </c>
      <c r="C1971" t="str">
        <f>_xll.BDP("97000RHU Muni","INSURANCE_STATUS")</f>
        <v>Y</v>
      </c>
      <c r="D1971" t="str">
        <f>_xll.BDP("97000RHU Muni","STATE_CODE")</f>
        <v>TX</v>
      </c>
      <c r="E1971" t="str">
        <f>_xll.BDP("97000RHU Muni","COUNTY_LOCATION_ISSUER")</f>
        <v>Williamson, TX</v>
      </c>
      <c r="F1971">
        <f>_xll.BDP("97000RHU Muni","DUR_ADJ_MID")</f>
        <v>1.958274638174762</v>
      </c>
      <c r="G1971">
        <f>_xll.BDP("97000RHU Muni","SPREAD_AT_ISSUANCE_TO_WORST")</f>
        <v>50.816435349136228</v>
      </c>
      <c r="H1971" t="str">
        <f>_xll.BDP("97000RHU Muni","ISSUE_DT")</f>
        <v>2/28/2017</v>
      </c>
      <c r="I1971" t="str">
        <f>_xll.BDS("97000RHU Muni","MUNI_PURPOSE_SCHED", "aggregate=y")</f>
        <v>WATER UTILITY IMPS. SEWER IMPS. PUBLIC IMPS.</v>
      </c>
      <c r="J1971">
        <f>_xll.BDP("97000RHU Muni","CPN")</f>
        <v>2.25</v>
      </c>
      <c r="K1971" t="str">
        <f>_xll.BDP("97000RHU Muni","MATURITY")</f>
        <v>8/15/2024</v>
      </c>
      <c r="L1971">
        <v>125000</v>
      </c>
      <c r="M1971">
        <f>_xll.BDP("97000RHU Muni","YIELD_ON_ISSUE_DATE")</f>
        <v>2.5500000000000003</v>
      </c>
      <c r="N1971">
        <f>_xll.BDP("97000RHU Muni","YTW_SPREAD_TO_MATURITY_AT_ISSU")</f>
        <v>50.816435349136228</v>
      </c>
      <c r="O1971" t="str">
        <f>_xll.BDP("97000RHU Muni","BVAL_MID_YTM")</f>
        <v>#N/A Authorization</v>
      </c>
      <c r="P1971" t="str">
        <f>_xll.BDP("97000RHU Muni","MUNI_TAX_PROV")</f>
        <v>FED BQ</v>
      </c>
      <c r="Q1971" t="str">
        <f>_xll.BDP("97000RHU Muni","MUNI_FED_TAX")</f>
        <v>N</v>
      </c>
      <c r="R1971" t="str">
        <f>_xll.BDP("97000RHU Muni","MUNI_MSRB_VOLUME")</f>
        <v>#N/A N/A</v>
      </c>
      <c r="S1971" t="str">
        <f>_xll.BDP("97000RHU Muni","BB_COMPOSITE")</f>
        <v>#N/A N/A</v>
      </c>
      <c r="T1971">
        <f>_xll.BDP("97000RHU Muni","LQA_LIQUIDITY_SCORE")</f>
        <v>66</v>
      </c>
    </row>
    <row r="1972" spans="1:20" x14ac:dyDescent="0.25">
      <c r="A1972" t="str">
        <f>_xll.BDP("97000VCD Muni","ID_CUSIP")</f>
        <v>97000VCD7</v>
      </c>
      <c r="B1972" t="s">
        <v>512</v>
      </c>
      <c r="C1972" t="str">
        <f>_xll.BDP("97000VCD Muni","INSURANCE_STATUS")</f>
        <v>N</v>
      </c>
      <c r="D1972" t="str">
        <f>_xll.BDP("97000VCD Muni","STATE_CODE")</f>
        <v>TX</v>
      </c>
      <c r="E1972" t="str">
        <f>_xll.BDP("97000VCD Muni","COUNTY_LOCATION_ISSUER")</f>
        <v>Williamson, TX</v>
      </c>
      <c r="F1972">
        <f>_xll.BDP("97000VCD Muni","DUR_ADJ_MID")</f>
        <v>8.0459449772143213E-2</v>
      </c>
      <c r="G1972">
        <f>_xll.BDP("97000VCD Muni","SPREAD_AT_ISSUANCE_TO_WORST")</f>
        <v>92.586570636548046</v>
      </c>
      <c r="H1972" t="str">
        <f>_xll.BDP("97000VCD Muni","ISSUE_DT")</f>
        <v>6/8/2017</v>
      </c>
      <c r="I1972" t="str">
        <f>_xll.BDS("97000VCD Muni","MUNI_PURPOSE_SCHED", "aggregate=y")</f>
        <v>WATER UTILITY IMPS. SEWER IMPS.</v>
      </c>
      <c r="J1972">
        <f>_xll.BDP("97000VCD Muni","CPN")</f>
        <v>2.35</v>
      </c>
      <c r="K1972" t="str">
        <f>_xll.BDP("97000VCD Muni","MATURITY")</f>
        <v>9/1/2022</v>
      </c>
      <c r="L1972">
        <v>50000</v>
      </c>
      <c r="M1972">
        <f>_xll.BDP("97000VCD Muni","YIELD_ON_ISSUE_DATE")</f>
        <v>2.35</v>
      </c>
      <c r="N1972">
        <f>_xll.BDP("97000VCD Muni","YTW_SPREAD_TO_MATURITY_AT_ISSU")</f>
        <v>92.586570636548046</v>
      </c>
      <c r="O1972" t="str">
        <f>_xll.BDP("97000VCD Muni","BVAL_MID_YTM")</f>
        <v>#N/A Authorization</v>
      </c>
      <c r="P1972" t="str">
        <f>_xll.BDP("97000VCD Muni","MUNI_TAX_PROV")</f>
        <v>FED BQ</v>
      </c>
      <c r="Q1972" t="str">
        <f>_xll.BDP("97000VCD Muni","MUNI_FED_TAX")</f>
        <v>N</v>
      </c>
      <c r="R1972" t="str">
        <f>_xll.BDP("97000VCD Muni","MUNI_MSRB_VOLUME")</f>
        <v>#N/A N/A</v>
      </c>
      <c r="S1972" t="str">
        <f>_xll.BDP("97000VCD Muni","BB_COMPOSITE")</f>
        <v>#N/A N/A</v>
      </c>
      <c r="T1972">
        <f>_xll.BDP("97000VCD Muni","LQA_LIQUIDITY_SCORE")</f>
        <v>99</v>
      </c>
    </row>
    <row r="1973" spans="1:20" x14ac:dyDescent="0.25">
      <c r="A1973" t="str">
        <f>_xll.BDP("97000VCE Muni","ID_CUSIP")</f>
        <v>97000VCE5</v>
      </c>
      <c r="B1973" t="s">
        <v>512</v>
      </c>
      <c r="C1973" t="str">
        <f>_xll.BDP("97000VCE Muni","INSURANCE_STATUS")</f>
        <v>N</v>
      </c>
      <c r="D1973" t="str">
        <f>_xll.BDP("97000VCE Muni","STATE_CODE")</f>
        <v>TX</v>
      </c>
      <c r="E1973" t="str">
        <f>_xll.BDP("97000VCE Muni","COUNTY_LOCATION_ISSUER")</f>
        <v>Williamson, TX</v>
      </c>
      <c r="F1973">
        <f>_xll.BDP("97000VCE Muni","DUR_ADJ_MID")</f>
        <v>1.0508787172519252</v>
      </c>
      <c r="G1973">
        <f>_xll.BDP("97000VCE Muni","SPREAD_AT_ISSUANCE_TO_WORST")</f>
        <v>96.329103241687775</v>
      </c>
      <c r="H1973" t="str">
        <f>_xll.BDP("97000VCE Muni","ISSUE_DT")</f>
        <v>6/8/2017</v>
      </c>
      <c r="I1973" t="str">
        <f>_xll.BDS("97000VCE Muni","MUNI_PURPOSE_SCHED", "aggregate=y")</f>
        <v>WATER UTILITY IMPS. SEWER IMPS.</v>
      </c>
      <c r="J1973">
        <f>_xll.BDP("97000VCE Muni","CPN")</f>
        <v>2.5499999999999998</v>
      </c>
      <c r="K1973" t="str">
        <f>_xll.BDP("97000VCE Muni","MATURITY")</f>
        <v>9/1/2023</v>
      </c>
      <c r="L1973">
        <v>50000</v>
      </c>
      <c r="M1973">
        <f>_xll.BDP("97000VCE Muni","YIELD_ON_ISSUE_DATE")</f>
        <v>2.5500000000000003</v>
      </c>
      <c r="N1973">
        <f>_xll.BDP("97000VCE Muni","YTW_SPREAD_TO_MATURITY_AT_ISSU")</f>
        <v>96.329103241687775</v>
      </c>
      <c r="O1973" t="str">
        <f>_xll.BDP("97000VCE Muni","BVAL_MID_YTM")</f>
        <v>#N/A Authorization</v>
      </c>
      <c r="P1973" t="str">
        <f>_xll.BDP("97000VCE Muni","MUNI_TAX_PROV")</f>
        <v>FED BQ</v>
      </c>
      <c r="Q1973" t="str">
        <f>_xll.BDP("97000VCE Muni","MUNI_FED_TAX")</f>
        <v>N</v>
      </c>
      <c r="R1973" t="str">
        <f>_xll.BDP("97000VCE Muni","MUNI_MSRB_VOLUME")</f>
        <v>#N/A N/A</v>
      </c>
      <c r="S1973" t="str">
        <f>_xll.BDP("97000VCE Muni","BB_COMPOSITE")</f>
        <v>#N/A N/A</v>
      </c>
      <c r="T1973">
        <f>_xll.BDP("97000VCE Muni","LQA_LIQUIDITY_SCORE")</f>
        <v>79</v>
      </c>
    </row>
    <row r="1974" spans="1:20" x14ac:dyDescent="0.25">
      <c r="A1974" t="str">
        <f>_xll.BDP("97000VCF Muni","ID_CUSIP")</f>
        <v>97000VCF2</v>
      </c>
      <c r="B1974" t="s">
        <v>512</v>
      </c>
      <c r="C1974" t="str">
        <f>_xll.BDP("97000VCF Muni","INSURANCE_STATUS")</f>
        <v>N</v>
      </c>
      <c r="D1974" t="str">
        <f>_xll.BDP("97000VCF Muni","STATE_CODE")</f>
        <v>TX</v>
      </c>
      <c r="E1974" t="str">
        <f>_xll.BDP("97000VCF Muni","COUNTY_LOCATION_ISSUER")</f>
        <v>Williamson, TX</v>
      </c>
      <c r="F1974">
        <f>_xll.BDP("97000VCF Muni","DUR_ADJ_MID")</f>
        <v>1.9908291385902479</v>
      </c>
      <c r="G1974">
        <f>_xll.BDP("97000VCF Muni","SPREAD_AT_ISSUANCE_TO_WORST")</f>
        <v>99.949941538257875</v>
      </c>
      <c r="H1974" t="str">
        <f>_xll.BDP("97000VCF Muni","ISSUE_DT")</f>
        <v>6/8/2017</v>
      </c>
      <c r="I1974" t="str">
        <f>_xll.BDS("97000VCF Muni","MUNI_PURPOSE_SCHED", "aggregate=y")</f>
        <v>WATER UTILITY IMPS. SEWER IMPS.</v>
      </c>
      <c r="J1974">
        <f>_xll.BDP("97000VCF Muni","CPN")</f>
        <v>2.75</v>
      </c>
      <c r="K1974" t="str">
        <f>_xll.BDP("97000VCF Muni","MATURITY")</f>
        <v>9/1/2024</v>
      </c>
      <c r="L1974">
        <v>50000</v>
      </c>
      <c r="M1974">
        <f>_xll.BDP("97000VCF Muni","YIELD_ON_ISSUE_DATE")</f>
        <v>2.75</v>
      </c>
      <c r="N1974">
        <f>_xll.BDP("97000VCF Muni","YTW_SPREAD_TO_MATURITY_AT_ISSU")</f>
        <v>99.949941538257875</v>
      </c>
      <c r="O1974" t="str">
        <f>_xll.BDP("97000VCF Muni","BVAL_MID_YTM")</f>
        <v>#N/A Authorization</v>
      </c>
      <c r="P1974" t="str">
        <f>_xll.BDP("97000VCF Muni","MUNI_TAX_PROV")</f>
        <v>FED BQ</v>
      </c>
      <c r="Q1974" t="str">
        <f>_xll.BDP("97000VCF Muni","MUNI_FED_TAX")</f>
        <v>N</v>
      </c>
      <c r="R1974" t="str">
        <f>_xll.BDP("97000VCF Muni","MUNI_MSRB_VOLUME")</f>
        <v>#N/A N/A</v>
      </c>
      <c r="S1974" t="str">
        <f>_xll.BDP("97000VCF Muni","BB_COMPOSITE")</f>
        <v>#N/A N/A</v>
      </c>
      <c r="T1974">
        <f>_xll.BDP("97000VCF Muni","LQA_LIQUIDITY_SCORE")</f>
        <v>65</v>
      </c>
    </row>
    <row r="1975" spans="1:20" x14ac:dyDescent="0.25">
      <c r="A1975" t="str">
        <f>_xll.BDP("97000WDF Muni","ID_CUSIP")</f>
        <v>97000WDF9</v>
      </c>
      <c r="B1975" t="s">
        <v>513</v>
      </c>
      <c r="C1975" t="str">
        <f>_xll.BDP("97000WDF Muni","INSURANCE_STATUS")</f>
        <v>Y</v>
      </c>
      <c r="D1975" t="str">
        <f>_xll.BDP("97000WDF Muni","STATE_CODE")</f>
        <v>TX</v>
      </c>
      <c r="E1975" t="str">
        <f>_xll.BDP("97000WDF Muni","COUNTY_LOCATION_ISSUER")</f>
        <v>Williamson, TX</v>
      </c>
      <c r="F1975">
        <f>_xll.BDP("97000WDF Muni","DUR_ADJ_MID")</f>
        <v>3.6094427581768188E-2</v>
      </c>
      <c r="G1975">
        <f>_xll.BDP("97000WDF Muni","SPREAD_AT_ISSUANCE_TO_WORST")</f>
        <v>88.123032964794461</v>
      </c>
      <c r="H1975" t="str">
        <f>_xll.BDP("97000WDF Muni","ISSUE_DT")</f>
        <v>9/28/2017</v>
      </c>
      <c r="I1975" t="str">
        <f>_xll.BDS("97000WDF Muni","MUNI_PURPOSE_SCHED", "aggregate=y")</f>
        <v>WATER UTILITY IMPS. SEWER IMPS.</v>
      </c>
      <c r="J1975">
        <f>_xll.BDP("97000WDF Muni","CPN")</f>
        <v>5</v>
      </c>
      <c r="K1975" t="str">
        <f>_xll.BDP("97000WDF Muni","MATURITY")</f>
        <v>8/15/2022</v>
      </c>
      <c r="L1975">
        <v>185000</v>
      </c>
      <c r="M1975">
        <f>_xll.BDP("97000WDF Muni","YIELD_ON_ISSUE_DATE")</f>
        <v>2</v>
      </c>
      <c r="N1975">
        <f>_xll.BDP("97000WDF Muni","YTW_SPREAD_TO_MATURITY_AT_ISSU")</f>
        <v>88.123032964794461</v>
      </c>
      <c r="O1975" t="str">
        <f>_xll.BDP("97000WDF Muni","BVAL_MID_YTM")</f>
        <v>#N/A Authorization</v>
      </c>
      <c r="P1975" t="str">
        <f>_xll.BDP("97000WDF Muni","MUNI_TAX_PROV")</f>
        <v>FED TAX-EXEMPT</v>
      </c>
      <c r="Q1975" t="str">
        <f>_xll.BDP("97000WDF Muni","MUNI_FED_TAX")</f>
        <v>N</v>
      </c>
      <c r="R1975" t="str">
        <f>_xll.BDP("97000WDF Muni","MUNI_MSRB_VOLUME")</f>
        <v>#N/A N/A</v>
      </c>
      <c r="S1975" t="str">
        <f>_xll.BDP("97000WDF Muni","BB_COMPOSITE")</f>
        <v>AA-</v>
      </c>
      <c r="T1975">
        <f>_xll.BDP("97000WDF Muni","LQA_LIQUIDITY_SCORE")</f>
        <v>97</v>
      </c>
    </row>
    <row r="1976" spans="1:20" x14ac:dyDescent="0.25">
      <c r="A1976" t="str">
        <f>_xll.BDP("97000WDG Muni","ID_CUSIP")</f>
        <v>97000WDG7</v>
      </c>
      <c r="B1976" t="s">
        <v>513</v>
      </c>
      <c r="C1976" t="str">
        <f>_xll.BDP("97000WDG Muni","INSURANCE_STATUS")</f>
        <v>Y</v>
      </c>
      <c r="D1976" t="str">
        <f>_xll.BDP("97000WDG Muni","STATE_CODE")</f>
        <v>TX</v>
      </c>
      <c r="E1976" t="str">
        <f>_xll.BDP("97000WDG Muni","COUNTY_LOCATION_ISSUER")</f>
        <v>Williamson, TX</v>
      </c>
      <c r="F1976">
        <f>_xll.BDP("97000WDG Muni","DUR_ADJ_MID")</f>
        <v>0.99140746417872849</v>
      </c>
      <c r="G1976">
        <f>_xll.BDP("97000WDG Muni","SPREAD_AT_ISSUANCE_TO_WORST")</f>
        <v>88.400082894588721</v>
      </c>
      <c r="H1976" t="str">
        <f>_xll.BDP("97000WDG Muni","ISSUE_DT")</f>
        <v>9/28/2017</v>
      </c>
      <c r="I1976" t="str">
        <f>_xll.BDS("97000WDG Muni","MUNI_PURPOSE_SCHED", "aggregate=y")</f>
        <v>WATER UTILITY IMPS. SEWER IMPS.</v>
      </c>
      <c r="J1976">
        <f>_xll.BDP("97000WDG Muni","CPN")</f>
        <v>5</v>
      </c>
      <c r="K1976" t="str">
        <f>_xll.BDP("97000WDG Muni","MATURITY")</f>
        <v>8/15/2023</v>
      </c>
      <c r="L1976">
        <v>195000</v>
      </c>
      <c r="M1976">
        <f>_xll.BDP("97000WDG Muni","YIELD_ON_ISSUE_DATE")</f>
        <v>2.15</v>
      </c>
      <c r="N1976">
        <f>_xll.BDP("97000WDG Muni","YTW_SPREAD_TO_MATURITY_AT_ISSU")</f>
        <v>88.400082894588721</v>
      </c>
      <c r="O1976" t="str">
        <f>_xll.BDP("97000WDG Muni","BVAL_MID_YTM")</f>
        <v>#N/A Authorization</v>
      </c>
      <c r="P1976" t="str">
        <f>_xll.BDP("97000WDG Muni","MUNI_TAX_PROV")</f>
        <v>FED TAX-EXEMPT</v>
      </c>
      <c r="Q1976" t="str">
        <f>_xll.BDP("97000WDG Muni","MUNI_FED_TAX")</f>
        <v>N</v>
      </c>
      <c r="R1976" t="str">
        <f>_xll.BDP("97000WDG Muni","MUNI_MSRB_VOLUME")</f>
        <v>#N/A N/A</v>
      </c>
      <c r="S1976" t="str">
        <f>_xll.BDP("97000WDG Muni","BB_COMPOSITE")</f>
        <v>AA-</v>
      </c>
      <c r="T1976">
        <f>_xll.BDP("97000WDG Muni","LQA_LIQUIDITY_SCORE")</f>
        <v>90</v>
      </c>
    </row>
    <row r="1977" spans="1:20" x14ac:dyDescent="0.25">
      <c r="A1977" t="str">
        <f>_xll.BDP("97000WDH Muni","ID_CUSIP")</f>
        <v>97000WDH5</v>
      </c>
      <c r="B1977" t="s">
        <v>513</v>
      </c>
      <c r="C1977" t="str">
        <f>_xll.BDP("97000WDH Muni","INSURANCE_STATUS")</f>
        <v>Y</v>
      </c>
      <c r="D1977" t="str">
        <f>_xll.BDP("97000WDH Muni","STATE_CODE")</f>
        <v>TX</v>
      </c>
      <c r="E1977" t="str">
        <f>_xll.BDP("97000WDH Muni","COUNTY_LOCATION_ISSUER")</f>
        <v>Williamson, TX</v>
      </c>
      <c r="F1977">
        <f>_xll.BDP("97000WDH Muni","DUR_ADJ_MID")</f>
        <v>1.9013882851899828</v>
      </c>
      <c r="G1977">
        <f>_xll.BDP("97000WDH Muni","SPREAD_AT_ISSUANCE_TO_WORST")</f>
        <v>88.3438269105133</v>
      </c>
      <c r="H1977" t="str">
        <f>_xll.BDP("97000WDH Muni","ISSUE_DT")</f>
        <v>9/28/2017</v>
      </c>
      <c r="I1977" t="str">
        <f>_xll.BDS("97000WDH Muni","MUNI_PURPOSE_SCHED", "aggregate=y")</f>
        <v>WATER UTILITY IMPS. SEWER IMPS.</v>
      </c>
      <c r="J1977">
        <f>_xll.BDP("97000WDH Muni","CPN")</f>
        <v>5</v>
      </c>
      <c r="K1977" t="str">
        <f>_xll.BDP("97000WDH Muni","MATURITY")</f>
        <v>8/15/2024</v>
      </c>
      <c r="L1977">
        <v>205000</v>
      </c>
      <c r="M1977">
        <f>_xll.BDP("97000WDH Muni","YIELD_ON_ISSUE_DATE")</f>
        <v>2.3000000000000003</v>
      </c>
      <c r="N1977">
        <f>_xll.BDP("97000WDH Muni","YTW_SPREAD_TO_MATURITY_AT_ISSU")</f>
        <v>88.3438269105133</v>
      </c>
      <c r="O1977" t="str">
        <f>_xll.BDP("97000WDH Muni","BVAL_MID_YTM")</f>
        <v>#N/A Authorization</v>
      </c>
      <c r="P1977" t="str">
        <f>_xll.BDP("97000WDH Muni","MUNI_TAX_PROV")</f>
        <v>FED TAX-EXEMPT</v>
      </c>
      <c r="Q1977" t="str">
        <f>_xll.BDP("97000WDH Muni","MUNI_FED_TAX")</f>
        <v>N</v>
      </c>
      <c r="R1977">
        <f>_xll.BDP("97000WDH Muni","MUNI_MSRB_VOLUME")</f>
        <v>60000</v>
      </c>
      <c r="S1977" t="str">
        <f>_xll.BDP("97000WDH Muni","BB_COMPOSITE")</f>
        <v>AA-</v>
      </c>
      <c r="T1977">
        <f>_xll.BDP("97000WDH Muni","LQA_LIQUIDITY_SCORE")</f>
        <v>83</v>
      </c>
    </row>
    <row r="1978" spans="1:20" x14ac:dyDescent="0.25">
      <c r="A1978" t="str">
        <f>_xll.BDP("97001LCL Muni","ID_CUSIP")</f>
        <v>97001LCL0</v>
      </c>
      <c r="B1978" t="s">
        <v>514</v>
      </c>
      <c r="C1978" t="str">
        <f>_xll.BDP("97001LCL Muni","INSURANCE_STATUS")</f>
        <v>N</v>
      </c>
      <c r="D1978" t="str">
        <f>_xll.BDP("97001LCL Muni","STATE_CODE")</f>
        <v>TX</v>
      </c>
      <c r="E1978" t="str">
        <f>_xll.BDP("97001LCL Muni","COUNTY_LOCATION_ISSUER")</f>
        <v>Travis, TX</v>
      </c>
      <c r="F1978">
        <f>_xll.BDP("97001LCL Muni","DUR_ADJ_MID")</f>
        <v>3.6091104725966022E-2</v>
      </c>
      <c r="G1978">
        <f>_xll.BDP("97001LCL Muni","SPREAD_AT_ISSUANCE_TO_WORST")</f>
        <v>106.52487827015757</v>
      </c>
      <c r="H1978" t="str">
        <f>_xll.BDP("97001LCL Muni","ISSUE_DT")</f>
        <v>9/7/2017</v>
      </c>
      <c r="I1978" t="str">
        <f>_xll.BDS("97001LCL Muni","MUNI_PURPOSE_SCHED", "aggregate=y")</f>
        <v>WATER UTILITY IMPS. SEWER IMPS.</v>
      </c>
      <c r="J1978">
        <f>_xll.BDP("97001LCL Muni","CPN")</f>
        <v>3</v>
      </c>
      <c r="K1978" t="str">
        <f>_xll.BDP("97001LCL Muni","MATURITY")</f>
        <v>8/15/2022</v>
      </c>
      <c r="L1978">
        <v>60000</v>
      </c>
      <c r="M1978">
        <f>_xll.BDP("97001LCL Muni","YIELD_ON_ISSUE_DATE")</f>
        <v>2.2000000000000002</v>
      </c>
      <c r="N1978">
        <f>_xll.BDP("97001LCL Muni","YTW_SPREAD_TO_MATURITY_AT_ISSU")</f>
        <v>106.52487827015757</v>
      </c>
      <c r="O1978" t="str">
        <f>_xll.BDP("97001LCL Muni","BVAL_MID_YTM")</f>
        <v>#N/A Authorization</v>
      </c>
      <c r="P1978" t="str">
        <f>_xll.BDP("97001LCL Muni","MUNI_TAX_PROV")</f>
        <v>FED BQ</v>
      </c>
      <c r="Q1978" t="str">
        <f>_xll.BDP("97001LCL Muni","MUNI_FED_TAX")</f>
        <v>N</v>
      </c>
      <c r="R1978" t="str">
        <f>_xll.BDP("97001LCL Muni","MUNI_MSRB_VOLUME")</f>
        <v>#N/A N/A</v>
      </c>
      <c r="S1978" t="str">
        <f>_xll.BDP("97001LCL Muni","BB_COMPOSITE")</f>
        <v>#N/A N/A</v>
      </c>
      <c r="T1978">
        <f>_xll.BDP("97001LCL Muni","LQA_LIQUIDITY_SCORE")</f>
        <v>99</v>
      </c>
    </row>
    <row r="1979" spans="1:20" x14ac:dyDescent="0.25">
      <c r="A1979" t="str">
        <f>_xll.BDP("97001LCM Muni","ID_CUSIP")</f>
        <v>97001LCM8</v>
      </c>
      <c r="B1979" t="s">
        <v>514</v>
      </c>
      <c r="C1979" t="str">
        <f>_xll.BDP("97001LCM Muni","INSURANCE_STATUS")</f>
        <v>N</v>
      </c>
      <c r="D1979" t="str">
        <f>_xll.BDP("97001LCM Muni","STATE_CODE")</f>
        <v>TX</v>
      </c>
      <c r="E1979" t="str">
        <f>_xll.BDP("97001LCM Muni","COUNTY_LOCATION_ISSUER")</f>
        <v>Travis, TX</v>
      </c>
      <c r="F1979">
        <f>_xll.BDP("97001LCM Muni","DUR_ADJ_MID")</f>
        <v>1.0035358550135671</v>
      </c>
      <c r="G1979">
        <f>_xll.BDP("97001LCM Muni","SPREAD_AT_ISSUANCE_TO_WORST")</f>
        <v>111.77102936090138</v>
      </c>
      <c r="H1979" t="str">
        <f>_xll.BDP("97001LCM Muni","ISSUE_DT")</f>
        <v>9/7/2017</v>
      </c>
      <c r="I1979" t="str">
        <f>_xll.BDS("97001LCM Muni","MUNI_PURPOSE_SCHED", "aggregate=y")</f>
        <v>WATER UTILITY IMPS. SEWER IMPS.</v>
      </c>
      <c r="J1979">
        <f>_xll.BDP("97001LCM Muni","CPN")</f>
        <v>3</v>
      </c>
      <c r="K1979" t="str">
        <f>_xll.BDP("97001LCM Muni","MATURITY")</f>
        <v>8/15/2023</v>
      </c>
      <c r="L1979">
        <v>60000</v>
      </c>
      <c r="M1979">
        <f>_xll.BDP("97001LCM Muni","YIELD_ON_ISSUE_DATE")</f>
        <v>2.4000000000000004</v>
      </c>
      <c r="N1979">
        <f>_xll.BDP("97001LCM Muni","YTW_SPREAD_TO_MATURITY_AT_ISSU")</f>
        <v>111.77102936090138</v>
      </c>
      <c r="O1979" t="str">
        <f>_xll.BDP("97001LCM Muni","BVAL_MID_YTM")</f>
        <v>#N/A Authorization</v>
      </c>
      <c r="P1979" t="str">
        <f>_xll.BDP("97001LCM Muni","MUNI_TAX_PROV")</f>
        <v>FED BQ</v>
      </c>
      <c r="Q1979" t="str">
        <f>_xll.BDP("97001LCM Muni","MUNI_FED_TAX")</f>
        <v>N</v>
      </c>
      <c r="R1979" t="str">
        <f>_xll.BDP("97001LCM Muni","MUNI_MSRB_VOLUME")</f>
        <v>#N/A N/A</v>
      </c>
      <c r="S1979" t="str">
        <f>_xll.BDP("97001LCM Muni","BB_COMPOSITE")</f>
        <v>#N/A N/A</v>
      </c>
      <c r="T1979">
        <f>_xll.BDP("97001LCM Muni","LQA_LIQUIDITY_SCORE")</f>
        <v>85</v>
      </c>
    </row>
    <row r="1980" spans="1:20" x14ac:dyDescent="0.25">
      <c r="A1980" t="str">
        <f>_xll.BDP("97001LCN Muni","ID_CUSIP")</f>
        <v>97001LCN6</v>
      </c>
      <c r="B1980" t="s">
        <v>514</v>
      </c>
      <c r="C1980" t="str">
        <f>_xll.BDP("97001LCN Muni","INSURANCE_STATUS")</f>
        <v>N</v>
      </c>
      <c r="D1980" t="str">
        <f>_xll.BDP("97001LCN Muni","STATE_CODE")</f>
        <v>TX</v>
      </c>
      <c r="E1980" t="str">
        <f>_xll.BDP("97001LCN Muni","COUNTY_LOCATION_ISSUER")</f>
        <v>Travis, TX</v>
      </c>
      <c r="F1980">
        <f>_xll.BDP("97001LCN Muni","DUR_ADJ_MID")</f>
        <v>1.9408977518962571</v>
      </c>
      <c r="G1980">
        <f>_xll.BDP("97001LCN Muni","SPREAD_AT_ISSUANCE_TO_WORST")</f>
        <v>116.68935172465149</v>
      </c>
      <c r="H1980" t="str">
        <f>_xll.BDP("97001LCN Muni","ISSUE_DT")</f>
        <v>9/7/2017</v>
      </c>
      <c r="I1980" t="str">
        <f>_xll.BDS("97001LCN Muni","MUNI_PURPOSE_SCHED", "aggregate=y")</f>
        <v>WATER UTILITY IMPS. SEWER IMPS.</v>
      </c>
      <c r="J1980">
        <f>_xll.BDP("97001LCN Muni","CPN")</f>
        <v>3</v>
      </c>
      <c r="K1980" t="str">
        <f>_xll.BDP("97001LCN Muni","MATURITY")</f>
        <v>8/15/2024</v>
      </c>
      <c r="L1980">
        <v>65000</v>
      </c>
      <c r="M1980">
        <f>_xll.BDP("97001LCN Muni","YIELD_ON_ISSUE_DATE")</f>
        <v>2.6</v>
      </c>
      <c r="N1980">
        <f>_xll.BDP("97001LCN Muni","YTW_SPREAD_TO_MATURITY_AT_ISSU")</f>
        <v>116.68935172465149</v>
      </c>
      <c r="O1980" t="str">
        <f>_xll.BDP("97001LCN Muni","BVAL_MID_YTM")</f>
        <v>#N/A Authorization</v>
      </c>
      <c r="P1980" t="str">
        <f>_xll.BDP("97001LCN Muni","MUNI_TAX_PROV")</f>
        <v>FED BQ</v>
      </c>
      <c r="Q1980" t="str">
        <f>_xll.BDP("97001LCN Muni","MUNI_FED_TAX")</f>
        <v>N</v>
      </c>
      <c r="R1980" t="str">
        <f>_xll.BDP("97001LCN Muni","MUNI_MSRB_VOLUME")</f>
        <v>#N/A N/A</v>
      </c>
      <c r="S1980" t="str">
        <f>_xll.BDP("97001LCN Muni","BB_COMPOSITE")</f>
        <v>#N/A N/A</v>
      </c>
      <c r="T1980">
        <f>_xll.BDP("97001LCN Muni","LQA_LIQUIDITY_SCORE")</f>
        <v>71</v>
      </c>
    </row>
    <row r="1981" spans="1:20" x14ac:dyDescent="0.25">
      <c r="A1981" t="str">
        <f>_xll.BDP("953837FU Muni","ID_CUSIP")</f>
        <v>953837FU0</v>
      </c>
      <c r="B1981" t="s">
        <v>515</v>
      </c>
      <c r="C1981" t="str">
        <f>_xll.BDP("953837FU Muni","INSURANCE_STATUS")</f>
        <v>N</v>
      </c>
      <c r="D1981" t="str">
        <f>_xll.BDP("953837FU Muni","STATE_CODE")</f>
        <v>IA</v>
      </c>
      <c r="E1981" t="str">
        <f>_xll.BDP("953837FU Muni","COUNTY_LOCATION_ISSUER")</f>
        <v>Muscatine, IA</v>
      </c>
      <c r="F1981">
        <f>_xll.BDP("953837FU Muni","DUR_ADJ_MID")</f>
        <v>0.8178566529121174</v>
      </c>
      <c r="G1981">
        <f>_xll.BDP("953837FU Muni","SPREAD_AT_ISSUANCE_TO_WORST")</f>
        <v>43.159793799741777</v>
      </c>
      <c r="H1981" t="str">
        <f>_xll.BDP("953837FU Muni","ISSUE_DT")</f>
        <v>6/1/2017</v>
      </c>
      <c r="I1981" t="str">
        <f>_xll.BDS("953837FU Muni","MUNI_PURPOSE_SCHED", "aggregate=y")</f>
        <v>PUBLIC IMPS. WATER UTILITY IMPS. SEWER IMPS.</v>
      </c>
      <c r="J1981">
        <f>_xll.BDP("953837FU Muni","CPN")</f>
        <v>3</v>
      </c>
      <c r="K1981" t="str">
        <f>_xll.BDP("953837FU Muni","MATURITY")</f>
        <v>6/1/2023</v>
      </c>
      <c r="L1981">
        <v>100000</v>
      </c>
      <c r="M1981">
        <f>_xll.BDP("953837FU Muni","YIELD_ON_ISSUE_DATE")</f>
        <v>2</v>
      </c>
      <c r="N1981">
        <f>_xll.BDP("953837FU Muni","YTW_SPREAD_TO_MATURITY_AT_ISSU")</f>
        <v>43.159793799741777</v>
      </c>
      <c r="O1981" t="str">
        <f>_xll.BDP("953837FU Muni","BVAL_MID_YTM")</f>
        <v>#N/A Authorization</v>
      </c>
      <c r="P1981" t="str">
        <f>_xll.BDP("953837FU Muni","MUNI_TAX_PROV")</f>
        <v>FED BQ</v>
      </c>
      <c r="Q1981" t="str">
        <f>_xll.BDP("953837FU Muni","MUNI_FED_TAX")</f>
        <v>N</v>
      </c>
      <c r="R1981" t="str">
        <f>_xll.BDP("953837FU Muni","MUNI_MSRB_VOLUME")</f>
        <v>#N/A N/A</v>
      </c>
      <c r="S1981" t="str">
        <f>_xll.BDP("953837FU Muni","BB_COMPOSITE")</f>
        <v>#N/A N/A</v>
      </c>
      <c r="T1981">
        <f>_xll.BDP("953837FU Muni","LQA_LIQUIDITY_SCORE")</f>
        <v>72</v>
      </c>
    </row>
    <row r="1982" spans="1:20" x14ac:dyDescent="0.25">
      <c r="A1982" t="str">
        <f>_xll.BDP("953837FV Muni","ID_CUSIP")</f>
        <v>953837FV8</v>
      </c>
      <c r="B1982" t="s">
        <v>515</v>
      </c>
      <c r="C1982" t="str">
        <f>_xll.BDP("953837FV Muni","INSURANCE_STATUS")</f>
        <v>N</v>
      </c>
      <c r="D1982" t="str">
        <f>_xll.BDP("953837FV Muni","STATE_CODE")</f>
        <v>IA</v>
      </c>
      <c r="E1982" t="str">
        <f>_xll.BDP("953837FV Muni","COUNTY_LOCATION_ISSUER")</f>
        <v>Muscatine, IA</v>
      </c>
      <c r="F1982">
        <f>_xll.BDP("953837FV Muni","DUR_ADJ_MID")</f>
        <v>1.7724200897699103</v>
      </c>
      <c r="G1982">
        <f>_xll.BDP("953837FV Muni","SPREAD_AT_ISSUANCE_TO_WORST")</f>
        <v>41.934827172423248</v>
      </c>
      <c r="H1982" t="str">
        <f>_xll.BDP("953837FV Muni","ISSUE_DT")</f>
        <v>6/1/2017</v>
      </c>
      <c r="I1982" t="str">
        <f>_xll.BDS("953837FV Muni","MUNI_PURPOSE_SCHED", "aggregate=y")</f>
        <v>PUBLIC IMPS. WATER UTILITY IMPS. SEWER IMPS.</v>
      </c>
      <c r="J1982">
        <f>_xll.BDP("953837FV Muni","CPN")</f>
        <v>3</v>
      </c>
      <c r="K1982" t="str">
        <f>_xll.BDP("953837FV Muni","MATURITY")</f>
        <v>6/1/2024</v>
      </c>
      <c r="L1982">
        <v>100000</v>
      </c>
      <c r="M1982">
        <f>_xll.BDP("953837FV Muni","YIELD_ON_ISSUE_DATE")</f>
        <v>2.15</v>
      </c>
      <c r="N1982">
        <f>_xll.BDP("953837FV Muni","YTW_SPREAD_TO_MATURITY_AT_ISSU")</f>
        <v>41.934827172423248</v>
      </c>
      <c r="O1982" t="str">
        <f>_xll.BDP("953837FV Muni","BVAL_MID_YTM")</f>
        <v>#N/A Authorization</v>
      </c>
      <c r="P1982" t="str">
        <f>_xll.BDP("953837FV Muni","MUNI_TAX_PROV")</f>
        <v>FED BQ</v>
      </c>
      <c r="Q1982" t="str">
        <f>_xll.BDP("953837FV Muni","MUNI_FED_TAX")</f>
        <v>N</v>
      </c>
      <c r="R1982" t="str">
        <f>_xll.BDP("953837FV Muni","MUNI_MSRB_VOLUME")</f>
        <v>#N/A N/A</v>
      </c>
      <c r="S1982" t="str">
        <f>_xll.BDP("953837FV Muni","BB_COMPOSITE")</f>
        <v>#N/A N/A</v>
      </c>
      <c r="T1982">
        <f>_xll.BDP("953837FV Muni","LQA_LIQUIDITY_SCORE")</f>
        <v>52</v>
      </c>
    </row>
    <row r="1983" spans="1:20" x14ac:dyDescent="0.25">
      <c r="A1983" t="str">
        <f>_xll.BDP("953837FW Muni","ID_CUSIP")</f>
        <v>953837FW6</v>
      </c>
      <c r="B1983" t="s">
        <v>515</v>
      </c>
      <c r="C1983" t="str">
        <f>_xll.BDP("953837FW Muni","INSURANCE_STATUS")</f>
        <v>N</v>
      </c>
      <c r="D1983" t="str">
        <f>_xll.BDP("953837FW Muni","STATE_CODE")</f>
        <v>IA</v>
      </c>
      <c r="E1983" t="str">
        <f>_xll.BDP("953837FW Muni","COUNTY_LOCATION_ISSUER")</f>
        <v>Muscatine, IA</v>
      </c>
      <c r="F1983">
        <f>_xll.BDP("953837FW Muni","DUR_ADJ_MID")</f>
        <v>2.6990510015328781</v>
      </c>
      <c r="G1983">
        <f>_xll.BDP("953837FW Muni","SPREAD_AT_ISSUANCE_TO_WORST")</f>
        <v>40.892810469530993</v>
      </c>
      <c r="H1983" t="str">
        <f>_xll.BDP("953837FW Muni","ISSUE_DT")</f>
        <v>6/1/2017</v>
      </c>
      <c r="I1983" t="str">
        <f>_xll.BDS("953837FW Muni","MUNI_PURPOSE_SCHED", "aggregate=y")</f>
        <v>PUBLIC IMPS. WATER UTILITY IMPS. SEWER IMPS.</v>
      </c>
      <c r="J1983">
        <f>_xll.BDP("953837FW Muni","CPN")</f>
        <v>3</v>
      </c>
      <c r="K1983" t="str">
        <f>_xll.BDP("953837FW Muni","MATURITY")</f>
        <v>6/1/2025</v>
      </c>
      <c r="L1983">
        <v>105000</v>
      </c>
      <c r="M1983">
        <f>_xll.BDP("953837FW Muni","YIELD_ON_ISSUE_DATE")</f>
        <v>2.3000000000000003</v>
      </c>
      <c r="N1983">
        <f>_xll.BDP("953837FW Muni","YTW_SPREAD_TO_MATURITY_AT_ISSU")</f>
        <v>40.892810469530993</v>
      </c>
      <c r="O1983" t="str">
        <f>_xll.BDP("953837FW Muni","BVAL_MID_YTM")</f>
        <v>#N/A Authorization</v>
      </c>
      <c r="P1983" t="str">
        <f>_xll.BDP("953837FW Muni","MUNI_TAX_PROV")</f>
        <v>FED BQ</v>
      </c>
      <c r="Q1983" t="str">
        <f>_xll.BDP("953837FW Muni","MUNI_FED_TAX")</f>
        <v>N</v>
      </c>
      <c r="R1983" t="str">
        <f>_xll.BDP("953837FW Muni","MUNI_MSRB_VOLUME")</f>
        <v>#N/A N/A</v>
      </c>
      <c r="S1983" t="str">
        <f>_xll.BDP("953837FW Muni","BB_COMPOSITE")</f>
        <v>#N/A N/A</v>
      </c>
      <c r="T1983">
        <f>_xll.BDP("953837FW Muni","LQA_LIQUIDITY_SCORE")</f>
        <v>39</v>
      </c>
    </row>
    <row r="1984" spans="1:20" x14ac:dyDescent="0.25">
      <c r="A1984" t="str">
        <f>_xll.BDP("954736HU Muni","ID_CUSIP")</f>
        <v>954736HU1</v>
      </c>
      <c r="B1984" t="s">
        <v>123</v>
      </c>
      <c r="C1984" t="str">
        <f>_xll.BDP("954736HU Muni","INSURANCE_STATUS")</f>
        <v>N</v>
      </c>
      <c r="D1984" t="str">
        <f>_xll.BDP("954736HU Muni","STATE_CODE")</f>
        <v>MA</v>
      </c>
      <c r="E1984" t="str">
        <f>_xll.BDP("954736HU Muni","COUNTY_LOCATION_ISSUER")</f>
        <v>Essex, MA</v>
      </c>
      <c r="F1984">
        <f>_xll.BDP("954736HU Muni","DUR_ADJ_MID")</f>
        <v>1.0767319684119669</v>
      </c>
      <c r="G1984">
        <f>_xll.BDP("954736HU Muni","SPREAD_AT_ISSUANCE_TO_WORST")</f>
        <v>9.4561925767680641</v>
      </c>
      <c r="H1984" t="str">
        <f>_xll.BDP("954736HU Muni","ISSUE_DT")</f>
        <v>9/28/2017</v>
      </c>
      <c r="I1984" t="str">
        <f>_xll.BDS("954736HU Muni","MUNI_PURPOSE_SCHED", "aggregate=y")</f>
        <v>WATER UTILITY IMPS.</v>
      </c>
      <c r="J1984">
        <f>_xll.BDP("954736HU Muni","CPN")</f>
        <v>5</v>
      </c>
      <c r="K1984" t="str">
        <f>_xll.BDP("954736HU Muni","MATURITY")</f>
        <v>9/15/2023</v>
      </c>
      <c r="L1984">
        <v>40000</v>
      </c>
      <c r="M1984">
        <f>_xll.BDP("954736HU Muni","YIELD_ON_ISSUE_DATE")</f>
        <v>1.4000000000000001</v>
      </c>
      <c r="N1984">
        <f>_xll.BDP("954736HU Muni","YTW_SPREAD_TO_MATURITY_AT_ISSU")</f>
        <v>9.4561925767680641</v>
      </c>
      <c r="O1984" t="str">
        <f>_xll.BDP("954736HU Muni","BVAL_MID_YTM")</f>
        <v>#N/A Authorization</v>
      </c>
      <c r="P1984" t="str">
        <f>_xll.BDP("954736HU Muni","MUNI_TAX_PROV")</f>
        <v>FED BQ/ST TAX-EXEMPT</v>
      </c>
      <c r="Q1984" t="str">
        <f>_xll.BDP("954736HU Muni","MUNI_FED_TAX")</f>
        <v>N</v>
      </c>
      <c r="R1984" t="str">
        <f>_xll.BDP("954736HU Muni","MUNI_MSRB_VOLUME")</f>
        <v>#N/A N/A</v>
      </c>
      <c r="S1984" t="str">
        <f>_xll.BDP("954736HU Muni","BB_COMPOSITE")</f>
        <v>#N/A N/A</v>
      </c>
      <c r="T1984">
        <f>_xll.BDP("954736HU Muni","LQA_LIQUIDITY_SCORE")</f>
        <v>89</v>
      </c>
    </row>
    <row r="1985" spans="1:20" x14ac:dyDescent="0.25">
      <c r="A1985" t="str">
        <f>_xll.BDP("954736HV Muni","ID_CUSIP")</f>
        <v>954736HV9</v>
      </c>
      <c r="B1985" t="s">
        <v>123</v>
      </c>
      <c r="C1985" t="str">
        <f>_xll.BDP("954736HV Muni","INSURANCE_STATUS")</f>
        <v>N</v>
      </c>
      <c r="D1985" t="str">
        <f>_xll.BDP("954736HV Muni","STATE_CODE")</f>
        <v>MA</v>
      </c>
      <c r="E1985" t="str">
        <f>_xll.BDP("954736HV Muni","COUNTY_LOCATION_ISSUER")</f>
        <v>Essex, MA</v>
      </c>
      <c r="F1985">
        <f>_xll.BDP("954736HV Muni","DUR_ADJ_MID")</f>
        <v>1.9900698777709775</v>
      </c>
      <c r="G1985">
        <f>_xll.BDP("954736HV Muni","SPREAD_AT_ISSUANCE_TO_WORST")</f>
        <v>9.7498984346494169</v>
      </c>
      <c r="H1985" t="str">
        <f>_xll.BDP("954736HV Muni","ISSUE_DT")</f>
        <v>9/28/2017</v>
      </c>
      <c r="I1985" t="str">
        <f>_xll.BDS("954736HV Muni","MUNI_PURPOSE_SCHED", "aggregate=y")</f>
        <v>WATER UTILITY IMPS.</v>
      </c>
      <c r="J1985">
        <f>_xll.BDP("954736HV Muni","CPN")</f>
        <v>5</v>
      </c>
      <c r="K1985" t="str">
        <f>_xll.BDP("954736HV Muni","MATURITY")</f>
        <v>9/15/2024</v>
      </c>
      <c r="L1985">
        <v>40000</v>
      </c>
      <c r="M1985">
        <f>_xll.BDP("954736HV Muni","YIELD_ON_ISSUE_DATE")</f>
        <v>1.55</v>
      </c>
      <c r="N1985">
        <f>_xll.BDP("954736HV Muni","YTW_SPREAD_TO_MATURITY_AT_ISSU")</f>
        <v>9.7498984346494169</v>
      </c>
      <c r="O1985" t="str">
        <f>_xll.BDP("954736HV Muni","BVAL_MID_YTM")</f>
        <v>#N/A Authorization</v>
      </c>
      <c r="P1985" t="str">
        <f>_xll.BDP("954736HV Muni","MUNI_TAX_PROV")</f>
        <v>FED BQ/ST TAX-EXEMPT</v>
      </c>
      <c r="Q1985" t="str">
        <f>_xll.BDP("954736HV Muni","MUNI_FED_TAX")</f>
        <v>N</v>
      </c>
      <c r="R1985" t="str">
        <f>_xll.BDP("954736HV Muni","MUNI_MSRB_VOLUME")</f>
        <v>#N/A N/A</v>
      </c>
      <c r="S1985" t="str">
        <f>_xll.BDP("954736HV Muni","BB_COMPOSITE")</f>
        <v>#N/A N/A</v>
      </c>
      <c r="T1985">
        <f>_xll.BDP("954736HV Muni","LQA_LIQUIDITY_SCORE")</f>
        <v>81</v>
      </c>
    </row>
    <row r="1986" spans="1:20" x14ac:dyDescent="0.25">
      <c r="A1986" t="str">
        <f>_xll.BDP("954736HW Muni","ID_CUSIP")</f>
        <v>954736HW7</v>
      </c>
      <c r="B1986" t="s">
        <v>123</v>
      </c>
      <c r="C1986" t="str">
        <f>_xll.BDP("954736HW Muni","INSURANCE_STATUS")</f>
        <v>N</v>
      </c>
      <c r="D1986" t="str">
        <f>_xll.BDP("954736HW Muni","STATE_CODE")</f>
        <v>MA</v>
      </c>
      <c r="E1986" t="str">
        <f>_xll.BDP("954736HW Muni","COUNTY_LOCATION_ISSUER")</f>
        <v>Essex, MA</v>
      </c>
      <c r="F1986">
        <f>_xll.BDP("954736HW Muni","DUR_ADJ_MID")</f>
        <v>2.8648606556122496</v>
      </c>
      <c r="G1986">
        <f>_xll.BDP("954736HW Muni","SPREAD_AT_ISSUANCE_TO_WORST")</f>
        <v>14.976123126432729</v>
      </c>
      <c r="H1986" t="str">
        <f>_xll.BDP("954736HW Muni","ISSUE_DT")</f>
        <v>9/28/2017</v>
      </c>
      <c r="I1986" t="str">
        <f>_xll.BDS("954736HW Muni","MUNI_PURPOSE_SCHED", "aggregate=y")</f>
        <v>WATER UTILITY IMPS.</v>
      </c>
      <c r="J1986">
        <f>_xll.BDP("954736HW Muni","CPN")</f>
        <v>5</v>
      </c>
      <c r="K1986" t="str">
        <f>_xll.BDP("954736HW Muni","MATURITY")</f>
        <v>9/15/2025</v>
      </c>
      <c r="L1986">
        <v>45000</v>
      </c>
      <c r="M1986">
        <f>_xll.BDP("954736HW Muni","YIELD_ON_ISSUE_DATE")</f>
        <v>1.75</v>
      </c>
      <c r="N1986">
        <f>_xll.BDP("954736HW Muni","YTW_SPREAD_TO_MATURITY_AT_ISSU")</f>
        <v>14.976123126432729</v>
      </c>
      <c r="O1986" t="str">
        <f>_xll.BDP("954736HW Muni","BVAL_MID_YTM")</f>
        <v>#N/A Authorization</v>
      </c>
      <c r="P1986" t="str">
        <f>_xll.BDP("954736HW Muni","MUNI_TAX_PROV")</f>
        <v>FED BQ/ST TAX-EXEMPT</v>
      </c>
      <c r="Q1986" t="str">
        <f>_xll.BDP("954736HW Muni","MUNI_FED_TAX")</f>
        <v>N</v>
      </c>
      <c r="R1986" t="str">
        <f>_xll.BDP("954736HW Muni","MUNI_MSRB_VOLUME")</f>
        <v>#N/A N/A</v>
      </c>
      <c r="S1986" t="str">
        <f>_xll.BDP("954736HW Muni","BB_COMPOSITE")</f>
        <v>#N/A N/A</v>
      </c>
      <c r="T1986">
        <f>_xll.BDP("954736HW Muni","LQA_LIQUIDITY_SCORE")</f>
        <v>73</v>
      </c>
    </row>
    <row r="1987" spans="1:20" x14ac:dyDescent="0.25">
      <c r="A1987" t="str">
        <f>_xll.BDP("954736HX Muni","ID_CUSIP")</f>
        <v>954736HX5</v>
      </c>
      <c r="B1987" t="s">
        <v>123</v>
      </c>
      <c r="C1987" t="str">
        <f>_xll.BDP("954736HX Muni","INSURANCE_STATUS")</f>
        <v>N</v>
      </c>
      <c r="D1987" t="str">
        <f>_xll.BDP("954736HX Muni","STATE_CODE")</f>
        <v>MA</v>
      </c>
      <c r="E1987" t="str">
        <f>_xll.BDP("954736HX Muni","COUNTY_LOCATION_ISSUER")</f>
        <v>Essex, MA</v>
      </c>
      <c r="F1987">
        <f>_xll.BDP("954736HX Muni","DUR_ADJ_MID")</f>
        <v>3.7035475456301179</v>
      </c>
      <c r="G1987">
        <f>_xll.BDP("954736HX Muni","SPREAD_AT_ISSUANCE_TO_WORST")</f>
        <v>16.833675091051536</v>
      </c>
      <c r="H1987" t="str">
        <f>_xll.BDP("954736HX Muni","ISSUE_DT")</f>
        <v>9/28/2017</v>
      </c>
      <c r="I1987" t="str">
        <f>_xll.BDS("954736HX Muni","MUNI_PURPOSE_SCHED", "aggregate=y")</f>
        <v>WATER UTILITY IMPS.</v>
      </c>
      <c r="J1987">
        <f>_xll.BDP("954736HX Muni","CPN")</f>
        <v>5</v>
      </c>
      <c r="K1987" t="str">
        <f>_xll.BDP("954736HX Muni","MATURITY")</f>
        <v>9/15/2026</v>
      </c>
      <c r="L1987">
        <v>45000</v>
      </c>
      <c r="M1987">
        <f>_xll.BDP("954736HX Muni","YIELD_ON_ISSUE_DATE")</f>
        <v>1.9000000000000001</v>
      </c>
      <c r="N1987">
        <f>_xll.BDP("954736HX Muni","YTW_SPREAD_TO_MATURITY_AT_ISSU")</f>
        <v>16.833675091051536</v>
      </c>
      <c r="O1987" t="str">
        <f>_xll.BDP("954736HX Muni","BVAL_MID_YTM")</f>
        <v>#N/A Authorization</v>
      </c>
      <c r="P1987" t="str">
        <f>_xll.BDP("954736HX Muni","MUNI_TAX_PROV")</f>
        <v>FED BQ/ST TAX-EXEMPT</v>
      </c>
      <c r="Q1987" t="str">
        <f>_xll.BDP("954736HX Muni","MUNI_FED_TAX")</f>
        <v>N</v>
      </c>
      <c r="R1987" t="str">
        <f>_xll.BDP("954736HX Muni","MUNI_MSRB_VOLUME")</f>
        <v>#N/A N/A</v>
      </c>
      <c r="S1987" t="str">
        <f>_xll.BDP("954736HX Muni","BB_COMPOSITE")</f>
        <v>#N/A N/A</v>
      </c>
      <c r="T1987">
        <f>_xll.BDP("954736HX Muni","LQA_LIQUIDITY_SCORE")</f>
        <v>65</v>
      </c>
    </row>
    <row r="1988" spans="1:20" x14ac:dyDescent="0.25">
      <c r="A1988" t="str">
        <f>_xll.BDP("954736HY Muni","ID_CUSIP")</f>
        <v>954736HY3</v>
      </c>
      <c r="B1988" t="s">
        <v>123</v>
      </c>
      <c r="C1988" t="str">
        <f>_xll.BDP("954736HY Muni","INSURANCE_STATUS")</f>
        <v>N</v>
      </c>
      <c r="D1988" t="str">
        <f>_xll.BDP("954736HY Muni","STATE_CODE")</f>
        <v>MA</v>
      </c>
      <c r="E1988" t="str">
        <f>_xll.BDP("954736HY Muni","COUNTY_LOCATION_ISSUER")</f>
        <v>Essex, MA</v>
      </c>
      <c r="F1988">
        <f>_xll.BDP("954736HY Muni","DUR_ADJ_MID")</f>
        <v>4.508279831512759</v>
      </c>
      <c r="G1988">
        <f>_xll.BDP("954736HY Muni","SPREAD_AT_ISSUANCE_TO_WORST")</f>
        <v>21.320384504493983</v>
      </c>
      <c r="H1988" t="str">
        <f>_xll.BDP("954736HY Muni","ISSUE_DT")</f>
        <v>9/28/2017</v>
      </c>
      <c r="I1988" t="str">
        <f>_xll.BDS("954736HY Muni","MUNI_PURPOSE_SCHED", "aggregate=y")</f>
        <v>WATER UTILITY IMPS.</v>
      </c>
      <c r="J1988">
        <f>_xll.BDP("954736HY Muni","CPN")</f>
        <v>5</v>
      </c>
      <c r="K1988" t="str">
        <f>_xll.BDP("954736HY Muni","MATURITY")</f>
        <v>9/15/2027</v>
      </c>
      <c r="L1988">
        <v>45000</v>
      </c>
      <c r="M1988">
        <f>_xll.BDP("954736HY Muni","YIELD_ON_ISSUE_DATE")</f>
        <v>2.0499999999999998</v>
      </c>
      <c r="N1988">
        <f>_xll.BDP("954736HY Muni","YTW_SPREAD_TO_MATURITY_AT_ISSU")</f>
        <v>21.320384504493983</v>
      </c>
      <c r="O1988" t="str">
        <f>_xll.BDP("954736HY Muni","BVAL_MID_YTM")</f>
        <v>#N/A Authorization</v>
      </c>
      <c r="P1988" t="str">
        <f>_xll.BDP("954736HY Muni","MUNI_TAX_PROV")</f>
        <v>FED BQ/ST TAX-EXEMPT</v>
      </c>
      <c r="Q1988" t="str">
        <f>_xll.BDP("954736HY Muni","MUNI_FED_TAX")</f>
        <v>N</v>
      </c>
      <c r="R1988" t="str">
        <f>_xll.BDP("954736HY Muni","MUNI_MSRB_VOLUME")</f>
        <v>#N/A N/A</v>
      </c>
      <c r="S1988" t="str">
        <f>_xll.BDP("954736HY Muni","BB_COMPOSITE")</f>
        <v>#N/A N/A</v>
      </c>
      <c r="T1988">
        <f>_xll.BDP("954736HY Muni","LQA_LIQUIDITY_SCORE")</f>
        <v>60</v>
      </c>
    </row>
    <row r="1989" spans="1:20" x14ac:dyDescent="0.25">
      <c r="A1989" t="str">
        <f>_xll.BDP("955656QJ Muni","ID_CUSIP")</f>
        <v>955656QJ5</v>
      </c>
      <c r="B1989" t="s">
        <v>516</v>
      </c>
      <c r="C1989" t="str">
        <f>_xll.BDP("955656QJ Muni","INSURANCE_STATUS")</f>
        <v>N</v>
      </c>
      <c r="D1989" t="str">
        <f>_xll.BDP("955656QJ Muni","STATE_CODE")</f>
        <v>CA</v>
      </c>
      <c r="E1989" t="str">
        <f>_xll.BDP("955656QJ Muni","COUNTY_LOCATION_ISSUER")</f>
        <v>Yolo, CA</v>
      </c>
      <c r="F1989">
        <f>_xll.BDP("955656QJ Muni","DUR_ADJ_MID")</f>
        <v>8.0449787621983862E-2</v>
      </c>
      <c r="G1989">
        <f>_xll.BDP("955656QJ Muni","SPREAD_AT_ISSUANCE_TO_WORST")</f>
        <v>115.71655352229619</v>
      </c>
      <c r="H1989" t="str">
        <f>_xll.BDP("955656QJ Muni","ISSUE_DT")</f>
        <v>9/6/2017</v>
      </c>
      <c r="I1989" t="str">
        <f>_xll.BDS("955656QJ Muni","MUNI_PURPOSE_SCHED", "aggregate=y")</f>
        <v>PUBLIC IMPS. WATER UTILITY IMPS. SEWER IMPS.</v>
      </c>
      <c r="J1989">
        <f>_xll.BDP("955656QJ Muni","CPN")</f>
        <v>2</v>
      </c>
      <c r="K1989" t="str">
        <f>_xll.BDP("955656QJ Muni","MATURITY")</f>
        <v>9/1/2022</v>
      </c>
      <c r="L1989">
        <v>130000</v>
      </c>
      <c r="M1989">
        <f>_xll.BDP("955656QJ Muni","YIELD_ON_ISSUE_DATE")</f>
        <v>2.3000000000000003</v>
      </c>
      <c r="N1989">
        <f>_xll.BDP("955656QJ Muni","YTW_SPREAD_TO_MATURITY_AT_ISSU")</f>
        <v>115.71655352229619</v>
      </c>
      <c r="O1989" t="str">
        <f>_xll.BDP("955656QJ Muni","BVAL_MID_YTM")</f>
        <v>#N/A Authorization</v>
      </c>
      <c r="P1989" t="str">
        <f>_xll.BDP("955656QJ Muni","MUNI_TAX_PROV")</f>
        <v>FED &amp; ST TAX-EXEMPT</v>
      </c>
      <c r="Q1989" t="str">
        <f>_xll.BDP("955656QJ Muni","MUNI_FED_TAX")</f>
        <v>N</v>
      </c>
      <c r="R1989" t="str">
        <f>_xll.BDP("955656QJ Muni","MUNI_MSRB_VOLUME")</f>
        <v>#N/A N/A</v>
      </c>
      <c r="S1989" t="str">
        <f>_xll.BDP("955656QJ Muni","BB_COMPOSITE")</f>
        <v>#N/A N/A</v>
      </c>
      <c r="T1989">
        <f>_xll.BDP("955656QJ Muni","LQA_LIQUIDITY_SCORE")</f>
        <v>99</v>
      </c>
    </row>
    <row r="1990" spans="1:20" x14ac:dyDescent="0.25">
      <c r="A1990" t="str">
        <f>_xll.BDP("955656QK Muni","ID_CUSIP")</f>
        <v>955656QK2</v>
      </c>
      <c r="B1990" t="s">
        <v>516</v>
      </c>
      <c r="C1990" t="str">
        <f>_xll.BDP("955656QK Muni","INSURANCE_STATUS")</f>
        <v>N</v>
      </c>
      <c r="D1990" t="str">
        <f>_xll.BDP("955656QK Muni","STATE_CODE")</f>
        <v>CA</v>
      </c>
      <c r="E1990" t="str">
        <f>_xll.BDP("955656QK Muni","COUNTY_LOCATION_ISSUER")</f>
        <v>Yolo, CA</v>
      </c>
      <c r="F1990">
        <f>_xll.BDP("955656QK Muni","DUR_ADJ_MID")</f>
        <v>1.0522018689115749</v>
      </c>
      <c r="G1990">
        <f>_xll.BDP("955656QK Muni","SPREAD_AT_ISSUANCE_TO_WORST")</f>
        <v>114.7014344137023</v>
      </c>
      <c r="H1990" t="str">
        <f>_xll.BDP("955656QK Muni","ISSUE_DT")</f>
        <v>9/6/2017</v>
      </c>
      <c r="I1990" t="str">
        <f>_xll.BDS("955656QK Muni","MUNI_PURPOSE_SCHED", "aggregate=y")</f>
        <v>PUBLIC IMPS. WATER UTILITY IMPS. SEWER IMPS.</v>
      </c>
      <c r="J1990">
        <f>_xll.BDP("955656QK Muni","CPN")</f>
        <v>2.25</v>
      </c>
      <c r="K1990" t="str">
        <f>_xll.BDP("955656QK Muni","MATURITY")</f>
        <v>9/1/2023</v>
      </c>
      <c r="L1990">
        <v>135000</v>
      </c>
      <c r="M1990">
        <f>_xll.BDP("955656QK Muni","YIELD_ON_ISSUE_DATE")</f>
        <v>2.44</v>
      </c>
      <c r="N1990">
        <f>_xll.BDP("955656QK Muni","YTW_SPREAD_TO_MATURITY_AT_ISSU")</f>
        <v>114.7014344137023</v>
      </c>
      <c r="O1990" t="str">
        <f>_xll.BDP("955656QK Muni","BVAL_MID_YTM")</f>
        <v>#N/A Authorization</v>
      </c>
      <c r="P1990" t="str">
        <f>_xll.BDP("955656QK Muni","MUNI_TAX_PROV")</f>
        <v>FED &amp; ST TAX-EXEMPT</v>
      </c>
      <c r="Q1990" t="str">
        <f>_xll.BDP("955656QK Muni","MUNI_FED_TAX")</f>
        <v>N</v>
      </c>
      <c r="R1990" t="str">
        <f>_xll.BDP("955656QK Muni","MUNI_MSRB_VOLUME")</f>
        <v>#N/A N/A</v>
      </c>
      <c r="S1990" t="str">
        <f>_xll.BDP("955656QK Muni","BB_COMPOSITE")</f>
        <v>#N/A N/A</v>
      </c>
      <c r="T1990">
        <f>_xll.BDP("955656QK Muni","LQA_LIQUIDITY_SCORE")</f>
        <v>80</v>
      </c>
    </row>
    <row r="1991" spans="1:20" x14ac:dyDescent="0.25">
      <c r="A1991" t="str">
        <f>_xll.BDP("955656QL Muni","ID_CUSIP")</f>
        <v>955656QL0</v>
      </c>
      <c r="B1991" t="s">
        <v>516</v>
      </c>
      <c r="C1991" t="str">
        <f>_xll.BDP("955656QL Muni","INSURANCE_STATUS")</f>
        <v>N</v>
      </c>
      <c r="D1991" t="str">
        <f>_xll.BDP("955656QL Muni","STATE_CODE")</f>
        <v>CA</v>
      </c>
      <c r="E1991" t="str">
        <f>_xll.BDP("955656QL Muni","COUNTY_LOCATION_ISSUER")</f>
        <v>Yolo, CA</v>
      </c>
      <c r="F1991">
        <f>_xll.BDP("955656QL Muni","DUR_ADJ_MID")</f>
        <v>2.0007070483982305</v>
      </c>
      <c r="G1991">
        <f>_xll.BDP("955656QL Muni","SPREAD_AT_ISSUANCE_TO_WORST")</f>
        <v>121.36657588990558</v>
      </c>
      <c r="H1991" t="str">
        <f>_xll.BDP("955656QL Muni","ISSUE_DT")</f>
        <v>9/6/2017</v>
      </c>
      <c r="I1991" t="str">
        <f>_xll.BDS("955656QL Muni","MUNI_PURPOSE_SCHED", "aggregate=y")</f>
        <v>PUBLIC IMPS. WATER UTILITY IMPS. SEWER IMPS.</v>
      </c>
      <c r="J1991">
        <f>_xll.BDP("955656QL Muni","CPN")</f>
        <v>2.25</v>
      </c>
      <c r="K1991" t="str">
        <f>_xll.BDP("955656QL Muni","MATURITY")</f>
        <v>9/1/2024</v>
      </c>
      <c r="L1991">
        <v>130000</v>
      </c>
      <c r="M1991">
        <f>_xll.BDP("955656QL Muni","YIELD_ON_ISSUE_DATE")</f>
        <v>2.66</v>
      </c>
      <c r="N1991">
        <f>_xll.BDP("955656QL Muni","YTW_SPREAD_TO_MATURITY_AT_ISSU")</f>
        <v>121.36657588990558</v>
      </c>
      <c r="O1991" t="str">
        <f>_xll.BDP("955656QL Muni","BVAL_MID_YTM")</f>
        <v>#N/A Authorization</v>
      </c>
      <c r="P1991" t="str">
        <f>_xll.BDP("955656QL Muni","MUNI_TAX_PROV")</f>
        <v>FED &amp; ST TAX-EXEMPT</v>
      </c>
      <c r="Q1991" t="str">
        <f>_xll.BDP("955656QL Muni","MUNI_FED_TAX")</f>
        <v>N</v>
      </c>
      <c r="R1991" t="str">
        <f>_xll.BDP("955656QL Muni","MUNI_MSRB_VOLUME")</f>
        <v>#N/A N/A</v>
      </c>
      <c r="S1991" t="str">
        <f>_xll.BDP("955656QL Muni","BB_COMPOSITE")</f>
        <v>#N/A N/A</v>
      </c>
      <c r="T1991">
        <f>_xll.BDP("955656QL Muni","LQA_LIQUIDITY_SCORE")</f>
        <v>63</v>
      </c>
    </row>
    <row r="1992" spans="1:20" x14ac:dyDescent="0.25">
      <c r="A1992" t="str">
        <f>_xll.BDP("955656QM Muni","ID_CUSIP")</f>
        <v>955656QM8</v>
      </c>
      <c r="B1992" t="s">
        <v>516</v>
      </c>
      <c r="C1992" t="str">
        <f>_xll.BDP("955656QM Muni","INSURANCE_STATUS")</f>
        <v>N</v>
      </c>
      <c r="D1992" t="str">
        <f>_xll.BDP("955656QM Muni","STATE_CODE")</f>
        <v>CA</v>
      </c>
      <c r="E1992" t="str">
        <f>_xll.BDP("955656QM Muni","COUNTY_LOCATION_ISSUER")</f>
        <v>Yolo, CA</v>
      </c>
      <c r="F1992">
        <f>_xll.BDP("955656QM Muni","DUR_ADJ_MID")</f>
        <v>2.9148188010371623</v>
      </c>
      <c r="G1992">
        <f>_xll.BDP("955656QM Muni","SPREAD_AT_ISSUANCE_TO_WORST")</f>
        <v>127.04026960622767</v>
      </c>
      <c r="H1992" t="str">
        <f>_xll.BDP("955656QM Muni","ISSUE_DT")</f>
        <v>9/6/2017</v>
      </c>
      <c r="I1992" t="str">
        <f>_xll.BDS("955656QM Muni","MUNI_PURPOSE_SCHED", "aggregate=y")</f>
        <v>PUBLIC IMPS. WATER UTILITY IMPS. SEWER IMPS.</v>
      </c>
      <c r="J1992">
        <f>_xll.BDP("955656QM Muni","CPN")</f>
        <v>2.5</v>
      </c>
      <c r="K1992" t="str">
        <f>_xll.BDP("955656QM Muni","MATURITY")</f>
        <v>9/1/2025</v>
      </c>
      <c r="L1992">
        <v>135000</v>
      </c>
      <c r="M1992">
        <f>_xll.BDP("955656QM Muni","YIELD_ON_ISSUE_DATE")</f>
        <v>2.87</v>
      </c>
      <c r="N1992">
        <f>_xll.BDP("955656QM Muni","YTW_SPREAD_TO_MATURITY_AT_ISSU")</f>
        <v>127.04026960622767</v>
      </c>
      <c r="O1992" t="str">
        <f>_xll.BDP("955656QM Muni","BVAL_MID_YTM")</f>
        <v>#N/A Authorization</v>
      </c>
      <c r="P1992" t="str">
        <f>_xll.BDP("955656QM Muni","MUNI_TAX_PROV")</f>
        <v>FED &amp; ST TAX-EXEMPT</v>
      </c>
      <c r="Q1992" t="str">
        <f>_xll.BDP("955656QM Muni","MUNI_FED_TAX")</f>
        <v>N</v>
      </c>
      <c r="R1992" t="str">
        <f>_xll.BDP("955656QM Muni","MUNI_MSRB_VOLUME")</f>
        <v>#N/A N/A</v>
      </c>
      <c r="S1992" t="str">
        <f>_xll.BDP("955656QM Muni","BB_COMPOSITE")</f>
        <v>#N/A N/A</v>
      </c>
      <c r="T1992">
        <f>_xll.BDP("955656QM Muni","LQA_LIQUIDITY_SCORE")</f>
        <v>47</v>
      </c>
    </row>
    <row r="1993" spans="1:20" x14ac:dyDescent="0.25">
      <c r="A1993" t="str">
        <f>_xll.BDP("955656QN Muni","ID_CUSIP")</f>
        <v>955656QN6</v>
      </c>
      <c r="B1993" t="s">
        <v>516</v>
      </c>
      <c r="C1993" t="str">
        <f>_xll.BDP("955656QN Muni","INSURANCE_STATUS")</f>
        <v>N</v>
      </c>
      <c r="D1993" t="str">
        <f>_xll.BDP("955656QN Muni","STATE_CODE")</f>
        <v>CA</v>
      </c>
      <c r="E1993" t="str">
        <f>_xll.BDP("955656QN Muni","COUNTY_LOCATION_ISSUER")</f>
        <v>Yolo, CA</v>
      </c>
      <c r="F1993">
        <f>_xll.BDP("955656QN Muni","DUR_ADJ_MID")</f>
        <v>3.6360994305792596</v>
      </c>
      <c r="G1993">
        <f>_xll.BDP("955656QN Muni","SPREAD_AT_ISSUANCE_TO_WORST")</f>
        <v>127.35108290409696</v>
      </c>
      <c r="H1993" t="str">
        <f>_xll.BDP("955656QN Muni","ISSUE_DT")</f>
        <v>9/6/2017</v>
      </c>
      <c r="I1993" t="str">
        <f>_xll.BDS("955656QN Muni","MUNI_PURPOSE_SCHED", "aggregate=y")</f>
        <v>PUBLIC IMPS. WATER UTILITY IMPS. SEWER IMPS.</v>
      </c>
      <c r="J1993">
        <f>_xll.BDP("955656QN Muni","CPN")</f>
        <v>5</v>
      </c>
      <c r="K1993" t="str">
        <f>_xll.BDP("955656QN Muni","MATURITY")</f>
        <v>9/1/2026</v>
      </c>
      <c r="L1993">
        <v>140000</v>
      </c>
      <c r="M1993">
        <f>_xll.BDP("955656QN Muni","YIELD_ON_ISSUE_DATE")</f>
        <v>3.0100000000000002</v>
      </c>
      <c r="N1993">
        <f>_xll.BDP("955656QN Muni","YTW_SPREAD_TO_MATURITY_AT_ISSU")</f>
        <v>127.35108290409696</v>
      </c>
      <c r="O1993" t="str">
        <f>_xll.BDP("955656QN Muni","BVAL_MID_YTM")</f>
        <v>#N/A Authorization</v>
      </c>
      <c r="P1993" t="str">
        <f>_xll.BDP("955656QN Muni","MUNI_TAX_PROV")</f>
        <v>FED &amp; ST TAX-EXEMPT</v>
      </c>
      <c r="Q1993" t="str">
        <f>_xll.BDP("955656QN Muni","MUNI_FED_TAX")</f>
        <v>N</v>
      </c>
      <c r="R1993" t="str">
        <f>_xll.BDP("955656QN Muni","MUNI_MSRB_VOLUME")</f>
        <v>#N/A N/A</v>
      </c>
      <c r="S1993" t="str">
        <f>_xll.BDP("955656QN Muni","BB_COMPOSITE")</f>
        <v>#N/A N/A</v>
      </c>
      <c r="T1993">
        <f>_xll.BDP("955656QN Muni","LQA_LIQUIDITY_SCORE")</f>
        <v>41</v>
      </c>
    </row>
    <row r="1994" spans="1:20" x14ac:dyDescent="0.25">
      <c r="A1994" t="str">
        <f>_xll.BDP("955656QP Muni","ID_CUSIP")</f>
        <v>955656QP1</v>
      </c>
      <c r="B1994" t="s">
        <v>516</v>
      </c>
      <c r="C1994" t="str">
        <f>_xll.BDP("955656QP Muni","INSURANCE_STATUS")</f>
        <v>N</v>
      </c>
      <c r="D1994" t="str">
        <f>_xll.BDP("955656QP Muni","STATE_CODE")</f>
        <v>CA</v>
      </c>
      <c r="E1994" t="str">
        <f>_xll.BDP("955656QP Muni","COUNTY_LOCATION_ISSUER")</f>
        <v>Yolo, CA</v>
      </c>
      <c r="F1994">
        <f>_xll.BDP("955656QP Muni","DUR_ADJ_MID")</f>
        <v>4.6245913539756067</v>
      </c>
      <c r="G1994">
        <f>_xll.BDP("955656QP Muni","SPREAD_AT_ISSUANCE_TO_WORST")</f>
        <v>131.20719280824343</v>
      </c>
      <c r="H1994" t="str">
        <f>_xll.BDP("955656QP Muni","ISSUE_DT")</f>
        <v>9/6/2017</v>
      </c>
      <c r="I1994" t="str">
        <f>_xll.BDS("955656QP Muni","MUNI_PURPOSE_SCHED", "aggregate=y")</f>
        <v>PUBLIC IMPS. WATER UTILITY IMPS. SEWER IMPS.</v>
      </c>
      <c r="J1994">
        <f>_xll.BDP("955656QP Muni","CPN")</f>
        <v>3</v>
      </c>
      <c r="K1994" t="str">
        <f>_xll.BDP("955656QP Muni","MATURITY")</f>
        <v>9/1/2027</v>
      </c>
      <c r="L1994">
        <v>150000</v>
      </c>
      <c r="M1994">
        <f>_xll.BDP("955656QP Muni","YIELD_ON_ISSUE_DATE")</f>
        <v>3.16</v>
      </c>
      <c r="N1994">
        <f>_xll.BDP("955656QP Muni","YTW_SPREAD_TO_MATURITY_AT_ISSU")</f>
        <v>131.20719280824343</v>
      </c>
      <c r="O1994" t="str">
        <f>_xll.BDP("955656QP Muni","BVAL_MID_YTM")</f>
        <v>#N/A Authorization</v>
      </c>
      <c r="P1994" t="str">
        <f>_xll.BDP("955656QP Muni","MUNI_TAX_PROV")</f>
        <v>FED &amp; ST TAX-EXEMPT</v>
      </c>
      <c r="Q1994" t="str">
        <f>_xll.BDP("955656QP Muni","MUNI_FED_TAX")</f>
        <v>N</v>
      </c>
      <c r="R1994" t="str">
        <f>_xll.BDP("955656QP Muni","MUNI_MSRB_VOLUME")</f>
        <v>#N/A N/A</v>
      </c>
      <c r="S1994" t="str">
        <f>_xll.BDP("955656QP Muni","BB_COMPOSITE")</f>
        <v>#N/A N/A</v>
      </c>
      <c r="T1994">
        <f>_xll.BDP("955656QP Muni","LQA_LIQUIDITY_SCORE")</f>
        <v>28</v>
      </c>
    </row>
    <row r="1995" spans="1:20" x14ac:dyDescent="0.25">
      <c r="A1995" t="str">
        <f>_xll.BDP("955657CM Muni","ID_CUSIP")</f>
        <v>955657CM1</v>
      </c>
      <c r="B1995" t="s">
        <v>517</v>
      </c>
      <c r="C1995" t="str">
        <f>_xll.BDP("955657CM Muni","INSURANCE_STATUS")</f>
        <v>Y</v>
      </c>
      <c r="D1995" t="str">
        <f>_xll.BDP("955657CM Muni","STATE_CODE")</f>
        <v>CA</v>
      </c>
      <c r="E1995" t="str">
        <f>_xll.BDP("955657CM Muni","COUNTY_LOCATION_ISSUER")</f>
        <v>Yolo, CA</v>
      </c>
      <c r="F1995">
        <f>_xll.BDP("955657CM Muni","DUR_ADJ_MID")</f>
        <v>0.16363252243468704</v>
      </c>
      <c r="G1995">
        <f>_xll.BDP("955657CM Muni","SPREAD_AT_ISSUANCE_TO_WORST")</f>
        <v>0.3079726027397145</v>
      </c>
      <c r="H1995" t="str">
        <f>_xll.BDP("955657CM Muni","ISSUE_DT")</f>
        <v>11/7/2017</v>
      </c>
      <c r="I1995" t="str">
        <f>_xll.BDS("955657CM Muni","MUNI_PURPOSE_SCHED", "aggregate=y")</f>
        <v>WATER UTILITY IMPS.</v>
      </c>
      <c r="J1995">
        <f>_xll.BDP("955657CM Muni","CPN")</f>
        <v>4</v>
      </c>
      <c r="K1995" t="str">
        <f>_xll.BDP("955657CM Muni","MATURITY")</f>
        <v>10/1/2022</v>
      </c>
      <c r="L1995">
        <v>320000</v>
      </c>
      <c r="M1995">
        <f>_xll.BDP("955657CM Muni","YIELD_ON_ISSUE_DATE")</f>
        <v>1.41</v>
      </c>
      <c r="N1995">
        <f>_xll.BDP("955657CM Muni","YTW_SPREAD_TO_MATURITY_AT_ISSU")</f>
        <v>0.3079726027397145</v>
      </c>
      <c r="O1995" t="str">
        <f>_xll.BDP("955657CM Muni","BVAL_MID_YTM")</f>
        <v>#N/A Authorization</v>
      </c>
      <c r="P1995" t="str">
        <f>_xll.BDP("955657CM Muni","MUNI_TAX_PROV")</f>
        <v>FED &amp; ST TAX-EXEMPT</v>
      </c>
      <c r="Q1995" t="str">
        <f>_xll.BDP("955657CM Muni","MUNI_FED_TAX")</f>
        <v>N</v>
      </c>
      <c r="R1995" t="str">
        <f>_xll.BDP("955657CM Muni","MUNI_MSRB_VOLUME")</f>
        <v>#N/A N/A</v>
      </c>
      <c r="S1995" t="str">
        <f>_xll.BDP("955657CM Muni","BB_COMPOSITE")</f>
        <v>#N/A N/A</v>
      </c>
      <c r="T1995">
        <f>_xll.BDP("955657CM Muni","LQA_LIQUIDITY_SCORE")</f>
        <v>96</v>
      </c>
    </row>
    <row r="1996" spans="1:20" x14ac:dyDescent="0.25">
      <c r="A1996" t="str">
        <f>_xll.BDP("955657CN Muni","ID_CUSIP")</f>
        <v>955657CN9</v>
      </c>
      <c r="B1996" t="s">
        <v>517</v>
      </c>
      <c r="C1996" t="str">
        <f>_xll.BDP("955657CN Muni","INSURANCE_STATUS")</f>
        <v>Y</v>
      </c>
      <c r="D1996" t="str">
        <f>_xll.BDP("955657CN Muni","STATE_CODE")</f>
        <v>CA</v>
      </c>
      <c r="E1996" t="str">
        <f>_xll.BDP("955657CN Muni","COUNTY_LOCATION_ISSUER")</f>
        <v>Yolo, CA</v>
      </c>
      <c r="F1996">
        <f>_xll.BDP("955657CN Muni","DUR_ADJ_MID")</f>
        <v>1.1263410866934875</v>
      </c>
      <c r="G1996">
        <f>_xll.BDP("955657CN Muni","SPREAD_AT_ISSUANCE_TO_WORST")</f>
        <v>3.8250958904109789</v>
      </c>
      <c r="H1996" t="str">
        <f>_xll.BDP("955657CN Muni","ISSUE_DT")</f>
        <v>11/7/2017</v>
      </c>
      <c r="I1996" t="str">
        <f>_xll.BDS("955657CN Muni","MUNI_PURPOSE_SCHED", "aggregate=y")</f>
        <v>WATER UTILITY IMPS.</v>
      </c>
      <c r="J1996">
        <f>_xll.BDP("955657CN Muni","CPN")</f>
        <v>4</v>
      </c>
      <c r="K1996" t="str">
        <f>_xll.BDP("955657CN Muni","MATURITY")</f>
        <v>10/1/2023</v>
      </c>
      <c r="L1996">
        <v>335000</v>
      </c>
      <c r="M1996">
        <f>_xll.BDP("955657CN Muni","YIELD_ON_ISSUE_DATE")</f>
        <v>1.57</v>
      </c>
      <c r="N1996">
        <f>_xll.BDP("955657CN Muni","YTW_SPREAD_TO_MATURITY_AT_ISSU")</f>
        <v>3.8250958904109789</v>
      </c>
      <c r="O1996" t="str">
        <f>_xll.BDP("955657CN Muni","BVAL_MID_YTM")</f>
        <v>#N/A Authorization</v>
      </c>
      <c r="P1996" t="str">
        <f>_xll.BDP("955657CN Muni","MUNI_TAX_PROV")</f>
        <v>FED &amp; ST TAX-EXEMPT</v>
      </c>
      <c r="Q1996" t="str">
        <f>_xll.BDP("955657CN Muni","MUNI_FED_TAX")</f>
        <v>N</v>
      </c>
      <c r="R1996">
        <f>_xll.BDP("955657CN Muni","MUNI_MSRB_VOLUME")</f>
        <v>60000</v>
      </c>
      <c r="S1996" t="str">
        <f>_xll.BDP("955657CN Muni","BB_COMPOSITE")</f>
        <v>#N/A N/A</v>
      </c>
      <c r="T1996">
        <f>_xll.BDP("955657CN Muni","LQA_LIQUIDITY_SCORE")</f>
        <v>88</v>
      </c>
    </row>
    <row r="1997" spans="1:20" x14ac:dyDescent="0.25">
      <c r="A1997" t="str">
        <f>_xll.BDP("955657CP Muni","ID_CUSIP")</f>
        <v>955657CP4</v>
      </c>
      <c r="B1997" t="s">
        <v>517</v>
      </c>
      <c r="C1997" t="str">
        <f>_xll.BDP("955657CP Muni","INSURANCE_STATUS")</f>
        <v>Y</v>
      </c>
      <c r="D1997" t="str">
        <f>_xll.BDP("955657CP Muni","STATE_CODE")</f>
        <v>CA</v>
      </c>
      <c r="E1997" t="str">
        <f>_xll.BDP("955657CP Muni","COUNTY_LOCATION_ISSUER")</f>
        <v>Yolo, CA</v>
      </c>
      <c r="F1997">
        <f>_xll.BDP("955657CP Muni","DUR_ADJ_MID")</f>
        <v>2.0518968088053269</v>
      </c>
      <c r="G1997">
        <f>_xll.BDP("955657CP Muni","SPREAD_AT_ISSUANCE_TO_WORST")</f>
        <v>6.9494246575342311</v>
      </c>
      <c r="H1997" t="str">
        <f>_xll.BDP("955657CP Muni","ISSUE_DT")</f>
        <v>11/7/2017</v>
      </c>
      <c r="I1997" t="str">
        <f>_xll.BDS("955657CP Muni","MUNI_PURPOSE_SCHED", "aggregate=y")</f>
        <v>WATER UTILITY IMPS.</v>
      </c>
      <c r="J1997">
        <f>_xll.BDP("955657CP Muni","CPN")</f>
        <v>4</v>
      </c>
      <c r="K1997" t="str">
        <f>_xll.BDP("955657CP Muni","MATURITY")</f>
        <v>10/1/2024</v>
      </c>
      <c r="L1997">
        <v>345000</v>
      </c>
      <c r="M1997">
        <f>_xll.BDP("955657CP Muni","YIELD_ON_ISSUE_DATE")</f>
        <v>1.73</v>
      </c>
      <c r="N1997">
        <f>_xll.BDP("955657CP Muni","YTW_SPREAD_TO_MATURITY_AT_ISSU")</f>
        <v>6.9494246575342311</v>
      </c>
      <c r="O1997" t="str">
        <f>_xll.BDP("955657CP Muni","BVAL_MID_YTM")</f>
        <v>#N/A Authorization</v>
      </c>
      <c r="P1997" t="str">
        <f>_xll.BDP("955657CP Muni","MUNI_TAX_PROV")</f>
        <v>FED &amp; ST TAX-EXEMPT</v>
      </c>
      <c r="Q1997" t="str">
        <f>_xll.BDP("955657CP Muni","MUNI_FED_TAX")</f>
        <v>N</v>
      </c>
      <c r="R1997" t="str">
        <f>_xll.BDP("955657CP Muni","MUNI_MSRB_VOLUME")</f>
        <v>#N/A N/A</v>
      </c>
      <c r="S1997" t="str">
        <f>_xll.BDP("955657CP Muni","BB_COMPOSITE")</f>
        <v>#N/A N/A</v>
      </c>
      <c r="T1997">
        <f>_xll.BDP("955657CP Muni","LQA_LIQUIDITY_SCORE")</f>
        <v>77</v>
      </c>
    </row>
    <row r="1998" spans="1:20" x14ac:dyDescent="0.25">
      <c r="A1998" t="str">
        <f>_xll.BDP("955657CQ Muni","ID_CUSIP")</f>
        <v>955657CQ2</v>
      </c>
      <c r="B1998" t="s">
        <v>517</v>
      </c>
      <c r="C1998" t="str">
        <f>_xll.BDP("955657CQ Muni","INSURANCE_STATUS")</f>
        <v>Y</v>
      </c>
      <c r="D1998" t="str">
        <f>_xll.BDP("955657CQ Muni","STATE_CODE")</f>
        <v>CA</v>
      </c>
      <c r="E1998" t="str">
        <f>_xll.BDP("955657CQ Muni","COUNTY_LOCATION_ISSUER")</f>
        <v>Yolo, CA</v>
      </c>
      <c r="F1998">
        <f>_xll.BDP("955657CQ Muni","DUR_ADJ_MID")</f>
        <v>2.9436607455212309</v>
      </c>
      <c r="G1998">
        <f>_xll.BDP("955657CQ Muni","SPREAD_AT_ISSUANCE_TO_WORST")</f>
        <v>8.0224027397260542</v>
      </c>
      <c r="H1998" t="str">
        <f>_xll.BDP("955657CQ Muni","ISSUE_DT")</f>
        <v>11/7/2017</v>
      </c>
      <c r="I1998" t="str">
        <f>_xll.BDS("955657CQ Muni","MUNI_PURPOSE_SCHED", "aggregate=y")</f>
        <v>WATER UTILITY IMPS.</v>
      </c>
      <c r="J1998">
        <f>_xll.BDP("955657CQ Muni","CPN")</f>
        <v>4</v>
      </c>
      <c r="K1998" t="str">
        <f>_xll.BDP("955657CQ Muni","MATURITY")</f>
        <v>10/1/2025</v>
      </c>
      <c r="L1998">
        <v>360000</v>
      </c>
      <c r="M1998">
        <f>_xll.BDP("955657CQ Muni","YIELD_ON_ISSUE_DATE")</f>
        <v>1.87</v>
      </c>
      <c r="N1998">
        <f>_xll.BDP("955657CQ Muni","YTW_SPREAD_TO_MATURITY_AT_ISSU")</f>
        <v>8.0224027397260542</v>
      </c>
      <c r="O1998" t="str">
        <f>_xll.BDP("955657CQ Muni","BVAL_MID_YTM")</f>
        <v>#N/A Authorization</v>
      </c>
      <c r="P1998" t="str">
        <f>_xll.BDP("955657CQ Muni","MUNI_TAX_PROV")</f>
        <v>FED &amp; ST TAX-EXEMPT</v>
      </c>
      <c r="Q1998" t="str">
        <f>_xll.BDP("955657CQ Muni","MUNI_FED_TAX")</f>
        <v>N</v>
      </c>
      <c r="R1998" t="str">
        <f>_xll.BDP("955657CQ Muni","MUNI_MSRB_VOLUME")</f>
        <v>#N/A N/A</v>
      </c>
      <c r="S1998" t="str">
        <f>_xll.BDP("955657CQ Muni","BB_COMPOSITE")</f>
        <v>#N/A N/A</v>
      </c>
      <c r="T1998">
        <f>_xll.BDP("955657CQ Muni","LQA_LIQUIDITY_SCORE")</f>
        <v>66</v>
      </c>
    </row>
    <row r="1999" spans="1:20" x14ac:dyDescent="0.25">
      <c r="A1999" t="str">
        <f>_xll.BDP("955657CR Muni","ID_CUSIP")</f>
        <v>955657CR0</v>
      </c>
      <c r="B1999" t="s">
        <v>517</v>
      </c>
      <c r="C1999" t="str">
        <f>_xll.BDP("955657CR Muni","INSURANCE_STATUS")</f>
        <v>Y</v>
      </c>
      <c r="D1999" t="str">
        <f>_xll.BDP("955657CR Muni","STATE_CODE")</f>
        <v>CA</v>
      </c>
      <c r="E1999" t="str">
        <f>_xll.BDP("955657CR Muni","COUNTY_LOCATION_ISSUER")</f>
        <v>Yolo, CA</v>
      </c>
      <c r="F1999">
        <f>_xll.BDP("955657CR Muni","DUR_ADJ_MID")</f>
        <v>3.8030402544489292</v>
      </c>
      <c r="G1999">
        <f>_xll.BDP("955657CR Muni","SPREAD_AT_ISSUANCE_TO_WORST")</f>
        <v>10.656046575342426</v>
      </c>
      <c r="H1999" t="str">
        <f>_xll.BDP("955657CR Muni","ISSUE_DT")</f>
        <v>11/7/2017</v>
      </c>
      <c r="I1999" t="str">
        <f>_xll.BDS("955657CR Muni","MUNI_PURPOSE_SCHED", "aggregate=y")</f>
        <v>WATER UTILITY IMPS.</v>
      </c>
      <c r="J1999">
        <f>_xll.BDP("955657CR Muni","CPN")</f>
        <v>4</v>
      </c>
      <c r="K1999" t="str">
        <f>_xll.BDP("955657CR Muni","MATURITY")</f>
        <v>10/1/2026</v>
      </c>
      <c r="L1999">
        <v>375000</v>
      </c>
      <c r="M1999">
        <f>_xll.BDP("955657CR Muni","YIELD_ON_ISSUE_DATE")</f>
        <v>2.0100000000000002</v>
      </c>
      <c r="N1999">
        <f>_xll.BDP("955657CR Muni","YTW_SPREAD_TO_MATURITY_AT_ISSU")</f>
        <v>10.656046575342426</v>
      </c>
      <c r="O1999" t="str">
        <f>_xll.BDP("955657CR Muni","BVAL_MID_YTM")</f>
        <v>#N/A Authorization</v>
      </c>
      <c r="P1999" t="str">
        <f>_xll.BDP("955657CR Muni","MUNI_TAX_PROV")</f>
        <v>FED &amp; ST TAX-EXEMPT</v>
      </c>
      <c r="Q1999" t="str">
        <f>_xll.BDP("955657CR Muni","MUNI_FED_TAX")</f>
        <v>N</v>
      </c>
      <c r="R1999" t="str">
        <f>_xll.BDP("955657CR Muni","MUNI_MSRB_VOLUME")</f>
        <v>#N/A N/A</v>
      </c>
      <c r="S1999" t="str">
        <f>_xll.BDP("955657CR Muni","BB_COMPOSITE")</f>
        <v>#N/A N/A</v>
      </c>
      <c r="T1999">
        <f>_xll.BDP("955657CR Muni","LQA_LIQUIDITY_SCORE")</f>
        <v>58</v>
      </c>
    </row>
    <row r="2000" spans="1:20" x14ac:dyDescent="0.25">
      <c r="A2000" t="str">
        <f>_xll.BDP("955657CS Muni","ID_CUSIP")</f>
        <v>955657CS8</v>
      </c>
      <c r="B2000" t="s">
        <v>517</v>
      </c>
      <c r="C2000" t="str">
        <f>_xll.BDP("955657CS Muni","INSURANCE_STATUS")</f>
        <v>Y</v>
      </c>
      <c r="D2000" t="str">
        <f>_xll.BDP("955657CS Muni","STATE_CODE")</f>
        <v>CA</v>
      </c>
      <c r="E2000" t="str">
        <f>_xll.BDP("955657CS Muni","COUNTY_LOCATION_ISSUER")</f>
        <v>Yolo, CA</v>
      </c>
      <c r="F2000">
        <f>_xll.BDP("955657CS Muni","DUR_ADJ_MID")</f>
        <v>4.6316886930059962</v>
      </c>
      <c r="G2000">
        <f>_xll.BDP("955657CS Muni","SPREAD_AT_ISSUANCE_TO_WORST")</f>
        <v>16.718687671232878</v>
      </c>
      <c r="H2000" t="str">
        <f>_xll.BDP("955657CS Muni","ISSUE_DT")</f>
        <v>11/7/2017</v>
      </c>
      <c r="I2000" t="str">
        <f>_xll.BDS("955657CS Muni","MUNI_PURPOSE_SCHED", "aggregate=y")</f>
        <v>WATER UTILITY IMPS.</v>
      </c>
      <c r="J2000">
        <f>_xll.BDP("955657CS Muni","CPN")</f>
        <v>4</v>
      </c>
      <c r="K2000" t="str">
        <f>_xll.BDP("955657CS Muni","MATURITY")</f>
        <v>10/1/2027</v>
      </c>
      <c r="L2000">
        <v>390000</v>
      </c>
      <c r="M2000">
        <f>_xll.BDP("955657CS Muni","YIELD_ON_ISSUE_DATE")</f>
        <v>2.16</v>
      </c>
      <c r="N2000">
        <f>_xll.BDP("955657CS Muni","YTW_SPREAD_TO_MATURITY_AT_ISSU")</f>
        <v>16.718687671232878</v>
      </c>
      <c r="O2000" t="str">
        <f>_xll.BDP("955657CS Muni","BVAL_MID_YTM")</f>
        <v>#N/A Authorization</v>
      </c>
      <c r="P2000" t="str">
        <f>_xll.BDP("955657CS Muni","MUNI_TAX_PROV")</f>
        <v>FED &amp; ST TAX-EXEMPT</v>
      </c>
      <c r="Q2000" t="str">
        <f>_xll.BDP("955657CS Muni","MUNI_FED_TAX")</f>
        <v>N</v>
      </c>
      <c r="R2000" t="str">
        <f>_xll.BDP("955657CS Muni","MUNI_MSRB_VOLUME")</f>
        <v>#N/A N/A</v>
      </c>
      <c r="S2000" t="str">
        <f>_xll.BDP("955657CS Muni","BB_COMPOSITE")</f>
        <v>#N/A N/A</v>
      </c>
      <c r="T2000">
        <f>_xll.BDP("955657CS Muni","LQA_LIQUIDITY_SCORE")</f>
        <v>52</v>
      </c>
    </row>
    <row r="2001" spans="1:20" x14ac:dyDescent="0.25">
      <c r="A2001" t="str">
        <f>_xll.BDP("956875AD Muni","ID_CUSIP")</f>
        <v>956875AD0</v>
      </c>
      <c r="B2001" t="s">
        <v>518</v>
      </c>
      <c r="C2001" t="str">
        <f>_xll.BDP("956875AD Muni","INSURANCE_STATUS")</f>
        <v>N</v>
      </c>
      <c r="D2001" t="str">
        <f>_xll.BDP("956875AD Muni","STATE_CODE")</f>
        <v>TX</v>
      </c>
      <c r="E2001" t="str">
        <f>_xll.BDP("956875AD Muni","COUNTY_LOCATION_ISSUER")</f>
        <v>#N/A Field Not Applicable</v>
      </c>
      <c r="F2001">
        <f>_xll.BDP("956875AD Muni","DUR_ADJ_MID")</f>
        <v>8.0460776531064537E-2</v>
      </c>
      <c r="G2001">
        <f>_xll.BDP("956875AD Muni","SPREAD_AT_ISSUANCE_TO_WORST")</f>
        <v>107.1050181807949</v>
      </c>
      <c r="H2001" t="str">
        <f>_xll.BDP("956875AD Muni","ISSUE_DT")</f>
        <v>3/1/2017</v>
      </c>
      <c r="I2001" t="str">
        <f>_xll.BDS("956875AD Muni","MUNI_PURPOSE_SCHED", "aggregate=y")</f>
        <v>WATER UTILITY IMPS.</v>
      </c>
      <c r="J2001">
        <f>_xll.BDP("956875AD Muni","CPN")</f>
        <v>2.85</v>
      </c>
      <c r="K2001" t="str">
        <f>_xll.BDP("956875AD Muni","MATURITY")</f>
        <v>9/1/2022</v>
      </c>
      <c r="L2001">
        <v>50000</v>
      </c>
      <c r="M2001">
        <f>_xll.BDP("956875AD Muni","YIELD_ON_ISSUE_DATE")</f>
        <v>2.85</v>
      </c>
      <c r="N2001">
        <f>_xll.BDP("956875AD Muni","YTW_SPREAD_TO_MATURITY_AT_ISSU")</f>
        <v>107.1050181807949</v>
      </c>
      <c r="O2001" t="str">
        <f>_xll.BDP("956875AD Muni","BVAL_MID_YTM")</f>
        <v>#N/A Authorization</v>
      </c>
      <c r="P2001" t="str">
        <f>_xll.BDP("956875AD Muni","MUNI_TAX_PROV")</f>
        <v>FED BQ</v>
      </c>
      <c r="Q2001" t="str">
        <f>_xll.BDP("956875AD Muni","MUNI_FED_TAX")</f>
        <v>N</v>
      </c>
      <c r="R2001" t="str">
        <f>_xll.BDP("956875AD Muni","MUNI_MSRB_VOLUME")</f>
        <v>#N/A N/A</v>
      </c>
      <c r="S2001" t="str">
        <f>_xll.BDP("956875AD Muni","BB_COMPOSITE")</f>
        <v>#N/A N/A</v>
      </c>
      <c r="T2001">
        <f>_xll.BDP("956875AD Muni","LQA_LIQUIDITY_SCORE")</f>
        <v>95</v>
      </c>
    </row>
    <row r="2002" spans="1:20" x14ac:dyDescent="0.25">
      <c r="A2002" t="str">
        <f>_xll.BDP("956875AE Muni","ID_CUSIP")</f>
        <v>956875AE8</v>
      </c>
      <c r="B2002" t="s">
        <v>518</v>
      </c>
      <c r="C2002" t="str">
        <f>_xll.BDP("956875AE Muni","INSURANCE_STATUS")</f>
        <v>N</v>
      </c>
      <c r="D2002" t="str">
        <f>_xll.BDP("956875AE Muni","STATE_CODE")</f>
        <v>TX</v>
      </c>
      <c r="E2002" t="str">
        <f>_xll.BDP("956875AE Muni","COUNTY_LOCATION_ISSUER")</f>
        <v>#N/A Field Not Applicable</v>
      </c>
      <c r="F2002">
        <f>_xll.BDP("956875AE Muni","DUR_ADJ_MID")</f>
        <v>1.0478688538644696</v>
      </c>
      <c r="G2002">
        <f>_xll.BDP("956875AE Muni","SPREAD_AT_ISSUANCE_TO_WORST")</f>
        <v>108.33202357213123</v>
      </c>
      <c r="H2002" t="str">
        <f>_xll.BDP("956875AE Muni","ISSUE_DT")</f>
        <v>3/1/2017</v>
      </c>
      <c r="I2002" t="str">
        <f>_xll.BDS("956875AE Muni","MUNI_PURPOSE_SCHED", "aggregate=y")</f>
        <v>WATER UTILITY IMPS.</v>
      </c>
      <c r="J2002">
        <f>_xll.BDP("956875AE Muni","CPN")</f>
        <v>3</v>
      </c>
      <c r="K2002" t="str">
        <f>_xll.BDP("956875AE Muni","MATURITY")</f>
        <v>9/1/2023</v>
      </c>
      <c r="L2002">
        <v>75000</v>
      </c>
      <c r="M2002">
        <f>_xll.BDP("956875AE Muni","YIELD_ON_ISSUE_DATE")</f>
        <v>3</v>
      </c>
      <c r="N2002">
        <f>_xll.BDP("956875AE Muni","YTW_SPREAD_TO_MATURITY_AT_ISSU")</f>
        <v>108.33202357213123</v>
      </c>
      <c r="O2002" t="str">
        <f>_xll.BDP("956875AE Muni","BVAL_MID_YTM")</f>
        <v>#N/A Authorization</v>
      </c>
      <c r="P2002" t="str">
        <f>_xll.BDP("956875AE Muni","MUNI_TAX_PROV")</f>
        <v>FED BQ</v>
      </c>
      <c r="Q2002" t="str">
        <f>_xll.BDP("956875AE Muni","MUNI_FED_TAX")</f>
        <v>N</v>
      </c>
      <c r="R2002" t="str">
        <f>_xll.BDP("956875AE Muni","MUNI_MSRB_VOLUME")</f>
        <v>#N/A N/A</v>
      </c>
      <c r="S2002" t="str">
        <f>_xll.BDP("956875AE Muni","BB_COMPOSITE")</f>
        <v>#N/A N/A</v>
      </c>
      <c r="T2002">
        <f>_xll.BDP("956875AE Muni","LQA_LIQUIDITY_SCORE")</f>
        <v>74</v>
      </c>
    </row>
    <row r="2003" spans="1:20" x14ac:dyDescent="0.25">
      <c r="A2003" t="str">
        <f>_xll.BDP("956875AF Muni","ID_CUSIP")</f>
        <v>956875AF5</v>
      </c>
      <c r="B2003" t="s">
        <v>518</v>
      </c>
      <c r="C2003" t="str">
        <f>_xll.BDP("956875AF Muni","INSURANCE_STATUS")</f>
        <v>N</v>
      </c>
      <c r="D2003" t="str">
        <f>_xll.BDP("956875AF Muni","STATE_CODE")</f>
        <v>TX</v>
      </c>
      <c r="E2003" t="str">
        <f>_xll.BDP("956875AF Muni","COUNTY_LOCATION_ISSUER")</f>
        <v>#N/A Field Not Applicable</v>
      </c>
      <c r="F2003">
        <f>_xll.BDP("956875AF Muni","DUR_ADJ_MID")</f>
        <v>1.9812123682541272</v>
      </c>
      <c r="G2003">
        <f>_xll.BDP("956875AF Muni","SPREAD_AT_ISSUANCE_TO_WORST")</f>
        <v>114.6965410025405</v>
      </c>
      <c r="H2003" t="str">
        <f>_xll.BDP("956875AF Muni","ISSUE_DT")</f>
        <v>3/1/2017</v>
      </c>
      <c r="I2003" t="str">
        <f>_xll.BDS("956875AF Muni","MUNI_PURPOSE_SCHED", "aggregate=y")</f>
        <v>WATER UTILITY IMPS.</v>
      </c>
      <c r="J2003">
        <f>_xll.BDP("956875AF Muni","CPN")</f>
        <v>3.2</v>
      </c>
      <c r="K2003" t="str">
        <f>_xll.BDP("956875AF Muni","MATURITY")</f>
        <v>9/1/2024</v>
      </c>
      <c r="L2003">
        <v>75000</v>
      </c>
      <c r="M2003">
        <f>_xll.BDP("956875AF Muni","YIELD_ON_ISSUE_DATE")</f>
        <v>3.2</v>
      </c>
      <c r="N2003">
        <f>_xll.BDP("956875AF Muni","YTW_SPREAD_TO_MATURITY_AT_ISSU")</f>
        <v>114.6965410025405</v>
      </c>
      <c r="O2003" t="str">
        <f>_xll.BDP("956875AF Muni","BVAL_MID_YTM")</f>
        <v>#N/A Authorization</v>
      </c>
      <c r="P2003" t="str">
        <f>_xll.BDP("956875AF Muni","MUNI_TAX_PROV")</f>
        <v>FED BQ</v>
      </c>
      <c r="Q2003" t="str">
        <f>_xll.BDP("956875AF Muni","MUNI_FED_TAX")</f>
        <v>N</v>
      </c>
      <c r="R2003" t="str">
        <f>_xll.BDP("956875AF Muni","MUNI_MSRB_VOLUME")</f>
        <v>#N/A N/A</v>
      </c>
      <c r="S2003" t="str">
        <f>_xll.BDP("956875AF Muni","BB_COMPOSITE")</f>
        <v>#N/A N/A</v>
      </c>
      <c r="T2003">
        <f>_xll.BDP("956875AF Muni","LQA_LIQUIDITY_SCORE")</f>
        <v>62</v>
      </c>
    </row>
    <row r="2004" spans="1:20" x14ac:dyDescent="0.25">
      <c r="A2004" t="str">
        <f>_xll.BDP("95736U3G Muni","ID_CUSIP")</f>
        <v>95736U3G7</v>
      </c>
      <c r="B2004" t="s">
        <v>519</v>
      </c>
      <c r="C2004" t="str">
        <f>_xll.BDP("95736U3G Muni","INSURANCE_STATUS")</f>
        <v>N</v>
      </c>
      <c r="D2004" t="str">
        <f>_xll.BDP("95736U3G Muni","STATE_CODE")</f>
        <v>NY</v>
      </c>
      <c r="E2004" t="str">
        <f>_xll.BDP("95736U3G Muni","COUNTY_LOCATION_ISSUER")</f>
        <v>Westchester, NY</v>
      </c>
      <c r="F2004">
        <f>_xll.BDP("95736U3G Muni","DUR_ADJ_MID")</f>
        <v>0.89627355838454881</v>
      </c>
      <c r="G2004">
        <f>_xll.BDP("95736U3G Muni","SPREAD_AT_ISSUANCE_TO_WORST")</f>
        <v>-8.6129041095890599</v>
      </c>
      <c r="H2004" t="str">
        <f>_xll.BDP("95736U3G Muni","ISSUE_DT")</f>
        <v>12/14/2017</v>
      </c>
      <c r="I2004" t="str">
        <f>_xll.BDS("95736U3G Muni","MUNI_PURPOSE_SCHED", "aggregate=y")</f>
        <v>SEWER IMPS. WATER UTILITY IMPS.</v>
      </c>
      <c r="J2004">
        <f>_xll.BDP("95736U3G Muni","CPN")</f>
        <v>5</v>
      </c>
      <c r="K2004" t="str">
        <f>_xll.BDP("95736U3G Muni","MATURITY")</f>
        <v>7/1/2023</v>
      </c>
      <c r="L2004">
        <v>985000</v>
      </c>
      <c r="M2004">
        <f>_xll.BDP("95736U3G Muni","YIELD_ON_ISSUE_DATE")</f>
        <v>1.6600000000000001</v>
      </c>
      <c r="N2004">
        <f>_xll.BDP("95736U3G Muni","YTW_SPREAD_TO_MATURITY_AT_ISSU")</f>
        <v>-8.6129041095890599</v>
      </c>
      <c r="O2004" t="str">
        <f>_xll.BDP("95736U3G Muni","BVAL_MID_YTM")</f>
        <v>#N/A Authorization</v>
      </c>
      <c r="P2004" t="str">
        <f>_xll.BDP("95736U3G Muni","MUNI_TAX_PROV")</f>
        <v>FED &amp; ST TAX-EXEMPT</v>
      </c>
      <c r="Q2004" t="str">
        <f>_xll.BDP("95736U3G Muni","MUNI_FED_TAX")</f>
        <v>N</v>
      </c>
      <c r="R2004">
        <f>_xll.BDP("95736U3G Muni","MUNI_MSRB_VOLUME")</f>
        <v>250000</v>
      </c>
      <c r="S2004" t="str">
        <f>_xll.BDP("95736U3G Muni","BB_COMPOSITE")</f>
        <v>AA+</v>
      </c>
      <c r="T2004">
        <f>_xll.BDP("95736U3G Muni","LQA_LIQUIDITY_SCORE")</f>
        <v>90</v>
      </c>
    </row>
    <row r="2005" spans="1:20" x14ac:dyDescent="0.25">
      <c r="A2005" t="str">
        <f>_xll.BDP("95736U3H Muni","ID_CUSIP")</f>
        <v>95736U3H5</v>
      </c>
      <c r="B2005" t="s">
        <v>519</v>
      </c>
      <c r="C2005" t="str">
        <f>_xll.BDP("95736U3H Muni","INSURANCE_STATUS")</f>
        <v>N</v>
      </c>
      <c r="D2005" t="str">
        <f>_xll.BDP("95736U3H Muni","STATE_CODE")</f>
        <v>NY</v>
      </c>
      <c r="E2005" t="str">
        <f>_xll.BDP("95736U3H Muni","COUNTY_LOCATION_ISSUER")</f>
        <v>Westchester, NY</v>
      </c>
      <c r="F2005">
        <f>_xll.BDP("95736U3H Muni","DUR_ADJ_MID")</f>
        <v>1.8303389391141967</v>
      </c>
      <c r="G2005">
        <f>_xll.BDP("95736U3H Muni","SPREAD_AT_ISSUANCE_TO_WORST")</f>
        <v>-10.991627397260274</v>
      </c>
      <c r="H2005" t="str">
        <f>_xll.BDP("95736U3H Muni","ISSUE_DT")</f>
        <v>12/14/2017</v>
      </c>
      <c r="I2005" t="str">
        <f>_xll.BDS("95736U3H Muni","MUNI_PURPOSE_SCHED", "aggregate=y")</f>
        <v>SEWER IMPS. WATER UTILITY IMPS.</v>
      </c>
      <c r="J2005">
        <f>_xll.BDP("95736U3H Muni","CPN")</f>
        <v>5</v>
      </c>
      <c r="K2005" t="str">
        <f>_xll.BDP("95736U3H Muni","MATURITY")</f>
        <v>7/1/2024</v>
      </c>
      <c r="L2005">
        <v>1035000</v>
      </c>
      <c r="M2005">
        <f>_xll.BDP("95736U3H Muni","YIELD_ON_ISSUE_DATE")</f>
        <v>1.72</v>
      </c>
      <c r="N2005">
        <f>_xll.BDP("95736U3H Muni","YTW_SPREAD_TO_MATURITY_AT_ISSU")</f>
        <v>-10.991627397260274</v>
      </c>
      <c r="O2005" t="str">
        <f>_xll.BDP("95736U3H Muni","BVAL_MID_YTM")</f>
        <v>#N/A Authorization</v>
      </c>
      <c r="P2005" t="str">
        <f>_xll.BDP("95736U3H Muni","MUNI_TAX_PROV")</f>
        <v>FED &amp; ST TAX-EXEMPT</v>
      </c>
      <c r="Q2005" t="str">
        <f>_xll.BDP("95736U3H Muni","MUNI_FED_TAX")</f>
        <v>N</v>
      </c>
      <c r="R2005">
        <f>_xll.BDP("95736U3H Muni","MUNI_MSRB_VOLUME")</f>
        <v>30000</v>
      </c>
      <c r="S2005" t="str">
        <f>_xll.BDP("95736U3H Muni","BB_COMPOSITE")</f>
        <v>AA+</v>
      </c>
      <c r="T2005">
        <f>_xll.BDP("95736U3H Muni","LQA_LIQUIDITY_SCORE")</f>
        <v>85</v>
      </c>
    </row>
    <row r="2006" spans="1:20" x14ac:dyDescent="0.25">
      <c r="A2006" t="str">
        <f>_xll.BDP("95736U3J Muni","ID_CUSIP")</f>
        <v>95736U3J1</v>
      </c>
      <c r="B2006" t="s">
        <v>519</v>
      </c>
      <c r="C2006" t="str">
        <f>_xll.BDP("95736U3J Muni","INSURANCE_STATUS")</f>
        <v>N</v>
      </c>
      <c r="D2006" t="str">
        <f>_xll.BDP("95736U3J Muni","STATE_CODE")</f>
        <v>NY</v>
      </c>
      <c r="E2006" t="str">
        <f>_xll.BDP("95736U3J Muni","COUNTY_LOCATION_ISSUER")</f>
        <v>Westchester, NY</v>
      </c>
      <c r="F2006">
        <f>_xll.BDP("95736U3J Muni","DUR_ADJ_MID")</f>
        <v>2.7238250665312762</v>
      </c>
      <c r="G2006">
        <f>_xll.BDP("95736U3J Muni","SPREAD_AT_ISSUANCE_TO_WORST")</f>
        <v>-13.69643561643834</v>
      </c>
      <c r="H2006" t="str">
        <f>_xll.BDP("95736U3J Muni","ISSUE_DT")</f>
        <v>12/14/2017</v>
      </c>
      <c r="I2006" t="str">
        <f>_xll.BDS("95736U3J Muni","MUNI_PURPOSE_SCHED", "aggregate=y")</f>
        <v>SEWER IMPS. WATER UTILITY IMPS.</v>
      </c>
      <c r="J2006">
        <f>_xll.BDP("95736U3J Muni","CPN")</f>
        <v>5</v>
      </c>
      <c r="K2006" t="str">
        <f>_xll.BDP("95736U3J Muni","MATURITY")</f>
        <v>7/1/2025</v>
      </c>
      <c r="L2006">
        <v>1085000</v>
      </c>
      <c r="M2006">
        <f>_xll.BDP("95736U3J Muni","YIELD_ON_ISSUE_DATE")</f>
        <v>1.78</v>
      </c>
      <c r="N2006">
        <f>_xll.BDP("95736U3J Muni","YTW_SPREAD_TO_MATURITY_AT_ISSU")</f>
        <v>-13.69643561643834</v>
      </c>
      <c r="O2006" t="str">
        <f>_xll.BDP("95736U3J Muni","BVAL_MID_YTM")</f>
        <v>#N/A Authorization</v>
      </c>
      <c r="P2006" t="str">
        <f>_xll.BDP("95736U3J Muni","MUNI_TAX_PROV")</f>
        <v>FED &amp; ST TAX-EXEMPT</v>
      </c>
      <c r="Q2006" t="str">
        <f>_xll.BDP("95736U3J Muni","MUNI_FED_TAX")</f>
        <v>N</v>
      </c>
      <c r="R2006" t="str">
        <f>_xll.BDP("95736U3J Muni","MUNI_MSRB_VOLUME")</f>
        <v>#N/A N/A</v>
      </c>
      <c r="S2006" t="str">
        <f>_xll.BDP("95736U3J Muni","BB_COMPOSITE")</f>
        <v>AA+</v>
      </c>
      <c r="T2006">
        <f>_xll.BDP("95736U3J Muni","LQA_LIQUIDITY_SCORE")</f>
        <v>76</v>
      </c>
    </row>
    <row r="2007" spans="1:20" x14ac:dyDescent="0.25">
      <c r="A2007" t="str">
        <f>_xll.BDP("95736U3K Muni","ID_CUSIP")</f>
        <v>95736U3K8</v>
      </c>
      <c r="B2007" t="s">
        <v>519</v>
      </c>
      <c r="C2007" t="str">
        <f>_xll.BDP("95736U3K Muni","INSURANCE_STATUS")</f>
        <v>N</v>
      </c>
      <c r="D2007" t="str">
        <f>_xll.BDP("95736U3K Muni","STATE_CODE")</f>
        <v>NY</v>
      </c>
      <c r="E2007" t="str">
        <f>_xll.BDP("95736U3K Muni","COUNTY_LOCATION_ISSUER")</f>
        <v>Westchester, NY</v>
      </c>
      <c r="F2007">
        <f>_xll.BDP("95736U3K Muni","DUR_ADJ_MID")</f>
        <v>3.580147643018865</v>
      </c>
      <c r="G2007">
        <f>_xll.BDP("95736U3K Muni","SPREAD_AT_ISSUANCE_TO_WORST")</f>
        <v>-15.215210958904102</v>
      </c>
      <c r="H2007" t="str">
        <f>_xll.BDP("95736U3K Muni","ISSUE_DT")</f>
        <v>12/14/2017</v>
      </c>
      <c r="I2007" t="str">
        <f>_xll.BDS("95736U3K Muni","MUNI_PURPOSE_SCHED", "aggregate=y")</f>
        <v>SEWER IMPS. WATER UTILITY IMPS.</v>
      </c>
      <c r="J2007">
        <f>_xll.BDP("95736U3K Muni","CPN")</f>
        <v>5</v>
      </c>
      <c r="K2007" t="str">
        <f>_xll.BDP("95736U3K Muni","MATURITY")</f>
        <v>7/1/2026</v>
      </c>
      <c r="L2007">
        <v>1140000</v>
      </c>
      <c r="M2007">
        <f>_xll.BDP("95736U3K Muni","YIELD_ON_ISSUE_DATE")</f>
        <v>1.85</v>
      </c>
      <c r="N2007">
        <f>_xll.BDP("95736U3K Muni","YTW_SPREAD_TO_MATURITY_AT_ISSU")</f>
        <v>-15.215210958904102</v>
      </c>
      <c r="O2007" t="str">
        <f>_xll.BDP("95736U3K Muni","BVAL_MID_YTM")</f>
        <v>#N/A Authorization</v>
      </c>
      <c r="P2007" t="str">
        <f>_xll.BDP("95736U3K Muni","MUNI_TAX_PROV")</f>
        <v>FED &amp; ST TAX-EXEMPT</v>
      </c>
      <c r="Q2007" t="str">
        <f>_xll.BDP("95736U3K Muni","MUNI_FED_TAX")</f>
        <v>N</v>
      </c>
      <c r="R2007">
        <f>_xll.BDP("95736U3K Muni","MUNI_MSRB_VOLUME")</f>
        <v>30000</v>
      </c>
      <c r="S2007" t="str">
        <f>_xll.BDP("95736U3K Muni","BB_COMPOSITE")</f>
        <v>AA+</v>
      </c>
      <c r="T2007">
        <f>_xll.BDP("95736U3K Muni","LQA_LIQUIDITY_SCORE")</f>
        <v>70</v>
      </c>
    </row>
    <row r="2008" spans="1:20" x14ac:dyDescent="0.25">
      <c r="A2008" t="str">
        <f>_xll.BDP("95736U3L Muni","ID_CUSIP")</f>
        <v>95736U3L6</v>
      </c>
      <c r="B2008" t="s">
        <v>519</v>
      </c>
      <c r="C2008" t="str">
        <f>_xll.BDP("95736U3L Muni","INSURANCE_STATUS")</f>
        <v>N</v>
      </c>
      <c r="D2008" t="str">
        <f>_xll.BDP("95736U3L Muni","STATE_CODE")</f>
        <v>NY</v>
      </c>
      <c r="E2008" t="str">
        <f>_xll.BDP("95736U3L Muni","COUNTY_LOCATION_ISSUER")</f>
        <v>Westchester, NY</v>
      </c>
      <c r="F2008">
        <f>_xll.BDP("95736U3L Muni","DUR_ADJ_MID")</f>
        <v>4.4024124679325105</v>
      </c>
      <c r="G2008">
        <f>_xll.BDP("95736U3L Muni","SPREAD_AT_ISSUANCE_TO_WORST")</f>
        <v>-14.06894794520548</v>
      </c>
      <c r="H2008" t="str">
        <f>_xll.BDP("95736U3L Muni","ISSUE_DT")</f>
        <v>12/14/2017</v>
      </c>
      <c r="I2008" t="str">
        <f>_xll.BDS("95736U3L Muni","MUNI_PURPOSE_SCHED", "aggregate=y")</f>
        <v>SEWER IMPS. WATER UTILITY IMPS.</v>
      </c>
      <c r="J2008">
        <f>_xll.BDP("95736U3L Muni","CPN")</f>
        <v>5</v>
      </c>
      <c r="K2008" t="str">
        <f>_xll.BDP("95736U3L Muni","MATURITY")</f>
        <v>7/1/2027</v>
      </c>
      <c r="L2008">
        <v>1195000</v>
      </c>
      <c r="M2008">
        <f>_xll.BDP("95736U3L Muni","YIELD_ON_ISSUE_DATE")</f>
        <v>1.93</v>
      </c>
      <c r="N2008">
        <f>_xll.BDP("95736U3L Muni","YTW_SPREAD_TO_MATURITY_AT_ISSU")</f>
        <v>-14.06894794520548</v>
      </c>
      <c r="O2008" t="str">
        <f>_xll.BDP("95736U3L Muni","BVAL_MID_YTM")</f>
        <v>#N/A Authorization</v>
      </c>
      <c r="P2008" t="str">
        <f>_xll.BDP("95736U3L Muni","MUNI_TAX_PROV")</f>
        <v>FED &amp; ST TAX-EXEMPT</v>
      </c>
      <c r="Q2008" t="str">
        <f>_xll.BDP("95736U3L Muni","MUNI_FED_TAX")</f>
        <v>N</v>
      </c>
      <c r="R2008" t="str">
        <f>_xll.BDP("95736U3L Muni","MUNI_MSRB_VOLUME")</f>
        <v>#N/A N/A</v>
      </c>
      <c r="S2008" t="str">
        <f>_xll.BDP("95736U3L Muni","BB_COMPOSITE")</f>
        <v>AA+</v>
      </c>
      <c r="T2008">
        <f>_xll.BDP("95736U3L Muni","LQA_LIQUIDITY_SCORE")</f>
        <v>63</v>
      </c>
    </row>
    <row r="2009" spans="1:20" x14ac:dyDescent="0.25">
      <c r="A2009" t="str">
        <f>_xll.BDP("882724AZ Muni","ID_CUSIP")</f>
        <v>882724AZ0</v>
      </c>
      <c r="B2009" t="s">
        <v>168</v>
      </c>
      <c r="C2009" t="str">
        <f>_xll.BDP("882724AZ Muni","INSURANCE_STATUS")</f>
        <v>N</v>
      </c>
      <c r="D2009" t="str">
        <f>_xll.BDP("882724AZ Muni","STATE_CODE")</f>
        <v>TX</v>
      </c>
      <c r="E2009" t="str">
        <f>_xll.BDP("882724AZ Muni","COUNTY_LOCATION_ISSUER")</f>
        <v>Travis, TX</v>
      </c>
      <c r="F2009">
        <f>_xll.BDP("882724AZ Muni","DUR_ADJ_MID")</f>
        <v>5.554049985052472E-3</v>
      </c>
      <c r="G2009">
        <f>_xll.BDP("882724AZ Muni","SPREAD_AT_ISSUANCE_TO_WORST")</f>
        <v>14.945470765853152</v>
      </c>
      <c r="H2009" t="str">
        <f>_xll.BDP("882724AZ Muni","ISSUE_DT")</f>
        <v>6/20/2017</v>
      </c>
      <c r="I2009" t="str">
        <f>_xll.BDS("882724AZ Muni","MUNI_PURPOSE_SCHED", "aggregate=y")</f>
        <v>WATER UTILITY IMPS. CURRENT REFUNDING</v>
      </c>
      <c r="J2009">
        <f>_xll.BDP("882724AZ Muni","CPN")</f>
        <v>5</v>
      </c>
      <c r="K2009" t="str">
        <f>_xll.BDP("882724AZ Muni","MATURITY")</f>
        <v>8/1/2022</v>
      </c>
      <c r="L2009">
        <v>1855000</v>
      </c>
      <c r="M2009">
        <f>_xll.BDP("882724AZ Muni","YIELD_ON_ISSUE_DATE")</f>
        <v>1.42</v>
      </c>
      <c r="N2009">
        <f>_xll.BDP("882724AZ Muni","YTW_SPREAD_TO_MATURITY_AT_ISSU")</f>
        <v>14.945470765853152</v>
      </c>
      <c r="O2009" t="str">
        <f>_xll.BDP("882724AZ Muni","BVAL_MID_YTM")</f>
        <v>#N/A Authorization</v>
      </c>
      <c r="P2009" t="str">
        <f>_xll.BDP("882724AZ Muni","MUNI_TAX_PROV")</f>
        <v>FED TAX-EXEMPT</v>
      </c>
      <c r="Q2009" t="str">
        <f>_xll.BDP("882724AZ Muni","MUNI_FED_TAX")</f>
        <v>N</v>
      </c>
      <c r="R2009">
        <f>_xll.BDP("882724AZ Muni","MUNI_MSRB_VOLUME")</f>
        <v>30000</v>
      </c>
      <c r="S2009" t="str">
        <f>_xll.BDP("882724AZ Muni","BB_COMPOSITE")</f>
        <v>AAA</v>
      </c>
      <c r="T2009">
        <f>_xll.BDP("882724AZ Muni","LQA_LIQUIDITY_SCORE")</f>
        <v>97</v>
      </c>
    </row>
    <row r="2010" spans="1:20" x14ac:dyDescent="0.25">
      <c r="A2010" t="str">
        <f>_xll.BDP("882724BC Muni","ID_CUSIP")</f>
        <v>882724BC0</v>
      </c>
      <c r="B2010" t="s">
        <v>168</v>
      </c>
      <c r="C2010" t="str">
        <f>_xll.BDP("882724BC Muni","INSURANCE_STATUS")</f>
        <v>N</v>
      </c>
      <c r="D2010" t="str">
        <f>_xll.BDP("882724BC Muni","STATE_CODE")</f>
        <v>TX</v>
      </c>
      <c r="E2010" t="str">
        <f>_xll.BDP("882724BC Muni","COUNTY_LOCATION_ISSUER")</f>
        <v>Travis, TX</v>
      </c>
      <c r="F2010">
        <f>_xll.BDP("882724BC Muni","DUR_ADJ_MID")</f>
        <v>2.8053690283018486</v>
      </c>
      <c r="G2010">
        <f>_xll.BDP("882724BC Muni","SPREAD_AT_ISSUANCE_TO_WORST")</f>
        <v>18.329658017004459</v>
      </c>
      <c r="H2010" t="str">
        <f>_xll.BDP("882724BC Muni","ISSUE_DT")</f>
        <v>6/20/2017</v>
      </c>
      <c r="I2010" t="str">
        <f>_xll.BDS("882724BC Muni","MUNI_PURPOSE_SCHED", "aggregate=y")</f>
        <v>WATER UTILITY IMPS. CURRENT REFUNDING</v>
      </c>
      <c r="J2010">
        <f>_xll.BDP("882724BC Muni","CPN")</f>
        <v>5</v>
      </c>
      <c r="K2010" t="str">
        <f>_xll.BDP("882724BC Muni","MATURITY")</f>
        <v>8/1/2025</v>
      </c>
      <c r="L2010">
        <v>515000</v>
      </c>
      <c r="M2010">
        <f>_xll.BDP("882724BC Muni","YIELD_ON_ISSUE_DATE")</f>
        <v>1.93</v>
      </c>
      <c r="N2010">
        <f>_xll.BDP("882724BC Muni","YTW_SPREAD_TO_MATURITY_AT_ISSU")</f>
        <v>18.329658017004459</v>
      </c>
      <c r="O2010" t="str">
        <f>_xll.BDP("882724BC Muni","BVAL_MID_YTM")</f>
        <v>#N/A Authorization</v>
      </c>
      <c r="P2010" t="str">
        <f>_xll.BDP("882724BC Muni","MUNI_TAX_PROV")</f>
        <v>FED TAX-EXEMPT</v>
      </c>
      <c r="Q2010" t="str">
        <f>_xll.BDP("882724BC Muni","MUNI_FED_TAX")</f>
        <v>N</v>
      </c>
      <c r="R2010" t="str">
        <f>_xll.BDP("882724BC Muni","MUNI_MSRB_VOLUME")</f>
        <v>#N/A N/A</v>
      </c>
      <c r="S2010" t="str">
        <f>_xll.BDP("882724BC Muni","BB_COMPOSITE")</f>
        <v>AAA</v>
      </c>
      <c r="T2010">
        <f>_xll.BDP("882724BC Muni","LQA_LIQUIDITY_SCORE")</f>
        <v>75</v>
      </c>
    </row>
    <row r="2011" spans="1:20" x14ac:dyDescent="0.25">
      <c r="A2011" t="str">
        <f>_xll.BDP("882724BD Muni","ID_CUSIP")</f>
        <v>882724BD8</v>
      </c>
      <c r="B2011" t="s">
        <v>168</v>
      </c>
      <c r="C2011" t="str">
        <f>_xll.BDP("882724BD Muni","INSURANCE_STATUS")</f>
        <v>N</v>
      </c>
      <c r="D2011" t="str">
        <f>_xll.BDP("882724BD Muni","STATE_CODE")</f>
        <v>TX</v>
      </c>
      <c r="E2011" t="str">
        <f>_xll.BDP("882724BD Muni","COUNTY_LOCATION_ISSUER")</f>
        <v>Travis, TX</v>
      </c>
      <c r="F2011">
        <f>_xll.BDP("882724BD Muni","DUR_ADJ_MID")</f>
        <v>3.6595359795066513</v>
      </c>
      <c r="G2011">
        <f>_xll.BDP("882724BD Muni","SPREAD_AT_ISSUANCE_TO_WORST")</f>
        <v>21.546135133320799</v>
      </c>
      <c r="H2011" t="str">
        <f>_xll.BDP("882724BD Muni","ISSUE_DT")</f>
        <v>6/20/2017</v>
      </c>
      <c r="I2011" t="str">
        <f>_xll.BDS("882724BD Muni","MUNI_PURPOSE_SCHED", "aggregate=y")</f>
        <v>WATER UTILITY IMPS. CURRENT REFUNDING</v>
      </c>
      <c r="J2011">
        <f>_xll.BDP("882724BD Muni","CPN")</f>
        <v>5</v>
      </c>
      <c r="K2011" t="str">
        <f>_xll.BDP("882724BD Muni","MATURITY")</f>
        <v>8/1/2026</v>
      </c>
      <c r="L2011">
        <v>580000</v>
      </c>
      <c r="M2011">
        <f>_xll.BDP("882724BD Muni","YIELD_ON_ISSUE_DATE")</f>
        <v>2.1</v>
      </c>
      <c r="N2011">
        <f>_xll.BDP("882724BD Muni","YTW_SPREAD_TO_MATURITY_AT_ISSU")</f>
        <v>21.546135133320799</v>
      </c>
      <c r="O2011" t="str">
        <f>_xll.BDP("882724BD Muni","BVAL_MID_YTM")</f>
        <v>#N/A Authorization</v>
      </c>
      <c r="P2011" t="str">
        <f>_xll.BDP("882724BD Muni","MUNI_TAX_PROV")</f>
        <v>FED TAX-EXEMPT</v>
      </c>
      <c r="Q2011" t="str">
        <f>_xll.BDP("882724BD Muni","MUNI_FED_TAX")</f>
        <v>N</v>
      </c>
      <c r="R2011" t="str">
        <f>_xll.BDP("882724BD Muni","MUNI_MSRB_VOLUME")</f>
        <v>#N/A N/A</v>
      </c>
      <c r="S2011" t="str">
        <f>_xll.BDP("882724BD Muni","BB_COMPOSITE")</f>
        <v>AAA</v>
      </c>
      <c r="T2011">
        <f>_xll.BDP("882724BD Muni","LQA_LIQUIDITY_SCORE")</f>
        <v>68</v>
      </c>
    </row>
    <row r="2012" spans="1:20" x14ac:dyDescent="0.25">
      <c r="A2012" t="str">
        <f>_xll.BDP("882854YW Muni","ID_CUSIP")</f>
        <v>882854YW6</v>
      </c>
      <c r="B2012" t="s">
        <v>31</v>
      </c>
      <c r="C2012" t="str">
        <f>_xll.BDP("882854YW Muni","INSURANCE_STATUS")</f>
        <v>N</v>
      </c>
      <c r="D2012" t="str">
        <f>_xll.BDP("882854YW Muni","STATE_CODE")</f>
        <v>TX</v>
      </c>
      <c r="E2012" t="str">
        <f>_xll.BDP("882854YW Muni","COUNTY_LOCATION_ISSUER")</f>
        <v>Travis, TX</v>
      </c>
      <c r="F2012">
        <f>_xll.BDP("882854YW Muni","DUR_ADJ_MID")</f>
        <v>1.1669542521219787</v>
      </c>
      <c r="G2012">
        <f>_xll.BDP("882854YW Muni","SPREAD_AT_ISSUANCE_TO_WORST")</f>
        <v>39.123761908344726</v>
      </c>
      <c r="H2012" t="str">
        <f>_xll.BDP("882854YW Muni","ISSUE_DT")</f>
        <v>10/12/2017</v>
      </c>
      <c r="I2012" t="str">
        <f>_xll.BDS("882854YW Muni","MUNI_PURPOSE_SCHED", "aggregate=y")</f>
        <v>WATER UTILITY IMPS.</v>
      </c>
      <c r="J2012">
        <f>_xll.BDP("882854YW Muni","CPN")</f>
        <v>2.38</v>
      </c>
      <c r="K2012" t="str">
        <f>_xll.BDP("882854YW Muni","MATURITY")</f>
        <v>10/15/2023</v>
      </c>
      <c r="L2012">
        <v>545000</v>
      </c>
      <c r="M2012">
        <f>_xll.BDP("882854YW Muni","YIELD_ON_ISSUE_DATE")</f>
        <v>2.38</v>
      </c>
      <c r="N2012">
        <f>_xll.BDP("882854YW Muni","YTW_SPREAD_TO_MATURITY_AT_ISSU")</f>
        <v>39.123761908344726</v>
      </c>
      <c r="O2012" t="str">
        <f>_xll.BDP("882854YW Muni","BVAL_MID_YTM")</f>
        <v>#N/A Authorization</v>
      </c>
      <c r="P2012" t="str">
        <f>_xll.BDP("882854YW Muni","MUNI_TAX_PROV")</f>
        <v>FED TAXABLE</v>
      </c>
      <c r="Q2012" t="str">
        <f>_xll.BDP("882854YW Muni","MUNI_FED_TAX")</f>
        <v>Y</v>
      </c>
      <c r="R2012" t="str">
        <f>_xll.BDP("882854YW Muni","MUNI_MSRB_VOLUME")</f>
        <v>#N/A N/A</v>
      </c>
      <c r="S2012" t="str">
        <f>_xll.BDP("882854YW Muni","BB_COMPOSITE")</f>
        <v>AAA</v>
      </c>
      <c r="T2012">
        <f>_xll.BDP("882854YW Muni","LQA_LIQUIDITY_SCORE")</f>
        <v>82</v>
      </c>
    </row>
    <row r="2013" spans="1:20" x14ac:dyDescent="0.25">
      <c r="A2013" t="str">
        <f>_xll.BDP("882854YX Muni","ID_CUSIP")</f>
        <v>882854YX4</v>
      </c>
      <c r="B2013" t="s">
        <v>31</v>
      </c>
      <c r="C2013" t="str">
        <f>_xll.BDP("882854YX Muni","INSURANCE_STATUS")</f>
        <v>N</v>
      </c>
      <c r="D2013" t="str">
        <f>_xll.BDP("882854YX Muni","STATE_CODE")</f>
        <v>TX</v>
      </c>
      <c r="E2013" t="str">
        <f>_xll.BDP("882854YX Muni","COUNTY_LOCATION_ISSUER")</f>
        <v>Travis, TX</v>
      </c>
      <c r="F2013">
        <f>_xll.BDP("882854YX Muni","DUR_ADJ_MID")</f>
        <v>2.1055837735522656</v>
      </c>
      <c r="G2013">
        <f>_xll.BDP("882854YX Muni","SPREAD_AT_ISSUANCE_TO_WORST")</f>
        <v>49.539365954587566</v>
      </c>
      <c r="H2013" t="str">
        <f>_xll.BDP("882854YX Muni","ISSUE_DT")</f>
        <v>10/12/2017</v>
      </c>
      <c r="I2013" t="str">
        <f>_xll.BDS("882854YX Muni","MUNI_PURPOSE_SCHED", "aggregate=y")</f>
        <v>WATER UTILITY IMPS.</v>
      </c>
      <c r="J2013">
        <f>_xll.BDP("882854YX Muni","CPN")</f>
        <v>2.59</v>
      </c>
      <c r="K2013" t="str">
        <f>_xll.BDP("882854YX Muni","MATURITY")</f>
        <v>10/15/2024</v>
      </c>
      <c r="L2013">
        <v>555000</v>
      </c>
      <c r="M2013">
        <f>_xll.BDP("882854YX Muni","YIELD_ON_ISSUE_DATE")</f>
        <v>2.59</v>
      </c>
      <c r="N2013">
        <f>_xll.BDP("882854YX Muni","YTW_SPREAD_TO_MATURITY_AT_ISSU")</f>
        <v>49.539365954587566</v>
      </c>
      <c r="O2013" t="str">
        <f>_xll.BDP("882854YX Muni","BVAL_MID_YTM")</f>
        <v>#N/A Authorization</v>
      </c>
      <c r="P2013" t="str">
        <f>_xll.BDP("882854YX Muni","MUNI_TAX_PROV")</f>
        <v>FED TAXABLE</v>
      </c>
      <c r="Q2013" t="str">
        <f>_xll.BDP("882854YX Muni","MUNI_FED_TAX")</f>
        <v>Y</v>
      </c>
      <c r="R2013" t="str">
        <f>_xll.BDP("882854YX Muni","MUNI_MSRB_VOLUME")</f>
        <v>#N/A N/A</v>
      </c>
      <c r="S2013" t="str">
        <f>_xll.BDP("882854YX Muni","BB_COMPOSITE")</f>
        <v>AAA</v>
      </c>
      <c r="T2013">
        <f>_xll.BDP("882854YX Muni","LQA_LIQUIDITY_SCORE")</f>
        <v>69</v>
      </c>
    </row>
    <row r="2014" spans="1:20" x14ac:dyDescent="0.25">
      <c r="A2014" t="str">
        <f>_xll.BDP("882854YZ Muni","ID_CUSIP")</f>
        <v>882854YZ9</v>
      </c>
      <c r="B2014" t="s">
        <v>31</v>
      </c>
      <c r="C2014" t="str">
        <f>_xll.BDP("882854YZ Muni","INSURANCE_STATUS")</f>
        <v>N</v>
      </c>
      <c r="D2014" t="str">
        <f>_xll.BDP("882854YZ Muni","STATE_CODE")</f>
        <v>TX</v>
      </c>
      <c r="E2014" t="str">
        <f>_xll.BDP("882854YZ Muni","COUNTY_LOCATION_ISSUER")</f>
        <v>Travis, TX</v>
      </c>
      <c r="F2014">
        <f>_xll.BDP("882854YZ Muni","DUR_ADJ_MID")</f>
        <v>3.8919320418759313</v>
      </c>
      <c r="G2014">
        <f>_xll.BDP("882854YZ Muni","SPREAD_AT_ISSUANCE_TO_WORST")</f>
        <v>61.514840329008315</v>
      </c>
      <c r="H2014" t="str">
        <f>_xll.BDP("882854YZ Muni","ISSUE_DT")</f>
        <v>10/12/2017</v>
      </c>
      <c r="I2014" t="str">
        <f>_xll.BDS("882854YZ Muni","MUNI_PURPOSE_SCHED", "aggregate=y")</f>
        <v>WATER UTILITY IMPS.</v>
      </c>
      <c r="J2014">
        <f>_xll.BDP("882854YZ Muni","CPN")</f>
        <v>2.82</v>
      </c>
      <c r="K2014" t="str">
        <f>_xll.BDP("882854YZ Muni","MATURITY")</f>
        <v>10/15/2026</v>
      </c>
      <c r="L2014">
        <v>465000</v>
      </c>
      <c r="M2014">
        <f>_xll.BDP("882854YZ Muni","YIELD_ON_ISSUE_DATE")</f>
        <v>2.82</v>
      </c>
      <c r="N2014">
        <f>_xll.BDP("882854YZ Muni","YTW_SPREAD_TO_MATURITY_AT_ISSU")</f>
        <v>61.514840329008315</v>
      </c>
      <c r="O2014" t="str">
        <f>_xll.BDP("882854YZ Muni","BVAL_MID_YTM")</f>
        <v>#N/A Authorization</v>
      </c>
      <c r="P2014" t="str">
        <f>_xll.BDP("882854YZ Muni","MUNI_TAX_PROV")</f>
        <v>FED TAXABLE</v>
      </c>
      <c r="Q2014" t="str">
        <f>_xll.BDP("882854YZ Muni","MUNI_FED_TAX")</f>
        <v>Y</v>
      </c>
      <c r="R2014" t="str">
        <f>_xll.BDP("882854YZ Muni","MUNI_MSRB_VOLUME")</f>
        <v>#N/A N/A</v>
      </c>
      <c r="S2014" t="str">
        <f>_xll.BDP("882854YZ Muni","BB_COMPOSITE")</f>
        <v>AAA</v>
      </c>
      <c r="T2014">
        <f>_xll.BDP("882854YZ Muni","LQA_LIQUIDITY_SCORE")</f>
        <v>55</v>
      </c>
    </row>
    <row r="2015" spans="1:20" x14ac:dyDescent="0.25">
      <c r="A2015" t="str">
        <f>_xll.BDP("882854ZA Muni","ID_CUSIP")</f>
        <v>882854ZA3</v>
      </c>
      <c r="B2015" t="s">
        <v>31</v>
      </c>
      <c r="C2015" t="str">
        <f>_xll.BDP("882854ZA Muni","INSURANCE_STATUS")</f>
        <v>N</v>
      </c>
      <c r="D2015" t="str">
        <f>_xll.BDP("882854ZA Muni","STATE_CODE")</f>
        <v>TX</v>
      </c>
      <c r="E2015" t="str">
        <f>_xll.BDP("882854ZA Muni","COUNTY_LOCATION_ISSUER")</f>
        <v>Travis, TX</v>
      </c>
      <c r="F2015">
        <f>_xll.BDP("882854ZA Muni","DUR_ADJ_MID")</f>
        <v>4.7361548150296979</v>
      </c>
      <c r="G2015">
        <f>_xll.BDP("882854ZA Muni","SPREAD_AT_ISSUANCE_TO_WORST")</f>
        <v>66.481484522245012</v>
      </c>
      <c r="H2015" t="str">
        <f>_xll.BDP("882854ZA Muni","ISSUE_DT")</f>
        <v>10/12/2017</v>
      </c>
      <c r="I2015" t="str">
        <f>_xll.BDS("882854ZA Muni","MUNI_PURPOSE_SCHED", "aggregate=y")</f>
        <v>WATER UTILITY IMPS.</v>
      </c>
      <c r="J2015">
        <f>_xll.BDP("882854ZA Muni","CPN")</f>
        <v>2.92</v>
      </c>
      <c r="K2015" t="str">
        <f>_xll.BDP("882854ZA Muni","MATURITY")</f>
        <v>10/15/2027</v>
      </c>
      <c r="L2015">
        <v>480000</v>
      </c>
      <c r="M2015">
        <f>_xll.BDP("882854ZA Muni","YIELD_ON_ISSUE_DATE")</f>
        <v>2.92</v>
      </c>
      <c r="N2015">
        <f>_xll.BDP("882854ZA Muni","YTW_SPREAD_TO_MATURITY_AT_ISSU")</f>
        <v>66.481484522245012</v>
      </c>
      <c r="O2015" t="str">
        <f>_xll.BDP("882854ZA Muni","BVAL_MID_YTM")</f>
        <v>#N/A Authorization</v>
      </c>
      <c r="P2015" t="str">
        <f>_xll.BDP("882854ZA Muni","MUNI_TAX_PROV")</f>
        <v>FED TAXABLE</v>
      </c>
      <c r="Q2015" t="str">
        <f>_xll.BDP("882854ZA Muni","MUNI_FED_TAX")</f>
        <v>Y</v>
      </c>
      <c r="R2015" t="str">
        <f>_xll.BDP("882854ZA Muni","MUNI_MSRB_VOLUME")</f>
        <v>#N/A N/A</v>
      </c>
      <c r="S2015" t="str">
        <f>_xll.BDP("882854ZA Muni","BB_COMPOSITE")</f>
        <v>AAA</v>
      </c>
      <c r="T2015">
        <f>_xll.BDP("882854ZA Muni","LQA_LIQUIDITY_SCORE")</f>
        <v>49</v>
      </c>
    </row>
    <row r="2016" spans="1:20" x14ac:dyDescent="0.25">
      <c r="A2016" t="str">
        <f>_xll.BDP("882854ZW Muni","ID_CUSIP")</f>
        <v>882854ZW5</v>
      </c>
      <c r="B2016" t="s">
        <v>31</v>
      </c>
      <c r="C2016" t="str">
        <f>_xll.BDP("882854ZW Muni","INSURANCE_STATUS")</f>
        <v>N</v>
      </c>
      <c r="D2016" t="str">
        <f>_xll.BDP("882854ZW Muni","STATE_CODE")</f>
        <v>TX</v>
      </c>
      <c r="E2016" t="str">
        <f>_xll.BDP("882854ZW Muni","COUNTY_LOCATION_ISSUER")</f>
        <v>Travis, TX</v>
      </c>
      <c r="F2016">
        <f>_xll.BDP("882854ZW Muni","DUR_ADJ_MID")</f>
        <v>4.8905343899038876</v>
      </c>
      <c r="G2016">
        <f>_xll.BDP("882854ZW Muni","SPREAD_AT_ISSUANCE_TO_WORST")</f>
        <v>21.324158904109591</v>
      </c>
      <c r="H2016" t="str">
        <f>_xll.BDP("882854ZW Muni","ISSUE_DT")</f>
        <v>10/12/2017</v>
      </c>
      <c r="I2016" t="str">
        <f>_xll.BDS("882854ZW Muni","MUNI_PURPOSE_SCHED", "aggregate=y")</f>
        <v>WATER UTILITY IMPS.</v>
      </c>
      <c r="J2016">
        <f>_xll.BDP("882854ZW Muni","CPN")</f>
        <v>2</v>
      </c>
      <c r="K2016" t="str">
        <f>_xll.BDP("882854ZW Muni","MATURITY")</f>
        <v>10/15/2027</v>
      </c>
      <c r="L2016">
        <v>120000</v>
      </c>
      <c r="M2016">
        <f>_xll.BDP("882854ZW Muni","YIELD_ON_ISSUE_DATE")</f>
        <v>2.13</v>
      </c>
      <c r="N2016">
        <f>_xll.BDP("882854ZW Muni","YTW_SPREAD_TO_MATURITY_AT_ISSU")</f>
        <v>21.324158904109591</v>
      </c>
      <c r="O2016" t="str">
        <f>_xll.BDP("882854ZW Muni","BVAL_MID_YTM")</f>
        <v>#N/A Authorization</v>
      </c>
      <c r="P2016" t="str">
        <f>_xll.BDP("882854ZW Muni","MUNI_TAX_PROV")</f>
        <v>FED TAX-EXEMPT</v>
      </c>
      <c r="Q2016" t="str">
        <f>_xll.BDP("882854ZW Muni","MUNI_FED_TAX")</f>
        <v>N</v>
      </c>
      <c r="R2016" t="str">
        <f>_xll.BDP("882854ZW Muni","MUNI_MSRB_VOLUME")</f>
        <v>#N/A N/A</v>
      </c>
      <c r="S2016" t="str">
        <f>_xll.BDP("882854ZW Muni","BB_COMPOSITE")</f>
        <v>AAA</v>
      </c>
      <c r="T2016">
        <f>_xll.BDP("882854ZW Muni","LQA_LIQUIDITY_SCORE")</f>
        <v>51</v>
      </c>
    </row>
    <row r="2017" spans="1:20" x14ac:dyDescent="0.25">
      <c r="A2017" t="str">
        <f>_xll.BDP("883815P6 Muni","ID_CUSIP")</f>
        <v>883815P63</v>
      </c>
      <c r="B2017" t="s">
        <v>520</v>
      </c>
      <c r="C2017" t="str">
        <f>_xll.BDP("883815P6 Muni","INSURANCE_STATUS")</f>
        <v>N</v>
      </c>
      <c r="D2017" t="str">
        <f>_xll.BDP("883815P6 Muni","STATE_CODE")</f>
        <v>MN</v>
      </c>
      <c r="E2017" t="str">
        <f>_xll.BDP("883815P6 Muni","COUNTY_LOCATION_ISSUER")</f>
        <v>Pennington, MN</v>
      </c>
      <c r="F2017">
        <f>_xll.BDP("883815P6 Muni","DUR_ADJ_MID")</f>
        <v>1.4631580506118724</v>
      </c>
      <c r="G2017">
        <f>_xll.BDP("883815P6 Muni","SPREAD_AT_ISSUANCE_TO_WORST")</f>
        <v>12.299028915581257</v>
      </c>
      <c r="H2017" t="str">
        <f>_xll.BDP("883815P6 Muni","ISSUE_DT")</f>
        <v>5/25/2017</v>
      </c>
      <c r="I2017" t="str">
        <f>_xll.BDS("883815P6 Muni","MUNI_PURPOSE_SCHED", "aggregate=y")</f>
        <v>SEWER IMPS. WATER UTILITY IMPS.</v>
      </c>
      <c r="J2017">
        <f>_xll.BDP("883815P6 Muni","CPN")</f>
        <v>3</v>
      </c>
      <c r="K2017" t="str">
        <f>_xll.BDP("883815P6 Muni","MATURITY")</f>
        <v>2/1/2024</v>
      </c>
      <c r="L2017">
        <v>215000</v>
      </c>
      <c r="M2017">
        <f>_xll.BDP("883815P6 Muni","YIELD_ON_ISSUE_DATE")</f>
        <v>1.8</v>
      </c>
      <c r="N2017">
        <f>_xll.BDP("883815P6 Muni","YTW_SPREAD_TO_MATURITY_AT_ISSU")</f>
        <v>12.299028915581257</v>
      </c>
      <c r="O2017" t="str">
        <f>_xll.BDP("883815P6 Muni","BVAL_MID_YTM")</f>
        <v>#N/A Authorization</v>
      </c>
      <c r="P2017" t="str">
        <f>_xll.BDP("883815P6 Muni","MUNI_TAX_PROV")</f>
        <v>FED BQ/ST TAX-EXEMPT</v>
      </c>
      <c r="Q2017" t="str">
        <f>_xll.BDP("883815P6 Muni","MUNI_FED_TAX")</f>
        <v>N</v>
      </c>
      <c r="R2017">
        <f>_xll.BDP("883815P6 Muni","MUNI_MSRB_VOLUME")</f>
        <v>50000</v>
      </c>
      <c r="S2017" t="str">
        <f>_xll.BDP("883815P6 Muni","BB_COMPOSITE")</f>
        <v>#N/A N/A</v>
      </c>
      <c r="T2017">
        <f>_xll.BDP("883815P6 Muni","LQA_LIQUIDITY_SCORE")</f>
        <v>85</v>
      </c>
    </row>
    <row r="2018" spans="1:20" x14ac:dyDescent="0.25">
      <c r="A2018" t="str">
        <f>_xll.BDP("883815P7 Muni","ID_CUSIP")</f>
        <v>883815P71</v>
      </c>
      <c r="B2018" t="s">
        <v>520</v>
      </c>
      <c r="C2018" t="str">
        <f>_xll.BDP("883815P7 Muni","INSURANCE_STATUS")</f>
        <v>N</v>
      </c>
      <c r="D2018" t="str">
        <f>_xll.BDP("883815P7 Muni","STATE_CODE")</f>
        <v>MN</v>
      </c>
      <c r="E2018" t="str">
        <f>_xll.BDP("883815P7 Muni","COUNTY_LOCATION_ISSUER")</f>
        <v>Pennington, MN</v>
      </c>
      <c r="F2018">
        <f>_xll.BDP("883815P7 Muni","DUR_ADJ_MID")</f>
        <v>2.4037310995915946</v>
      </c>
      <c r="G2018">
        <f>_xll.BDP("883815P7 Muni","SPREAD_AT_ISSUANCE_TO_WORST")</f>
        <v>6.0717327097693063</v>
      </c>
      <c r="H2018" t="str">
        <f>_xll.BDP("883815P7 Muni","ISSUE_DT")</f>
        <v>5/25/2017</v>
      </c>
      <c r="I2018" t="str">
        <f>_xll.BDS("883815P7 Muni","MUNI_PURPOSE_SCHED", "aggregate=y")</f>
        <v>SEWER IMPS. WATER UTILITY IMPS.</v>
      </c>
      <c r="J2018">
        <f>_xll.BDP("883815P7 Muni","CPN")</f>
        <v>3</v>
      </c>
      <c r="K2018" t="str">
        <f>_xll.BDP("883815P7 Muni","MATURITY")</f>
        <v>2/1/2025</v>
      </c>
      <c r="L2018">
        <v>220000</v>
      </c>
      <c r="M2018">
        <f>_xll.BDP("883815P7 Muni","YIELD_ON_ISSUE_DATE")</f>
        <v>1.9000000000000001</v>
      </c>
      <c r="N2018">
        <f>_xll.BDP("883815P7 Muni","YTW_SPREAD_TO_MATURITY_AT_ISSU")</f>
        <v>6.0717327097693063</v>
      </c>
      <c r="O2018" t="str">
        <f>_xll.BDP("883815P7 Muni","BVAL_MID_YTM")</f>
        <v>#N/A Authorization</v>
      </c>
      <c r="P2018" t="str">
        <f>_xll.BDP("883815P7 Muni","MUNI_TAX_PROV")</f>
        <v>FED BQ/ST TAX-EXEMPT</v>
      </c>
      <c r="Q2018" t="str">
        <f>_xll.BDP("883815P7 Muni","MUNI_FED_TAX")</f>
        <v>N</v>
      </c>
      <c r="R2018" t="str">
        <f>_xll.BDP("883815P7 Muni","MUNI_MSRB_VOLUME")</f>
        <v>#N/A N/A</v>
      </c>
      <c r="S2018" t="str">
        <f>_xll.BDP("883815P7 Muni","BB_COMPOSITE")</f>
        <v>#N/A N/A</v>
      </c>
      <c r="T2018">
        <f>_xll.BDP("883815P7 Muni","LQA_LIQUIDITY_SCORE")</f>
        <v>78</v>
      </c>
    </row>
    <row r="2019" spans="1:20" x14ac:dyDescent="0.25">
      <c r="A2019" t="str">
        <f>_xll.BDP("883815P8 Muni","ID_CUSIP")</f>
        <v>883815P89</v>
      </c>
      <c r="B2019" t="s">
        <v>520</v>
      </c>
      <c r="C2019" t="str">
        <f>_xll.BDP("883815P8 Muni","INSURANCE_STATUS")</f>
        <v>N</v>
      </c>
      <c r="D2019" t="str">
        <f>_xll.BDP("883815P8 Muni","STATE_CODE")</f>
        <v>MN</v>
      </c>
      <c r="E2019" t="str">
        <f>_xll.BDP("883815P8 Muni","COUNTY_LOCATION_ISSUER")</f>
        <v>Pennington, MN</v>
      </c>
      <c r="F2019">
        <f>_xll.BDP("883815P8 Muni","DUR_ADJ_MID")</f>
        <v>3.3176990825942294</v>
      </c>
      <c r="G2019">
        <f>_xll.BDP("883815P8 Muni","SPREAD_AT_ISSUANCE_TO_WORST")</f>
        <v>1.0823034814251509</v>
      </c>
      <c r="H2019" t="str">
        <f>_xll.BDP("883815P8 Muni","ISSUE_DT")</f>
        <v>5/25/2017</v>
      </c>
      <c r="I2019" t="str">
        <f>_xll.BDS("883815P8 Muni","MUNI_PURPOSE_SCHED", "aggregate=y")</f>
        <v>SEWER IMPS. WATER UTILITY IMPS.</v>
      </c>
      <c r="J2019">
        <f>_xll.BDP("883815P8 Muni","CPN")</f>
        <v>3</v>
      </c>
      <c r="K2019" t="str">
        <f>_xll.BDP("883815P8 Muni","MATURITY")</f>
        <v>2/1/2026</v>
      </c>
      <c r="L2019">
        <v>230000</v>
      </c>
      <c r="M2019">
        <f>_xll.BDP("883815P8 Muni","YIELD_ON_ISSUE_DATE")</f>
        <v>2</v>
      </c>
      <c r="N2019">
        <f>_xll.BDP("883815P8 Muni","YTW_SPREAD_TO_MATURITY_AT_ISSU")</f>
        <v>1.0823034814251509</v>
      </c>
      <c r="O2019" t="str">
        <f>_xll.BDP("883815P8 Muni","BVAL_MID_YTM")</f>
        <v>#N/A Authorization</v>
      </c>
      <c r="P2019" t="str">
        <f>_xll.BDP("883815P8 Muni","MUNI_TAX_PROV")</f>
        <v>FED BQ/ST TAX-EXEMPT</v>
      </c>
      <c r="Q2019" t="str">
        <f>_xll.BDP("883815P8 Muni","MUNI_FED_TAX")</f>
        <v>N</v>
      </c>
      <c r="R2019" t="str">
        <f>_xll.BDP("883815P8 Muni","MUNI_MSRB_VOLUME")</f>
        <v>#N/A N/A</v>
      </c>
      <c r="S2019" t="str">
        <f>_xll.BDP("883815P8 Muni","BB_COMPOSITE")</f>
        <v>#N/A N/A</v>
      </c>
      <c r="T2019">
        <f>_xll.BDP("883815P8 Muni","LQA_LIQUIDITY_SCORE")</f>
        <v>72</v>
      </c>
    </row>
    <row r="2020" spans="1:20" x14ac:dyDescent="0.25">
      <c r="A2020" t="str">
        <f>_xll.BDP("883815P9 Muni","ID_CUSIP")</f>
        <v>883815P97</v>
      </c>
      <c r="B2020" t="s">
        <v>520</v>
      </c>
      <c r="C2020" t="str">
        <f>_xll.BDP("883815P9 Muni","INSURANCE_STATUS")</f>
        <v>N</v>
      </c>
      <c r="D2020" t="str">
        <f>_xll.BDP("883815P9 Muni","STATE_CODE")</f>
        <v>MN</v>
      </c>
      <c r="E2020" t="str">
        <f>_xll.BDP("883815P9 Muni","COUNTY_LOCATION_ISSUER")</f>
        <v>Pennington, MN</v>
      </c>
      <c r="F2020">
        <f>_xll.BDP("883815P9 Muni","DUR_ADJ_MID")</f>
        <v>4.2054150961342316</v>
      </c>
      <c r="G2020">
        <f>_xll.BDP("883815P9 Muni","SPREAD_AT_ISSUANCE_TO_WORST")</f>
        <v>-1.3494754534336018</v>
      </c>
      <c r="H2020" t="str">
        <f>_xll.BDP("883815P9 Muni","ISSUE_DT")</f>
        <v>5/25/2017</v>
      </c>
      <c r="I2020" t="str">
        <f>_xll.BDS("883815P9 Muni","MUNI_PURPOSE_SCHED", "aggregate=y")</f>
        <v>SEWER IMPS. WATER UTILITY IMPS.</v>
      </c>
      <c r="J2020">
        <f>_xll.BDP("883815P9 Muni","CPN")</f>
        <v>3</v>
      </c>
      <c r="K2020" t="str">
        <f>_xll.BDP("883815P9 Muni","MATURITY")</f>
        <v>2/1/2027</v>
      </c>
      <c r="L2020">
        <v>235000</v>
      </c>
      <c r="M2020">
        <f>_xll.BDP("883815P9 Muni","YIELD_ON_ISSUE_DATE")</f>
        <v>2.1</v>
      </c>
      <c r="N2020">
        <f>_xll.BDP("883815P9 Muni","YTW_SPREAD_TO_MATURITY_AT_ISSU")</f>
        <v>-1.3494754534336018</v>
      </c>
      <c r="O2020" t="str">
        <f>_xll.BDP("883815P9 Muni","BVAL_MID_YTM")</f>
        <v>#N/A Authorization</v>
      </c>
      <c r="P2020" t="str">
        <f>_xll.BDP("883815P9 Muni","MUNI_TAX_PROV")</f>
        <v>FED BQ/ST TAX-EXEMPT</v>
      </c>
      <c r="Q2020" t="str">
        <f>_xll.BDP("883815P9 Muni","MUNI_FED_TAX")</f>
        <v>N</v>
      </c>
      <c r="R2020" t="str">
        <f>_xll.BDP("883815P9 Muni","MUNI_MSRB_VOLUME")</f>
        <v>#N/A N/A</v>
      </c>
      <c r="S2020" t="str">
        <f>_xll.BDP("883815P9 Muni","BB_COMPOSITE")</f>
        <v>#N/A N/A</v>
      </c>
      <c r="T2020">
        <f>_xll.BDP("883815P9 Muni","LQA_LIQUIDITY_SCORE")</f>
        <v>68</v>
      </c>
    </row>
    <row r="2021" spans="1:20" x14ac:dyDescent="0.25">
      <c r="A2021" t="str">
        <f>_xll.BDP("883815S5 Muni","ID_CUSIP")</f>
        <v>883815S52</v>
      </c>
      <c r="B2021" t="s">
        <v>520</v>
      </c>
      <c r="C2021" t="str">
        <f>_xll.BDP("883815S5 Muni","INSURANCE_STATUS")</f>
        <v>N</v>
      </c>
      <c r="D2021" t="str">
        <f>_xll.BDP("883815S5 Muni","STATE_CODE")</f>
        <v>MN</v>
      </c>
      <c r="E2021" t="str">
        <f>_xll.BDP("883815S5 Muni","COUNTY_LOCATION_ISSUER")</f>
        <v>Pennington, MN</v>
      </c>
      <c r="F2021">
        <f>_xll.BDP("883815S5 Muni","DUR_ADJ_MID")</f>
        <v>0.49441614288065483</v>
      </c>
      <c r="G2021">
        <f>_xll.BDP("883815S5 Muni","SPREAD_AT_ISSUANCE_TO_WORST")</f>
        <v>28.024512651784939</v>
      </c>
      <c r="H2021" t="str">
        <f>_xll.BDP("883815S5 Muni","ISSUE_DT")</f>
        <v>8/15/2017</v>
      </c>
      <c r="I2021" t="str">
        <f>_xll.BDS("883815S5 Muni","MUNI_PURPOSE_SCHED", "aggregate=y")</f>
        <v>PUBLIC IMPS. WATER UTILITY IMPS.</v>
      </c>
      <c r="J2021">
        <f>_xll.BDP("883815S5 Muni","CPN")</f>
        <v>3</v>
      </c>
      <c r="K2021" t="str">
        <f>_xll.BDP("883815S5 Muni","MATURITY")</f>
        <v>2/1/2023</v>
      </c>
      <c r="L2021">
        <v>120000</v>
      </c>
      <c r="M2021">
        <f>_xll.BDP("883815S5 Muni","YIELD_ON_ISSUE_DATE")</f>
        <v>1.6500000000000001</v>
      </c>
      <c r="N2021">
        <f>_xll.BDP("883815S5 Muni","YTW_SPREAD_TO_MATURITY_AT_ISSU")</f>
        <v>28.024512651784939</v>
      </c>
      <c r="O2021" t="str">
        <f>_xll.BDP("883815S5 Muni","BVAL_MID_YTM")</f>
        <v>#N/A Authorization</v>
      </c>
      <c r="P2021" t="str">
        <f>_xll.BDP("883815S5 Muni","MUNI_TAX_PROV")</f>
        <v>FED BQ/ST TAX-EXEMPT</v>
      </c>
      <c r="Q2021" t="str">
        <f>_xll.BDP("883815S5 Muni","MUNI_FED_TAX")</f>
        <v>N</v>
      </c>
      <c r="R2021" t="str">
        <f>_xll.BDP("883815S5 Muni","MUNI_MSRB_VOLUME")</f>
        <v>#N/A N/A</v>
      </c>
      <c r="S2021" t="str">
        <f>_xll.BDP("883815S5 Muni","BB_COMPOSITE")</f>
        <v>#N/A N/A</v>
      </c>
      <c r="T2021">
        <f>_xll.BDP("883815S5 Muni","LQA_LIQUIDITY_SCORE")</f>
        <v>89</v>
      </c>
    </row>
    <row r="2022" spans="1:20" x14ac:dyDescent="0.25">
      <c r="A2022" t="str">
        <f>_xll.BDP("883815S6 Muni","ID_CUSIP")</f>
        <v>883815S60</v>
      </c>
      <c r="B2022" t="s">
        <v>520</v>
      </c>
      <c r="C2022" t="str">
        <f>_xll.BDP("883815S6 Muni","INSURANCE_STATUS")</f>
        <v>N</v>
      </c>
      <c r="D2022" t="str">
        <f>_xll.BDP("883815S6 Muni","STATE_CODE")</f>
        <v>MN</v>
      </c>
      <c r="E2022" t="str">
        <f>_xll.BDP("883815S6 Muni","COUNTY_LOCATION_ISSUER")</f>
        <v>Pennington, MN</v>
      </c>
      <c r="F2022">
        <f>_xll.BDP("883815S6 Muni","DUR_ADJ_MID")</f>
        <v>1.4628283037266017</v>
      </c>
      <c r="G2022">
        <f>_xll.BDP("883815S6 Muni","SPREAD_AT_ISSUANCE_TO_WORST")</f>
        <v>28.449818279068474</v>
      </c>
      <c r="H2022" t="str">
        <f>_xll.BDP("883815S6 Muni","ISSUE_DT")</f>
        <v>8/15/2017</v>
      </c>
      <c r="I2022" t="str">
        <f>_xll.BDS("883815S6 Muni","MUNI_PURPOSE_SCHED", "aggregate=y")</f>
        <v>PUBLIC IMPS. WATER UTILITY IMPS.</v>
      </c>
      <c r="J2022">
        <f>_xll.BDP("883815S6 Muni","CPN")</f>
        <v>3</v>
      </c>
      <c r="K2022" t="str">
        <f>_xll.BDP("883815S6 Muni","MATURITY")</f>
        <v>2/1/2024</v>
      </c>
      <c r="L2022">
        <v>120000</v>
      </c>
      <c r="M2022">
        <f>_xll.BDP("883815S6 Muni","YIELD_ON_ISSUE_DATE")</f>
        <v>1.8</v>
      </c>
      <c r="N2022">
        <f>_xll.BDP("883815S6 Muni","YTW_SPREAD_TO_MATURITY_AT_ISSU")</f>
        <v>28.449818279068474</v>
      </c>
      <c r="O2022" t="str">
        <f>_xll.BDP("883815S6 Muni","BVAL_MID_YTM")</f>
        <v>#N/A Authorization</v>
      </c>
      <c r="P2022" t="str">
        <f>_xll.BDP("883815S6 Muni","MUNI_TAX_PROV")</f>
        <v>FED BQ/ST TAX-EXEMPT</v>
      </c>
      <c r="Q2022" t="str">
        <f>_xll.BDP("883815S6 Muni","MUNI_FED_TAX")</f>
        <v>N</v>
      </c>
      <c r="R2022" t="str">
        <f>_xll.BDP("883815S6 Muni","MUNI_MSRB_VOLUME")</f>
        <v>#N/A N/A</v>
      </c>
      <c r="S2022" t="str">
        <f>_xll.BDP("883815S6 Muni","BB_COMPOSITE")</f>
        <v>#N/A N/A</v>
      </c>
      <c r="T2022">
        <f>_xll.BDP("883815S6 Muni","LQA_LIQUIDITY_SCORE")</f>
        <v>75</v>
      </c>
    </row>
    <row r="2023" spans="1:20" x14ac:dyDescent="0.25">
      <c r="A2023" t="str">
        <f>_xll.BDP("883815S7 Muni","ID_CUSIP")</f>
        <v>883815S78</v>
      </c>
      <c r="B2023" t="s">
        <v>520</v>
      </c>
      <c r="C2023" t="str">
        <f>_xll.BDP("883815S7 Muni","INSURANCE_STATUS")</f>
        <v>N</v>
      </c>
      <c r="D2023" t="str">
        <f>_xll.BDP("883815S7 Muni","STATE_CODE")</f>
        <v>MN</v>
      </c>
      <c r="E2023" t="str">
        <f>_xll.BDP("883815S7 Muni","COUNTY_LOCATION_ISSUER")</f>
        <v>Pennington, MN</v>
      </c>
      <c r="F2023">
        <f>_xll.BDP("883815S7 Muni","DUR_ADJ_MID")</f>
        <v>2.4027652416586962</v>
      </c>
      <c r="G2023">
        <f>_xll.BDP("883815S7 Muni","SPREAD_AT_ISSUANCE_TO_WORST")</f>
        <v>28.587997335501282</v>
      </c>
      <c r="H2023" t="str">
        <f>_xll.BDP("883815S7 Muni","ISSUE_DT")</f>
        <v>8/15/2017</v>
      </c>
      <c r="I2023" t="str">
        <f>_xll.BDS("883815S7 Muni","MUNI_PURPOSE_SCHED", "aggregate=y")</f>
        <v>PUBLIC IMPS. WATER UTILITY IMPS.</v>
      </c>
      <c r="J2023">
        <f>_xll.BDP("883815S7 Muni","CPN")</f>
        <v>3</v>
      </c>
      <c r="K2023" t="str">
        <f>_xll.BDP("883815S7 Muni","MATURITY")</f>
        <v>2/1/2025</v>
      </c>
      <c r="L2023">
        <v>125000</v>
      </c>
      <c r="M2023">
        <f>_xll.BDP("883815S7 Muni","YIELD_ON_ISSUE_DATE")</f>
        <v>1.95</v>
      </c>
      <c r="N2023">
        <f>_xll.BDP("883815S7 Muni","YTW_SPREAD_TO_MATURITY_AT_ISSU")</f>
        <v>28.587997335501282</v>
      </c>
      <c r="O2023" t="str">
        <f>_xll.BDP("883815S7 Muni","BVAL_MID_YTM")</f>
        <v>#N/A Authorization</v>
      </c>
      <c r="P2023" t="str">
        <f>_xll.BDP("883815S7 Muni","MUNI_TAX_PROV")</f>
        <v>FED BQ/ST TAX-EXEMPT</v>
      </c>
      <c r="Q2023" t="str">
        <f>_xll.BDP("883815S7 Muni","MUNI_FED_TAX")</f>
        <v>N</v>
      </c>
      <c r="R2023" t="str">
        <f>_xll.BDP("883815S7 Muni","MUNI_MSRB_VOLUME")</f>
        <v>#N/A N/A</v>
      </c>
      <c r="S2023" t="str">
        <f>_xll.BDP("883815S7 Muni","BB_COMPOSITE")</f>
        <v>#N/A N/A</v>
      </c>
      <c r="T2023">
        <f>_xll.BDP("883815S7 Muni","LQA_LIQUIDITY_SCORE")</f>
        <v>66</v>
      </c>
    </row>
    <row r="2024" spans="1:20" x14ac:dyDescent="0.25">
      <c r="A2024" t="str">
        <f>_xll.BDP("967338C5 Muni","ID_CUSIP")</f>
        <v>967338C51</v>
      </c>
      <c r="B2024" t="s">
        <v>55</v>
      </c>
      <c r="C2024" t="str">
        <f>_xll.BDP("967338C5 Muni","INSURANCE_STATUS")</f>
        <v>N</v>
      </c>
      <c r="D2024" t="str">
        <f>_xll.BDP("967338C5 Muni","STATE_CODE")</f>
        <v>KS</v>
      </c>
      <c r="E2024" t="str">
        <f>_xll.BDP("967338C5 Muni","COUNTY_LOCATION_ISSUER")</f>
        <v>Sedgwick, KS</v>
      </c>
      <c r="F2024">
        <f>_xll.BDP("967338C5 Muni","DUR_ADJ_MID")</f>
        <v>0.16368743440097711</v>
      </c>
      <c r="G2024">
        <f>_xll.BDP("967338C5 Muni","SPREAD_AT_ISSUANCE_TO_WORST")</f>
        <v>14.253687128294935</v>
      </c>
      <c r="H2024" t="str">
        <f>_xll.BDP("967338C5 Muni","ISSUE_DT")</f>
        <v>6/1/2017</v>
      </c>
      <c r="I2024" t="str">
        <f>_xll.BDS("967338C5 Muni","MUNI_PURPOSE_SCHED", "aggregate=y")</f>
        <v>WATER UTILITY IMPS. SEWER IMPS.</v>
      </c>
      <c r="J2024">
        <f>_xll.BDP("967338C5 Muni","CPN")</f>
        <v>5</v>
      </c>
      <c r="K2024" t="str">
        <f>_xll.BDP("967338C5 Muni","MATURITY")</f>
        <v>10/1/2022</v>
      </c>
      <c r="L2024">
        <v>2590000</v>
      </c>
      <c r="M2024">
        <f>_xll.BDP("967338C5 Muni","YIELD_ON_ISSUE_DATE")</f>
        <v>1.58</v>
      </c>
      <c r="N2024">
        <f>_xll.BDP("967338C5 Muni","YTW_SPREAD_TO_MATURITY_AT_ISSU")</f>
        <v>14.253687128294935</v>
      </c>
      <c r="O2024" t="str">
        <f>_xll.BDP("967338C5 Muni","BVAL_MID_YTM")</f>
        <v>#N/A Authorization</v>
      </c>
      <c r="P2024" t="str">
        <f>_xll.BDP("967338C5 Muni","MUNI_TAX_PROV")</f>
        <v>FED &amp; ST TAX-EXEMPT</v>
      </c>
      <c r="Q2024" t="str">
        <f>_xll.BDP("967338C5 Muni","MUNI_FED_TAX")</f>
        <v>N</v>
      </c>
      <c r="R2024">
        <f>_xll.BDP("967338C5 Muni","MUNI_MSRB_VOLUME")</f>
        <v>1330000</v>
      </c>
      <c r="S2024" t="str">
        <f>_xll.BDP("967338C5 Muni","BB_COMPOSITE")</f>
        <v>#N/A N/A</v>
      </c>
      <c r="T2024">
        <f>_xll.BDP("967338C5 Muni","LQA_LIQUIDITY_SCORE")</f>
        <v>96</v>
      </c>
    </row>
    <row r="2025" spans="1:20" x14ac:dyDescent="0.25">
      <c r="A2025" t="str">
        <f>_xll.BDP("967338C7 Muni","ID_CUSIP")</f>
        <v>967338C77</v>
      </c>
      <c r="B2025" t="s">
        <v>55</v>
      </c>
      <c r="C2025" t="str">
        <f>_xll.BDP("967338C7 Muni","INSURANCE_STATUS")</f>
        <v>N</v>
      </c>
      <c r="D2025" t="str">
        <f>_xll.BDP("967338C7 Muni","STATE_CODE")</f>
        <v>KS</v>
      </c>
      <c r="E2025" t="str">
        <f>_xll.BDP("967338C7 Muni","COUNTY_LOCATION_ISSUER")</f>
        <v>Sedgwick, KS</v>
      </c>
      <c r="F2025">
        <f>_xll.BDP("967338C7 Muni","DUR_ADJ_MID")</f>
        <v>2.0341768984493189</v>
      </c>
      <c r="G2025">
        <f>_xll.BDP("967338C7 Muni","SPREAD_AT_ISSUANCE_TO_WORST")</f>
        <v>18.609437664104789</v>
      </c>
      <c r="H2025" t="str">
        <f>_xll.BDP("967338C7 Muni","ISSUE_DT")</f>
        <v>6/1/2017</v>
      </c>
      <c r="I2025" t="str">
        <f>_xll.BDS("967338C7 Muni","MUNI_PURPOSE_SCHED", "aggregate=y")</f>
        <v>WATER UTILITY IMPS. SEWER IMPS.</v>
      </c>
      <c r="J2025">
        <f>_xll.BDP("967338C7 Muni","CPN")</f>
        <v>5</v>
      </c>
      <c r="K2025" t="str">
        <f>_xll.BDP("967338C7 Muni","MATURITY")</f>
        <v>10/1/2024</v>
      </c>
      <c r="L2025">
        <v>2855000</v>
      </c>
      <c r="M2025">
        <f>_xll.BDP("967338C7 Muni","YIELD_ON_ISSUE_DATE")</f>
        <v>1.95</v>
      </c>
      <c r="N2025">
        <f>_xll.BDP("967338C7 Muni","YTW_SPREAD_TO_MATURITY_AT_ISSU")</f>
        <v>18.609437664104789</v>
      </c>
      <c r="O2025" t="str">
        <f>_xll.BDP("967338C7 Muni","BVAL_MID_YTM")</f>
        <v>#N/A Authorization</v>
      </c>
      <c r="P2025" t="str">
        <f>_xll.BDP("967338C7 Muni","MUNI_TAX_PROV")</f>
        <v>FED &amp; ST TAX-EXEMPT</v>
      </c>
      <c r="Q2025" t="str">
        <f>_xll.BDP("967338C7 Muni","MUNI_FED_TAX")</f>
        <v>N</v>
      </c>
      <c r="R2025" t="str">
        <f>_xll.BDP("967338C7 Muni","MUNI_MSRB_VOLUME")</f>
        <v>#N/A N/A</v>
      </c>
      <c r="S2025" t="str">
        <f>_xll.BDP("967338C7 Muni","BB_COMPOSITE")</f>
        <v>#N/A N/A</v>
      </c>
      <c r="T2025">
        <f>_xll.BDP("967338C7 Muni","LQA_LIQUIDITY_SCORE")</f>
        <v>70</v>
      </c>
    </row>
    <row r="2026" spans="1:20" x14ac:dyDescent="0.25">
      <c r="A2026" t="str">
        <f>_xll.BDP("967338C8 Muni","ID_CUSIP")</f>
        <v>967338C85</v>
      </c>
      <c r="B2026" t="s">
        <v>55</v>
      </c>
      <c r="C2026" t="str">
        <f>_xll.BDP("967338C8 Muni","INSURANCE_STATUS")</f>
        <v>N</v>
      </c>
      <c r="D2026" t="str">
        <f>_xll.BDP("967338C8 Muni","STATE_CODE")</f>
        <v>KS</v>
      </c>
      <c r="E2026" t="str">
        <f>_xll.BDP("967338C8 Muni","COUNTY_LOCATION_ISSUER")</f>
        <v>Sedgwick, KS</v>
      </c>
      <c r="F2026">
        <f>_xll.BDP("967338C8 Muni","DUR_ADJ_MID")</f>
        <v>2.9084306812795826</v>
      </c>
      <c r="G2026">
        <f>_xll.BDP("967338C8 Muni","SPREAD_AT_ISSUANCE_TO_WORST")</f>
        <v>20.933599719732122</v>
      </c>
      <c r="H2026" t="str">
        <f>_xll.BDP("967338C8 Muni","ISSUE_DT")</f>
        <v>6/1/2017</v>
      </c>
      <c r="I2026" t="str">
        <f>_xll.BDS("967338C8 Muni","MUNI_PURPOSE_SCHED", "aggregate=y")</f>
        <v>WATER UTILITY IMPS. SEWER IMPS.</v>
      </c>
      <c r="J2026">
        <f>_xll.BDP("967338C8 Muni","CPN")</f>
        <v>5</v>
      </c>
      <c r="K2026" t="str">
        <f>_xll.BDP("967338C8 Muni","MATURITY")</f>
        <v>10/1/2025</v>
      </c>
      <c r="L2026">
        <v>3005000</v>
      </c>
      <c r="M2026">
        <f>_xll.BDP("967338C8 Muni","YIELD_ON_ISSUE_DATE")</f>
        <v>2.13</v>
      </c>
      <c r="N2026">
        <f>_xll.BDP("967338C8 Muni","YTW_SPREAD_TO_MATURITY_AT_ISSU")</f>
        <v>20.933599719732122</v>
      </c>
      <c r="O2026" t="str">
        <f>_xll.BDP("967338C8 Muni","BVAL_MID_YTM")</f>
        <v>#N/A Authorization</v>
      </c>
      <c r="P2026" t="str">
        <f>_xll.BDP("967338C8 Muni","MUNI_TAX_PROV")</f>
        <v>FED &amp; ST TAX-EXEMPT</v>
      </c>
      <c r="Q2026" t="str">
        <f>_xll.BDP("967338C8 Muni","MUNI_FED_TAX")</f>
        <v>N</v>
      </c>
      <c r="R2026">
        <f>_xll.BDP("967338C8 Muni","MUNI_MSRB_VOLUME")</f>
        <v>90000</v>
      </c>
      <c r="S2026" t="str">
        <f>_xll.BDP("967338C8 Muni","BB_COMPOSITE")</f>
        <v>#N/A N/A</v>
      </c>
      <c r="T2026">
        <f>_xll.BDP("967338C8 Muni","LQA_LIQUIDITY_SCORE")</f>
        <v>65</v>
      </c>
    </row>
    <row r="2027" spans="1:20" x14ac:dyDescent="0.25">
      <c r="A2027" t="str">
        <f>_xll.BDP("967792EG Muni","ID_CUSIP")</f>
        <v>967792EG3</v>
      </c>
      <c r="B2027" t="s">
        <v>521</v>
      </c>
      <c r="C2027" t="str">
        <f>_xll.BDP("967792EG Muni","INSURANCE_STATUS")</f>
        <v>Y</v>
      </c>
      <c r="D2027" t="str">
        <f>_xll.BDP("967792EG Muni","STATE_CODE")</f>
        <v>TX</v>
      </c>
      <c r="E2027" t="str">
        <f>_xll.BDP("967792EG Muni","COUNTY_LOCATION_ISSUER")</f>
        <v>Travis, TX</v>
      </c>
      <c r="F2027">
        <f>_xll.BDP("967792EG Muni","DUR_ADJ_MID")</f>
        <v>8.0470875700795363E-2</v>
      </c>
      <c r="G2027">
        <f>_xll.BDP("967792EG Muni","SPREAD_AT_ISSUANCE_TO_WORST")</f>
        <v>91.154381259065318</v>
      </c>
      <c r="H2027" t="str">
        <f>_xll.BDP("967792EG Muni","ISSUE_DT")</f>
        <v>5/2/2017</v>
      </c>
      <c r="I2027" t="str">
        <f>_xll.BDS("967792EG Muni","MUNI_PURPOSE_SCHED", "aggregate=y")</f>
        <v>WATER UTILITY IMPS. SEWER IMPS.</v>
      </c>
      <c r="J2027">
        <f>_xll.BDP("967792EG Muni","CPN")</f>
        <v>4</v>
      </c>
      <c r="K2027" t="str">
        <f>_xll.BDP("967792EG Muni","MATURITY")</f>
        <v>9/1/2022</v>
      </c>
      <c r="L2027">
        <v>5000</v>
      </c>
      <c r="M2027">
        <f>_xll.BDP("967792EG Muni","YIELD_ON_ISSUE_DATE")</f>
        <v>2.5</v>
      </c>
      <c r="N2027">
        <f>_xll.BDP("967792EG Muni","YTW_SPREAD_TO_MATURITY_AT_ISSU")</f>
        <v>91.154381259065318</v>
      </c>
      <c r="O2027" t="str">
        <f>_xll.BDP("967792EG Muni","BVAL_MID_YTM")</f>
        <v>#N/A Authorization</v>
      </c>
      <c r="P2027" t="str">
        <f>_xll.BDP("967792EG Muni","MUNI_TAX_PROV")</f>
        <v>FED BQ</v>
      </c>
      <c r="Q2027" t="str">
        <f>_xll.BDP("967792EG Muni","MUNI_FED_TAX")</f>
        <v>N</v>
      </c>
      <c r="R2027" t="str">
        <f>_xll.BDP("967792EG Muni","MUNI_MSRB_VOLUME")</f>
        <v>#N/A N/A</v>
      </c>
      <c r="S2027" t="str">
        <f>_xll.BDP("967792EG Muni","BB_COMPOSITE")</f>
        <v>AA-</v>
      </c>
      <c r="T2027">
        <f>_xll.BDP("967792EG Muni","LQA_LIQUIDITY_SCORE")</f>
        <v>95</v>
      </c>
    </row>
    <row r="2028" spans="1:20" x14ac:dyDescent="0.25">
      <c r="A2028" t="str">
        <f>_xll.BDP("967792EH Muni","ID_CUSIP")</f>
        <v>967792EH1</v>
      </c>
      <c r="B2028" t="s">
        <v>521</v>
      </c>
      <c r="C2028" t="str">
        <f>_xll.BDP("967792EH Muni","INSURANCE_STATUS")</f>
        <v>Y</v>
      </c>
      <c r="D2028" t="str">
        <f>_xll.BDP("967792EH Muni","STATE_CODE")</f>
        <v>TX</v>
      </c>
      <c r="E2028" t="str">
        <f>_xll.BDP("967792EH Muni","COUNTY_LOCATION_ISSUER")</f>
        <v>Travis, TX</v>
      </c>
      <c r="F2028">
        <f>_xll.BDP("967792EH Muni","DUR_ADJ_MID")</f>
        <v>1.0418961837935259</v>
      </c>
      <c r="G2028">
        <f>_xll.BDP("967792EH Muni","SPREAD_AT_ISSUANCE_TO_WORST")</f>
        <v>94.200905992298559</v>
      </c>
      <c r="H2028" t="str">
        <f>_xll.BDP("967792EH Muni","ISSUE_DT")</f>
        <v>5/2/2017</v>
      </c>
      <c r="I2028" t="str">
        <f>_xll.BDS("967792EH Muni","MUNI_PURPOSE_SCHED", "aggregate=y")</f>
        <v>WATER UTILITY IMPS. SEWER IMPS.</v>
      </c>
      <c r="J2028">
        <f>_xll.BDP("967792EH Muni","CPN")</f>
        <v>4</v>
      </c>
      <c r="K2028" t="str">
        <f>_xll.BDP("967792EH Muni","MATURITY")</f>
        <v>9/1/2023</v>
      </c>
      <c r="L2028">
        <v>5000</v>
      </c>
      <c r="M2028">
        <f>_xll.BDP("967792EH Muni","YIELD_ON_ISSUE_DATE")</f>
        <v>2.7</v>
      </c>
      <c r="N2028">
        <f>_xll.BDP("967792EH Muni","YTW_SPREAD_TO_MATURITY_AT_ISSU")</f>
        <v>94.200905992298559</v>
      </c>
      <c r="O2028" t="str">
        <f>_xll.BDP("967792EH Muni","BVAL_MID_YTM")</f>
        <v>#N/A Authorization</v>
      </c>
      <c r="P2028" t="str">
        <f>_xll.BDP("967792EH Muni","MUNI_TAX_PROV")</f>
        <v>FED BQ</v>
      </c>
      <c r="Q2028" t="str">
        <f>_xll.BDP("967792EH Muni","MUNI_FED_TAX")</f>
        <v>N</v>
      </c>
      <c r="R2028" t="str">
        <f>_xll.BDP("967792EH Muni","MUNI_MSRB_VOLUME")</f>
        <v>#N/A N/A</v>
      </c>
      <c r="S2028" t="str">
        <f>_xll.BDP("967792EH Muni","BB_COMPOSITE")</f>
        <v>AA-</v>
      </c>
      <c r="T2028">
        <f>_xll.BDP("967792EH Muni","LQA_LIQUIDITY_SCORE")</f>
        <v>86</v>
      </c>
    </row>
    <row r="2029" spans="1:20" x14ac:dyDescent="0.25">
      <c r="A2029" t="str">
        <f>_xll.BDP("967792EJ Muni","ID_CUSIP")</f>
        <v>967792EJ7</v>
      </c>
      <c r="B2029" t="s">
        <v>521</v>
      </c>
      <c r="C2029" t="str">
        <f>_xll.BDP("967792EJ Muni","INSURANCE_STATUS")</f>
        <v>Y</v>
      </c>
      <c r="D2029" t="str">
        <f>_xll.BDP("967792EJ Muni","STATE_CODE")</f>
        <v>TX</v>
      </c>
      <c r="E2029" t="str">
        <f>_xll.BDP("967792EJ Muni","COUNTY_LOCATION_ISSUER")</f>
        <v>Travis, TX</v>
      </c>
      <c r="F2029">
        <f>_xll.BDP("967792EJ Muni","DUR_ADJ_MID")</f>
        <v>1.9657970175541475</v>
      </c>
      <c r="G2029">
        <f>_xll.BDP("967792EJ Muni","SPREAD_AT_ISSUANCE_TO_WORST")</f>
        <v>97.613695798043338</v>
      </c>
      <c r="H2029" t="str">
        <f>_xll.BDP("967792EJ Muni","ISSUE_DT")</f>
        <v>5/2/2017</v>
      </c>
      <c r="I2029" t="str">
        <f>_xll.BDS("967792EJ Muni","MUNI_PURPOSE_SCHED", "aggregate=y")</f>
        <v>WATER UTILITY IMPS. SEWER IMPS.</v>
      </c>
      <c r="J2029">
        <f>_xll.BDP("967792EJ Muni","CPN")</f>
        <v>4</v>
      </c>
      <c r="K2029" t="str">
        <f>_xll.BDP("967792EJ Muni","MATURITY")</f>
        <v>9/1/2024</v>
      </c>
      <c r="L2029">
        <v>5000</v>
      </c>
      <c r="M2029">
        <f>_xll.BDP("967792EJ Muni","YIELD_ON_ISSUE_DATE")</f>
        <v>2.9000000000000004</v>
      </c>
      <c r="N2029">
        <f>_xll.BDP("967792EJ Muni","YTW_SPREAD_TO_MATURITY_AT_ISSU")</f>
        <v>97.613695798043338</v>
      </c>
      <c r="O2029" t="str">
        <f>_xll.BDP("967792EJ Muni","BVAL_MID_YTM")</f>
        <v>#N/A Authorization</v>
      </c>
      <c r="P2029" t="str">
        <f>_xll.BDP("967792EJ Muni","MUNI_TAX_PROV")</f>
        <v>FED BQ</v>
      </c>
      <c r="Q2029" t="str">
        <f>_xll.BDP("967792EJ Muni","MUNI_FED_TAX")</f>
        <v>N</v>
      </c>
      <c r="R2029" t="str">
        <f>_xll.BDP("967792EJ Muni","MUNI_MSRB_VOLUME")</f>
        <v>#N/A N/A</v>
      </c>
      <c r="S2029" t="str">
        <f>_xll.BDP("967792EJ Muni","BB_COMPOSITE")</f>
        <v>AA-</v>
      </c>
      <c r="T2029">
        <f>_xll.BDP("967792EJ Muni","LQA_LIQUIDITY_SCORE")</f>
        <v>73</v>
      </c>
    </row>
    <row r="2030" spans="1:20" x14ac:dyDescent="0.25">
      <c r="A2030" t="str">
        <f>_xll.BDP("968546LU Muni","ID_CUSIP")</f>
        <v>968546LU3</v>
      </c>
      <c r="B2030" t="s">
        <v>522</v>
      </c>
      <c r="C2030" t="str">
        <f>_xll.BDP("968546LU Muni","INSURANCE_STATUS")</f>
        <v>N</v>
      </c>
      <c r="D2030" t="str">
        <f>_xll.BDP("968546LU Muni","STATE_CODE")</f>
        <v>PA</v>
      </c>
      <c r="E2030" t="str">
        <f>_xll.BDP("968546LU Muni","COUNTY_LOCATION_ISSUER")</f>
        <v>Allegheny, PA</v>
      </c>
      <c r="F2030">
        <f>_xll.BDP("968546LU Muni","DUR_ADJ_MID")</f>
        <v>0.11930324105882095</v>
      </c>
      <c r="G2030">
        <f>_xll.BDP("968546LU Muni","SPREAD_AT_ISSUANCE_TO_WORST")</f>
        <v>40.595349440707928</v>
      </c>
      <c r="H2030" t="str">
        <f>_xll.BDP("968546LU Muni","ISSUE_DT")</f>
        <v>4/26/2017</v>
      </c>
      <c r="I2030" t="str">
        <f>_xll.BDS("968546LU Muni","MUNI_PURPOSE_SCHED", "aggregate=y")</f>
        <v>CURRENT REFUNDING WATER UTILITY IMPS.</v>
      </c>
      <c r="J2030">
        <f>_xll.BDP("968546LU Muni","CPN")</f>
        <v>5</v>
      </c>
      <c r="K2030" t="str">
        <f>_xll.BDP("968546LU Muni","MATURITY")</f>
        <v>9/15/2022</v>
      </c>
      <c r="L2030">
        <v>1035000</v>
      </c>
      <c r="M2030">
        <f>_xll.BDP("968546LU Muni","YIELD_ON_ISSUE_DATE")</f>
        <v>2</v>
      </c>
      <c r="N2030">
        <f>_xll.BDP("968546LU Muni","YTW_SPREAD_TO_MATURITY_AT_ISSU")</f>
        <v>40.595349440707928</v>
      </c>
      <c r="O2030" t="str">
        <f>_xll.BDP("968546LU Muni","BVAL_MID_YTM")</f>
        <v>#N/A Authorization</v>
      </c>
      <c r="P2030" t="str">
        <f>_xll.BDP("968546LU Muni","MUNI_TAX_PROV")</f>
        <v>FED BQ/ST TAX-EXEMPT</v>
      </c>
      <c r="Q2030" t="str">
        <f>_xll.BDP("968546LU Muni","MUNI_FED_TAX")</f>
        <v>N</v>
      </c>
      <c r="R2030">
        <f>_xll.BDP("968546LU Muni","MUNI_MSRB_VOLUME")</f>
        <v>15000</v>
      </c>
      <c r="S2030" t="str">
        <f>_xll.BDP("968546LU Muni","BB_COMPOSITE")</f>
        <v>#N/A N/A</v>
      </c>
      <c r="T2030">
        <f>_xll.BDP("968546LU Muni","LQA_LIQUIDITY_SCORE")</f>
        <v>88</v>
      </c>
    </row>
    <row r="2031" spans="1:20" x14ac:dyDescent="0.25">
      <c r="A2031" t="str">
        <f>_xll.BDP("970007PC Muni","ID_CUSIP")</f>
        <v>970007PC8</v>
      </c>
      <c r="B2031" t="s">
        <v>523</v>
      </c>
      <c r="C2031" t="str">
        <f>_xll.BDP("970007PC Muni","INSURANCE_STATUS")</f>
        <v>Y</v>
      </c>
      <c r="D2031" t="str">
        <f>_xll.BDP("970007PC Muni","STATE_CODE")</f>
        <v>TX</v>
      </c>
      <c r="E2031" t="str">
        <f>_xll.BDP("970007PC Muni","COUNTY_LOCATION_ISSUER")</f>
        <v>Travis, TX</v>
      </c>
      <c r="F2031">
        <f>_xll.BDP("970007PC Muni","DUR_ADJ_MID")</f>
        <v>8.0466058248590877E-2</v>
      </c>
      <c r="G2031">
        <f>_xll.BDP("970007PC Muni","SPREAD_AT_ISSUANCE_TO_WORST")</f>
        <v>36.625268192843549</v>
      </c>
      <c r="H2031" t="str">
        <f>_xll.BDP("970007PC Muni","ISSUE_DT")</f>
        <v>9/13/2017</v>
      </c>
      <c r="I2031" t="str">
        <f>_xll.BDS("970007PC Muni","MUNI_PURPOSE_SCHED", "aggregate=y")</f>
        <v>WATER UTILITY IMPS. SEWER IMPS.</v>
      </c>
      <c r="J2031">
        <f>_xll.BDP("970007PC Muni","CPN")</f>
        <v>2</v>
      </c>
      <c r="K2031" t="str">
        <f>_xll.BDP("970007PC Muni","MATURITY")</f>
        <v>9/1/2022</v>
      </c>
      <c r="L2031">
        <v>125000</v>
      </c>
      <c r="M2031">
        <f>_xll.BDP("970007PC Muni","YIELD_ON_ISSUE_DATE")</f>
        <v>1.55</v>
      </c>
      <c r="N2031">
        <f>_xll.BDP("970007PC Muni","YTW_SPREAD_TO_MATURITY_AT_ISSU")</f>
        <v>36.625268192843549</v>
      </c>
      <c r="O2031" t="str">
        <f>_xll.BDP("970007PC Muni","BVAL_MID_YTM")</f>
        <v>#N/A Authorization</v>
      </c>
      <c r="P2031" t="str">
        <f>_xll.BDP("970007PC Muni","MUNI_TAX_PROV")</f>
        <v>FED BQ</v>
      </c>
      <c r="Q2031" t="str">
        <f>_xll.BDP("970007PC Muni","MUNI_FED_TAX")</f>
        <v>N</v>
      </c>
      <c r="R2031" t="str">
        <f>_xll.BDP("970007PC Muni","MUNI_MSRB_VOLUME")</f>
        <v>#N/A N/A</v>
      </c>
      <c r="S2031" t="str">
        <f>_xll.BDP("970007PC Muni","BB_COMPOSITE")</f>
        <v>A+</v>
      </c>
      <c r="T2031">
        <f>_xll.BDP("970007PC Muni","LQA_LIQUIDITY_SCORE")</f>
        <v>97</v>
      </c>
    </row>
    <row r="2032" spans="1:20" x14ac:dyDescent="0.25">
      <c r="A2032" t="str">
        <f>_xll.BDP("970007PD Muni","ID_CUSIP")</f>
        <v>970007PD6</v>
      </c>
      <c r="B2032" t="s">
        <v>523</v>
      </c>
      <c r="C2032" t="str">
        <f>_xll.BDP("970007PD Muni","INSURANCE_STATUS")</f>
        <v>Y</v>
      </c>
      <c r="D2032" t="str">
        <f>_xll.BDP("970007PD Muni","STATE_CODE")</f>
        <v>TX</v>
      </c>
      <c r="E2032" t="str">
        <f>_xll.BDP("970007PD Muni","COUNTY_LOCATION_ISSUER")</f>
        <v>Travis, TX</v>
      </c>
      <c r="F2032">
        <f>_xll.BDP("970007PD Muni","DUR_ADJ_MID")</f>
        <v>1.0553287240902836</v>
      </c>
      <c r="G2032">
        <f>_xll.BDP("970007PD Muni","SPREAD_AT_ISSUANCE_TO_WORST")</f>
        <v>36.877809270481123</v>
      </c>
      <c r="H2032" t="str">
        <f>_xll.BDP("970007PD Muni","ISSUE_DT")</f>
        <v>9/13/2017</v>
      </c>
      <c r="I2032" t="str">
        <f>_xll.BDS("970007PD Muni","MUNI_PURPOSE_SCHED", "aggregate=y")</f>
        <v>WATER UTILITY IMPS. SEWER IMPS.</v>
      </c>
      <c r="J2032">
        <f>_xll.BDP("970007PD Muni","CPN")</f>
        <v>2</v>
      </c>
      <c r="K2032" t="str">
        <f>_xll.BDP("970007PD Muni","MATURITY")</f>
        <v>9/1/2023</v>
      </c>
      <c r="L2032">
        <v>125000</v>
      </c>
      <c r="M2032">
        <f>_xll.BDP("970007PD Muni","YIELD_ON_ISSUE_DATE")</f>
        <v>1.7000000000000002</v>
      </c>
      <c r="N2032">
        <f>_xll.BDP("970007PD Muni","YTW_SPREAD_TO_MATURITY_AT_ISSU")</f>
        <v>36.877809270481123</v>
      </c>
      <c r="O2032" t="str">
        <f>_xll.BDP("970007PD Muni","BVAL_MID_YTM")</f>
        <v>#N/A Authorization</v>
      </c>
      <c r="P2032" t="str">
        <f>_xll.BDP("970007PD Muni","MUNI_TAX_PROV")</f>
        <v>FED BQ</v>
      </c>
      <c r="Q2032" t="str">
        <f>_xll.BDP("970007PD Muni","MUNI_FED_TAX")</f>
        <v>N</v>
      </c>
      <c r="R2032" t="str">
        <f>_xll.BDP("970007PD Muni","MUNI_MSRB_VOLUME")</f>
        <v>#N/A N/A</v>
      </c>
      <c r="S2032" t="str">
        <f>_xll.BDP("970007PD Muni","BB_COMPOSITE")</f>
        <v>A+</v>
      </c>
      <c r="T2032">
        <f>_xll.BDP("970007PD Muni","LQA_LIQUIDITY_SCORE")</f>
        <v>72</v>
      </c>
    </row>
    <row r="2033" spans="1:20" x14ac:dyDescent="0.25">
      <c r="A2033" t="str">
        <f>_xll.BDP("970007PE Muni","ID_CUSIP")</f>
        <v>970007PE4</v>
      </c>
      <c r="B2033" t="s">
        <v>523</v>
      </c>
      <c r="C2033" t="str">
        <f>_xll.BDP("970007PE Muni","INSURANCE_STATUS")</f>
        <v>Y</v>
      </c>
      <c r="D2033" t="str">
        <f>_xll.BDP("970007PE Muni","STATE_CODE")</f>
        <v>TX</v>
      </c>
      <c r="E2033" t="str">
        <f>_xll.BDP("970007PE Muni","COUNTY_LOCATION_ISSUER")</f>
        <v>Travis, TX</v>
      </c>
      <c r="F2033">
        <f>_xll.BDP("970007PE Muni","DUR_ADJ_MID")</f>
        <v>2.0091807821444752</v>
      </c>
      <c r="G2033">
        <f>_xll.BDP("970007PE Muni","SPREAD_AT_ISSUANCE_TO_WORST")</f>
        <v>41.719526959068133</v>
      </c>
      <c r="H2033" t="str">
        <f>_xll.BDP("970007PE Muni","ISSUE_DT")</f>
        <v>9/13/2017</v>
      </c>
      <c r="I2033" t="str">
        <f>_xll.BDS("970007PE Muni","MUNI_PURPOSE_SCHED", "aggregate=y")</f>
        <v>WATER UTILITY IMPS. SEWER IMPS.</v>
      </c>
      <c r="J2033">
        <f>_xll.BDP("970007PE Muni","CPN")</f>
        <v>2</v>
      </c>
      <c r="K2033" t="str">
        <f>_xll.BDP("970007PE Muni","MATURITY")</f>
        <v>9/1/2024</v>
      </c>
      <c r="L2033">
        <v>125000</v>
      </c>
      <c r="M2033">
        <f>_xll.BDP("970007PE Muni","YIELD_ON_ISSUE_DATE")</f>
        <v>1.9000000000000001</v>
      </c>
      <c r="N2033">
        <f>_xll.BDP("970007PE Muni","YTW_SPREAD_TO_MATURITY_AT_ISSU")</f>
        <v>41.719526959068133</v>
      </c>
      <c r="O2033" t="str">
        <f>_xll.BDP("970007PE Muni","BVAL_MID_YTM")</f>
        <v>#N/A Authorization</v>
      </c>
      <c r="P2033" t="str">
        <f>_xll.BDP("970007PE Muni","MUNI_TAX_PROV")</f>
        <v>FED BQ</v>
      </c>
      <c r="Q2033" t="str">
        <f>_xll.BDP("970007PE Muni","MUNI_FED_TAX")</f>
        <v>N</v>
      </c>
      <c r="R2033" t="str">
        <f>_xll.BDP("970007PE Muni","MUNI_MSRB_VOLUME")</f>
        <v>#N/A N/A</v>
      </c>
      <c r="S2033" t="str">
        <f>_xll.BDP("970007PE Muni","BB_COMPOSITE")</f>
        <v>A+</v>
      </c>
      <c r="T2033">
        <f>_xll.BDP("970007PE Muni","LQA_LIQUIDITY_SCORE")</f>
        <v>54</v>
      </c>
    </row>
    <row r="2034" spans="1:20" x14ac:dyDescent="0.25">
      <c r="A2034" t="str">
        <f>_xll.BDP("898797EB Muni","ID_CUSIP")</f>
        <v>898797EB7</v>
      </c>
      <c r="B2034" t="s">
        <v>30</v>
      </c>
      <c r="C2034" t="str">
        <f>_xll.BDP("898797EB Muni","INSURANCE_STATUS")</f>
        <v>N</v>
      </c>
      <c r="D2034" t="str">
        <f>_xll.BDP("898797EB Muni","STATE_CODE")</f>
        <v>AZ</v>
      </c>
      <c r="E2034" t="str">
        <f>_xll.BDP("898797EB Muni","COUNTY_LOCATION_ISSUER")</f>
        <v>Pima, AZ</v>
      </c>
      <c r="F2034">
        <f>_xll.BDP("898797EB Muni","DUR_ADJ_MID")</f>
        <v>0.89416510136920013</v>
      </c>
      <c r="G2034">
        <f>_xll.BDP("898797EB Muni","SPREAD_AT_ISSUANCE_TO_WORST")</f>
        <v>11.391479215813071</v>
      </c>
      <c r="H2034" t="str">
        <f>_xll.BDP("898797EB Muni","ISSUE_DT")</f>
        <v>6/28/2017</v>
      </c>
      <c r="I2034" t="str">
        <f>_xll.BDS("898797EB Muni","MUNI_PURPOSE_SCHED", "aggregate=y")</f>
        <v>ADVANCE REFUNDING CURRENT REFUNDING WATER UTILITY IMPS.</v>
      </c>
      <c r="J2034">
        <f>_xll.BDP("898797EB Muni","CPN")</f>
        <v>5</v>
      </c>
      <c r="K2034" t="str">
        <f>_xll.BDP("898797EB Muni","MATURITY")</f>
        <v>7/1/2023</v>
      </c>
      <c r="L2034">
        <v>5425000</v>
      </c>
      <c r="M2034">
        <f>_xll.BDP("898797EB Muni","YIELD_ON_ISSUE_DATE")</f>
        <v>1.47</v>
      </c>
      <c r="N2034">
        <f>_xll.BDP("898797EB Muni","YTW_SPREAD_TO_MATURITY_AT_ISSU")</f>
        <v>11.391479215813071</v>
      </c>
      <c r="O2034" t="str">
        <f>_xll.BDP("898797EB Muni","BVAL_MID_YTM")</f>
        <v>#N/A Authorization</v>
      </c>
      <c r="P2034" t="str">
        <f>_xll.BDP("898797EB Muni","MUNI_TAX_PROV")</f>
        <v>FED &amp; ST TAX-EXEMPT</v>
      </c>
      <c r="Q2034" t="str">
        <f>_xll.BDP("898797EB Muni","MUNI_FED_TAX")</f>
        <v>N</v>
      </c>
      <c r="R2034">
        <f>_xll.BDP("898797EB Muni","MUNI_MSRB_VOLUME")</f>
        <v>20000</v>
      </c>
      <c r="S2034" t="str">
        <f>_xll.BDP("898797EB Muni","BB_COMPOSITE")</f>
        <v>AA</v>
      </c>
      <c r="T2034">
        <f>_xll.BDP("898797EB Muni","LQA_LIQUIDITY_SCORE")</f>
        <v>86</v>
      </c>
    </row>
    <row r="2035" spans="1:20" x14ac:dyDescent="0.25">
      <c r="A2035" t="str">
        <f>_xll.BDP("898797EE Muni","ID_CUSIP")</f>
        <v>898797EE1</v>
      </c>
      <c r="B2035" t="s">
        <v>30</v>
      </c>
      <c r="C2035" t="str">
        <f>_xll.BDP("898797EE Muni","INSURANCE_STATUS")</f>
        <v>N</v>
      </c>
      <c r="D2035" t="str">
        <f>_xll.BDP("898797EE Muni","STATE_CODE")</f>
        <v>AZ</v>
      </c>
      <c r="E2035" t="str">
        <f>_xll.BDP("898797EE Muni","COUNTY_LOCATION_ISSUER")</f>
        <v>Pima, AZ</v>
      </c>
      <c r="F2035">
        <f>_xll.BDP("898797EE Muni","DUR_ADJ_MID")</f>
        <v>3.5799581292689058</v>
      </c>
      <c r="G2035">
        <f>_xll.BDP("898797EE Muni","SPREAD_AT_ISSUANCE_TO_WORST")</f>
        <v>16.1421276626847</v>
      </c>
      <c r="H2035" t="str">
        <f>_xll.BDP("898797EE Muni","ISSUE_DT")</f>
        <v>6/28/2017</v>
      </c>
      <c r="I2035" t="str">
        <f>_xll.BDS("898797EE Muni","MUNI_PURPOSE_SCHED", "aggregate=y")</f>
        <v>ADVANCE REFUNDING CURRENT REFUNDING WATER UTILITY IMPS.</v>
      </c>
      <c r="J2035">
        <f>_xll.BDP("898797EE Muni","CPN")</f>
        <v>5</v>
      </c>
      <c r="K2035" t="str">
        <f>_xll.BDP("898797EE Muni","MATURITY")</f>
        <v>7/1/2026</v>
      </c>
      <c r="L2035">
        <v>7580000</v>
      </c>
      <c r="M2035">
        <f>_xll.BDP("898797EE Muni","YIELD_ON_ISSUE_DATE")</f>
        <v>1.94</v>
      </c>
      <c r="N2035">
        <f>_xll.BDP("898797EE Muni","YTW_SPREAD_TO_MATURITY_AT_ISSU")</f>
        <v>16.1421276626847</v>
      </c>
      <c r="O2035" t="str">
        <f>_xll.BDP("898797EE Muni","BVAL_MID_YTM")</f>
        <v>#N/A Authorization</v>
      </c>
      <c r="P2035" t="str">
        <f>_xll.BDP("898797EE Muni","MUNI_TAX_PROV")</f>
        <v>FED &amp; ST TAX-EXEMPT</v>
      </c>
      <c r="Q2035" t="str">
        <f>_xll.BDP("898797EE Muni","MUNI_FED_TAX")</f>
        <v>N</v>
      </c>
      <c r="R2035">
        <f>_xll.BDP("898797EE Muni","MUNI_MSRB_VOLUME")</f>
        <v>25000</v>
      </c>
      <c r="S2035" t="str">
        <f>_xll.BDP("898797EE Muni","BB_COMPOSITE")</f>
        <v>AA</v>
      </c>
      <c r="T2035">
        <f>_xll.BDP("898797EE Muni","LQA_LIQUIDITY_SCORE")</f>
        <v>75</v>
      </c>
    </row>
    <row r="2036" spans="1:20" x14ac:dyDescent="0.25">
      <c r="A2036" t="str">
        <f>_xll.BDP("899138AE Muni","ID_CUSIP")</f>
        <v>899138AE1</v>
      </c>
      <c r="B2036" t="s">
        <v>45</v>
      </c>
      <c r="C2036" t="str">
        <f>_xll.BDP("899138AE Muni","INSURANCE_STATUS")</f>
        <v>Y</v>
      </c>
      <c r="D2036" t="str">
        <f>_xll.BDP("899138AE Muni","STATE_CODE")</f>
        <v>CA</v>
      </c>
      <c r="E2036" t="str">
        <f>_xll.BDP("899138AE Muni","COUNTY_LOCATION_ISSUER")</f>
        <v>#N/A Field Not Applicable</v>
      </c>
      <c r="F2036">
        <f>_xll.BDP("899138AE Muni","DUR_ADJ_MID")</f>
        <v>0.32946675704574835</v>
      </c>
      <c r="G2036">
        <f>_xll.BDP("899138AE Muni","SPREAD_AT_ISSUANCE_TO_WORST")</f>
        <v>10.929643835616432</v>
      </c>
      <c r="H2036" t="str">
        <f>_xll.BDP("899138AE Muni","ISSUE_DT")</f>
        <v>12/6/2017</v>
      </c>
      <c r="I2036" t="str">
        <f>_xll.BDS("899138AE Muni","MUNI_PURPOSE_SCHED", "aggregate=y")</f>
        <v>WATER UTILITY IMPS.</v>
      </c>
      <c r="J2036">
        <f>_xll.BDP("899138AE Muni","CPN")</f>
        <v>4</v>
      </c>
      <c r="K2036" t="str">
        <f>_xll.BDP("899138AE Muni","MATURITY")</f>
        <v>12/1/2022</v>
      </c>
      <c r="L2036">
        <v>365000</v>
      </c>
      <c r="M2036">
        <f>_xll.BDP("899138AE Muni","YIELD_ON_ISSUE_DATE")</f>
        <v>1.6300000000000001</v>
      </c>
      <c r="N2036">
        <f>_xll.BDP("899138AE Muni","YTW_SPREAD_TO_MATURITY_AT_ISSU")</f>
        <v>10.929643835616432</v>
      </c>
      <c r="O2036" t="str">
        <f>_xll.BDP("899138AE Muni","BVAL_MID_YTM")</f>
        <v>#N/A Authorization</v>
      </c>
      <c r="P2036" t="str">
        <f>_xll.BDP("899138AE Muni","MUNI_TAX_PROV")</f>
        <v>FED &amp; ST TAX-EXEMPT</v>
      </c>
      <c r="Q2036" t="str">
        <f>_xll.BDP("899138AE Muni","MUNI_FED_TAX")</f>
        <v>N</v>
      </c>
      <c r="R2036" t="str">
        <f>_xll.BDP("899138AE Muni","MUNI_MSRB_VOLUME")</f>
        <v>#N/A N/A</v>
      </c>
      <c r="S2036" t="str">
        <f>_xll.BDP("899138AE Muni","BB_COMPOSITE")</f>
        <v>#N/A N/A</v>
      </c>
      <c r="T2036">
        <f>_xll.BDP("899138AE Muni","LQA_LIQUIDITY_SCORE")</f>
        <v>89</v>
      </c>
    </row>
    <row r="2037" spans="1:20" x14ac:dyDescent="0.25">
      <c r="A2037" t="str">
        <f>_xll.BDP("899138AG Muni","ID_CUSIP")</f>
        <v>899138AG6</v>
      </c>
      <c r="B2037" t="s">
        <v>45</v>
      </c>
      <c r="C2037" t="str">
        <f>_xll.BDP("899138AG Muni","INSURANCE_STATUS")</f>
        <v>Y</v>
      </c>
      <c r="D2037" t="str">
        <f>_xll.BDP("899138AG Muni","STATE_CODE")</f>
        <v>CA</v>
      </c>
      <c r="E2037" t="str">
        <f>_xll.BDP("899138AG Muni","COUNTY_LOCATION_ISSUER")</f>
        <v>#N/A Field Not Applicable</v>
      </c>
      <c r="F2037">
        <f>_xll.BDP("899138AG Muni","DUR_ADJ_MID")</f>
        <v>2.216785061400028</v>
      </c>
      <c r="G2037">
        <f>_xll.BDP("899138AG Muni","SPREAD_AT_ISSUANCE_TO_WORST")</f>
        <v>12.728849315068501</v>
      </c>
      <c r="H2037" t="str">
        <f>_xll.BDP("899138AG Muni","ISSUE_DT")</f>
        <v>12/6/2017</v>
      </c>
      <c r="I2037" t="str">
        <f>_xll.BDS("899138AG Muni","MUNI_PURPOSE_SCHED", "aggregate=y")</f>
        <v>WATER UTILITY IMPS.</v>
      </c>
      <c r="J2037">
        <f>_xll.BDP("899138AG Muni","CPN")</f>
        <v>4</v>
      </c>
      <c r="K2037" t="str">
        <f>_xll.BDP("899138AG Muni","MATURITY")</f>
        <v>12/1/2024</v>
      </c>
      <c r="L2037">
        <v>395000</v>
      </c>
      <c r="M2037">
        <f>_xll.BDP("899138AG Muni","YIELD_ON_ISSUE_DATE")</f>
        <v>1.86</v>
      </c>
      <c r="N2037">
        <f>_xll.BDP("899138AG Muni","YTW_SPREAD_TO_MATURITY_AT_ISSU")</f>
        <v>12.728849315068501</v>
      </c>
      <c r="O2037" t="str">
        <f>_xll.BDP("899138AG Muni","BVAL_MID_YTM")</f>
        <v>#N/A Authorization</v>
      </c>
      <c r="P2037" t="str">
        <f>_xll.BDP("899138AG Muni","MUNI_TAX_PROV")</f>
        <v>FED &amp; ST TAX-EXEMPT</v>
      </c>
      <c r="Q2037" t="str">
        <f>_xll.BDP("899138AG Muni","MUNI_FED_TAX")</f>
        <v>N</v>
      </c>
      <c r="R2037" t="str">
        <f>_xll.BDP("899138AG Muni","MUNI_MSRB_VOLUME")</f>
        <v>#N/A N/A</v>
      </c>
      <c r="S2037" t="str">
        <f>_xll.BDP("899138AG Muni","BB_COMPOSITE")</f>
        <v>#N/A N/A</v>
      </c>
      <c r="T2037">
        <f>_xll.BDP("899138AG Muni","LQA_LIQUIDITY_SCORE")</f>
        <v>58</v>
      </c>
    </row>
    <row r="2038" spans="1:20" x14ac:dyDescent="0.25">
      <c r="A2038" t="str">
        <f>_xll.BDP("899138AH Muni","ID_CUSIP")</f>
        <v>899138AH4</v>
      </c>
      <c r="B2038" t="s">
        <v>45</v>
      </c>
      <c r="C2038" t="str">
        <f>_xll.BDP("899138AH Muni","INSURANCE_STATUS")</f>
        <v>Y</v>
      </c>
      <c r="D2038" t="str">
        <f>_xll.BDP("899138AH Muni","STATE_CODE")</f>
        <v>CA</v>
      </c>
      <c r="E2038" t="str">
        <f>_xll.BDP("899138AH Muni","COUNTY_LOCATION_ISSUER")</f>
        <v>#N/A Field Not Applicable</v>
      </c>
      <c r="F2038">
        <f>_xll.BDP("899138AH Muni","DUR_ADJ_MID")</f>
        <v>3.1083282330646456</v>
      </c>
      <c r="G2038">
        <f>_xll.BDP("899138AH Muni","SPREAD_AT_ISSUANCE_TO_WORST")</f>
        <v>13.484027397260267</v>
      </c>
      <c r="H2038" t="str">
        <f>_xll.BDP("899138AH Muni","ISSUE_DT")</f>
        <v>12/6/2017</v>
      </c>
      <c r="I2038" t="str">
        <f>_xll.BDS("899138AH Muni","MUNI_PURPOSE_SCHED", "aggregate=y")</f>
        <v>WATER UTILITY IMPS.</v>
      </c>
      <c r="J2038">
        <f>_xll.BDP("899138AH Muni","CPN")</f>
        <v>4</v>
      </c>
      <c r="K2038" t="str">
        <f>_xll.BDP("899138AH Muni","MATURITY")</f>
        <v>12/1/2025</v>
      </c>
      <c r="L2038">
        <v>415000</v>
      </c>
      <c r="M2038">
        <f>_xll.BDP("899138AH Muni","YIELD_ON_ISSUE_DATE")</f>
        <v>1.98</v>
      </c>
      <c r="N2038">
        <f>_xll.BDP("899138AH Muni","YTW_SPREAD_TO_MATURITY_AT_ISSU")</f>
        <v>13.484027397260267</v>
      </c>
      <c r="O2038" t="str">
        <f>_xll.BDP("899138AH Muni","BVAL_MID_YTM")</f>
        <v>#N/A Authorization</v>
      </c>
      <c r="P2038" t="str">
        <f>_xll.BDP("899138AH Muni","MUNI_TAX_PROV")</f>
        <v>FED &amp; ST TAX-EXEMPT</v>
      </c>
      <c r="Q2038" t="str">
        <f>_xll.BDP("899138AH Muni","MUNI_FED_TAX")</f>
        <v>N</v>
      </c>
      <c r="R2038">
        <f>_xll.BDP("899138AH Muni","MUNI_MSRB_VOLUME")</f>
        <v>25000</v>
      </c>
      <c r="S2038" t="str">
        <f>_xll.BDP("899138AH Muni","BB_COMPOSITE")</f>
        <v>#N/A N/A</v>
      </c>
      <c r="T2038">
        <f>_xll.BDP("899138AH Muni","LQA_LIQUIDITY_SCORE")</f>
        <v>47</v>
      </c>
    </row>
    <row r="2039" spans="1:20" x14ac:dyDescent="0.25">
      <c r="A2039" t="str">
        <f>_xll.BDP("899138AJ Muni","ID_CUSIP")</f>
        <v>899138AJ0</v>
      </c>
      <c r="B2039" t="s">
        <v>45</v>
      </c>
      <c r="C2039" t="str">
        <f>_xll.BDP("899138AJ Muni","INSURANCE_STATUS")</f>
        <v>Y</v>
      </c>
      <c r="D2039" t="str">
        <f>_xll.BDP("899138AJ Muni","STATE_CODE")</f>
        <v>CA</v>
      </c>
      <c r="E2039" t="str">
        <f>_xll.BDP("899138AJ Muni","COUNTY_LOCATION_ISSUER")</f>
        <v>#N/A Field Not Applicable</v>
      </c>
      <c r="F2039">
        <f>_xll.BDP("899138AJ Muni","DUR_ADJ_MID")</f>
        <v>3.9674958601024657</v>
      </c>
      <c r="G2039">
        <f>_xll.BDP("899138AJ Muni","SPREAD_AT_ISSUANCE_TO_WORST")</f>
        <v>17.002657534246566</v>
      </c>
      <c r="H2039" t="str">
        <f>_xll.BDP("899138AJ Muni","ISSUE_DT")</f>
        <v>12/6/2017</v>
      </c>
      <c r="I2039" t="str">
        <f>_xll.BDS("899138AJ Muni","MUNI_PURPOSE_SCHED", "aggregate=y")</f>
        <v>WATER UTILITY IMPS.</v>
      </c>
      <c r="J2039">
        <f>_xll.BDP("899138AJ Muni","CPN")</f>
        <v>4</v>
      </c>
      <c r="K2039" t="str">
        <f>_xll.BDP("899138AJ Muni","MATURITY")</f>
        <v>12/1/2026</v>
      </c>
      <c r="L2039">
        <v>430000</v>
      </c>
      <c r="M2039">
        <f>_xll.BDP("899138AJ Muni","YIELD_ON_ISSUE_DATE")</f>
        <v>2.11</v>
      </c>
      <c r="N2039">
        <f>_xll.BDP("899138AJ Muni","YTW_SPREAD_TO_MATURITY_AT_ISSU")</f>
        <v>17.002657534246566</v>
      </c>
      <c r="O2039" t="str">
        <f>_xll.BDP("899138AJ Muni","BVAL_MID_YTM")</f>
        <v>#N/A Authorization</v>
      </c>
      <c r="P2039" t="str">
        <f>_xll.BDP("899138AJ Muni","MUNI_TAX_PROV")</f>
        <v>FED &amp; ST TAX-EXEMPT</v>
      </c>
      <c r="Q2039" t="str">
        <f>_xll.BDP("899138AJ Muni","MUNI_FED_TAX")</f>
        <v>N</v>
      </c>
      <c r="R2039" t="str">
        <f>_xll.BDP("899138AJ Muni","MUNI_MSRB_VOLUME")</f>
        <v>#N/A N/A</v>
      </c>
      <c r="S2039" t="str">
        <f>_xll.BDP("899138AJ Muni","BB_COMPOSITE")</f>
        <v>#N/A N/A</v>
      </c>
      <c r="T2039">
        <f>_xll.BDP("899138AJ Muni","LQA_LIQUIDITY_SCORE")</f>
        <v>40</v>
      </c>
    </row>
    <row r="2040" spans="1:20" x14ac:dyDescent="0.25">
      <c r="A2040" t="str">
        <f>_xll.BDP("900574BM Muni","ID_CUSIP")</f>
        <v>900574BM5</v>
      </c>
      <c r="B2040" t="s">
        <v>524</v>
      </c>
      <c r="C2040" t="str">
        <f>_xll.BDP("900574BM Muni","INSURANCE_STATUS")</f>
        <v>Y</v>
      </c>
      <c r="D2040" t="str">
        <f>_xll.BDP("900574BM Muni","STATE_CODE")</f>
        <v>FL</v>
      </c>
      <c r="E2040" t="str">
        <f>_xll.BDP("900574BM Muni","COUNTY_LOCATION_ISSUER")</f>
        <v>Broward, FL</v>
      </c>
      <c r="F2040">
        <f>_xll.BDP("900574BM Muni","DUR_ADJ_MID")</f>
        <v>0.73656959566631131</v>
      </c>
      <c r="G2040">
        <f>_xll.BDP("900574BM Muni","SPREAD_AT_ISSUANCE_TO_WORST")</f>
        <v>82.738767123287644</v>
      </c>
      <c r="H2040" t="str">
        <f>_xll.BDP("900574BM Muni","ISSUE_DT")</f>
        <v>11/29/2017</v>
      </c>
      <c r="I2040" t="str">
        <f>_xll.BDS("900574BM Muni","MUNI_PURPOSE_SCHED", "aggregate=y")</f>
        <v>ECONOMIC IMPTS. WATER UTILITY IMPS.</v>
      </c>
      <c r="J2040">
        <f>_xll.BDP("900574BM Muni","CPN")</f>
        <v>2.125</v>
      </c>
      <c r="K2040" t="str">
        <f>_xll.BDP("900574BM Muni","MATURITY")</f>
        <v>5/1/2023</v>
      </c>
      <c r="L2040">
        <v>85000</v>
      </c>
      <c r="M2040">
        <f>_xll.BDP("900574BM Muni","YIELD_ON_ISSUE_DATE")</f>
        <v>2.3199999999999998</v>
      </c>
      <c r="N2040">
        <f>_xll.BDP("900574BM Muni","YTW_SPREAD_TO_MATURITY_AT_ISSU")</f>
        <v>82.738767123287644</v>
      </c>
      <c r="O2040" t="str">
        <f>_xll.BDP("900574BM Muni","BVAL_MID_YTM")</f>
        <v>#N/A Authorization</v>
      </c>
      <c r="P2040" t="str">
        <f>_xll.BDP("900574BM Muni","MUNI_TAX_PROV")</f>
        <v>FED BQ/ST TAX-EXEMPT</v>
      </c>
      <c r="Q2040" t="str">
        <f>_xll.BDP("900574BM Muni","MUNI_FED_TAX")</f>
        <v>N</v>
      </c>
      <c r="R2040" t="str">
        <f>_xll.BDP("900574BM Muni","MUNI_MSRB_VOLUME")</f>
        <v>#N/A N/A</v>
      </c>
      <c r="S2040" t="str">
        <f>_xll.BDP("900574BM Muni","BB_COMPOSITE")</f>
        <v>AA-</v>
      </c>
      <c r="T2040">
        <f>_xll.BDP("900574BM Muni","LQA_LIQUIDITY_SCORE")</f>
        <v>85</v>
      </c>
    </row>
    <row r="2041" spans="1:20" x14ac:dyDescent="0.25">
      <c r="A2041" t="str">
        <f>_xll.BDP("900574BQ Muni","ID_CUSIP")</f>
        <v>900574BQ6</v>
      </c>
      <c r="B2041" t="s">
        <v>524</v>
      </c>
      <c r="C2041" t="str">
        <f>_xll.BDP("900574BQ Muni","INSURANCE_STATUS")</f>
        <v>Y</v>
      </c>
      <c r="D2041" t="str">
        <f>_xll.BDP("900574BQ Muni","STATE_CODE")</f>
        <v>FL</v>
      </c>
      <c r="E2041" t="str">
        <f>_xll.BDP("900574BQ Muni","COUNTY_LOCATION_ISSUER")</f>
        <v>Broward, FL</v>
      </c>
      <c r="F2041">
        <f>_xll.BDP("900574BQ Muni","DUR_ADJ_MID")</f>
        <v>3.5368822768757289</v>
      </c>
      <c r="G2041">
        <f>_xll.BDP("900574BQ Muni","SPREAD_AT_ISSUANCE_TO_WORST")</f>
        <v>95.217301369862994</v>
      </c>
      <c r="H2041" t="str">
        <f>_xll.BDP("900574BQ Muni","ISSUE_DT")</f>
        <v>11/29/2017</v>
      </c>
      <c r="I2041" t="str">
        <f>_xll.BDS("900574BQ Muni","MUNI_PURPOSE_SCHED", "aggregate=y")</f>
        <v>ECONOMIC IMPTS. WATER UTILITY IMPS.</v>
      </c>
      <c r="J2041">
        <f>_xll.BDP("900574BQ Muni","CPN")</f>
        <v>2.6</v>
      </c>
      <c r="K2041" t="str">
        <f>_xll.BDP("900574BQ Muni","MATURITY")</f>
        <v>5/1/2026</v>
      </c>
      <c r="L2041">
        <v>90000</v>
      </c>
      <c r="M2041">
        <f>_xll.BDP("900574BQ Muni","YIELD_ON_ISSUE_DATE")</f>
        <v>2.7600000000000002</v>
      </c>
      <c r="N2041">
        <f>_xll.BDP("900574BQ Muni","YTW_SPREAD_TO_MATURITY_AT_ISSU")</f>
        <v>95.217301369862994</v>
      </c>
      <c r="O2041" t="str">
        <f>_xll.BDP("900574BQ Muni","BVAL_MID_YTM")</f>
        <v>#N/A Authorization</v>
      </c>
      <c r="P2041" t="str">
        <f>_xll.BDP("900574BQ Muni","MUNI_TAX_PROV")</f>
        <v>FED BQ/ST TAX-EXEMPT</v>
      </c>
      <c r="Q2041" t="str">
        <f>_xll.BDP("900574BQ Muni","MUNI_FED_TAX")</f>
        <v>N</v>
      </c>
      <c r="R2041">
        <f>_xll.BDP("900574BQ Muni","MUNI_MSRB_VOLUME")</f>
        <v>225000</v>
      </c>
      <c r="S2041" t="str">
        <f>_xll.BDP("900574BQ Muni","BB_COMPOSITE")</f>
        <v>AA-</v>
      </c>
      <c r="T2041">
        <f>_xll.BDP("900574BQ Muni","LQA_LIQUIDITY_SCORE")</f>
        <v>48</v>
      </c>
    </row>
    <row r="2042" spans="1:20" x14ac:dyDescent="0.25">
      <c r="A2042" t="str">
        <f>_xll.BDP("900574BS Muni","ID_CUSIP")</f>
        <v>900574BS2</v>
      </c>
      <c r="B2042" t="s">
        <v>524</v>
      </c>
      <c r="C2042" t="str">
        <f>_xll.BDP("900574BS Muni","INSURANCE_STATUS")</f>
        <v>Y</v>
      </c>
      <c r="D2042" t="str">
        <f>_xll.BDP("900574BS Muni","STATE_CODE")</f>
        <v>FL</v>
      </c>
      <c r="E2042" t="str">
        <f>_xll.BDP("900574BS Muni","COUNTY_LOCATION_ISSUER")</f>
        <v>Broward, FL</v>
      </c>
      <c r="F2042">
        <f>_xll.BDP("900574BS Muni","DUR_ADJ_MID")</f>
        <v>5.2507393131978004</v>
      </c>
      <c r="G2042">
        <f>_xll.BDP("900574BS Muni","SPREAD_AT_ISSUANCE_TO_WORST")</f>
        <v>103.54195616438355</v>
      </c>
      <c r="H2042" t="str">
        <f>_xll.BDP("900574BS Muni","ISSUE_DT")</f>
        <v>11/29/2017</v>
      </c>
      <c r="I2042" t="str">
        <f>_xll.BDS("900574BS Muni","MUNI_PURPOSE_SCHED", "aggregate=y")</f>
        <v>ECONOMIC IMPTS. WATER UTILITY IMPS.</v>
      </c>
      <c r="J2042">
        <f>_xll.BDP("900574BS Muni","CPN")</f>
        <v>2.875</v>
      </c>
      <c r="K2042" t="str">
        <f>_xll.BDP("900574BS Muni","MATURITY")</f>
        <v>5/1/2028</v>
      </c>
      <c r="L2042">
        <v>95000</v>
      </c>
      <c r="M2042">
        <f>_xll.BDP("900574BS Muni","YIELD_ON_ISSUE_DATE")</f>
        <v>3</v>
      </c>
      <c r="N2042">
        <f>_xll.BDP("900574BS Muni","YTW_SPREAD_TO_MATURITY_AT_ISSU")</f>
        <v>103.54195616438355</v>
      </c>
      <c r="O2042" t="str">
        <f>_xll.BDP("900574BS Muni","BVAL_MID_YTM")</f>
        <v>#N/A Authorization</v>
      </c>
      <c r="P2042" t="str">
        <f>_xll.BDP("900574BS Muni","MUNI_TAX_PROV")</f>
        <v>FED BQ/ST TAX-EXEMPT</v>
      </c>
      <c r="Q2042" t="str">
        <f>_xll.BDP("900574BS Muni","MUNI_FED_TAX")</f>
        <v>N</v>
      </c>
      <c r="R2042" t="str">
        <f>_xll.BDP("900574BS Muni","MUNI_MSRB_VOLUME")</f>
        <v>#N/A N/A</v>
      </c>
      <c r="S2042" t="str">
        <f>_xll.BDP("900574BS Muni","BB_COMPOSITE")</f>
        <v>AA-</v>
      </c>
      <c r="T2042">
        <f>_xll.BDP("900574BS Muni","LQA_LIQUIDITY_SCORE")</f>
        <v>35</v>
      </c>
    </row>
    <row r="2043" spans="1:20" x14ac:dyDescent="0.25">
      <c r="A2043" t="str">
        <f>_xll.BDP("869322BV Muni","ID_CUSIP")</f>
        <v>869322BV8</v>
      </c>
      <c r="B2043" t="s">
        <v>525</v>
      </c>
      <c r="C2043" t="str">
        <f>_xll.BDP("869322BV Muni","INSURANCE_STATUS")</f>
        <v>Y</v>
      </c>
      <c r="D2043" t="str">
        <f>_xll.BDP("869322BV Muni","STATE_CODE")</f>
        <v>WI</v>
      </c>
      <c r="E2043" t="str">
        <f>_xll.BDP("869322BV Muni","COUNTY_LOCATION_ISSUER")</f>
        <v>Waukesha, WI</v>
      </c>
      <c r="F2043">
        <f>_xll.BDP("869322BV Muni","DUR_ADJ_MID")</f>
        <v>0.81650576981556866</v>
      </c>
      <c r="G2043">
        <f>_xll.BDP("869322BV Muni","SPREAD_AT_ISSUANCE_TO_WORST")</f>
        <v>33.998135230792784</v>
      </c>
      <c r="H2043" t="str">
        <f>_xll.BDP("869322BV Muni","ISSUE_DT")</f>
        <v>9/12/2017</v>
      </c>
      <c r="I2043" t="str">
        <f>_xll.BDS("869322BV Muni","MUNI_PURPOSE_SCHED", "aggregate=y")</f>
        <v>WATER UTILITY IMPS.</v>
      </c>
      <c r="J2043">
        <f>_xll.BDP("869322BV Muni","CPN")</f>
        <v>3</v>
      </c>
      <c r="K2043" t="str">
        <f>_xll.BDP("869322BV Muni","MATURITY")</f>
        <v>6/1/2023</v>
      </c>
      <c r="L2043">
        <v>100000</v>
      </c>
      <c r="M2043">
        <f>_xll.BDP("869322BV Muni","YIELD_ON_ISSUE_DATE")</f>
        <v>1.6</v>
      </c>
      <c r="N2043">
        <f>_xll.BDP("869322BV Muni","YTW_SPREAD_TO_MATURITY_AT_ISSU")</f>
        <v>33.998135230792784</v>
      </c>
      <c r="O2043" t="str">
        <f>_xll.BDP("869322BV Muni","BVAL_MID_YTM")</f>
        <v>#N/A Authorization</v>
      </c>
      <c r="P2043" t="str">
        <f>_xll.BDP("869322BV Muni","MUNI_TAX_PROV")</f>
        <v>FED BQ/ST TAXABLE</v>
      </c>
      <c r="Q2043" t="str">
        <f>_xll.BDP("869322BV Muni","MUNI_FED_TAX")</f>
        <v>N</v>
      </c>
      <c r="R2043" t="str">
        <f>_xll.BDP("869322BV Muni","MUNI_MSRB_VOLUME")</f>
        <v>#N/A N/A</v>
      </c>
      <c r="S2043" t="str">
        <f>_xll.BDP("869322BV Muni","BB_COMPOSITE")</f>
        <v>AA-</v>
      </c>
      <c r="T2043">
        <f>_xll.BDP("869322BV Muni","LQA_LIQUIDITY_SCORE")</f>
        <v>87</v>
      </c>
    </row>
    <row r="2044" spans="1:20" x14ac:dyDescent="0.25">
      <c r="A2044" t="str">
        <f>_xll.BDP("869322BW Muni","ID_CUSIP")</f>
        <v>869322BW6</v>
      </c>
      <c r="B2044" t="s">
        <v>525</v>
      </c>
      <c r="C2044" t="str">
        <f>_xll.BDP("869322BW Muni","INSURANCE_STATUS")</f>
        <v>Y</v>
      </c>
      <c r="D2044" t="str">
        <f>_xll.BDP("869322BW Muni","STATE_CODE")</f>
        <v>WI</v>
      </c>
      <c r="E2044" t="str">
        <f>_xll.BDP("869322BW Muni","COUNTY_LOCATION_ISSUER")</f>
        <v>Waukesha, WI</v>
      </c>
      <c r="F2044">
        <f>_xll.BDP("869322BW Muni","DUR_ADJ_MID")</f>
        <v>1.7693964058203471</v>
      </c>
      <c r="G2044">
        <f>_xll.BDP("869322BW Muni","SPREAD_AT_ISSUANCE_TO_WORST")</f>
        <v>34.084857585300178</v>
      </c>
      <c r="H2044" t="str">
        <f>_xll.BDP("869322BW Muni","ISSUE_DT")</f>
        <v>9/12/2017</v>
      </c>
      <c r="I2044" t="str">
        <f>_xll.BDS("869322BW Muni","MUNI_PURPOSE_SCHED", "aggregate=y")</f>
        <v>WATER UTILITY IMPS.</v>
      </c>
      <c r="J2044">
        <f>_xll.BDP("869322BW Muni","CPN")</f>
        <v>3</v>
      </c>
      <c r="K2044" t="str">
        <f>_xll.BDP("869322BW Muni","MATURITY")</f>
        <v>6/1/2024</v>
      </c>
      <c r="L2044">
        <v>100000</v>
      </c>
      <c r="M2044">
        <f>_xll.BDP("869322BW Muni","YIELD_ON_ISSUE_DATE")</f>
        <v>1.75</v>
      </c>
      <c r="N2044">
        <f>_xll.BDP("869322BW Muni","YTW_SPREAD_TO_MATURITY_AT_ISSU")</f>
        <v>34.084857585300178</v>
      </c>
      <c r="O2044" t="str">
        <f>_xll.BDP("869322BW Muni","BVAL_MID_YTM")</f>
        <v>#N/A Authorization</v>
      </c>
      <c r="P2044" t="str">
        <f>_xll.BDP("869322BW Muni","MUNI_TAX_PROV")</f>
        <v>FED BQ/ST TAXABLE</v>
      </c>
      <c r="Q2044" t="str">
        <f>_xll.BDP("869322BW Muni","MUNI_FED_TAX")</f>
        <v>N</v>
      </c>
      <c r="R2044" t="str">
        <f>_xll.BDP("869322BW Muni","MUNI_MSRB_VOLUME")</f>
        <v>#N/A N/A</v>
      </c>
      <c r="S2044" t="str">
        <f>_xll.BDP("869322BW Muni","BB_COMPOSITE")</f>
        <v>AA-</v>
      </c>
      <c r="T2044">
        <f>_xll.BDP("869322BW Muni","LQA_LIQUIDITY_SCORE")</f>
        <v>76</v>
      </c>
    </row>
    <row r="2045" spans="1:20" x14ac:dyDescent="0.25">
      <c r="A2045" t="str">
        <f>_xll.BDP("869322BX Muni","ID_CUSIP")</f>
        <v>869322BX4</v>
      </c>
      <c r="B2045" t="s">
        <v>525</v>
      </c>
      <c r="C2045" t="str">
        <f>_xll.BDP("869322BX Muni","INSURANCE_STATUS")</f>
        <v>Y</v>
      </c>
      <c r="D2045" t="str">
        <f>_xll.BDP("869322BX Muni","STATE_CODE")</f>
        <v>WI</v>
      </c>
      <c r="E2045" t="str">
        <f>_xll.BDP("869322BX Muni","COUNTY_LOCATION_ISSUER")</f>
        <v>Waukesha, WI</v>
      </c>
      <c r="F2045">
        <f>_xll.BDP("869322BX Muni","DUR_ADJ_MID")</f>
        <v>2.6947121030588246</v>
      </c>
      <c r="G2045">
        <f>_xll.BDP("869322BX Muni","SPREAD_AT_ISSUANCE_TO_WORST")</f>
        <v>34.028140596846335</v>
      </c>
      <c r="H2045" t="str">
        <f>_xll.BDP("869322BX Muni","ISSUE_DT")</f>
        <v>9/12/2017</v>
      </c>
      <c r="I2045" t="str">
        <f>_xll.BDS("869322BX Muni","MUNI_PURPOSE_SCHED", "aggregate=y")</f>
        <v>WATER UTILITY IMPS.</v>
      </c>
      <c r="J2045">
        <f>_xll.BDP("869322BX Muni","CPN")</f>
        <v>3</v>
      </c>
      <c r="K2045" t="str">
        <f>_xll.BDP("869322BX Muni","MATURITY")</f>
        <v>6/1/2025</v>
      </c>
      <c r="L2045">
        <v>200000</v>
      </c>
      <c r="M2045">
        <f>_xll.BDP("869322BX Muni","YIELD_ON_ISSUE_DATE")</f>
        <v>1.9000000000000001</v>
      </c>
      <c r="N2045">
        <f>_xll.BDP("869322BX Muni","YTW_SPREAD_TO_MATURITY_AT_ISSU")</f>
        <v>34.028140596846335</v>
      </c>
      <c r="O2045" t="str">
        <f>_xll.BDP("869322BX Muni","BVAL_MID_YTM")</f>
        <v>#N/A Authorization</v>
      </c>
      <c r="P2045" t="str">
        <f>_xll.BDP("869322BX Muni","MUNI_TAX_PROV")</f>
        <v>FED BQ/ST TAXABLE</v>
      </c>
      <c r="Q2045" t="str">
        <f>_xll.BDP("869322BX Muni","MUNI_FED_TAX")</f>
        <v>N</v>
      </c>
      <c r="R2045" t="str">
        <f>_xll.BDP("869322BX Muni","MUNI_MSRB_VOLUME")</f>
        <v>#N/A N/A</v>
      </c>
      <c r="S2045" t="str">
        <f>_xll.BDP("869322BX Muni","BB_COMPOSITE")</f>
        <v>AA-</v>
      </c>
      <c r="T2045">
        <f>_xll.BDP("869322BX Muni","LQA_LIQUIDITY_SCORE")</f>
        <v>66</v>
      </c>
    </row>
    <row r="2046" spans="1:20" x14ac:dyDescent="0.25">
      <c r="A2046" t="str">
        <f>_xll.BDP("869322BY Muni","ID_CUSIP")</f>
        <v>869322BY2</v>
      </c>
      <c r="B2046" t="s">
        <v>525</v>
      </c>
      <c r="C2046" t="str">
        <f>_xll.BDP("869322BY Muni","INSURANCE_STATUS")</f>
        <v>Y</v>
      </c>
      <c r="D2046" t="str">
        <f>_xll.BDP("869322BY Muni","STATE_CODE")</f>
        <v>WI</v>
      </c>
      <c r="E2046" t="str">
        <f>_xll.BDP("869322BY Muni","COUNTY_LOCATION_ISSUER")</f>
        <v>Waukesha, WI</v>
      </c>
      <c r="F2046">
        <f>_xll.BDP("869322BY Muni","DUR_ADJ_MID")</f>
        <v>3.5932761787619958</v>
      </c>
      <c r="G2046">
        <f>_xll.BDP("869322BY Muni","SPREAD_AT_ISSUANCE_TO_WORST")</f>
        <v>30.138485891085274</v>
      </c>
      <c r="H2046" t="str">
        <f>_xll.BDP("869322BY Muni","ISSUE_DT")</f>
        <v>9/12/2017</v>
      </c>
      <c r="I2046" t="str">
        <f>_xll.BDS("869322BY Muni","MUNI_PURPOSE_SCHED", "aggregate=y")</f>
        <v>WATER UTILITY IMPS.</v>
      </c>
      <c r="J2046">
        <f>_xll.BDP("869322BY Muni","CPN")</f>
        <v>3</v>
      </c>
      <c r="K2046" t="str">
        <f>_xll.BDP("869322BY Muni","MATURITY")</f>
        <v>6/1/2026</v>
      </c>
      <c r="L2046">
        <v>200000</v>
      </c>
      <c r="M2046">
        <f>_xll.BDP("869322BY Muni","YIELD_ON_ISSUE_DATE")</f>
        <v>2</v>
      </c>
      <c r="N2046">
        <f>_xll.BDP("869322BY Muni","YTW_SPREAD_TO_MATURITY_AT_ISSU")</f>
        <v>30.138485891085274</v>
      </c>
      <c r="O2046" t="str">
        <f>_xll.BDP("869322BY Muni","BVAL_MID_YTM")</f>
        <v>#N/A Authorization</v>
      </c>
      <c r="P2046" t="str">
        <f>_xll.BDP("869322BY Muni","MUNI_TAX_PROV")</f>
        <v>FED BQ/ST TAXABLE</v>
      </c>
      <c r="Q2046" t="str">
        <f>_xll.BDP("869322BY Muni","MUNI_FED_TAX")</f>
        <v>N</v>
      </c>
      <c r="R2046" t="str">
        <f>_xll.BDP("869322BY Muni","MUNI_MSRB_VOLUME")</f>
        <v>#N/A N/A</v>
      </c>
      <c r="S2046" t="str">
        <f>_xll.BDP("869322BY Muni","BB_COMPOSITE")</f>
        <v>AA-</v>
      </c>
      <c r="T2046">
        <f>_xll.BDP("869322BY Muni","LQA_LIQUIDITY_SCORE")</f>
        <v>58</v>
      </c>
    </row>
    <row r="2047" spans="1:20" x14ac:dyDescent="0.25">
      <c r="A2047" t="str">
        <f>_xll.BDP("870360DC Muni","ID_CUSIP")</f>
        <v>870360DC5</v>
      </c>
      <c r="B2047" t="s">
        <v>526</v>
      </c>
      <c r="C2047" t="str">
        <f>_xll.BDP("870360DC Muni","INSURANCE_STATUS")</f>
        <v>Y</v>
      </c>
      <c r="D2047" t="str">
        <f>_xll.BDP("870360DC Muni","STATE_CODE")</f>
        <v>TX</v>
      </c>
      <c r="E2047" t="str">
        <f>_xll.BDP("870360DC Muni","COUNTY_LOCATION_ISSUER")</f>
        <v>Brazoria, TX</v>
      </c>
      <c r="F2047">
        <f>_xll.BDP("870360DC Muni","DUR_ADJ_MID")</f>
        <v>0.52295891388936278</v>
      </c>
      <c r="G2047">
        <f>_xll.BDP("870360DC Muni","SPREAD_AT_ISSUANCE_TO_WORST")</f>
        <v>88.078223550770176</v>
      </c>
      <c r="H2047" t="str">
        <f>_xll.BDP("870360DC Muni","ISSUE_DT")</f>
        <v>1/1/2017</v>
      </c>
      <c r="I2047" t="str">
        <f>_xll.BDS("870360DC Muni","MUNI_PURPOSE_SCHED", "aggregate=y")</f>
        <v>WATER UTILITY IMPS. SEWER IMPS.</v>
      </c>
      <c r="J2047">
        <f>_xll.BDP("870360DC Muni","CPN")</f>
        <v>4</v>
      </c>
      <c r="K2047" t="str">
        <f>_xll.BDP("870360DC Muni","MATURITY")</f>
        <v>2/15/2023</v>
      </c>
      <c r="L2047">
        <v>50000</v>
      </c>
      <c r="M2047">
        <f>_xll.BDP("870360DC Muni","YIELD_ON_ISSUE_DATE")</f>
        <v>2.9000000000000004</v>
      </c>
      <c r="N2047">
        <f>_xll.BDP("870360DC Muni","YTW_SPREAD_TO_MATURITY_AT_ISSU")</f>
        <v>88.078223550770176</v>
      </c>
      <c r="O2047" t="str">
        <f>_xll.BDP("870360DC Muni","BVAL_MID_YTM")</f>
        <v>#N/A Authorization</v>
      </c>
      <c r="P2047" t="str">
        <f>_xll.BDP("870360DC Muni","MUNI_TAX_PROV")</f>
        <v>FED BQ</v>
      </c>
      <c r="Q2047" t="str">
        <f>_xll.BDP("870360DC Muni","MUNI_FED_TAX")</f>
        <v>N</v>
      </c>
      <c r="R2047" t="str">
        <f>_xll.BDP("870360DC Muni","MUNI_MSRB_VOLUME")</f>
        <v>#N/A N/A</v>
      </c>
      <c r="S2047" t="str">
        <f>_xll.BDP("870360DC Muni","BB_COMPOSITE")</f>
        <v>#N/A N/A</v>
      </c>
      <c r="T2047">
        <f>_xll.BDP("870360DC Muni","LQA_LIQUIDITY_SCORE")</f>
        <v>85</v>
      </c>
    </row>
    <row r="2048" spans="1:20" x14ac:dyDescent="0.25">
      <c r="A2048" t="str">
        <f>_xll.BDP("870360DD Muni","ID_CUSIP")</f>
        <v>870360DD3</v>
      </c>
      <c r="B2048" t="s">
        <v>526</v>
      </c>
      <c r="C2048" t="str">
        <f>_xll.BDP("870360DD Muni","INSURANCE_STATUS")</f>
        <v>Y</v>
      </c>
      <c r="D2048" t="str">
        <f>_xll.BDP("870360DD Muni","STATE_CODE")</f>
        <v>TX</v>
      </c>
      <c r="E2048" t="str">
        <f>_xll.BDP("870360DD Muni","COUNTY_LOCATION_ISSUER")</f>
        <v>Brazoria, TX</v>
      </c>
      <c r="F2048">
        <f>_xll.BDP("870360DD Muni","DUR_ADJ_MID")</f>
        <v>3.2480825100071087</v>
      </c>
      <c r="G2048">
        <f>_xll.BDP("870360DD Muni","SPREAD_AT_ISSUANCE_TO_WORST")</f>
        <v>79.828511602162422</v>
      </c>
      <c r="H2048" t="str">
        <f>_xll.BDP("870360DD Muni","ISSUE_DT")</f>
        <v>1/1/2017</v>
      </c>
      <c r="I2048" t="str">
        <f>_xll.BDS("870360DD Muni","MUNI_PURPOSE_SCHED", "aggregate=y")</f>
        <v>WATER UTILITY IMPS. SEWER IMPS.</v>
      </c>
      <c r="J2048">
        <f>_xll.BDP("870360DD Muni","CPN")</f>
        <v>4</v>
      </c>
      <c r="K2048" t="str">
        <f>_xll.BDP("870360DD Muni","MATURITY")</f>
        <v>2/15/2026</v>
      </c>
      <c r="L2048">
        <v>60000</v>
      </c>
      <c r="M2048">
        <f>_xll.BDP("870360DD Muni","YIELD_ON_ISSUE_DATE")</f>
        <v>3.2</v>
      </c>
      <c r="N2048">
        <f>_xll.BDP("870360DD Muni","YTW_SPREAD_TO_MATURITY_AT_ISSU")</f>
        <v>79.828511602162422</v>
      </c>
      <c r="O2048" t="str">
        <f>_xll.BDP("870360DD Muni","BVAL_MID_YTM")</f>
        <v>#N/A Authorization</v>
      </c>
      <c r="P2048" t="str">
        <f>_xll.BDP("870360DD Muni","MUNI_TAX_PROV")</f>
        <v>FED BQ</v>
      </c>
      <c r="Q2048" t="str">
        <f>_xll.BDP("870360DD Muni","MUNI_FED_TAX")</f>
        <v>N</v>
      </c>
      <c r="R2048" t="str">
        <f>_xll.BDP("870360DD Muni","MUNI_MSRB_VOLUME")</f>
        <v>#N/A N/A</v>
      </c>
      <c r="S2048" t="str">
        <f>_xll.BDP("870360DD Muni","BB_COMPOSITE")</f>
        <v>#N/A N/A</v>
      </c>
      <c r="T2048">
        <f>_xll.BDP("870360DD Muni","LQA_LIQUIDITY_SCORE")</f>
        <v>74</v>
      </c>
    </row>
    <row r="2049" spans="1:20" x14ac:dyDescent="0.25">
      <c r="A2049" t="str">
        <f>_xll.BDP("870360DK Muni","ID_CUSIP")</f>
        <v>870360DK7</v>
      </c>
      <c r="B2049" t="s">
        <v>526</v>
      </c>
      <c r="C2049" t="str">
        <f>_xll.BDP("870360DK Muni","INSURANCE_STATUS")</f>
        <v>Y</v>
      </c>
      <c r="D2049" t="str">
        <f>_xll.BDP("870360DK Muni","STATE_CODE")</f>
        <v>TX</v>
      </c>
      <c r="E2049" t="str">
        <f>_xll.BDP("870360DK Muni","COUNTY_LOCATION_ISSUER")</f>
        <v>Brazoria, TX</v>
      </c>
      <c r="F2049">
        <f>_xll.BDP("870360DK Muni","DUR_ADJ_MID")</f>
        <v>1.4656660369505086</v>
      </c>
      <c r="G2049">
        <f>_xll.BDP("870360DK Muni","SPREAD_AT_ISSUANCE_TO_WORST")</f>
        <v>84.665120709884206</v>
      </c>
      <c r="H2049" t="str">
        <f>_xll.BDP("870360DK Muni","ISSUE_DT")</f>
        <v>1/1/2017</v>
      </c>
      <c r="I2049" t="str">
        <f>_xll.BDS("870360DK Muni","MUNI_PURPOSE_SCHED", "aggregate=y")</f>
        <v>WATER UTILITY IMPS. SEWER IMPS.</v>
      </c>
      <c r="J2049">
        <f>_xll.BDP("870360DK Muni","CPN")</f>
        <v>4</v>
      </c>
      <c r="K2049" t="str">
        <f>_xll.BDP("870360DK Muni","MATURITY")</f>
        <v>2/15/2024</v>
      </c>
      <c r="L2049">
        <v>55000</v>
      </c>
      <c r="M2049">
        <f>_xll.BDP("870360DK Muni","YIELD_ON_ISSUE_DATE")</f>
        <v>3</v>
      </c>
      <c r="N2049">
        <f>_xll.BDP("870360DK Muni","YTW_SPREAD_TO_MATURITY_AT_ISSU")</f>
        <v>84.665120709884206</v>
      </c>
      <c r="O2049" t="str">
        <f>_xll.BDP("870360DK Muni","BVAL_MID_YTM")</f>
        <v>#N/A Authorization</v>
      </c>
      <c r="P2049" t="str">
        <f>_xll.BDP("870360DK Muni","MUNI_TAX_PROV")</f>
        <v>FED BQ</v>
      </c>
      <c r="Q2049" t="str">
        <f>_xll.BDP("870360DK Muni","MUNI_FED_TAX")</f>
        <v>N</v>
      </c>
      <c r="R2049" t="str">
        <f>_xll.BDP("870360DK Muni","MUNI_MSRB_VOLUME")</f>
        <v>#N/A N/A</v>
      </c>
      <c r="S2049" t="str">
        <f>_xll.BDP("870360DK Muni","BB_COMPOSITE")</f>
        <v>#N/A N/A</v>
      </c>
      <c r="T2049">
        <f>_xll.BDP("870360DK Muni","LQA_LIQUIDITY_SCORE")</f>
        <v>88</v>
      </c>
    </row>
    <row r="2050" spans="1:20" x14ac:dyDescent="0.25">
      <c r="A2050" t="str">
        <f>_xll.BDP("870360DL Muni","ID_CUSIP")</f>
        <v>870360DL5</v>
      </c>
      <c r="B2050" t="s">
        <v>526</v>
      </c>
      <c r="C2050" t="str">
        <f>_xll.BDP("870360DL Muni","INSURANCE_STATUS")</f>
        <v>Y</v>
      </c>
      <c r="D2050" t="str">
        <f>_xll.BDP("870360DL Muni","STATE_CODE")</f>
        <v>TX</v>
      </c>
      <c r="E2050" t="str">
        <f>_xll.BDP("870360DL Muni","COUNTY_LOCATION_ISSUER")</f>
        <v>Brazoria, TX</v>
      </c>
      <c r="F2050">
        <f>_xll.BDP("870360DL Muni","DUR_ADJ_MID")</f>
        <v>2.3732323867685468</v>
      </c>
      <c r="G2050">
        <f>_xll.BDP("870360DL Muni","SPREAD_AT_ISSUANCE_TO_WORST")</f>
        <v>81.499628116868735</v>
      </c>
      <c r="H2050" t="str">
        <f>_xll.BDP("870360DL Muni","ISSUE_DT")</f>
        <v>1/1/2017</v>
      </c>
      <c r="I2050" t="str">
        <f>_xll.BDS("870360DL Muni","MUNI_PURPOSE_SCHED", "aggregate=y")</f>
        <v>WATER UTILITY IMPS. SEWER IMPS.</v>
      </c>
      <c r="J2050">
        <f>_xll.BDP("870360DL Muni","CPN")</f>
        <v>4</v>
      </c>
      <c r="K2050" t="str">
        <f>_xll.BDP("870360DL Muni","MATURITY")</f>
        <v>2/15/2025</v>
      </c>
      <c r="L2050">
        <v>55000</v>
      </c>
      <c r="M2050">
        <f>_xll.BDP("870360DL Muni","YIELD_ON_ISSUE_DATE")</f>
        <v>3.1</v>
      </c>
      <c r="N2050">
        <f>_xll.BDP("870360DL Muni","YTW_SPREAD_TO_MATURITY_AT_ISSU")</f>
        <v>81.499628116868735</v>
      </c>
      <c r="O2050" t="str">
        <f>_xll.BDP("870360DL Muni","BVAL_MID_YTM")</f>
        <v>#N/A Authorization</v>
      </c>
      <c r="P2050" t="str">
        <f>_xll.BDP("870360DL Muni","MUNI_TAX_PROV")</f>
        <v>FED BQ</v>
      </c>
      <c r="Q2050" t="str">
        <f>_xll.BDP("870360DL Muni","MUNI_FED_TAX")</f>
        <v>N</v>
      </c>
      <c r="R2050" t="str">
        <f>_xll.BDP("870360DL Muni","MUNI_MSRB_VOLUME")</f>
        <v>#N/A N/A</v>
      </c>
      <c r="S2050" t="str">
        <f>_xll.BDP("870360DL Muni","BB_COMPOSITE")</f>
        <v>#N/A N/A</v>
      </c>
      <c r="T2050">
        <f>_xll.BDP("870360DL Muni","LQA_LIQUIDITY_SCORE")</f>
        <v>81</v>
      </c>
    </row>
    <row r="2051" spans="1:20" x14ac:dyDescent="0.25">
      <c r="A2051" t="str">
        <f>_xll.BDP("870441CL Muni","ID_CUSIP")</f>
        <v>870441CL4</v>
      </c>
      <c r="B2051" t="s">
        <v>527</v>
      </c>
      <c r="C2051" t="str">
        <f>_xll.BDP("870441CL Muni","INSURANCE_STATUS")</f>
        <v>N</v>
      </c>
      <c r="D2051" t="str">
        <f>_xll.BDP("870441CL Muni","STATE_CODE")</f>
        <v>CA</v>
      </c>
      <c r="E2051" t="str">
        <f>_xll.BDP("870441CL Muni","COUNTY_LOCATION_ISSUER")</f>
        <v>San Diego, CA</v>
      </c>
      <c r="F2051">
        <f>_xll.BDP("870441CL Muni","DUR_ADJ_MID")</f>
        <v>0.64833882314200686</v>
      </c>
      <c r="G2051">
        <f>_xll.BDP("870441CL Muni","SPREAD_AT_ISSUANCE_TO_WORST")</f>
        <v>9.251041095890411</v>
      </c>
      <c r="H2051" t="str">
        <f>_xll.BDP("870441CL Muni","ISSUE_DT")</f>
        <v>12/12/2017</v>
      </c>
      <c r="I2051" t="str">
        <f>_xll.BDS("870441CL Muni","MUNI_PURPOSE_SCHED", "aggregate=y")</f>
        <v>WATER UTILITY IMPS.</v>
      </c>
      <c r="J2051">
        <f>_xll.BDP("870441CL Muni","CPN")</f>
        <v>5</v>
      </c>
      <c r="K2051" t="str">
        <f>_xll.BDP("870441CL Muni","MATURITY")</f>
        <v>4/1/2023</v>
      </c>
      <c r="L2051">
        <v>510000</v>
      </c>
      <c r="M2051">
        <f>_xll.BDP("870441CL Muni","YIELD_ON_ISSUE_DATE")</f>
        <v>1.8</v>
      </c>
      <c r="N2051">
        <f>_xll.BDP("870441CL Muni","YTW_SPREAD_TO_MATURITY_AT_ISSU")</f>
        <v>9.251041095890411</v>
      </c>
      <c r="O2051" t="str">
        <f>_xll.BDP("870441CL Muni","BVAL_MID_YTM")</f>
        <v>#N/A Authorization</v>
      </c>
      <c r="P2051" t="str">
        <f>_xll.BDP("870441CL Muni","MUNI_TAX_PROV")</f>
        <v>FED &amp; ST TAX-EXEMPT</v>
      </c>
      <c r="Q2051" t="str">
        <f>_xll.BDP("870441CL Muni","MUNI_FED_TAX")</f>
        <v>N</v>
      </c>
      <c r="R2051" t="str">
        <f>_xll.BDP("870441CL Muni","MUNI_MSRB_VOLUME")</f>
        <v>#N/A N/A</v>
      </c>
      <c r="S2051" t="str">
        <f>_xll.BDP("870441CL Muni","BB_COMPOSITE")</f>
        <v>#N/A N/A</v>
      </c>
      <c r="T2051">
        <f>_xll.BDP("870441CL Muni","LQA_LIQUIDITY_SCORE")</f>
        <v>94</v>
      </c>
    </row>
    <row r="2052" spans="1:20" x14ac:dyDescent="0.25">
      <c r="A2052" t="str">
        <f>_xll.BDP("870441CM Muni","ID_CUSIP")</f>
        <v>870441CM2</v>
      </c>
      <c r="B2052" t="s">
        <v>527</v>
      </c>
      <c r="C2052" t="str">
        <f>_xll.BDP("870441CM Muni","INSURANCE_STATUS")</f>
        <v>N</v>
      </c>
      <c r="D2052" t="str">
        <f>_xll.BDP("870441CM Muni","STATE_CODE")</f>
        <v>CA</v>
      </c>
      <c r="E2052" t="str">
        <f>_xll.BDP("870441CM Muni","COUNTY_LOCATION_ISSUER")</f>
        <v>San Diego, CA</v>
      </c>
      <c r="F2052">
        <f>_xll.BDP("870441CM Muni","DUR_ADJ_MID")</f>
        <v>1.5821526033181621</v>
      </c>
      <c r="G2052">
        <f>_xll.BDP("870441CM Muni","SPREAD_AT_ISSUANCE_TO_WORST")</f>
        <v>8.9823342465753306</v>
      </c>
      <c r="H2052" t="str">
        <f>_xll.BDP("870441CM Muni","ISSUE_DT")</f>
        <v>12/12/2017</v>
      </c>
      <c r="I2052" t="str">
        <f>_xll.BDS("870441CM Muni","MUNI_PURPOSE_SCHED", "aggregate=y")</f>
        <v>WATER UTILITY IMPS.</v>
      </c>
      <c r="J2052">
        <f>_xll.BDP("870441CM Muni","CPN")</f>
        <v>5</v>
      </c>
      <c r="K2052" t="str">
        <f>_xll.BDP("870441CM Muni","MATURITY")</f>
        <v>4/1/2024</v>
      </c>
      <c r="L2052">
        <v>535000</v>
      </c>
      <c r="M2052">
        <f>_xll.BDP("870441CM Muni","YIELD_ON_ISSUE_DATE")</f>
        <v>1.9000000000000001</v>
      </c>
      <c r="N2052">
        <f>_xll.BDP("870441CM Muni","YTW_SPREAD_TO_MATURITY_AT_ISSU")</f>
        <v>8.9823342465753306</v>
      </c>
      <c r="O2052" t="str">
        <f>_xll.BDP("870441CM Muni","BVAL_MID_YTM")</f>
        <v>#N/A Authorization</v>
      </c>
      <c r="P2052" t="str">
        <f>_xll.BDP("870441CM Muni","MUNI_TAX_PROV")</f>
        <v>FED &amp; ST TAX-EXEMPT</v>
      </c>
      <c r="Q2052" t="str">
        <f>_xll.BDP("870441CM Muni","MUNI_FED_TAX")</f>
        <v>N</v>
      </c>
      <c r="R2052" t="str">
        <f>_xll.BDP("870441CM Muni","MUNI_MSRB_VOLUME")</f>
        <v>#N/A N/A</v>
      </c>
      <c r="S2052" t="str">
        <f>_xll.BDP("870441CM Muni","BB_COMPOSITE")</f>
        <v>#N/A N/A</v>
      </c>
      <c r="T2052">
        <f>_xll.BDP("870441CM Muni","LQA_LIQUIDITY_SCORE")</f>
        <v>86</v>
      </c>
    </row>
    <row r="2053" spans="1:20" x14ac:dyDescent="0.25">
      <c r="A2053" t="str">
        <f>_xll.BDP("870441CN Muni","ID_CUSIP")</f>
        <v>870441CN0</v>
      </c>
      <c r="B2053" t="s">
        <v>527</v>
      </c>
      <c r="C2053" t="str">
        <f>_xll.BDP("870441CN Muni","INSURANCE_STATUS")</f>
        <v>N</v>
      </c>
      <c r="D2053" t="str">
        <f>_xll.BDP("870441CN Muni","STATE_CODE")</f>
        <v>CA</v>
      </c>
      <c r="E2053" t="str">
        <f>_xll.BDP("870441CN Muni","COUNTY_LOCATION_ISSUER")</f>
        <v>San Diego, CA</v>
      </c>
      <c r="F2053">
        <f>_xll.BDP("870441CN Muni","DUR_ADJ_MID")</f>
        <v>2.4750315763004567</v>
      </c>
      <c r="G2053">
        <f>_xll.BDP("870441CN Muni","SPREAD_AT_ISSUANCE_TO_WORST")</f>
        <v>8.6758273972602709</v>
      </c>
      <c r="H2053" t="str">
        <f>_xll.BDP("870441CN Muni","ISSUE_DT")</f>
        <v>12/12/2017</v>
      </c>
      <c r="I2053" t="str">
        <f>_xll.BDS("870441CN Muni","MUNI_PURPOSE_SCHED", "aggregate=y")</f>
        <v>WATER UTILITY IMPS.</v>
      </c>
      <c r="J2053">
        <f>_xll.BDP("870441CN Muni","CPN")</f>
        <v>5</v>
      </c>
      <c r="K2053" t="str">
        <f>_xll.BDP("870441CN Muni","MATURITY")</f>
        <v>4/1/2025</v>
      </c>
      <c r="L2053">
        <v>565000</v>
      </c>
      <c r="M2053">
        <f>_xll.BDP("870441CN Muni","YIELD_ON_ISSUE_DATE")</f>
        <v>2</v>
      </c>
      <c r="N2053">
        <f>_xll.BDP("870441CN Muni","YTW_SPREAD_TO_MATURITY_AT_ISSU")</f>
        <v>8.6758273972602709</v>
      </c>
      <c r="O2053" t="str">
        <f>_xll.BDP("870441CN Muni","BVAL_MID_YTM")</f>
        <v>#N/A Authorization</v>
      </c>
      <c r="P2053" t="str">
        <f>_xll.BDP("870441CN Muni","MUNI_TAX_PROV")</f>
        <v>FED &amp; ST TAX-EXEMPT</v>
      </c>
      <c r="Q2053" t="str">
        <f>_xll.BDP("870441CN Muni","MUNI_FED_TAX")</f>
        <v>N</v>
      </c>
      <c r="R2053">
        <f>_xll.BDP("870441CN Muni","MUNI_MSRB_VOLUME")</f>
        <v>60000</v>
      </c>
      <c r="S2053" t="str">
        <f>_xll.BDP("870441CN Muni","BB_COMPOSITE")</f>
        <v>#N/A N/A</v>
      </c>
      <c r="T2053">
        <f>_xll.BDP("870441CN Muni","LQA_LIQUIDITY_SCORE")</f>
        <v>78</v>
      </c>
    </row>
    <row r="2054" spans="1:20" x14ac:dyDescent="0.25">
      <c r="A2054" t="str">
        <f>_xll.BDP("870441CP Muni","ID_CUSIP")</f>
        <v>870441CP5</v>
      </c>
      <c r="B2054" t="s">
        <v>527</v>
      </c>
      <c r="C2054" t="str">
        <f>_xll.BDP("870441CP Muni","INSURANCE_STATUS")</f>
        <v>N</v>
      </c>
      <c r="D2054" t="str">
        <f>_xll.BDP("870441CP Muni","STATE_CODE")</f>
        <v>CA</v>
      </c>
      <c r="E2054" t="str">
        <f>_xll.BDP("870441CP Muni","COUNTY_LOCATION_ISSUER")</f>
        <v>San Diego, CA</v>
      </c>
      <c r="F2054">
        <f>_xll.BDP("870441CP Muni","DUR_ADJ_MID")</f>
        <v>3.3307753039935042</v>
      </c>
      <c r="G2054">
        <f>_xll.BDP("870441CP Muni","SPREAD_AT_ISSUANCE_TO_WORST")</f>
        <v>13.315112328767098</v>
      </c>
      <c r="H2054" t="str">
        <f>_xll.BDP("870441CP Muni","ISSUE_DT")</f>
        <v>12/12/2017</v>
      </c>
      <c r="I2054" t="str">
        <f>_xll.BDS("870441CP Muni","MUNI_PURPOSE_SCHED", "aggregate=y")</f>
        <v>WATER UTILITY IMPS.</v>
      </c>
      <c r="J2054">
        <f>_xll.BDP("870441CP Muni","CPN")</f>
        <v>5</v>
      </c>
      <c r="K2054" t="str">
        <f>_xll.BDP("870441CP Muni","MATURITY")</f>
        <v>4/1/2026</v>
      </c>
      <c r="L2054">
        <v>595000</v>
      </c>
      <c r="M2054">
        <f>_xll.BDP("870441CP Muni","YIELD_ON_ISSUE_DATE")</f>
        <v>2.15</v>
      </c>
      <c r="N2054">
        <f>_xll.BDP("870441CP Muni","YTW_SPREAD_TO_MATURITY_AT_ISSU")</f>
        <v>13.315112328767098</v>
      </c>
      <c r="O2054" t="str">
        <f>_xll.BDP("870441CP Muni","BVAL_MID_YTM")</f>
        <v>#N/A Authorization</v>
      </c>
      <c r="P2054" t="str">
        <f>_xll.BDP("870441CP Muni","MUNI_TAX_PROV")</f>
        <v>FED &amp; ST TAX-EXEMPT</v>
      </c>
      <c r="Q2054" t="str">
        <f>_xll.BDP("870441CP Muni","MUNI_FED_TAX")</f>
        <v>N</v>
      </c>
      <c r="R2054" t="str">
        <f>_xll.BDP("870441CP Muni","MUNI_MSRB_VOLUME")</f>
        <v>#N/A N/A</v>
      </c>
      <c r="S2054" t="str">
        <f>_xll.BDP("870441CP Muni","BB_COMPOSITE")</f>
        <v>#N/A N/A</v>
      </c>
      <c r="T2054">
        <f>_xll.BDP("870441CP Muni","LQA_LIQUIDITY_SCORE")</f>
        <v>72</v>
      </c>
    </row>
    <row r="2055" spans="1:20" x14ac:dyDescent="0.25">
      <c r="A2055" t="str">
        <f>_xll.BDP("870441CQ Muni","ID_CUSIP")</f>
        <v>870441CQ3</v>
      </c>
      <c r="B2055" t="s">
        <v>527</v>
      </c>
      <c r="C2055" t="str">
        <f>_xll.BDP("870441CQ Muni","INSURANCE_STATUS")</f>
        <v>N</v>
      </c>
      <c r="D2055" t="str">
        <f>_xll.BDP("870441CQ Muni","STATE_CODE")</f>
        <v>CA</v>
      </c>
      <c r="E2055" t="str">
        <f>_xll.BDP("870441CQ Muni","COUNTY_LOCATION_ISSUER")</f>
        <v>San Diego, CA</v>
      </c>
      <c r="F2055">
        <f>_xll.BDP("870441CQ Muni","DUR_ADJ_MID")</f>
        <v>4.1522950061869528</v>
      </c>
      <c r="G2055">
        <f>_xll.BDP("870441CQ Muni","SPREAD_AT_ISSUANCE_TO_WORST")</f>
        <v>15.214515068493162</v>
      </c>
      <c r="H2055" t="str">
        <f>_xll.BDP("870441CQ Muni","ISSUE_DT")</f>
        <v>12/12/2017</v>
      </c>
      <c r="I2055" t="str">
        <f>_xll.BDS("870441CQ Muni","MUNI_PURPOSE_SCHED", "aggregate=y")</f>
        <v>WATER UTILITY IMPS.</v>
      </c>
      <c r="J2055">
        <f>_xll.BDP("870441CQ Muni","CPN")</f>
        <v>5</v>
      </c>
      <c r="K2055" t="str">
        <f>_xll.BDP("870441CQ Muni","MATURITY")</f>
        <v>4/1/2027</v>
      </c>
      <c r="L2055">
        <v>620000</v>
      </c>
      <c r="M2055">
        <f>_xll.BDP("870441CQ Muni","YIELD_ON_ISSUE_DATE")</f>
        <v>2.25</v>
      </c>
      <c r="N2055">
        <f>_xll.BDP("870441CQ Muni","YTW_SPREAD_TO_MATURITY_AT_ISSU")</f>
        <v>15.214515068493162</v>
      </c>
      <c r="O2055" t="str">
        <f>_xll.BDP("870441CQ Muni","BVAL_MID_YTM")</f>
        <v>#N/A Authorization</v>
      </c>
      <c r="P2055" t="str">
        <f>_xll.BDP("870441CQ Muni","MUNI_TAX_PROV")</f>
        <v>FED &amp; ST TAX-EXEMPT</v>
      </c>
      <c r="Q2055" t="str">
        <f>_xll.BDP("870441CQ Muni","MUNI_FED_TAX")</f>
        <v>N</v>
      </c>
      <c r="R2055">
        <f>_xll.BDP("870441CQ Muni","MUNI_MSRB_VOLUME")</f>
        <v>30000</v>
      </c>
      <c r="S2055" t="str">
        <f>_xll.BDP("870441CQ Muni","BB_COMPOSITE")</f>
        <v>#N/A N/A</v>
      </c>
      <c r="T2055">
        <f>_xll.BDP("870441CQ Muni","LQA_LIQUIDITY_SCORE")</f>
        <v>67</v>
      </c>
    </row>
    <row r="2056" spans="1:20" x14ac:dyDescent="0.25">
      <c r="A2056" t="str">
        <f>_xll.BDP("870441CR Muni","ID_CUSIP")</f>
        <v>870441CR1</v>
      </c>
      <c r="B2056" t="s">
        <v>527</v>
      </c>
      <c r="C2056" t="str">
        <f>_xll.BDP("870441CR Muni","INSURANCE_STATUS")</f>
        <v>N</v>
      </c>
      <c r="D2056" t="str">
        <f>_xll.BDP("870441CR Muni","STATE_CODE")</f>
        <v>CA</v>
      </c>
      <c r="E2056" t="str">
        <f>_xll.BDP("870441CR Muni","COUNTY_LOCATION_ISSUER")</f>
        <v>San Diego, CA</v>
      </c>
      <c r="F2056">
        <f>_xll.BDP("870441CR Muni","DUR_ADJ_MID")</f>
        <v>4.9417036683503941</v>
      </c>
      <c r="G2056">
        <f>_xll.BDP("870441CR Muni","SPREAD_AT_ISSUANCE_TO_WORST")</f>
        <v>21.191391780821924</v>
      </c>
      <c r="H2056" t="str">
        <f>_xll.BDP("870441CR Muni","ISSUE_DT")</f>
        <v>12/12/2017</v>
      </c>
      <c r="I2056" t="str">
        <f>_xll.BDS("870441CR Muni","MUNI_PURPOSE_SCHED", "aggregate=y")</f>
        <v>WATER UTILITY IMPS.</v>
      </c>
      <c r="J2056">
        <f>_xll.BDP("870441CR Muni","CPN")</f>
        <v>5</v>
      </c>
      <c r="K2056" t="str">
        <f>_xll.BDP("870441CR Muni","MATURITY")</f>
        <v>4/1/2028</v>
      </c>
      <c r="L2056">
        <v>655000</v>
      </c>
      <c r="M2056">
        <f>_xll.BDP("870441CR Muni","YIELD_ON_ISSUE_DATE")</f>
        <v>2.38</v>
      </c>
      <c r="N2056">
        <f>_xll.BDP("870441CR Muni","YTW_SPREAD_TO_MATURITY_AT_ISSU")</f>
        <v>21.191391780821924</v>
      </c>
      <c r="O2056" t="str">
        <f>_xll.BDP("870441CR Muni","BVAL_MID_YTM")</f>
        <v>#N/A Authorization</v>
      </c>
      <c r="P2056" t="str">
        <f>_xll.BDP("870441CR Muni","MUNI_TAX_PROV")</f>
        <v>FED &amp; ST TAX-EXEMPT</v>
      </c>
      <c r="Q2056" t="str">
        <f>_xll.BDP("870441CR Muni","MUNI_FED_TAX")</f>
        <v>N</v>
      </c>
      <c r="R2056">
        <f>_xll.BDP("870441CR Muni","MUNI_MSRB_VOLUME")</f>
        <v>80000</v>
      </c>
      <c r="S2056" t="str">
        <f>_xll.BDP("870441CR Muni","BB_COMPOSITE")</f>
        <v>#N/A N/A</v>
      </c>
      <c r="T2056">
        <f>_xll.BDP("870441CR Muni","LQA_LIQUIDITY_SCORE")</f>
        <v>63</v>
      </c>
    </row>
    <row r="2057" spans="1:20" x14ac:dyDescent="0.25">
      <c r="A2057" t="str">
        <f>_xll.BDP("942809GJ Muni","ID_CUSIP")</f>
        <v>942809GJ7</v>
      </c>
      <c r="B2057" t="s">
        <v>528</v>
      </c>
      <c r="C2057" t="str">
        <f>_xll.BDP("942809GJ Muni","INSURANCE_STATUS")</f>
        <v>N</v>
      </c>
      <c r="D2057" t="str">
        <f>_xll.BDP("942809GJ Muni","STATE_CODE")</f>
        <v>IL</v>
      </c>
      <c r="E2057" t="str">
        <f>_xll.BDP("942809GJ Muni","COUNTY_LOCATION_ISSUER")</f>
        <v>Lake, IL</v>
      </c>
      <c r="F2057">
        <f>_xll.BDP("942809GJ Muni","DUR_ADJ_MID")</f>
        <v>0.40890353288669423</v>
      </c>
      <c r="G2057">
        <f>_xll.BDP("942809GJ Muni","SPREAD_AT_ISSUANCE_TO_WORST")</f>
        <v>77.703826779360526</v>
      </c>
      <c r="H2057" t="str">
        <f>_xll.BDP("942809GJ Muni","ISSUE_DT")</f>
        <v>9/1/2017</v>
      </c>
      <c r="I2057" t="str">
        <f>_xll.BDS("942809GJ Muni","MUNI_PURPOSE_SCHED", "aggregate=y")</f>
        <v>WATER UTILITY IMPS.</v>
      </c>
      <c r="J2057">
        <f>_xll.BDP("942809GJ Muni","CPN")</f>
        <v>3</v>
      </c>
      <c r="K2057" t="str">
        <f>_xll.BDP("942809GJ Muni","MATURITY")</f>
        <v>12/30/2022</v>
      </c>
      <c r="L2057">
        <v>125000</v>
      </c>
      <c r="M2057">
        <f>_xll.BDP("942809GJ Muni","YIELD_ON_ISSUE_DATE")</f>
        <v>2</v>
      </c>
      <c r="N2057">
        <f>_xll.BDP("942809GJ Muni","YTW_SPREAD_TO_MATURITY_AT_ISSU")</f>
        <v>77.703826779360526</v>
      </c>
      <c r="O2057" t="str">
        <f>_xll.BDP("942809GJ Muni","BVAL_MID_YTM")</f>
        <v>#N/A Authorization</v>
      </c>
      <c r="P2057" t="str">
        <f>_xll.BDP("942809GJ Muni","MUNI_TAX_PROV")</f>
        <v>FED BQ/ST TAXABLE</v>
      </c>
      <c r="Q2057" t="str">
        <f>_xll.BDP("942809GJ Muni","MUNI_FED_TAX")</f>
        <v>N</v>
      </c>
      <c r="R2057" t="str">
        <f>_xll.BDP("942809GJ Muni","MUNI_MSRB_VOLUME")</f>
        <v>#N/A N/A</v>
      </c>
      <c r="S2057" t="str">
        <f>_xll.BDP("942809GJ Muni","BB_COMPOSITE")</f>
        <v>#N/A N/A</v>
      </c>
      <c r="T2057">
        <f>_xll.BDP("942809GJ Muni","LQA_LIQUIDITY_SCORE")</f>
        <v>96</v>
      </c>
    </row>
    <row r="2058" spans="1:20" x14ac:dyDescent="0.25">
      <c r="A2058" t="str">
        <f>_xll.BDP("942809GK Muni","ID_CUSIP")</f>
        <v>942809GK4</v>
      </c>
      <c r="B2058" t="s">
        <v>528</v>
      </c>
      <c r="C2058" t="str">
        <f>_xll.BDP("942809GK Muni","INSURANCE_STATUS")</f>
        <v>N</v>
      </c>
      <c r="D2058" t="str">
        <f>_xll.BDP("942809GK Muni","STATE_CODE")</f>
        <v>IL</v>
      </c>
      <c r="E2058" t="str">
        <f>_xll.BDP("942809GK Muni","COUNTY_LOCATION_ISSUER")</f>
        <v>Lake, IL</v>
      </c>
      <c r="F2058">
        <f>_xll.BDP("942809GK Muni","DUR_ADJ_MID")</f>
        <v>1.3760844134085626</v>
      </c>
      <c r="G2058">
        <f>_xll.BDP("942809GK Muni","SPREAD_AT_ISSUANCE_TO_WORST")</f>
        <v>72.835863611178937</v>
      </c>
      <c r="H2058" t="str">
        <f>_xll.BDP("942809GK Muni","ISSUE_DT")</f>
        <v>9/1/2017</v>
      </c>
      <c r="I2058" t="str">
        <f>_xll.BDS("942809GK Muni","MUNI_PURPOSE_SCHED", "aggregate=y")</f>
        <v>WATER UTILITY IMPS.</v>
      </c>
      <c r="J2058">
        <f>_xll.BDP("942809GK Muni","CPN")</f>
        <v>3</v>
      </c>
      <c r="K2058" t="str">
        <f>_xll.BDP("942809GK Muni","MATURITY")</f>
        <v>12/30/2023</v>
      </c>
      <c r="L2058">
        <v>125000</v>
      </c>
      <c r="M2058">
        <f>_xll.BDP("942809GK Muni","YIELD_ON_ISSUE_DATE")</f>
        <v>2.1</v>
      </c>
      <c r="N2058">
        <f>_xll.BDP("942809GK Muni","YTW_SPREAD_TO_MATURITY_AT_ISSU")</f>
        <v>72.835863611178937</v>
      </c>
      <c r="O2058" t="str">
        <f>_xll.BDP("942809GK Muni","BVAL_MID_YTM")</f>
        <v>#N/A Authorization</v>
      </c>
      <c r="P2058" t="str">
        <f>_xll.BDP("942809GK Muni","MUNI_TAX_PROV")</f>
        <v>FED BQ/ST TAXABLE</v>
      </c>
      <c r="Q2058" t="str">
        <f>_xll.BDP("942809GK Muni","MUNI_FED_TAX")</f>
        <v>N</v>
      </c>
      <c r="R2058" t="str">
        <f>_xll.BDP("942809GK Muni","MUNI_MSRB_VOLUME")</f>
        <v>#N/A N/A</v>
      </c>
      <c r="S2058" t="str">
        <f>_xll.BDP("942809GK Muni","BB_COMPOSITE")</f>
        <v>#N/A N/A</v>
      </c>
      <c r="T2058">
        <f>_xll.BDP("942809GK Muni","LQA_LIQUIDITY_SCORE")</f>
        <v>85</v>
      </c>
    </row>
    <row r="2059" spans="1:20" x14ac:dyDescent="0.25">
      <c r="A2059" t="str">
        <f>_xll.BDP("942809GL Muni","ID_CUSIP")</f>
        <v>942809GL2</v>
      </c>
      <c r="B2059" t="s">
        <v>528</v>
      </c>
      <c r="C2059" t="str">
        <f>_xll.BDP("942809GL Muni","INSURANCE_STATUS")</f>
        <v>N</v>
      </c>
      <c r="D2059" t="str">
        <f>_xll.BDP("942809GL Muni","STATE_CODE")</f>
        <v>IL</v>
      </c>
      <c r="E2059" t="str">
        <f>_xll.BDP("942809GL Muni","COUNTY_LOCATION_ISSUER")</f>
        <v>Lake, IL</v>
      </c>
      <c r="F2059">
        <f>_xll.BDP("942809GL Muni","DUR_ADJ_MID")</f>
        <v>2.3149554072169227</v>
      </c>
      <c r="G2059">
        <f>_xll.BDP("942809GL Muni","SPREAD_AT_ISSUANCE_TO_WORST")</f>
        <v>67.682323533338447</v>
      </c>
      <c r="H2059" t="str">
        <f>_xll.BDP("942809GL Muni","ISSUE_DT")</f>
        <v>9/1/2017</v>
      </c>
      <c r="I2059" t="str">
        <f>_xll.BDS("942809GL Muni","MUNI_PURPOSE_SCHED", "aggregate=y")</f>
        <v>WATER UTILITY IMPS.</v>
      </c>
      <c r="J2059">
        <f>_xll.BDP("942809GL Muni","CPN")</f>
        <v>3</v>
      </c>
      <c r="K2059" t="str">
        <f>_xll.BDP("942809GL Muni","MATURITY")</f>
        <v>12/30/2024</v>
      </c>
      <c r="L2059">
        <v>125000</v>
      </c>
      <c r="M2059">
        <f>_xll.BDP("942809GL Muni","YIELD_ON_ISSUE_DATE")</f>
        <v>2.2000000000000002</v>
      </c>
      <c r="N2059">
        <f>_xll.BDP("942809GL Muni","YTW_SPREAD_TO_MATURITY_AT_ISSU")</f>
        <v>67.682323533338447</v>
      </c>
      <c r="O2059" t="str">
        <f>_xll.BDP("942809GL Muni","BVAL_MID_YTM")</f>
        <v>#N/A Authorization</v>
      </c>
      <c r="P2059" t="str">
        <f>_xll.BDP("942809GL Muni","MUNI_TAX_PROV")</f>
        <v>FED BQ/ST TAXABLE</v>
      </c>
      <c r="Q2059" t="str">
        <f>_xll.BDP("942809GL Muni","MUNI_FED_TAX")</f>
        <v>N</v>
      </c>
      <c r="R2059">
        <f>_xll.BDP("942809GL Muni","MUNI_MSRB_VOLUME")</f>
        <v>10000</v>
      </c>
      <c r="S2059" t="str">
        <f>_xll.BDP("942809GL Muni","BB_COMPOSITE")</f>
        <v>#N/A N/A</v>
      </c>
      <c r="T2059">
        <f>_xll.BDP("942809GL Muni","LQA_LIQUIDITY_SCORE")</f>
        <v>78</v>
      </c>
    </row>
    <row r="2060" spans="1:20" x14ac:dyDescent="0.25">
      <c r="A2060" t="str">
        <f>_xll.BDP("943384AZ Muni","ID_CUSIP")</f>
        <v>943384AZ0</v>
      </c>
      <c r="B2060" t="s">
        <v>529</v>
      </c>
      <c r="C2060" t="str">
        <f>_xll.BDP("943384AZ Muni","INSURANCE_STATUS")</f>
        <v>N</v>
      </c>
      <c r="D2060" t="str">
        <f>_xll.BDP("943384AZ Muni","STATE_CODE")</f>
        <v>WI</v>
      </c>
      <c r="E2060" t="str">
        <f>_xll.BDP("943384AZ Muni","COUNTY_LOCATION_ISSUER")</f>
        <v>Marathon, WI</v>
      </c>
      <c r="F2060">
        <f>_xll.BDP("943384AZ Muni","DUR_ADJ_MID")</f>
        <v>0.73217471450572413</v>
      </c>
      <c r="G2060">
        <f>_xll.BDP("943384AZ Muni","SPREAD_AT_ISSUANCE_TO_WORST")</f>
        <v>19.428602739726042</v>
      </c>
      <c r="H2060" t="str">
        <f>_xll.BDP("943384AZ Muni","ISSUE_DT")</f>
        <v>12/5/2017</v>
      </c>
      <c r="I2060" t="str">
        <f>_xll.BDS("943384AZ Muni","MUNI_PURPOSE_SCHED", "aggregate=y")</f>
        <v>CURRENT REFUNDING WATER UTILITY IMPS.</v>
      </c>
      <c r="J2060">
        <f>_xll.BDP("943384AZ Muni","CPN")</f>
        <v>4</v>
      </c>
      <c r="K2060" t="str">
        <f>_xll.BDP("943384AZ Muni","MATURITY")</f>
        <v>5/1/2023</v>
      </c>
      <c r="L2060">
        <v>385000</v>
      </c>
      <c r="M2060">
        <f>_xll.BDP("943384AZ Muni","YIELD_ON_ISSUE_DATE")</f>
        <v>1.76</v>
      </c>
      <c r="N2060">
        <f>_xll.BDP("943384AZ Muni","YTW_SPREAD_TO_MATURITY_AT_ISSU")</f>
        <v>19.428602739726042</v>
      </c>
      <c r="O2060" t="str">
        <f>_xll.BDP("943384AZ Muni","BVAL_MID_YTM")</f>
        <v>#N/A Authorization</v>
      </c>
      <c r="P2060" t="str">
        <f>_xll.BDP("943384AZ Muni","MUNI_TAX_PROV")</f>
        <v>FED TAX-EXEMPT/ST TAXABLE</v>
      </c>
      <c r="Q2060" t="str">
        <f>_xll.BDP("943384AZ Muni","MUNI_FED_TAX")</f>
        <v>N</v>
      </c>
      <c r="R2060" t="str">
        <f>_xll.BDP("943384AZ Muni","MUNI_MSRB_VOLUME")</f>
        <v>#N/A N/A</v>
      </c>
      <c r="S2060" t="str">
        <f>_xll.BDP("943384AZ Muni","BB_COMPOSITE")</f>
        <v>#N/A N/A</v>
      </c>
      <c r="T2060">
        <f>_xll.BDP("943384AZ Muni","LQA_LIQUIDITY_SCORE")</f>
        <v>91</v>
      </c>
    </row>
    <row r="2061" spans="1:20" x14ac:dyDescent="0.25">
      <c r="A2061" t="str">
        <f>_xll.BDP("943384BA Muni","ID_CUSIP")</f>
        <v>943384BA4</v>
      </c>
      <c r="B2061" t="s">
        <v>529</v>
      </c>
      <c r="C2061" t="str">
        <f>_xll.BDP("943384BA Muni","INSURANCE_STATUS")</f>
        <v>N</v>
      </c>
      <c r="D2061" t="str">
        <f>_xll.BDP("943384BA Muni","STATE_CODE")</f>
        <v>WI</v>
      </c>
      <c r="E2061" t="str">
        <f>_xll.BDP("943384BA Muni","COUNTY_LOCATION_ISSUER")</f>
        <v>Marathon, WI</v>
      </c>
      <c r="F2061">
        <f>_xll.BDP("943384BA Muni","DUR_ADJ_MID")</f>
        <v>1.6749053320553824</v>
      </c>
      <c r="G2061">
        <f>_xll.BDP("943384BA Muni","SPREAD_AT_ISSUANCE_TO_WORST")</f>
        <v>20.806449315068498</v>
      </c>
      <c r="H2061" t="str">
        <f>_xll.BDP("943384BA Muni","ISSUE_DT")</f>
        <v>12/5/2017</v>
      </c>
      <c r="I2061" t="str">
        <f>_xll.BDS("943384BA Muni","MUNI_PURPOSE_SCHED", "aggregate=y")</f>
        <v>CURRENT REFUNDING WATER UTILITY IMPS.</v>
      </c>
      <c r="J2061">
        <f>_xll.BDP("943384BA Muni","CPN")</f>
        <v>4</v>
      </c>
      <c r="K2061" t="str">
        <f>_xll.BDP("943384BA Muni","MATURITY")</f>
        <v>5/1/2024</v>
      </c>
      <c r="L2061">
        <v>405000</v>
      </c>
      <c r="M2061">
        <f>_xll.BDP("943384BA Muni","YIELD_ON_ISSUE_DATE")</f>
        <v>1.8800000000000001</v>
      </c>
      <c r="N2061">
        <f>_xll.BDP("943384BA Muni","YTW_SPREAD_TO_MATURITY_AT_ISSU")</f>
        <v>20.806449315068498</v>
      </c>
      <c r="O2061" t="str">
        <f>_xll.BDP("943384BA Muni","BVAL_MID_YTM")</f>
        <v>#N/A Authorization</v>
      </c>
      <c r="P2061" t="str">
        <f>_xll.BDP("943384BA Muni","MUNI_TAX_PROV")</f>
        <v>FED TAX-EXEMPT/ST TAXABLE</v>
      </c>
      <c r="Q2061" t="str">
        <f>_xll.BDP("943384BA Muni","MUNI_FED_TAX")</f>
        <v>N</v>
      </c>
      <c r="R2061" t="str">
        <f>_xll.BDP("943384BA Muni","MUNI_MSRB_VOLUME")</f>
        <v>#N/A N/A</v>
      </c>
      <c r="S2061" t="str">
        <f>_xll.BDP("943384BA Muni","BB_COMPOSITE")</f>
        <v>#N/A N/A</v>
      </c>
      <c r="T2061">
        <f>_xll.BDP("943384BA Muni","LQA_LIQUIDITY_SCORE")</f>
        <v>84</v>
      </c>
    </row>
    <row r="2062" spans="1:20" x14ac:dyDescent="0.25">
      <c r="A2062" t="str">
        <f>_xll.BDP("943384BB Muni","ID_CUSIP")</f>
        <v>943384BB2</v>
      </c>
      <c r="B2062" t="s">
        <v>529</v>
      </c>
      <c r="C2062" t="str">
        <f>_xll.BDP("943384BB Muni","INSURANCE_STATUS")</f>
        <v>N</v>
      </c>
      <c r="D2062" t="str">
        <f>_xll.BDP("943384BB Muni","STATE_CODE")</f>
        <v>WI</v>
      </c>
      <c r="E2062" t="str">
        <f>_xll.BDP("943384BB Muni","COUNTY_LOCATION_ISSUER")</f>
        <v>Marathon, WI</v>
      </c>
      <c r="F2062">
        <f>_xll.BDP("943384BB Muni","DUR_ADJ_MID")</f>
        <v>2.5829947109525118</v>
      </c>
      <c r="G2062">
        <f>_xll.BDP("943384BB Muni","SPREAD_AT_ISSUANCE_TO_WORST")</f>
        <v>22.039161643835612</v>
      </c>
      <c r="H2062" t="str">
        <f>_xll.BDP("943384BB Muni","ISSUE_DT")</f>
        <v>12/5/2017</v>
      </c>
      <c r="I2062" t="str">
        <f>_xll.BDS("943384BB Muni","MUNI_PURPOSE_SCHED", "aggregate=y")</f>
        <v>CURRENT REFUNDING WATER UTILITY IMPS.</v>
      </c>
      <c r="J2062">
        <f>_xll.BDP("943384BB Muni","CPN")</f>
        <v>4</v>
      </c>
      <c r="K2062" t="str">
        <f>_xll.BDP("943384BB Muni","MATURITY")</f>
        <v>5/1/2025</v>
      </c>
      <c r="L2062">
        <v>420000</v>
      </c>
      <c r="M2062">
        <f>_xll.BDP("943384BB Muni","YIELD_ON_ISSUE_DATE")</f>
        <v>2</v>
      </c>
      <c r="N2062">
        <f>_xll.BDP("943384BB Muni","YTW_SPREAD_TO_MATURITY_AT_ISSU")</f>
        <v>22.039161643835612</v>
      </c>
      <c r="O2062" t="str">
        <f>_xll.BDP("943384BB Muni","BVAL_MID_YTM")</f>
        <v>#N/A Authorization</v>
      </c>
      <c r="P2062" t="str">
        <f>_xll.BDP("943384BB Muni","MUNI_TAX_PROV")</f>
        <v>FED TAX-EXEMPT/ST TAXABLE</v>
      </c>
      <c r="Q2062" t="str">
        <f>_xll.BDP("943384BB Muni","MUNI_FED_TAX")</f>
        <v>N</v>
      </c>
      <c r="R2062" t="str">
        <f>_xll.BDP("943384BB Muni","MUNI_MSRB_VOLUME")</f>
        <v>#N/A N/A</v>
      </c>
      <c r="S2062" t="str">
        <f>_xll.BDP("943384BB Muni","BB_COMPOSITE")</f>
        <v>#N/A N/A</v>
      </c>
      <c r="T2062">
        <f>_xll.BDP("943384BB Muni","LQA_LIQUIDITY_SCORE")</f>
        <v>73</v>
      </c>
    </row>
    <row r="2063" spans="1:20" x14ac:dyDescent="0.25">
      <c r="A2063" t="str">
        <f>_xll.BDP("943384BC Muni","ID_CUSIP")</f>
        <v>943384BC0</v>
      </c>
      <c r="B2063" t="s">
        <v>529</v>
      </c>
      <c r="C2063" t="str">
        <f>_xll.BDP("943384BC Muni","INSURANCE_STATUS")</f>
        <v>N</v>
      </c>
      <c r="D2063" t="str">
        <f>_xll.BDP("943384BC Muni","STATE_CODE")</f>
        <v>WI</v>
      </c>
      <c r="E2063" t="str">
        <f>_xll.BDP("943384BC Muni","COUNTY_LOCATION_ISSUER")</f>
        <v>Marathon, WI</v>
      </c>
      <c r="F2063">
        <f>_xll.BDP("943384BC Muni","DUR_ADJ_MID")</f>
        <v>3.458382669585375</v>
      </c>
      <c r="G2063">
        <f>_xll.BDP("943384BC Muni","SPREAD_AT_ISSUANCE_TO_WORST")</f>
        <v>22.482734246575319</v>
      </c>
      <c r="H2063" t="str">
        <f>_xll.BDP("943384BC Muni","ISSUE_DT")</f>
        <v>12/5/2017</v>
      </c>
      <c r="I2063" t="str">
        <f>_xll.BDS("943384BC Muni","MUNI_PURPOSE_SCHED", "aggregate=y")</f>
        <v>CURRENT REFUNDING WATER UTILITY IMPS.</v>
      </c>
      <c r="J2063">
        <f>_xll.BDP("943384BC Muni","CPN")</f>
        <v>4</v>
      </c>
      <c r="K2063" t="str">
        <f>_xll.BDP("943384BC Muni","MATURITY")</f>
        <v>5/1/2026</v>
      </c>
      <c r="L2063">
        <v>435000</v>
      </c>
      <c r="M2063">
        <f>_xll.BDP("943384BC Muni","YIELD_ON_ISSUE_DATE")</f>
        <v>2.11</v>
      </c>
      <c r="N2063">
        <f>_xll.BDP("943384BC Muni","YTW_SPREAD_TO_MATURITY_AT_ISSU")</f>
        <v>22.482734246575319</v>
      </c>
      <c r="O2063" t="str">
        <f>_xll.BDP("943384BC Muni","BVAL_MID_YTM")</f>
        <v>#N/A Authorization</v>
      </c>
      <c r="P2063" t="str">
        <f>_xll.BDP("943384BC Muni","MUNI_TAX_PROV")</f>
        <v>FED TAX-EXEMPT/ST TAXABLE</v>
      </c>
      <c r="Q2063" t="str">
        <f>_xll.BDP("943384BC Muni","MUNI_FED_TAX")</f>
        <v>N</v>
      </c>
      <c r="R2063">
        <f>_xll.BDP("943384BC Muni","MUNI_MSRB_VOLUME")</f>
        <v>50000</v>
      </c>
      <c r="S2063" t="str">
        <f>_xll.BDP("943384BC Muni","BB_COMPOSITE")</f>
        <v>#N/A N/A</v>
      </c>
      <c r="T2063">
        <f>_xll.BDP("943384BC Muni","LQA_LIQUIDITY_SCORE")</f>
        <v>64</v>
      </c>
    </row>
    <row r="2064" spans="1:20" x14ac:dyDescent="0.25">
      <c r="A2064" t="str">
        <f>_xll.BDP("943384BD Muni","ID_CUSIP")</f>
        <v>943384BD8</v>
      </c>
      <c r="B2064" t="s">
        <v>529</v>
      </c>
      <c r="C2064" t="str">
        <f>_xll.BDP("943384BD Muni","INSURANCE_STATUS")</f>
        <v>N</v>
      </c>
      <c r="D2064" t="str">
        <f>_xll.BDP("943384BD Muni","STATE_CODE")</f>
        <v>WI</v>
      </c>
      <c r="E2064" t="str">
        <f>_xll.BDP("943384BD Muni","COUNTY_LOCATION_ISSUER")</f>
        <v>Marathon, WI</v>
      </c>
      <c r="F2064">
        <f>_xll.BDP("943384BD Muni","DUR_ADJ_MID")</f>
        <v>4.3026478823108238</v>
      </c>
      <c r="G2064">
        <f>_xll.BDP("943384BD Muni","SPREAD_AT_ISSUANCE_TO_WORST")</f>
        <v>24.440621917808226</v>
      </c>
      <c r="H2064" t="str">
        <f>_xll.BDP("943384BD Muni","ISSUE_DT")</f>
        <v>12/5/2017</v>
      </c>
      <c r="I2064" t="str">
        <f>_xll.BDS("943384BD Muni","MUNI_PURPOSE_SCHED", "aggregate=y")</f>
        <v>CURRENT REFUNDING WATER UTILITY IMPS.</v>
      </c>
      <c r="J2064">
        <f>_xll.BDP("943384BD Muni","CPN")</f>
        <v>4</v>
      </c>
      <c r="K2064" t="str">
        <f>_xll.BDP("943384BD Muni","MATURITY")</f>
        <v>5/1/2027</v>
      </c>
      <c r="L2064">
        <v>110000</v>
      </c>
      <c r="M2064">
        <f>_xll.BDP("943384BD Muni","YIELD_ON_ISSUE_DATE")</f>
        <v>2.21</v>
      </c>
      <c r="N2064">
        <f>_xll.BDP("943384BD Muni","YTW_SPREAD_TO_MATURITY_AT_ISSU")</f>
        <v>24.440621917808226</v>
      </c>
      <c r="O2064" t="str">
        <f>_xll.BDP("943384BD Muni","BVAL_MID_YTM")</f>
        <v>#N/A Authorization</v>
      </c>
      <c r="P2064" t="str">
        <f>_xll.BDP("943384BD Muni","MUNI_TAX_PROV")</f>
        <v>FED TAX-EXEMPT/ST TAXABLE</v>
      </c>
      <c r="Q2064" t="str">
        <f>_xll.BDP("943384BD Muni","MUNI_FED_TAX")</f>
        <v>N</v>
      </c>
      <c r="R2064" t="str">
        <f>_xll.BDP("943384BD Muni","MUNI_MSRB_VOLUME")</f>
        <v>#N/A N/A</v>
      </c>
      <c r="S2064" t="str">
        <f>_xll.BDP("943384BD Muni","BB_COMPOSITE")</f>
        <v>#N/A N/A</v>
      </c>
      <c r="T2064">
        <f>_xll.BDP("943384BD Muni","LQA_LIQUIDITY_SCORE")</f>
        <v>56</v>
      </c>
    </row>
    <row r="2065" spans="1:20" x14ac:dyDescent="0.25">
      <c r="A2065" t="str">
        <f>_xll.BDP("943521PJ Muni","ID_CUSIP")</f>
        <v>943521PJ7</v>
      </c>
      <c r="B2065" t="s">
        <v>124</v>
      </c>
      <c r="C2065" t="str">
        <f>_xll.BDP("943521PJ Muni","INSURANCE_STATUS")</f>
        <v>N</v>
      </c>
      <c r="D2065" t="str">
        <f>_xll.BDP("943521PJ Muni","STATE_CODE")</f>
        <v>WI</v>
      </c>
      <c r="E2065" t="str">
        <f>_xll.BDP("943521PJ Muni","COUNTY_LOCATION_ISSUER")</f>
        <v>Milwaukee, WI</v>
      </c>
      <c r="F2065">
        <f>_xll.BDP("943521PJ Muni","DUR_ADJ_MID")</f>
        <v>1.38071987508312</v>
      </c>
      <c r="G2065">
        <f>_xll.BDP("943521PJ Muni","SPREAD_AT_ISSUANCE_TO_WORST")</f>
        <v>34.052912328767128</v>
      </c>
      <c r="H2065" t="str">
        <f>_xll.BDP("943521PJ Muni","ISSUE_DT")</f>
        <v>11/3/2017</v>
      </c>
      <c r="I2065" t="str">
        <f>_xll.BDS("943521PJ Muni","MUNI_PURPOSE_SCHED", "aggregate=y")</f>
        <v>WATER UTILITY IMPS.</v>
      </c>
      <c r="J2065">
        <f>_xll.BDP("943521PJ Muni","CPN")</f>
        <v>3</v>
      </c>
      <c r="K2065" t="str">
        <f>_xll.BDP("943521PJ Muni","MATURITY")</f>
        <v>1/1/2024</v>
      </c>
      <c r="L2065">
        <v>125000</v>
      </c>
      <c r="M2065">
        <f>_xll.BDP("943521PJ Muni","YIELD_ON_ISSUE_DATE")</f>
        <v>1.85</v>
      </c>
      <c r="N2065">
        <f>_xll.BDP("943521PJ Muni","YTW_SPREAD_TO_MATURITY_AT_ISSU")</f>
        <v>34.052912328767128</v>
      </c>
      <c r="O2065" t="str">
        <f>_xll.BDP("943521PJ Muni","BVAL_MID_YTM")</f>
        <v>#N/A Authorization</v>
      </c>
      <c r="P2065" t="str">
        <f>_xll.BDP("943521PJ Muni","MUNI_TAX_PROV")</f>
        <v>FED TAX-EXEMPT/ST TAXABLE</v>
      </c>
      <c r="Q2065" t="str">
        <f>_xll.BDP("943521PJ Muni","MUNI_FED_TAX")</f>
        <v>N</v>
      </c>
      <c r="R2065" t="str">
        <f>_xll.BDP("943521PJ Muni","MUNI_MSRB_VOLUME")</f>
        <v>#N/A N/A</v>
      </c>
      <c r="S2065" t="str">
        <f>_xll.BDP("943521PJ Muni","BB_COMPOSITE")</f>
        <v>#N/A N/A</v>
      </c>
      <c r="T2065">
        <f>_xll.BDP("943521PJ Muni","LQA_LIQUIDITY_SCORE")</f>
        <v>76</v>
      </c>
    </row>
    <row r="2066" spans="1:20" x14ac:dyDescent="0.25">
      <c r="A2066" t="str">
        <f>_xll.BDP("943521PK Muni","ID_CUSIP")</f>
        <v>943521PK4</v>
      </c>
      <c r="B2066" t="s">
        <v>124</v>
      </c>
      <c r="C2066" t="str">
        <f>_xll.BDP("943521PK Muni","INSURANCE_STATUS")</f>
        <v>N</v>
      </c>
      <c r="D2066" t="str">
        <f>_xll.BDP("943521PK Muni","STATE_CODE")</f>
        <v>WI</v>
      </c>
      <c r="E2066" t="str">
        <f>_xll.BDP("943521PK Muni","COUNTY_LOCATION_ISSUER")</f>
        <v>Milwaukee, WI</v>
      </c>
      <c r="F2066">
        <f>_xll.BDP("943521PK Muni","DUR_ADJ_MID")</f>
        <v>2.3211997580814003</v>
      </c>
      <c r="G2066">
        <f>_xll.BDP("943521PK Muni","SPREAD_AT_ISSUANCE_TO_WORST")</f>
        <v>35.767936986301386</v>
      </c>
      <c r="H2066" t="str">
        <f>_xll.BDP("943521PK Muni","ISSUE_DT")</f>
        <v>11/3/2017</v>
      </c>
      <c r="I2066" t="str">
        <f>_xll.BDS("943521PK Muni","MUNI_PURPOSE_SCHED", "aggregate=y")</f>
        <v>WATER UTILITY IMPS.</v>
      </c>
      <c r="J2066">
        <f>_xll.BDP("943521PK Muni","CPN")</f>
        <v>3</v>
      </c>
      <c r="K2066" t="str">
        <f>_xll.BDP("943521PK Muni","MATURITY")</f>
        <v>1/1/2025</v>
      </c>
      <c r="L2066">
        <v>125000</v>
      </c>
      <c r="M2066">
        <f>_xll.BDP("943521PK Muni","YIELD_ON_ISSUE_DATE")</f>
        <v>2</v>
      </c>
      <c r="N2066">
        <f>_xll.BDP("943521PK Muni","YTW_SPREAD_TO_MATURITY_AT_ISSU")</f>
        <v>35.767936986301386</v>
      </c>
      <c r="O2066" t="str">
        <f>_xll.BDP("943521PK Muni","BVAL_MID_YTM")</f>
        <v>#N/A Authorization</v>
      </c>
      <c r="P2066" t="str">
        <f>_xll.BDP("943521PK Muni","MUNI_TAX_PROV")</f>
        <v>FED TAX-EXEMPT/ST TAXABLE</v>
      </c>
      <c r="Q2066" t="str">
        <f>_xll.BDP("943521PK Muni","MUNI_FED_TAX")</f>
        <v>N</v>
      </c>
      <c r="R2066" t="str">
        <f>_xll.BDP("943521PK Muni","MUNI_MSRB_VOLUME")</f>
        <v>#N/A N/A</v>
      </c>
      <c r="S2066" t="str">
        <f>_xll.BDP("943521PK Muni","BB_COMPOSITE")</f>
        <v>#N/A N/A</v>
      </c>
      <c r="T2066">
        <f>_xll.BDP("943521PK Muni","LQA_LIQUIDITY_SCORE")</f>
        <v>64</v>
      </c>
    </row>
    <row r="2067" spans="1:20" x14ac:dyDescent="0.25">
      <c r="A2067" t="str">
        <f>_xll.BDP("943521PL Muni","ID_CUSIP")</f>
        <v>943521PL2</v>
      </c>
      <c r="B2067" t="s">
        <v>124</v>
      </c>
      <c r="C2067" t="str">
        <f>_xll.BDP("943521PL Muni","INSURANCE_STATUS")</f>
        <v>N</v>
      </c>
      <c r="D2067" t="str">
        <f>_xll.BDP("943521PL Muni","STATE_CODE")</f>
        <v>WI</v>
      </c>
      <c r="E2067" t="str">
        <f>_xll.BDP("943521PL Muni","COUNTY_LOCATION_ISSUER")</f>
        <v>Milwaukee, WI</v>
      </c>
      <c r="F2067">
        <f>_xll.BDP("943521PL Muni","DUR_ADJ_MID")</f>
        <v>3.2348485890457637</v>
      </c>
      <c r="G2067">
        <f>_xll.BDP("943521PL Muni","SPREAD_AT_ISSUANCE_TO_WORST")</f>
        <v>32.82695616438356</v>
      </c>
      <c r="H2067" t="str">
        <f>_xll.BDP("943521PL Muni","ISSUE_DT")</f>
        <v>11/3/2017</v>
      </c>
      <c r="I2067" t="str">
        <f>_xll.BDS("943521PL Muni","MUNI_PURPOSE_SCHED", "aggregate=y")</f>
        <v>WATER UTILITY IMPS.</v>
      </c>
      <c r="J2067">
        <f>_xll.BDP("943521PL Muni","CPN")</f>
        <v>3</v>
      </c>
      <c r="K2067" t="str">
        <f>_xll.BDP("943521PL Muni","MATURITY")</f>
        <v>1/1/2026</v>
      </c>
      <c r="L2067">
        <v>125000</v>
      </c>
      <c r="M2067">
        <f>_xll.BDP("943521PL Muni","YIELD_ON_ISSUE_DATE")</f>
        <v>2.1</v>
      </c>
      <c r="N2067">
        <f>_xll.BDP("943521PL Muni","YTW_SPREAD_TO_MATURITY_AT_ISSU")</f>
        <v>32.82695616438356</v>
      </c>
      <c r="O2067" t="str">
        <f>_xll.BDP("943521PL Muni","BVAL_MID_YTM")</f>
        <v>#N/A Authorization</v>
      </c>
      <c r="P2067" t="str">
        <f>_xll.BDP("943521PL Muni","MUNI_TAX_PROV")</f>
        <v>FED TAX-EXEMPT/ST TAXABLE</v>
      </c>
      <c r="Q2067" t="str">
        <f>_xll.BDP("943521PL Muni","MUNI_FED_TAX")</f>
        <v>N</v>
      </c>
      <c r="R2067" t="str">
        <f>_xll.BDP("943521PL Muni","MUNI_MSRB_VOLUME")</f>
        <v>#N/A N/A</v>
      </c>
      <c r="S2067" t="str">
        <f>_xll.BDP("943521PL Muni","BB_COMPOSITE")</f>
        <v>#N/A N/A</v>
      </c>
      <c r="T2067">
        <f>_xll.BDP("943521PL Muni","LQA_LIQUIDITY_SCORE")</f>
        <v>50</v>
      </c>
    </row>
    <row r="2068" spans="1:20" x14ac:dyDescent="0.25">
      <c r="A2068" t="str">
        <f>_xll.BDP("943521PM Muni","ID_CUSIP")</f>
        <v>943521PM0</v>
      </c>
      <c r="B2068" t="s">
        <v>124</v>
      </c>
      <c r="C2068" t="str">
        <f>_xll.BDP("943521PM Muni","INSURANCE_STATUS")</f>
        <v>N</v>
      </c>
      <c r="D2068" t="str">
        <f>_xll.BDP("943521PM Muni","STATE_CODE")</f>
        <v>WI</v>
      </c>
      <c r="E2068" t="str">
        <f>_xll.BDP("943521PM Muni","COUNTY_LOCATION_ISSUER")</f>
        <v>Milwaukee, WI</v>
      </c>
      <c r="F2068">
        <f>_xll.BDP("943521PM Muni","DUR_ADJ_MID")</f>
        <v>4.1221357760609818</v>
      </c>
      <c r="G2068">
        <f>_xll.BDP("943521PM Muni","SPREAD_AT_ISSUANCE_TO_WORST")</f>
        <v>31.72885753424659</v>
      </c>
      <c r="H2068" t="str">
        <f>_xll.BDP("943521PM Muni","ISSUE_DT")</f>
        <v>11/3/2017</v>
      </c>
      <c r="I2068" t="str">
        <f>_xll.BDS("943521PM Muni","MUNI_PURPOSE_SCHED", "aggregate=y")</f>
        <v>WATER UTILITY IMPS.</v>
      </c>
      <c r="J2068">
        <f>_xll.BDP("943521PM Muni","CPN")</f>
        <v>3</v>
      </c>
      <c r="K2068" t="str">
        <f>_xll.BDP("943521PM Muni","MATURITY")</f>
        <v>1/1/2027</v>
      </c>
      <c r="L2068">
        <v>125000</v>
      </c>
      <c r="M2068">
        <f>_xll.BDP("943521PM Muni","YIELD_ON_ISSUE_DATE")</f>
        <v>2.2000000000000002</v>
      </c>
      <c r="N2068">
        <f>_xll.BDP("943521PM Muni","YTW_SPREAD_TO_MATURITY_AT_ISSU")</f>
        <v>31.72885753424659</v>
      </c>
      <c r="O2068" t="str">
        <f>_xll.BDP("943521PM Muni","BVAL_MID_YTM")</f>
        <v>#N/A Authorization</v>
      </c>
      <c r="P2068" t="str">
        <f>_xll.BDP("943521PM Muni","MUNI_TAX_PROV")</f>
        <v>FED TAX-EXEMPT/ST TAXABLE</v>
      </c>
      <c r="Q2068" t="str">
        <f>_xll.BDP("943521PM Muni","MUNI_FED_TAX")</f>
        <v>N</v>
      </c>
      <c r="R2068" t="str">
        <f>_xll.BDP("943521PM Muni","MUNI_MSRB_VOLUME")</f>
        <v>#N/A N/A</v>
      </c>
      <c r="S2068" t="str">
        <f>_xll.BDP("943521PM Muni","BB_COMPOSITE")</f>
        <v>#N/A N/A</v>
      </c>
      <c r="T2068">
        <f>_xll.BDP("943521PM Muni","LQA_LIQUIDITY_SCORE")</f>
        <v>39</v>
      </c>
    </row>
    <row r="2069" spans="1:20" x14ac:dyDescent="0.25">
      <c r="A2069" t="str">
        <f>_xll.BDP("944216H7 Muni","ID_CUSIP")</f>
        <v>944216H78</v>
      </c>
      <c r="B2069" t="s">
        <v>530</v>
      </c>
      <c r="C2069" t="str">
        <f>_xll.BDP("944216H7 Muni","INSURANCE_STATUS")</f>
        <v>N</v>
      </c>
      <c r="D2069" t="str">
        <f>_xll.BDP("944216H7 Muni","STATE_CODE")</f>
        <v>MA</v>
      </c>
      <c r="E2069" t="str">
        <f>_xll.BDP("944216H7 Muni","COUNTY_LOCATION_ISSUER")</f>
        <v>Middlesex, MA</v>
      </c>
      <c r="F2069">
        <f>_xll.BDP("944216H7 Muni","DUR_ADJ_MID")</f>
        <v>0.73100240374161662</v>
      </c>
      <c r="G2069">
        <f>_xll.BDP("944216H7 Muni","SPREAD_AT_ISSUANCE_TO_WORST")</f>
        <v>4.454544605200117</v>
      </c>
      <c r="H2069" t="str">
        <f>_xll.BDP("944216H7 Muni","ISSUE_DT")</f>
        <v>4/6/2017</v>
      </c>
      <c r="I2069" t="str">
        <f>_xll.BDS("944216H7 Muni","MUNI_PURPOSE_SCHED", "aggregate=y")</f>
        <v>PUBLIC IMPS. WATER UTILITY IMPS. SCHOOL IMPS.</v>
      </c>
      <c r="J2069">
        <f>_xll.BDP("944216H7 Muni","CPN")</f>
        <v>5</v>
      </c>
      <c r="K2069" t="str">
        <f>_xll.BDP("944216H7 Muni","MATURITY")</f>
        <v>5/1/2023</v>
      </c>
      <c r="L2069">
        <v>595000</v>
      </c>
      <c r="M2069">
        <f>_xll.BDP("944216H7 Muni","YIELD_ON_ISSUE_DATE")</f>
        <v>1.78</v>
      </c>
      <c r="N2069">
        <f>_xll.BDP("944216H7 Muni","YTW_SPREAD_TO_MATURITY_AT_ISSU")</f>
        <v>4.454544605200117</v>
      </c>
      <c r="O2069" t="str">
        <f>_xll.BDP("944216H7 Muni","BVAL_MID_YTM")</f>
        <v>#N/A Authorization</v>
      </c>
      <c r="P2069" t="str">
        <f>_xll.BDP("944216H7 Muni","MUNI_TAX_PROV")</f>
        <v>FED &amp; ST TAX-EXEMPT</v>
      </c>
      <c r="Q2069" t="str">
        <f>_xll.BDP("944216H7 Muni","MUNI_FED_TAX")</f>
        <v>N</v>
      </c>
      <c r="R2069">
        <f>_xll.BDP("944216H7 Muni","MUNI_MSRB_VOLUME")</f>
        <v>120000</v>
      </c>
      <c r="S2069" t="str">
        <f>_xll.BDP("944216H7 Muni","BB_COMPOSITE")</f>
        <v>#N/A N/A</v>
      </c>
      <c r="T2069">
        <f>_xll.BDP("944216H7 Muni","LQA_LIQUIDITY_SCORE")</f>
        <v>95</v>
      </c>
    </row>
    <row r="2070" spans="1:20" x14ac:dyDescent="0.25">
      <c r="A2070" t="str">
        <f>_xll.BDP("944216H9 Muni","ID_CUSIP")</f>
        <v>944216H94</v>
      </c>
      <c r="B2070" t="s">
        <v>530</v>
      </c>
      <c r="C2070" t="str">
        <f>_xll.BDP("944216H9 Muni","INSURANCE_STATUS")</f>
        <v>N</v>
      </c>
      <c r="D2070" t="str">
        <f>_xll.BDP("944216H9 Muni","STATE_CODE")</f>
        <v>MA</v>
      </c>
      <c r="E2070" t="str">
        <f>_xll.BDP("944216H9 Muni","COUNTY_LOCATION_ISSUER")</f>
        <v>Middlesex, MA</v>
      </c>
      <c r="F2070">
        <f>_xll.BDP("944216H9 Muni","DUR_ADJ_MID")</f>
        <v>2.5589574607456687</v>
      </c>
      <c r="G2070">
        <f>_xll.BDP("944216H9 Muni","SPREAD_AT_ISSUANCE_TO_WORST")</f>
        <v>4.6084103881118388</v>
      </c>
      <c r="H2070" t="str">
        <f>_xll.BDP("944216H9 Muni","ISSUE_DT")</f>
        <v>4/6/2017</v>
      </c>
      <c r="I2070" t="str">
        <f>_xll.BDS("944216H9 Muni","MUNI_PURPOSE_SCHED", "aggregate=y")</f>
        <v>PUBLIC IMPS. WATER UTILITY IMPS. SCHOOL IMPS.</v>
      </c>
      <c r="J2070">
        <f>_xll.BDP("944216H9 Muni","CPN")</f>
        <v>5</v>
      </c>
      <c r="K2070" t="str">
        <f>_xll.BDP("944216H9 Muni","MATURITY")</f>
        <v>5/1/2025</v>
      </c>
      <c r="L2070">
        <v>580000</v>
      </c>
      <c r="M2070">
        <f>_xll.BDP("944216H9 Muni","YIELD_ON_ISSUE_DATE")</f>
        <v>2.11</v>
      </c>
      <c r="N2070">
        <f>_xll.BDP("944216H9 Muni","YTW_SPREAD_TO_MATURITY_AT_ISSU")</f>
        <v>4.6084103881118388</v>
      </c>
      <c r="O2070" t="str">
        <f>_xll.BDP("944216H9 Muni","BVAL_MID_YTM")</f>
        <v>#N/A Authorization</v>
      </c>
      <c r="P2070" t="str">
        <f>_xll.BDP("944216H9 Muni","MUNI_TAX_PROV")</f>
        <v>FED &amp; ST TAX-EXEMPT</v>
      </c>
      <c r="Q2070" t="str">
        <f>_xll.BDP("944216H9 Muni","MUNI_FED_TAX")</f>
        <v>N</v>
      </c>
      <c r="R2070">
        <f>_xll.BDP("944216H9 Muni","MUNI_MSRB_VOLUME")</f>
        <v>30000</v>
      </c>
      <c r="S2070" t="str">
        <f>_xll.BDP("944216H9 Muni","BB_COMPOSITE")</f>
        <v>#N/A N/A</v>
      </c>
      <c r="T2070">
        <f>_xll.BDP("944216H9 Muni","LQA_LIQUIDITY_SCORE")</f>
        <v>83</v>
      </c>
    </row>
    <row r="2071" spans="1:20" x14ac:dyDescent="0.25">
      <c r="A2071" t="str">
        <f>_xll.BDP("961301A5 Muni","ID_CUSIP")</f>
        <v>961301A57</v>
      </c>
      <c r="B2071" t="s">
        <v>531</v>
      </c>
      <c r="C2071" t="str">
        <f>_xll.BDP("961301A5 Muni","INSURANCE_STATUS")</f>
        <v>N</v>
      </c>
      <c r="D2071" t="str">
        <f>_xll.BDP("961301A5 Muni","STATE_CODE")</f>
        <v>CT</v>
      </c>
      <c r="E2071" t="str">
        <f>_xll.BDP("961301A5 Muni","COUNTY_LOCATION_ISSUER")</f>
        <v>Fairfield, CT</v>
      </c>
      <c r="F2071">
        <f>_xll.BDP("961301A5 Muni","DUR_ADJ_MID")</f>
        <v>2.5971009430353673</v>
      </c>
      <c r="G2071">
        <f>_xll.BDP("961301A5 Muni","SPREAD_AT_ISSUANCE_TO_WORST")</f>
        <v>0.31155681678711744</v>
      </c>
      <c r="H2071" t="str">
        <f>_xll.BDP("961301A5 Muni","ISSUE_DT")</f>
        <v>5/19/2017</v>
      </c>
      <c r="I2071" t="str">
        <f>_xll.BDS("961301A5 Muni","MUNI_PURPOSE_SCHED", "aggregate=y")</f>
        <v>SCHOOL IMPS. WATER UTILITY IMPS. SEWER IMPS.</v>
      </c>
      <c r="J2071">
        <f>_xll.BDP("961301A5 Muni","CPN")</f>
        <v>5</v>
      </c>
      <c r="K2071" t="str">
        <f>_xll.BDP("961301A5 Muni","MATURITY")</f>
        <v>5/15/2025</v>
      </c>
      <c r="L2071">
        <v>305000</v>
      </c>
      <c r="M2071">
        <f>_xll.BDP("961301A5 Muni","YIELD_ON_ISSUE_DATE")</f>
        <v>1.87</v>
      </c>
      <c r="N2071">
        <f>_xll.BDP("961301A5 Muni","YTW_SPREAD_TO_MATURITY_AT_ISSU")</f>
        <v>0.31155681678711744</v>
      </c>
      <c r="O2071" t="str">
        <f>_xll.BDP("961301A5 Muni","BVAL_MID_YTM")</f>
        <v>#N/A Authorization</v>
      </c>
      <c r="P2071" t="str">
        <f>_xll.BDP("961301A5 Muni","MUNI_TAX_PROV")</f>
        <v>FED &amp; ST TAX-EXEMPT</v>
      </c>
      <c r="Q2071" t="str">
        <f>_xll.BDP("961301A5 Muni","MUNI_FED_TAX")</f>
        <v>N</v>
      </c>
      <c r="R2071" t="str">
        <f>_xll.BDP("961301A5 Muni","MUNI_MSRB_VOLUME")</f>
        <v>#N/A N/A</v>
      </c>
      <c r="S2071" t="str">
        <f>_xll.BDP("961301A5 Muni","BB_COMPOSITE")</f>
        <v>#N/A N/A</v>
      </c>
      <c r="T2071">
        <f>_xll.BDP("961301A5 Muni","LQA_LIQUIDITY_SCORE")</f>
        <v>66</v>
      </c>
    </row>
    <row r="2072" spans="1:20" x14ac:dyDescent="0.25">
      <c r="A2072" t="str">
        <f>_xll.BDP("894758BR Muni","ID_CUSIP")</f>
        <v>894758BR1</v>
      </c>
      <c r="B2072" t="s">
        <v>532</v>
      </c>
      <c r="C2072" t="str">
        <f>_xll.BDP("894758BR Muni","INSURANCE_STATUS")</f>
        <v>Y</v>
      </c>
      <c r="D2072" t="str">
        <f>_xll.BDP("894758BR Muni","STATE_CODE")</f>
        <v>IL</v>
      </c>
      <c r="E2072" t="str">
        <f>_xll.BDP("894758BR Muni","COUNTY_LOCATION_ISSUER")</f>
        <v>Tazewell, IL</v>
      </c>
      <c r="F2072">
        <f>_xll.BDP("894758BR Muni","DUR_ADJ_MID")</f>
        <v>0.4112425832523442</v>
      </c>
      <c r="G2072">
        <f>_xll.BDP("894758BR Muni","SPREAD_AT_ISSUANCE_TO_WORST")</f>
        <v>95.844501369863025</v>
      </c>
      <c r="H2072" t="str">
        <f>_xll.BDP("894758BR Muni","ISSUE_DT")</f>
        <v>11/30/2017</v>
      </c>
      <c r="I2072" t="str">
        <f>_xll.BDS("894758BR Muni","MUNI_PURPOSE_SCHED", "aggregate=y")</f>
        <v>WATER UTILITY IMPS. SEWER IMPS.</v>
      </c>
      <c r="J2072">
        <f>_xll.BDP("894758BR Muni","CPN")</f>
        <v>3</v>
      </c>
      <c r="K2072" t="str">
        <f>_xll.BDP("894758BR Muni","MATURITY")</f>
        <v>1/1/2023</v>
      </c>
      <c r="L2072">
        <v>160000</v>
      </c>
      <c r="M2072">
        <f>_xll.BDP("894758BR Muni","YIELD_ON_ISSUE_DATE")</f>
        <v>2.5</v>
      </c>
      <c r="N2072">
        <f>_xll.BDP("894758BR Muni","YTW_SPREAD_TO_MATURITY_AT_ISSU")</f>
        <v>95.844501369863025</v>
      </c>
      <c r="O2072" t="str">
        <f>_xll.BDP("894758BR Muni","BVAL_MID_YTM")</f>
        <v>#N/A Authorization</v>
      </c>
      <c r="P2072" t="str">
        <f>_xll.BDP("894758BR Muni","MUNI_TAX_PROV")</f>
        <v>FED BQ/ST TAXABLE</v>
      </c>
      <c r="Q2072" t="str">
        <f>_xll.BDP("894758BR Muni","MUNI_FED_TAX")</f>
        <v>N</v>
      </c>
      <c r="R2072" t="str">
        <f>_xll.BDP("894758BR Muni","MUNI_MSRB_VOLUME")</f>
        <v>#N/A N/A</v>
      </c>
      <c r="S2072" t="str">
        <f>_xll.BDP("894758BR Muni","BB_COMPOSITE")</f>
        <v>#N/A N/A</v>
      </c>
      <c r="T2072">
        <f>_xll.BDP("894758BR Muni","LQA_LIQUIDITY_SCORE")</f>
        <v>98</v>
      </c>
    </row>
    <row r="2073" spans="1:20" x14ac:dyDescent="0.25">
      <c r="A2073" t="str">
        <f>_xll.BDP("894758BS Muni","ID_CUSIP")</f>
        <v>894758BS9</v>
      </c>
      <c r="B2073" t="s">
        <v>532</v>
      </c>
      <c r="C2073" t="str">
        <f>_xll.BDP("894758BS Muni","INSURANCE_STATUS")</f>
        <v>Y</v>
      </c>
      <c r="D2073" t="str">
        <f>_xll.BDP("894758BS Muni","STATE_CODE")</f>
        <v>IL</v>
      </c>
      <c r="E2073" t="str">
        <f>_xll.BDP("894758BS Muni","COUNTY_LOCATION_ISSUER")</f>
        <v>Tazewell, IL</v>
      </c>
      <c r="F2073">
        <f>_xll.BDP("894758BS Muni","DUR_ADJ_MID")</f>
        <v>1.3771841218473722</v>
      </c>
      <c r="G2073">
        <f>_xll.BDP("894758BS Muni","SPREAD_AT_ISSUANCE_TO_WORST")</f>
        <v>100.32124657534244</v>
      </c>
      <c r="H2073" t="str">
        <f>_xll.BDP("894758BS Muni","ISSUE_DT")</f>
        <v>11/30/2017</v>
      </c>
      <c r="I2073" t="str">
        <f>_xll.BDS("894758BS Muni","MUNI_PURPOSE_SCHED", "aggregate=y")</f>
        <v>WATER UTILITY IMPS. SEWER IMPS.</v>
      </c>
      <c r="J2073">
        <f>_xll.BDP("894758BS Muni","CPN")</f>
        <v>3</v>
      </c>
      <c r="K2073" t="str">
        <f>_xll.BDP("894758BS Muni","MATURITY")</f>
        <v>1/1/2024</v>
      </c>
      <c r="L2073">
        <v>165000</v>
      </c>
      <c r="M2073">
        <f>_xll.BDP("894758BS Muni","YIELD_ON_ISSUE_DATE")</f>
        <v>2.65</v>
      </c>
      <c r="N2073">
        <f>_xll.BDP("894758BS Muni","YTW_SPREAD_TO_MATURITY_AT_ISSU")</f>
        <v>100.32124657534244</v>
      </c>
      <c r="O2073" t="str">
        <f>_xll.BDP("894758BS Muni","BVAL_MID_YTM")</f>
        <v>#N/A Authorization</v>
      </c>
      <c r="P2073" t="str">
        <f>_xll.BDP("894758BS Muni","MUNI_TAX_PROV")</f>
        <v>FED BQ/ST TAXABLE</v>
      </c>
      <c r="Q2073" t="str">
        <f>_xll.BDP("894758BS Muni","MUNI_FED_TAX")</f>
        <v>N</v>
      </c>
      <c r="R2073" t="str">
        <f>_xll.BDP("894758BS Muni","MUNI_MSRB_VOLUME")</f>
        <v>#N/A N/A</v>
      </c>
      <c r="S2073" t="str">
        <f>_xll.BDP("894758BS Muni","BB_COMPOSITE")</f>
        <v>#N/A N/A</v>
      </c>
      <c r="T2073">
        <f>_xll.BDP("894758BS Muni","LQA_LIQUIDITY_SCORE")</f>
        <v>84</v>
      </c>
    </row>
    <row r="2074" spans="1:20" x14ac:dyDescent="0.25">
      <c r="A2074" t="str">
        <f>_xll.BDP("894758BT Muni","ID_CUSIP")</f>
        <v>894758BT7</v>
      </c>
      <c r="B2074" t="s">
        <v>532</v>
      </c>
      <c r="C2074" t="str">
        <f>_xll.BDP("894758BT Muni","INSURANCE_STATUS")</f>
        <v>Y</v>
      </c>
      <c r="D2074" t="str">
        <f>_xll.BDP("894758BT Muni","STATE_CODE")</f>
        <v>IL</v>
      </c>
      <c r="E2074" t="str">
        <f>_xll.BDP("894758BT Muni","COUNTY_LOCATION_ISSUER")</f>
        <v>Tazewell, IL</v>
      </c>
      <c r="F2074">
        <f>_xll.BDP("894758BT Muni","DUR_ADJ_MID")</f>
        <v>2.2931291936807274</v>
      </c>
      <c r="G2074">
        <f>_xll.BDP("894758BT Muni","SPREAD_AT_ISSUANCE_TO_WORST")</f>
        <v>105.16023287671233</v>
      </c>
      <c r="H2074" t="str">
        <f>_xll.BDP("894758BT Muni","ISSUE_DT")</f>
        <v>11/30/2017</v>
      </c>
      <c r="I2074" t="str">
        <f>_xll.BDS("894758BT Muni","MUNI_PURPOSE_SCHED", "aggregate=y")</f>
        <v>WATER UTILITY IMPS. SEWER IMPS.</v>
      </c>
      <c r="J2074">
        <f>_xll.BDP("894758BT Muni","CPN")</f>
        <v>4</v>
      </c>
      <c r="K2074" t="str">
        <f>_xll.BDP("894758BT Muni","MATURITY")</f>
        <v>1/1/2025</v>
      </c>
      <c r="L2074">
        <v>165000</v>
      </c>
      <c r="M2074">
        <f>_xll.BDP("894758BT Muni","YIELD_ON_ISSUE_DATE")</f>
        <v>2.8000000000000003</v>
      </c>
      <c r="N2074">
        <f>_xll.BDP("894758BT Muni","YTW_SPREAD_TO_MATURITY_AT_ISSU")</f>
        <v>105.16023287671233</v>
      </c>
      <c r="O2074" t="str">
        <f>_xll.BDP("894758BT Muni","BVAL_MID_YTM")</f>
        <v>#N/A Authorization</v>
      </c>
      <c r="P2074" t="str">
        <f>_xll.BDP("894758BT Muni","MUNI_TAX_PROV")</f>
        <v>FED BQ/ST TAXABLE</v>
      </c>
      <c r="Q2074" t="str">
        <f>_xll.BDP("894758BT Muni","MUNI_FED_TAX")</f>
        <v>N</v>
      </c>
      <c r="R2074" t="str">
        <f>_xll.BDP("894758BT Muni","MUNI_MSRB_VOLUME")</f>
        <v>#N/A N/A</v>
      </c>
      <c r="S2074" t="str">
        <f>_xll.BDP("894758BT Muni","BB_COMPOSITE")</f>
        <v>#N/A N/A</v>
      </c>
      <c r="T2074">
        <f>_xll.BDP("894758BT Muni","LQA_LIQUIDITY_SCORE")</f>
        <v>77</v>
      </c>
    </row>
    <row r="2075" spans="1:20" x14ac:dyDescent="0.25">
      <c r="A2075" t="str">
        <f>_xll.BDP("895139GM Muni","ID_CUSIP")</f>
        <v>895139GM9</v>
      </c>
      <c r="B2075" t="s">
        <v>85</v>
      </c>
      <c r="C2075" t="str">
        <f>_xll.BDP("895139GM Muni","INSURANCE_STATUS")</f>
        <v>Y</v>
      </c>
      <c r="D2075" t="str">
        <f>_xll.BDP("895139GM Muni","STATE_CODE")</f>
        <v>NJ</v>
      </c>
      <c r="E2075" t="str">
        <f>_xll.BDP("895139GM Muni","COUNTY_LOCATION_ISSUER")</f>
        <v>Mercer, NJ</v>
      </c>
      <c r="F2075">
        <f>_xll.BDP("895139GM Muni","DUR_ADJ_MID")</f>
        <v>1.5614344123569077</v>
      </c>
      <c r="G2075">
        <f>_xll.BDP("895139GM Muni","SPREAD_AT_ISSUANCE_TO_WORST")</f>
        <v>57.445281731160101</v>
      </c>
      <c r="H2075" t="str">
        <f>_xll.BDP("895139GM Muni","ISSUE_DT")</f>
        <v>6/13/2017</v>
      </c>
      <c r="I2075" t="str">
        <f>_xll.BDS("895139GM Muni","MUNI_PURPOSE_SCHED", "aggregate=y")</f>
        <v>PUBLIC IMPS. WATER UTILITY IMPS. SEWER IMPS.</v>
      </c>
      <c r="J2075">
        <f>_xll.BDP("895139GM Muni","CPN")</f>
        <v>3</v>
      </c>
      <c r="K2075" t="str">
        <f>_xll.BDP("895139GM Muni","MATURITY")</f>
        <v>3/15/2024</v>
      </c>
      <c r="L2075">
        <v>1010000</v>
      </c>
      <c r="M2075">
        <f>_xll.BDP("895139GM Muni","YIELD_ON_ISSUE_DATE")</f>
        <v>2.0300000000000002</v>
      </c>
      <c r="N2075">
        <f>_xll.BDP("895139GM Muni","YTW_SPREAD_TO_MATURITY_AT_ISSU")</f>
        <v>57.445281731160101</v>
      </c>
      <c r="O2075" t="str">
        <f>_xll.BDP("895139GM Muni","BVAL_MID_YTM")</f>
        <v>#N/A Authorization</v>
      </c>
      <c r="P2075" t="str">
        <f>_xll.BDP("895139GM Muni","MUNI_TAX_PROV")</f>
        <v>FED &amp; ST TAX-EXEMPT</v>
      </c>
      <c r="Q2075" t="str">
        <f>_xll.BDP("895139GM Muni","MUNI_FED_TAX")</f>
        <v>N</v>
      </c>
      <c r="R2075">
        <f>_xll.BDP("895139GM Muni","MUNI_MSRB_VOLUME")</f>
        <v>30000</v>
      </c>
      <c r="S2075" t="str">
        <f>_xll.BDP("895139GM Muni","BB_COMPOSITE")</f>
        <v>AA-</v>
      </c>
      <c r="T2075">
        <f>_xll.BDP("895139GM Muni","LQA_LIQUIDITY_SCORE")</f>
        <v>74</v>
      </c>
    </row>
    <row r="2076" spans="1:20" x14ac:dyDescent="0.25">
      <c r="A2076" t="str">
        <f>_xll.BDP("895139GN Muni","ID_CUSIP")</f>
        <v>895139GN7</v>
      </c>
      <c r="B2076" t="s">
        <v>85</v>
      </c>
      <c r="C2076" t="str">
        <f>_xll.BDP("895139GN Muni","INSURANCE_STATUS")</f>
        <v>Y</v>
      </c>
      <c r="D2076" t="str">
        <f>_xll.BDP("895139GN Muni","STATE_CODE")</f>
        <v>NJ</v>
      </c>
      <c r="E2076" t="str">
        <f>_xll.BDP("895139GN Muni","COUNTY_LOCATION_ISSUER")</f>
        <v>Mercer, NJ</v>
      </c>
      <c r="F2076">
        <f>_xll.BDP("895139GN Muni","DUR_ADJ_MID")</f>
        <v>2.4873646232240247</v>
      </c>
      <c r="G2076">
        <f>_xll.BDP("895139GN Muni","SPREAD_AT_ISSUANCE_TO_WORST")</f>
        <v>64.632657335546014</v>
      </c>
      <c r="H2076" t="str">
        <f>_xll.BDP("895139GN Muni","ISSUE_DT")</f>
        <v>6/13/2017</v>
      </c>
      <c r="I2076" t="str">
        <f>_xll.BDS("895139GN Muni","MUNI_PURPOSE_SCHED", "aggregate=y")</f>
        <v>PUBLIC IMPS. WATER UTILITY IMPS. SEWER IMPS.</v>
      </c>
      <c r="J2076">
        <f>_xll.BDP("895139GN Muni","CPN")</f>
        <v>3</v>
      </c>
      <c r="K2076" t="str">
        <f>_xll.BDP("895139GN Muni","MATURITY")</f>
        <v>3/15/2025</v>
      </c>
      <c r="L2076">
        <v>1110000</v>
      </c>
      <c r="M2076">
        <f>_xll.BDP("895139GN Muni","YIELD_ON_ISSUE_DATE")</f>
        <v>2.2600000000000002</v>
      </c>
      <c r="N2076">
        <f>_xll.BDP("895139GN Muni","YTW_SPREAD_TO_MATURITY_AT_ISSU")</f>
        <v>64.632657335546014</v>
      </c>
      <c r="O2076" t="str">
        <f>_xll.BDP("895139GN Muni","BVAL_MID_YTM")</f>
        <v>#N/A Authorization</v>
      </c>
      <c r="P2076" t="str">
        <f>_xll.BDP("895139GN Muni","MUNI_TAX_PROV")</f>
        <v>FED &amp; ST TAX-EXEMPT</v>
      </c>
      <c r="Q2076" t="str">
        <f>_xll.BDP("895139GN Muni","MUNI_FED_TAX")</f>
        <v>N</v>
      </c>
      <c r="R2076" t="str">
        <f>_xll.BDP("895139GN Muni","MUNI_MSRB_VOLUME")</f>
        <v>#N/A N/A</v>
      </c>
      <c r="S2076" t="str">
        <f>_xll.BDP("895139GN Muni","BB_COMPOSITE")</f>
        <v>AA-</v>
      </c>
      <c r="T2076">
        <f>_xll.BDP("895139GN Muni","LQA_LIQUIDITY_SCORE")</f>
        <v>60</v>
      </c>
    </row>
    <row r="2077" spans="1:20" x14ac:dyDescent="0.25">
      <c r="A2077" t="str">
        <f>_xll.BDP("89657PHB Muni","ID_CUSIP")</f>
        <v>89657PHB2</v>
      </c>
      <c r="B2077" t="s">
        <v>125</v>
      </c>
      <c r="C2077" t="str">
        <f>_xll.BDP("89657PHB Muni","INSURANCE_STATUS")</f>
        <v>N</v>
      </c>
      <c r="D2077" t="str">
        <f>_xll.BDP("89657PHB Muni","STATE_CODE")</f>
        <v>TX</v>
      </c>
      <c r="E2077" t="str">
        <f>_xll.BDP("89657PHB Muni","COUNTY_LOCATION_ISSUER")</f>
        <v>Tarrant, TX</v>
      </c>
      <c r="F2077">
        <f>_xll.BDP("89657PHB Muni","DUR_ADJ_MID")</f>
        <v>1.4478069196472949</v>
      </c>
      <c r="G2077">
        <f>_xll.BDP("89657PHB Muni","SPREAD_AT_ISSUANCE_TO_WORST")</f>
        <v>19.381153781707241</v>
      </c>
      <c r="H2077" t="str">
        <f>_xll.BDP("89657PHB Muni","ISSUE_DT")</f>
        <v>7/1/2017</v>
      </c>
      <c r="I2077" t="str">
        <f>_xll.BDS("89657PHB Muni","MUNI_PURPOSE_SCHED", "aggregate=y")</f>
        <v>WATER UTILITY IMPS. SEWER IMPS.</v>
      </c>
      <c r="J2077">
        <f>_xll.BDP("89657PHB Muni","CPN")</f>
        <v>5</v>
      </c>
      <c r="K2077" t="str">
        <f>_xll.BDP("89657PHB Muni","MATURITY")</f>
        <v>2/1/2024</v>
      </c>
      <c r="L2077">
        <v>795000</v>
      </c>
      <c r="M2077">
        <f>_xll.BDP("89657PHB Muni","YIELD_ON_ISSUE_DATE")</f>
        <v>1.6500000000000001</v>
      </c>
      <c r="N2077">
        <f>_xll.BDP("89657PHB Muni","YTW_SPREAD_TO_MATURITY_AT_ISSU")</f>
        <v>19.381153781707241</v>
      </c>
      <c r="O2077" t="str">
        <f>_xll.BDP("89657PHB Muni","BVAL_MID_YTM")</f>
        <v>#N/A Authorization</v>
      </c>
      <c r="P2077" t="str">
        <f>_xll.BDP("89657PHB Muni","MUNI_TAX_PROV")</f>
        <v>FED TAX-EXEMPT</v>
      </c>
      <c r="Q2077" t="str">
        <f>_xll.BDP("89657PHB Muni","MUNI_FED_TAX")</f>
        <v>N</v>
      </c>
      <c r="R2077">
        <f>_xll.BDP("89657PHB Muni","MUNI_MSRB_VOLUME")</f>
        <v>40000</v>
      </c>
      <c r="S2077" t="str">
        <f>_xll.BDP("89657PHB Muni","BB_COMPOSITE")</f>
        <v>#N/A N/A</v>
      </c>
      <c r="T2077">
        <f>_xll.BDP("89657PHB Muni","LQA_LIQUIDITY_SCORE")</f>
        <v>85</v>
      </c>
    </row>
    <row r="2078" spans="1:20" x14ac:dyDescent="0.25">
      <c r="A2078" t="str">
        <f>_xll.BDP("89658HUQ Muni","ID_CUSIP")</f>
        <v>89658HUQ1</v>
      </c>
      <c r="B2078" t="s">
        <v>33</v>
      </c>
      <c r="C2078" t="str">
        <f>_xll.BDP("89658HUQ Muni","INSURANCE_STATUS")</f>
        <v>N</v>
      </c>
      <c r="D2078" t="str">
        <f>_xll.BDP("89658HUQ Muni","STATE_CODE")</f>
        <v>TX</v>
      </c>
      <c r="E2078" t="str">
        <f>_xll.BDP("89658HUQ Muni","COUNTY_LOCATION_ISSUER")</f>
        <v>Tarrant, TX</v>
      </c>
      <c r="F2078">
        <f>_xll.BDP("89658HUQ Muni","DUR_ADJ_MID")</f>
        <v>5.5553192854814054E-3</v>
      </c>
      <c r="G2078">
        <f>_xll.BDP("89658HUQ Muni","SPREAD_AT_ISSUANCE_TO_WORST")</f>
        <v>24.026975249185689</v>
      </c>
      <c r="H2078" t="str">
        <f>_xll.BDP("89658HUQ Muni","ISSUE_DT")</f>
        <v>5/1/2017</v>
      </c>
      <c r="I2078" t="str">
        <f>_xll.BDS("89658HUQ Muni","MUNI_PURPOSE_SCHED", "aggregate=y")</f>
        <v>ADVANCE REFUNDING WATER UTILITY IMPS. SEWER IMPS.</v>
      </c>
      <c r="J2078">
        <f>_xll.BDP("89658HUQ Muni","CPN")</f>
        <v>3</v>
      </c>
      <c r="K2078" t="str">
        <f>_xll.BDP("89658HUQ Muni","MATURITY")</f>
        <v>8/1/2022</v>
      </c>
      <c r="L2078">
        <v>7955000</v>
      </c>
      <c r="M2078">
        <f>_xll.BDP("89658HUQ Muni","YIELD_ON_ISSUE_DATE")</f>
        <v>1.69</v>
      </c>
      <c r="N2078">
        <f>_xll.BDP("89658HUQ Muni","YTW_SPREAD_TO_MATURITY_AT_ISSU")</f>
        <v>24.026975249185689</v>
      </c>
      <c r="O2078" t="str">
        <f>_xll.BDP("89658HUQ Muni","BVAL_MID_YTM")</f>
        <v>#N/A Authorization</v>
      </c>
      <c r="P2078" t="str">
        <f>_xll.BDP("89658HUQ Muni","MUNI_TAX_PROV")</f>
        <v>FED TAX-EXEMPT</v>
      </c>
      <c r="Q2078" t="str">
        <f>_xll.BDP("89658HUQ Muni","MUNI_FED_TAX")</f>
        <v>N</v>
      </c>
      <c r="R2078">
        <f>_xll.BDP("89658HUQ Muni","MUNI_MSRB_VOLUME")</f>
        <v>20000</v>
      </c>
      <c r="S2078" t="str">
        <f>_xll.BDP("89658HUQ Muni","BB_COMPOSITE")</f>
        <v>AAA</v>
      </c>
      <c r="T2078">
        <f>_xll.BDP("89658HUQ Muni","LQA_LIQUIDITY_SCORE")</f>
        <v>99</v>
      </c>
    </row>
    <row r="2079" spans="1:20" x14ac:dyDescent="0.25">
      <c r="A2079" t="str">
        <f>_xll.BDP("8800642C Muni","ID_CUSIP")</f>
        <v>8800642C3</v>
      </c>
      <c r="B2079" t="s">
        <v>64</v>
      </c>
      <c r="C2079" t="str">
        <f>_xll.BDP("8800642C Muni","INSURANCE_STATUS")</f>
        <v>N</v>
      </c>
      <c r="D2079" t="str">
        <f>_xll.BDP("8800642C Muni","STATE_CODE")</f>
        <v>TX</v>
      </c>
      <c r="E2079" t="str">
        <f>_xll.BDP("8800642C Muni","COUNTY_LOCATION_ISSUER")</f>
        <v>Bell, TX</v>
      </c>
      <c r="F2079">
        <f>_xll.BDP("8800642C Muni","DUR_ADJ_MID")</f>
        <v>5.5552830476227368E-3</v>
      </c>
      <c r="G2079">
        <f>_xll.BDP("8800642C Muni","SPREAD_AT_ISSUANCE_TO_WORST")</f>
        <v>12.657073972602738</v>
      </c>
      <c r="H2079" t="str">
        <f>_xll.BDP("8800642C Muni","ISSUE_DT")</f>
        <v>11/8/2017</v>
      </c>
      <c r="I2079" t="str">
        <f>_xll.BDS("8800642C Muni","MUNI_PURPOSE_SCHED", "aggregate=y")</f>
        <v>PUBLIC IMPS. WATER UTILITY IMPS. SEWER IMPS.</v>
      </c>
      <c r="J2079">
        <f>_xll.BDP("8800642C Muni","CPN")</f>
        <v>5</v>
      </c>
      <c r="K2079" t="str">
        <f>_xll.BDP("8800642C Muni","MATURITY")</f>
        <v>8/1/2022</v>
      </c>
      <c r="L2079">
        <v>975000</v>
      </c>
      <c r="M2079">
        <f>_xll.BDP("8800642C Muni","YIELD_ON_ISSUE_DATE")</f>
        <v>1.45</v>
      </c>
      <c r="N2079">
        <f>_xll.BDP("8800642C Muni","YTW_SPREAD_TO_MATURITY_AT_ISSU")</f>
        <v>12.657073972602738</v>
      </c>
      <c r="O2079" t="str">
        <f>_xll.BDP("8800642C Muni","BVAL_MID_YTM")</f>
        <v>#N/A Authorization</v>
      </c>
      <c r="P2079" t="str">
        <f>_xll.BDP("8800642C Muni","MUNI_TAX_PROV")</f>
        <v>FED TAX-EXEMPT</v>
      </c>
      <c r="Q2079" t="str">
        <f>_xll.BDP("8800642C Muni","MUNI_FED_TAX")</f>
        <v>N</v>
      </c>
      <c r="R2079" t="str">
        <f>_xll.BDP("8800642C Muni","MUNI_MSRB_VOLUME")</f>
        <v>#N/A N/A</v>
      </c>
      <c r="S2079" t="str">
        <f>_xll.BDP("8800642C Muni","BB_COMPOSITE")</f>
        <v>#N/A N/A</v>
      </c>
      <c r="T2079">
        <f>_xll.BDP("8800642C Muni","LQA_LIQUIDITY_SCORE")</f>
        <v>98</v>
      </c>
    </row>
    <row r="2080" spans="1:20" x14ac:dyDescent="0.25">
      <c r="A2080" t="str">
        <f>_xll.BDP("8800642F Muni","ID_CUSIP")</f>
        <v>8800642F6</v>
      </c>
      <c r="B2080" t="s">
        <v>64</v>
      </c>
      <c r="C2080" t="str">
        <f>_xll.BDP("8800642F Muni","INSURANCE_STATUS")</f>
        <v>N</v>
      </c>
      <c r="D2080" t="str">
        <f>_xll.BDP("8800642F Muni","STATE_CODE")</f>
        <v>TX</v>
      </c>
      <c r="E2080" t="str">
        <f>_xll.BDP("8800642F Muni","COUNTY_LOCATION_ISSUER")</f>
        <v>Bell, TX</v>
      </c>
      <c r="F2080">
        <f>_xll.BDP("8800642F Muni","DUR_ADJ_MID")</f>
        <v>2.8035101341886244</v>
      </c>
      <c r="G2080">
        <f>_xll.BDP("8800642F Muni","SPREAD_AT_ISSUANCE_TO_WORST")</f>
        <v>19.570315068493137</v>
      </c>
      <c r="H2080" t="str">
        <f>_xll.BDP("8800642F Muni","ISSUE_DT")</f>
        <v>11/8/2017</v>
      </c>
      <c r="I2080" t="str">
        <f>_xll.BDS("8800642F Muni","MUNI_PURPOSE_SCHED", "aggregate=y")</f>
        <v>PUBLIC IMPS. WATER UTILITY IMPS. SEWER IMPS.</v>
      </c>
      <c r="J2080">
        <f>_xll.BDP("8800642F Muni","CPN")</f>
        <v>5</v>
      </c>
      <c r="K2080" t="str">
        <f>_xll.BDP("8800642F Muni","MATURITY")</f>
        <v>8/1/2025</v>
      </c>
      <c r="L2080">
        <v>1365000</v>
      </c>
      <c r="M2080">
        <f>_xll.BDP("8800642F Muni","YIELD_ON_ISSUE_DATE")</f>
        <v>1.9000000000000001</v>
      </c>
      <c r="N2080">
        <f>_xll.BDP("8800642F Muni","YTW_SPREAD_TO_MATURITY_AT_ISSU")</f>
        <v>19.570315068493137</v>
      </c>
      <c r="O2080" t="str">
        <f>_xll.BDP("8800642F Muni","BVAL_MID_YTM")</f>
        <v>#N/A Authorization</v>
      </c>
      <c r="P2080" t="str">
        <f>_xll.BDP("8800642F Muni","MUNI_TAX_PROV")</f>
        <v>FED TAX-EXEMPT</v>
      </c>
      <c r="Q2080" t="str">
        <f>_xll.BDP("8800642F Muni","MUNI_FED_TAX")</f>
        <v>N</v>
      </c>
      <c r="R2080" t="str">
        <f>_xll.BDP("8800642F Muni","MUNI_MSRB_VOLUME")</f>
        <v>#N/A N/A</v>
      </c>
      <c r="S2080" t="str">
        <f>_xll.BDP("8800642F Muni","BB_COMPOSITE")</f>
        <v>#N/A N/A</v>
      </c>
      <c r="T2080">
        <f>_xll.BDP("8800642F Muni","LQA_LIQUIDITY_SCORE")</f>
        <v>77</v>
      </c>
    </row>
    <row r="2081" spans="1:20" x14ac:dyDescent="0.25">
      <c r="A2081" t="str">
        <f>_xll.BDP("8800642G Muni","ID_CUSIP")</f>
        <v>8800642G4</v>
      </c>
      <c r="B2081" t="s">
        <v>64</v>
      </c>
      <c r="C2081" t="str">
        <f>_xll.BDP("8800642G Muni","INSURANCE_STATUS")</f>
        <v>N</v>
      </c>
      <c r="D2081" t="str">
        <f>_xll.BDP("8800642G Muni","STATE_CODE")</f>
        <v>TX</v>
      </c>
      <c r="E2081" t="str">
        <f>_xll.BDP("8800642G Muni","COUNTY_LOCATION_ISSUER")</f>
        <v>Bell, TX</v>
      </c>
      <c r="F2081">
        <f>_xll.BDP("8800642G Muni","DUR_ADJ_MID")</f>
        <v>3.6571117370669328</v>
      </c>
      <c r="G2081">
        <f>_xll.BDP("8800642G Muni","SPREAD_AT_ISSUANCE_TO_WORST")</f>
        <v>22.955213698630118</v>
      </c>
      <c r="H2081" t="str">
        <f>_xll.BDP("8800642G Muni","ISSUE_DT")</f>
        <v>11/8/2017</v>
      </c>
      <c r="I2081" t="str">
        <f>_xll.BDS("8800642G Muni","MUNI_PURPOSE_SCHED", "aggregate=y")</f>
        <v>PUBLIC IMPS. WATER UTILITY IMPS. SEWER IMPS.</v>
      </c>
      <c r="J2081">
        <f>_xll.BDP("8800642G Muni","CPN")</f>
        <v>5</v>
      </c>
      <c r="K2081" t="str">
        <f>_xll.BDP("8800642G Muni","MATURITY")</f>
        <v>8/1/2026</v>
      </c>
      <c r="L2081">
        <v>1435000</v>
      </c>
      <c r="M2081">
        <f>_xll.BDP("8800642G Muni","YIELD_ON_ISSUE_DATE")</f>
        <v>2.0499999999999998</v>
      </c>
      <c r="N2081">
        <f>_xll.BDP("8800642G Muni","YTW_SPREAD_TO_MATURITY_AT_ISSU")</f>
        <v>22.955213698630118</v>
      </c>
      <c r="O2081" t="str">
        <f>_xll.BDP("8800642G Muni","BVAL_MID_YTM")</f>
        <v>#N/A Authorization</v>
      </c>
      <c r="P2081" t="str">
        <f>_xll.BDP("8800642G Muni","MUNI_TAX_PROV")</f>
        <v>FED TAX-EXEMPT</v>
      </c>
      <c r="Q2081" t="str">
        <f>_xll.BDP("8800642G Muni","MUNI_FED_TAX")</f>
        <v>N</v>
      </c>
      <c r="R2081">
        <f>_xll.BDP("8800642G Muni","MUNI_MSRB_VOLUME")</f>
        <v>30000</v>
      </c>
      <c r="S2081" t="str">
        <f>_xll.BDP("8800642G Muni","BB_COMPOSITE")</f>
        <v>#N/A N/A</v>
      </c>
      <c r="T2081">
        <f>_xll.BDP("8800642G Muni","LQA_LIQUIDITY_SCORE")</f>
        <v>72</v>
      </c>
    </row>
    <row r="2082" spans="1:20" x14ac:dyDescent="0.25">
      <c r="A2082" t="str">
        <f>_xll.BDP("880162ES Muni","ID_CUSIP")</f>
        <v>880162ES7</v>
      </c>
      <c r="B2082" t="s">
        <v>72</v>
      </c>
      <c r="C2082" t="str">
        <f>_xll.BDP("880162ES Muni","INSURANCE_STATUS")</f>
        <v>N</v>
      </c>
      <c r="D2082" t="str">
        <f>_xll.BDP("880162ES Muni","STATE_CODE")</f>
        <v>TX</v>
      </c>
      <c r="E2082" t="str">
        <f>_xll.BDP("880162ES Muni","COUNTY_LOCATION_ISSUER")</f>
        <v>Bell, TX</v>
      </c>
      <c r="F2082">
        <f>_xll.BDP("880162ES Muni","DUR_ADJ_MID")</f>
        <v>1.9122236534173709</v>
      </c>
      <c r="G2082">
        <f>_xll.BDP("880162ES Muni","SPREAD_AT_ISSUANCE_TO_WORST")</f>
        <v>24.670715712184844</v>
      </c>
      <c r="H2082" t="str">
        <f>_xll.BDP("880162ES Muni","ISSUE_DT")</f>
        <v>9/12/2017</v>
      </c>
      <c r="I2082" t="str">
        <f>_xll.BDS("880162ES Muni","MUNI_PURPOSE_SCHED", "aggregate=y")</f>
        <v>WATER UTILITY IMPS. SEWER IMPS.</v>
      </c>
      <c r="J2082">
        <f>_xll.BDP("880162ES Muni","CPN")</f>
        <v>5</v>
      </c>
      <c r="K2082" t="str">
        <f>_xll.BDP("880162ES Muni","MATURITY")</f>
        <v>8/1/2024</v>
      </c>
      <c r="L2082">
        <v>1385000</v>
      </c>
      <c r="M2082">
        <f>_xll.BDP("880162ES Muni","YIELD_ON_ISSUE_DATE")</f>
        <v>1.68</v>
      </c>
      <c r="N2082">
        <f>_xll.BDP("880162ES Muni","YTW_SPREAD_TO_MATURITY_AT_ISSU")</f>
        <v>24.670715712184844</v>
      </c>
      <c r="O2082" t="str">
        <f>_xll.BDP("880162ES Muni","BVAL_MID_YTM")</f>
        <v>#N/A Authorization</v>
      </c>
      <c r="P2082" t="str">
        <f>_xll.BDP("880162ES Muni","MUNI_TAX_PROV")</f>
        <v>FED TAX-EXEMPT</v>
      </c>
      <c r="Q2082" t="str">
        <f>_xll.BDP("880162ES Muni","MUNI_FED_TAX")</f>
        <v>N</v>
      </c>
      <c r="R2082">
        <f>_xll.BDP("880162ES Muni","MUNI_MSRB_VOLUME")</f>
        <v>200000</v>
      </c>
      <c r="S2082" t="str">
        <f>_xll.BDP("880162ES Muni","BB_COMPOSITE")</f>
        <v>#N/A N/A</v>
      </c>
      <c r="T2082">
        <f>_xll.BDP("880162ES Muni","LQA_LIQUIDITY_SCORE")</f>
        <v>82</v>
      </c>
    </row>
    <row r="2083" spans="1:20" x14ac:dyDescent="0.25">
      <c r="A2083" t="str">
        <f>_xll.BDP("961301A3 Muni","ID_CUSIP")</f>
        <v>961301A32</v>
      </c>
      <c r="B2083" t="s">
        <v>531</v>
      </c>
      <c r="C2083" t="str">
        <f>_xll.BDP("961301A3 Muni","INSURANCE_STATUS")</f>
        <v>N</v>
      </c>
      <c r="D2083" t="str">
        <f>_xll.BDP("961301A3 Muni","STATE_CODE")</f>
        <v>CT</v>
      </c>
      <c r="E2083" t="str">
        <f>_xll.BDP("961301A3 Muni","COUNTY_LOCATION_ISSUER")</f>
        <v>Fairfield, CT</v>
      </c>
      <c r="F2083">
        <f>_xll.BDP("961301A3 Muni","DUR_ADJ_MID")</f>
        <v>0.76959320960690458</v>
      </c>
      <c r="G2083">
        <f>_xll.BDP("961301A3 Muni","SPREAD_AT_ISSUANCE_TO_WORST")</f>
        <v>-4.2209182110347188</v>
      </c>
      <c r="H2083" t="str">
        <f>_xll.BDP("961301A3 Muni","ISSUE_DT")</f>
        <v>5/19/2017</v>
      </c>
      <c r="I2083" t="str">
        <f>_xll.BDS("961301A3 Muni","MUNI_PURPOSE_SCHED", "aggregate=y")</f>
        <v>SCHOOL IMPS. WATER UTILITY IMPS. SEWER IMPS.</v>
      </c>
      <c r="J2083">
        <f>_xll.BDP("961301A3 Muni","CPN")</f>
        <v>5</v>
      </c>
      <c r="K2083" t="str">
        <f>_xll.BDP("961301A3 Muni","MATURITY")</f>
        <v>5/15/2023</v>
      </c>
      <c r="L2083">
        <v>310000</v>
      </c>
      <c r="M2083">
        <f>_xll.BDP("961301A3 Muni","YIELD_ON_ISSUE_DATE")</f>
        <v>1.5</v>
      </c>
      <c r="N2083">
        <f>_xll.BDP("961301A3 Muni","YTW_SPREAD_TO_MATURITY_AT_ISSU")</f>
        <v>-4.2209182110347188</v>
      </c>
      <c r="O2083" t="str">
        <f>_xll.BDP("961301A3 Muni","BVAL_MID_YTM")</f>
        <v>#N/A Authorization</v>
      </c>
      <c r="P2083" t="str">
        <f>_xll.BDP("961301A3 Muni","MUNI_TAX_PROV")</f>
        <v>FED &amp; ST TAX-EXEMPT</v>
      </c>
      <c r="Q2083" t="str">
        <f>_xll.BDP("961301A3 Muni","MUNI_FED_TAX")</f>
        <v>N</v>
      </c>
      <c r="R2083" t="str">
        <f>_xll.BDP("961301A3 Muni","MUNI_MSRB_VOLUME")</f>
        <v>#N/A N/A</v>
      </c>
      <c r="S2083" t="str">
        <f>_xll.BDP("961301A3 Muni","BB_COMPOSITE")</f>
        <v>#N/A N/A</v>
      </c>
      <c r="T2083">
        <f>_xll.BDP("961301A3 Muni","LQA_LIQUIDITY_SCORE")</f>
        <v>90</v>
      </c>
    </row>
    <row r="2084" spans="1:20" x14ac:dyDescent="0.25">
      <c r="A2084" t="str">
        <f>_xll.BDP("961301A4 Muni","ID_CUSIP")</f>
        <v>961301A40</v>
      </c>
      <c r="B2084" t="s">
        <v>531</v>
      </c>
      <c r="C2084" t="str">
        <f>_xll.BDP("961301A4 Muni","INSURANCE_STATUS")</f>
        <v>N</v>
      </c>
      <c r="D2084" t="str">
        <f>_xll.BDP("961301A4 Muni","STATE_CODE")</f>
        <v>CT</v>
      </c>
      <c r="E2084" t="str">
        <f>_xll.BDP("961301A4 Muni","COUNTY_LOCATION_ISSUER")</f>
        <v>Fairfield, CT</v>
      </c>
      <c r="F2084">
        <f>_xll.BDP("961301A4 Muni","DUR_ADJ_MID")</f>
        <v>1.7036675860876322</v>
      </c>
      <c r="G2084">
        <f>_xll.BDP("961301A4 Muni","SPREAD_AT_ISSUANCE_TO_WORST")</f>
        <v>-5.5120018092245315</v>
      </c>
      <c r="H2084" t="str">
        <f>_xll.BDP("961301A4 Muni","ISSUE_DT")</f>
        <v>5/19/2017</v>
      </c>
      <c r="I2084" t="str">
        <f>_xll.BDS("961301A4 Muni","MUNI_PURPOSE_SCHED", "aggregate=y")</f>
        <v>SCHOOL IMPS. WATER UTILITY IMPS. SEWER IMPS.</v>
      </c>
      <c r="J2084">
        <f>_xll.BDP("961301A4 Muni","CPN")</f>
        <v>5</v>
      </c>
      <c r="K2084" t="str">
        <f>_xll.BDP("961301A4 Muni","MATURITY")</f>
        <v>5/15/2024</v>
      </c>
      <c r="L2084">
        <v>310000</v>
      </c>
      <c r="M2084">
        <f>_xll.BDP("961301A4 Muni","YIELD_ON_ISSUE_DATE")</f>
        <v>1.6500000000000001</v>
      </c>
      <c r="N2084">
        <f>_xll.BDP("961301A4 Muni","YTW_SPREAD_TO_MATURITY_AT_ISSU")</f>
        <v>-5.5120018092245315</v>
      </c>
      <c r="O2084" t="str">
        <f>_xll.BDP("961301A4 Muni","BVAL_MID_YTM")</f>
        <v>#N/A Authorization</v>
      </c>
      <c r="P2084" t="str">
        <f>_xll.BDP("961301A4 Muni","MUNI_TAX_PROV")</f>
        <v>FED &amp; ST TAX-EXEMPT</v>
      </c>
      <c r="Q2084" t="str">
        <f>_xll.BDP("961301A4 Muni","MUNI_FED_TAX")</f>
        <v>N</v>
      </c>
      <c r="R2084" t="str">
        <f>_xll.BDP("961301A4 Muni","MUNI_MSRB_VOLUME")</f>
        <v>#N/A N/A</v>
      </c>
      <c r="S2084" t="str">
        <f>_xll.BDP("961301A4 Muni","BB_COMPOSITE")</f>
        <v>#N/A N/A</v>
      </c>
      <c r="T2084">
        <f>_xll.BDP("961301A4 Muni","LQA_LIQUIDITY_SCORE")</f>
        <v>78</v>
      </c>
    </row>
    <row r="2085" spans="1:20" x14ac:dyDescent="0.25">
      <c r="A2085" t="str">
        <f>_xll.BDP("894758BU Muni","ID_CUSIP")</f>
        <v>894758BU4</v>
      </c>
      <c r="B2085" t="s">
        <v>532</v>
      </c>
      <c r="C2085" t="str">
        <f>_xll.BDP("894758BU Muni","INSURANCE_STATUS")</f>
        <v>Y</v>
      </c>
      <c r="D2085" t="str">
        <f>_xll.BDP("894758BU Muni","STATE_CODE")</f>
        <v>IL</v>
      </c>
      <c r="E2085" t="str">
        <f>_xll.BDP("894758BU Muni","COUNTY_LOCATION_ISSUER")</f>
        <v>Tazewell, IL</v>
      </c>
      <c r="F2085">
        <f>_xll.BDP("894758BU Muni","DUR_ADJ_MID")</f>
        <v>3.1818016848060515</v>
      </c>
      <c r="G2085">
        <f>_xll.BDP("894758BU Muni","SPREAD_AT_ISSUANCE_TO_WORST")</f>
        <v>109.32361917808223</v>
      </c>
      <c r="H2085" t="str">
        <f>_xll.BDP("894758BU Muni","ISSUE_DT")</f>
        <v>11/30/2017</v>
      </c>
      <c r="I2085" t="str">
        <f>_xll.BDS("894758BU Muni","MUNI_PURPOSE_SCHED", "aggregate=y")</f>
        <v>WATER UTILITY IMPS. SEWER IMPS.</v>
      </c>
      <c r="J2085">
        <f>_xll.BDP("894758BU Muni","CPN")</f>
        <v>4</v>
      </c>
      <c r="K2085" t="str">
        <f>_xll.BDP("894758BU Muni","MATURITY")</f>
        <v>1/1/2026</v>
      </c>
      <c r="L2085">
        <v>175000</v>
      </c>
      <c r="M2085">
        <f>_xll.BDP("894758BU Muni","YIELD_ON_ISSUE_DATE")</f>
        <v>2.95</v>
      </c>
      <c r="N2085">
        <f>_xll.BDP("894758BU Muni","YTW_SPREAD_TO_MATURITY_AT_ISSU")</f>
        <v>109.32361917808223</v>
      </c>
      <c r="O2085" t="str">
        <f>_xll.BDP("894758BU Muni","BVAL_MID_YTM")</f>
        <v>#N/A Authorization</v>
      </c>
      <c r="P2085" t="str">
        <f>_xll.BDP("894758BU Muni","MUNI_TAX_PROV")</f>
        <v>FED BQ/ST TAXABLE</v>
      </c>
      <c r="Q2085" t="str">
        <f>_xll.BDP("894758BU Muni","MUNI_FED_TAX")</f>
        <v>N</v>
      </c>
      <c r="R2085" t="str">
        <f>_xll.BDP("894758BU Muni","MUNI_MSRB_VOLUME")</f>
        <v>#N/A N/A</v>
      </c>
      <c r="S2085" t="str">
        <f>_xll.BDP("894758BU Muni","BB_COMPOSITE")</f>
        <v>#N/A N/A</v>
      </c>
      <c r="T2085">
        <f>_xll.BDP("894758BU Muni","LQA_LIQUIDITY_SCORE")</f>
        <v>68</v>
      </c>
    </row>
    <row r="2086" spans="1:20" x14ac:dyDescent="0.25">
      <c r="A2086" t="str">
        <f>_xll.BDP("894758BV Muni","ID_CUSIP")</f>
        <v>894758BV2</v>
      </c>
      <c r="B2086" t="s">
        <v>532</v>
      </c>
      <c r="C2086" t="str">
        <f>_xll.BDP("894758BV Muni","INSURANCE_STATUS")</f>
        <v>Y</v>
      </c>
      <c r="D2086" t="str">
        <f>_xll.BDP("894758BV Muni","STATE_CODE")</f>
        <v>IL</v>
      </c>
      <c r="E2086" t="str">
        <f>_xll.BDP("894758BV Muni","COUNTY_LOCATION_ISSUER")</f>
        <v>Tazewell, IL</v>
      </c>
      <c r="F2086">
        <f>_xll.BDP("894758BV Muni","DUR_ADJ_MID")</f>
        <v>4.037942659579099</v>
      </c>
      <c r="G2086">
        <f>_xll.BDP("894758BV Muni","SPREAD_AT_ISSUANCE_TO_WORST")</f>
        <v>110.39466301369862</v>
      </c>
      <c r="H2086" t="str">
        <f>_xll.BDP("894758BV Muni","ISSUE_DT")</f>
        <v>11/30/2017</v>
      </c>
      <c r="I2086" t="str">
        <f>_xll.BDS("894758BV Muni","MUNI_PURPOSE_SCHED", "aggregate=y")</f>
        <v>WATER UTILITY IMPS. SEWER IMPS.</v>
      </c>
      <c r="J2086">
        <f>_xll.BDP("894758BV Muni","CPN")</f>
        <v>4</v>
      </c>
      <c r="K2086" t="str">
        <f>_xll.BDP("894758BV Muni","MATURITY")</f>
        <v>1/1/2027</v>
      </c>
      <c r="L2086">
        <v>180000</v>
      </c>
      <c r="M2086">
        <f>_xll.BDP("894758BV Muni","YIELD_ON_ISSUE_DATE")</f>
        <v>3.0500000000000003</v>
      </c>
      <c r="N2086">
        <f>_xll.BDP("894758BV Muni","YTW_SPREAD_TO_MATURITY_AT_ISSU")</f>
        <v>110.39466301369862</v>
      </c>
      <c r="O2086" t="str">
        <f>_xll.BDP("894758BV Muni","BVAL_MID_YTM")</f>
        <v>#N/A Authorization</v>
      </c>
      <c r="P2086" t="str">
        <f>_xll.BDP("894758BV Muni","MUNI_TAX_PROV")</f>
        <v>FED BQ/ST TAXABLE</v>
      </c>
      <c r="Q2086" t="str">
        <f>_xll.BDP("894758BV Muni","MUNI_FED_TAX")</f>
        <v>N</v>
      </c>
      <c r="R2086" t="str">
        <f>_xll.BDP("894758BV Muni","MUNI_MSRB_VOLUME")</f>
        <v>#N/A N/A</v>
      </c>
      <c r="S2086" t="str">
        <f>_xll.BDP("894758BV Muni","BB_COMPOSITE")</f>
        <v>#N/A N/A</v>
      </c>
      <c r="T2086">
        <f>_xll.BDP("894758BV Muni","LQA_LIQUIDITY_SCORE")</f>
        <v>61</v>
      </c>
    </row>
    <row r="2087" spans="1:20" x14ac:dyDescent="0.25">
      <c r="A2087" t="str">
        <f>_xll.BDP("895139GL Muni","ID_CUSIP")</f>
        <v>895139GL1</v>
      </c>
      <c r="B2087" t="s">
        <v>85</v>
      </c>
      <c r="C2087" t="str">
        <f>_xll.BDP("895139GL Muni","INSURANCE_STATUS")</f>
        <v>Y</v>
      </c>
      <c r="D2087" t="str">
        <f>_xll.BDP("895139GL Muni","STATE_CODE")</f>
        <v>NJ</v>
      </c>
      <c r="E2087" t="str">
        <f>_xll.BDP("895139GL Muni","COUNTY_LOCATION_ISSUER")</f>
        <v>Mercer, NJ</v>
      </c>
      <c r="F2087">
        <f>_xll.BDP("895139GL Muni","DUR_ADJ_MID")</f>
        <v>0.60790685336187211</v>
      </c>
      <c r="G2087">
        <f>_xll.BDP("895139GL Muni","SPREAD_AT_ISSUANCE_TO_WORST")</f>
        <v>53.391092523142738</v>
      </c>
      <c r="H2087" t="str">
        <f>_xll.BDP("895139GL Muni","ISSUE_DT")</f>
        <v>6/13/2017</v>
      </c>
      <c r="I2087" t="str">
        <f>_xll.BDS("895139GL Muni","MUNI_PURPOSE_SCHED", "aggregate=y")</f>
        <v>PUBLIC IMPS. WATER UTILITY IMPS. SEWER IMPS.</v>
      </c>
      <c r="J2087">
        <f>_xll.BDP("895139GL Muni","CPN")</f>
        <v>3</v>
      </c>
      <c r="K2087" t="str">
        <f>_xll.BDP("895139GL Muni","MATURITY")</f>
        <v>3/15/2023</v>
      </c>
      <c r="L2087">
        <v>960000</v>
      </c>
      <c r="M2087">
        <f>_xll.BDP("895139GL Muni","YIELD_ON_ISSUE_DATE")</f>
        <v>1.83</v>
      </c>
      <c r="N2087">
        <f>_xll.BDP("895139GL Muni","YTW_SPREAD_TO_MATURITY_AT_ISSU")</f>
        <v>53.391092523142738</v>
      </c>
      <c r="O2087" t="str">
        <f>_xll.BDP("895139GL Muni","BVAL_MID_YTM")</f>
        <v>#N/A Authorization</v>
      </c>
      <c r="P2087" t="str">
        <f>_xll.BDP("895139GL Muni","MUNI_TAX_PROV")</f>
        <v>FED &amp; ST TAX-EXEMPT</v>
      </c>
      <c r="Q2087" t="str">
        <f>_xll.BDP("895139GL Muni","MUNI_FED_TAX")</f>
        <v>N</v>
      </c>
      <c r="R2087">
        <f>_xll.BDP("895139GL Muni","MUNI_MSRB_VOLUME")</f>
        <v>500000</v>
      </c>
      <c r="S2087" t="str">
        <f>_xll.BDP("895139GL Muni","BB_COMPOSITE")</f>
        <v>AA-</v>
      </c>
      <c r="T2087">
        <f>_xll.BDP("895139GL Muni","LQA_LIQUIDITY_SCORE")</f>
        <v>88</v>
      </c>
    </row>
    <row r="2088" spans="1:20" x14ac:dyDescent="0.25">
      <c r="A2088" t="str">
        <f>_xll.BDP("895139GQ Muni","ID_CUSIP")</f>
        <v>895139GQ0</v>
      </c>
      <c r="B2088" t="s">
        <v>85</v>
      </c>
      <c r="C2088" t="str">
        <f>_xll.BDP("895139GQ Muni","INSURANCE_STATUS")</f>
        <v>Y</v>
      </c>
      <c r="D2088" t="str">
        <f>_xll.BDP("895139GQ Muni","STATE_CODE")</f>
        <v>NJ</v>
      </c>
      <c r="E2088" t="str">
        <f>_xll.BDP("895139GQ Muni","COUNTY_LOCATION_ISSUER")</f>
        <v>Mercer, NJ</v>
      </c>
      <c r="F2088">
        <f>_xll.BDP("895139GQ Muni","DUR_ADJ_MID")</f>
        <v>4.2603509550270173</v>
      </c>
      <c r="G2088">
        <f>_xll.BDP("895139GQ Muni","SPREAD_AT_ISSUANCE_TO_WORST")</f>
        <v>76.896984961544007</v>
      </c>
      <c r="H2088" t="str">
        <f>_xll.BDP("895139GQ Muni","ISSUE_DT")</f>
        <v>6/13/2017</v>
      </c>
      <c r="I2088" t="str">
        <f>_xll.BDS("895139GQ Muni","MUNI_PURPOSE_SCHED", "aggregate=y")</f>
        <v>PUBLIC IMPS. WATER UTILITY IMPS. SEWER IMPS.</v>
      </c>
      <c r="J2088">
        <f>_xll.BDP("895139GQ Muni","CPN")</f>
        <v>3</v>
      </c>
      <c r="K2088" t="str">
        <f>_xll.BDP("895139GQ Muni","MATURITY")</f>
        <v>3/15/2027</v>
      </c>
      <c r="L2088">
        <v>1120000</v>
      </c>
      <c r="M2088">
        <f>_xll.BDP("895139GQ Muni","YIELD_ON_ISSUE_DATE")</f>
        <v>2.65</v>
      </c>
      <c r="N2088">
        <f>_xll.BDP("895139GQ Muni","YTW_SPREAD_TO_MATURITY_AT_ISSU")</f>
        <v>76.896984961544007</v>
      </c>
      <c r="O2088" t="str">
        <f>_xll.BDP("895139GQ Muni","BVAL_MID_YTM")</f>
        <v>#N/A Authorization</v>
      </c>
      <c r="P2088" t="str">
        <f>_xll.BDP("895139GQ Muni","MUNI_TAX_PROV")</f>
        <v>FED &amp; ST TAX-EXEMPT</v>
      </c>
      <c r="Q2088" t="str">
        <f>_xll.BDP("895139GQ Muni","MUNI_FED_TAX")</f>
        <v>N</v>
      </c>
      <c r="R2088" t="str">
        <f>_xll.BDP("895139GQ Muni","MUNI_MSRB_VOLUME")</f>
        <v>#N/A N/A</v>
      </c>
      <c r="S2088" t="str">
        <f>_xll.BDP("895139GQ Muni","BB_COMPOSITE")</f>
        <v>AA-</v>
      </c>
      <c r="T2088">
        <f>_xll.BDP("895139GQ Muni","LQA_LIQUIDITY_SCORE")</f>
        <v>37</v>
      </c>
    </row>
    <row r="2089" spans="1:20" x14ac:dyDescent="0.25">
      <c r="A2089" t="str">
        <f>_xll.BDP("89657PHA Muni","ID_CUSIP")</f>
        <v>89657PHA4</v>
      </c>
      <c r="B2089" t="s">
        <v>125</v>
      </c>
      <c r="C2089" t="str">
        <f>_xll.BDP("89657PHA Muni","INSURANCE_STATUS")</f>
        <v>N</v>
      </c>
      <c r="D2089" t="str">
        <f>_xll.BDP("89657PHA Muni","STATE_CODE")</f>
        <v>TX</v>
      </c>
      <c r="E2089" t="str">
        <f>_xll.BDP("89657PHA Muni","COUNTY_LOCATION_ISSUER")</f>
        <v>Tarrant, TX</v>
      </c>
      <c r="F2089">
        <f>_xll.BDP("89657PHA Muni","DUR_ADJ_MID")</f>
        <v>0.49463879690532919</v>
      </c>
      <c r="G2089">
        <f>_xll.BDP("89657PHA Muni","SPREAD_AT_ISSUANCE_TO_WORST")</f>
        <v>19.784293664605812</v>
      </c>
      <c r="H2089" t="str">
        <f>_xll.BDP("89657PHA Muni","ISSUE_DT")</f>
        <v>7/1/2017</v>
      </c>
      <c r="I2089" t="str">
        <f>_xll.BDS("89657PHA Muni","MUNI_PURPOSE_SCHED", "aggregate=y")</f>
        <v>WATER UTILITY IMPS. SEWER IMPS.</v>
      </c>
      <c r="J2089">
        <f>_xll.BDP("89657PHA Muni","CPN")</f>
        <v>5</v>
      </c>
      <c r="K2089" t="str">
        <f>_xll.BDP("89657PHA Muni","MATURITY")</f>
        <v>2/1/2023</v>
      </c>
      <c r="L2089">
        <v>750000</v>
      </c>
      <c r="M2089">
        <f>_xll.BDP("89657PHA Muni","YIELD_ON_ISSUE_DATE")</f>
        <v>1.51</v>
      </c>
      <c r="N2089">
        <f>_xll.BDP("89657PHA Muni","YTW_SPREAD_TO_MATURITY_AT_ISSU")</f>
        <v>19.784293664605812</v>
      </c>
      <c r="O2089" t="str">
        <f>_xll.BDP("89657PHA Muni","BVAL_MID_YTM")</f>
        <v>#N/A Authorization</v>
      </c>
      <c r="P2089" t="str">
        <f>_xll.BDP("89657PHA Muni","MUNI_TAX_PROV")</f>
        <v>FED TAX-EXEMPT</v>
      </c>
      <c r="Q2089" t="str">
        <f>_xll.BDP("89657PHA Muni","MUNI_FED_TAX")</f>
        <v>N</v>
      </c>
      <c r="R2089">
        <f>_xll.BDP("89657PHA Muni","MUNI_MSRB_VOLUME")</f>
        <v>30000</v>
      </c>
      <c r="S2089" t="str">
        <f>_xll.BDP("89657PHA Muni","BB_COMPOSITE")</f>
        <v>#N/A N/A</v>
      </c>
      <c r="T2089">
        <f>_xll.BDP("89657PHA Muni","LQA_LIQUIDITY_SCORE")</f>
        <v>94</v>
      </c>
    </row>
    <row r="2090" spans="1:20" x14ac:dyDescent="0.25">
      <c r="A2090" t="str">
        <f>_xll.BDP("89657PHD Muni","ID_CUSIP")</f>
        <v>89657PHD8</v>
      </c>
      <c r="B2090" t="s">
        <v>125</v>
      </c>
      <c r="C2090" t="str">
        <f>_xll.BDP("89657PHD Muni","INSURANCE_STATUS")</f>
        <v>N</v>
      </c>
      <c r="D2090" t="str">
        <f>_xll.BDP("89657PHD Muni","STATE_CODE")</f>
        <v>TX</v>
      </c>
      <c r="E2090" t="str">
        <f>_xll.BDP("89657PHD Muni","COUNTY_LOCATION_ISSUER")</f>
        <v>Tarrant, TX</v>
      </c>
      <c r="F2090">
        <f>_xll.BDP("89657PHD Muni","DUR_ADJ_MID")</f>
        <v>3.2354864267366565</v>
      </c>
      <c r="G2090">
        <f>_xll.BDP("89657PHD Muni","SPREAD_AT_ISSUANCE_TO_WORST")</f>
        <v>21.84106501862022</v>
      </c>
      <c r="H2090" t="str">
        <f>_xll.BDP("89657PHD Muni","ISSUE_DT")</f>
        <v>7/1/2017</v>
      </c>
      <c r="I2090" t="str">
        <f>_xll.BDS("89657PHD Muni","MUNI_PURPOSE_SCHED", "aggregate=y")</f>
        <v>WATER UTILITY IMPS. SEWER IMPS.</v>
      </c>
      <c r="J2090">
        <f>_xll.BDP("89657PHD Muni","CPN")</f>
        <v>5</v>
      </c>
      <c r="K2090" t="str">
        <f>_xll.BDP("89657PHD Muni","MATURITY")</f>
        <v>2/1/2026</v>
      </c>
      <c r="L2090">
        <v>885000</v>
      </c>
      <c r="M2090">
        <f>_xll.BDP("89657PHD Muni","YIELD_ON_ISSUE_DATE")</f>
        <v>1.96</v>
      </c>
      <c r="N2090">
        <f>_xll.BDP("89657PHD Muni","YTW_SPREAD_TO_MATURITY_AT_ISSU")</f>
        <v>21.84106501862022</v>
      </c>
      <c r="O2090" t="str">
        <f>_xll.BDP("89657PHD Muni","BVAL_MID_YTM")</f>
        <v>#N/A Authorization</v>
      </c>
      <c r="P2090" t="str">
        <f>_xll.BDP("89657PHD Muni","MUNI_TAX_PROV")</f>
        <v>FED TAX-EXEMPT</v>
      </c>
      <c r="Q2090" t="str">
        <f>_xll.BDP("89657PHD Muni","MUNI_FED_TAX")</f>
        <v>N</v>
      </c>
      <c r="R2090">
        <f>_xll.BDP("89657PHD Muni","MUNI_MSRB_VOLUME")</f>
        <v>130000</v>
      </c>
      <c r="S2090" t="str">
        <f>_xll.BDP("89657PHD Muni","BB_COMPOSITE")</f>
        <v>#N/A N/A</v>
      </c>
      <c r="T2090">
        <f>_xll.BDP("89657PHD Muni","LQA_LIQUIDITY_SCORE")</f>
        <v>71</v>
      </c>
    </row>
    <row r="2091" spans="1:20" x14ac:dyDescent="0.25">
      <c r="A2091" t="str">
        <f>_xll.BDP("89657PHE Muni","ID_CUSIP")</f>
        <v>89657PHE6</v>
      </c>
      <c r="B2091" t="s">
        <v>125</v>
      </c>
      <c r="C2091" t="str">
        <f>_xll.BDP("89657PHE Muni","INSURANCE_STATUS")</f>
        <v>N</v>
      </c>
      <c r="D2091" t="str">
        <f>_xll.BDP("89657PHE Muni","STATE_CODE")</f>
        <v>TX</v>
      </c>
      <c r="E2091" t="str">
        <f>_xll.BDP("89657PHE Muni","COUNTY_LOCATION_ISSUER")</f>
        <v>Tarrant, TX</v>
      </c>
      <c r="F2091">
        <f>_xll.BDP("89657PHE Muni","DUR_ADJ_MID")</f>
        <v>4.0724533210521603</v>
      </c>
      <c r="G2091">
        <f>_xll.BDP("89657PHE Muni","SPREAD_AT_ISSUANCE_TO_WORST")</f>
        <v>24.025939469480416</v>
      </c>
      <c r="H2091" t="str">
        <f>_xll.BDP("89657PHE Muni","ISSUE_DT")</f>
        <v>7/1/2017</v>
      </c>
      <c r="I2091" t="str">
        <f>_xll.BDS("89657PHE Muni","MUNI_PURPOSE_SCHED", "aggregate=y")</f>
        <v>WATER UTILITY IMPS. SEWER IMPS.</v>
      </c>
      <c r="J2091">
        <f>_xll.BDP("89657PHE Muni","CPN")</f>
        <v>5</v>
      </c>
      <c r="K2091" t="str">
        <f>_xll.BDP("89657PHE Muni","MATURITY")</f>
        <v>2/1/2027</v>
      </c>
      <c r="L2091">
        <v>930000</v>
      </c>
      <c r="M2091">
        <f>_xll.BDP("89657PHE Muni","YIELD_ON_ISSUE_DATE")</f>
        <v>2.1</v>
      </c>
      <c r="N2091">
        <f>_xll.BDP("89657PHE Muni","YTW_SPREAD_TO_MATURITY_AT_ISSU")</f>
        <v>24.025939469480416</v>
      </c>
      <c r="O2091" t="str">
        <f>_xll.BDP("89657PHE Muni","BVAL_MID_YTM")</f>
        <v>#N/A Authorization</v>
      </c>
      <c r="P2091" t="str">
        <f>_xll.BDP("89657PHE Muni","MUNI_TAX_PROV")</f>
        <v>FED TAX-EXEMPT</v>
      </c>
      <c r="Q2091" t="str">
        <f>_xll.BDP("89657PHE Muni","MUNI_FED_TAX")</f>
        <v>N</v>
      </c>
      <c r="R2091" t="str">
        <f>_xll.BDP("89657PHE Muni","MUNI_MSRB_VOLUME")</f>
        <v>#N/A N/A</v>
      </c>
      <c r="S2091" t="str">
        <f>_xll.BDP("89657PHE Muni","BB_COMPOSITE")</f>
        <v>#N/A N/A</v>
      </c>
      <c r="T2091">
        <f>_xll.BDP("89657PHE Muni","LQA_LIQUIDITY_SCORE")</f>
        <v>64</v>
      </c>
    </row>
    <row r="2092" spans="1:20" x14ac:dyDescent="0.25">
      <c r="A2092" t="str">
        <f>_xll.BDP("89658HUU Muni","ID_CUSIP")</f>
        <v>89658HUU2</v>
      </c>
      <c r="B2092" t="s">
        <v>33</v>
      </c>
      <c r="C2092" t="str">
        <f>_xll.BDP("89658HUU Muni","INSURANCE_STATUS")</f>
        <v>N</v>
      </c>
      <c r="D2092" t="str">
        <f>_xll.BDP("89658HUU Muni","STATE_CODE")</f>
        <v>TX</v>
      </c>
      <c r="E2092" t="str">
        <f>_xll.BDP("89658HUU Muni","COUNTY_LOCATION_ISSUER")</f>
        <v>Tarrant, TX</v>
      </c>
      <c r="F2092">
        <f>_xll.BDP("89658HUU Muni","DUR_ADJ_MID")</f>
        <v>1.9125431300167768</v>
      </c>
      <c r="G2092">
        <f>_xll.BDP("89658HUU Muni","SPREAD_AT_ISSUANCE_TO_WORST")</f>
        <v>11.156373819358167</v>
      </c>
      <c r="H2092" t="str">
        <f>_xll.BDP("89658HUU Muni","ISSUE_DT")</f>
        <v>5/1/2017</v>
      </c>
      <c r="I2092" t="str">
        <f>_xll.BDS("89658HUU Muni","MUNI_PURPOSE_SCHED", "aggregate=y")</f>
        <v>ADVANCE REFUNDING WATER UTILITY IMPS. SEWER IMPS.</v>
      </c>
      <c r="J2092">
        <f>_xll.BDP("89658HUU Muni","CPN")</f>
        <v>5</v>
      </c>
      <c r="K2092" t="str">
        <f>_xll.BDP("89658HUU Muni","MATURITY")</f>
        <v>8/1/2024</v>
      </c>
      <c r="L2092">
        <v>5750000</v>
      </c>
      <c r="M2092">
        <f>_xll.BDP("89658HUU Muni","YIELD_ON_ISSUE_DATE")</f>
        <v>1.8900000000000001</v>
      </c>
      <c r="N2092">
        <f>_xll.BDP("89658HUU Muni","YTW_SPREAD_TO_MATURITY_AT_ISSU")</f>
        <v>11.156373819358167</v>
      </c>
      <c r="O2092" t="str">
        <f>_xll.BDP("89658HUU Muni","BVAL_MID_YTM")</f>
        <v>#N/A Authorization</v>
      </c>
      <c r="P2092" t="str">
        <f>_xll.BDP("89658HUU Muni","MUNI_TAX_PROV")</f>
        <v>FED TAX-EXEMPT</v>
      </c>
      <c r="Q2092" t="str">
        <f>_xll.BDP("89658HUU Muni","MUNI_FED_TAX")</f>
        <v>N</v>
      </c>
      <c r="R2092">
        <f>_xll.BDP("89658HUU Muni","MUNI_MSRB_VOLUME")</f>
        <v>75000</v>
      </c>
      <c r="S2092" t="str">
        <f>_xll.BDP("89658HUU Muni","BB_COMPOSITE")</f>
        <v>AAA</v>
      </c>
      <c r="T2092">
        <f>_xll.BDP("89658HUU Muni","LQA_LIQUIDITY_SCORE")</f>
        <v>88</v>
      </c>
    </row>
    <row r="2093" spans="1:20" x14ac:dyDescent="0.25">
      <c r="A2093" t="str">
        <f>_xll.BDP("89658HUX Muni","ID_CUSIP")</f>
        <v>89658HUX6</v>
      </c>
      <c r="B2093" t="s">
        <v>33</v>
      </c>
      <c r="C2093" t="str">
        <f>_xll.BDP("89658HUX Muni","INSURANCE_STATUS")</f>
        <v>N</v>
      </c>
      <c r="D2093" t="str">
        <f>_xll.BDP("89658HUX Muni","STATE_CODE")</f>
        <v>TX</v>
      </c>
      <c r="E2093" t="str">
        <f>_xll.BDP("89658HUX Muni","COUNTY_LOCATION_ISSUER")</f>
        <v>Tarrant, TX</v>
      </c>
      <c r="F2093">
        <f>_xll.BDP("89658HUX Muni","DUR_ADJ_MID")</f>
        <v>3.7677080498598157</v>
      </c>
      <c r="G2093">
        <f>_xll.BDP("89658HUX Muni","SPREAD_AT_ISSUANCE_TO_WORST")</f>
        <v>39.20897127411984</v>
      </c>
      <c r="H2093" t="str">
        <f>_xll.BDP("89658HUX Muni","ISSUE_DT")</f>
        <v>5/1/2017</v>
      </c>
      <c r="I2093" t="str">
        <f>_xll.BDS("89658HUX Muni","MUNI_PURPOSE_SCHED", "aggregate=y")</f>
        <v>ADVANCE REFUNDING WATER UTILITY IMPS. SEWER IMPS.</v>
      </c>
      <c r="J2093">
        <f>_xll.BDP("89658HUX Muni","CPN")</f>
        <v>3</v>
      </c>
      <c r="K2093" t="str">
        <f>_xll.BDP("89658HUX Muni","MATURITY")</f>
        <v>8/1/2026</v>
      </c>
      <c r="L2093">
        <v>14755000</v>
      </c>
      <c r="M2093">
        <f>_xll.BDP("89658HUX Muni","YIELD_ON_ISSUE_DATE")</f>
        <v>2.4700000000000002</v>
      </c>
      <c r="N2093">
        <f>_xll.BDP("89658HUX Muni","YTW_SPREAD_TO_MATURITY_AT_ISSU")</f>
        <v>39.20897127411984</v>
      </c>
      <c r="O2093" t="str">
        <f>_xll.BDP("89658HUX Muni","BVAL_MID_YTM")</f>
        <v>#N/A Authorization</v>
      </c>
      <c r="P2093" t="str">
        <f>_xll.BDP("89658HUX Muni","MUNI_TAX_PROV")</f>
        <v>FED TAX-EXEMPT</v>
      </c>
      <c r="Q2093" t="str">
        <f>_xll.BDP("89658HUX Muni","MUNI_FED_TAX")</f>
        <v>N</v>
      </c>
      <c r="R2093">
        <f>_xll.BDP("89658HUX Muni","MUNI_MSRB_VOLUME")</f>
        <v>150000</v>
      </c>
      <c r="S2093" t="str">
        <f>_xll.BDP("89658HUX Muni","BB_COMPOSITE")</f>
        <v>AAA</v>
      </c>
      <c r="T2093">
        <f>_xll.BDP("89658HUX Muni","LQA_LIQUIDITY_SCORE")</f>
        <v>66</v>
      </c>
    </row>
    <row r="2094" spans="1:20" x14ac:dyDescent="0.25">
      <c r="A2094" t="str">
        <f>_xll.BDP("898797ED Muni","ID_CUSIP")</f>
        <v>898797ED3</v>
      </c>
      <c r="B2094" t="s">
        <v>30</v>
      </c>
      <c r="C2094" t="str">
        <f>_xll.BDP("898797ED Muni","INSURANCE_STATUS")</f>
        <v>N</v>
      </c>
      <c r="D2094" t="str">
        <f>_xll.BDP("898797ED Muni","STATE_CODE")</f>
        <v>AZ</v>
      </c>
      <c r="E2094" t="str">
        <f>_xll.BDP("898797ED Muni","COUNTY_LOCATION_ISSUER")</f>
        <v>Pima, AZ</v>
      </c>
      <c r="F2094">
        <f>_xll.BDP("898797ED Muni","DUR_ADJ_MID")</f>
        <v>2.7233028178587841</v>
      </c>
      <c r="G2094">
        <f>_xll.BDP("898797ED Muni","SPREAD_AT_ISSUANCE_TO_WORST")</f>
        <v>10.375350756074431</v>
      </c>
      <c r="H2094" t="str">
        <f>_xll.BDP("898797ED Muni","ISSUE_DT")</f>
        <v>6/28/2017</v>
      </c>
      <c r="I2094" t="str">
        <f>_xll.BDS("898797ED Muni","MUNI_PURPOSE_SCHED", "aggregate=y")</f>
        <v>ADVANCE REFUNDING CURRENT REFUNDING WATER UTILITY IMPS.</v>
      </c>
      <c r="J2094">
        <f>_xll.BDP("898797ED Muni","CPN")</f>
        <v>5</v>
      </c>
      <c r="K2094" t="str">
        <f>_xll.BDP("898797ED Muni","MATURITY")</f>
        <v>7/1/2025</v>
      </c>
      <c r="L2094">
        <v>7220000</v>
      </c>
      <c r="M2094">
        <f>_xll.BDP("898797ED Muni","YIELD_ON_ISSUE_DATE")</f>
        <v>1.75</v>
      </c>
      <c r="N2094">
        <f>_xll.BDP("898797ED Muni","YTW_SPREAD_TO_MATURITY_AT_ISSU")</f>
        <v>10.375350756074431</v>
      </c>
      <c r="O2094" t="str">
        <f>_xll.BDP("898797ED Muni","BVAL_MID_YTM")</f>
        <v>#N/A Authorization</v>
      </c>
      <c r="P2094" t="str">
        <f>_xll.BDP("898797ED Muni","MUNI_TAX_PROV")</f>
        <v>FED &amp; ST TAX-EXEMPT</v>
      </c>
      <c r="Q2094" t="str">
        <f>_xll.BDP("898797ED Muni","MUNI_FED_TAX")</f>
        <v>N</v>
      </c>
      <c r="R2094">
        <f>_xll.BDP("898797ED Muni","MUNI_MSRB_VOLUME")</f>
        <v>900000</v>
      </c>
      <c r="S2094" t="str">
        <f>_xll.BDP("898797ED Muni","BB_COMPOSITE")</f>
        <v>AA</v>
      </c>
      <c r="T2094">
        <f>_xll.BDP("898797ED Muni","LQA_LIQUIDITY_SCORE")</f>
        <v>84</v>
      </c>
    </row>
    <row r="2095" spans="1:20" x14ac:dyDescent="0.25">
      <c r="A2095" t="str">
        <f>_xll.BDP("898797EF Muni","ID_CUSIP")</f>
        <v>898797EF8</v>
      </c>
      <c r="B2095" t="s">
        <v>30</v>
      </c>
      <c r="C2095" t="str">
        <f>_xll.BDP("898797EF Muni","INSURANCE_STATUS")</f>
        <v>N</v>
      </c>
      <c r="D2095" t="str">
        <f>_xll.BDP("898797EF Muni","STATE_CODE")</f>
        <v>AZ</v>
      </c>
      <c r="E2095" t="str">
        <f>_xll.BDP("898797EF Muni","COUNTY_LOCATION_ISSUER")</f>
        <v>Pima, AZ</v>
      </c>
      <c r="F2095">
        <f>_xll.BDP("898797EF Muni","DUR_ADJ_MID")</f>
        <v>4.4015895744978355</v>
      </c>
      <c r="G2095">
        <f>_xll.BDP("898797EF Muni","SPREAD_AT_ISSUANCE_TO_WORST")</f>
        <v>17.294548433560642</v>
      </c>
      <c r="H2095" t="str">
        <f>_xll.BDP("898797EF Muni","ISSUE_DT")</f>
        <v>6/28/2017</v>
      </c>
      <c r="I2095" t="str">
        <f>_xll.BDS("898797EF Muni","MUNI_PURPOSE_SCHED", "aggregate=y")</f>
        <v>ADVANCE REFUNDING CURRENT REFUNDING WATER UTILITY IMPS.</v>
      </c>
      <c r="J2095">
        <f>_xll.BDP("898797EF Muni","CPN")</f>
        <v>5</v>
      </c>
      <c r="K2095" t="str">
        <f>_xll.BDP("898797EF Muni","MATURITY")</f>
        <v>7/1/2027</v>
      </c>
      <c r="L2095">
        <v>7955000</v>
      </c>
      <c r="M2095">
        <f>_xll.BDP("898797EF Muni","YIELD_ON_ISSUE_DATE")</f>
        <v>2.06</v>
      </c>
      <c r="N2095">
        <f>_xll.BDP("898797EF Muni","YTW_SPREAD_TO_MATURITY_AT_ISSU")</f>
        <v>17.294548433560642</v>
      </c>
      <c r="O2095" t="str">
        <f>_xll.BDP("898797EF Muni","BVAL_MID_YTM")</f>
        <v>#N/A Authorization</v>
      </c>
      <c r="P2095" t="str">
        <f>_xll.BDP("898797EF Muni","MUNI_TAX_PROV")</f>
        <v>FED &amp; ST TAX-EXEMPT</v>
      </c>
      <c r="Q2095" t="str">
        <f>_xll.BDP("898797EF Muni","MUNI_FED_TAX")</f>
        <v>N</v>
      </c>
      <c r="R2095">
        <f>_xll.BDP("898797EF Muni","MUNI_MSRB_VOLUME")</f>
        <v>20000</v>
      </c>
      <c r="S2095" t="str">
        <f>_xll.BDP("898797EF Muni","BB_COMPOSITE")</f>
        <v>AA</v>
      </c>
      <c r="T2095">
        <f>_xll.BDP("898797EF Muni","LQA_LIQUIDITY_SCORE")</f>
        <v>67</v>
      </c>
    </row>
    <row r="2096" spans="1:20" x14ac:dyDescent="0.25">
      <c r="A2096" t="str">
        <f>_xll.BDP("899656QQ Muni","ID_CUSIP")</f>
        <v>899656QQ8</v>
      </c>
      <c r="B2096" t="s">
        <v>58</v>
      </c>
      <c r="C2096" t="str">
        <f>_xll.BDP("899656QQ Muni","INSURANCE_STATUS")</f>
        <v>N</v>
      </c>
      <c r="D2096" t="str">
        <f>_xll.BDP("899656QQ Muni","STATE_CODE")</f>
        <v>OK</v>
      </c>
      <c r="E2096" t="str">
        <f>_xll.BDP("899656QQ Muni","COUNTY_LOCATION_ISSUER")</f>
        <v>Tulsa, OK</v>
      </c>
      <c r="F2096">
        <f>_xll.BDP("899656QQ Muni","DUR_ADJ_MID")</f>
        <v>1.4637718316304451</v>
      </c>
      <c r="G2096">
        <f>_xll.BDP("899656QQ Muni","SPREAD_AT_ISSUANCE_TO_WORST")</f>
        <v>24.608653975276852</v>
      </c>
      <c r="H2096" t="str">
        <f>_xll.BDP("899656QQ Muni","ISSUE_DT")</f>
        <v>2/3/2017</v>
      </c>
      <c r="I2096" t="str">
        <f>_xll.BDS("899656QQ Muni","MUNI_PURPOSE_SCHED", "aggregate=y")</f>
        <v>CURRENT REFUNDING WATER UTILITY IMPS. SEWER IMPS.</v>
      </c>
      <c r="J2096">
        <f>_xll.BDP("899656QQ Muni","CPN")</f>
        <v>3</v>
      </c>
      <c r="K2096" t="str">
        <f>_xll.BDP("899656QQ Muni","MATURITY")</f>
        <v>2/1/2024</v>
      </c>
      <c r="L2096">
        <v>1965000</v>
      </c>
      <c r="M2096">
        <f>_xll.BDP("899656QQ Muni","YIELD_ON_ISSUE_DATE")</f>
        <v>2.2200000000000002</v>
      </c>
      <c r="N2096">
        <f>_xll.BDP("899656QQ Muni","YTW_SPREAD_TO_MATURITY_AT_ISSU")</f>
        <v>24.608653975276852</v>
      </c>
      <c r="O2096" t="str">
        <f>_xll.BDP("899656QQ Muni","BVAL_MID_YTM")</f>
        <v>#N/A Authorization</v>
      </c>
      <c r="P2096" t="str">
        <f>_xll.BDP("899656QQ Muni","MUNI_TAX_PROV")</f>
        <v>FED &amp; ST TAX-EXEMPT</v>
      </c>
      <c r="Q2096" t="str">
        <f>_xll.BDP("899656QQ Muni","MUNI_FED_TAX")</f>
        <v>N</v>
      </c>
      <c r="R2096" t="str">
        <f>_xll.BDP("899656QQ Muni","MUNI_MSRB_VOLUME")</f>
        <v>#N/A N/A</v>
      </c>
      <c r="S2096" t="str">
        <f>_xll.BDP("899656QQ Muni","BB_COMPOSITE")</f>
        <v>AA+</v>
      </c>
      <c r="T2096">
        <f>_xll.BDP("899656QQ Muni","LQA_LIQUIDITY_SCORE")</f>
        <v>70</v>
      </c>
    </row>
    <row r="2097" spans="1:20" x14ac:dyDescent="0.25">
      <c r="A2097" t="str">
        <f>_xll.BDP("900574BN Muni","ID_CUSIP")</f>
        <v>900574BN3</v>
      </c>
      <c r="B2097" t="s">
        <v>524</v>
      </c>
      <c r="C2097" t="str">
        <f>_xll.BDP("900574BN Muni","INSURANCE_STATUS")</f>
        <v>Y</v>
      </c>
      <c r="D2097" t="str">
        <f>_xll.BDP("900574BN Muni","STATE_CODE")</f>
        <v>FL</v>
      </c>
      <c r="E2097" t="str">
        <f>_xll.BDP("900574BN Muni","COUNTY_LOCATION_ISSUER")</f>
        <v>Broward, FL</v>
      </c>
      <c r="F2097">
        <f>_xll.BDP("900574BN Muni","DUR_ADJ_MID")</f>
        <v>1.6982590434915619</v>
      </c>
      <c r="G2097">
        <f>_xll.BDP("900574BN Muni","SPREAD_AT_ISSUANCE_TO_WORST")</f>
        <v>86.261397260273981</v>
      </c>
      <c r="H2097" t="str">
        <f>_xll.BDP("900574BN Muni","ISSUE_DT")</f>
        <v>11/29/2017</v>
      </c>
      <c r="I2097" t="str">
        <f>_xll.BDS("900574BN Muni","MUNI_PURPOSE_SCHED", "aggregate=y")</f>
        <v>ECONOMIC IMPTS. WATER UTILITY IMPS.</v>
      </c>
      <c r="J2097">
        <f>_xll.BDP("900574BN Muni","CPN")</f>
        <v>2.25</v>
      </c>
      <c r="K2097" t="str">
        <f>_xll.BDP("900574BN Muni","MATURITY")</f>
        <v>5/1/2024</v>
      </c>
      <c r="L2097">
        <v>85000</v>
      </c>
      <c r="M2097">
        <f>_xll.BDP("900574BN Muni","YIELD_ON_ISSUE_DATE")</f>
        <v>2.46</v>
      </c>
      <c r="N2097">
        <f>_xll.BDP("900574BN Muni","YTW_SPREAD_TO_MATURITY_AT_ISSU")</f>
        <v>86.261397260273981</v>
      </c>
      <c r="O2097" t="str">
        <f>_xll.BDP("900574BN Muni","BVAL_MID_YTM")</f>
        <v>#N/A Authorization</v>
      </c>
      <c r="P2097" t="str">
        <f>_xll.BDP("900574BN Muni","MUNI_TAX_PROV")</f>
        <v>FED BQ/ST TAX-EXEMPT</v>
      </c>
      <c r="Q2097" t="str">
        <f>_xll.BDP("900574BN Muni","MUNI_FED_TAX")</f>
        <v>N</v>
      </c>
      <c r="R2097" t="str">
        <f>_xll.BDP("900574BN Muni","MUNI_MSRB_VOLUME")</f>
        <v>#N/A N/A</v>
      </c>
      <c r="S2097" t="str">
        <f>_xll.BDP("900574BN Muni","BB_COMPOSITE")</f>
        <v>AA-</v>
      </c>
      <c r="T2097">
        <f>_xll.BDP("900574BN Muni","LQA_LIQUIDITY_SCORE")</f>
        <v>70</v>
      </c>
    </row>
    <row r="2098" spans="1:20" x14ac:dyDescent="0.25">
      <c r="A2098" t="str">
        <f>_xll.BDP("900574BP Muni","ID_CUSIP")</f>
        <v>900574BP8</v>
      </c>
      <c r="B2098" t="s">
        <v>524</v>
      </c>
      <c r="C2098" t="str">
        <f>_xll.BDP("900574BP Muni","INSURANCE_STATUS")</f>
        <v>Y</v>
      </c>
      <c r="D2098" t="str">
        <f>_xll.BDP("900574BP Muni","STATE_CODE")</f>
        <v>FL</v>
      </c>
      <c r="E2098" t="str">
        <f>_xll.BDP("900574BP Muni","COUNTY_LOCATION_ISSUER")</f>
        <v>Broward, FL</v>
      </c>
      <c r="F2098">
        <f>_xll.BDP("900574BP Muni","DUR_ADJ_MID")</f>
        <v>2.630362439175844</v>
      </c>
      <c r="G2098">
        <f>_xll.BDP("900574BP Muni","SPREAD_AT_ISSUANCE_TO_WORST")</f>
        <v>90.614969863013698</v>
      </c>
      <c r="H2098" t="str">
        <f>_xll.BDP("900574BP Muni","ISSUE_DT")</f>
        <v>11/29/2017</v>
      </c>
      <c r="I2098" t="str">
        <f>_xll.BDS("900574BP Muni","MUNI_PURPOSE_SCHED", "aggregate=y")</f>
        <v>ECONOMIC IMPTS. WATER UTILITY IMPS.</v>
      </c>
      <c r="J2098">
        <f>_xll.BDP("900574BP Muni","CPN")</f>
        <v>2.5</v>
      </c>
      <c r="K2098" t="str">
        <f>_xll.BDP("900574BP Muni","MATURITY")</f>
        <v>5/1/2025</v>
      </c>
      <c r="L2098">
        <v>90000</v>
      </c>
      <c r="M2098">
        <f>_xll.BDP("900574BP Muni","YIELD_ON_ISSUE_DATE")</f>
        <v>2.61</v>
      </c>
      <c r="N2098">
        <f>_xll.BDP("900574BP Muni","YTW_SPREAD_TO_MATURITY_AT_ISSU")</f>
        <v>90.614969863013698</v>
      </c>
      <c r="O2098" t="str">
        <f>_xll.BDP("900574BP Muni","BVAL_MID_YTM")</f>
        <v>#N/A Authorization</v>
      </c>
      <c r="P2098" t="str">
        <f>_xll.BDP("900574BP Muni","MUNI_TAX_PROV")</f>
        <v>FED BQ/ST TAX-EXEMPT</v>
      </c>
      <c r="Q2098" t="str">
        <f>_xll.BDP("900574BP Muni","MUNI_FED_TAX")</f>
        <v>N</v>
      </c>
      <c r="R2098" t="str">
        <f>_xll.BDP("900574BP Muni","MUNI_MSRB_VOLUME")</f>
        <v>#N/A N/A</v>
      </c>
      <c r="S2098" t="str">
        <f>_xll.BDP("900574BP Muni","BB_COMPOSITE")</f>
        <v>AA-</v>
      </c>
      <c r="T2098">
        <f>_xll.BDP("900574BP Muni","LQA_LIQUIDITY_SCORE")</f>
        <v>58</v>
      </c>
    </row>
    <row r="2099" spans="1:20" x14ac:dyDescent="0.25">
      <c r="A2099" t="str">
        <f>_xll.BDP("900574BR Muni","ID_CUSIP")</f>
        <v>900574BR4</v>
      </c>
      <c r="B2099" t="s">
        <v>524</v>
      </c>
      <c r="C2099" t="str">
        <f>_xll.BDP("900574BR Muni","INSURANCE_STATUS")</f>
        <v>Y</v>
      </c>
      <c r="D2099" t="str">
        <f>_xll.BDP("900574BR Muni","STATE_CODE")</f>
        <v>FL</v>
      </c>
      <c r="E2099" t="str">
        <f>_xll.BDP("900574BR Muni","COUNTY_LOCATION_ISSUER")</f>
        <v>Broward, FL</v>
      </c>
      <c r="F2099">
        <f>_xll.BDP("900574BR Muni","DUR_ADJ_MID")</f>
        <v>4.4095574624507083</v>
      </c>
      <c r="G2099">
        <f>_xll.BDP("900574BR Muni","SPREAD_AT_ISSUANCE_TO_WORST")</f>
        <v>102.35936438356165</v>
      </c>
      <c r="H2099" t="str">
        <f>_xll.BDP("900574BR Muni","ISSUE_DT")</f>
        <v>11/29/2017</v>
      </c>
      <c r="I2099" t="str">
        <f>_xll.BDS("900574BR Muni","MUNI_PURPOSE_SCHED", "aggregate=y")</f>
        <v>ECONOMIC IMPTS. WATER UTILITY IMPS.</v>
      </c>
      <c r="J2099">
        <f>_xll.BDP("900574BR Muni","CPN")</f>
        <v>2.75</v>
      </c>
      <c r="K2099" t="str">
        <f>_xll.BDP("900574BR Muni","MATURITY")</f>
        <v>5/1/2027</v>
      </c>
      <c r="L2099">
        <v>95000</v>
      </c>
      <c r="M2099">
        <f>_xll.BDP("900574BR Muni","YIELD_ON_ISSUE_DATE")</f>
        <v>2.91</v>
      </c>
      <c r="N2099">
        <f>_xll.BDP("900574BR Muni","YTW_SPREAD_TO_MATURITY_AT_ISSU")</f>
        <v>102.35936438356165</v>
      </c>
      <c r="O2099" t="str">
        <f>_xll.BDP("900574BR Muni","BVAL_MID_YTM")</f>
        <v>#N/A Authorization</v>
      </c>
      <c r="P2099" t="str">
        <f>_xll.BDP("900574BR Muni","MUNI_TAX_PROV")</f>
        <v>FED BQ/ST TAX-EXEMPT</v>
      </c>
      <c r="Q2099" t="str">
        <f>_xll.BDP("900574BR Muni","MUNI_FED_TAX")</f>
        <v>N</v>
      </c>
      <c r="R2099" t="str">
        <f>_xll.BDP("900574BR Muni","MUNI_MSRB_VOLUME")</f>
        <v>#N/A N/A</v>
      </c>
      <c r="S2099" t="str">
        <f>_xll.BDP("900574BR Muni","BB_COMPOSITE")</f>
        <v>AA-</v>
      </c>
      <c r="T2099">
        <f>_xll.BDP("900574BR Muni","LQA_LIQUIDITY_SCORE")</f>
        <v>41</v>
      </c>
    </row>
    <row r="2100" spans="1:20" x14ac:dyDescent="0.25">
      <c r="A2100" t="str">
        <f>_xll.BDP("98618FAF Muni","ID_CUSIP")</f>
        <v>98618FAF1</v>
      </c>
      <c r="B2100" t="s">
        <v>29</v>
      </c>
      <c r="C2100" t="str">
        <f>_xll.BDP("98618FAF Muni","INSURANCE_STATUS")</f>
        <v>N</v>
      </c>
      <c r="D2100" t="str">
        <f>_xll.BDP("98618FAF Muni","STATE_CODE")</f>
        <v>CA</v>
      </c>
      <c r="E2100" t="str">
        <f>_xll.BDP("98618FAF Muni","COUNTY_LOCATION_ISSUER")</f>
        <v>Orange, CA</v>
      </c>
      <c r="F2100">
        <f>_xll.BDP("98618FAF Muni","DUR_ADJ_MID")</f>
        <v>0.163526663398052</v>
      </c>
      <c r="G2100">
        <f>_xll.BDP("98618FAF Muni","SPREAD_AT_ISSUANCE_TO_WORST")</f>
        <v>3.8709936154577518</v>
      </c>
      <c r="H2100" t="str">
        <f>_xll.BDP("98618FAF Muni","ISSUE_DT")</f>
        <v>5/11/2017</v>
      </c>
      <c r="I2100" t="str">
        <f>_xll.BDS("98618FAF Muni","MUNI_PURPOSE_SCHED", "aggregate=y")</f>
        <v>ADVANCE REFUNDING WATER UTILITY IMPS.</v>
      </c>
      <c r="J2100">
        <f>_xll.BDP("98618FAF Muni","CPN")</f>
        <v>5</v>
      </c>
      <c r="K2100" t="str">
        <f>_xll.BDP("98618FAF Muni","MATURITY")</f>
        <v>10/1/2022</v>
      </c>
      <c r="L2100">
        <v>990000</v>
      </c>
      <c r="M2100">
        <f>_xll.BDP("98618FAF Muni","YIELD_ON_ISSUE_DATE")</f>
        <v>1.5</v>
      </c>
      <c r="N2100">
        <f>_xll.BDP("98618FAF Muni","YTW_SPREAD_TO_MATURITY_AT_ISSU")</f>
        <v>3.8709936154577518</v>
      </c>
      <c r="O2100" t="str">
        <f>_xll.BDP("98618FAF Muni","BVAL_MID_YTM")</f>
        <v>#N/A Authorization</v>
      </c>
      <c r="P2100" t="str">
        <f>_xll.BDP("98618FAF Muni","MUNI_TAX_PROV")</f>
        <v>FED &amp; ST TAX-EXEMPT</v>
      </c>
      <c r="Q2100" t="str">
        <f>_xll.BDP("98618FAF Muni","MUNI_FED_TAX")</f>
        <v>N</v>
      </c>
      <c r="R2100">
        <f>_xll.BDP("98618FAF Muni","MUNI_MSRB_VOLUME")</f>
        <v>25000</v>
      </c>
      <c r="S2100" t="str">
        <f>_xll.BDP("98618FAF Muni","BB_COMPOSITE")</f>
        <v>AA+</v>
      </c>
      <c r="T2100">
        <f>_xll.BDP("98618FAF Muni","LQA_LIQUIDITY_SCORE")</f>
        <v>89</v>
      </c>
    </row>
    <row r="2101" spans="1:20" x14ac:dyDescent="0.25">
      <c r="A2101" t="str">
        <f>_xll.BDP("98618FAK Muni","ID_CUSIP")</f>
        <v>98618FAK0</v>
      </c>
      <c r="B2101" t="s">
        <v>29</v>
      </c>
      <c r="C2101" t="str">
        <f>_xll.BDP("98618FAK Muni","INSURANCE_STATUS")</f>
        <v>N</v>
      </c>
      <c r="D2101" t="str">
        <f>_xll.BDP("98618FAK Muni","STATE_CODE")</f>
        <v>CA</v>
      </c>
      <c r="E2101" t="str">
        <f>_xll.BDP("98618FAK Muni","COUNTY_LOCATION_ISSUER")</f>
        <v>Orange, CA</v>
      </c>
      <c r="F2101">
        <f>_xll.BDP("98618FAK Muni","DUR_ADJ_MID")</f>
        <v>3.7350734855358869</v>
      </c>
      <c r="G2101">
        <f>_xll.BDP("98618FAK Muni","SPREAD_AT_ISSUANCE_TO_WORST")</f>
        <v>6.0172673060861381</v>
      </c>
      <c r="H2101" t="str">
        <f>_xll.BDP("98618FAK Muni","ISSUE_DT")</f>
        <v>5/11/2017</v>
      </c>
      <c r="I2101" t="str">
        <f>_xll.BDS("98618FAK Muni","MUNI_PURPOSE_SCHED", "aggregate=y")</f>
        <v>ADVANCE REFUNDING WATER UTILITY IMPS.</v>
      </c>
      <c r="J2101">
        <f>_xll.BDP("98618FAK Muni","CPN")</f>
        <v>5</v>
      </c>
      <c r="K2101" t="str">
        <f>_xll.BDP("98618FAK Muni","MATURITY")</f>
        <v>10/1/2026</v>
      </c>
      <c r="L2101">
        <v>1205000</v>
      </c>
      <c r="M2101">
        <f>_xll.BDP("98618FAK Muni","YIELD_ON_ISSUE_DATE")</f>
        <v>2.13</v>
      </c>
      <c r="N2101">
        <f>_xll.BDP("98618FAK Muni","YTW_SPREAD_TO_MATURITY_AT_ISSU")</f>
        <v>6.0172673060861381</v>
      </c>
      <c r="O2101" t="str">
        <f>_xll.BDP("98618FAK Muni","BVAL_MID_YTM")</f>
        <v>#N/A Authorization</v>
      </c>
      <c r="P2101" t="str">
        <f>_xll.BDP("98618FAK Muni","MUNI_TAX_PROV")</f>
        <v>FED &amp; ST TAX-EXEMPT</v>
      </c>
      <c r="Q2101" t="str">
        <f>_xll.BDP("98618FAK Muni","MUNI_FED_TAX")</f>
        <v>N</v>
      </c>
      <c r="R2101">
        <f>_xll.BDP("98618FAK Muni","MUNI_MSRB_VOLUME")</f>
        <v>30000</v>
      </c>
      <c r="S2101" t="str">
        <f>_xll.BDP("98618FAK Muni","BB_COMPOSITE")</f>
        <v>AA+</v>
      </c>
      <c r="T2101">
        <f>_xll.BDP("98618FAK Muni","LQA_LIQUIDITY_SCORE")</f>
        <v>59</v>
      </c>
    </row>
    <row r="2102" spans="1:20" x14ac:dyDescent="0.25">
      <c r="A2102" t="str">
        <f>_xll.BDP("944216H8 Muni","ID_CUSIP")</f>
        <v>944216H86</v>
      </c>
      <c r="B2102" t="s">
        <v>530</v>
      </c>
      <c r="C2102" t="str">
        <f>_xll.BDP("944216H8 Muni","INSURANCE_STATUS")</f>
        <v>N</v>
      </c>
      <c r="D2102" t="str">
        <f>_xll.BDP("944216H8 Muni","STATE_CODE")</f>
        <v>MA</v>
      </c>
      <c r="E2102" t="str">
        <f>_xll.BDP("944216H8 Muni","COUNTY_LOCATION_ISSUER")</f>
        <v>Middlesex, MA</v>
      </c>
      <c r="F2102">
        <f>_xll.BDP("944216H8 Muni","DUR_ADJ_MID")</f>
        <v>1.6652117061557994</v>
      </c>
      <c r="G2102">
        <f>_xll.BDP("944216H8 Muni","SPREAD_AT_ISSUANCE_TO_WORST")</f>
        <v>7.7240458391904854</v>
      </c>
      <c r="H2102" t="str">
        <f>_xll.BDP("944216H8 Muni","ISSUE_DT")</f>
        <v>4/6/2017</v>
      </c>
      <c r="I2102" t="str">
        <f>_xll.BDS("944216H8 Muni","MUNI_PURPOSE_SCHED", "aggregate=y")</f>
        <v>PUBLIC IMPS. WATER UTILITY IMPS. SCHOOL IMPS.</v>
      </c>
      <c r="J2102">
        <f>_xll.BDP("944216H8 Muni","CPN")</f>
        <v>5</v>
      </c>
      <c r="K2102" t="str">
        <f>_xll.BDP("944216H8 Muni","MATURITY")</f>
        <v>5/1/2024</v>
      </c>
      <c r="L2102">
        <v>580000</v>
      </c>
      <c r="M2102">
        <f>_xll.BDP("944216H8 Muni","YIELD_ON_ISSUE_DATE")</f>
        <v>1.98</v>
      </c>
      <c r="N2102">
        <f>_xll.BDP("944216H8 Muni","YTW_SPREAD_TO_MATURITY_AT_ISSU")</f>
        <v>7.7240458391904854</v>
      </c>
      <c r="O2102" t="str">
        <f>_xll.BDP("944216H8 Muni","BVAL_MID_YTM")</f>
        <v>#N/A Authorization</v>
      </c>
      <c r="P2102" t="str">
        <f>_xll.BDP("944216H8 Muni","MUNI_TAX_PROV")</f>
        <v>FED &amp; ST TAX-EXEMPT</v>
      </c>
      <c r="Q2102" t="str">
        <f>_xll.BDP("944216H8 Muni","MUNI_FED_TAX")</f>
        <v>N</v>
      </c>
      <c r="R2102">
        <f>_xll.BDP("944216H8 Muni","MUNI_MSRB_VOLUME")</f>
        <v>100000</v>
      </c>
      <c r="S2102" t="str">
        <f>_xll.BDP("944216H8 Muni","BB_COMPOSITE")</f>
        <v>#N/A N/A</v>
      </c>
      <c r="T2102">
        <f>_xll.BDP("944216H8 Muni","LQA_LIQUIDITY_SCORE")</f>
        <v>91</v>
      </c>
    </row>
    <row r="2103" spans="1:20" x14ac:dyDescent="0.25">
      <c r="A2103" t="str">
        <f>_xll.BDP("946732DW Muni","ID_CUSIP")</f>
        <v>946732DW1</v>
      </c>
      <c r="B2103" t="s">
        <v>533</v>
      </c>
      <c r="C2103" t="str">
        <f>_xll.BDP("946732DW Muni","INSURANCE_STATUS")</f>
        <v>N</v>
      </c>
      <c r="D2103" t="str">
        <f>_xll.BDP("946732DW Muni","STATE_CODE")</f>
        <v>MO</v>
      </c>
      <c r="E2103" t="str">
        <f>_xll.BDP("946732DW Muni","COUNTY_LOCATION_ISSUER")</f>
        <v>Pulaski, MO</v>
      </c>
      <c r="F2103">
        <f>_xll.BDP("946732DW Muni","DUR_ADJ_MID")</f>
        <v>1.6051228222588347</v>
      </c>
      <c r="G2103">
        <f>_xll.BDP("946732DW Muni","SPREAD_AT_ISSUANCE_TO_WORST")</f>
        <v>59.139684378784338</v>
      </c>
      <c r="H2103" t="str">
        <f>_xll.BDP("946732DW Muni","ISSUE_DT")</f>
        <v>7/27/2017</v>
      </c>
      <c r="I2103" t="str">
        <f>_xll.BDS("946732DW Muni","MUNI_PURPOSE_SCHED", "aggregate=y")</f>
        <v>PUBLIC IMPS. WATER UTILITY IMPS. SEWER IMPS.</v>
      </c>
      <c r="J2103">
        <f>_xll.BDP("946732DW Muni","CPN")</f>
        <v>3</v>
      </c>
      <c r="K2103" t="str">
        <f>_xll.BDP("946732DW Muni","MATURITY")</f>
        <v>4/1/2024</v>
      </c>
      <c r="L2103">
        <v>145000</v>
      </c>
      <c r="M2103">
        <f>_xll.BDP("946732DW Muni","YIELD_ON_ISSUE_DATE")</f>
        <v>2.2000000000000002</v>
      </c>
      <c r="N2103">
        <f>_xll.BDP("946732DW Muni","YTW_SPREAD_TO_MATURITY_AT_ISSU")</f>
        <v>59.139684378784338</v>
      </c>
      <c r="O2103" t="str">
        <f>_xll.BDP("946732DW Muni","BVAL_MID_YTM")</f>
        <v>#N/A Authorization</v>
      </c>
      <c r="P2103" t="str">
        <f>_xll.BDP("946732DW Muni","MUNI_TAX_PROV")</f>
        <v>FED BQ/ST TAX-EXEMPT</v>
      </c>
      <c r="Q2103" t="str">
        <f>_xll.BDP("946732DW Muni","MUNI_FED_TAX")</f>
        <v>N</v>
      </c>
      <c r="R2103" t="str">
        <f>_xll.BDP("946732DW Muni","MUNI_MSRB_VOLUME")</f>
        <v>#N/A N/A</v>
      </c>
      <c r="S2103" t="str">
        <f>_xll.BDP("946732DW Muni","BB_COMPOSITE")</f>
        <v>#N/A N/A</v>
      </c>
      <c r="T2103">
        <f>_xll.BDP("946732DW Muni","LQA_LIQUIDITY_SCORE")</f>
        <v>75</v>
      </c>
    </row>
    <row r="2104" spans="1:20" x14ac:dyDescent="0.25">
      <c r="A2104" t="str">
        <f>_xll.BDP("945857BM Muni","ID_CUSIP")</f>
        <v>945857BM1</v>
      </c>
      <c r="B2104" t="s">
        <v>534</v>
      </c>
      <c r="C2104" t="str">
        <f>_xll.BDP("945857BM Muni","INSURANCE_STATUS")</f>
        <v>N</v>
      </c>
      <c r="D2104" t="str">
        <f>_xll.BDP("945857BM Muni","STATE_CODE")</f>
        <v>NY</v>
      </c>
      <c r="E2104" t="str">
        <f>_xll.BDP("945857BM Muni","COUNTY_LOCATION_ISSUER")</f>
        <v>Wayne, NY</v>
      </c>
      <c r="F2104">
        <f>_xll.BDP("945857BM Muni","DUR_ADJ_MID")</f>
        <v>0.85320492928551139</v>
      </c>
      <c r="G2104">
        <f>_xll.BDP("945857BM Muni","SPREAD_AT_ISSUANCE_TO_WORST")</f>
        <v>22.8684818717783</v>
      </c>
      <c r="H2104" t="str">
        <f>_xll.BDP("945857BM Muni","ISSUE_DT")</f>
        <v>9/20/2017</v>
      </c>
      <c r="I2104" t="str">
        <f>_xll.BDS("945857BM Muni","MUNI_PURPOSE_SCHED", "aggregate=y")</f>
        <v>WATER UTILITY IMPS. SEWER IMPS.</v>
      </c>
      <c r="J2104">
        <f>_xll.BDP("945857BM Muni","CPN")</f>
        <v>4</v>
      </c>
      <c r="K2104" t="str">
        <f>_xll.BDP("945857BM Muni","MATURITY")</f>
        <v>6/15/2023</v>
      </c>
      <c r="L2104">
        <v>160000</v>
      </c>
      <c r="M2104">
        <f>_xll.BDP("945857BM Muni","YIELD_ON_ISSUE_DATE")</f>
        <v>1.47</v>
      </c>
      <c r="N2104">
        <f>_xll.BDP("945857BM Muni","YTW_SPREAD_TO_MATURITY_AT_ISSU")</f>
        <v>22.8684818717783</v>
      </c>
      <c r="O2104" t="str">
        <f>_xll.BDP("945857BM Muni","BVAL_MID_YTM")</f>
        <v>#N/A Authorization</v>
      </c>
      <c r="P2104" t="str">
        <f>_xll.BDP("945857BM Muni","MUNI_TAX_PROV")</f>
        <v>FED BQ/ST TAX-EXEMPT</v>
      </c>
      <c r="Q2104" t="str">
        <f>_xll.BDP("945857BM Muni","MUNI_FED_TAX")</f>
        <v>N</v>
      </c>
      <c r="R2104" t="str">
        <f>_xll.BDP("945857BM Muni","MUNI_MSRB_VOLUME")</f>
        <v>#N/A N/A</v>
      </c>
      <c r="S2104" t="str">
        <f>_xll.BDP("945857BM Muni","BB_COMPOSITE")</f>
        <v>#N/A N/A</v>
      </c>
      <c r="T2104">
        <f>_xll.BDP("945857BM Muni","LQA_LIQUIDITY_SCORE")</f>
        <v>75</v>
      </c>
    </row>
    <row r="2105" spans="1:20" x14ac:dyDescent="0.25">
      <c r="A2105" t="str">
        <f>_xll.BDP("945857BN Muni","ID_CUSIP")</f>
        <v>945857BN9</v>
      </c>
      <c r="B2105" t="s">
        <v>534</v>
      </c>
      <c r="C2105" t="str">
        <f>_xll.BDP("945857BN Muni","INSURANCE_STATUS")</f>
        <v>N</v>
      </c>
      <c r="D2105" t="str">
        <f>_xll.BDP("945857BN Muni","STATE_CODE")</f>
        <v>NY</v>
      </c>
      <c r="E2105" t="str">
        <f>_xll.BDP("945857BN Muni","COUNTY_LOCATION_ISSUER")</f>
        <v>Wayne, NY</v>
      </c>
      <c r="F2105">
        <f>_xll.BDP("945857BN Muni","DUR_ADJ_MID")</f>
        <v>1.8229313371539044</v>
      </c>
      <c r="G2105">
        <f>_xll.BDP("945857BN Muni","SPREAD_AT_ISSUANCE_TO_WORST")</f>
        <v>25.854832675706341</v>
      </c>
      <c r="H2105" t="str">
        <f>_xll.BDP("945857BN Muni","ISSUE_DT")</f>
        <v>9/20/2017</v>
      </c>
      <c r="I2105" t="str">
        <f>_xll.BDS("945857BN Muni","MUNI_PURPOSE_SCHED", "aggregate=y")</f>
        <v>WATER UTILITY IMPS. SEWER IMPS.</v>
      </c>
      <c r="J2105">
        <f>_xll.BDP("945857BN Muni","CPN")</f>
        <v>2</v>
      </c>
      <c r="K2105" t="str">
        <f>_xll.BDP("945857BN Muni","MATURITY")</f>
        <v>6/15/2024</v>
      </c>
      <c r="L2105">
        <v>165000</v>
      </c>
      <c r="M2105">
        <f>_xll.BDP("945857BN Muni","YIELD_ON_ISSUE_DATE")</f>
        <v>1.6500000000000001</v>
      </c>
      <c r="N2105">
        <f>_xll.BDP("945857BN Muni","YTW_SPREAD_TO_MATURITY_AT_ISSU")</f>
        <v>25.854832675706341</v>
      </c>
      <c r="O2105" t="str">
        <f>_xll.BDP("945857BN Muni","BVAL_MID_YTM")</f>
        <v>#N/A Authorization</v>
      </c>
      <c r="P2105" t="str">
        <f>_xll.BDP("945857BN Muni","MUNI_TAX_PROV")</f>
        <v>FED BQ/ST TAX-EXEMPT</v>
      </c>
      <c r="Q2105" t="str">
        <f>_xll.BDP("945857BN Muni","MUNI_FED_TAX")</f>
        <v>N</v>
      </c>
      <c r="R2105" t="str">
        <f>_xll.BDP("945857BN Muni","MUNI_MSRB_VOLUME")</f>
        <v>#N/A N/A</v>
      </c>
      <c r="S2105" t="str">
        <f>_xll.BDP("945857BN Muni","BB_COMPOSITE")</f>
        <v>#N/A N/A</v>
      </c>
      <c r="T2105">
        <f>_xll.BDP("945857BN Muni","LQA_LIQUIDITY_SCORE")</f>
        <v>40</v>
      </c>
    </row>
    <row r="2106" spans="1:20" x14ac:dyDescent="0.25">
      <c r="A2106" t="str">
        <f>_xll.BDP("945857BP Muni","ID_CUSIP")</f>
        <v>945857BP4</v>
      </c>
      <c r="B2106" t="s">
        <v>534</v>
      </c>
      <c r="C2106" t="str">
        <f>_xll.BDP("945857BP Muni","INSURANCE_STATUS")</f>
        <v>N</v>
      </c>
      <c r="D2106" t="str">
        <f>_xll.BDP("945857BP Muni","STATE_CODE")</f>
        <v>NY</v>
      </c>
      <c r="E2106" t="str">
        <f>_xll.BDP("945857BP Muni","COUNTY_LOCATION_ISSUER")</f>
        <v>Wayne, NY</v>
      </c>
      <c r="F2106">
        <f>_xll.BDP("945857BP Muni","DUR_ADJ_MID")</f>
        <v>2.7682970817150281</v>
      </c>
      <c r="G2106">
        <f>_xll.BDP("945857BP Muni","SPREAD_AT_ISSUANCE_TO_WORST")</f>
        <v>30.748625562462315</v>
      </c>
      <c r="H2106" t="str">
        <f>_xll.BDP("945857BP Muni","ISSUE_DT")</f>
        <v>9/20/2017</v>
      </c>
      <c r="I2106" t="str">
        <f>_xll.BDS("945857BP Muni","MUNI_PURPOSE_SCHED", "aggregate=y")</f>
        <v>WATER UTILITY IMPS. SEWER IMPS.</v>
      </c>
      <c r="J2106">
        <f>_xll.BDP("945857BP Muni","CPN")</f>
        <v>2</v>
      </c>
      <c r="K2106" t="str">
        <f>_xll.BDP("945857BP Muni","MATURITY")</f>
        <v>6/15/2025</v>
      </c>
      <c r="L2106">
        <v>170000</v>
      </c>
      <c r="M2106">
        <f>_xll.BDP("945857BP Muni","YIELD_ON_ISSUE_DATE")</f>
        <v>1.85</v>
      </c>
      <c r="N2106">
        <f>_xll.BDP("945857BP Muni","YTW_SPREAD_TO_MATURITY_AT_ISSU")</f>
        <v>30.748625562462315</v>
      </c>
      <c r="O2106" t="str">
        <f>_xll.BDP("945857BP Muni","BVAL_MID_YTM")</f>
        <v>#N/A Authorization</v>
      </c>
      <c r="P2106" t="str">
        <f>_xll.BDP("945857BP Muni","MUNI_TAX_PROV")</f>
        <v>FED BQ/ST TAX-EXEMPT</v>
      </c>
      <c r="Q2106" t="str">
        <f>_xll.BDP("945857BP Muni","MUNI_FED_TAX")</f>
        <v>N</v>
      </c>
      <c r="R2106">
        <f>_xll.BDP("945857BP Muni","MUNI_MSRB_VOLUME")</f>
        <v>80000</v>
      </c>
      <c r="S2106" t="str">
        <f>_xll.BDP("945857BP Muni","BB_COMPOSITE")</f>
        <v>#N/A N/A</v>
      </c>
      <c r="T2106">
        <f>_xll.BDP("945857BP Muni","LQA_LIQUIDITY_SCORE")</f>
        <v>25</v>
      </c>
    </row>
    <row r="2107" spans="1:20" x14ac:dyDescent="0.25">
      <c r="A2107" t="str">
        <f>_xll.BDP("945857BQ Muni","ID_CUSIP")</f>
        <v>945857BQ2</v>
      </c>
      <c r="B2107" t="s">
        <v>534</v>
      </c>
      <c r="C2107" t="str">
        <f>_xll.BDP("945857BQ Muni","INSURANCE_STATUS")</f>
        <v>N</v>
      </c>
      <c r="D2107" t="str">
        <f>_xll.BDP("945857BQ Muni","STATE_CODE")</f>
        <v>NY</v>
      </c>
      <c r="E2107" t="str">
        <f>_xll.BDP("945857BQ Muni","COUNTY_LOCATION_ISSUER")</f>
        <v>Wayne, NY</v>
      </c>
      <c r="F2107">
        <f>_xll.BDP("945857BQ Muni","DUR_ADJ_MID")</f>
        <v>3.6935938160417323</v>
      </c>
      <c r="G2107">
        <f>_xll.BDP("945857BQ Muni","SPREAD_AT_ISSUANCE_TO_WORST")</f>
        <v>31.844310046872494</v>
      </c>
      <c r="H2107" t="str">
        <f>_xll.BDP("945857BQ Muni","ISSUE_DT")</f>
        <v>9/20/2017</v>
      </c>
      <c r="I2107" t="str">
        <f>_xll.BDS("945857BQ Muni","MUNI_PURPOSE_SCHED", "aggregate=y")</f>
        <v>WATER UTILITY IMPS. SEWER IMPS.</v>
      </c>
      <c r="J2107">
        <f>_xll.BDP("945857BQ Muni","CPN")</f>
        <v>2</v>
      </c>
      <c r="K2107" t="str">
        <f>_xll.BDP("945857BQ Muni","MATURITY")</f>
        <v>6/15/2026</v>
      </c>
      <c r="L2107">
        <v>175000</v>
      </c>
      <c r="M2107">
        <f>_xll.BDP("945857BQ Muni","YIELD_ON_ISSUE_DATE")</f>
        <v>2</v>
      </c>
      <c r="N2107">
        <f>_xll.BDP("945857BQ Muni","YTW_SPREAD_TO_MATURITY_AT_ISSU")</f>
        <v>31.844310046872494</v>
      </c>
      <c r="O2107" t="str">
        <f>_xll.BDP("945857BQ Muni","BVAL_MID_YTM")</f>
        <v>#N/A Authorization</v>
      </c>
      <c r="P2107" t="str">
        <f>_xll.BDP("945857BQ Muni","MUNI_TAX_PROV")</f>
        <v>FED BQ/ST TAX-EXEMPT</v>
      </c>
      <c r="Q2107" t="str">
        <f>_xll.BDP("945857BQ Muni","MUNI_FED_TAX")</f>
        <v>N</v>
      </c>
      <c r="R2107" t="str">
        <f>_xll.BDP("945857BQ Muni","MUNI_MSRB_VOLUME")</f>
        <v>#N/A N/A</v>
      </c>
      <c r="S2107" t="str">
        <f>_xll.BDP("945857BQ Muni","BB_COMPOSITE")</f>
        <v>#N/A N/A</v>
      </c>
      <c r="T2107">
        <f>_xll.BDP("945857BQ Muni","LQA_LIQUIDITY_SCORE")</f>
        <v>16</v>
      </c>
    </row>
    <row r="2108" spans="1:20" x14ac:dyDescent="0.25">
      <c r="A2108" t="str">
        <f>_xll.BDP("945857BR Muni","ID_CUSIP")</f>
        <v>945857BR0</v>
      </c>
      <c r="B2108" t="s">
        <v>534</v>
      </c>
      <c r="C2108" t="str">
        <f>_xll.BDP("945857BR Muni","INSURANCE_STATUS")</f>
        <v>N</v>
      </c>
      <c r="D2108" t="str">
        <f>_xll.BDP("945857BR Muni","STATE_CODE")</f>
        <v>NY</v>
      </c>
      <c r="E2108" t="str">
        <f>_xll.BDP("945857BR Muni","COUNTY_LOCATION_ISSUER")</f>
        <v>Wayne, NY</v>
      </c>
      <c r="F2108">
        <f>_xll.BDP("945857BR Muni","DUR_ADJ_MID")</f>
        <v>4.5747442416934145</v>
      </c>
      <c r="G2108">
        <f>_xll.BDP("945857BR Muni","SPREAD_AT_ISSUANCE_TO_WORST")</f>
        <v>35.461968445333625</v>
      </c>
      <c r="H2108" t="str">
        <f>_xll.BDP("945857BR Muni","ISSUE_DT")</f>
        <v>9/20/2017</v>
      </c>
      <c r="I2108" t="str">
        <f>_xll.BDS("945857BR Muni","MUNI_PURPOSE_SCHED", "aggregate=y")</f>
        <v>WATER UTILITY IMPS. SEWER IMPS.</v>
      </c>
      <c r="J2108">
        <f>_xll.BDP("945857BR Muni","CPN")</f>
        <v>2.25</v>
      </c>
      <c r="K2108" t="str">
        <f>_xll.BDP("945857BR Muni","MATURITY")</f>
        <v>6/15/2027</v>
      </c>
      <c r="L2108">
        <v>175000</v>
      </c>
      <c r="M2108">
        <f>_xll.BDP("945857BR Muni","YIELD_ON_ISSUE_DATE")</f>
        <v>2.15</v>
      </c>
      <c r="N2108">
        <f>_xll.BDP("945857BR Muni","YTW_SPREAD_TO_MATURITY_AT_ISSU")</f>
        <v>35.461968445333625</v>
      </c>
      <c r="O2108" t="str">
        <f>_xll.BDP("945857BR Muni","BVAL_MID_YTM")</f>
        <v>#N/A Authorization</v>
      </c>
      <c r="P2108" t="str">
        <f>_xll.BDP("945857BR Muni","MUNI_TAX_PROV")</f>
        <v>FED BQ/ST TAX-EXEMPT</v>
      </c>
      <c r="Q2108" t="str">
        <f>_xll.BDP("945857BR Muni","MUNI_FED_TAX")</f>
        <v>N</v>
      </c>
      <c r="R2108" t="str">
        <f>_xll.BDP("945857BR Muni","MUNI_MSRB_VOLUME")</f>
        <v>#N/A N/A</v>
      </c>
      <c r="S2108" t="str">
        <f>_xll.BDP("945857BR Muni","BB_COMPOSITE")</f>
        <v>#N/A N/A</v>
      </c>
      <c r="T2108">
        <f>_xll.BDP("945857BR Muni","LQA_LIQUIDITY_SCORE")</f>
        <v>11</v>
      </c>
    </row>
    <row r="2109" spans="1:20" x14ac:dyDescent="0.25">
      <c r="A2109" t="str">
        <f>_xll.BDP("946732DV Muni","ID_CUSIP")</f>
        <v>946732DV3</v>
      </c>
      <c r="B2109" t="s">
        <v>533</v>
      </c>
      <c r="C2109" t="str">
        <f>_xll.BDP("946732DV Muni","INSURANCE_STATUS")</f>
        <v>N</v>
      </c>
      <c r="D2109" t="str">
        <f>_xll.BDP("946732DV Muni","STATE_CODE")</f>
        <v>MO</v>
      </c>
      <c r="E2109" t="str">
        <f>_xll.BDP("946732DV Muni","COUNTY_LOCATION_ISSUER")</f>
        <v>Pulaski, MO</v>
      </c>
      <c r="F2109">
        <f>_xll.BDP("946732DV Muni","DUR_ADJ_MID")</f>
        <v>0.65183265690589609</v>
      </c>
      <c r="G2109">
        <f>_xll.BDP("946732DV Muni","SPREAD_AT_ISSUANCE_TO_WORST")</f>
        <v>58.808924763700496</v>
      </c>
      <c r="H2109" t="str">
        <f>_xll.BDP("946732DV Muni","ISSUE_DT")</f>
        <v>7/27/2017</v>
      </c>
      <c r="I2109" t="str">
        <f>_xll.BDS("946732DV Muni","MUNI_PURPOSE_SCHED", "aggregate=y")</f>
        <v>PUBLIC IMPS. WATER UTILITY IMPS. SEWER IMPS.</v>
      </c>
      <c r="J2109">
        <f>_xll.BDP("946732DV Muni","CPN")</f>
        <v>3</v>
      </c>
      <c r="K2109" t="str">
        <f>_xll.BDP("946732DV Muni","MATURITY")</f>
        <v>4/1/2023</v>
      </c>
      <c r="L2109">
        <v>140000</v>
      </c>
      <c r="M2109">
        <f>_xll.BDP("946732DV Muni","YIELD_ON_ISSUE_DATE")</f>
        <v>2.0499999999999998</v>
      </c>
      <c r="N2109">
        <f>_xll.BDP("946732DV Muni","YTW_SPREAD_TO_MATURITY_AT_ISSU")</f>
        <v>58.808924763700496</v>
      </c>
      <c r="O2109" t="str">
        <f>_xll.BDP("946732DV Muni","BVAL_MID_YTM")</f>
        <v>#N/A Authorization</v>
      </c>
      <c r="P2109" t="str">
        <f>_xll.BDP("946732DV Muni","MUNI_TAX_PROV")</f>
        <v>FED BQ/ST TAX-EXEMPT</v>
      </c>
      <c r="Q2109" t="str">
        <f>_xll.BDP("946732DV Muni","MUNI_FED_TAX")</f>
        <v>N</v>
      </c>
      <c r="R2109" t="str">
        <f>_xll.BDP("946732DV Muni","MUNI_MSRB_VOLUME")</f>
        <v>#N/A N/A</v>
      </c>
      <c r="S2109" t="str">
        <f>_xll.BDP("946732DV Muni","BB_COMPOSITE")</f>
        <v>#N/A N/A</v>
      </c>
      <c r="T2109">
        <f>_xll.BDP("946732DV Muni","LQA_LIQUIDITY_SCORE")</f>
        <v>89</v>
      </c>
    </row>
    <row r="2110" spans="1:20" x14ac:dyDescent="0.25">
      <c r="A2110" t="str">
        <f>_xll.BDP("946732DX Muni","ID_CUSIP")</f>
        <v>946732DX9</v>
      </c>
      <c r="B2110" t="s">
        <v>533</v>
      </c>
      <c r="C2110" t="str">
        <f>_xll.BDP("946732DX Muni","INSURANCE_STATUS")</f>
        <v>N</v>
      </c>
      <c r="D2110" t="str">
        <f>_xll.BDP("946732DX Muni","STATE_CODE")</f>
        <v>MO</v>
      </c>
      <c r="E2110" t="str">
        <f>_xll.BDP("946732DX Muni","COUNTY_LOCATION_ISSUER")</f>
        <v>Pulaski, MO</v>
      </c>
      <c r="F2110">
        <f>_xll.BDP("946732DX Muni","DUR_ADJ_MID")</f>
        <v>2.5307093564835559</v>
      </c>
      <c r="G2110">
        <f>_xll.BDP("946732DX Muni","SPREAD_AT_ISSUANCE_TO_WORST")</f>
        <v>64.311574378390418</v>
      </c>
      <c r="H2110" t="str">
        <f>_xll.BDP("946732DX Muni","ISSUE_DT")</f>
        <v>7/27/2017</v>
      </c>
      <c r="I2110" t="str">
        <f>_xll.BDS("946732DX Muni","MUNI_PURPOSE_SCHED", "aggregate=y")</f>
        <v>PUBLIC IMPS. WATER UTILITY IMPS. SEWER IMPS.</v>
      </c>
      <c r="J2110">
        <f>_xll.BDP("946732DX Muni","CPN")</f>
        <v>3</v>
      </c>
      <c r="K2110" t="str">
        <f>_xll.BDP("946732DX Muni","MATURITY")</f>
        <v>4/1/2025</v>
      </c>
      <c r="L2110">
        <v>150000</v>
      </c>
      <c r="M2110">
        <f>_xll.BDP("946732DX Muni","YIELD_ON_ISSUE_DATE")</f>
        <v>2.4000000000000004</v>
      </c>
      <c r="N2110">
        <f>_xll.BDP("946732DX Muni","YTW_SPREAD_TO_MATURITY_AT_ISSU")</f>
        <v>64.311574378390418</v>
      </c>
      <c r="O2110" t="str">
        <f>_xll.BDP("946732DX Muni","BVAL_MID_YTM")</f>
        <v>#N/A Authorization</v>
      </c>
      <c r="P2110" t="str">
        <f>_xll.BDP("946732DX Muni","MUNI_TAX_PROV")</f>
        <v>FED BQ/ST TAX-EXEMPT</v>
      </c>
      <c r="Q2110" t="str">
        <f>_xll.BDP("946732DX Muni","MUNI_FED_TAX")</f>
        <v>N</v>
      </c>
      <c r="R2110" t="str">
        <f>_xll.BDP("946732DX Muni","MUNI_MSRB_VOLUME")</f>
        <v>#N/A N/A</v>
      </c>
      <c r="S2110" t="str">
        <f>_xll.BDP("946732DX Muni","BB_COMPOSITE")</f>
        <v>#N/A N/A</v>
      </c>
      <c r="T2110">
        <f>_xll.BDP("946732DX Muni","LQA_LIQUIDITY_SCORE")</f>
        <v>64</v>
      </c>
    </row>
    <row r="2111" spans="1:20" x14ac:dyDescent="0.25">
      <c r="A2111" t="str">
        <f>_xll.BDP("906400DW Muni","ID_CUSIP")</f>
        <v>906400DW3</v>
      </c>
      <c r="B2111" t="s">
        <v>32</v>
      </c>
      <c r="C2111" t="str">
        <f>_xll.BDP("906400DW Muni","INSURANCE_STATUS")</f>
        <v>N</v>
      </c>
      <c r="D2111" t="str">
        <f>_xll.BDP("906400DW Muni","STATE_CODE")</f>
        <v>NC</v>
      </c>
      <c r="E2111" t="str">
        <f>_xll.BDP("906400DW Muni","COUNTY_LOCATION_ISSUER")</f>
        <v>Union, NC</v>
      </c>
      <c r="F2111">
        <f>_xll.BDP("906400DW Muni","DUR_ADJ_MID")</f>
        <v>3.4952405610664323</v>
      </c>
      <c r="G2111">
        <f>_xll.BDP("906400DW Muni","SPREAD_AT_ISSUANCE_TO_WORST")</f>
        <v>9.6763782616421814</v>
      </c>
      <c r="H2111" t="str">
        <f>_xll.BDP("906400DW Muni","ISSUE_DT")</f>
        <v>8/30/2017</v>
      </c>
      <c r="I2111" t="str">
        <f>_xll.BDS("906400DW Muni","MUNI_PURPOSE_SCHED", "aggregate=y")</f>
        <v>WATER UTILITY IMPS. SEWER IMPS.</v>
      </c>
      <c r="J2111">
        <f>_xll.BDP("906400DW Muni","CPN")</f>
        <v>5</v>
      </c>
      <c r="K2111" t="str">
        <f>_xll.BDP("906400DW Muni","MATURITY")</f>
        <v>6/1/2026</v>
      </c>
      <c r="L2111">
        <v>2300000</v>
      </c>
      <c r="M2111">
        <f>_xll.BDP("906400DW Muni","YIELD_ON_ISSUE_DATE")</f>
        <v>1.8</v>
      </c>
      <c r="N2111">
        <f>_xll.BDP("906400DW Muni","YTW_SPREAD_TO_MATURITY_AT_ISSU")</f>
        <v>9.6763782616421814</v>
      </c>
      <c r="O2111" t="str">
        <f>_xll.BDP("906400DW Muni","BVAL_MID_YTM")</f>
        <v>#N/A Authorization</v>
      </c>
      <c r="P2111" t="str">
        <f>_xll.BDP("906400DW Muni","MUNI_TAX_PROV")</f>
        <v>FED &amp; ST TAX-EXEMPT</v>
      </c>
      <c r="Q2111" t="str">
        <f>_xll.BDP("906400DW Muni","MUNI_FED_TAX")</f>
        <v>N</v>
      </c>
      <c r="R2111">
        <f>_xll.BDP("906400DW Muni","MUNI_MSRB_VOLUME")</f>
        <v>10000</v>
      </c>
      <c r="S2111" t="str">
        <f>_xll.BDP("906400DW Muni","BB_COMPOSITE")</f>
        <v>AA</v>
      </c>
      <c r="T2111">
        <f>_xll.BDP("906400DW Muni","LQA_LIQUIDITY_SCORE")</f>
        <v>61</v>
      </c>
    </row>
    <row r="2112" spans="1:20" x14ac:dyDescent="0.25">
      <c r="A2112" t="str">
        <f>_xll.BDP("906400DU Muni","ID_CUSIP")</f>
        <v>906400DU7</v>
      </c>
      <c r="B2112" t="s">
        <v>32</v>
      </c>
      <c r="C2112" t="str">
        <f>_xll.BDP("906400DU Muni","INSURANCE_STATUS")</f>
        <v>N</v>
      </c>
      <c r="D2112" t="str">
        <f>_xll.BDP("906400DU Muni","STATE_CODE")</f>
        <v>NC</v>
      </c>
      <c r="E2112" t="str">
        <f>_xll.BDP("906400DU Muni","COUNTY_LOCATION_ISSUER")</f>
        <v>Union, NC</v>
      </c>
      <c r="F2112">
        <f>_xll.BDP("906400DU Muni","DUR_ADJ_MID")</f>
        <v>1.747069124801403</v>
      </c>
      <c r="G2112">
        <f>_xll.BDP("906400DU Muni","SPREAD_AT_ISSUANCE_TO_WORST")</f>
        <v>6.0521592077136477</v>
      </c>
      <c r="H2112" t="str">
        <f>_xll.BDP("906400DU Muni","ISSUE_DT")</f>
        <v>8/30/2017</v>
      </c>
      <c r="I2112" t="str">
        <f>_xll.BDS("906400DU Muni","MUNI_PURPOSE_SCHED", "aggregate=y")</f>
        <v>WATER UTILITY IMPS. SEWER IMPS.</v>
      </c>
      <c r="J2112">
        <f>_xll.BDP("906400DU Muni","CPN")</f>
        <v>5</v>
      </c>
      <c r="K2112" t="str">
        <f>_xll.BDP("906400DU Muni","MATURITY")</f>
        <v>6/1/2024</v>
      </c>
      <c r="L2112">
        <v>2085000</v>
      </c>
      <c r="M2112">
        <f>_xll.BDP("906400DU Muni","YIELD_ON_ISSUE_DATE")</f>
        <v>1.47</v>
      </c>
      <c r="N2112">
        <f>_xll.BDP("906400DU Muni","YTW_SPREAD_TO_MATURITY_AT_ISSU")</f>
        <v>6.0521592077136477</v>
      </c>
      <c r="O2112" t="str">
        <f>_xll.BDP("906400DU Muni","BVAL_MID_YTM")</f>
        <v>#N/A Authorization</v>
      </c>
      <c r="P2112" t="str">
        <f>_xll.BDP("906400DU Muni","MUNI_TAX_PROV")</f>
        <v>FED &amp; ST TAX-EXEMPT</v>
      </c>
      <c r="Q2112" t="str">
        <f>_xll.BDP("906400DU Muni","MUNI_FED_TAX")</f>
        <v>N</v>
      </c>
      <c r="R2112">
        <f>_xll.BDP("906400DU Muni","MUNI_MSRB_VOLUME")</f>
        <v>150000</v>
      </c>
      <c r="S2112" t="str">
        <f>_xll.BDP("906400DU Muni","BB_COMPOSITE")</f>
        <v>AA</v>
      </c>
      <c r="T2112">
        <f>_xll.BDP("906400DU Muni","LQA_LIQUIDITY_SCORE")</f>
        <v>74</v>
      </c>
    </row>
    <row r="2113" spans="1:20" x14ac:dyDescent="0.25">
      <c r="A2113" t="str">
        <f>_xll.BDP("792716AU Muni","ID_CUSIP")</f>
        <v>792716AU6</v>
      </c>
      <c r="B2113" t="s">
        <v>535</v>
      </c>
      <c r="C2113" t="str">
        <f>_xll.BDP("792716AU Muni","INSURANCE_STATUS")</f>
        <v>Y</v>
      </c>
      <c r="D2113" t="str">
        <f>_xll.BDP("792716AU Muni","STATE_CODE")</f>
        <v>PA</v>
      </c>
      <c r="E2113" t="str">
        <f>_xll.BDP("792716AU Muni","COUNTY_LOCATION_ISSUER")</f>
        <v>Elk, PA</v>
      </c>
      <c r="F2113">
        <f>_xll.BDP("792716AU Muni","DUR_ADJ_MID")</f>
        <v>0.49429572724406617</v>
      </c>
      <c r="G2113">
        <f>_xll.BDP("792716AU Muni","SPREAD_AT_ISSUANCE_TO_WORST")</f>
        <v>55.762871013426718</v>
      </c>
      <c r="H2113" t="str">
        <f>_xll.BDP("792716AU Muni","ISSUE_DT")</f>
        <v>8/30/2017</v>
      </c>
      <c r="I2113" t="str">
        <f>_xll.BDS("792716AU Muni","MUNI_PURPOSE_SCHED", "aggregate=y")</f>
        <v>ADVANCE REFUNDING WATER UTILITY IMPS.</v>
      </c>
      <c r="J2113">
        <f>_xll.BDP("792716AU Muni","CPN")</f>
        <v>1.5</v>
      </c>
      <c r="K2113" t="str">
        <f>_xll.BDP("792716AU Muni","MATURITY")</f>
        <v>2/1/2023</v>
      </c>
      <c r="L2113">
        <v>550000</v>
      </c>
      <c r="M2113">
        <f>_xll.BDP("792716AU Muni","YIELD_ON_ISSUE_DATE")</f>
        <v>1.75</v>
      </c>
      <c r="N2113">
        <f>_xll.BDP("792716AU Muni","YTW_SPREAD_TO_MATURITY_AT_ISSU")</f>
        <v>55.762871013426718</v>
      </c>
      <c r="O2113" t="str">
        <f>_xll.BDP("792716AU Muni","BVAL_MID_YTM")</f>
        <v>#N/A Authorization</v>
      </c>
      <c r="P2113" t="str">
        <f>_xll.BDP("792716AU Muni","MUNI_TAX_PROV")</f>
        <v>FED BQ/ST TAX-EXEMPT</v>
      </c>
      <c r="Q2113" t="str">
        <f>_xll.BDP("792716AU Muni","MUNI_FED_TAX")</f>
        <v>N</v>
      </c>
      <c r="R2113" t="str">
        <f>_xll.BDP("792716AU Muni","MUNI_MSRB_VOLUME")</f>
        <v>#N/A N/A</v>
      </c>
      <c r="S2113" t="str">
        <f>_xll.BDP("792716AU Muni","BB_COMPOSITE")</f>
        <v>#N/A N/A</v>
      </c>
      <c r="T2113">
        <f>_xll.BDP("792716AU Muni","LQA_LIQUIDITY_SCORE")</f>
        <v>20</v>
      </c>
    </row>
    <row r="2114" spans="1:20" x14ac:dyDescent="0.25">
      <c r="A2114" t="str">
        <f>_xll.BDP("940157P3 Muni","ID_CUSIP")</f>
        <v>940157P38</v>
      </c>
      <c r="B2114" t="s">
        <v>109</v>
      </c>
      <c r="C2114" t="str">
        <f>_xll.BDP("940157P3 Muni","INSURANCE_STATUS")</f>
        <v>N</v>
      </c>
      <c r="D2114" t="str">
        <f>_xll.BDP("940157P3 Muni","STATE_CODE")</f>
        <v>MD</v>
      </c>
      <c r="E2114" t="str">
        <f>_xll.BDP("940157P3 Muni","COUNTY_LOCATION_ISSUER")</f>
        <v>Prince George's, MD</v>
      </c>
      <c r="F2114">
        <f>_xll.BDP("940157P3 Muni","DUR_ADJ_MID")</f>
        <v>2.6804942787866182</v>
      </c>
      <c r="G2114">
        <f>_xll.BDP("940157P3 Muni","SPREAD_AT_ISSUANCE_TO_WORST")</f>
        <v>0.84856164383562138</v>
      </c>
      <c r="H2114" t="str">
        <f>_xll.BDP("940157P3 Muni","ISSUE_DT")</f>
        <v>11/9/2017</v>
      </c>
      <c r="I2114" t="str">
        <f>_xll.BDS("940157P3 Muni","MUNI_PURPOSE_SCHED", "aggregate=y")</f>
        <v>WATER UTILITY IMPS. SEWER IMPS.</v>
      </c>
      <c r="J2114">
        <f>_xll.BDP("940157P3 Muni","CPN")</f>
        <v>5</v>
      </c>
      <c r="K2114" t="str">
        <f>_xll.BDP("940157P3 Muni","MATURITY")</f>
        <v>6/15/2025</v>
      </c>
      <c r="L2114">
        <v>10565000</v>
      </c>
      <c r="M2114">
        <f>_xll.BDP("940157P3 Muni","YIELD_ON_ISSUE_DATE")</f>
        <v>1.76</v>
      </c>
      <c r="N2114">
        <f>_xll.BDP("940157P3 Muni","YTW_SPREAD_TO_MATURITY_AT_ISSU")</f>
        <v>0.84856164383562138</v>
      </c>
      <c r="O2114" t="str">
        <f>_xll.BDP("940157P3 Muni","BVAL_MID_YTM")</f>
        <v>#N/A Authorization</v>
      </c>
      <c r="P2114" t="str">
        <f>_xll.BDP("940157P3 Muni","MUNI_TAX_PROV")</f>
        <v>FED &amp; ST TAX-EXEMPT</v>
      </c>
      <c r="Q2114" t="str">
        <f>_xll.BDP("940157P3 Muni","MUNI_FED_TAX")</f>
        <v>N</v>
      </c>
      <c r="R2114">
        <f>_xll.BDP("940157P3 Muni","MUNI_MSRB_VOLUME")</f>
        <v>375000</v>
      </c>
      <c r="S2114" t="str">
        <f>_xll.BDP("940157P3 Muni","BB_COMPOSITE")</f>
        <v>AAA</v>
      </c>
      <c r="T2114">
        <f>_xll.BDP("940157P3 Muni","LQA_LIQUIDITY_SCORE")</f>
        <v>84</v>
      </c>
    </row>
    <row r="2115" spans="1:20" x14ac:dyDescent="0.25">
      <c r="A2115" t="str">
        <f>_xll.BDP("940197AF Muni","ID_CUSIP")</f>
        <v>940197AF3</v>
      </c>
      <c r="B2115" t="s">
        <v>126</v>
      </c>
      <c r="C2115" t="str">
        <f>_xll.BDP("940197AF Muni","INSURANCE_STATUS")</f>
        <v>N</v>
      </c>
      <c r="D2115" t="str">
        <f>_xll.BDP("940197AF Muni","STATE_CODE")</f>
        <v>UT</v>
      </c>
      <c r="E2115" t="str">
        <f>_xll.BDP("940197AF Muni","COUNTY_LOCATION_ISSUER")</f>
        <v>Weber, UT</v>
      </c>
      <c r="F2115">
        <f>_xll.BDP("940197AF Muni","DUR_ADJ_MID")</f>
        <v>0.8179645921289791</v>
      </c>
      <c r="G2115">
        <f>_xll.BDP("940197AF Muni","SPREAD_AT_ISSUANCE_TO_WORST")</f>
        <v>5.5663809020511712</v>
      </c>
      <c r="H2115" t="str">
        <f>_xll.BDP("940197AF Muni","ISSUE_DT")</f>
        <v>1/26/2017</v>
      </c>
      <c r="I2115" t="str">
        <f>_xll.BDS("940197AF Muni","MUNI_PURPOSE_SCHED", "aggregate=y")</f>
        <v>WATER UTILITY IMPS. SEWER IMPS.</v>
      </c>
      <c r="J2115">
        <f>_xll.BDP("940197AF Muni","CPN")</f>
        <v>3</v>
      </c>
      <c r="K2115" t="str">
        <f>_xll.BDP("940197AF Muni","MATURITY")</f>
        <v>6/1/2023</v>
      </c>
      <c r="L2115">
        <v>200000</v>
      </c>
      <c r="M2115">
        <f>_xll.BDP("940197AF Muni","YIELD_ON_ISSUE_DATE")</f>
        <v>1.85</v>
      </c>
      <c r="N2115">
        <f>_xll.BDP("940197AF Muni","YTW_SPREAD_TO_MATURITY_AT_ISSU")</f>
        <v>5.5663809020511712</v>
      </c>
      <c r="O2115" t="str">
        <f>_xll.BDP("940197AF Muni","BVAL_MID_YTM")</f>
        <v>#N/A Authorization</v>
      </c>
      <c r="P2115" t="str">
        <f>_xll.BDP("940197AF Muni","MUNI_TAX_PROV")</f>
        <v>FED BQ/ST TAX-EXEMPT</v>
      </c>
      <c r="Q2115" t="str">
        <f>_xll.BDP("940197AF Muni","MUNI_FED_TAX")</f>
        <v>N</v>
      </c>
      <c r="R2115" t="str">
        <f>_xll.BDP("940197AF Muni","MUNI_MSRB_VOLUME")</f>
        <v>#N/A N/A</v>
      </c>
      <c r="S2115" t="str">
        <f>_xll.BDP("940197AF Muni","BB_COMPOSITE")</f>
        <v>#N/A N/A</v>
      </c>
      <c r="T2115">
        <f>_xll.BDP("940197AF Muni","LQA_LIQUIDITY_SCORE")</f>
        <v>91</v>
      </c>
    </row>
    <row r="2116" spans="1:20" x14ac:dyDescent="0.25">
      <c r="A2116" t="str">
        <f>_xll.BDP("940197AH Muni","ID_CUSIP")</f>
        <v>940197AH9</v>
      </c>
      <c r="B2116" t="s">
        <v>126</v>
      </c>
      <c r="C2116" t="str">
        <f>_xll.BDP("940197AH Muni","INSURANCE_STATUS")</f>
        <v>N</v>
      </c>
      <c r="D2116" t="str">
        <f>_xll.BDP("940197AH Muni","STATE_CODE")</f>
        <v>UT</v>
      </c>
      <c r="E2116" t="str">
        <f>_xll.BDP("940197AH Muni","COUNTY_LOCATION_ISSUER")</f>
        <v>Weber, UT</v>
      </c>
      <c r="F2116">
        <f>_xll.BDP("940197AH Muni","DUR_ADJ_MID")</f>
        <v>2.6688444775512905</v>
      </c>
      <c r="G2116">
        <f>_xll.BDP("940197AH Muni","SPREAD_AT_ISSUANCE_TO_WORST")</f>
        <v>10.523561568630369</v>
      </c>
      <c r="H2116" t="str">
        <f>_xll.BDP("940197AH Muni","ISSUE_DT")</f>
        <v>1/26/2017</v>
      </c>
      <c r="I2116" t="str">
        <f>_xll.BDS("940197AH Muni","MUNI_PURPOSE_SCHED", "aggregate=y")</f>
        <v>WATER UTILITY IMPS. SEWER IMPS.</v>
      </c>
      <c r="J2116">
        <f>_xll.BDP("940197AH Muni","CPN")</f>
        <v>4</v>
      </c>
      <c r="K2116" t="str">
        <f>_xll.BDP("940197AH Muni","MATURITY")</f>
        <v>6/1/2025</v>
      </c>
      <c r="L2116">
        <v>215000</v>
      </c>
      <c r="M2116">
        <f>_xll.BDP("940197AH Muni","YIELD_ON_ISSUE_DATE")</f>
        <v>2.15</v>
      </c>
      <c r="N2116">
        <f>_xll.BDP("940197AH Muni","YTW_SPREAD_TO_MATURITY_AT_ISSU")</f>
        <v>10.523561568630369</v>
      </c>
      <c r="O2116" t="str">
        <f>_xll.BDP("940197AH Muni","BVAL_MID_YTM")</f>
        <v>#N/A Authorization</v>
      </c>
      <c r="P2116" t="str">
        <f>_xll.BDP("940197AH Muni","MUNI_TAX_PROV")</f>
        <v>FED BQ/ST TAX-EXEMPT</v>
      </c>
      <c r="Q2116" t="str">
        <f>_xll.BDP("940197AH Muni","MUNI_FED_TAX")</f>
        <v>N</v>
      </c>
      <c r="R2116" t="str">
        <f>_xll.BDP("940197AH Muni","MUNI_MSRB_VOLUME")</f>
        <v>#N/A N/A</v>
      </c>
      <c r="S2116" t="str">
        <f>_xll.BDP("940197AH Muni","BB_COMPOSITE")</f>
        <v>#N/A N/A</v>
      </c>
      <c r="T2116">
        <f>_xll.BDP("940197AH Muni","LQA_LIQUIDITY_SCORE")</f>
        <v>79</v>
      </c>
    </row>
    <row r="2117" spans="1:20" x14ac:dyDescent="0.25">
      <c r="A2117" t="str">
        <f>_xll.BDP("977810GE Muni","ID_CUSIP")</f>
        <v>977810GE4</v>
      </c>
      <c r="B2117" t="s">
        <v>536</v>
      </c>
      <c r="C2117" t="str">
        <f>_xll.BDP("977810GE Muni","INSURANCE_STATUS")</f>
        <v>N</v>
      </c>
      <c r="D2117" t="str">
        <f>_xll.BDP("977810GE Muni","STATE_CODE")</f>
        <v>TX</v>
      </c>
      <c r="E2117" t="str">
        <f>_xll.BDP("977810GE Muni","COUNTY_LOCATION_ISSUER")</f>
        <v>Lubbock, TX</v>
      </c>
      <c r="F2117">
        <f>_xll.BDP("977810GE Muni","DUR_ADJ_MID")</f>
        <v>0.52761881838266267</v>
      </c>
      <c r="G2117">
        <f>_xll.BDP("977810GE Muni","SPREAD_AT_ISSUANCE_TO_WORST")</f>
        <v>45.404775204743174</v>
      </c>
      <c r="H2117" t="str">
        <f>_xll.BDP("977810GE Muni","ISSUE_DT")</f>
        <v>8/1/2017</v>
      </c>
      <c r="I2117" t="str">
        <f>_xll.BDS("977810GE Muni","MUNI_PURPOSE_SCHED", "aggregate=y")</f>
        <v>WATER UTILITY IMPS.</v>
      </c>
      <c r="J2117">
        <f>_xll.BDP("977810GE Muni","CPN")</f>
        <v>2</v>
      </c>
      <c r="K2117" t="str">
        <f>_xll.BDP("977810GE Muni","MATURITY")</f>
        <v>2/15/2023</v>
      </c>
      <c r="L2117">
        <v>65000</v>
      </c>
      <c r="M2117">
        <f>_xll.BDP("977810GE Muni","YIELD_ON_ISSUE_DATE")</f>
        <v>1.7000000000000002</v>
      </c>
      <c r="N2117">
        <f>_xll.BDP("977810GE Muni","YTW_SPREAD_TO_MATURITY_AT_ISSU")</f>
        <v>45.404775204743174</v>
      </c>
      <c r="O2117" t="str">
        <f>_xll.BDP("977810GE Muni","BVAL_MID_YTM")</f>
        <v>#N/A Authorization</v>
      </c>
      <c r="P2117" t="str">
        <f>_xll.BDP("977810GE Muni","MUNI_TAX_PROV")</f>
        <v>FED BQ</v>
      </c>
      <c r="Q2117" t="str">
        <f>_xll.BDP("977810GE Muni","MUNI_FED_TAX")</f>
        <v>N</v>
      </c>
      <c r="R2117" t="str">
        <f>_xll.BDP("977810GE Muni","MUNI_MSRB_VOLUME")</f>
        <v>#N/A N/A</v>
      </c>
      <c r="S2117" t="str">
        <f>_xll.BDP("977810GE Muni","BB_COMPOSITE")</f>
        <v>#N/A N/A</v>
      </c>
      <c r="T2117">
        <f>_xll.BDP("977810GE Muni","LQA_LIQUIDITY_SCORE")</f>
        <v>82</v>
      </c>
    </row>
    <row r="2118" spans="1:20" x14ac:dyDescent="0.25">
      <c r="A2118" t="str">
        <f>_xll.BDP("977810GF Muni","ID_CUSIP")</f>
        <v>977810GF1</v>
      </c>
      <c r="B2118" t="s">
        <v>536</v>
      </c>
      <c r="C2118" t="str">
        <f>_xll.BDP("977810GF Muni","INSURANCE_STATUS")</f>
        <v>N</v>
      </c>
      <c r="D2118" t="str">
        <f>_xll.BDP("977810GF Muni","STATE_CODE")</f>
        <v>TX</v>
      </c>
      <c r="E2118" t="str">
        <f>_xll.BDP("977810GF Muni","COUNTY_LOCATION_ISSUER")</f>
        <v>Lubbock, TX</v>
      </c>
      <c r="F2118">
        <f>_xll.BDP("977810GF Muni","DUR_ADJ_MID")</f>
        <v>1.4924749399103914</v>
      </c>
      <c r="G2118">
        <f>_xll.BDP("977810GF Muni","SPREAD_AT_ISSUANCE_TO_WORST")</f>
        <v>45.631827512445966</v>
      </c>
      <c r="H2118" t="str">
        <f>_xll.BDP("977810GF Muni","ISSUE_DT")</f>
        <v>8/1/2017</v>
      </c>
      <c r="I2118" t="str">
        <f>_xll.BDS("977810GF Muni","MUNI_PURPOSE_SCHED", "aggregate=y")</f>
        <v>WATER UTILITY IMPS.</v>
      </c>
      <c r="J2118">
        <f>_xll.BDP("977810GF Muni","CPN")</f>
        <v>2</v>
      </c>
      <c r="K2118" t="str">
        <f>_xll.BDP("977810GF Muni","MATURITY")</f>
        <v>2/15/2024</v>
      </c>
      <c r="L2118">
        <v>65000</v>
      </c>
      <c r="M2118">
        <f>_xll.BDP("977810GF Muni","YIELD_ON_ISSUE_DATE")</f>
        <v>1.85</v>
      </c>
      <c r="N2118">
        <f>_xll.BDP("977810GF Muni","YTW_SPREAD_TO_MATURITY_AT_ISSU")</f>
        <v>45.631827512445966</v>
      </c>
      <c r="O2118" t="str">
        <f>_xll.BDP("977810GF Muni","BVAL_MID_YTM")</f>
        <v>#N/A Authorization</v>
      </c>
      <c r="P2118" t="str">
        <f>_xll.BDP("977810GF Muni","MUNI_TAX_PROV")</f>
        <v>FED BQ</v>
      </c>
      <c r="Q2118" t="str">
        <f>_xll.BDP("977810GF Muni","MUNI_FED_TAX")</f>
        <v>N</v>
      </c>
      <c r="R2118">
        <f>_xll.BDP("977810GF Muni","MUNI_MSRB_VOLUME")</f>
        <v>45000</v>
      </c>
      <c r="S2118" t="str">
        <f>_xll.BDP("977810GF Muni","BB_COMPOSITE")</f>
        <v>#N/A N/A</v>
      </c>
      <c r="T2118">
        <f>_xll.BDP("977810GF Muni","LQA_LIQUIDITY_SCORE")</f>
        <v>69</v>
      </c>
    </row>
    <row r="2119" spans="1:20" x14ac:dyDescent="0.25">
      <c r="A2119" t="str">
        <f>_xll.BDP("977810GG Muni","ID_CUSIP")</f>
        <v>977810GG9</v>
      </c>
      <c r="B2119" t="s">
        <v>536</v>
      </c>
      <c r="C2119" t="str">
        <f>_xll.BDP("977810GG Muni","INSURANCE_STATUS")</f>
        <v>N</v>
      </c>
      <c r="D2119" t="str">
        <f>_xll.BDP("977810GG Muni","STATE_CODE")</f>
        <v>TX</v>
      </c>
      <c r="E2119" t="str">
        <f>_xll.BDP("977810GG Muni","COUNTY_LOCATION_ISSUER")</f>
        <v>Lubbock, TX</v>
      </c>
      <c r="F2119">
        <f>_xll.BDP("977810GG Muni","DUR_ADJ_MID")</f>
        <v>2.4375357531381203</v>
      </c>
      <c r="G2119">
        <f>_xll.BDP("977810GG Muni","SPREAD_AT_ISSUANCE_TO_WORST")</f>
        <v>45.549500456261207</v>
      </c>
      <c r="H2119" t="str">
        <f>_xll.BDP("977810GG Muni","ISSUE_DT")</f>
        <v>8/1/2017</v>
      </c>
      <c r="I2119" t="str">
        <f>_xll.BDS("977810GG Muni","MUNI_PURPOSE_SCHED", "aggregate=y")</f>
        <v>WATER UTILITY IMPS.</v>
      </c>
      <c r="J2119">
        <f>_xll.BDP("977810GG Muni","CPN")</f>
        <v>2</v>
      </c>
      <c r="K2119" t="str">
        <f>_xll.BDP("977810GG Muni","MATURITY")</f>
        <v>2/15/2025</v>
      </c>
      <c r="L2119">
        <v>65000</v>
      </c>
      <c r="M2119">
        <f>_xll.BDP("977810GG Muni","YIELD_ON_ISSUE_DATE")</f>
        <v>2</v>
      </c>
      <c r="N2119">
        <f>_xll.BDP("977810GG Muni","YTW_SPREAD_TO_MATURITY_AT_ISSU")</f>
        <v>45.549500456261207</v>
      </c>
      <c r="O2119" t="str">
        <f>_xll.BDP("977810GG Muni","BVAL_MID_YTM")</f>
        <v>#N/A Authorization</v>
      </c>
      <c r="P2119" t="str">
        <f>_xll.BDP("977810GG Muni","MUNI_TAX_PROV")</f>
        <v>FED BQ</v>
      </c>
      <c r="Q2119" t="str">
        <f>_xll.BDP("977810GG Muni","MUNI_FED_TAX")</f>
        <v>N</v>
      </c>
      <c r="R2119" t="str">
        <f>_xll.BDP("977810GG Muni","MUNI_MSRB_VOLUME")</f>
        <v>#N/A N/A</v>
      </c>
      <c r="S2119" t="str">
        <f>_xll.BDP("977810GG Muni","BB_COMPOSITE")</f>
        <v>#N/A N/A</v>
      </c>
      <c r="T2119">
        <f>_xll.BDP("977810GG Muni","LQA_LIQUIDITY_SCORE")</f>
        <v>56</v>
      </c>
    </row>
    <row r="2120" spans="1:20" x14ac:dyDescent="0.25">
      <c r="A2120" t="str">
        <f>_xll.BDP("978642BG Muni","ID_CUSIP")</f>
        <v>978642BG0</v>
      </c>
      <c r="B2120" t="s">
        <v>537</v>
      </c>
      <c r="C2120" t="str">
        <f>_xll.BDP("978642BG Muni","INSURANCE_STATUS")</f>
        <v>N</v>
      </c>
      <c r="D2120" t="str">
        <f>_xll.BDP("978642BG Muni","STATE_CODE")</f>
        <v>TX</v>
      </c>
      <c r="E2120" t="str">
        <f>_xll.BDP("978642BG Muni","COUNTY_LOCATION_ISSUER")</f>
        <v>Harris, TX</v>
      </c>
      <c r="F2120">
        <f>_xll.BDP("978642BG Muni","DUR_ADJ_MID")</f>
        <v>8.046076741843064E-2</v>
      </c>
      <c r="G2120">
        <f>_xll.BDP("978642BG Muni","SPREAD_AT_ISSUANCE_TO_WORST")</f>
        <v>69.075307668767365</v>
      </c>
      <c r="H2120" t="str">
        <f>_xll.BDP("978642BG Muni","ISSUE_DT")</f>
        <v>4/1/2017</v>
      </c>
      <c r="I2120" t="str">
        <f>_xll.BDS("978642BG Muni","MUNI_PURPOSE_SCHED", "aggregate=y")</f>
        <v>PUBLIC IMPS. WATER UTILITY IMPS. SEWER IMPS.</v>
      </c>
      <c r="J2120">
        <f>_xll.BDP("978642BG Muni","CPN")</f>
        <v>2.5</v>
      </c>
      <c r="K2120" t="str">
        <f>_xll.BDP("978642BG Muni","MATURITY")</f>
        <v>9/1/2022</v>
      </c>
      <c r="L2120">
        <v>165000</v>
      </c>
      <c r="M2120">
        <f>_xll.BDP("978642BG Muni","YIELD_ON_ISSUE_DATE")</f>
        <v>2.5</v>
      </c>
      <c r="N2120">
        <f>_xll.BDP("978642BG Muni","YTW_SPREAD_TO_MATURITY_AT_ISSU")</f>
        <v>69.075307668767365</v>
      </c>
      <c r="O2120" t="str">
        <f>_xll.BDP("978642BG Muni","BVAL_MID_YTM")</f>
        <v>#N/A Authorization</v>
      </c>
      <c r="P2120" t="str">
        <f>_xll.BDP("978642BG Muni","MUNI_TAX_PROV")</f>
        <v>FED BQ</v>
      </c>
      <c r="Q2120" t="str">
        <f>_xll.BDP("978642BG Muni","MUNI_FED_TAX")</f>
        <v>N</v>
      </c>
      <c r="R2120" t="str">
        <f>_xll.BDP("978642BG Muni","MUNI_MSRB_VOLUME")</f>
        <v>#N/A N/A</v>
      </c>
      <c r="S2120" t="str">
        <f>_xll.BDP("978642BG Muni","BB_COMPOSITE")</f>
        <v>#N/A N/A</v>
      </c>
      <c r="T2120">
        <f>_xll.BDP("978642BG Muni","LQA_LIQUIDITY_SCORE")</f>
        <v>93</v>
      </c>
    </row>
    <row r="2121" spans="1:20" x14ac:dyDescent="0.25">
      <c r="A2121" t="str">
        <f>_xll.BDP("978642BH Muni","ID_CUSIP")</f>
        <v>978642BH8</v>
      </c>
      <c r="B2121" t="s">
        <v>537</v>
      </c>
      <c r="C2121" t="str">
        <f>_xll.BDP("978642BH Muni","INSURANCE_STATUS")</f>
        <v>N</v>
      </c>
      <c r="D2121" t="str">
        <f>_xll.BDP("978642BH Muni","STATE_CODE")</f>
        <v>TX</v>
      </c>
      <c r="E2121" t="str">
        <f>_xll.BDP("978642BH Muni","COUNTY_LOCATION_ISSUER")</f>
        <v>Harris, TX</v>
      </c>
      <c r="F2121">
        <f>_xll.BDP("978642BH Muni","DUR_ADJ_MID")</f>
        <v>1.0496024631987428</v>
      </c>
      <c r="G2121">
        <f>_xll.BDP("978642BH Muni","SPREAD_AT_ISSUANCE_TO_WORST")</f>
        <v>77.407997657763289</v>
      </c>
      <c r="H2121" t="str">
        <f>_xll.BDP("978642BH Muni","ISSUE_DT")</f>
        <v>4/1/2017</v>
      </c>
      <c r="I2121" t="str">
        <f>_xll.BDS("978642BH Muni","MUNI_PURPOSE_SCHED", "aggregate=y")</f>
        <v>PUBLIC IMPS. WATER UTILITY IMPS. SEWER IMPS.</v>
      </c>
      <c r="J2121">
        <f>_xll.BDP("978642BH Muni","CPN")</f>
        <v>2.75</v>
      </c>
      <c r="K2121" t="str">
        <f>_xll.BDP("978642BH Muni","MATURITY")</f>
        <v>9/1/2023</v>
      </c>
      <c r="L2121">
        <v>165000</v>
      </c>
      <c r="M2121">
        <f>_xll.BDP("978642BH Muni","YIELD_ON_ISSUE_DATE")</f>
        <v>2.75</v>
      </c>
      <c r="N2121">
        <f>_xll.BDP("978642BH Muni","YTW_SPREAD_TO_MATURITY_AT_ISSU")</f>
        <v>77.407997657763289</v>
      </c>
      <c r="O2121" t="str">
        <f>_xll.BDP("978642BH Muni","BVAL_MID_YTM")</f>
        <v>#N/A Authorization</v>
      </c>
      <c r="P2121" t="str">
        <f>_xll.BDP("978642BH Muni","MUNI_TAX_PROV")</f>
        <v>FED BQ</v>
      </c>
      <c r="Q2121" t="str">
        <f>_xll.BDP("978642BH Muni","MUNI_FED_TAX")</f>
        <v>N</v>
      </c>
      <c r="R2121" t="str">
        <f>_xll.BDP("978642BH Muni","MUNI_MSRB_VOLUME")</f>
        <v>#N/A N/A</v>
      </c>
      <c r="S2121" t="str">
        <f>_xll.BDP("978642BH Muni","BB_COMPOSITE")</f>
        <v>#N/A N/A</v>
      </c>
      <c r="T2121">
        <f>_xll.BDP("978642BH Muni","LQA_LIQUIDITY_SCORE")</f>
        <v>69</v>
      </c>
    </row>
    <row r="2122" spans="1:20" x14ac:dyDescent="0.25">
      <c r="A2122" t="str">
        <f>_xll.BDP("978642CF Muni","ID_CUSIP")</f>
        <v>978642CF1</v>
      </c>
      <c r="B2122" t="s">
        <v>537</v>
      </c>
      <c r="C2122" t="str">
        <f>_xll.BDP("978642CF Muni","INSURANCE_STATUS")</f>
        <v>N</v>
      </c>
      <c r="D2122" t="str">
        <f>_xll.BDP("978642CF Muni","STATE_CODE")</f>
        <v>TX</v>
      </c>
      <c r="E2122" t="str">
        <f>_xll.BDP("978642CF Muni","COUNTY_LOCATION_ISSUER")</f>
        <v>Harris, TX</v>
      </c>
      <c r="F2122">
        <f>_xll.BDP("978642CF Muni","DUR_ADJ_MID")</f>
        <v>8.046078042745991E-2</v>
      </c>
      <c r="G2122">
        <f>_xll.BDP("978642CF Muni","SPREAD_AT_ISSUANCE_TO_WORST")</f>
        <v>102.87119726027396</v>
      </c>
      <c r="H2122" t="str">
        <f>_xll.BDP("978642CF Muni","ISSUE_DT")</f>
        <v>11/1/2017</v>
      </c>
      <c r="I2122" t="str">
        <f>_xll.BDS("978642CF Muni","MUNI_PURPOSE_SCHED", "aggregate=y")</f>
        <v>WATER UTILITY IMPS. SEWER IMPS.</v>
      </c>
      <c r="J2122">
        <f>_xll.BDP("978642CF Muni","CPN")</f>
        <v>3</v>
      </c>
      <c r="K2122" t="str">
        <f>_xll.BDP("978642CF Muni","MATURITY")</f>
        <v>9/1/2022</v>
      </c>
      <c r="L2122">
        <v>150000</v>
      </c>
      <c r="M2122">
        <f>_xll.BDP("978642CF Muni","YIELD_ON_ISSUE_DATE")</f>
        <v>2.4000000000000004</v>
      </c>
      <c r="N2122">
        <f>_xll.BDP("978642CF Muni","YTW_SPREAD_TO_MATURITY_AT_ISSU")</f>
        <v>102.87119726027396</v>
      </c>
      <c r="O2122" t="str">
        <f>_xll.BDP("978642CF Muni","BVAL_MID_YTM")</f>
        <v>#N/A Authorization</v>
      </c>
      <c r="P2122" t="str">
        <f>_xll.BDP("978642CF Muni","MUNI_TAX_PROV")</f>
        <v>FED BQ</v>
      </c>
      <c r="Q2122" t="str">
        <f>_xll.BDP("978642CF Muni","MUNI_FED_TAX")</f>
        <v>N</v>
      </c>
      <c r="R2122" t="str">
        <f>_xll.BDP("978642CF Muni","MUNI_MSRB_VOLUME")</f>
        <v>#N/A N/A</v>
      </c>
      <c r="S2122" t="str">
        <f>_xll.BDP("978642CF Muni","BB_COMPOSITE")</f>
        <v>#N/A N/A</v>
      </c>
      <c r="T2122">
        <f>_xll.BDP("978642CF Muni","LQA_LIQUIDITY_SCORE")</f>
        <v>94</v>
      </c>
    </row>
    <row r="2123" spans="1:20" x14ac:dyDescent="0.25">
      <c r="A2123" t="str">
        <f>_xll.BDP("978642CG Muni","ID_CUSIP")</f>
        <v>978642CG9</v>
      </c>
      <c r="B2123" t="s">
        <v>537</v>
      </c>
      <c r="C2123" t="str">
        <f>_xll.BDP("978642CG Muni","INSURANCE_STATUS")</f>
        <v>N</v>
      </c>
      <c r="D2123" t="str">
        <f>_xll.BDP("978642CG Muni","STATE_CODE")</f>
        <v>TX</v>
      </c>
      <c r="E2123" t="str">
        <f>_xll.BDP("978642CG Muni","COUNTY_LOCATION_ISSUER")</f>
        <v>Harris, TX</v>
      </c>
      <c r="F2123">
        <f>_xll.BDP("978642CG Muni","DUR_ADJ_MID")</f>
        <v>1.0478688538644696</v>
      </c>
      <c r="G2123">
        <f>_xll.BDP("978642CG Muni","SPREAD_AT_ISSUANCE_TO_WORST")</f>
        <v>109.56882191780824</v>
      </c>
      <c r="H2123" t="str">
        <f>_xll.BDP("978642CG Muni","ISSUE_DT")</f>
        <v>11/1/2017</v>
      </c>
      <c r="I2123" t="str">
        <f>_xll.BDS("978642CG Muni","MUNI_PURPOSE_SCHED", "aggregate=y")</f>
        <v>WATER UTILITY IMPS. SEWER IMPS.</v>
      </c>
      <c r="J2123">
        <f>_xll.BDP("978642CG Muni","CPN")</f>
        <v>3</v>
      </c>
      <c r="K2123" t="str">
        <f>_xll.BDP("978642CG Muni","MATURITY")</f>
        <v>9/1/2023</v>
      </c>
      <c r="L2123">
        <v>150000</v>
      </c>
      <c r="M2123">
        <f>_xll.BDP("978642CG Muni","YIELD_ON_ISSUE_DATE")</f>
        <v>2.6</v>
      </c>
      <c r="N2123">
        <f>_xll.BDP("978642CG Muni","YTW_SPREAD_TO_MATURITY_AT_ISSU")</f>
        <v>109.56882191780824</v>
      </c>
      <c r="O2123" t="str">
        <f>_xll.BDP("978642CG Muni","BVAL_MID_YTM")</f>
        <v>#N/A Authorization</v>
      </c>
      <c r="P2123" t="str">
        <f>_xll.BDP("978642CG Muni","MUNI_TAX_PROV")</f>
        <v>FED BQ</v>
      </c>
      <c r="Q2123" t="str">
        <f>_xll.BDP("978642CG Muni","MUNI_FED_TAX")</f>
        <v>N</v>
      </c>
      <c r="R2123" t="str">
        <f>_xll.BDP("978642CG Muni","MUNI_MSRB_VOLUME")</f>
        <v>#N/A N/A</v>
      </c>
      <c r="S2123" t="str">
        <f>_xll.BDP("978642CG Muni","BB_COMPOSITE")</f>
        <v>#N/A N/A</v>
      </c>
      <c r="T2123">
        <f>_xll.BDP("978642CG Muni","LQA_LIQUIDITY_SCORE")</f>
        <v>70</v>
      </c>
    </row>
    <row r="2124" spans="1:20" x14ac:dyDescent="0.25">
      <c r="A2124" t="str">
        <f>_xll.BDP("979149FX Muni","ID_CUSIP")</f>
        <v>979149FX4</v>
      </c>
      <c r="B2124" t="s">
        <v>62</v>
      </c>
      <c r="C2124" t="str">
        <f>_xll.BDP("979149FX Muni","INSURANCE_STATUS")</f>
        <v>N</v>
      </c>
      <c r="D2124" t="str">
        <f>_xll.BDP("979149FX Muni","STATE_CODE")</f>
        <v>NJ</v>
      </c>
      <c r="E2124" t="str">
        <f>_xll.BDP("979149FX Muni","COUNTY_LOCATION_ISSUER")</f>
        <v>Gloucester, NJ</v>
      </c>
      <c r="F2124">
        <f>_xll.BDP("979149FX Muni","DUR_ADJ_MID")</f>
        <v>0.73795407961499471</v>
      </c>
      <c r="G2124">
        <f>_xll.BDP("979149FX Muni","SPREAD_AT_ISSUANCE_TO_WORST")</f>
        <v>26.023567316349585</v>
      </c>
      <c r="H2124" t="str">
        <f>_xll.BDP("979149FX Muni","ISSUE_DT")</f>
        <v>6/7/2017</v>
      </c>
      <c r="I2124" t="str">
        <f>_xll.BDS("979149FX Muni","MUNI_PURPOSE_SCHED", "aggregate=y")</f>
        <v>PUBLIC IMPS. WATER UTILITY IMPS. SEWER IMPS.</v>
      </c>
      <c r="J2124">
        <f>_xll.BDP("979149FX Muni","CPN")</f>
        <v>2</v>
      </c>
      <c r="K2124" t="str">
        <f>_xll.BDP("979149FX Muni","MATURITY")</f>
        <v>5/1/2023</v>
      </c>
      <c r="L2124">
        <v>680000</v>
      </c>
      <c r="M2124">
        <f>_xll.BDP("979149FX Muni","YIELD_ON_ISSUE_DATE")</f>
        <v>1.6500000000000001</v>
      </c>
      <c r="N2124">
        <f>_xll.BDP("979149FX Muni","YTW_SPREAD_TO_MATURITY_AT_ISSU")</f>
        <v>26.023567316349585</v>
      </c>
      <c r="O2124" t="str">
        <f>_xll.BDP("979149FX Muni","BVAL_MID_YTM")</f>
        <v>#N/A Authorization</v>
      </c>
      <c r="P2124" t="str">
        <f>_xll.BDP("979149FX Muni","MUNI_TAX_PROV")</f>
        <v>FED &amp; ST TAX-EXEMPT</v>
      </c>
      <c r="Q2124" t="str">
        <f>_xll.BDP("979149FX Muni","MUNI_FED_TAX")</f>
        <v>N</v>
      </c>
      <c r="R2124" t="str">
        <f>_xll.BDP("979149FX Muni","MUNI_MSRB_VOLUME")</f>
        <v>#N/A N/A</v>
      </c>
      <c r="S2124" t="str">
        <f>_xll.BDP("979149FX Muni","BB_COMPOSITE")</f>
        <v>#N/A N/A</v>
      </c>
      <c r="T2124">
        <f>_xll.BDP("979149FX Muni","LQA_LIQUIDITY_SCORE")</f>
        <v>78</v>
      </c>
    </row>
    <row r="2125" spans="1:20" x14ac:dyDescent="0.25">
      <c r="A2125" t="str">
        <f>_xll.BDP("979149FY Muni","ID_CUSIP")</f>
        <v>979149FY2</v>
      </c>
      <c r="B2125" t="s">
        <v>62</v>
      </c>
      <c r="C2125" t="str">
        <f>_xll.BDP("979149FY Muni","INSURANCE_STATUS")</f>
        <v>N</v>
      </c>
      <c r="D2125" t="str">
        <f>_xll.BDP("979149FY Muni","STATE_CODE")</f>
        <v>NJ</v>
      </c>
      <c r="E2125" t="str">
        <f>_xll.BDP("979149FY Muni","COUNTY_LOCATION_ISSUER")</f>
        <v>Gloucester, NJ</v>
      </c>
      <c r="F2125">
        <f>_xll.BDP("979149FY Muni","DUR_ADJ_MID")</f>
        <v>1.7043378446431516</v>
      </c>
      <c r="G2125">
        <f>_xll.BDP("979149FY Muni","SPREAD_AT_ISSUANCE_TO_WORST")</f>
        <v>24.977009754114231</v>
      </c>
      <c r="H2125" t="str">
        <f>_xll.BDP("979149FY Muni","ISSUE_DT")</f>
        <v>6/7/2017</v>
      </c>
      <c r="I2125" t="str">
        <f>_xll.BDS("979149FY Muni","MUNI_PURPOSE_SCHED", "aggregate=y")</f>
        <v>PUBLIC IMPS. WATER UTILITY IMPS. SEWER IMPS.</v>
      </c>
      <c r="J2125">
        <f>_xll.BDP("979149FY Muni","CPN")</f>
        <v>2</v>
      </c>
      <c r="K2125" t="str">
        <f>_xll.BDP("979149FY Muni","MATURITY")</f>
        <v>5/1/2024</v>
      </c>
      <c r="L2125">
        <v>700000</v>
      </c>
      <c r="M2125">
        <f>_xll.BDP("979149FY Muni","YIELD_ON_ISSUE_DATE")</f>
        <v>1.8</v>
      </c>
      <c r="N2125">
        <f>_xll.BDP("979149FY Muni","YTW_SPREAD_TO_MATURITY_AT_ISSU")</f>
        <v>24.977009754114231</v>
      </c>
      <c r="O2125" t="str">
        <f>_xll.BDP("979149FY Muni","BVAL_MID_YTM")</f>
        <v>#N/A Authorization</v>
      </c>
      <c r="P2125" t="str">
        <f>_xll.BDP("979149FY Muni","MUNI_TAX_PROV")</f>
        <v>FED &amp; ST TAX-EXEMPT</v>
      </c>
      <c r="Q2125" t="str">
        <f>_xll.BDP("979149FY Muni","MUNI_FED_TAX")</f>
        <v>N</v>
      </c>
      <c r="R2125">
        <f>_xll.BDP("979149FY Muni","MUNI_MSRB_VOLUME")</f>
        <v>100000</v>
      </c>
      <c r="S2125" t="str">
        <f>_xll.BDP("979149FY Muni","BB_COMPOSITE")</f>
        <v>#N/A N/A</v>
      </c>
      <c r="T2125">
        <f>_xll.BDP("979149FY Muni","LQA_LIQUIDITY_SCORE")</f>
        <v>63</v>
      </c>
    </row>
    <row r="2126" spans="1:20" x14ac:dyDescent="0.25">
      <c r="A2126" t="str">
        <f>_xll.BDP("979149FZ Muni","ID_CUSIP")</f>
        <v>979149FZ9</v>
      </c>
      <c r="B2126" t="s">
        <v>62</v>
      </c>
      <c r="C2126" t="str">
        <f>_xll.BDP("979149FZ Muni","INSURANCE_STATUS")</f>
        <v>N</v>
      </c>
      <c r="D2126" t="str">
        <f>_xll.BDP("979149FZ Muni","STATE_CODE")</f>
        <v>NJ</v>
      </c>
      <c r="E2126" t="str">
        <f>_xll.BDP("979149FZ Muni","COUNTY_LOCATION_ISSUER")</f>
        <v>Gloucester, NJ</v>
      </c>
      <c r="F2126">
        <f>_xll.BDP("979149FZ Muni","DUR_ADJ_MID")</f>
        <v>2.6513527121142766</v>
      </c>
      <c r="G2126">
        <f>_xll.BDP("979149FZ Muni","SPREAD_AT_ISSUANCE_TO_WORST")</f>
        <v>29.030614258110731</v>
      </c>
      <c r="H2126" t="str">
        <f>_xll.BDP("979149FZ Muni","ISSUE_DT")</f>
        <v>6/7/2017</v>
      </c>
      <c r="I2126" t="str">
        <f>_xll.BDS("979149FZ Muni","MUNI_PURPOSE_SCHED", "aggregate=y")</f>
        <v>PUBLIC IMPS. WATER UTILITY IMPS. SEWER IMPS.</v>
      </c>
      <c r="J2126">
        <f>_xll.BDP("979149FZ Muni","CPN")</f>
        <v>2</v>
      </c>
      <c r="K2126" t="str">
        <f>_xll.BDP("979149FZ Muni","MATURITY")</f>
        <v>5/1/2025</v>
      </c>
      <c r="L2126">
        <v>690000</v>
      </c>
      <c r="M2126">
        <f>_xll.BDP("979149FZ Muni","YIELD_ON_ISSUE_DATE")</f>
        <v>2</v>
      </c>
      <c r="N2126">
        <f>_xll.BDP("979149FZ Muni","YTW_SPREAD_TO_MATURITY_AT_ISSU")</f>
        <v>29.030614258110731</v>
      </c>
      <c r="O2126" t="str">
        <f>_xll.BDP("979149FZ Muni","BVAL_MID_YTM")</f>
        <v>#N/A Authorization</v>
      </c>
      <c r="P2126" t="str">
        <f>_xll.BDP("979149FZ Muni","MUNI_TAX_PROV")</f>
        <v>FED &amp; ST TAX-EXEMPT</v>
      </c>
      <c r="Q2126" t="str">
        <f>_xll.BDP("979149FZ Muni","MUNI_FED_TAX")</f>
        <v>N</v>
      </c>
      <c r="R2126" t="str">
        <f>_xll.BDP("979149FZ Muni","MUNI_MSRB_VOLUME")</f>
        <v>#N/A N/A</v>
      </c>
      <c r="S2126" t="str">
        <f>_xll.BDP("979149FZ Muni","BB_COMPOSITE")</f>
        <v>#N/A N/A</v>
      </c>
      <c r="T2126">
        <f>_xll.BDP("979149FZ Muni","LQA_LIQUIDITY_SCORE")</f>
        <v>47</v>
      </c>
    </row>
    <row r="2127" spans="1:20" x14ac:dyDescent="0.25">
      <c r="A2127" t="str">
        <f>_xll.BDP("979208AJ Muni","ID_CUSIP")</f>
        <v>979208AJ4</v>
      </c>
      <c r="B2127" t="s">
        <v>538</v>
      </c>
      <c r="C2127" t="str">
        <f>_xll.BDP("979208AJ Muni","INSURANCE_STATUS")</f>
        <v>N</v>
      </c>
      <c r="D2127" t="str">
        <f>_xll.BDP("979208AJ Muni","STATE_CODE")</f>
        <v>NY</v>
      </c>
      <c r="E2127" t="str">
        <f>_xll.BDP("979208AJ Muni","COUNTY_LOCATION_ISSUER")</f>
        <v>Orange, NY</v>
      </c>
      <c r="F2127">
        <f>_xll.BDP("979208AJ Muni","DUR_ADJ_MID")</f>
        <v>0.85874432267027045</v>
      </c>
      <c r="G2127">
        <f>_xll.BDP("979208AJ Muni","SPREAD_AT_ISSUANCE_TO_WORST")</f>
        <v>10.199159603910823</v>
      </c>
      <c r="H2127" t="str">
        <f>_xll.BDP("979208AJ Muni","ISSUE_DT")</f>
        <v>6/21/2017</v>
      </c>
      <c r="I2127" t="str">
        <f>_xll.BDS("979208AJ Muni","MUNI_PURPOSE_SCHED", "aggregate=y")</f>
        <v>WATER UTILITY IMPS. SEWER IMPS. PUBLIC IMPS.</v>
      </c>
      <c r="J2127">
        <f>_xll.BDP("979208AJ Muni","CPN")</f>
        <v>2</v>
      </c>
      <c r="K2127" t="str">
        <f>_xll.BDP("979208AJ Muni","MATURITY")</f>
        <v>6/15/2023</v>
      </c>
      <c r="L2127">
        <v>175000</v>
      </c>
      <c r="M2127">
        <f>_xll.BDP("979208AJ Muni","YIELD_ON_ISSUE_DATE")</f>
        <v>1.4000000000000001</v>
      </c>
      <c r="N2127">
        <f>_xll.BDP("979208AJ Muni","YTW_SPREAD_TO_MATURITY_AT_ISSU")</f>
        <v>10.199159603910823</v>
      </c>
      <c r="O2127" t="str">
        <f>_xll.BDP("979208AJ Muni","BVAL_MID_YTM")</f>
        <v>#N/A Authorization</v>
      </c>
      <c r="P2127" t="str">
        <f>_xll.BDP("979208AJ Muni","MUNI_TAX_PROV")</f>
        <v>FED BQ/ST TAX-EXEMPT</v>
      </c>
      <c r="Q2127" t="str">
        <f>_xll.BDP("979208AJ Muni","MUNI_FED_TAX")</f>
        <v>N</v>
      </c>
      <c r="R2127" t="str">
        <f>_xll.BDP("979208AJ Muni","MUNI_MSRB_VOLUME")</f>
        <v>#N/A N/A</v>
      </c>
      <c r="S2127" t="str">
        <f>_xll.BDP("979208AJ Muni","BB_COMPOSITE")</f>
        <v>#N/A N/A</v>
      </c>
      <c r="T2127">
        <f>_xll.BDP("979208AJ Muni","LQA_LIQUIDITY_SCORE")</f>
        <v>81</v>
      </c>
    </row>
    <row r="2128" spans="1:20" x14ac:dyDescent="0.25">
      <c r="A2128" t="str">
        <f>_xll.BDP("979208AK Muni","ID_CUSIP")</f>
        <v>979208AK1</v>
      </c>
      <c r="B2128" t="s">
        <v>538</v>
      </c>
      <c r="C2128" t="str">
        <f>_xll.BDP("979208AK Muni","INSURANCE_STATUS")</f>
        <v>N</v>
      </c>
      <c r="D2128" t="str">
        <f>_xll.BDP("979208AK Muni","STATE_CODE")</f>
        <v>NY</v>
      </c>
      <c r="E2128" t="str">
        <f>_xll.BDP("979208AK Muni","COUNTY_LOCATION_ISSUER")</f>
        <v>Orange, NY</v>
      </c>
      <c r="F2128">
        <f>_xll.BDP("979208AK Muni","DUR_ADJ_MID")</f>
        <v>1.8249996870728571</v>
      </c>
      <c r="G2128">
        <f>_xll.BDP("979208AK Muni","SPREAD_AT_ISSUANCE_TO_WORST")</f>
        <v>9.4753529483023957</v>
      </c>
      <c r="H2128" t="str">
        <f>_xll.BDP("979208AK Muni","ISSUE_DT")</f>
        <v>6/21/2017</v>
      </c>
      <c r="I2128" t="str">
        <f>_xll.BDS("979208AK Muni","MUNI_PURPOSE_SCHED", "aggregate=y")</f>
        <v>WATER UTILITY IMPS. SEWER IMPS. PUBLIC IMPS.</v>
      </c>
      <c r="J2128">
        <f>_xll.BDP("979208AK Muni","CPN")</f>
        <v>2</v>
      </c>
      <c r="K2128" t="str">
        <f>_xll.BDP("979208AK Muni","MATURITY")</f>
        <v>6/15/2024</v>
      </c>
      <c r="L2128">
        <v>175000</v>
      </c>
      <c r="M2128">
        <f>_xll.BDP("979208AK Muni","YIELD_ON_ISSUE_DATE")</f>
        <v>1.55</v>
      </c>
      <c r="N2128">
        <f>_xll.BDP("979208AK Muni","YTW_SPREAD_TO_MATURITY_AT_ISSU")</f>
        <v>9.4753529483023957</v>
      </c>
      <c r="O2128" t="str">
        <f>_xll.BDP("979208AK Muni","BVAL_MID_YTM")</f>
        <v>#N/A Authorization</v>
      </c>
      <c r="P2128" t="str">
        <f>_xll.BDP("979208AK Muni","MUNI_TAX_PROV")</f>
        <v>FED BQ/ST TAX-EXEMPT</v>
      </c>
      <c r="Q2128" t="str">
        <f>_xll.BDP("979208AK Muni","MUNI_FED_TAX")</f>
        <v>N</v>
      </c>
      <c r="R2128" t="str">
        <f>_xll.BDP("979208AK Muni","MUNI_MSRB_VOLUME")</f>
        <v>#N/A N/A</v>
      </c>
      <c r="S2128" t="str">
        <f>_xll.BDP("979208AK Muni","BB_COMPOSITE")</f>
        <v>#N/A N/A</v>
      </c>
      <c r="T2128">
        <f>_xll.BDP("979208AK Muni","LQA_LIQUIDITY_SCORE")</f>
        <v>67</v>
      </c>
    </row>
    <row r="2129" spans="1:20" x14ac:dyDescent="0.25">
      <c r="A2129" t="str">
        <f>_xll.BDP("979208AL Muni","ID_CUSIP")</f>
        <v>979208AL9</v>
      </c>
      <c r="B2129" t="s">
        <v>538</v>
      </c>
      <c r="C2129" t="str">
        <f>_xll.BDP("979208AL Muni","INSURANCE_STATUS")</f>
        <v>N</v>
      </c>
      <c r="D2129" t="str">
        <f>_xll.BDP("979208AL Muni","STATE_CODE")</f>
        <v>NY</v>
      </c>
      <c r="E2129" t="str">
        <f>_xll.BDP("979208AL Muni","COUNTY_LOCATION_ISSUER")</f>
        <v>Orange, NY</v>
      </c>
      <c r="F2129">
        <f>_xll.BDP("979208AL Muni","DUR_ADJ_MID")</f>
        <v>2.7722855295513331</v>
      </c>
      <c r="G2129">
        <f>_xll.BDP("979208AL Muni","SPREAD_AT_ISSUANCE_TO_WORST")</f>
        <v>8.8842131980494834</v>
      </c>
      <c r="H2129" t="str">
        <f>_xll.BDP("979208AL Muni","ISSUE_DT")</f>
        <v>6/21/2017</v>
      </c>
      <c r="I2129" t="str">
        <f>_xll.BDS("979208AL Muni","MUNI_PURPOSE_SCHED", "aggregate=y")</f>
        <v>WATER UTILITY IMPS. SEWER IMPS. PUBLIC IMPS.</v>
      </c>
      <c r="J2129">
        <f>_xll.BDP("979208AL Muni","CPN")</f>
        <v>2</v>
      </c>
      <c r="K2129" t="str">
        <f>_xll.BDP("979208AL Muni","MATURITY")</f>
        <v>6/15/2025</v>
      </c>
      <c r="L2129">
        <v>175000</v>
      </c>
      <c r="M2129">
        <f>_xll.BDP("979208AL Muni","YIELD_ON_ISSUE_DATE")</f>
        <v>1.7000000000000002</v>
      </c>
      <c r="N2129">
        <f>_xll.BDP("979208AL Muni","YTW_SPREAD_TO_MATURITY_AT_ISSU")</f>
        <v>8.8842131980494834</v>
      </c>
      <c r="O2129" t="str">
        <f>_xll.BDP("979208AL Muni","BVAL_MID_YTM")</f>
        <v>#N/A Authorization</v>
      </c>
      <c r="P2129" t="str">
        <f>_xll.BDP("979208AL Muni","MUNI_TAX_PROV")</f>
        <v>FED BQ/ST TAX-EXEMPT</v>
      </c>
      <c r="Q2129" t="str">
        <f>_xll.BDP("979208AL Muni","MUNI_FED_TAX")</f>
        <v>N</v>
      </c>
      <c r="R2129" t="str">
        <f>_xll.BDP("979208AL Muni","MUNI_MSRB_VOLUME")</f>
        <v>#N/A N/A</v>
      </c>
      <c r="S2129" t="str">
        <f>_xll.BDP("979208AL Muni","BB_COMPOSITE")</f>
        <v>#N/A N/A</v>
      </c>
      <c r="T2129">
        <f>_xll.BDP("979208AL Muni","LQA_LIQUIDITY_SCORE")</f>
        <v>52</v>
      </c>
    </row>
    <row r="2130" spans="1:20" x14ac:dyDescent="0.25">
      <c r="A2130" t="str">
        <f>_xll.BDP("97989WBF Muni","ID_CUSIP")</f>
        <v>97989WBF6</v>
      </c>
      <c r="B2130" t="s">
        <v>539</v>
      </c>
      <c r="C2130" t="str">
        <f>_xll.BDP("97989WBF Muni","INSURANCE_STATUS")</f>
        <v>N</v>
      </c>
      <c r="D2130" t="str">
        <f>_xll.BDP("97989WBF Muni","STATE_CODE")</f>
        <v>TX</v>
      </c>
      <c r="E2130" t="str">
        <f>_xll.BDP("97989WBF Muni","COUNTY_LOCATION_ISSUER")</f>
        <v>#N/A Field Not Applicable</v>
      </c>
      <c r="F2130">
        <f>_xll.BDP("97989WBF Muni","DUR_ADJ_MID")</f>
        <v>8.0459470903986502E-2</v>
      </c>
      <c r="G2130">
        <f>_xll.BDP("97989WBF Muni","SPREAD_AT_ISSUANCE_TO_WORST")</f>
        <v>97.4075911745431</v>
      </c>
      <c r="H2130" t="str">
        <f>_xll.BDP("97989WBF Muni","ISSUE_DT")</f>
        <v>5/1/2017</v>
      </c>
      <c r="I2130" t="str">
        <f>_xll.BDS("97989WBF Muni","MUNI_PURPOSE_SCHED", "aggregate=y")</f>
        <v>WATER UTILITY IMPS. SEWER IMPS.</v>
      </c>
      <c r="J2130">
        <f>_xll.BDP("97989WBF Muni","CPN")</f>
        <v>3</v>
      </c>
      <c r="K2130" t="str">
        <f>_xll.BDP("97989WBF Muni","MATURITY")</f>
        <v>9/1/2022</v>
      </c>
      <c r="L2130">
        <v>130000</v>
      </c>
      <c r="M2130">
        <f>_xll.BDP("97989WBF Muni","YIELD_ON_ISSUE_DATE")</f>
        <v>2.4000000000000004</v>
      </c>
      <c r="N2130">
        <f>_xll.BDP("97989WBF Muni","YTW_SPREAD_TO_MATURITY_AT_ISSU")</f>
        <v>97.4075911745431</v>
      </c>
      <c r="O2130" t="str">
        <f>_xll.BDP("97989WBF Muni","BVAL_MID_YTM")</f>
        <v>#N/A Authorization</v>
      </c>
      <c r="P2130" t="str">
        <f>_xll.BDP("97989WBF Muni","MUNI_TAX_PROV")</f>
        <v>FED BQ</v>
      </c>
      <c r="Q2130" t="str">
        <f>_xll.BDP("97989WBF Muni","MUNI_FED_TAX")</f>
        <v>N</v>
      </c>
      <c r="R2130" t="str">
        <f>_xll.BDP("97989WBF Muni","MUNI_MSRB_VOLUME")</f>
        <v>#N/A N/A</v>
      </c>
      <c r="S2130" t="str">
        <f>_xll.BDP("97989WBF Muni","BB_COMPOSITE")</f>
        <v>#N/A N/A</v>
      </c>
      <c r="T2130">
        <f>_xll.BDP("97989WBF Muni","LQA_LIQUIDITY_SCORE")</f>
        <v>98</v>
      </c>
    </row>
    <row r="2131" spans="1:20" x14ac:dyDescent="0.25">
      <c r="A2131" t="str">
        <f>_xll.BDP("97989WBG Muni","ID_CUSIP")</f>
        <v>97989WBG4</v>
      </c>
      <c r="B2131" t="s">
        <v>539</v>
      </c>
      <c r="C2131" t="str">
        <f>_xll.BDP("97989WBG Muni","INSURANCE_STATUS")</f>
        <v>N</v>
      </c>
      <c r="D2131" t="str">
        <f>_xll.BDP("97989WBG Muni","STATE_CODE")</f>
        <v>TX</v>
      </c>
      <c r="E2131" t="str">
        <f>_xll.BDP("97989WBG Muni","COUNTY_LOCATION_ISSUER")</f>
        <v>#N/A Field Not Applicable</v>
      </c>
      <c r="F2131">
        <f>_xll.BDP("97989WBG Muni","DUR_ADJ_MID")</f>
        <v>1.0477482866223664</v>
      </c>
      <c r="G2131">
        <f>_xll.BDP("97989WBG Muni","SPREAD_AT_ISSUANCE_TO_WORST")</f>
        <v>100.99257703451374</v>
      </c>
      <c r="H2131" t="str">
        <f>_xll.BDP("97989WBG Muni","ISSUE_DT")</f>
        <v>5/1/2017</v>
      </c>
      <c r="I2131" t="str">
        <f>_xll.BDS("97989WBG Muni","MUNI_PURPOSE_SCHED", "aggregate=y")</f>
        <v>WATER UTILITY IMPS. SEWER IMPS.</v>
      </c>
      <c r="J2131">
        <f>_xll.BDP("97989WBG Muni","CPN")</f>
        <v>3</v>
      </c>
      <c r="K2131" t="str">
        <f>_xll.BDP("97989WBG Muni","MATURITY")</f>
        <v>9/1/2023</v>
      </c>
      <c r="L2131">
        <v>130000</v>
      </c>
      <c r="M2131">
        <f>_xll.BDP("97989WBG Muni","YIELD_ON_ISSUE_DATE")</f>
        <v>2.6</v>
      </c>
      <c r="N2131">
        <f>_xll.BDP("97989WBG Muni","YTW_SPREAD_TO_MATURITY_AT_ISSU")</f>
        <v>100.99257703451374</v>
      </c>
      <c r="O2131" t="str">
        <f>_xll.BDP("97989WBG Muni","BVAL_MID_YTM")</f>
        <v>#N/A Authorization</v>
      </c>
      <c r="P2131" t="str">
        <f>_xll.BDP("97989WBG Muni","MUNI_TAX_PROV")</f>
        <v>FED BQ</v>
      </c>
      <c r="Q2131" t="str">
        <f>_xll.BDP("97989WBG Muni","MUNI_FED_TAX")</f>
        <v>N</v>
      </c>
      <c r="R2131" t="str">
        <f>_xll.BDP("97989WBG Muni","MUNI_MSRB_VOLUME")</f>
        <v>#N/A N/A</v>
      </c>
      <c r="S2131" t="str">
        <f>_xll.BDP("97989WBG Muni","BB_COMPOSITE")</f>
        <v>#N/A N/A</v>
      </c>
      <c r="T2131">
        <f>_xll.BDP("97989WBG Muni","LQA_LIQUIDITY_SCORE")</f>
        <v>82</v>
      </c>
    </row>
    <row r="2132" spans="1:20" x14ac:dyDescent="0.25">
      <c r="A2132" t="str">
        <f>_xll.BDP("980805RS Muni","ID_CUSIP")</f>
        <v>980805RS6</v>
      </c>
      <c r="B2132" t="s">
        <v>540</v>
      </c>
      <c r="C2132" t="str">
        <f>_xll.BDP("980805RS Muni","INSURANCE_STATUS")</f>
        <v>N</v>
      </c>
      <c r="D2132" t="str">
        <f>_xll.BDP("980805RS Muni","STATE_CODE")</f>
        <v>TX</v>
      </c>
      <c r="E2132" t="str">
        <f>_xll.BDP("980805RS Muni","COUNTY_LOCATION_ISSUER")</f>
        <v>McLennan, TX</v>
      </c>
      <c r="F2132">
        <f>_xll.BDP("980805RS Muni","DUR_ADJ_MID")</f>
        <v>3.6097633187121017E-2</v>
      </c>
      <c r="G2132">
        <f>_xll.BDP("980805RS Muni","SPREAD_AT_ISSUANCE_TO_WORST")</f>
        <v>1.6470630136986353</v>
      </c>
      <c r="H2132" t="str">
        <f>_xll.BDP("980805RS Muni","ISSUE_DT")</f>
        <v>10/15/2017</v>
      </c>
      <c r="I2132" t="str">
        <f>_xll.BDS("980805RS Muni","MUNI_PURPOSE_SCHED", "aggregate=y")</f>
        <v>WATER UTILITY IMPS. SEWER IMPS.</v>
      </c>
      <c r="J2132">
        <f>_xll.BDP("980805RS Muni","CPN")</f>
        <v>3</v>
      </c>
      <c r="K2132" t="str">
        <f>_xll.BDP("980805RS Muni","MATURITY")</f>
        <v>8/15/2022</v>
      </c>
      <c r="L2132">
        <v>270000</v>
      </c>
      <c r="M2132">
        <f>_xll.BDP("980805RS Muni","YIELD_ON_ISSUE_DATE")</f>
        <v>1.35</v>
      </c>
      <c r="N2132">
        <f>_xll.BDP("980805RS Muni","YTW_SPREAD_TO_MATURITY_AT_ISSU")</f>
        <v>1.6470630136986353</v>
      </c>
      <c r="O2132" t="str">
        <f>_xll.BDP("980805RS Muni","BVAL_MID_YTM")</f>
        <v>#N/A Authorization</v>
      </c>
      <c r="P2132" t="str">
        <f>_xll.BDP("980805RS Muni","MUNI_TAX_PROV")</f>
        <v>FED BQ</v>
      </c>
      <c r="Q2132" t="str">
        <f>_xll.BDP("980805RS Muni","MUNI_FED_TAX")</f>
        <v>N</v>
      </c>
      <c r="R2132" t="str">
        <f>_xll.BDP("980805RS Muni","MUNI_MSRB_VOLUME")</f>
        <v>#N/A N/A</v>
      </c>
      <c r="S2132" t="str">
        <f>_xll.BDP("980805RS Muni","BB_COMPOSITE")</f>
        <v>#N/A N/A</v>
      </c>
      <c r="T2132">
        <f>_xll.BDP("980805RS Muni","LQA_LIQUIDITY_SCORE")</f>
        <v>99</v>
      </c>
    </row>
    <row r="2133" spans="1:20" x14ac:dyDescent="0.25">
      <c r="A2133" t="str">
        <f>_xll.BDP("980805RT Muni","ID_CUSIP")</f>
        <v>980805RT4</v>
      </c>
      <c r="B2133" t="s">
        <v>540</v>
      </c>
      <c r="C2133" t="str">
        <f>_xll.BDP("980805RT Muni","INSURANCE_STATUS")</f>
        <v>N</v>
      </c>
      <c r="D2133" t="str">
        <f>_xll.BDP("980805RT Muni","STATE_CODE")</f>
        <v>TX</v>
      </c>
      <c r="E2133" t="str">
        <f>_xll.BDP("980805RT Muni","COUNTY_LOCATION_ISSUER")</f>
        <v>McLennan, TX</v>
      </c>
      <c r="F2133">
        <f>_xll.BDP("980805RT Muni","DUR_ADJ_MID")</f>
        <v>0.99936129538810881</v>
      </c>
      <c r="G2133">
        <f>_xll.BDP("980805RT Muni","SPREAD_AT_ISSUANCE_TO_WORST")</f>
        <v>-1.0777452054794523</v>
      </c>
      <c r="H2133" t="str">
        <f>_xll.BDP("980805RT Muni","ISSUE_DT")</f>
        <v>10/15/2017</v>
      </c>
      <c r="I2133" t="str">
        <f>_xll.BDS("980805RT Muni","MUNI_PURPOSE_SCHED", "aggregate=y")</f>
        <v>WATER UTILITY IMPS. SEWER IMPS.</v>
      </c>
      <c r="J2133">
        <f>_xll.BDP("980805RT Muni","CPN")</f>
        <v>4</v>
      </c>
      <c r="K2133" t="str">
        <f>_xll.BDP("980805RT Muni","MATURITY")</f>
        <v>8/15/2023</v>
      </c>
      <c r="L2133">
        <v>280000</v>
      </c>
      <c r="M2133">
        <f>_xll.BDP("980805RT Muni","YIELD_ON_ISSUE_DATE")</f>
        <v>1.45</v>
      </c>
      <c r="N2133">
        <f>_xll.BDP("980805RT Muni","YTW_SPREAD_TO_MATURITY_AT_ISSU")</f>
        <v>-1.0777452054794523</v>
      </c>
      <c r="O2133" t="str">
        <f>_xll.BDP("980805RT Muni","BVAL_MID_YTM")</f>
        <v>#N/A Authorization</v>
      </c>
      <c r="P2133" t="str">
        <f>_xll.BDP("980805RT Muni","MUNI_TAX_PROV")</f>
        <v>FED BQ</v>
      </c>
      <c r="Q2133" t="str">
        <f>_xll.BDP("980805RT Muni","MUNI_FED_TAX")</f>
        <v>N</v>
      </c>
      <c r="R2133" t="str">
        <f>_xll.BDP("980805RT Muni","MUNI_MSRB_VOLUME")</f>
        <v>#N/A N/A</v>
      </c>
      <c r="S2133" t="str">
        <f>_xll.BDP("980805RT Muni","BB_COMPOSITE")</f>
        <v>#N/A N/A</v>
      </c>
      <c r="T2133">
        <f>_xll.BDP("980805RT Muni","LQA_LIQUIDITY_SCORE")</f>
        <v>94</v>
      </c>
    </row>
    <row r="2134" spans="1:20" x14ac:dyDescent="0.25">
      <c r="A2134" t="str">
        <f>_xll.BDP("980805RU Muni","ID_CUSIP")</f>
        <v>980805RU1</v>
      </c>
      <c r="B2134" t="s">
        <v>540</v>
      </c>
      <c r="C2134" t="str">
        <f>_xll.BDP("980805RU Muni","INSURANCE_STATUS")</f>
        <v>N</v>
      </c>
      <c r="D2134" t="str">
        <f>_xll.BDP("980805RU Muni","STATE_CODE")</f>
        <v>TX</v>
      </c>
      <c r="E2134" t="str">
        <f>_xll.BDP("980805RU Muni","COUNTY_LOCATION_ISSUER")</f>
        <v>McLennan, TX</v>
      </c>
      <c r="F2134">
        <f>_xll.BDP("980805RU Muni","DUR_ADJ_MID")</f>
        <v>1.9465115024892465</v>
      </c>
      <c r="G2134">
        <f>_xll.BDP("980805RU Muni","SPREAD_AT_ISSUANCE_TO_WORST")</f>
        <v>0.68605205479452813</v>
      </c>
      <c r="H2134" t="str">
        <f>_xll.BDP("980805RU Muni","ISSUE_DT")</f>
        <v>10/15/2017</v>
      </c>
      <c r="I2134" t="str">
        <f>_xll.BDS("980805RU Muni","MUNI_PURPOSE_SCHED", "aggregate=y")</f>
        <v>WATER UTILITY IMPS. SEWER IMPS.</v>
      </c>
      <c r="J2134">
        <f>_xll.BDP("980805RU Muni","CPN")</f>
        <v>3</v>
      </c>
      <c r="K2134" t="str">
        <f>_xll.BDP("980805RU Muni","MATURITY")</f>
        <v>8/15/2024</v>
      </c>
      <c r="L2134">
        <v>290000</v>
      </c>
      <c r="M2134">
        <f>_xll.BDP("980805RU Muni","YIELD_ON_ISSUE_DATE")</f>
        <v>1.6</v>
      </c>
      <c r="N2134">
        <f>_xll.BDP("980805RU Muni","YTW_SPREAD_TO_MATURITY_AT_ISSU")</f>
        <v>0.68605205479452813</v>
      </c>
      <c r="O2134" t="str">
        <f>_xll.BDP("980805RU Muni","BVAL_MID_YTM")</f>
        <v>#N/A Authorization</v>
      </c>
      <c r="P2134" t="str">
        <f>_xll.BDP("980805RU Muni","MUNI_TAX_PROV")</f>
        <v>FED BQ</v>
      </c>
      <c r="Q2134" t="str">
        <f>_xll.BDP("980805RU Muni","MUNI_FED_TAX")</f>
        <v>N</v>
      </c>
      <c r="R2134" t="str">
        <f>_xll.BDP("980805RU Muni","MUNI_MSRB_VOLUME")</f>
        <v>#N/A N/A</v>
      </c>
      <c r="S2134" t="str">
        <f>_xll.BDP("980805RU Muni","BB_COMPOSITE")</f>
        <v>#N/A N/A</v>
      </c>
      <c r="T2134">
        <f>_xll.BDP("980805RU Muni","LQA_LIQUIDITY_SCORE")</f>
        <v>85</v>
      </c>
    </row>
    <row r="2135" spans="1:20" x14ac:dyDescent="0.25">
      <c r="A2135" t="str">
        <f>_xll.BDP("980805RV Muni","ID_CUSIP")</f>
        <v>980805RV9</v>
      </c>
      <c r="B2135" t="s">
        <v>540</v>
      </c>
      <c r="C2135" t="str">
        <f>_xll.BDP("980805RV Muni","INSURANCE_STATUS")</f>
        <v>N</v>
      </c>
      <c r="D2135" t="str">
        <f>_xll.BDP("980805RV Muni","STATE_CODE")</f>
        <v>TX</v>
      </c>
      <c r="E2135" t="str">
        <f>_xll.BDP("980805RV Muni","COUNTY_LOCATION_ISSUER")</f>
        <v>McLennan, TX</v>
      </c>
      <c r="F2135">
        <f>_xll.BDP("980805RV Muni","DUR_ADJ_MID")</f>
        <v>2.817343471838885</v>
      </c>
      <c r="G2135">
        <f>_xll.BDP("980805RV Muni","SPREAD_AT_ISSUANCE_TO_WORST")</f>
        <v>2.3658273972602784</v>
      </c>
      <c r="H2135" t="str">
        <f>_xll.BDP("980805RV Muni","ISSUE_DT")</f>
        <v>10/15/2017</v>
      </c>
      <c r="I2135" t="str">
        <f>_xll.BDS("980805RV Muni","MUNI_PURPOSE_SCHED", "aggregate=y")</f>
        <v>WATER UTILITY IMPS. SEWER IMPS.</v>
      </c>
      <c r="J2135">
        <f>_xll.BDP("980805RV Muni","CPN")</f>
        <v>4</v>
      </c>
      <c r="K2135" t="str">
        <f>_xll.BDP("980805RV Muni","MATURITY")</f>
        <v>8/15/2025</v>
      </c>
      <c r="L2135">
        <v>300000</v>
      </c>
      <c r="M2135">
        <f>_xll.BDP("980805RV Muni","YIELD_ON_ISSUE_DATE")</f>
        <v>1.75</v>
      </c>
      <c r="N2135">
        <f>_xll.BDP("980805RV Muni","YTW_SPREAD_TO_MATURITY_AT_ISSU")</f>
        <v>2.3658273972602784</v>
      </c>
      <c r="O2135" t="str">
        <f>_xll.BDP("980805RV Muni","BVAL_MID_YTM")</f>
        <v>#N/A Authorization</v>
      </c>
      <c r="P2135" t="str">
        <f>_xll.BDP("980805RV Muni","MUNI_TAX_PROV")</f>
        <v>FED BQ</v>
      </c>
      <c r="Q2135" t="str">
        <f>_xll.BDP("980805RV Muni","MUNI_FED_TAX")</f>
        <v>N</v>
      </c>
      <c r="R2135">
        <f>_xll.BDP("980805RV Muni","MUNI_MSRB_VOLUME")</f>
        <v>200000</v>
      </c>
      <c r="S2135" t="str">
        <f>_xll.BDP("980805RV Muni","BB_COMPOSITE")</f>
        <v>#N/A N/A</v>
      </c>
      <c r="T2135">
        <f>_xll.BDP("980805RV Muni","LQA_LIQUIDITY_SCORE")</f>
        <v>79</v>
      </c>
    </row>
    <row r="2136" spans="1:20" x14ac:dyDescent="0.25">
      <c r="A2136" t="str">
        <f>_xll.BDP("980805RW Muni","ID_CUSIP")</f>
        <v>980805RW7</v>
      </c>
      <c r="B2136" t="s">
        <v>540</v>
      </c>
      <c r="C2136" t="str">
        <f>_xll.BDP("980805RW Muni","INSURANCE_STATUS")</f>
        <v>N</v>
      </c>
      <c r="D2136" t="str">
        <f>_xll.BDP("980805RW Muni","STATE_CODE")</f>
        <v>TX</v>
      </c>
      <c r="E2136" t="str">
        <f>_xll.BDP("980805RW Muni","COUNTY_LOCATION_ISSUER")</f>
        <v>McLennan, TX</v>
      </c>
      <c r="F2136">
        <f>_xll.BDP("980805RW Muni","DUR_ADJ_MID")</f>
        <v>3.6774035496207049</v>
      </c>
      <c r="G2136">
        <f>_xll.BDP("980805RW Muni","SPREAD_AT_ISSUANCE_TO_WORST")</f>
        <v>5.4431890410958861</v>
      </c>
      <c r="H2136" t="str">
        <f>_xll.BDP("980805RW Muni","ISSUE_DT")</f>
        <v>10/15/2017</v>
      </c>
      <c r="I2136" t="str">
        <f>_xll.BDS("980805RW Muni","MUNI_PURPOSE_SCHED", "aggregate=y")</f>
        <v>WATER UTILITY IMPS. SEWER IMPS.</v>
      </c>
      <c r="J2136">
        <f>_xll.BDP("980805RW Muni","CPN")</f>
        <v>4</v>
      </c>
      <c r="K2136" t="str">
        <f>_xll.BDP("980805RW Muni","MATURITY")</f>
        <v>8/15/2026</v>
      </c>
      <c r="L2136">
        <v>310000</v>
      </c>
      <c r="M2136">
        <f>_xll.BDP("980805RW Muni","YIELD_ON_ISSUE_DATE")</f>
        <v>1.9000000000000001</v>
      </c>
      <c r="N2136">
        <f>_xll.BDP("980805RW Muni","YTW_SPREAD_TO_MATURITY_AT_ISSU")</f>
        <v>5.4431890410958861</v>
      </c>
      <c r="O2136" t="str">
        <f>_xll.BDP("980805RW Muni","BVAL_MID_YTM")</f>
        <v>#N/A Authorization</v>
      </c>
      <c r="P2136" t="str">
        <f>_xll.BDP("980805RW Muni","MUNI_TAX_PROV")</f>
        <v>FED BQ</v>
      </c>
      <c r="Q2136" t="str">
        <f>_xll.BDP("980805RW Muni","MUNI_FED_TAX")</f>
        <v>N</v>
      </c>
      <c r="R2136" t="str">
        <f>_xll.BDP("980805RW Muni","MUNI_MSRB_VOLUME")</f>
        <v>#N/A N/A</v>
      </c>
      <c r="S2136" t="str">
        <f>_xll.BDP("980805RW Muni","BB_COMPOSITE")</f>
        <v>#N/A N/A</v>
      </c>
      <c r="T2136">
        <f>_xll.BDP("980805RW Muni","LQA_LIQUIDITY_SCORE")</f>
        <v>73</v>
      </c>
    </row>
    <row r="2137" spans="1:20" x14ac:dyDescent="0.25">
      <c r="A2137" t="str">
        <f>_xll.BDP("980805RX Muni","ID_CUSIP")</f>
        <v>980805RX5</v>
      </c>
      <c r="B2137" t="s">
        <v>540</v>
      </c>
      <c r="C2137" t="str">
        <f>_xll.BDP("980805RX Muni","INSURANCE_STATUS")</f>
        <v>N</v>
      </c>
      <c r="D2137" t="str">
        <f>_xll.BDP("980805RX Muni","STATE_CODE")</f>
        <v>TX</v>
      </c>
      <c r="E2137" t="str">
        <f>_xll.BDP("980805RX Muni","COUNTY_LOCATION_ISSUER")</f>
        <v>McLennan, TX</v>
      </c>
      <c r="F2137">
        <f>_xll.BDP("980805RX Muni","DUR_ADJ_MID")</f>
        <v>4.6078278197950713</v>
      </c>
      <c r="G2137">
        <f>_xll.BDP("980805RX Muni","SPREAD_AT_ISSUANCE_TO_WORST")</f>
        <v>5.8705260273972604</v>
      </c>
      <c r="H2137" t="str">
        <f>_xll.BDP("980805RX Muni","ISSUE_DT")</f>
        <v>10/15/2017</v>
      </c>
      <c r="I2137" t="str">
        <f>_xll.BDS("980805RX Muni","MUNI_PURPOSE_SCHED", "aggregate=y")</f>
        <v>WATER UTILITY IMPS. SEWER IMPS.</v>
      </c>
      <c r="J2137">
        <f>_xll.BDP("980805RX Muni","CPN")</f>
        <v>3</v>
      </c>
      <c r="K2137" t="str">
        <f>_xll.BDP("980805RX Muni","MATURITY")</f>
        <v>8/15/2027</v>
      </c>
      <c r="L2137">
        <v>320000</v>
      </c>
      <c r="M2137">
        <f>_xll.BDP("980805RX Muni","YIELD_ON_ISSUE_DATE")</f>
        <v>2</v>
      </c>
      <c r="N2137">
        <f>_xll.BDP("980805RX Muni","YTW_SPREAD_TO_MATURITY_AT_ISSU")</f>
        <v>5.8705260273972604</v>
      </c>
      <c r="O2137" t="str">
        <f>_xll.BDP("980805RX Muni","BVAL_MID_YTM")</f>
        <v>#N/A Authorization</v>
      </c>
      <c r="P2137" t="str">
        <f>_xll.BDP("980805RX Muni","MUNI_TAX_PROV")</f>
        <v>FED BQ</v>
      </c>
      <c r="Q2137" t="str">
        <f>_xll.BDP("980805RX Muni","MUNI_FED_TAX")</f>
        <v>N</v>
      </c>
      <c r="R2137" t="str">
        <f>_xll.BDP("980805RX Muni","MUNI_MSRB_VOLUME")</f>
        <v>#N/A N/A</v>
      </c>
      <c r="S2137" t="str">
        <f>_xll.BDP("980805RX Muni","BB_COMPOSITE")</f>
        <v>#N/A N/A</v>
      </c>
      <c r="T2137">
        <f>_xll.BDP("980805RX Muni","LQA_LIQUIDITY_SCORE")</f>
        <v>65</v>
      </c>
    </row>
    <row r="2138" spans="1:20" x14ac:dyDescent="0.25">
      <c r="A2138" t="str">
        <f>_xll.BDP("973449NK Muni","ID_CUSIP")</f>
        <v>973449NK3</v>
      </c>
      <c r="B2138" t="s">
        <v>541</v>
      </c>
      <c r="C2138" t="str">
        <f>_xll.BDP("973449NK Muni","INSURANCE_STATUS")</f>
        <v>N</v>
      </c>
      <c r="D2138" t="str">
        <f>_xll.BDP("973449NK Muni","STATE_CODE")</f>
        <v>MN</v>
      </c>
      <c r="E2138" t="str">
        <f>_xll.BDP("973449NK Muni","COUNTY_LOCATION_ISSUER")</f>
        <v>Cottonwood, MN</v>
      </c>
      <c r="F2138">
        <f>_xll.BDP("973449NK Muni","DUR_ADJ_MID")</f>
        <v>0.49447002903174159</v>
      </c>
      <c r="G2138">
        <f>_xll.BDP("973449NK Muni","SPREAD_AT_ISSUANCE_TO_WORST")</f>
        <v>18.663108590791389</v>
      </c>
      <c r="H2138" t="str">
        <f>_xll.BDP("973449NK Muni","ISSUE_DT")</f>
        <v>6/15/2017</v>
      </c>
      <c r="I2138" t="str">
        <f>_xll.BDS("973449NK Muni","MUNI_PURPOSE_SCHED", "aggregate=y")</f>
        <v>PUBLIC IMPS. WATER UTILITY IMPS. SEWER IMPS.</v>
      </c>
      <c r="J2138">
        <f>_xll.BDP("973449NK Muni","CPN")</f>
        <v>3</v>
      </c>
      <c r="K2138" t="str">
        <f>_xll.BDP("973449NK Muni","MATURITY")</f>
        <v>2/1/2023</v>
      </c>
      <c r="L2138">
        <v>185000</v>
      </c>
      <c r="M2138">
        <f>_xll.BDP("973449NK Muni","YIELD_ON_ISSUE_DATE")</f>
        <v>1.6500000000000001</v>
      </c>
      <c r="N2138">
        <f>_xll.BDP("973449NK Muni","YTW_SPREAD_TO_MATURITY_AT_ISSU")</f>
        <v>18.663108590791389</v>
      </c>
      <c r="O2138" t="str">
        <f>_xll.BDP("973449NK Muni","BVAL_MID_YTM")</f>
        <v>#N/A Authorization</v>
      </c>
      <c r="P2138" t="str">
        <f>_xll.BDP("973449NK Muni","MUNI_TAX_PROV")</f>
        <v>FED BQ/ST TAX-EXEMPT</v>
      </c>
      <c r="Q2138" t="str">
        <f>_xll.BDP("973449NK Muni","MUNI_FED_TAX")</f>
        <v>N</v>
      </c>
      <c r="R2138" t="str">
        <f>_xll.BDP("973449NK Muni","MUNI_MSRB_VOLUME")</f>
        <v>#N/A N/A</v>
      </c>
      <c r="S2138" t="str">
        <f>_xll.BDP("973449NK Muni","BB_COMPOSITE")</f>
        <v>#N/A N/A</v>
      </c>
      <c r="T2138">
        <f>_xll.BDP("973449NK Muni","LQA_LIQUIDITY_SCORE")</f>
        <v>89</v>
      </c>
    </row>
    <row r="2139" spans="1:20" x14ac:dyDescent="0.25">
      <c r="A2139" t="str">
        <f>_xll.BDP("973449NL Muni","ID_CUSIP")</f>
        <v>973449NL1</v>
      </c>
      <c r="B2139" t="s">
        <v>541</v>
      </c>
      <c r="C2139" t="str">
        <f>_xll.BDP("973449NL Muni","INSURANCE_STATUS")</f>
        <v>N</v>
      </c>
      <c r="D2139" t="str">
        <f>_xll.BDP("973449NL Muni","STATE_CODE")</f>
        <v>MN</v>
      </c>
      <c r="E2139" t="str">
        <f>_xll.BDP("973449NL Muni","COUNTY_LOCATION_ISSUER")</f>
        <v>Cottonwood, MN</v>
      </c>
      <c r="F2139">
        <f>_xll.BDP("973449NL Muni","DUR_ADJ_MID")</f>
        <v>1.4631580506118724</v>
      </c>
      <c r="G2139">
        <f>_xll.BDP("973449NL Muni","SPREAD_AT_ISSUANCE_TO_WORST")</f>
        <v>17.33566473127577</v>
      </c>
      <c r="H2139" t="str">
        <f>_xll.BDP("973449NL Muni","ISSUE_DT")</f>
        <v>6/15/2017</v>
      </c>
      <c r="I2139" t="str">
        <f>_xll.BDS("973449NL Muni","MUNI_PURPOSE_SCHED", "aggregate=y")</f>
        <v>PUBLIC IMPS. WATER UTILITY IMPS. SEWER IMPS.</v>
      </c>
      <c r="J2139">
        <f>_xll.BDP("973449NL Muni","CPN")</f>
        <v>3</v>
      </c>
      <c r="K2139" t="str">
        <f>_xll.BDP("973449NL Muni","MATURITY")</f>
        <v>2/1/2024</v>
      </c>
      <c r="L2139">
        <v>185000</v>
      </c>
      <c r="M2139">
        <f>_xll.BDP("973449NL Muni","YIELD_ON_ISSUE_DATE")</f>
        <v>1.8</v>
      </c>
      <c r="N2139">
        <f>_xll.BDP("973449NL Muni","YTW_SPREAD_TO_MATURITY_AT_ISSU")</f>
        <v>17.33566473127577</v>
      </c>
      <c r="O2139" t="str">
        <f>_xll.BDP("973449NL Muni","BVAL_MID_YTM")</f>
        <v>#N/A Authorization</v>
      </c>
      <c r="P2139" t="str">
        <f>_xll.BDP("973449NL Muni","MUNI_TAX_PROV")</f>
        <v>FED BQ/ST TAX-EXEMPT</v>
      </c>
      <c r="Q2139" t="str">
        <f>_xll.BDP("973449NL Muni","MUNI_FED_TAX")</f>
        <v>N</v>
      </c>
      <c r="R2139" t="str">
        <f>_xll.BDP("973449NL Muni","MUNI_MSRB_VOLUME")</f>
        <v>#N/A N/A</v>
      </c>
      <c r="S2139" t="str">
        <f>_xll.BDP("973449NL Muni","BB_COMPOSITE")</f>
        <v>#N/A N/A</v>
      </c>
      <c r="T2139">
        <f>_xll.BDP("973449NL Muni","LQA_LIQUIDITY_SCORE")</f>
        <v>74</v>
      </c>
    </row>
    <row r="2140" spans="1:20" x14ac:dyDescent="0.25">
      <c r="A2140" t="str">
        <f>_xll.BDP("973449NM Muni","ID_CUSIP")</f>
        <v>973449NM9</v>
      </c>
      <c r="B2140" t="s">
        <v>541</v>
      </c>
      <c r="C2140" t="str">
        <f>_xll.BDP("973449NM Muni","INSURANCE_STATUS")</f>
        <v>N</v>
      </c>
      <c r="D2140" t="str">
        <f>_xll.BDP("973449NM Muni","STATE_CODE")</f>
        <v>MN</v>
      </c>
      <c r="E2140" t="str">
        <f>_xll.BDP("973449NM Muni","COUNTY_LOCATION_ISSUER")</f>
        <v>Cottonwood, MN</v>
      </c>
      <c r="F2140">
        <f>_xll.BDP("973449NM Muni","DUR_ADJ_MID")</f>
        <v>2.4037310995915946</v>
      </c>
      <c r="G2140">
        <f>_xll.BDP("973449NM Muni","SPREAD_AT_ISSUANCE_TO_WORST")</f>
        <v>15.989218058534194</v>
      </c>
      <c r="H2140" t="str">
        <f>_xll.BDP("973449NM Muni","ISSUE_DT")</f>
        <v>6/15/2017</v>
      </c>
      <c r="I2140" t="str">
        <f>_xll.BDS("973449NM Muni","MUNI_PURPOSE_SCHED", "aggregate=y")</f>
        <v>PUBLIC IMPS. WATER UTILITY IMPS. SEWER IMPS.</v>
      </c>
      <c r="J2140">
        <f>_xll.BDP("973449NM Muni","CPN")</f>
        <v>3</v>
      </c>
      <c r="K2140" t="str">
        <f>_xll.BDP("973449NM Muni","MATURITY")</f>
        <v>2/1/2025</v>
      </c>
      <c r="L2140">
        <v>190000</v>
      </c>
      <c r="M2140">
        <f>_xll.BDP("973449NM Muni","YIELD_ON_ISSUE_DATE")</f>
        <v>1.95</v>
      </c>
      <c r="N2140">
        <f>_xll.BDP("973449NM Muni","YTW_SPREAD_TO_MATURITY_AT_ISSU")</f>
        <v>15.989218058534194</v>
      </c>
      <c r="O2140" t="str">
        <f>_xll.BDP("973449NM Muni","BVAL_MID_YTM")</f>
        <v>#N/A Authorization</v>
      </c>
      <c r="P2140" t="str">
        <f>_xll.BDP("973449NM Muni","MUNI_TAX_PROV")</f>
        <v>FED BQ/ST TAX-EXEMPT</v>
      </c>
      <c r="Q2140" t="str">
        <f>_xll.BDP("973449NM Muni","MUNI_FED_TAX")</f>
        <v>N</v>
      </c>
      <c r="R2140" t="str">
        <f>_xll.BDP("973449NM Muni","MUNI_MSRB_VOLUME")</f>
        <v>#N/A N/A</v>
      </c>
      <c r="S2140" t="str">
        <f>_xll.BDP("973449NM Muni","BB_COMPOSITE")</f>
        <v>#N/A N/A</v>
      </c>
      <c r="T2140">
        <f>_xll.BDP("973449NM Muni","LQA_LIQUIDITY_SCORE")</f>
        <v>64</v>
      </c>
    </row>
    <row r="2141" spans="1:20" x14ac:dyDescent="0.25">
      <c r="A2141" t="str">
        <f>_xll.BDP("973449NN Muni","ID_CUSIP")</f>
        <v>973449NN7</v>
      </c>
      <c r="B2141" t="s">
        <v>541</v>
      </c>
      <c r="C2141" t="str">
        <f>_xll.BDP("973449NN Muni","INSURANCE_STATUS")</f>
        <v>N</v>
      </c>
      <c r="D2141" t="str">
        <f>_xll.BDP("973449NN Muni","STATE_CODE")</f>
        <v>MN</v>
      </c>
      <c r="E2141" t="str">
        <f>_xll.BDP("973449NN Muni","COUNTY_LOCATION_ISSUER")</f>
        <v>Cottonwood, MN</v>
      </c>
      <c r="F2141">
        <f>_xll.BDP("973449NN Muni","DUR_ADJ_MID")</f>
        <v>3.3176990825942294</v>
      </c>
      <c r="G2141">
        <f>_xll.BDP("973449NN Muni","SPREAD_AT_ISSUANCE_TO_WORST")</f>
        <v>10.876598921678982</v>
      </c>
      <c r="H2141" t="str">
        <f>_xll.BDP("973449NN Muni","ISSUE_DT")</f>
        <v>6/15/2017</v>
      </c>
      <c r="I2141" t="str">
        <f>_xll.BDS("973449NN Muni","MUNI_PURPOSE_SCHED", "aggregate=y")</f>
        <v>PUBLIC IMPS. WATER UTILITY IMPS. SEWER IMPS.</v>
      </c>
      <c r="J2141">
        <f>_xll.BDP("973449NN Muni","CPN")</f>
        <v>3</v>
      </c>
      <c r="K2141" t="str">
        <f>_xll.BDP("973449NN Muni","MATURITY")</f>
        <v>2/1/2026</v>
      </c>
      <c r="L2141">
        <v>195000</v>
      </c>
      <c r="M2141">
        <f>_xll.BDP("973449NN Muni","YIELD_ON_ISSUE_DATE")</f>
        <v>2.0499999999999998</v>
      </c>
      <c r="N2141">
        <f>_xll.BDP("973449NN Muni","YTW_SPREAD_TO_MATURITY_AT_ISSU")</f>
        <v>10.876598921678982</v>
      </c>
      <c r="O2141" t="str">
        <f>_xll.BDP("973449NN Muni","BVAL_MID_YTM")</f>
        <v>#N/A Authorization</v>
      </c>
      <c r="P2141" t="str">
        <f>_xll.BDP("973449NN Muni","MUNI_TAX_PROV")</f>
        <v>FED BQ/ST TAX-EXEMPT</v>
      </c>
      <c r="Q2141" t="str">
        <f>_xll.BDP("973449NN Muni","MUNI_FED_TAX")</f>
        <v>N</v>
      </c>
      <c r="R2141" t="str">
        <f>_xll.BDP("973449NN Muni","MUNI_MSRB_VOLUME")</f>
        <v>#N/A N/A</v>
      </c>
      <c r="S2141" t="str">
        <f>_xll.BDP("973449NN Muni","BB_COMPOSITE")</f>
        <v>#N/A N/A</v>
      </c>
      <c r="T2141">
        <f>_xll.BDP("973449NN Muni","LQA_LIQUIDITY_SCORE")</f>
        <v>55</v>
      </c>
    </row>
    <row r="2142" spans="1:20" x14ac:dyDescent="0.25">
      <c r="A2142" t="str">
        <f>_xll.BDP("975700NA Muni","ID_CUSIP")</f>
        <v>975700NA9</v>
      </c>
      <c r="B2142" t="s">
        <v>542</v>
      </c>
      <c r="C2142" t="str">
        <f>_xll.BDP("975700NA Muni","INSURANCE_STATUS")</f>
        <v>N</v>
      </c>
      <c r="D2142" t="str">
        <f>_xll.BDP("975700NA Muni","STATE_CODE")</f>
        <v>NC</v>
      </c>
      <c r="E2142" t="str">
        <f>_xll.BDP("975700NA Muni","COUNTY_LOCATION_ISSUER")</f>
        <v>Forsyth, NC</v>
      </c>
      <c r="F2142">
        <f>_xll.BDP("975700NA Muni","DUR_ADJ_MID")</f>
        <v>0.81362677291473806</v>
      </c>
      <c r="G2142">
        <f>_xll.BDP("975700NA Muni","SPREAD_AT_ISSUANCE_TO_WORST")</f>
        <v>4.139246575342459</v>
      </c>
      <c r="H2142" t="str">
        <f>_xll.BDP("975700NA Muni","ISSUE_DT")</f>
        <v>10/19/2017</v>
      </c>
      <c r="I2142" t="str">
        <f>_xll.BDS("975700NA Muni","MUNI_PURPOSE_SCHED", "aggregate=y")</f>
        <v>WATER UTILITY IMPS. SEWER IMPS.</v>
      </c>
      <c r="J2142">
        <f>_xll.BDP("975700NA Muni","CPN")</f>
        <v>5</v>
      </c>
      <c r="K2142" t="str">
        <f>_xll.BDP("975700NA Muni","MATURITY")</f>
        <v>6/1/2023</v>
      </c>
      <c r="L2142">
        <v>1230000</v>
      </c>
      <c r="M2142">
        <f>_xll.BDP("975700NA Muni","YIELD_ON_ISSUE_DATE")</f>
        <v>1.5</v>
      </c>
      <c r="N2142">
        <f>_xll.BDP("975700NA Muni","YTW_SPREAD_TO_MATURITY_AT_ISSU")</f>
        <v>4.139246575342459</v>
      </c>
      <c r="O2142" t="str">
        <f>_xll.BDP("975700NA Muni","BVAL_MID_YTM")</f>
        <v>#N/A Authorization</v>
      </c>
      <c r="P2142" t="str">
        <f>_xll.BDP("975700NA Muni","MUNI_TAX_PROV")</f>
        <v>FED &amp; ST TAX-EXEMPT</v>
      </c>
      <c r="Q2142" t="str">
        <f>_xll.BDP("975700NA Muni","MUNI_FED_TAX")</f>
        <v>N</v>
      </c>
      <c r="R2142" t="str">
        <f>_xll.BDP("975700NA Muni","MUNI_MSRB_VOLUME")</f>
        <v>#N/A N/A</v>
      </c>
      <c r="S2142" t="str">
        <f>_xll.BDP("975700NA Muni","BB_COMPOSITE")</f>
        <v>AA+</v>
      </c>
      <c r="T2142">
        <f>_xll.BDP("975700NA Muni","LQA_LIQUIDITY_SCORE")</f>
        <v>98</v>
      </c>
    </row>
    <row r="2143" spans="1:20" x14ac:dyDescent="0.25">
      <c r="A2143" t="str">
        <f>_xll.BDP("975700NB Muni","ID_CUSIP")</f>
        <v>975700NB7</v>
      </c>
      <c r="B2143" t="s">
        <v>542</v>
      </c>
      <c r="C2143" t="str">
        <f>_xll.BDP("975700NB Muni","INSURANCE_STATUS")</f>
        <v>N</v>
      </c>
      <c r="D2143" t="str">
        <f>_xll.BDP("975700NB Muni","STATE_CODE")</f>
        <v>NC</v>
      </c>
      <c r="E2143" t="str">
        <f>_xll.BDP("975700NB Muni","COUNTY_LOCATION_ISSUER")</f>
        <v>Forsyth, NC</v>
      </c>
      <c r="F2143">
        <f>_xll.BDP("975700NB Muni","DUR_ADJ_MID")</f>
        <v>1.7475216115348915</v>
      </c>
      <c r="G2143">
        <f>_xll.BDP("975700NB Muni","SPREAD_AT_ISSUANCE_TO_WORST")</f>
        <v>3.510463013698617</v>
      </c>
      <c r="H2143" t="str">
        <f>_xll.BDP("975700NB Muni","ISSUE_DT")</f>
        <v>10/19/2017</v>
      </c>
      <c r="I2143" t="str">
        <f>_xll.BDS("975700NB Muni","MUNI_PURPOSE_SCHED", "aggregate=y")</f>
        <v>WATER UTILITY IMPS. SEWER IMPS.</v>
      </c>
      <c r="J2143">
        <f>_xll.BDP("975700NB Muni","CPN")</f>
        <v>5</v>
      </c>
      <c r="K2143" t="str">
        <f>_xll.BDP("975700NB Muni","MATURITY")</f>
        <v>6/1/2024</v>
      </c>
      <c r="L2143">
        <v>1290000</v>
      </c>
      <c r="M2143">
        <f>_xll.BDP("975700NB Muni","YIELD_ON_ISSUE_DATE")</f>
        <v>1.6300000000000001</v>
      </c>
      <c r="N2143">
        <f>_xll.BDP("975700NB Muni","YTW_SPREAD_TO_MATURITY_AT_ISSU")</f>
        <v>3.510463013698617</v>
      </c>
      <c r="O2143" t="str">
        <f>_xll.BDP("975700NB Muni","BVAL_MID_YTM")</f>
        <v>#N/A Authorization</v>
      </c>
      <c r="P2143" t="str">
        <f>_xll.BDP("975700NB Muni","MUNI_TAX_PROV")</f>
        <v>FED &amp; ST TAX-EXEMPT</v>
      </c>
      <c r="Q2143" t="str">
        <f>_xll.BDP("975700NB Muni","MUNI_FED_TAX")</f>
        <v>N</v>
      </c>
      <c r="R2143">
        <f>_xll.BDP("975700NB Muni","MUNI_MSRB_VOLUME")</f>
        <v>80000</v>
      </c>
      <c r="S2143" t="str">
        <f>_xll.BDP("975700NB Muni","BB_COMPOSITE")</f>
        <v>AA+</v>
      </c>
      <c r="T2143">
        <f>_xll.BDP("975700NB Muni","LQA_LIQUIDITY_SCORE")</f>
        <v>94</v>
      </c>
    </row>
    <row r="2144" spans="1:20" x14ac:dyDescent="0.25">
      <c r="A2144" t="str">
        <f>_xll.BDP("975700NC Muni","ID_CUSIP")</f>
        <v>975700NC5</v>
      </c>
      <c r="B2144" t="s">
        <v>542</v>
      </c>
      <c r="C2144" t="str">
        <f>_xll.BDP("975700NC Muni","INSURANCE_STATUS")</f>
        <v>N</v>
      </c>
      <c r="D2144" t="str">
        <f>_xll.BDP("975700NC Muni","STATE_CODE")</f>
        <v>NC</v>
      </c>
      <c r="E2144" t="str">
        <f>_xll.BDP("975700NC Muni","COUNTY_LOCATION_ISSUER")</f>
        <v>Forsyth, NC</v>
      </c>
      <c r="F2144">
        <f>_xll.BDP("975700NC Muni","DUR_ADJ_MID")</f>
        <v>2.6406249325259838</v>
      </c>
      <c r="G2144">
        <f>_xll.BDP("975700NC Muni","SPREAD_AT_ISSUANCE_TO_WORST")</f>
        <v>4.7403890410958827</v>
      </c>
      <c r="H2144" t="str">
        <f>_xll.BDP("975700NC Muni","ISSUE_DT")</f>
        <v>10/19/2017</v>
      </c>
      <c r="I2144" t="str">
        <f>_xll.BDS("975700NC Muni","MUNI_PURPOSE_SCHED", "aggregate=y")</f>
        <v>WATER UTILITY IMPS. SEWER IMPS.</v>
      </c>
      <c r="J2144">
        <f>_xll.BDP("975700NC Muni","CPN")</f>
        <v>5</v>
      </c>
      <c r="K2144" t="str">
        <f>_xll.BDP("975700NC Muni","MATURITY")</f>
        <v>6/1/2025</v>
      </c>
      <c r="L2144">
        <v>1355000</v>
      </c>
      <c r="M2144">
        <f>_xll.BDP("975700NC Muni","YIELD_ON_ISSUE_DATE")</f>
        <v>1.78</v>
      </c>
      <c r="N2144">
        <f>_xll.BDP("975700NC Muni","YTW_SPREAD_TO_MATURITY_AT_ISSU")</f>
        <v>4.7403890410958827</v>
      </c>
      <c r="O2144" t="str">
        <f>_xll.BDP("975700NC Muni","BVAL_MID_YTM")</f>
        <v>#N/A Authorization</v>
      </c>
      <c r="P2144" t="str">
        <f>_xll.BDP("975700NC Muni","MUNI_TAX_PROV")</f>
        <v>FED &amp; ST TAX-EXEMPT</v>
      </c>
      <c r="Q2144" t="str">
        <f>_xll.BDP("975700NC Muni","MUNI_FED_TAX")</f>
        <v>N</v>
      </c>
      <c r="R2144" t="str">
        <f>_xll.BDP("975700NC Muni","MUNI_MSRB_VOLUME")</f>
        <v>#N/A N/A</v>
      </c>
      <c r="S2144" t="str">
        <f>_xll.BDP("975700NC Muni","BB_COMPOSITE")</f>
        <v>AA+</v>
      </c>
      <c r="T2144">
        <f>_xll.BDP("975700NC Muni","LQA_LIQUIDITY_SCORE")</f>
        <v>87</v>
      </c>
    </row>
    <row r="2145" spans="1:20" x14ac:dyDescent="0.25">
      <c r="A2145" t="str">
        <f>_xll.BDP("975700ND Muni","ID_CUSIP")</f>
        <v>975700ND3</v>
      </c>
      <c r="B2145" t="s">
        <v>542</v>
      </c>
      <c r="C2145" t="str">
        <f>_xll.BDP("975700ND Muni","INSURANCE_STATUS")</f>
        <v>N</v>
      </c>
      <c r="D2145" t="str">
        <f>_xll.BDP("975700ND Muni","STATE_CODE")</f>
        <v>NC</v>
      </c>
      <c r="E2145" t="str">
        <f>_xll.BDP("975700ND Muni","COUNTY_LOCATION_ISSUER")</f>
        <v>Forsyth, NC</v>
      </c>
      <c r="F2145">
        <f>_xll.BDP("975700ND Muni","DUR_ADJ_MID")</f>
        <v>3.4963594227364565</v>
      </c>
      <c r="G2145">
        <f>_xll.BDP("975700ND Muni","SPREAD_AT_ISSUANCE_TO_WORST")</f>
        <v>4.0529589041095715</v>
      </c>
      <c r="H2145" t="str">
        <f>_xll.BDP("975700ND Muni","ISSUE_DT")</f>
        <v>10/19/2017</v>
      </c>
      <c r="I2145" t="str">
        <f>_xll.BDS("975700ND Muni","MUNI_PURPOSE_SCHED", "aggregate=y")</f>
        <v>WATER UTILITY IMPS. SEWER IMPS.</v>
      </c>
      <c r="J2145">
        <f>_xll.BDP("975700ND Muni","CPN")</f>
        <v>5</v>
      </c>
      <c r="K2145" t="str">
        <f>_xll.BDP("975700ND Muni","MATURITY")</f>
        <v>6/1/2026</v>
      </c>
      <c r="L2145">
        <v>1425000</v>
      </c>
      <c r="M2145">
        <f>_xll.BDP("975700ND Muni","YIELD_ON_ISSUE_DATE")</f>
        <v>1.9000000000000001</v>
      </c>
      <c r="N2145">
        <f>_xll.BDP("975700ND Muni","YTW_SPREAD_TO_MATURITY_AT_ISSU")</f>
        <v>4.0529589041095715</v>
      </c>
      <c r="O2145" t="str">
        <f>_xll.BDP("975700ND Muni","BVAL_MID_YTM")</f>
        <v>#N/A Authorization</v>
      </c>
      <c r="P2145" t="str">
        <f>_xll.BDP("975700ND Muni","MUNI_TAX_PROV")</f>
        <v>FED &amp; ST TAX-EXEMPT</v>
      </c>
      <c r="Q2145" t="str">
        <f>_xll.BDP("975700ND Muni","MUNI_FED_TAX")</f>
        <v>N</v>
      </c>
      <c r="R2145" t="str">
        <f>_xll.BDP("975700ND Muni","MUNI_MSRB_VOLUME")</f>
        <v>#N/A N/A</v>
      </c>
      <c r="S2145" t="str">
        <f>_xll.BDP("975700ND Muni","BB_COMPOSITE")</f>
        <v>AA+</v>
      </c>
      <c r="T2145">
        <f>_xll.BDP("975700ND Muni","LQA_LIQUIDITY_SCORE")</f>
        <v>82</v>
      </c>
    </row>
    <row r="2146" spans="1:20" x14ac:dyDescent="0.25">
      <c r="A2146" t="str">
        <f>_xll.BDP("975700NE Muni","ID_CUSIP")</f>
        <v>975700NE1</v>
      </c>
      <c r="B2146" t="s">
        <v>542</v>
      </c>
      <c r="C2146" t="str">
        <f>_xll.BDP("975700NE Muni","INSURANCE_STATUS")</f>
        <v>N</v>
      </c>
      <c r="D2146" t="str">
        <f>_xll.BDP("975700NE Muni","STATE_CODE")</f>
        <v>NC</v>
      </c>
      <c r="E2146" t="str">
        <f>_xll.BDP("975700NE Muni","COUNTY_LOCATION_ISSUER")</f>
        <v>Forsyth, NC</v>
      </c>
      <c r="F2146">
        <f>_xll.BDP("975700NE Muni","DUR_ADJ_MID")</f>
        <v>4.3123223055176991</v>
      </c>
      <c r="G2146">
        <f>_xll.BDP("975700NE Muni","SPREAD_AT_ISSUANCE_TO_WORST")</f>
        <v>3.5709068493150697</v>
      </c>
      <c r="H2146" t="str">
        <f>_xll.BDP("975700NE Muni","ISSUE_DT")</f>
        <v>10/19/2017</v>
      </c>
      <c r="I2146" t="str">
        <f>_xll.BDS("975700NE Muni","MUNI_PURPOSE_SCHED", "aggregate=y")</f>
        <v>WATER UTILITY IMPS. SEWER IMPS.</v>
      </c>
      <c r="J2146">
        <f>_xll.BDP("975700NE Muni","CPN")</f>
        <v>5</v>
      </c>
      <c r="K2146" t="str">
        <f>_xll.BDP("975700NE Muni","MATURITY")</f>
        <v>6/1/2027</v>
      </c>
      <c r="L2146">
        <v>1495000</v>
      </c>
      <c r="M2146">
        <f>_xll.BDP("975700NE Muni","YIELD_ON_ISSUE_DATE")</f>
        <v>2</v>
      </c>
      <c r="N2146">
        <f>_xll.BDP("975700NE Muni","YTW_SPREAD_TO_MATURITY_AT_ISSU")</f>
        <v>3.5709068493150697</v>
      </c>
      <c r="O2146" t="str">
        <f>_xll.BDP("975700NE Muni","BVAL_MID_YTM")</f>
        <v>#N/A Authorization</v>
      </c>
      <c r="P2146" t="str">
        <f>_xll.BDP("975700NE Muni","MUNI_TAX_PROV")</f>
        <v>FED &amp; ST TAX-EXEMPT</v>
      </c>
      <c r="Q2146" t="str">
        <f>_xll.BDP("975700NE Muni","MUNI_FED_TAX")</f>
        <v>N</v>
      </c>
      <c r="R2146">
        <f>_xll.BDP("975700NE Muni","MUNI_MSRB_VOLUME")</f>
        <v>10000</v>
      </c>
      <c r="S2146" t="str">
        <f>_xll.BDP("975700NE Muni","BB_COMPOSITE")</f>
        <v>AA+</v>
      </c>
      <c r="T2146">
        <f>_xll.BDP("975700NE Muni","LQA_LIQUIDITY_SCORE")</f>
        <v>78</v>
      </c>
    </row>
    <row r="2147" spans="1:20" x14ac:dyDescent="0.25">
      <c r="A2147" t="str">
        <f>_xll.BDP("862233LB Muni","ID_CUSIP")</f>
        <v>862233LB7</v>
      </c>
      <c r="B2147" t="s">
        <v>543</v>
      </c>
      <c r="C2147" t="str">
        <f>_xll.BDP("862233LB Muni","INSURANCE_STATUS")</f>
        <v>N</v>
      </c>
      <c r="D2147" t="str">
        <f>_xll.BDP("862233LB Muni","STATE_CODE")</f>
        <v>IA</v>
      </c>
      <c r="E2147" t="str">
        <f>_xll.BDP("862233LB Muni","COUNTY_LOCATION_ISSUER")</f>
        <v>Story, IA</v>
      </c>
      <c r="F2147">
        <f>_xll.BDP("862233LB Muni","DUR_ADJ_MID")</f>
        <v>0.81718601816734537</v>
      </c>
      <c r="G2147">
        <f>_xll.BDP("862233LB Muni","SPREAD_AT_ISSUANCE_TO_WORST")</f>
        <v>29.667784159062059</v>
      </c>
      <c r="H2147" t="str">
        <f>_xll.BDP("862233LB Muni","ISSUE_DT")</f>
        <v>6/21/2017</v>
      </c>
      <c r="I2147" t="str">
        <f>_xll.BDS("862233LB Muni","MUNI_PURPOSE_SCHED", "aggregate=y")</f>
        <v>PUBLIC IMPS. WATER UTILITY IMPS. SEWER IMPS.</v>
      </c>
      <c r="J2147">
        <f>_xll.BDP("862233LB Muni","CPN")</f>
        <v>2.5</v>
      </c>
      <c r="K2147" t="str">
        <f>_xll.BDP("862233LB Muni","MATURITY")</f>
        <v>6/1/2023</v>
      </c>
      <c r="L2147">
        <v>320000</v>
      </c>
      <c r="M2147">
        <f>_xll.BDP("862233LB Muni","YIELD_ON_ISSUE_DATE")</f>
        <v>1.7000000000000002</v>
      </c>
      <c r="N2147">
        <f>_xll.BDP("862233LB Muni","YTW_SPREAD_TO_MATURITY_AT_ISSU")</f>
        <v>29.667784159062059</v>
      </c>
      <c r="O2147" t="str">
        <f>_xll.BDP("862233LB Muni","BVAL_MID_YTM")</f>
        <v>#N/A Authorization</v>
      </c>
      <c r="P2147" t="str">
        <f>_xll.BDP("862233LB Muni","MUNI_TAX_PROV")</f>
        <v>FED BQ</v>
      </c>
      <c r="Q2147" t="str">
        <f>_xll.BDP("862233LB Muni","MUNI_FED_TAX")</f>
        <v>N</v>
      </c>
      <c r="R2147" t="str">
        <f>_xll.BDP("862233LB Muni","MUNI_MSRB_VOLUME")</f>
        <v>#N/A N/A</v>
      </c>
      <c r="S2147" t="str">
        <f>_xll.BDP("862233LB Muni","BB_COMPOSITE")</f>
        <v>#N/A N/A</v>
      </c>
      <c r="T2147">
        <f>_xll.BDP("862233LB Muni","LQA_LIQUIDITY_SCORE")</f>
        <v>85</v>
      </c>
    </row>
    <row r="2148" spans="1:20" x14ac:dyDescent="0.25">
      <c r="A2148" t="str">
        <f>_xll.BDP("932457EE Muni","ID_CUSIP")</f>
        <v>932457EE0</v>
      </c>
      <c r="B2148" t="s">
        <v>154</v>
      </c>
      <c r="C2148" t="str">
        <f>_xll.BDP("932457EE Muni","INSURANCE_STATUS")</f>
        <v>Y</v>
      </c>
      <c r="D2148" t="str">
        <f>_xll.BDP("932457EE Muni","STATE_CODE")</f>
        <v>TX</v>
      </c>
      <c r="E2148" t="str">
        <f>_xll.BDP("932457EE Muni","COUNTY_LOCATION_ISSUER")</f>
        <v>Waller, TX</v>
      </c>
      <c r="F2148">
        <f>_xll.BDP("932457EE Muni","DUR_ADJ_MID")</f>
        <v>5.5551824477564678E-3</v>
      </c>
      <c r="G2148">
        <f>_xll.BDP("932457EE Muni","SPREAD_AT_ISSUANCE_TO_WORST")</f>
        <v>25.140216438356177</v>
      </c>
      <c r="H2148" t="str">
        <f>_xll.BDP("932457EE Muni","ISSUE_DT")</f>
        <v>10/1/2017</v>
      </c>
      <c r="I2148" t="str">
        <f>_xll.BDS("932457EE Muni","MUNI_PURPOSE_SCHED", "aggregate=y")</f>
        <v>WATER UTILITY IMPS. SEWER IMPS.</v>
      </c>
      <c r="J2148">
        <f>_xll.BDP("932457EE Muni","CPN")</f>
        <v>3</v>
      </c>
      <c r="K2148" t="str">
        <f>_xll.BDP("932457EE Muni","MATURITY")</f>
        <v>8/1/2022</v>
      </c>
      <c r="L2148">
        <v>75000</v>
      </c>
      <c r="M2148">
        <f>_xll.BDP("932457EE Muni","YIELD_ON_ISSUE_DATE")</f>
        <v>1.5</v>
      </c>
      <c r="N2148">
        <f>_xll.BDP("932457EE Muni","YTW_SPREAD_TO_MATURITY_AT_ISSU")</f>
        <v>25.140216438356177</v>
      </c>
      <c r="O2148" t="str">
        <f>_xll.BDP("932457EE Muni","BVAL_MID_YTM")</f>
        <v>#N/A Authorization</v>
      </c>
      <c r="P2148" t="str">
        <f>_xll.BDP("932457EE Muni","MUNI_TAX_PROV")</f>
        <v>FED BQ</v>
      </c>
      <c r="Q2148" t="str">
        <f>_xll.BDP("932457EE Muni","MUNI_FED_TAX")</f>
        <v>N</v>
      </c>
      <c r="R2148" t="str">
        <f>_xll.BDP("932457EE Muni","MUNI_MSRB_VOLUME")</f>
        <v>#N/A N/A</v>
      </c>
      <c r="S2148" t="str">
        <f>_xll.BDP("932457EE Muni","BB_COMPOSITE")</f>
        <v>AA-</v>
      </c>
      <c r="T2148">
        <f>_xll.BDP("932457EE Muni","LQA_LIQUIDITY_SCORE")</f>
        <v>98</v>
      </c>
    </row>
    <row r="2149" spans="1:20" x14ac:dyDescent="0.25">
      <c r="A2149" t="str">
        <f>_xll.BDP("932457EF Muni","ID_CUSIP")</f>
        <v>932457EF7</v>
      </c>
      <c r="B2149" t="s">
        <v>154</v>
      </c>
      <c r="C2149" t="str">
        <f>_xll.BDP("932457EF Muni","INSURANCE_STATUS")</f>
        <v>Y</v>
      </c>
      <c r="D2149" t="str">
        <f>_xll.BDP("932457EF Muni","STATE_CODE")</f>
        <v>TX</v>
      </c>
      <c r="E2149" t="str">
        <f>_xll.BDP("932457EF Muni","COUNTY_LOCATION_ISSUER")</f>
        <v>Waller, TX</v>
      </c>
      <c r="F2149">
        <f>_xll.BDP("932457EF Muni","DUR_ADJ_MID")</f>
        <v>0.98111896966644285</v>
      </c>
      <c r="G2149">
        <f>_xll.BDP("932457EF Muni","SPREAD_AT_ISSUANCE_TO_WORST")</f>
        <v>26.625410958904116</v>
      </c>
      <c r="H2149" t="str">
        <f>_xll.BDP("932457EF Muni","ISSUE_DT")</f>
        <v>10/1/2017</v>
      </c>
      <c r="I2149" t="str">
        <f>_xll.BDS("932457EF Muni","MUNI_PURPOSE_SCHED", "aggregate=y")</f>
        <v>WATER UTILITY IMPS. SEWER IMPS.</v>
      </c>
      <c r="J2149">
        <f>_xll.BDP("932457EF Muni","CPN")</f>
        <v>3</v>
      </c>
      <c r="K2149" t="str">
        <f>_xll.BDP("932457EF Muni","MATURITY")</f>
        <v>8/1/2023</v>
      </c>
      <c r="L2149">
        <v>80000</v>
      </c>
      <c r="M2149">
        <f>_xll.BDP("932457EF Muni","YIELD_ON_ISSUE_DATE")</f>
        <v>1.6500000000000001</v>
      </c>
      <c r="N2149">
        <f>_xll.BDP("932457EF Muni","YTW_SPREAD_TO_MATURITY_AT_ISSU")</f>
        <v>26.625410958904116</v>
      </c>
      <c r="O2149" t="str">
        <f>_xll.BDP("932457EF Muni","BVAL_MID_YTM")</f>
        <v>#N/A Authorization</v>
      </c>
      <c r="P2149" t="str">
        <f>_xll.BDP("932457EF Muni","MUNI_TAX_PROV")</f>
        <v>FED BQ</v>
      </c>
      <c r="Q2149" t="str">
        <f>_xll.BDP("932457EF Muni","MUNI_FED_TAX")</f>
        <v>N</v>
      </c>
      <c r="R2149" t="str">
        <f>_xll.BDP("932457EF Muni","MUNI_MSRB_VOLUME")</f>
        <v>#N/A N/A</v>
      </c>
      <c r="S2149" t="str">
        <f>_xll.BDP("932457EF Muni","BB_COMPOSITE")</f>
        <v>AA-</v>
      </c>
      <c r="T2149">
        <f>_xll.BDP("932457EF Muni","LQA_LIQUIDITY_SCORE")</f>
        <v>87</v>
      </c>
    </row>
    <row r="2150" spans="1:20" x14ac:dyDescent="0.25">
      <c r="A2150" t="str">
        <f>_xll.BDP("932457EH Muni","ID_CUSIP")</f>
        <v>932457EH3</v>
      </c>
      <c r="B2150" t="s">
        <v>154</v>
      </c>
      <c r="C2150" t="str">
        <f>_xll.BDP("932457EH Muni","INSURANCE_STATUS")</f>
        <v>Y</v>
      </c>
      <c r="D2150" t="str">
        <f>_xll.BDP("932457EH Muni","STATE_CODE")</f>
        <v>TX</v>
      </c>
      <c r="E2150" t="str">
        <f>_xll.BDP("932457EH Muni","COUNTY_LOCATION_ISSUER")</f>
        <v>Waller, TX</v>
      </c>
      <c r="F2150">
        <f>_xll.BDP("932457EH Muni","DUR_ADJ_MID")</f>
        <v>2.8595193368424976</v>
      </c>
      <c r="G2150">
        <f>_xll.BDP("932457EH Muni","SPREAD_AT_ISSUANCE_TO_WORST")</f>
        <v>28.469463013698615</v>
      </c>
      <c r="H2150" t="str">
        <f>_xll.BDP("932457EH Muni","ISSUE_DT")</f>
        <v>10/1/2017</v>
      </c>
      <c r="I2150" t="str">
        <f>_xll.BDS("932457EH Muni","MUNI_PURPOSE_SCHED", "aggregate=y")</f>
        <v>WATER UTILITY IMPS. SEWER IMPS.</v>
      </c>
      <c r="J2150">
        <f>_xll.BDP("932457EH Muni","CPN")</f>
        <v>3</v>
      </c>
      <c r="K2150" t="str">
        <f>_xll.BDP("932457EH Muni","MATURITY")</f>
        <v>8/1/2025</v>
      </c>
      <c r="L2150">
        <v>90000</v>
      </c>
      <c r="M2150">
        <f>_xll.BDP("932457EH Muni","YIELD_ON_ISSUE_DATE")</f>
        <v>1.95</v>
      </c>
      <c r="N2150">
        <f>_xll.BDP("932457EH Muni","YTW_SPREAD_TO_MATURITY_AT_ISSU")</f>
        <v>28.469463013698615</v>
      </c>
      <c r="O2150" t="str">
        <f>_xll.BDP("932457EH Muni","BVAL_MID_YTM")</f>
        <v>#N/A Authorization</v>
      </c>
      <c r="P2150" t="str">
        <f>_xll.BDP("932457EH Muni","MUNI_TAX_PROV")</f>
        <v>FED BQ</v>
      </c>
      <c r="Q2150" t="str">
        <f>_xll.BDP("932457EH Muni","MUNI_FED_TAX")</f>
        <v>N</v>
      </c>
      <c r="R2150" t="str">
        <f>_xll.BDP("932457EH Muni","MUNI_MSRB_VOLUME")</f>
        <v>#N/A N/A</v>
      </c>
      <c r="S2150" t="str">
        <f>_xll.BDP("932457EH Muni","BB_COMPOSITE")</f>
        <v>AA-</v>
      </c>
      <c r="T2150">
        <f>_xll.BDP("932457EH Muni","LQA_LIQUIDITY_SCORE")</f>
        <v>64</v>
      </c>
    </row>
    <row r="2151" spans="1:20" x14ac:dyDescent="0.25">
      <c r="A2151" t="str">
        <f>_xll.BDP("933033TA Muni","ID_CUSIP")</f>
        <v>933033TA0</v>
      </c>
      <c r="B2151" t="s">
        <v>544</v>
      </c>
      <c r="C2151" t="str">
        <f>_xll.BDP("933033TA Muni","INSURANCE_STATUS")</f>
        <v>N</v>
      </c>
      <c r="D2151" t="str">
        <f>_xll.BDP("933033TA Muni","STATE_CODE")</f>
        <v>MA</v>
      </c>
      <c r="E2151" t="str">
        <f>_xll.BDP("933033TA Muni","COUNTY_LOCATION_ISSUER")</f>
        <v>Norfolk, MA</v>
      </c>
      <c r="F2151">
        <f>_xll.BDP("933033TA Muni","DUR_ADJ_MID")</f>
        <v>0.68690227420007055</v>
      </c>
      <c r="G2151">
        <f>_xll.BDP("933033TA Muni","SPREAD_AT_ISSUANCE_TO_WORST")</f>
        <v>3.9324158665422049</v>
      </c>
      <c r="H2151" t="str">
        <f>_xll.BDP("933033TA Muni","ISSUE_DT")</f>
        <v>4/20/2017</v>
      </c>
      <c r="I2151" t="str">
        <f>_xll.BDS("933033TA Muni","MUNI_PURPOSE_SCHED", "aggregate=y")</f>
        <v>PUBLIC IMPS. WATER UTILITY IMPS.</v>
      </c>
      <c r="J2151">
        <f>_xll.BDP("933033TA Muni","CPN")</f>
        <v>5</v>
      </c>
      <c r="K2151" t="str">
        <f>_xll.BDP("933033TA Muni","MATURITY")</f>
        <v>4/15/2023</v>
      </c>
      <c r="L2151">
        <v>705000</v>
      </c>
      <c r="M2151">
        <f>_xll.BDP("933033TA Muni","YIELD_ON_ISSUE_DATE")</f>
        <v>1.71</v>
      </c>
      <c r="N2151">
        <f>_xll.BDP("933033TA Muni","YTW_SPREAD_TO_MATURITY_AT_ISSU")</f>
        <v>3.9324158665422049</v>
      </c>
      <c r="O2151" t="str">
        <f>_xll.BDP("933033TA Muni","BVAL_MID_YTM")</f>
        <v>#N/A Authorization</v>
      </c>
      <c r="P2151" t="str">
        <f>_xll.BDP("933033TA Muni","MUNI_TAX_PROV")</f>
        <v>FED &amp; ST TAX-EXEMPT</v>
      </c>
      <c r="Q2151" t="str">
        <f>_xll.BDP("933033TA Muni","MUNI_FED_TAX")</f>
        <v>N</v>
      </c>
      <c r="R2151">
        <f>_xll.BDP("933033TA Muni","MUNI_MSRB_VOLUME")</f>
        <v>110000</v>
      </c>
      <c r="S2151" t="str">
        <f>_xll.BDP("933033TA Muni","BB_COMPOSITE")</f>
        <v>#N/A N/A</v>
      </c>
      <c r="T2151">
        <f>_xll.BDP("933033TA Muni","LQA_LIQUIDITY_SCORE")</f>
        <v>99</v>
      </c>
    </row>
    <row r="2152" spans="1:20" x14ac:dyDescent="0.25">
      <c r="A2152" t="str">
        <f>_xll.BDP("933033TB Muni","ID_CUSIP")</f>
        <v>933033TB8</v>
      </c>
      <c r="B2152" t="s">
        <v>544</v>
      </c>
      <c r="C2152" t="str">
        <f>_xll.BDP("933033TB Muni","INSURANCE_STATUS")</f>
        <v>N</v>
      </c>
      <c r="D2152" t="str">
        <f>_xll.BDP("933033TB Muni","STATE_CODE")</f>
        <v>MA</v>
      </c>
      <c r="E2152" t="str">
        <f>_xll.BDP("933033TB Muni","COUNTY_LOCATION_ISSUER")</f>
        <v>Norfolk, MA</v>
      </c>
      <c r="F2152">
        <f>_xll.BDP("933033TB Muni","DUR_ADJ_MID")</f>
        <v>1.620778669059475</v>
      </c>
      <c r="G2152">
        <f>_xll.BDP("933033TB Muni","SPREAD_AT_ISSUANCE_TO_WORST")</f>
        <v>3.385385566520327</v>
      </c>
      <c r="H2152" t="str">
        <f>_xll.BDP("933033TB Muni","ISSUE_DT")</f>
        <v>4/20/2017</v>
      </c>
      <c r="I2152" t="str">
        <f>_xll.BDS("933033TB Muni","MUNI_PURPOSE_SCHED", "aggregate=y")</f>
        <v>PUBLIC IMPS. WATER UTILITY IMPS.</v>
      </c>
      <c r="J2152">
        <f>_xll.BDP("933033TB Muni","CPN")</f>
        <v>5</v>
      </c>
      <c r="K2152" t="str">
        <f>_xll.BDP("933033TB Muni","MATURITY")</f>
        <v>4/15/2024</v>
      </c>
      <c r="L2152">
        <v>740000</v>
      </c>
      <c r="M2152">
        <f>_xll.BDP("933033TB Muni","YIELD_ON_ISSUE_DATE")</f>
        <v>1.87</v>
      </c>
      <c r="N2152">
        <f>_xll.BDP("933033TB Muni","YTW_SPREAD_TO_MATURITY_AT_ISSU")</f>
        <v>3.385385566520327</v>
      </c>
      <c r="O2152" t="str">
        <f>_xll.BDP("933033TB Muni","BVAL_MID_YTM")</f>
        <v>#N/A Authorization</v>
      </c>
      <c r="P2152" t="str">
        <f>_xll.BDP("933033TB Muni","MUNI_TAX_PROV")</f>
        <v>FED &amp; ST TAX-EXEMPT</v>
      </c>
      <c r="Q2152" t="str">
        <f>_xll.BDP("933033TB Muni","MUNI_FED_TAX")</f>
        <v>N</v>
      </c>
      <c r="R2152" t="str">
        <f>_xll.BDP("933033TB Muni","MUNI_MSRB_VOLUME")</f>
        <v>#N/A N/A</v>
      </c>
      <c r="S2152" t="str">
        <f>_xll.BDP("933033TB Muni","BB_COMPOSITE")</f>
        <v>#N/A N/A</v>
      </c>
      <c r="T2152">
        <f>_xll.BDP("933033TB Muni","LQA_LIQUIDITY_SCORE")</f>
        <v>91</v>
      </c>
    </row>
    <row r="2153" spans="1:20" x14ac:dyDescent="0.25">
      <c r="A2153" t="str">
        <f>_xll.BDP("933033TC Muni","ID_CUSIP")</f>
        <v>933033TC6</v>
      </c>
      <c r="B2153" t="s">
        <v>544</v>
      </c>
      <c r="C2153" t="str">
        <f>_xll.BDP("933033TC Muni","INSURANCE_STATUS")</f>
        <v>N</v>
      </c>
      <c r="D2153" t="str">
        <f>_xll.BDP("933033TC Muni","STATE_CODE")</f>
        <v>MA</v>
      </c>
      <c r="E2153" t="str">
        <f>_xll.BDP("933033TC Muni","COUNTY_LOCATION_ISSUER")</f>
        <v>Norfolk, MA</v>
      </c>
      <c r="F2153">
        <f>_xll.BDP("933033TC Muni","DUR_ADJ_MID")</f>
        <v>2.5138476579231388</v>
      </c>
      <c r="G2153">
        <f>_xll.BDP("933033TC Muni","SPREAD_AT_ISSUANCE_TO_WORST")</f>
        <v>2.3451302260121043</v>
      </c>
      <c r="H2153" t="str">
        <f>_xll.BDP("933033TC Muni","ISSUE_DT")</f>
        <v>4/20/2017</v>
      </c>
      <c r="I2153" t="str">
        <f>_xll.BDS("933033TC Muni","MUNI_PURPOSE_SCHED", "aggregate=y")</f>
        <v>PUBLIC IMPS. WATER UTILITY IMPS.</v>
      </c>
      <c r="J2153">
        <f>_xll.BDP("933033TC Muni","CPN")</f>
        <v>5</v>
      </c>
      <c r="K2153" t="str">
        <f>_xll.BDP("933033TC Muni","MATURITY")</f>
        <v>4/15/2025</v>
      </c>
      <c r="L2153">
        <v>725000</v>
      </c>
      <c r="M2153">
        <f>_xll.BDP("933033TC Muni","YIELD_ON_ISSUE_DATE")</f>
        <v>2.02</v>
      </c>
      <c r="N2153">
        <f>_xll.BDP("933033TC Muni","YTW_SPREAD_TO_MATURITY_AT_ISSU")</f>
        <v>2.3451302260121043</v>
      </c>
      <c r="O2153" t="str">
        <f>_xll.BDP("933033TC Muni","BVAL_MID_YTM")</f>
        <v>#N/A Authorization</v>
      </c>
      <c r="P2153" t="str">
        <f>_xll.BDP("933033TC Muni","MUNI_TAX_PROV")</f>
        <v>FED &amp; ST TAX-EXEMPT</v>
      </c>
      <c r="Q2153" t="str">
        <f>_xll.BDP("933033TC Muni","MUNI_FED_TAX")</f>
        <v>N</v>
      </c>
      <c r="R2153" t="str">
        <f>_xll.BDP("933033TC Muni","MUNI_MSRB_VOLUME")</f>
        <v>#N/A N/A</v>
      </c>
      <c r="S2153" t="str">
        <f>_xll.BDP("933033TC Muni","BB_COMPOSITE")</f>
        <v>#N/A N/A</v>
      </c>
      <c r="T2153">
        <f>_xll.BDP("933033TC Muni","LQA_LIQUIDITY_SCORE")</f>
        <v>83</v>
      </c>
    </row>
    <row r="2154" spans="1:20" x14ac:dyDescent="0.25">
      <c r="A2154" t="str">
        <f>_xll.BDP("933033TD Muni","ID_CUSIP")</f>
        <v>933033TD4</v>
      </c>
      <c r="B2154" t="s">
        <v>544</v>
      </c>
      <c r="C2154" t="str">
        <f>_xll.BDP("933033TD Muni","INSURANCE_STATUS")</f>
        <v>N</v>
      </c>
      <c r="D2154" t="str">
        <f>_xll.BDP("933033TD Muni","STATE_CODE")</f>
        <v>MA</v>
      </c>
      <c r="E2154" t="str">
        <f>_xll.BDP("933033TD Muni","COUNTY_LOCATION_ISSUER")</f>
        <v>Norfolk, MA</v>
      </c>
      <c r="F2154">
        <f>_xll.BDP("933033TD Muni","DUR_ADJ_MID")</f>
        <v>3.3696673656659124</v>
      </c>
      <c r="G2154">
        <f>_xll.BDP("933033TD Muni","SPREAD_AT_ISSUANCE_TO_WORST")</f>
        <v>1.198229526582395</v>
      </c>
      <c r="H2154" t="str">
        <f>_xll.BDP("933033TD Muni","ISSUE_DT")</f>
        <v>4/20/2017</v>
      </c>
      <c r="I2154" t="str">
        <f>_xll.BDS("933033TD Muni","MUNI_PURPOSE_SCHED", "aggregate=y")</f>
        <v>PUBLIC IMPS. WATER UTILITY IMPS.</v>
      </c>
      <c r="J2154">
        <f>_xll.BDP("933033TD Muni","CPN")</f>
        <v>5</v>
      </c>
      <c r="K2154" t="str">
        <f>_xll.BDP("933033TD Muni","MATURITY")</f>
        <v>4/15/2026</v>
      </c>
      <c r="L2154">
        <v>760000</v>
      </c>
      <c r="M2154">
        <f>_xll.BDP("933033TD Muni","YIELD_ON_ISSUE_DATE")</f>
        <v>2.15</v>
      </c>
      <c r="N2154">
        <f>_xll.BDP("933033TD Muni","YTW_SPREAD_TO_MATURITY_AT_ISSU")</f>
        <v>1.198229526582395</v>
      </c>
      <c r="O2154" t="str">
        <f>_xll.BDP("933033TD Muni","BVAL_MID_YTM")</f>
        <v>#N/A Authorization</v>
      </c>
      <c r="P2154" t="str">
        <f>_xll.BDP("933033TD Muni","MUNI_TAX_PROV")</f>
        <v>FED &amp; ST TAX-EXEMPT</v>
      </c>
      <c r="Q2154" t="str">
        <f>_xll.BDP("933033TD Muni","MUNI_FED_TAX")</f>
        <v>N</v>
      </c>
      <c r="R2154" t="str">
        <f>_xll.BDP("933033TD Muni","MUNI_MSRB_VOLUME")</f>
        <v>#N/A N/A</v>
      </c>
      <c r="S2154" t="str">
        <f>_xll.BDP("933033TD Muni","BB_COMPOSITE")</f>
        <v>#N/A N/A</v>
      </c>
      <c r="T2154">
        <f>_xll.BDP("933033TD Muni","LQA_LIQUIDITY_SCORE")</f>
        <v>76</v>
      </c>
    </row>
    <row r="2155" spans="1:20" x14ac:dyDescent="0.25">
      <c r="A2155" t="str">
        <f>_xll.BDP("933033TE Muni","ID_CUSIP")</f>
        <v>933033TE2</v>
      </c>
      <c r="B2155" t="s">
        <v>544</v>
      </c>
      <c r="C2155" t="str">
        <f>_xll.BDP("933033TE Muni","INSURANCE_STATUS")</f>
        <v>N</v>
      </c>
      <c r="D2155" t="str">
        <f>_xll.BDP("933033TE Muni","STATE_CODE")</f>
        <v>MA</v>
      </c>
      <c r="E2155" t="str">
        <f>_xll.BDP("933033TE Muni","COUNTY_LOCATION_ISSUER")</f>
        <v>Norfolk, MA</v>
      </c>
      <c r="F2155">
        <f>_xll.BDP("933033TE Muni","DUR_ADJ_MID")</f>
        <v>4.1910879838515935</v>
      </c>
      <c r="G2155">
        <f>_xll.BDP("933033TE Muni","SPREAD_AT_ISSUANCE_TO_WORST")</f>
        <v>2.9160136414778215</v>
      </c>
      <c r="H2155" t="str">
        <f>_xll.BDP("933033TE Muni","ISSUE_DT")</f>
        <v>4/20/2017</v>
      </c>
      <c r="I2155" t="str">
        <f>_xll.BDS("933033TE Muni","MUNI_PURPOSE_SCHED", "aggregate=y")</f>
        <v>PUBLIC IMPS. WATER UTILITY IMPS.</v>
      </c>
      <c r="J2155">
        <f>_xll.BDP("933033TE Muni","CPN")</f>
        <v>5</v>
      </c>
      <c r="K2155" t="str">
        <f>_xll.BDP("933033TE Muni","MATURITY")</f>
        <v>4/15/2027</v>
      </c>
      <c r="L2155">
        <v>795000</v>
      </c>
      <c r="M2155">
        <f>_xll.BDP("933033TE Muni","YIELD_ON_ISSUE_DATE")</f>
        <v>2.2800000000000002</v>
      </c>
      <c r="N2155">
        <f>_xll.BDP("933033TE Muni","YTW_SPREAD_TO_MATURITY_AT_ISSU")</f>
        <v>2.9160136414778215</v>
      </c>
      <c r="O2155" t="str">
        <f>_xll.BDP("933033TE Muni","BVAL_MID_YTM")</f>
        <v>#N/A Authorization</v>
      </c>
      <c r="P2155" t="str">
        <f>_xll.BDP("933033TE Muni","MUNI_TAX_PROV")</f>
        <v>FED &amp; ST TAX-EXEMPT</v>
      </c>
      <c r="Q2155" t="str">
        <f>_xll.BDP("933033TE Muni","MUNI_FED_TAX")</f>
        <v>N</v>
      </c>
      <c r="R2155">
        <f>_xll.BDP("933033TE Muni","MUNI_MSRB_VOLUME")</f>
        <v>10000</v>
      </c>
      <c r="S2155" t="str">
        <f>_xll.BDP("933033TE Muni","BB_COMPOSITE")</f>
        <v>#N/A N/A</v>
      </c>
      <c r="T2155">
        <f>_xll.BDP("933033TE Muni","LQA_LIQUIDITY_SCORE")</f>
        <v>70</v>
      </c>
    </row>
    <row r="2156" spans="1:20" x14ac:dyDescent="0.25">
      <c r="A2156" t="str">
        <f>_xll.BDP("933033UA Muni","ID_CUSIP")</f>
        <v>933033UA8</v>
      </c>
      <c r="B2156" t="s">
        <v>544</v>
      </c>
      <c r="C2156" t="str">
        <f>_xll.BDP("933033UA Muni","INSURANCE_STATUS")</f>
        <v>N</v>
      </c>
      <c r="D2156" t="str">
        <f>_xll.BDP("933033UA Muni","STATE_CODE")</f>
        <v>MA</v>
      </c>
      <c r="E2156" t="str">
        <f>_xll.BDP("933033UA Muni","COUNTY_LOCATION_ISSUER")</f>
        <v>Norfolk, MA</v>
      </c>
      <c r="F2156">
        <f>_xll.BDP("933033UA Muni","DUR_ADJ_MID")</f>
        <v>0.24671400316183903</v>
      </c>
      <c r="G2156">
        <f>_xll.BDP("933033UA Muni","SPREAD_AT_ISSUANCE_TO_WORST")</f>
        <v>6.2405753424657595</v>
      </c>
      <c r="H2156" t="str">
        <f>_xll.BDP("933033UA Muni","ISSUE_DT")</f>
        <v>11/10/2017</v>
      </c>
      <c r="I2156" t="str">
        <f>_xll.BDS("933033UA Muni","MUNI_PURPOSE_SCHED", "aggregate=y")</f>
        <v>PUBLIC IMPS. WATER UTILITY IMPS.</v>
      </c>
      <c r="J2156">
        <f>_xll.BDP("933033UA Muni","CPN")</f>
        <v>5</v>
      </c>
      <c r="K2156" t="str">
        <f>_xll.BDP("933033UA Muni","MATURITY")</f>
        <v>11/1/2022</v>
      </c>
      <c r="L2156">
        <v>215000</v>
      </c>
      <c r="M2156">
        <f>_xll.BDP("933033UA Muni","YIELD_ON_ISSUE_DATE")</f>
        <v>1.48</v>
      </c>
      <c r="N2156">
        <f>_xll.BDP("933033UA Muni","YTW_SPREAD_TO_MATURITY_AT_ISSU")</f>
        <v>6.2405753424657595</v>
      </c>
      <c r="O2156" t="str">
        <f>_xll.BDP("933033UA Muni","BVAL_MID_YTM")</f>
        <v>#N/A Authorization</v>
      </c>
      <c r="P2156" t="str">
        <f>_xll.BDP("933033UA Muni","MUNI_TAX_PROV")</f>
        <v>FED &amp; ST TAX-EXEMPT</v>
      </c>
      <c r="Q2156" t="str">
        <f>_xll.BDP("933033UA Muni","MUNI_FED_TAX")</f>
        <v>N</v>
      </c>
      <c r="R2156">
        <f>_xll.BDP("933033UA Muni","MUNI_MSRB_VOLUME")</f>
        <v>15000</v>
      </c>
      <c r="S2156" t="str">
        <f>_xll.BDP("933033UA Muni","BB_COMPOSITE")</f>
        <v>#N/A N/A</v>
      </c>
      <c r="T2156">
        <f>_xll.BDP("933033UA Muni","LQA_LIQUIDITY_SCORE")</f>
        <v>98</v>
      </c>
    </row>
    <row r="2157" spans="1:20" x14ac:dyDescent="0.25">
      <c r="A2157" t="str">
        <f>_xll.BDP("933033UB Muni","ID_CUSIP")</f>
        <v>933033UB6</v>
      </c>
      <c r="B2157" t="s">
        <v>544</v>
      </c>
      <c r="C2157" t="str">
        <f>_xll.BDP("933033UB Muni","INSURANCE_STATUS")</f>
        <v>N</v>
      </c>
      <c r="D2157" t="str">
        <f>_xll.BDP("933033UB Muni","STATE_CODE")</f>
        <v>MA</v>
      </c>
      <c r="E2157" t="str">
        <f>_xll.BDP("933033UB Muni","COUNTY_LOCATION_ISSUER")</f>
        <v>Norfolk, MA</v>
      </c>
      <c r="F2157">
        <f>_xll.BDP("933033UB Muni","DUR_ADJ_MID")</f>
        <v>1.203175974444062</v>
      </c>
      <c r="G2157">
        <f>_xll.BDP("933033UB Muni","SPREAD_AT_ISSUANCE_TO_WORST")</f>
        <v>6.7570273972602957</v>
      </c>
      <c r="H2157" t="str">
        <f>_xll.BDP("933033UB Muni","ISSUE_DT")</f>
        <v>11/10/2017</v>
      </c>
      <c r="I2157" t="str">
        <f>_xll.BDS("933033UB Muni","MUNI_PURPOSE_SCHED", "aggregate=y")</f>
        <v>PUBLIC IMPS. WATER UTILITY IMPS.</v>
      </c>
      <c r="J2157">
        <f>_xll.BDP("933033UB Muni","CPN")</f>
        <v>5</v>
      </c>
      <c r="K2157" t="str">
        <f>_xll.BDP("933033UB Muni","MATURITY")</f>
        <v>11/1/2023</v>
      </c>
      <c r="L2157">
        <v>225000</v>
      </c>
      <c r="M2157">
        <f>_xll.BDP("933033UB Muni","YIELD_ON_ISSUE_DATE")</f>
        <v>1.61</v>
      </c>
      <c r="N2157">
        <f>_xll.BDP("933033UB Muni","YTW_SPREAD_TO_MATURITY_AT_ISSU")</f>
        <v>6.7570273972602957</v>
      </c>
      <c r="O2157" t="str">
        <f>_xll.BDP("933033UB Muni","BVAL_MID_YTM")</f>
        <v>#N/A Authorization</v>
      </c>
      <c r="P2157" t="str">
        <f>_xll.BDP("933033UB Muni","MUNI_TAX_PROV")</f>
        <v>FED &amp; ST TAX-EXEMPT</v>
      </c>
      <c r="Q2157" t="str">
        <f>_xll.BDP("933033UB Muni","MUNI_FED_TAX")</f>
        <v>N</v>
      </c>
      <c r="R2157" t="str">
        <f>_xll.BDP("933033UB Muni","MUNI_MSRB_VOLUME")</f>
        <v>#N/A N/A</v>
      </c>
      <c r="S2157" t="str">
        <f>_xll.BDP("933033UB Muni","BB_COMPOSITE")</f>
        <v>#N/A N/A</v>
      </c>
      <c r="T2157">
        <f>_xll.BDP("933033UB Muni","LQA_LIQUIDITY_SCORE")</f>
        <v>94</v>
      </c>
    </row>
    <row r="2158" spans="1:20" x14ac:dyDescent="0.25">
      <c r="A2158" t="str">
        <f>_xll.BDP("933033UC Muni","ID_CUSIP")</f>
        <v>933033UC4</v>
      </c>
      <c r="B2158" t="s">
        <v>544</v>
      </c>
      <c r="C2158" t="str">
        <f>_xll.BDP("933033UC Muni","INSURANCE_STATUS")</f>
        <v>N</v>
      </c>
      <c r="D2158" t="str">
        <f>_xll.BDP("933033UC Muni","STATE_CODE")</f>
        <v>MA</v>
      </c>
      <c r="E2158" t="str">
        <f>_xll.BDP("933033UC Muni","COUNTY_LOCATION_ISSUER")</f>
        <v>Norfolk, MA</v>
      </c>
      <c r="F2158">
        <f>_xll.BDP("933033UC Muni","DUR_ADJ_MID")</f>
        <v>2.1160963831077191</v>
      </c>
      <c r="G2158">
        <f>_xll.BDP("933033UC Muni","SPREAD_AT_ISSUANCE_TO_WORST")</f>
        <v>5.8551534246575221</v>
      </c>
      <c r="H2158" t="str">
        <f>_xll.BDP("933033UC Muni","ISSUE_DT")</f>
        <v>11/10/2017</v>
      </c>
      <c r="I2158" t="str">
        <f>_xll.BDS("933033UC Muni","MUNI_PURPOSE_SCHED", "aggregate=y")</f>
        <v>PUBLIC IMPS. WATER UTILITY IMPS.</v>
      </c>
      <c r="J2158">
        <f>_xll.BDP("933033UC Muni","CPN")</f>
        <v>5</v>
      </c>
      <c r="K2158" t="str">
        <f>_xll.BDP("933033UC Muni","MATURITY")</f>
        <v>11/1/2024</v>
      </c>
      <c r="L2158">
        <v>235000</v>
      </c>
      <c r="M2158">
        <f>_xll.BDP("933033UC Muni","YIELD_ON_ISSUE_DATE")</f>
        <v>1.73</v>
      </c>
      <c r="N2158">
        <f>_xll.BDP("933033UC Muni","YTW_SPREAD_TO_MATURITY_AT_ISSU")</f>
        <v>5.8551534246575221</v>
      </c>
      <c r="O2158" t="str">
        <f>_xll.BDP("933033UC Muni","BVAL_MID_YTM")</f>
        <v>#N/A Authorization</v>
      </c>
      <c r="P2158" t="str">
        <f>_xll.BDP("933033UC Muni","MUNI_TAX_PROV")</f>
        <v>FED &amp; ST TAX-EXEMPT</v>
      </c>
      <c r="Q2158" t="str">
        <f>_xll.BDP("933033UC Muni","MUNI_FED_TAX")</f>
        <v>N</v>
      </c>
      <c r="R2158" t="str">
        <f>_xll.BDP("933033UC Muni","MUNI_MSRB_VOLUME")</f>
        <v>#N/A N/A</v>
      </c>
      <c r="S2158" t="str">
        <f>_xll.BDP("933033UC Muni","BB_COMPOSITE")</f>
        <v>#N/A N/A</v>
      </c>
      <c r="T2158">
        <f>_xll.BDP("933033UC Muni","LQA_LIQUIDITY_SCORE")</f>
        <v>86</v>
      </c>
    </row>
    <row r="2159" spans="1:20" x14ac:dyDescent="0.25">
      <c r="A2159" t="str">
        <f>_xll.BDP("933033UD Muni","ID_CUSIP")</f>
        <v>933033UD2</v>
      </c>
      <c r="B2159" t="s">
        <v>544</v>
      </c>
      <c r="C2159" t="str">
        <f>_xll.BDP("933033UD Muni","INSURANCE_STATUS")</f>
        <v>N</v>
      </c>
      <c r="D2159" t="str">
        <f>_xll.BDP("933033UD Muni","STATE_CODE")</f>
        <v>MA</v>
      </c>
      <c r="E2159" t="str">
        <f>_xll.BDP("933033UD Muni","COUNTY_LOCATION_ISSUER")</f>
        <v>Norfolk, MA</v>
      </c>
      <c r="F2159">
        <f>_xll.BDP("933033UD Muni","DUR_ADJ_MID")</f>
        <v>2.9902300480038195</v>
      </c>
      <c r="G2159">
        <f>_xll.BDP("933033UD Muni","SPREAD_AT_ISSUANCE_TO_WORST")</f>
        <v>4.9652082191780966</v>
      </c>
      <c r="H2159" t="str">
        <f>_xll.BDP("933033UD Muni","ISSUE_DT")</f>
        <v>11/10/2017</v>
      </c>
      <c r="I2159" t="str">
        <f>_xll.BDS("933033UD Muni","MUNI_PURPOSE_SCHED", "aggregate=y")</f>
        <v>PUBLIC IMPS. WATER UTILITY IMPS.</v>
      </c>
      <c r="J2159">
        <f>_xll.BDP("933033UD Muni","CPN")</f>
        <v>5</v>
      </c>
      <c r="K2159" t="str">
        <f>_xll.BDP("933033UD Muni","MATURITY")</f>
        <v>11/1/2025</v>
      </c>
      <c r="L2159">
        <v>250000</v>
      </c>
      <c r="M2159">
        <f>_xll.BDP("933033UD Muni","YIELD_ON_ISSUE_DATE")</f>
        <v>1.85</v>
      </c>
      <c r="N2159">
        <f>_xll.BDP("933033UD Muni","YTW_SPREAD_TO_MATURITY_AT_ISSU")</f>
        <v>4.9652082191780966</v>
      </c>
      <c r="O2159" t="str">
        <f>_xll.BDP("933033UD Muni","BVAL_MID_YTM")</f>
        <v>#N/A Authorization</v>
      </c>
      <c r="P2159" t="str">
        <f>_xll.BDP("933033UD Muni","MUNI_TAX_PROV")</f>
        <v>FED &amp; ST TAX-EXEMPT</v>
      </c>
      <c r="Q2159" t="str">
        <f>_xll.BDP("933033UD Muni","MUNI_FED_TAX")</f>
        <v>N</v>
      </c>
      <c r="R2159" t="str">
        <f>_xll.BDP("933033UD Muni","MUNI_MSRB_VOLUME")</f>
        <v>#N/A N/A</v>
      </c>
      <c r="S2159" t="str">
        <f>_xll.BDP("933033UD Muni","BB_COMPOSITE")</f>
        <v>#N/A N/A</v>
      </c>
      <c r="T2159">
        <f>_xll.BDP("933033UD Muni","LQA_LIQUIDITY_SCORE")</f>
        <v>77</v>
      </c>
    </row>
    <row r="2160" spans="1:20" x14ac:dyDescent="0.25">
      <c r="A2160" t="str">
        <f>_xll.BDP("933033UE Muni","ID_CUSIP")</f>
        <v>933033UE0</v>
      </c>
      <c r="B2160" t="s">
        <v>544</v>
      </c>
      <c r="C2160" t="str">
        <f>_xll.BDP("933033UE Muni","INSURANCE_STATUS")</f>
        <v>N</v>
      </c>
      <c r="D2160" t="str">
        <f>_xll.BDP("933033UE Muni","STATE_CODE")</f>
        <v>MA</v>
      </c>
      <c r="E2160" t="str">
        <f>_xll.BDP("933033UE Muni","COUNTY_LOCATION_ISSUER")</f>
        <v>Norfolk, MA</v>
      </c>
      <c r="F2160">
        <f>_xll.BDP("933033UE Muni","DUR_ADJ_MID")</f>
        <v>3.8284442956604487</v>
      </c>
      <c r="G2160">
        <f>_xll.BDP("933033UE Muni","SPREAD_AT_ISSUANCE_TO_WORST")</f>
        <v>8.760309589041082</v>
      </c>
      <c r="H2160" t="str">
        <f>_xll.BDP("933033UE Muni","ISSUE_DT")</f>
        <v>11/10/2017</v>
      </c>
      <c r="I2160" t="str">
        <f>_xll.BDS("933033UE Muni","MUNI_PURPOSE_SCHED", "aggregate=y")</f>
        <v>PUBLIC IMPS. WATER UTILITY IMPS.</v>
      </c>
      <c r="J2160">
        <f>_xll.BDP("933033UE Muni","CPN")</f>
        <v>5</v>
      </c>
      <c r="K2160" t="str">
        <f>_xll.BDP("933033UE Muni","MATURITY")</f>
        <v>11/1/2026</v>
      </c>
      <c r="L2160">
        <v>260000</v>
      </c>
      <c r="M2160">
        <f>_xll.BDP("933033UE Muni","YIELD_ON_ISSUE_DATE")</f>
        <v>2</v>
      </c>
      <c r="N2160">
        <f>_xll.BDP("933033UE Muni","YTW_SPREAD_TO_MATURITY_AT_ISSU")</f>
        <v>8.760309589041082</v>
      </c>
      <c r="O2160" t="str">
        <f>_xll.BDP("933033UE Muni","BVAL_MID_YTM")</f>
        <v>#N/A Authorization</v>
      </c>
      <c r="P2160" t="str">
        <f>_xll.BDP("933033UE Muni","MUNI_TAX_PROV")</f>
        <v>FED &amp; ST TAX-EXEMPT</v>
      </c>
      <c r="Q2160" t="str">
        <f>_xll.BDP("933033UE Muni","MUNI_FED_TAX")</f>
        <v>N</v>
      </c>
      <c r="R2160" t="str">
        <f>_xll.BDP("933033UE Muni","MUNI_MSRB_VOLUME")</f>
        <v>#N/A N/A</v>
      </c>
      <c r="S2160" t="str">
        <f>_xll.BDP("933033UE Muni","BB_COMPOSITE")</f>
        <v>#N/A N/A</v>
      </c>
      <c r="T2160">
        <f>_xll.BDP("933033UE Muni","LQA_LIQUIDITY_SCORE")</f>
        <v>70</v>
      </c>
    </row>
    <row r="2161" spans="1:20" x14ac:dyDescent="0.25">
      <c r="A2161" t="str">
        <f>_xll.BDP("933033UF Muni","ID_CUSIP")</f>
        <v>933033UF7</v>
      </c>
      <c r="B2161" t="s">
        <v>544</v>
      </c>
      <c r="C2161" t="str">
        <f>_xll.BDP("933033UF Muni","INSURANCE_STATUS")</f>
        <v>N</v>
      </c>
      <c r="D2161" t="str">
        <f>_xll.BDP("933033UF Muni","STATE_CODE")</f>
        <v>MA</v>
      </c>
      <c r="E2161" t="str">
        <f>_xll.BDP("933033UF Muni","COUNTY_LOCATION_ISSUER")</f>
        <v>Norfolk, MA</v>
      </c>
      <c r="F2161">
        <f>_xll.BDP("933033UF Muni","DUR_ADJ_MID")</f>
        <v>4.633465578890009</v>
      </c>
      <c r="G2161">
        <f>_xll.BDP("933033UF Muni","SPREAD_AT_ISSUANCE_TO_WORST")</f>
        <v>8.9270136986301374</v>
      </c>
      <c r="H2161" t="str">
        <f>_xll.BDP("933033UF Muni","ISSUE_DT")</f>
        <v>11/10/2017</v>
      </c>
      <c r="I2161" t="str">
        <f>_xll.BDS("933033UF Muni","MUNI_PURPOSE_SCHED", "aggregate=y")</f>
        <v>PUBLIC IMPS. WATER UTILITY IMPS.</v>
      </c>
      <c r="J2161">
        <f>_xll.BDP("933033UF Muni","CPN")</f>
        <v>5</v>
      </c>
      <c r="K2161" t="str">
        <f>_xll.BDP("933033UF Muni","MATURITY")</f>
        <v>11/1/2027</v>
      </c>
      <c r="L2161">
        <v>275000</v>
      </c>
      <c r="M2161">
        <f>_xll.BDP("933033UF Muni","YIELD_ON_ISSUE_DATE")</f>
        <v>2.09</v>
      </c>
      <c r="N2161">
        <f>_xll.BDP("933033UF Muni","YTW_SPREAD_TO_MATURITY_AT_ISSU")</f>
        <v>8.9270136986301374</v>
      </c>
      <c r="O2161" t="str">
        <f>_xll.BDP("933033UF Muni","BVAL_MID_YTM")</f>
        <v>#N/A Authorization</v>
      </c>
      <c r="P2161" t="str">
        <f>_xll.BDP("933033UF Muni","MUNI_TAX_PROV")</f>
        <v>FED &amp; ST TAX-EXEMPT</v>
      </c>
      <c r="Q2161" t="str">
        <f>_xll.BDP("933033UF Muni","MUNI_FED_TAX")</f>
        <v>N</v>
      </c>
      <c r="R2161" t="str">
        <f>_xll.BDP("933033UF Muni","MUNI_MSRB_VOLUME")</f>
        <v>#N/A N/A</v>
      </c>
      <c r="S2161" t="str">
        <f>_xll.BDP("933033UF Muni","BB_COMPOSITE")</f>
        <v>#N/A N/A</v>
      </c>
      <c r="T2161">
        <f>_xll.BDP("933033UF Muni","LQA_LIQUIDITY_SCORE")</f>
        <v>64</v>
      </c>
    </row>
    <row r="2162" spans="1:20" x14ac:dyDescent="0.25">
      <c r="A2162" t="str">
        <f>_xll.BDP("760074BR Muni","ID_CUSIP")</f>
        <v>760074BR4</v>
      </c>
      <c r="B2162" t="s">
        <v>545</v>
      </c>
      <c r="C2162" t="str">
        <f>_xll.BDP("760074BR Muni","INSURANCE_STATUS")</f>
        <v>N</v>
      </c>
      <c r="D2162" t="str">
        <f>_xll.BDP("760074BR Muni","STATE_CODE")</f>
        <v>IN</v>
      </c>
      <c r="E2162" t="str">
        <f>_xll.BDP("760074BR Muni","COUNTY_LOCATION_ISSUER")</f>
        <v>Jasper, IN</v>
      </c>
      <c r="F2162">
        <f>_xll.BDP("760074BR Muni","DUR_ADJ_MID")</f>
        <v>0.89842889375538759</v>
      </c>
      <c r="G2162">
        <f>_xll.BDP("760074BR Muni","SPREAD_AT_ISSUANCE_TO_WORST")</f>
        <v>62.589465753424633</v>
      </c>
      <c r="H2162" t="str">
        <f>_xll.BDP("760074BR Muni","ISSUE_DT")</f>
        <v>12/28/2017</v>
      </c>
      <c r="I2162" t="str">
        <f>_xll.BDS("760074BR Muni","MUNI_PURPOSE_SCHED", "aggregate=y")</f>
        <v>WATER UTILITY IMPS. REFUNDING NOTES</v>
      </c>
      <c r="J2162">
        <f>_xll.BDP("760074BR Muni","CPN")</f>
        <v>3.5</v>
      </c>
      <c r="K2162" t="str">
        <f>_xll.BDP("760074BR Muni","MATURITY")</f>
        <v>7/1/2023</v>
      </c>
      <c r="L2162">
        <v>15000</v>
      </c>
      <c r="M2162">
        <f>_xll.BDP("760074BR Muni","YIELD_ON_ISSUE_DATE")</f>
        <v>2.3000000000000003</v>
      </c>
      <c r="N2162">
        <f>_xll.BDP("760074BR Muni","YTW_SPREAD_TO_MATURITY_AT_ISSU")</f>
        <v>62.589465753424633</v>
      </c>
      <c r="O2162" t="str">
        <f>_xll.BDP("760074BR Muni","BVAL_MID_YTM")</f>
        <v>#N/A Authorization</v>
      </c>
      <c r="P2162" t="str">
        <f>_xll.BDP("760074BR Muni","MUNI_TAX_PROV")</f>
        <v>FED BQ/ST TAX-EXEMPT</v>
      </c>
      <c r="Q2162" t="str">
        <f>_xll.BDP("760074BR Muni","MUNI_FED_TAX")</f>
        <v>N</v>
      </c>
      <c r="R2162" t="str">
        <f>_xll.BDP("760074BR Muni","MUNI_MSRB_VOLUME")</f>
        <v>#N/A N/A</v>
      </c>
      <c r="S2162" t="str">
        <f>_xll.BDP("760074BR Muni","BB_COMPOSITE")</f>
        <v>#N/A N/A</v>
      </c>
      <c r="T2162">
        <f>_xll.BDP("760074BR Muni","LQA_LIQUIDITY_SCORE")</f>
        <v>88</v>
      </c>
    </row>
    <row r="2163" spans="1:20" x14ac:dyDescent="0.25">
      <c r="A2163" t="str">
        <f>_xll.BDP("760074BS Muni","ID_CUSIP")</f>
        <v>760074BS2</v>
      </c>
      <c r="B2163" t="s">
        <v>545</v>
      </c>
      <c r="C2163" t="str">
        <f>_xll.BDP("760074BS Muni","INSURANCE_STATUS")</f>
        <v>N</v>
      </c>
      <c r="D2163" t="str">
        <f>_xll.BDP("760074BS Muni","STATE_CODE")</f>
        <v>IN</v>
      </c>
      <c r="E2163" t="str">
        <f>_xll.BDP("760074BS Muni","COUNTY_LOCATION_ISSUER")</f>
        <v>Jasper, IN</v>
      </c>
      <c r="F2163">
        <f>_xll.BDP("760074BS Muni","DUR_ADJ_MID")</f>
        <v>1.8467741797496242</v>
      </c>
      <c r="G2163">
        <f>_xll.BDP("760074BS Muni","SPREAD_AT_ISSUANCE_TO_WORST")</f>
        <v>70.096101369863021</v>
      </c>
      <c r="H2163" t="str">
        <f>_xll.BDP("760074BS Muni","ISSUE_DT")</f>
        <v>12/28/2017</v>
      </c>
      <c r="I2163" t="str">
        <f>_xll.BDS("760074BS Muni","MUNI_PURPOSE_SCHED", "aggregate=y")</f>
        <v>WATER UTILITY IMPS. REFUNDING NOTES</v>
      </c>
      <c r="J2163">
        <f>_xll.BDP("760074BS Muni","CPN")</f>
        <v>3.5</v>
      </c>
      <c r="K2163" t="str">
        <f>_xll.BDP("760074BS Muni","MATURITY")</f>
        <v>7/1/2024</v>
      </c>
      <c r="L2163">
        <v>15000</v>
      </c>
      <c r="M2163">
        <f>_xll.BDP("760074BS Muni","YIELD_ON_ISSUE_DATE")</f>
        <v>2.4500000000000002</v>
      </c>
      <c r="N2163">
        <f>_xll.BDP("760074BS Muni","YTW_SPREAD_TO_MATURITY_AT_ISSU")</f>
        <v>70.096101369863021</v>
      </c>
      <c r="O2163" t="str">
        <f>_xll.BDP("760074BS Muni","BVAL_MID_YTM")</f>
        <v>#N/A Authorization</v>
      </c>
      <c r="P2163" t="str">
        <f>_xll.BDP("760074BS Muni","MUNI_TAX_PROV")</f>
        <v>FED BQ/ST TAX-EXEMPT</v>
      </c>
      <c r="Q2163" t="str">
        <f>_xll.BDP("760074BS Muni","MUNI_FED_TAX")</f>
        <v>N</v>
      </c>
      <c r="R2163" t="str">
        <f>_xll.BDP("760074BS Muni","MUNI_MSRB_VOLUME")</f>
        <v>#N/A N/A</v>
      </c>
      <c r="S2163" t="str">
        <f>_xll.BDP("760074BS Muni","BB_COMPOSITE")</f>
        <v>#N/A N/A</v>
      </c>
      <c r="T2163">
        <f>_xll.BDP("760074BS Muni","LQA_LIQUIDITY_SCORE")</f>
        <v>78</v>
      </c>
    </row>
    <row r="2164" spans="1:20" x14ac:dyDescent="0.25">
      <c r="A2164" t="str">
        <f>_xll.BDP("760074BT Muni","ID_CUSIP")</f>
        <v>760074BT0</v>
      </c>
      <c r="B2164" t="s">
        <v>545</v>
      </c>
      <c r="C2164" t="str">
        <f>_xll.BDP("760074BT Muni","INSURANCE_STATUS")</f>
        <v>N</v>
      </c>
      <c r="D2164" t="str">
        <f>_xll.BDP("760074BT Muni","STATE_CODE")</f>
        <v>IN</v>
      </c>
      <c r="E2164" t="str">
        <f>_xll.BDP("760074BT Muni","COUNTY_LOCATION_ISSUER")</f>
        <v>Jasper, IN</v>
      </c>
      <c r="F2164">
        <f>_xll.BDP("760074BT Muni","DUR_ADJ_MID")</f>
        <v>2.763818021442412</v>
      </c>
      <c r="G2164">
        <f>_xll.BDP("760074BT Muni","SPREAD_AT_ISSUANCE_TO_WORST")</f>
        <v>76.524252054794516</v>
      </c>
      <c r="H2164" t="str">
        <f>_xll.BDP("760074BT Muni","ISSUE_DT")</f>
        <v>12/28/2017</v>
      </c>
      <c r="I2164" t="str">
        <f>_xll.BDS("760074BT Muni","MUNI_PURPOSE_SCHED", "aggregate=y")</f>
        <v>WATER UTILITY IMPS. REFUNDING NOTES</v>
      </c>
      <c r="J2164">
        <f>_xll.BDP("760074BT Muni","CPN")</f>
        <v>3.5</v>
      </c>
      <c r="K2164" t="str">
        <f>_xll.BDP("760074BT Muni","MATURITY")</f>
        <v>7/1/2025</v>
      </c>
      <c r="L2164">
        <v>15000</v>
      </c>
      <c r="M2164">
        <f>_xll.BDP("760074BT Muni","YIELD_ON_ISSUE_DATE")</f>
        <v>2.6</v>
      </c>
      <c r="N2164">
        <f>_xll.BDP("760074BT Muni","YTW_SPREAD_TO_MATURITY_AT_ISSU")</f>
        <v>76.524252054794516</v>
      </c>
      <c r="O2164" t="str">
        <f>_xll.BDP("760074BT Muni","BVAL_MID_YTM")</f>
        <v>#N/A Authorization</v>
      </c>
      <c r="P2164" t="str">
        <f>_xll.BDP("760074BT Muni","MUNI_TAX_PROV")</f>
        <v>FED BQ/ST TAX-EXEMPT</v>
      </c>
      <c r="Q2164" t="str">
        <f>_xll.BDP("760074BT Muni","MUNI_FED_TAX")</f>
        <v>N</v>
      </c>
      <c r="R2164" t="str">
        <f>_xll.BDP("760074BT Muni","MUNI_MSRB_VOLUME")</f>
        <v>#N/A N/A</v>
      </c>
      <c r="S2164" t="str">
        <f>_xll.BDP("760074BT Muni","BB_COMPOSITE")</f>
        <v>#N/A N/A</v>
      </c>
      <c r="T2164">
        <f>_xll.BDP("760074BT Muni","LQA_LIQUIDITY_SCORE")</f>
        <v>69</v>
      </c>
    </row>
    <row r="2165" spans="1:20" x14ac:dyDescent="0.25">
      <c r="A2165" t="str">
        <f>_xll.BDP("760074BU Muni","ID_CUSIP")</f>
        <v>760074BU7</v>
      </c>
      <c r="B2165" t="s">
        <v>545</v>
      </c>
      <c r="C2165" t="str">
        <f>_xll.BDP("760074BU Muni","INSURANCE_STATUS")</f>
        <v>N</v>
      </c>
      <c r="D2165" t="str">
        <f>_xll.BDP("760074BU Muni","STATE_CODE")</f>
        <v>IN</v>
      </c>
      <c r="E2165" t="str">
        <f>_xll.BDP("760074BU Muni","COUNTY_LOCATION_ISSUER")</f>
        <v>Jasper, IN</v>
      </c>
      <c r="F2165">
        <f>_xll.BDP("760074BU Muni","DUR_ADJ_MID")</f>
        <v>3.6504284268311236</v>
      </c>
      <c r="G2165">
        <f>_xll.BDP("760074BU Muni","SPREAD_AT_ISSUANCE_TO_WORST")</f>
        <v>78.360386301369871</v>
      </c>
      <c r="H2165" t="str">
        <f>_xll.BDP("760074BU Muni","ISSUE_DT")</f>
        <v>12/28/2017</v>
      </c>
      <c r="I2165" t="str">
        <f>_xll.BDS("760074BU Muni","MUNI_PURPOSE_SCHED", "aggregate=y")</f>
        <v>WATER UTILITY IMPS. REFUNDING NOTES</v>
      </c>
      <c r="J2165">
        <f>_xll.BDP("760074BU Muni","CPN")</f>
        <v>3.5</v>
      </c>
      <c r="K2165" t="str">
        <f>_xll.BDP("760074BU Muni","MATURITY")</f>
        <v>7/1/2026</v>
      </c>
      <c r="L2165">
        <v>20000</v>
      </c>
      <c r="M2165">
        <f>_xll.BDP("760074BU Muni","YIELD_ON_ISSUE_DATE")</f>
        <v>2.7</v>
      </c>
      <c r="N2165">
        <f>_xll.BDP("760074BU Muni","YTW_SPREAD_TO_MATURITY_AT_ISSU")</f>
        <v>78.360386301369871</v>
      </c>
      <c r="O2165" t="str">
        <f>_xll.BDP("760074BU Muni","BVAL_MID_YTM")</f>
        <v>#N/A Authorization</v>
      </c>
      <c r="P2165" t="str">
        <f>_xll.BDP("760074BU Muni","MUNI_TAX_PROV")</f>
        <v>FED BQ/ST TAX-EXEMPT</v>
      </c>
      <c r="Q2165" t="str">
        <f>_xll.BDP("760074BU Muni","MUNI_FED_TAX")</f>
        <v>N</v>
      </c>
      <c r="R2165" t="str">
        <f>_xll.BDP("760074BU Muni","MUNI_MSRB_VOLUME")</f>
        <v>#N/A N/A</v>
      </c>
      <c r="S2165" t="str">
        <f>_xll.BDP("760074BU Muni","BB_COMPOSITE")</f>
        <v>#N/A N/A</v>
      </c>
      <c r="T2165">
        <f>_xll.BDP("760074BU Muni","LQA_LIQUIDITY_SCORE")</f>
        <v>63</v>
      </c>
    </row>
    <row r="2166" spans="1:20" x14ac:dyDescent="0.25">
      <c r="A2166" t="str">
        <f>_xll.BDP("760074BV Muni","ID_CUSIP")</f>
        <v>760074BV5</v>
      </c>
      <c r="B2166" t="s">
        <v>545</v>
      </c>
      <c r="C2166" t="str">
        <f>_xll.BDP("760074BV Muni","INSURANCE_STATUS")</f>
        <v>N</v>
      </c>
      <c r="D2166" t="str">
        <f>_xll.BDP("760074BV Muni","STATE_CODE")</f>
        <v>IN</v>
      </c>
      <c r="E2166" t="str">
        <f>_xll.BDP("760074BV Muni","COUNTY_LOCATION_ISSUER")</f>
        <v>Jasper, IN</v>
      </c>
      <c r="F2166">
        <f>_xll.BDP("760074BV Muni","DUR_ADJ_MID")</f>
        <v>4.5078846929000518</v>
      </c>
      <c r="G2166">
        <f>_xll.BDP("760074BV Muni","SPREAD_AT_ISSUANCE_TO_WORST")</f>
        <v>81.194241095890391</v>
      </c>
      <c r="H2166" t="str">
        <f>_xll.BDP("760074BV Muni","ISSUE_DT")</f>
        <v>12/28/2017</v>
      </c>
      <c r="I2166" t="str">
        <f>_xll.BDS("760074BV Muni","MUNI_PURPOSE_SCHED", "aggregate=y")</f>
        <v>WATER UTILITY IMPS. REFUNDING NOTES</v>
      </c>
      <c r="J2166">
        <f>_xll.BDP("760074BV Muni","CPN")</f>
        <v>3.5</v>
      </c>
      <c r="K2166" t="str">
        <f>_xll.BDP("760074BV Muni","MATURITY")</f>
        <v>7/1/2027</v>
      </c>
      <c r="L2166">
        <v>20000</v>
      </c>
      <c r="M2166">
        <f>_xll.BDP("760074BV Muni","YIELD_ON_ISSUE_DATE")</f>
        <v>2.8000000000000003</v>
      </c>
      <c r="N2166">
        <f>_xll.BDP("760074BV Muni","YTW_SPREAD_TO_MATURITY_AT_ISSU")</f>
        <v>81.194241095890391</v>
      </c>
      <c r="O2166" t="str">
        <f>_xll.BDP("760074BV Muni","BVAL_MID_YTM")</f>
        <v>#N/A Authorization</v>
      </c>
      <c r="P2166" t="str">
        <f>_xll.BDP("760074BV Muni","MUNI_TAX_PROV")</f>
        <v>FED BQ/ST TAX-EXEMPT</v>
      </c>
      <c r="Q2166" t="str">
        <f>_xll.BDP("760074BV Muni","MUNI_FED_TAX")</f>
        <v>N</v>
      </c>
      <c r="R2166">
        <f>_xll.BDP("760074BV Muni","MUNI_MSRB_VOLUME")</f>
        <v>20000</v>
      </c>
      <c r="S2166" t="str">
        <f>_xll.BDP("760074BV Muni","BB_COMPOSITE")</f>
        <v>#N/A N/A</v>
      </c>
      <c r="T2166">
        <f>_xll.BDP("760074BV Muni","LQA_LIQUIDITY_SCORE")</f>
        <v>57</v>
      </c>
    </row>
    <row r="2167" spans="1:20" x14ac:dyDescent="0.25">
      <c r="A2167" t="str">
        <f>_xll.BDP("760074BW Muni","ID_CUSIP")</f>
        <v>760074BW3</v>
      </c>
      <c r="B2167" t="s">
        <v>545</v>
      </c>
      <c r="C2167" t="str">
        <f>_xll.BDP("760074BW Muni","INSURANCE_STATUS")</f>
        <v>N</v>
      </c>
      <c r="D2167" t="str">
        <f>_xll.BDP("760074BW Muni","STATE_CODE")</f>
        <v>IN</v>
      </c>
      <c r="E2167" t="str">
        <f>_xll.BDP("760074BW Muni","COUNTY_LOCATION_ISSUER")</f>
        <v>Jasper, IN</v>
      </c>
      <c r="F2167">
        <f>_xll.BDP("760074BW Muni","DUR_ADJ_MID")</f>
        <v>5.3369343844537998</v>
      </c>
      <c r="G2167">
        <f>_xll.BDP("760074BW Muni","SPREAD_AT_ISSUANCE_TO_WORST")</f>
        <v>83.696323287671248</v>
      </c>
      <c r="H2167" t="str">
        <f>_xll.BDP("760074BW Muni","ISSUE_DT")</f>
        <v>12/28/2017</v>
      </c>
      <c r="I2167" t="str">
        <f>_xll.BDS("760074BW Muni","MUNI_PURPOSE_SCHED", "aggregate=y")</f>
        <v>WATER UTILITY IMPS. REFUNDING NOTES</v>
      </c>
      <c r="J2167">
        <f>_xll.BDP("760074BW Muni","CPN")</f>
        <v>3.5</v>
      </c>
      <c r="K2167" t="str">
        <f>_xll.BDP("760074BW Muni","MATURITY")</f>
        <v>7/1/2028</v>
      </c>
      <c r="L2167">
        <v>20000</v>
      </c>
      <c r="M2167">
        <f>_xll.BDP("760074BW Muni","YIELD_ON_ISSUE_DATE")</f>
        <v>2.9000000000000004</v>
      </c>
      <c r="N2167">
        <f>_xll.BDP("760074BW Muni","YTW_SPREAD_TO_MATURITY_AT_ISSU")</f>
        <v>83.696323287671248</v>
      </c>
      <c r="O2167" t="str">
        <f>_xll.BDP("760074BW Muni","BVAL_MID_YTM")</f>
        <v>#N/A Authorization</v>
      </c>
      <c r="P2167" t="str">
        <f>_xll.BDP("760074BW Muni","MUNI_TAX_PROV")</f>
        <v>FED BQ/ST TAX-EXEMPT</v>
      </c>
      <c r="Q2167" t="str">
        <f>_xll.BDP("760074BW Muni","MUNI_FED_TAX")</f>
        <v>N</v>
      </c>
      <c r="R2167">
        <f>_xll.BDP("760074BW Muni","MUNI_MSRB_VOLUME")</f>
        <v>10000</v>
      </c>
      <c r="S2167" t="str">
        <f>_xll.BDP("760074BW Muni","BB_COMPOSITE")</f>
        <v>#N/A N/A</v>
      </c>
      <c r="T2167">
        <f>_xll.BDP("760074BW Muni","LQA_LIQUIDITY_SCORE")</f>
        <v>49</v>
      </c>
    </row>
    <row r="2168" spans="1:20" x14ac:dyDescent="0.25">
      <c r="A2168" t="str">
        <f>_xll.BDP("76131MCC Muni","ID_CUSIP")</f>
        <v>76131MCC5</v>
      </c>
      <c r="B2168" t="s">
        <v>546</v>
      </c>
      <c r="C2168" t="str">
        <f>_xll.BDP("76131MCC Muni","INSURANCE_STATUS")</f>
        <v>Y</v>
      </c>
      <c r="D2168" t="str">
        <f>_xll.BDP("76131MCC Muni","STATE_CODE")</f>
        <v>TX</v>
      </c>
      <c r="E2168" t="str">
        <f>_xll.BDP("76131MCC Muni","COUNTY_LOCATION_ISSUER")</f>
        <v>Travis, TX</v>
      </c>
      <c r="F2168">
        <f>_xll.BDP("76131MCC Muni","DUR_ADJ_MID")</f>
        <v>3.6092189524371494E-2</v>
      </c>
      <c r="G2168">
        <f>_xll.BDP("76131MCC Muni","SPREAD_AT_ISSUANCE_TO_WORST")</f>
        <v>51.722961643835632</v>
      </c>
      <c r="H2168" t="str">
        <f>_xll.BDP("76131MCC Muni","ISSUE_DT")</f>
        <v>11/16/2017</v>
      </c>
      <c r="I2168" t="str">
        <f>_xll.BDS("76131MCC Muni","MUNI_PURPOSE_SCHED", "aggregate=y")</f>
        <v>WATER UTILITY IMPS. SEWER IMPS. PUBLIC IMPS.</v>
      </c>
      <c r="J2168">
        <f>_xll.BDP("76131MCC Muni","CPN")</f>
        <v>2</v>
      </c>
      <c r="K2168" t="str">
        <f>_xll.BDP("76131MCC Muni","MATURITY")</f>
        <v>8/15/2022</v>
      </c>
      <c r="L2168">
        <v>155000</v>
      </c>
      <c r="M2168">
        <f>_xll.BDP("76131MCC Muni","YIELD_ON_ISSUE_DATE")</f>
        <v>1.85</v>
      </c>
      <c r="N2168">
        <f>_xll.BDP("76131MCC Muni","YTW_SPREAD_TO_MATURITY_AT_ISSU")</f>
        <v>51.722961643835632</v>
      </c>
      <c r="O2168" t="str">
        <f>_xll.BDP("76131MCC Muni","BVAL_MID_YTM")</f>
        <v>#N/A Authorization</v>
      </c>
      <c r="P2168" t="str">
        <f>_xll.BDP("76131MCC Muni","MUNI_TAX_PROV")</f>
        <v>FED BQ</v>
      </c>
      <c r="Q2168" t="str">
        <f>_xll.BDP("76131MCC Muni","MUNI_FED_TAX")</f>
        <v>N</v>
      </c>
      <c r="R2168" t="str">
        <f>_xll.BDP("76131MCC Muni","MUNI_MSRB_VOLUME")</f>
        <v>#N/A N/A</v>
      </c>
      <c r="S2168" t="str">
        <f>_xll.BDP("76131MCC Muni","BB_COMPOSITE")</f>
        <v>A-</v>
      </c>
      <c r="T2168">
        <f>_xll.BDP("76131MCC Muni","LQA_LIQUIDITY_SCORE")</f>
        <v>20</v>
      </c>
    </row>
    <row r="2169" spans="1:20" x14ac:dyDescent="0.25">
      <c r="A2169" t="str">
        <f>_xll.BDP("76131MCD Muni","ID_CUSIP")</f>
        <v>76131MCD3</v>
      </c>
      <c r="B2169" t="s">
        <v>546</v>
      </c>
      <c r="C2169" t="str">
        <f>_xll.BDP("76131MCD Muni","INSURANCE_STATUS")</f>
        <v>Y</v>
      </c>
      <c r="D2169" t="str">
        <f>_xll.BDP("76131MCD Muni","STATE_CODE")</f>
        <v>TX</v>
      </c>
      <c r="E2169" t="str">
        <f>_xll.BDP("76131MCD Muni","COUNTY_LOCATION_ISSUER")</f>
        <v>Travis, TX</v>
      </c>
      <c r="F2169">
        <f>_xll.BDP("76131MCD Muni","DUR_ADJ_MID")</f>
        <v>1.0109748712086764</v>
      </c>
      <c r="G2169">
        <f>_xll.BDP("76131MCD Muni","SPREAD_AT_ISSUANCE_TO_WORST")</f>
        <v>54.02736438356164</v>
      </c>
      <c r="H2169" t="str">
        <f>_xll.BDP("76131MCD Muni","ISSUE_DT")</f>
        <v>11/16/2017</v>
      </c>
      <c r="I2169" t="str">
        <f>_xll.BDS("76131MCD Muni","MUNI_PURPOSE_SCHED", "aggregate=y")</f>
        <v>WATER UTILITY IMPS. SEWER IMPS. PUBLIC IMPS.</v>
      </c>
      <c r="J2169">
        <f>_xll.BDP("76131MCD Muni","CPN")</f>
        <v>2</v>
      </c>
      <c r="K2169" t="str">
        <f>_xll.BDP("76131MCD Muni","MATURITY")</f>
        <v>8/15/2023</v>
      </c>
      <c r="L2169">
        <v>165000</v>
      </c>
      <c r="M2169">
        <f>_xll.BDP("76131MCD Muni","YIELD_ON_ISSUE_DATE")</f>
        <v>2</v>
      </c>
      <c r="N2169">
        <f>_xll.BDP("76131MCD Muni","YTW_SPREAD_TO_MATURITY_AT_ISSU")</f>
        <v>54.02736438356164</v>
      </c>
      <c r="O2169" t="str">
        <f>_xll.BDP("76131MCD Muni","BVAL_MID_YTM")</f>
        <v>#N/A Authorization</v>
      </c>
      <c r="P2169" t="str">
        <f>_xll.BDP("76131MCD Muni","MUNI_TAX_PROV")</f>
        <v>FED BQ</v>
      </c>
      <c r="Q2169" t="str">
        <f>_xll.BDP("76131MCD Muni","MUNI_FED_TAX")</f>
        <v>N</v>
      </c>
      <c r="R2169" t="str">
        <f>_xll.BDP("76131MCD Muni","MUNI_MSRB_VOLUME")</f>
        <v>#N/A N/A</v>
      </c>
      <c r="S2169" t="str">
        <f>_xll.BDP("76131MCD Muni","BB_COMPOSITE")</f>
        <v>A-</v>
      </c>
      <c r="T2169">
        <f>_xll.BDP("76131MCD Muni","LQA_LIQUIDITY_SCORE")</f>
        <v>81</v>
      </c>
    </row>
    <row r="2170" spans="1:20" x14ac:dyDescent="0.25">
      <c r="A2170" t="str">
        <f>_xll.BDP("76131MCE Muni","ID_CUSIP")</f>
        <v>76131MCE1</v>
      </c>
      <c r="B2170" t="s">
        <v>546</v>
      </c>
      <c r="C2170" t="str">
        <f>_xll.BDP("76131MCE Muni","INSURANCE_STATUS")</f>
        <v>Y</v>
      </c>
      <c r="D2170" t="str">
        <f>_xll.BDP("76131MCE Muni","STATE_CODE")</f>
        <v>TX</v>
      </c>
      <c r="E2170" t="str">
        <f>_xll.BDP("76131MCE Muni","COUNTY_LOCATION_ISSUER")</f>
        <v>Travis, TX</v>
      </c>
      <c r="F2170">
        <f>_xll.BDP("76131MCE Muni","DUR_ADJ_MID")</f>
        <v>1.9418104115405885</v>
      </c>
      <c r="G2170">
        <f>_xll.BDP("76131MCE Muni","SPREAD_AT_ISSUANCE_TO_WORST")</f>
        <v>50.822452054794539</v>
      </c>
      <c r="H2170" t="str">
        <f>_xll.BDP("76131MCE Muni","ISSUE_DT")</f>
        <v>11/16/2017</v>
      </c>
      <c r="I2170" t="str">
        <f>_xll.BDS("76131MCE Muni","MUNI_PURPOSE_SCHED", "aggregate=y")</f>
        <v>WATER UTILITY IMPS. SEWER IMPS. PUBLIC IMPS.</v>
      </c>
      <c r="J2170">
        <f>_xll.BDP("76131MCE Muni","CPN")</f>
        <v>3</v>
      </c>
      <c r="K2170" t="str">
        <f>_xll.BDP("76131MCE Muni","MATURITY")</f>
        <v>8/15/2024</v>
      </c>
      <c r="L2170">
        <v>170000</v>
      </c>
      <c r="M2170">
        <f>_xll.BDP("76131MCE Muni","YIELD_ON_ISSUE_DATE")</f>
        <v>2.1</v>
      </c>
      <c r="N2170">
        <f>_xll.BDP("76131MCE Muni","YTW_SPREAD_TO_MATURITY_AT_ISSU")</f>
        <v>50.822452054794539</v>
      </c>
      <c r="O2170" t="str">
        <f>_xll.BDP("76131MCE Muni","BVAL_MID_YTM")</f>
        <v>#N/A Authorization</v>
      </c>
      <c r="P2170" t="str">
        <f>_xll.BDP("76131MCE Muni","MUNI_TAX_PROV")</f>
        <v>FED BQ</v>
      </c>
      <c r="Q2170" t="str">
        <f>_xll.BDP("76131MCE Muni","MUNI_FED_TAX")</f>
        <v>N</v>
      </c>
      <c r="R2170" t="str">
        <f>_xll.BDP("76131MCE Muni","MUNI_MSRB_VOLUME")</f>
        <v>#N/A N/A</v>
      </c>
      <c r="S2170" t="str">
        <f>_xll.BDP("76131MCE Muni","BB_COMPOSITE")</f>
        <v>A-</v>
      </c>
      <c r="T2170">
        <f>_xll.BDP("76131MCE Muni","LQA_LIQUIDITY_SCORE")</f>
        <v>75</v>
      </c>
    </row>
    <row r="2171" spans="1:20" x14ac:dyDescent="0.25">
      <c r="A2171" t="str">
        <f>_xll.BDP("76222FBR Muni","ID_CUSIP")</f>
        <v>76222FBR8</v>
      </c>
      <c r="B2171" t="s">
        <v>169</v>
      </c>
      <c r="C2171" t="str">
        <f>_xll.BDP("76222FBR Muni","INSURANCE_STATUS")</f>
        <v>N</v>
      </c>
      <c r="D2171" t="str">
        <f>_xll.BDP("76222FBR Muni","STATE_CODE")</f>
        <v>RI</v>
      </c>
      <c r="E2171" t="str">
        <f>_xll.BDP("76222FBR Muni","COUNTY_LOCATION_ISSUER")</f>
        <v>Providence, RI</v>
      </c>
      <c r="F2171">
        <f>_xll.BDP("76222FBR Muni","DUR_ADJ_MID")</f>
        <v>0.16368576767668438</v>
      </c>
      <c r="G2171">
        <f>_xll.BDP("76222FBR Muni","SPREAD_AT_ISSUANCE_TO_WORST")</f>
        <v>14.064815377480922</v>
      </c>
      <c r="H2171" t="str">
        <f>_xll.BDP("76222FBR Muni","ISSUE_DT")</f>
        <v>5/10/2017</v>
      </c>
      <c r="I2171" t="str">
        <f>_xll.BDS("76222FBR Muni","MUNI_PURPOSE_SCHED", "aggregate=y")</f>
        <v>GREEN PURPOSE WATER UTILITY IMPS.</v>
      </c>
      <c r="J2171">
        <f>_xll.BDP("76222FBR Muni","CPN")</f>
        <v>2</v>
      </c>
      <c r="K2171" t="str">
        <f>_xll.BDP("76222FBR Muni","MATURITY")</f>
        <v>10/1/2022</v>
      </c>
      <c r="L2171">
        <v>490000</v>
      </c>
      <c r="M2171">
        <f>_xll.BDP("76222FBR Muni","YIELD_ON_ISSUE_DATE")</f>
        <v>1.57</v>
      </c>
      <c r="N2171">
        <f>_xll.BDP("76222FBR Muni","YTW_SPREAD_TO_MATURITY_AT_ISSU")</f>
        <v>14.064815377480922</v>
      </c>
      <c r="O2171" t="str">
        <f>_xll.BDP("76222FBR Muni","BVAL_MID_YTM")</f>
        <v>#N/A Authorization</v>
      </c>
      <c r="P2171" t="str">
        <f>_xll.BDP("76222FBR Muni","MUNI_TAX_PROV")</f>
        <v>FED &amp; ST TAX-EXEMPT</v>
      </c>
      <c r="Q2171" t="str">
        <f>_xll.BDP("76222FBR Muni","MUNI_FED_TAX")</f>
        <v>N</v>
      </c>
      <c r="R2171" t="str">
        <f>_xll.BDP("76222FBR Muni","MUNI_MSRB_VOLUME")</f>
        <v>#N/A N/A</v>
      </c>
      <c r="S2171" t="str">
        <f>_xll.BDP("76222FBR Muni","BB_COMPOSITE")</f>
        <v>AAA</v>
      </c>
      <c r="T2171">
        <f>_xll.BDP("76222FBR Muni","LQA_LIQUIDITY_SCORE")</f>
        <v>98</v>
      </c>
    </row>
    <row r="2172" spans="1:20" x14ac:dyDescent="0.25">
      <c r="A2172" t="str">
        <f>_xll.BDP("76222FBS Muni","ID_CUSIP")</f>
        <v>76222FBS6</v>
      </c>
      <c r="B2172" t="s">
        <v>169</v>
      </c>
      <c r="C2172" t="str">
        <f>_xll.BDP("76222FBS Muni","INSURANCE_STATUS")</f>
        <v>N</v>
      </c>
      <c r="D2172" t="str">
        <f>_xll.BDP("76222FBS Muni","STATE_CODE")</f>
        <v>RI</v>
      </c>
      <c r="E2172" t="str">
        <f>_xll.BDP("76222FBS Muni","COUNTY_LOCATION_ISSUER")</f>
        <v>Providence, RI</v>
      </c>
      <c r="F2172">
        <f>_xll.BDP("76222FBS Muni","DUR_ADJ_MID")</f>
        <v>1.1413056961091754</v>
      </c>
      <c r="G2172">
        <f>_xll.BDP("76222FBS Muni","SPREAD_AT_ISSUANCE_TO_WORST")</f>
        <v>16.744792505065732</v>
      </c>
      <c r="H2172" t="str">
        <f>_xll.BDP("76222FBS Muni","ISSUE_DT")</f>
        <v>5/10/2017</v>
      </c>
      <c r="I2172" t="str">
        <f>_xll.BDS("76222FBS Muni","MUNI_PURPOSE_SCHED", "aggregate=y")</f>
        <v>GREEN PURPOSE WATER UTILITY IMPS.</v>
      </c>
      <c r="J2172">
        <f>_xll.BDP("76222FBS Muni","CPN")</f>
        <v>2</v>
      </c>
      <c r="K2172" t="str">
        <f>_xll.BDP("76222FBS Muni","MATURITY")</f>
        <v>10/1/2023</v>
      </c>
      <c r="L2172">
        <v>500000</v>
      </c>
      <c r="M2172">
        <f>_xll.BDP("76222FBS Muni","YIELD_ON_ISSUE_DATE")</f>
        <v>1.76</v>
      </c>
      <c r="N2172">
        <f>_xll.BDP("76222FBS Muni","YTW_SPREAD_TO_MATURITY_AT_ISSU")</f>
        <v>16.744792505065732</v>
      </c>
      <c r="O2172" t="str">
        <f>_xll.BDP("76222FBS Muni","BVAL_MID_YTM")</f>
        <v>#N/A Authorization</v>
      </c>
      <c r="P2172" t="str">
        <f>_xll.BDP("76222FBS Muni","MUNI_TAX_PROV")</f>
        <v>FED &amp; ST TAX-EXEMPT</v>
      </c>
      <c r="Q2172" t="str">
        <f>_xll.BDP("76222FBS Muni","MUNI_FED_TAX")</f>
        <v>N</v>
      </c>
      <c r="R2172" t="str">
        <f>_xll.BDP("76222FBS Muni","MUNI_MSRB_VOLUME")</f>
        <v>#N/A N/A</v>
      </c>
      <c r="S2172" t="str">
        <f>_xll.BDP("76222FBS Muni","BB_COMPOSITE")</f>
        <v>AAA</v>
      </c>
      <c r="T2172">
        <f>_xll.BDP("76222FBS Muni","LQA_LIQUIDITY_SCORE")</f>
        <v>78</v>
      </c>
    </row>
    <row r="2173" spans="1:20" x14ac:dyDescent="0.25">
      <c r="A2173" t="str">
        <f>_xll.BDP("76222FBT Muni","ID_CUSIP")</f>
        <v>76222FBT4</v>
      </c>
      <c r="B2173" t="s">
        <v>169</v>
      </c>
      <c r="C2173" t="str">
        <f>_xll.BDP("76222FBT Muni","INSURANCE_STATUS")</f>
        <v>N</v>
      </c>
      <c r="D2173" t="str">
        <f>_xll.BDP("76222FBT Muni","STATE_CODE")</f>
        <v>RI</v>
      </c>
      <c r="E2173" t="str">
        <f>_xll.BDP("76222FBT Muni","COUNTY_LOCATION_ISSUER")</f>
        <v>Providence, RI</v>
      </c>
      <c r="F2173">
        <f>_xll.BDP("76222FBT Muni","DUR_ADJ_MID")</f>
        <v>2.0982565768822243</v>
      </c>
      <c r="G2173">
        <f>_xll.BDP("76222FBT Muni","SPREAD_AT_ISSUANCE_TO_WORST")</f>
        <v>14.418771974357236</v>
      </c>
      <c r="H2173" t="str">
        <f>_xll.BDP("76222FBT Muni","ISSUE_DT")</f>
        <v>5/10/2017</v>
      </c>
      <c r="I2173" t="str">
        <f>_xll.BDS("76222FBT Muni","MUNI_PURPOSE_SCHED", "aggregate=y")</f>
        <v>GREEN PURPOSE WATER UTILITY IMPS.</v>
      </c>
      <c r="J2173">
        <f>_xll.BDP("76222FBT Muni","CPN")</f>
        <v>2</v>
      </c>
      <c r="K2173" t="str">
        <f>_xll.BDP("76222FBT Muni","MATURITY")</f>
        <v>10/1/2024</v>
      </c>
      <c r="L2173">
        <v>515000</v>
      </c>
      <c r="M2173">
        <f>_xll.BDP("76222FBT Muni","YIELD_ON_ISSUE_DATE")</f>
        <v>1.9000000000000001</v>
      </c>
      <c r="N2173">
        <f>_xll.BDP("76222FBT Muni","YTW_SPREAD_TO_MATURITY_AT_ISSU")</f>
        <v>14.418771974357236</v>
      </c>
      <c r="O2173" t="str">
        <f>_xll.BDP("76222FBT Muni","BVAL_MID_YTM")</f>
        <v>#N/A Authorization</v>
      </c>
      <c r="P2173" t="str">
        <f>_xll.BDP("76222FBT Muni","MUNI_TAX_PROV")</f>
        <v>FED &amp; ST TAX-EXEMPT</v>
      </c>
      <c r="Q2173" t="str">
        <f>_xll.BDP("76222FBT Muni","MUNI_FED_TAX")</f>
        <v>N</v>
      </c>
      <c r="R2173" t="str">
        <f>_xll.BDP("76222FBT Muni","MUNI_MSRB_VOLUME")</f>
        <v>#N/A N/A</v>
      </c>
      <c r="S2173" t="str">
        <f>_xll.BDP("76222FBT Muni","BB_COMPOSITE")</f>
        <v>AAA</v>
      </c>
      <c r="T2173">
        <f>_xll.BDP("76222FBT Muni","LQA_LIQUIDITY_SCORE")</f>
        <v>64</v>
      </c>
    </row>
    <row r="2174" spans="1:20" x14ac:dyDescent="0.25">
      <c r="A2174" t="str">
        <f>_xll.BDP("76222FBU Muni","ID_CUSIP")</f>
        <v>76222FBU1</v>
      </c>
      <c r="B2174" t="s">
        <v>169</v>
      </c>
      <c r="C2174" t="str">
        <f>_xll.BDP("76222FBU Muni","INSURANCE_STATUS")</f>
        <v>N</v>
      </c>
      <c r="D2174" t="str">
        <f>_xll.BDP("76222FBU Muni","STATE_CODE")</f>
        <v>RI</v>
      </c>
      <c r="E2174" t="str">
        <f>_xll.BDP("76222FBU Muni","COUNTY_LOCATION_ISSUER")</f>
        <v>Providence, RI</v>
      </c>
      <c r="F2174">
        <f>_xll.BDP("76222FBU Muni","DUR_ADJ_MID")</f>
        <v>3.0129800381588723</v>
      </c>
      <c r="G2174">
        <f>_xll.BDP("76222FBU Muni","SPREAD_AT_ISSUANCE_TO_WORST")</f>
        <v>16.88981510795815</v>
      </c>
      <c r="H2174" t="str">
        <f>_xll.BDP("76222FBU Muni","ISSUE_DT")</f>
        <v>5/10/2017</v>
      </c>
      <c r="I2174" t="str">
        <f>_xll.BDS("76222FBU Muni","MUNI_PURPOSE_SCHED", "aggregate=y")</f>
        <v>GREEN PURPOSE WATER UTILITY IMPS.</v>
      </c>
      <c r="J2174">
        <f>_xll.BDP("76222FBU Muni","CPN")</f>
        <v>2.5</v>
      </c>
      <c r="K2174" t="str">
        <f>_xll.BDP("76222FBU Muni","MATURITY")</f>
        <v>10/1/2025</v>
      </c>
      <c r="L2174">
        <v>525000</v>
      </c>
      <c r="M2174">
        <f>_xll.BDP("76222FBU Muni","YIELD_ON_ISSUE_DATE")</f>
        <v>2.08</v>
      </c>
      <c r="N2174">
        <f>_xll.BDP("76222FBU Muni","YTW_SPREAD_TO_MATURITY_AT_ISSU")</f>
        <v>16.88981510795815</v>
      </c>
      <c r="O2174" t="str">
        <f>_xll.BDP("76222FBU Muni","BVAL_MID_YTM")</f>
        <v>#N/A Authorization</v>
      </c>
      <c r="P2174" t="str">
        <f>_xll.BDP("76222FBU Muni","MUNI_TAX_PROV")</f>
        <v>FED &amp; ST TAX-EXEMPT</v>
      </c>
      <c r="Q2174" t="str">
        <f>_xll.BDP("76222FBU Muni","MUNI_FED_TAX")</f>
        <v>N</v>
      </c>
      <c r="R2174" t="str">
        <f>_xll.BDP("76222FBU Muni","MUNI_MSRB_VOLUME")</f>
        <v>#N/A N/A</v>
      </c>
      <c r="S2174" t="str">
        <f>_xll.BDP("76222FBU Muni","BB_COMPOSITE")</f>
        <v>AAA</v>
      </c>
      <c r="T2174">
        <f>_xll.BDP("76222FBU Muni","LQA_LIQUIDITY_SCORE")</f>
        <v>56</v>
      </c>
    </row>
    <row r="2175" spans="1:20" x14ac:dyDescent="0.25">
      <c r="A2175" t="str">
        <f>_xll.BDP("76222RUY Muni","ID_CUSIP")</f>
        <v>76222RUY6</v>
      </c>
      <c r="B2175" t="s">
        <v>42</v>
      </c>
      <c r="C2175" t="str">
        <f>_xll.BDP("76222RUY Muni","INSURANCE_STATUS")</f>
        <v>N</v>
      </c>
      <c r="D2175" t="str">
        <f>_xll.BDP("76222RUY Muni","STATE_CODE")</f>
        <v>RI</v>
      </c>
      <c r="E2175" t="str">
        <f>_xll.BDP("76222RUY Muni","COUNTY_LOCATION_ISSUER")</f>
        <v>Providence, RI</v>
      </c>
      <c r="F2175">
        <f>_xll.BDP("76222RUY Muni","DUR_ADJ_MID")</f>
        <v>0.73090441455206001</v>
      </c>
      <c r="G2175">
        <f>_xll.BDP("76222RUY Muni","SPREAD_AT_ISSUANCE_TO_WORST")</f>
        <v>21.581567732263164</v>
      </c>
      <c r="H2175" t="str">
        <f>_xll.BDP("76222RUY Muni","ISSUE_DT")</f>
        <v>5/9/2017</v>
      </c>
      <c r="I2175" t="str">
        <f>_xll.BDS("76222RUY Muni","MUNI_PURPOSE_SCHED", "aggregate=y")</f>
        <v>HOUSING UNIV. &amp; COLLEGE IMPS. WATER UTILITY IMPS.</v>
      </c>
      <c r="J2175">
        <f>_xll.BDP("76222RUY Muni","CPN")</f>
        <v>5</v>
      </c>
      <c r="K2175" t="str">
        <f>_xll.BDP("76222RUY Muni","MATURITY")</f>
        <v>5/1/2023</v>
      </c>
      <c r="L2175">
        <v>3610000</v>
      </c>
      <c r="M2175">
        <f>_xll.BDP("76222RUY Muni","YIELD_ON_ISSUE_DATE")</f>
        <v>1.74</v>
      </c>
      <c r="N2175">
        <f>_xll.BDP("76222RUY Muni","YTW_SPREAD_TO_MATURITY_AT_ISSU")</f>
        <v>21.581567732263164</v>
      </c>
      <c r="O2175" t="str">
        <f>_xll.BDP("76222RUY Muni","BVAL_MID_YTM")</f>
        <v>#N/A Authorization</v>
      </c>
      <c r="P2175" t="str">
        <f>_xll.BDP("76222RUY Muni","MUNI_TAX_PROV")</f>
        <v>FED &amp; ST TAX-EXEMPT</v>
      </c>
      <c r="Q2175" t="str">
        <f>_xll.BDP("76222RUY Muni","MUNI_FED_TAX")</f>
        <v>N</v>
      </c>
      <c r="R2175">
        <f>_xll.BDP("76222RUY Muni","MUNI_MSRB_VOLUME")</f>
        <v>80000</v>
      </c>
      <c r="S2175" t="str">
        <f>_xll.BDP("76222RUY Muni","BB_COMPOSITE")</f>
        <v>AA</v>
      </c>
      <c r="T2175">
        <f>_xll.BDP("76222RUY Muni","LQA_LIQUIDITY_SCORE")</f>
        <v>90</v>
      </c>
    </row>
    <row r="2176" spans="1:20" x14ac:dyDescent="0.25">
      <c r="A2176" t="str">
        <f>_xll.BDP("929831LY Muni","ID_CUSIP")</f>
        <v>929831LY9</v>
      </c>
      <c r="B2176" t="s">
        <v>76</v>
      </c>
      <c r="C2176" t="str">
        <f>_xll.BDP("929831LY Muni","INSURANCE_STATUS")</f>
        <v>N</v>
      </c>
      <c r="D2176" t="str">
        <f>_xll.BDP("929831LY Muni","STATE_CODE")</f>
        <v>TX</v>
      </c>
      <c r="E2176" t="str">
        <f>_xll.BDP("929831LY Muni","COUNTY_LOCATION_ISSUER")</f>
        <v>McLennan, TX</v>
      </c>
      <c r="F2176">
        <f>_xll.BDP("929831LY Muni","DUR_ADJ_MID")</f>
        <v>2.363198926824488</v>
      </c>
      <c r="G2176">
        <f>_xll.BDP("929831LY Muni","SPREAD_AT_ISSUANCE_TO_WORST")</f>
        <v>26.158300543816271</v>
      </c>
      <c r="H2176" t="str">
        <f>_xll.BDP("929831LY Muni","ISSUE_DT")</f>
        <v>4/1/2017</v>
      </c>
      <c r="I2176" t="str">
        <f>_xll.BDS("929831LY Muni","MUNI_PURPOSE_SCHED", "aggregate=y")</f>
        <v>PUBLIC IMPS. WATER UTILITY IMPS. SEWER IMPS.</v>
      </c>
      <c r="J2176">
        <f>_xll.BDP("929831LY Muni","CPN")</f>
        <v>5</v>
      </c>
      <c r="K2176" t="str">
        <f>_xll.BDP("929831LY Muni","MATURITY")</f>
        <v>2/1/2025</v>
      </c>
      <c r="L2176">
        <v>1560000</v>
      </c>
      <c r="M2176">
        <f>_xll.BDP("929831LY Muni","YIELD_ON_ISSUE_DATE")</f>
        <v>2.4700000000000002</v>
      </c>
      <c r="N2176">
        <f>_xll.BDP("929831LY Muni","YTW_SPREAD_TO_MATURITY_AT_ISSU")</f>
        <v>26.158300543816271</v>
      </c>
      <c r="O2176" t="str">
        <f>_xll.BDP("929831LY Muni","BVAL_MID_YTM")</f>
        <v>#N/A Authorization</v>
      </c>
      <c r="P2176" t="str">
        <f>_xll.BDP("929831LY Muni","MUNI_TAX_PROV")</f>
        <v>FED TAX-EXEMPT</v>
      </c>
      <c r="Q2176" t="str">
        <f>_xll.BDP("929831LY Muni","MUNI_FED_TAX")</f>
        <v>N</v>
      </c>
      <c r="R2176" t="str">
        <f>_xll.BDP("929831LY Muni","MUNI_MSRB_VOLUME")</f>
        <v>#N/A N/A</v>
      </c>
      <c r="S2176" t="str">
        <f>_xll.BDP("929831LY Muni","BB_COMPOSITE")</f>
        <v>AA+</v>
      </c>
      <c r="T2176">
        <f>_xll.BDP("929831LY Muni","LQA_LIQUIDITY_SCORE")</f>
        <v>62</v>
      </c>
    </row>
    <row r="2177" spans="1:20" x14ac:dyDescent="0.25">
      <c r="A2177" t="str">
        <f>_xll.BDP("929831LZ Muni","ID_CUSIP")</f>
        <v>929831LZ6</v>
      </c>
      <c r="B2177" t="s">
        <v>76</v>
      </c>
      <c r="C2177" t="str">
        <f>_xll.BDP("929831LZ Muni","INSURANCE_STATUS")</f>
        <v>N</v>
      </c>
      <c r="D2177" t="str">
        <f>_xll.BDP("929831LZ Muni","STATE_CODE")</f>
        <v>TX</v>
      </c>
      <c r="E2177" t="str">
        <f>_xll.BDP("929831LZ Muni","COUNTY_LOCATION_ISSUER")</f>
        <v>McLennan, TX</v>
      </c>
      <c r="F2177">
        <f>_xll.BDP("929831LZ Muni","DUR_ADJ_MID")</f>
        <v>3.2364904381443291</v>
      </c>
      <c r="G2177">
        <f>_xll.BDP("929831LZ Muni","SPREAD_AT_ISSUANCE_TO_WORST")</f>
        <v>22.772101410370649</v>
      </c>
      <c r="H2177" t="str">
        <f>_xll.BDP("929831LZ Muni","ISSUE_DT")</f>
        <v>4/1/2017</v>
      </c>
      <c r="I2177" t="str">
        <f>_xll.BDS("929831LZ Muni","MUNI_PURPOSE_SCHED", "aggregate=y")</f>
        <v>PUBLIC IMPS. WATER UTILITY IMPS. SEWER IMPS.</v>
      </c>
      <c r="J2177">
        <f>_xll.BDP("929831LZ Muni","CPN")</f>
        <v>5</v>
      </c>
      <c r="K2177" t="str">
        <f>_xll.BDP("929831LZ Muni","MATURITY")</f>
        <v>2/1/2026</v>
      </c>
      <c r="L2177">
        <v>1640000</v>
      </c>
      <c r="M2177">
        <f>_xll.BDP("929831LZ Muni","YIELD_ON_ISSUE_DATE")</f>
        <v>2.58</v>
      </c>
      <c r="N2177">
        <f>_xll.BDP("929831LZ Muni","YTW_SPREAD_TO_MATURITY_AT_ISSU")</f>
        <v>22.772101410370649</v>
      </c>
      <c r="O2177" t="str">
        <f>_xll.BDP("929831LZ Muni","BVAL_MID_YTM")</f>
        <v>#N/A Authorization</v>
      </c>
      <c r="P2177" t="str">
        <f>_xll.BDP("929831LZ Muni","MUNI_TAX_PROV")</f>
        <v>FED TAX-EXEMPT</v>
      </c>
      <c r="Q2177" t="str">
        <f>_xll.BDP("929831LZ Muni","MUNI_FED_TAX")</f>
        <v>N</v>
      </c>
      <c r="R2177">
        <f>_xll.BDP("929831LZ Muni","MUNI_MSRB_VOLUME")</f>
        <v>30000</v>
      </c>
      <c r="S2177" t="str">
        <f>_xll.BDP("929831LZ Muni","BB_COMPOSITE")</f>
        <v>AA+</v>
      </c>
      <c r="T2177">
        <f>_xll.BDP("929831LZ Muni","LQA_LIQUIDITY_SCORE")</f>
        <v>53</v>
      </c>
    </row>
    <row r="2178" spans="1:20" x14ac:dyDescent="0.25">
      <c r="A2178" t="str">
        <f>_xll.BDP("929831MA Muni","ID_CUSIP")</f>
        <v>929831MA0</v>
      </c>
      <c r="B2178" t="s">
        <v>76</v>
      </c>
      <c r="C2178" t="str">
        <f>_xll.BDP("929831MA Muni","INSURANCE_STATUS")</f>
        <v>N</v>
      </c>
      <c r="D2178" t="str">
        <f>_xll.BDP("929831MA Muni","STATE_CODE")</f>
        <v>TX</v>
      </c>
      <c r="E2178" t="str">
        <f>_xll.BDP("929831MA Muni","COUNTY_LOCATION_ISSUER")</f>
        <v>McLennan, TX</v>
      </c>
      <c r="F2178">
        <f>_xll.BDP("929831MA Muni","DUR_ADJ_MID")</f>
        <v>4.0692334673461907</v>
      </c>
      <c r="G2178">
        <f>_xll.BDP("929831MA Muni","SPREAD_AT_ISSUANCE_TO_WORST")</f>
        <v>27.384488033740297</v>
      </c>
      <c r="H2178" t="str">
        <f>_xll.BDP("929831MA Muni","ISSUE_DT")</f>
        <v>4/1/2017</v>
      </c>
      <c r="I2178" t="str">
        <f>_xll.BDS("929831MA Muni","MUNI_PURPOSE_SCHED", "aggregate=y")</f>
        <v>PUBLIC IMPS. WATER UTILITY IMPS. SEWER IMPS.</v>
      </c>
      <c r="J2178">
        <f>_xll.BDP("929831MA Muni","CPN")</f>
        <v>5</v>
      </c>
      <c r="K2178" t="str">
        <f>_xll.BDP("929831MA Muni","MATURITY")</f>
        <v>2/1/2027</v>
      </c>
      <c r="L2178">
        <v>1720000</v>
      </c>
      <c r="M2178">
        <f>_xll.BDP("929831MA Muni","YIELD_ON_ISSUE_DATE")</f>
        <v>2.74</v>
      </c>
      <c r="N2178">
        <f>_xll.BDP("929831MA Muni","YTW_SPREAD_TO_MATURITY_AT_ISSU")</f>
        <v>27.384488033740297</v>
      </c>
      <c r="O2178" t="str">
        <f>_xll.BDP("929831MA Muni","BVAL_MID_YTM")</f>
        <v>#N/A Authorization</v>
      </c>
      <c r="P2178" t="str">
        <f>_xll.BDP("929831MA Muni","MUNI_TAX_PROV")</f>
        <v>FED TAX-EXEMPT</v>
      </c>
      <c r="Q2178" t="str">
        <f>_xll.BDP("929831MA Muni","MUNI_FED_TAX")</f>
        <v>N</v>
      </c>
      <c r="R2178">
        <f>_xll.BDP("929831MA Muni","MUNI_MSRB_VOLUME")</f>
        <v>130000</v>
      </c>
      <c r="S2178" t="str">
        <f>_xll.BDP("929831MA Muni","BB_COMPOSITE")</f>
        <v>AA+</v>
      </c>
      <c r="T2178">
        <f>_xll.BDP("929831MA Muni","LQA_LIQUIDITY_SCORE")</f>
        <v>46</v>
      </c>
    </row>
    <row r="2179" spans="1:20" x14ac:dyDescent="0.25">
      <c r="A2179" t="str">
        <f>_xll.BDP("772827SH Muni","ID_CUSIP")</f>
        <v>772827SH5</v>
      </c>
      <c r="B2179" t="s">
        <v>547</v>
      </c>
      <c r="C2179" t="str">
        <f>_xll.BDP("772827SH Muni","INSURANCE_STATUS")</f>
        <v>N</v>
      </c>
      <c r="D2179" t="str">
        <f>_xll.BDP("772827SH Muni","STATE_CODE")</f>
        <v>NJ</v>
      </c>
      <c r="E2179" t="str">
        <f>_xll.BDP("772827SH Muni","COUNTY_LOCATION_ISSUER")</f>
        <v>Morris, NJ</v>
      </c>
      <c r="F2179">
        <f>_xll.BDP("772827SH Muni","DUR_ADJ_MID")</f>
        <v>1.9082401856731532</v>
      </c>
      <c r="G2179">
        <f>_xll.BDP("772827SH Muni","SPREAD_AT_ISSUANCE_TO_WORST")</f>
        <v>21.077315068493174</v>
      </c>
      <c r="H2179" t="str">
        <f>_xll.BDP("772827SH Muni","ISSUE_DT")</f>
        <v>11/15/2017</v>
      </c>
      <c r="I2179" t="str">
        <f>_xll.BDS("772827SH Muni","MUNI_PURPOSE_SCHED", "aggregate=y")</f>
        <v>PUBLIC IMPS. WATER UTILITY IMPS.</v>
      </c>
      <c r="J2179">
        <f>_xll.BDP("772827SH Muni","CPN")</f>
        <v>2</v>
      </c>
      <c r="K2179" t="str">
        <f>_xll.BDP("772827SH Muni","MATURITY")</f>
        <v>7/15/2024</v>
      </c>
      <c r="L2179">
        <v>1545000</v>
      </c>
      <c r="M2179">
        <f>_xll.BDP("772827SH Muni","YIELD_ON_ISSUE_DATE")</f>
        <v>1.87</v>
      </c>
      <c r="N2179">
        <f>_xll.BDP("772827SH Muni","YTW_SPREAD_TO_MATURITY_AT_ISSU")</f>
        <v>21.077315068493174</v>
      </c>
      <c r="O2179" t="str">
        <f>_xll.BDP("772827SH Muni","BVAL_MID_YTM")</f>
        <v>#N/A Authorization</v>
      </c>
      <c r="P2179" t="str">
        <f>_xll.BDP("772827SH Muni","MUNI_TAX_PROV")</f>
        <v>FED &amp; ST TAX-EXEMPT</v>
      </c>
      <c r="Q2179" t="str">
        <f>_xll.BDP("772827SH Muni","MUNI_FED_TAX")</f>
        <v>N</v>
      </c>
      <c r="R2179">
        <f>_xll.BDP("772827SH Muni","MUNI_MSRB_VOLUME")</f>
        <v>600000</v>
      </c>
      <c r="S2179" t="str">
        <f>_xll.BDP("772827SH Muni","BB_COMPOSITE")</f>
        <v>#N/A N/A</v>
      </c>
      <c r="T2179">
        <f>_xll.BDP("772827SH Muni","LQA_LIQUIDITY_SCORE")</f>
        <v>64</v>
      </c>
    </row>
    <row r="2180" spans="1:20" x14ac:dyDescent="0.25">
      <c r="A2180" t="str">
        <f>_xll.BDP("772827SJ Muni","ID_CUSIP")</f>
        <v>772827SJ1</v>
      </c>
      <c r="B2180" t="s">
        <v>547</v>
      </c>
      <c r="C2180" t="str">
        <f>_xll.BDP("772827SJ Muni","INSURANCE_STATUS")</f>
        <v>N</v>
      </c>
      <c r="D2180" t="str">
        <f>_xll.BDP("772827SJ Muni","STATE_CODE")</f>
        <v>NJ</v>
      </c>
      <c r="E2180" t="str">
        <f>_xll.BDP("772827SJ Muni","COUNTY_LOCATION_ISSUER")</f>
        <v>Morris, NJ</v>
      </c>
      <c r="F2180">
        <f>_xll.BDP("772827SJ Muni","DUR_ADJ_MID")</f>
        <v>2.8557797682687593</v>
      </c>
      <c r="G2180">
        <f>_xll.BDP("772827SJ Muni","SPREAD_AT_ISSUANCE_TO_WORST")</f>
        <v>21.5192493150685</v>
      </c>
      <c r="H2180" t="str">
        <f>_xll.BDP("772827SJ Muni","ISSUE_DT")</f>
        <v>11/15/2017</v>
      </c>
      <c r="I2180" t="str">
        <f>_xll.BDS("772827SJ Muni","MUNI_PURPOSE_SCHED", "aggregate=y")</f>
        <v>PUBLIC IMPS. WATER UTILITY IMPS.</v>
      </c>
      <c r="J2180">
        <f>_xll.BDP("772827SJ Muni","CPN")</f>
        <v>2</v>
      </c>
      <c r="K2180" t="str">
        <f>_xll.BDP("772827SJ Muni","MATURITY")</f>
        <v>7/15/2025</v>
      </c>
      <c r="L2180">
        <v>1145000</v>
      </c>
      <c r="M2180">
        <f>_xll.BDP("772827SJ Muni","YIELD_ON_ISSUE_DATE")</f>
        <v>2</v>
      </c>
      <c r="N2180">
        <f>_xll.BDP("772827SJ Muni","YTW_SPREAD_TO_MATURITY_AT_ISSU")</f>
        <v>21.5192493150685</v>
      </c>
      <c r="O2180" t="str">
        <f>_xll.BDP("772827SJ Muni","BVAL_MID_YTM")</f>
        <v>#N/A Authorization</v>
      </c>
      <c r="P2180" t="str">
        <f>_xll.BDP("772827SJ Muni","MUNI_TAX_PROV")</f>
        <v>FED &amp; ST TAX-EXEMPT</v>
      </c>
      <c r="Q2180" t="str">
        <f>_xll.BDP("772827SJ Muni","MUNI_FED_TAX")</f>
        <v>N</v>
      </c>
      <c r="R2180" t="str">
        <f>_xll.BDP("772827SJ Muni","MUNI_MSRB_VOLUME")</f>
        <v>#N/A N/A</v>
      </c>
      <c r="S2180" t="str">
        <f>_xll.BDP("772827SJ Muni","BB_COMPOSITE")</f>
        <v>#N/A N/A</v>
      </c>
      <c r="T2180">
        <f>_xll.BDP("772827SJ Muni","LQA_LIQUIDITY_SCORE")</f>
        <v>47</v>
      </c>
    </row>
    <row r="2181" spans="1:20" x14ac:dyDescent="0.25">
      <c r="A2181" t="str">
        <f>_xll.BDP("772827SK Muni","ID_CUSIP")</f>
        <v>772827SK8</v>
      </c>
      <c r="B2181" t="s">
        <v>547</v>
      </c>
      <c r="C2181" t="str">
        <f>_xll.BDP("772827SK Muni","INSURANCE_STATUS")</f>
        <v>N</v>
      </c>
      <c r="D2181" t="str">
        <f>_xll.BDP("772827SK Muni","STATE_CODE")</f>
        <v>NJ</v>
      </c>
      <c r="E2181" t="str">
        <f>_xll.BDP("772827SK Muni","COUNTY_LOCATION_ISSUER")</f>
        <v>Morris, NJ</v>
      </c>
      <c r="F2181">
        <f>_xll.BDP("772827SK Muni","DUR_ADJ_MID")</f>
        <v>3.7764839875219809</v>
      </c>
      <c r="G2181">
        <f>_xll.BDP("772827SK Muni","SPREAD_AT_ISSUANCE_TO_WORST")</f>
        <v>22.618153424657539</v>
      </c>
      <c r="H2181" t="str">
        <f>_xll.BDP("772827SK Muni","ISSUE_DT")</f>
        <v>11/15/2017</v>
      </c>
      <c r="I2181" t="str">
        <f>_xll.BDS("772827SK Muni","MUNI_PURPOSE_SCHED", "aggregate=y")</f>
        <v>PUBLIC IMPS. WATER UTILITY IMPS.</v>
      </c>
      <c r="J2181">
        <f>_xll.BDP("772827SK Muni","CPN")</f>
        <v>2.125</v>
      </c>
      <c r="K2181" t="str">
        <f>_xll.BDP("772827SK Muni","MATURITY")</f>
        <v>7/15/2026</v>
      </c>
      <c r="L2181">
        <v>1145000</v>
      </c>
      <c r="M2181">
        <f>_xll.BDP("772827SK Muni","YIELD_ON_ISSUE_DATE")</f>
        <v>2.125</v>
      </c>
      <c r="N2181">
        <f>_xll.BDP("772827SK Muni","YTW_SPREAD_TO_MATURITY_AT_ISSU")</f>
        <v>22.618153424657539</v>
      </c>
      <c r="O2181" t="str">
        <f>_xll.BDP("772827SK Muni","BVAL_MID_YTM")</f>
        <v>#N/A Authorization</v>
      </c>
      <c r="P2181" t="str">
        <f>_xll.BDP("772827SK Muni","MUNI_TAX_PROV")</f>
        <v>FED &amp; ST TAX-EXEMPT</v>
      </c>
      <c r="Q2181" t="str">
        <f>_xll.BDP("772827SK Muni","MUNI_FED_TAX")</f>
        <v>N</v>
      </c>
      <c r="R2181" t="str">
        <f>_xll.BDP("772827SK Muni","MUNI_MSRB_VOLUME")</f>
        <v>#N/A N/A</v>
      </c>
      <c r="S2181" t="str">
        <f>_xll.BDP("772827SK Muni","BB_COMPOSITE")</f>
        <v>#N/A N/A</v>
      </c>
      <c r="T2181">
        <f>_xll.BDP("772827SK Muni","LQA_LIQUIDITY_SCORE")</f>
        <v>39</v>
      </c>
    </row>
    <row r="2182" spans="1:20" x14ac:dyDescent="0.25">
      <c r="A2182" t="str">
        <f>_xll.BDP("772827SL Muni","ID_CUSIP")</f>
        <v>772827SL6</v>
      </c>
      <c r="B2182" t="s">
        <v>547</v>
      </c>
      <c r="C2182" t="str">
        <f>_xll.BDP("772827SL Muni","INSURANCE_STATUS")</f>
        <v>N</v>
      </c>
      <c r="D2182" t="str">
        <f>_xll.BDP("772827SL Muni","STATE_CODE")</f>
        <v>NJ</v>
      </c>
      <c r="E2182" t="str">
        <f>_xll.BDP("772827SL Muni","COUNTY_LOCATION_ISSUER")</f>
        <v>Morris, NJ</v>
      </c>
      <c r="F2182">
        <f>_xll.BDP("772827SL Muni","DUR_ADJ_MID")</f>
        <v>4.6698005772146578</v>
      </c>
      <c r="G2182">
        <f>_xll.BDP("772827SL Muni","SPREAD_AT_ISSUANCE_TO_WORST")</f>
        <v>25.957432876712303</v>
      </c>
      <c r="H2182" t="str">
        <f>_xll.BDP("772827SL Muni","ISSUE_DT")</f>
        <v>11/15/2017</v>
      </c>
      <c r="I2182" t="str">
        <f>_xll.BDS("772827SL Muni","MUNI_PURPOSE_SCHED", "aggregate=y")</f>
        <v>PUBLIC IMPS. WATER UTILITY IMPS.</v>
      </c>
      <c r="J2182">
        <f>_xll.BDP("772827SL Muni","CPN")</f>
        <v>2.25</v>
      </c>
      <c r="K2182" t="str">
        <f>_xll.BDP("772827SL Muni","MATURITY")</f>
        <v>7/15/2027</v>
      </c>
      <c r="L2182">
        <v>1153000</v>
      </c>
      <c r="M2182">
        <f>_xll.BDP("772827SL Muni","YIELD_ON_ISSUE_DATE")</f>
        <v>2.25</v>
      </c>
      <c r="N2182">
        <f>_xll.BDP("772827SL Muni","YTW_SPREAD_TO_MATURITY_AT_ISSU")</f>
        <v>25.957432876712303</v>
      </c>
      <c r="O2182" t="str">
        <f>_xll.BDP("772827SL Muni","BVAL_MID_YTM")</f>
        <v>#N/A Authorization</v>
      </c>
      <c r="P2182" t="str">
        <f>_xll.BDP("772827SL Muni","MUNI_TAX_PROV")</f>
        <v>FED &amp; ST TAX-EXEMPT</v>
      </c>
      <c r="Q2182" t="str">
        <f>_xll.BDP("772827SL Muni","MUNI_FED_TAX")</f>
        <v>N</v>
      </c>
      <c r="R2182" t="str">
        <f>_xll.BDP("772827SL Muni","MUNI_MSRB_VOLUME")</f>
        <v>#N/A N/A</v>
      </c>
      <c r="S2182" t="str">
        <f>_xll.BDP("772827SL Muni","BB_COMPOSITE")</f>
        <v>#N/A N/A</v>
      </c>
      <c r="T2182">
        <f>_xll.BDP("772827SL Muni","LQA_LIQUIDITY_SCORE")</f>
        <v>31</v>
      </c>
    </row>
    <row r="2183" spans="1:20" x14ac:dyDescent="0.25">
      <c r="A2183" t="str">
        <f>_xll.BDP("7741323F Muni","ID_CUSIP")</f>
        <v>7741323F9</v>
      </c>
      <c r="B2183" t="s">
        <v>548</v>
      </c>
      <c r="C2183" t="str">
        <f>_xll.BDP("7741323F Muni","INSURANCE_STATUS")</f>
        <v>N</v>
      </c>
      <c r="D2183" t="str">
        <f>_xll.BDP("7741323F Muni","STATE_CODE")</f>
        <v>NY</v>
      </c>
      <c r="E2183" t="str">
        <f>_xll.BDP("7741323F Muni","COUNTY_LOCATION_ISSUER")</f>
        <v>Nassau, NY</v>
      </c>
      <c r="F2183">
        <f>_xll.BDP("7741323F Muni","DUR_ADJ_MID")</f>
        <v>0.73577062356609513</v>
      </c>
      <c r="G2183">
        <f>_xll.BDP("7741323F Muni","SPREAD_AT_ISSUANCE_TO_WORST")</f>
        <v>5.7412869300700553</v>
      </c>
      <c r="H2183" t="str">
        <f>_xll.BDP("7741323F Muni","ISSUE_DT")</f>
        <v>5/1/2017</v>
      </c>
      <c r="I2183" t="str">
        <f>_xll.BDS("7741323F Muni","MUNI_PURPOSE_SCHED", "aggregate=y")</f>
        <v>PUBLIC IMPS. WATER UTILITY IMPS. ELEC. LT. &amp; PWR. IMPTS.</v>
      </c>
      <c r="J2183">
        <f>_xll.BDP("7741323F Muni","CPN")</f>
        <v>3</v>
      </c>
      <c r="K2183" t="str">
        <f>_xll.BDP("7741323F Muni","MATURITY")</f>
        <v>5/1/2023</v>
      </c>
      <c r="L2183">
        <v>620000</v>
      </c>
      <c r="M2183">
        <f>_xll.BDP("7741323F Muni","YIELD_ON_ISSUE_DATE")</f>
        <v>1.53</v>
      </c>
      <c r="N2183">
        <f>_xll.BDP("7741323F Muni","YTW_SPREAD_TO_MATURITY_AT_ISSU")</f>
        <v>5.7412869300700553</v>
      </c>
      <c r="O2183" t="str">
        <f>_xll.BDP("7741323F Muni","BVAL_MID_YTM")</f>
        <v>#N/A Authorization</v>
      </c>
      <c r="P2183" t="str">
        <f>_xll.BDP("7741323F Muni","MUNI_TAX_PROV")</f>
        <v>FED &amp; ST TAX-EXEMPT</v>
      </c>
      <c r="Q2183" t="str">
        <f>_xll.BDP("7741323F Muni","MUNI_FED_TAX")</f>
        <v>N</v>
      </c>
      <c r="R2183">
        <f>_xll.BDP("7741323F Muni","MUNI_MSRB_VOLUME")</f>
        <v>70000</v>
      </c>
      <c r="S2183" t="str">
        <f>_xll.BDP("7741323F Muni","BB_COMPOSITE")</f>
        <v>AA+</v>
      </c>
      <c r="T2183">
        <f>_xll.BDP("7741323F Muni","LQA_LIQUIDITY_SCORE")</f>
        <v>93</v>
      </c>
    </row>
    <row r="2184" spans="1:20" x14ac:dyDescent="0.25">
      <c r="A2184" t="str">
        <f>_xll.BDP("7741323G Muni","ID_CUSIP")</f>
        <v>7741323G7</v>
      </c>
      <c r="B2184" t="s">
        <v>548</v>
      </c>
      <c r="C2184" t="str">
        <f>_xll.BDP("7741323G Muni","INSURANCE_STATUS")</f>
        <v>N</v>
      </c>
      <c r="D2184" t="str">
        <f>_xll.BDP("7741323G Muni","STATE_CODE")</f>
        <v>NY</v>
      </c>
      <c r="E2184" t="str">
        <f>_xll.BDP("7741323G Muni","COUNTY_LOCATION_ISSUER")</f>
        <v>Nassau, NY</v>
      </c>
      <c r="F2184">
        <f>_xll.BDP("7741323G Muni","DUR_ADJ_MID")</f>
        <v>1.6911372303235144</v>
      </c>
      <c r="G2184">
        <f>_xll.BDP("7741323G Muni","SPREAD_AT_ISSUANCE_TO_WORST")</f>
        <v>2.432264290160302</v>
      </c>
      <c r="H2184" t="str">
        <f>_xll.BDP("7741323G Muni","ISSUE_DT")</f>
        <v>5/1/2017</v>
      </c>
      <c r="I2184" t="str">
        <f>_xll.BDS("7741323G Muni","MUNI_PURPOSE_SCHED", "aggregate=y")</f>
        <v>PUBLIC IMPS. WATER UTILITY IMPS. ELEC. LT. &amp; PWR. IMPTS.</v>
      </c>
      <c r="J2184">
        <f>_xll.BDP("7741323G Muni","CPN")</f>
        <v>3</v>
      </c>
      <c r="K2184" t="str">
        <f>_xll.BDP("7741323G Muni","MATURITY")</f>
        <v>5/1/2024</v>
      </c>
      <c r="L2184">
        <v>635000</v>
      </c>
      <c r="M2184">
        <f>_xll.BDP("7741323G Muni","YIELD_ON_ISSUE_DATE")</f>
        <v>1.6600000000000001</v>
      </c>
      <c r="N2184">
        <f>_xll.BDP("7741323G Muni","YTW_SPREAD_TO_MATURITY_AT_ISSU")</f>
        <v>2.432264290160302</v>
      </c>
      <c r="O2184" t="str">
        <f>_xll.BDP("7741323G Muni","BVAL_MID_YTM")</f>
        <v>#N/A Authorization</v>
      </c>
      <c r="P2184" t="str">
        <f>_xll.BDP("7741323G Muni","MUNI_TAX_PROV")</f>
        <v>FED &amp; ST TAX-EXEMPT</v>
      </c>
      <c r="Q2184" t="str">
        <f>_xll.BDP("7741323G Muni","MUNI_FED_TAX")</f>
        <v>N</v>
      </c>
      <c r="R2184">
        <f>_xll.BDP("7741323G Muni","MUNI_MSRB_VOLUME")</f>
        <v>15000</v>
      </c>
      <c r="S2184" t="str">
        <f>_xll.BDP("7741323G Muni","BB_COMPOSITE")</f>
        <v>AA+</v>
      </c>
      <c r="T2184">
        <f>_xll.BDP("7741323G Muni","LQA_LIQUIDITY_SCORE")</f>
        <v>82</v>
      </c>
    </row>
    <row r="2185" spans="1:20" x14ac:dyDescent="0.25">
      <c r="A2185" t="str">
        <f>_xll.BDP("774221EB Muni","ID_CUSIP")</f>
        <v>774221EB7</v>
      </c>
      <c r="B2185" t="s">
        <v>81</v>
      </c>
      <c r="C2185" t="str">
        <f>_xll.BDP("774221EB Muni","INSURANCE_STATUS")</f>
        <v>N</v>
      </c>
      <c r="D2185" t="str">
        <f>_xll.BDP("774221EB Muni","STATE_CODE")</f>
        <v>MD</v>
      </c>
      <c r="E2185" t="str">
        <f>_xll.BDP("774221EB Muni","COUNTY_LOCATION_ISSUER")</f>
        <v>Montgomery, MD</v>
      </c>
      <c r="F2185">
        <f>_xll.BDP("774221EB Muni","DUR_ADJ_MID")</f>
        <v>0.81573190473836554</v>
      </c>
      <c r="G2185">
        <f>_xll.BDP("774221EB Muni","SPREAD_AT_ISSUANCE_TO_WORST")</f>
        <v>5.5233557688522783</v>
      </c>
      <c r="H2185" t="str">
        <f>_xll.BDP("774221EB Muni","ISSUE_DT")</f>
        <v>7/11/2017</v>
      </c>
      <c r="I2185" t="str">
        <f>_xll.BDS("774221EB Muni","MUNI_PURPOSE_SCHED", "aggregate=y")</f>
        <v>WATER UTILITY IMPS. SEWER IMPS. PUBLIC IMPS.</v>
      </c>
      <c r="J2185">
        <f>_xll.BDP("774221EB Muni","CPN")</f>
        <v>4</v>
      </c>
      <c r="K2185" t="str">
        <f>_xll.BDP("774221EB Muni","MATURITY")</f>
        <v>6/1/2023</v>
      </c>
      <c r="L2185">
        <v>510000</v>
      </c>
      <c r="M2185">
        <f>_xll.BDP("774221EB Muni","YIELD_ON_ISSUE_DATE")</f>
        <v>1.35</v>
      </c>
      <c r="N2185">
        <f>_xll.BDP("774221EB Muni","YTW_SPREAD_TO_MATURITY_AT_ISSU")</f>
        <v>5.5233557688522783</v>
      </c>
      <c r="O2185" t="str">
        <f>_xll.BDP("774221EB Muni","BVAL_MID_YTM")</f>
        <v>#N/A Authorization</v>
      </c>
      <c r="P2185" t="str">
        <f>_xll.BDP("774221EB Muni","MUNI_TAX_PROV")</f>
        <v>FED &amp; ST TAX-EXEMPT</v>
      </c>
      <c r="Q2185" t="str">
        <f>_xll.BDP("774221EB Muni","MUNI_FED_TAX")</f>
        <v>N</v>
      </c>
      <c r="R2185">
        <f>_xll.BDP("774221EB Muni","MUNI_MSRB_VOLUME")</f>
        <v>300000</v>
      </c>
      <c r="S2185" t="str">
        <f>_xll.BDP("774221EB Muni","BB_COMPOSITE")</f>
        <v>AAA</v>
      </c>
      <c r="T2185">
        <f>_xll.BDP("774221EB Muni","LQA_LIQUIDITY_SCORE")</f>
        <v>87</v>
      </c>
    </row>
    <row r="2186" spans="1:20" x14ac:dyDescent="0.25">
      <c r="A2186" t="str">
        <f>_xll.BDP("774221EC Muni","ID_CUSIP")</f>
        <v>774221EC5</v>
      </c>
      <c r="B2186" t="s">
        <v>81</v>
      </c>
      <c r="C2186" t="str">
        <f>_xll.BDP("774221EC Muni","INSURANCE_STATUS")</f>
        <v>N</v>
      </c>
      <c r="D2186" t="str">
        <f>_xll.BDP("774221EC Muni","STATE_CODE")</f>
        <v>MD</v>
      </c>
      <c r="E2186" t="str">
        <f>_xll.BDP("774221EC Muni","COUNTY_LOCATION_ISSUER")</f>
        <v>Montgomery, MD</v>
      </c>
      <c r="F2186">
        <f>_xll.BDP("774221EC Muni","DUR_ADJ_MID")</f>
        <v>1.7602206684058221</v>
      </c>
      <c r="G2186">
        <f>_xll.BDP("774221EC Muni","SPREAD_AT_ISSUANCE_TO_WORST")</f>
        <v>2.9315883367350803</v>
      </c>
      <c r="H2186" t="str">
        <f>_xll.BDP("774221EC Muni","ISSUE_DT")</f>
        <v>7/11/2017</v>
      </c>
      <c r="I2186" t="str">
        <f>_xll.BDS("774221EC Muni","MUNI_PURPOSE_SCHED", "aggregate=y")</f>
        <v>WATER UTILITY IMPS. SEWER IMPS. PUBLIC IMPS.</v>
      </c>
      <c r="J2186">
        <f>_xll.BDP("774221EC Muni","CPN")</f>
        <v>4</v>
      </c>
      <c r="K2186" t="str">
        <f>_xll.BDP("774221EC Muni","MATURITY")</f>
        <v>6/1/2024</v>
      </c>
      <c r="L2186">
        <v>510000</v>
      </c>
      <c r="M2186">
        <f>_xll.BDP("774221EC Muni","YIELD_ON_ISSUE_DATE")</f>
        <v>1.48</v>
      </c>
      <c r="N2186">
        <f>_xll.BDP("774221EC Muni","YTW_SPREAD_TO_MATURITY_AT_ISSU")</f>
        <v>2.9315883367350803</v>
      </c>
      <c r="O2186" t="str">
        <f>_xll.BDP("774221EC Muni","BVAL_MID_YTM")</f>
        <v>#N/A Authorization</v>
      </c>
      <c r="P2186" t="str">
        <f>_xll.BDP("774221EC Muni","MUNI_TAX_PROV")</f>
        <v>FED &amp; ST TAX-EXEMPT</v>
      </c>
      <c r="Q2186" t="str">
        <f>_xll.BDP("774221EC Muni","MUNI_FED_TAX")</f>
        <v>N</v>
      </c>
      <c r="R2186">
        <f>_xll.BDP("774221EC Muni","MUNI_MSRB_VOLUME")</f>
        <v>80000</v>
      </c>
      <c r="S2186" t="str">
        <f>_xll.BDP("774221EC Muni","BB_COMPOSITE")</f>
        <v>AAA</v>
      </c>
      <c r="T2186">
        <f>_xll.BDP("774221EC Muni","LQA_LIQUIDITY_SCORE")</f>
        <v>85</v>
      </c>
    </row>
    <row r="2187" spans="1:20" x14ac:dyDescent="0.25">
      <c r="A2187" t="str">
        <f>_xll.BDP("73629VBF Muni","ID_CUSIP")</f>
        <v>73629VBF5</v>
      </c>
      <c r="B2187" t="s">
        <v>549</v>
      </c>
      <c r="C2187" t="str">
        <f>_xll.BDP("73629VBF Muni","INSURANCE_STATUS")</f>
        <v>N</v>
      </c>
      <c r="D2187" t="str">
        <f>_xll.BDP("73629VBF Muni","STATE_CODE")</f>
        <v>TX</v>
      </c>
      <c r="E2187" t="str">
        <f>_xll.BDP("73629VBF Muni","COUNTY_LOCATION_ISSUER")</f>
        <v>Montgomery, TX</v>
      </c>
      <c r="F2187">
        <f>_xll.BDP("73629VBF Muni","DUR_ADJ_MID")</f>
        <v>0.5696091751930239</v>
      </c>
      <c r="G2187">
        <f>_xll.BDP("73629VBF Muni","SPREAD_AT_ISSUANCE_TO_WORST")</f>
        <v>122.79092292628194</v>
      </c>
      <c r="H2187" t="str">
        <f>_xll.BDP("73629VBF Muni","ISSUE_DT")</f>
        <v>10/1/2017</v>
      </c>
      <c r="I2187" t="str">
        <f>_xll.BDS("73629VBF Muni","MUNI_PURPOSE_SCHED", "aggregate=y")</f>
        <v>SEWER IMPS. WATER UTILITY IMPS.</v>
      </c>
      <c r="J2187">
        <f>_xll.BDP("73629VBF Muni","CPN")</f>
        <v>2.5</v>
      </c>
      <c r="K2187" t="str">
        <f>_xll.BDP("73629VBF Muni","MATURITY")</f>
        <v>3/1/2023</v>
      </c>
      <c r="L2187">
        <v>115000</v>
      </c>
      <c r="M2187">
        <f>_xll.BDP("73629VBF Muni","YIELD_ON_ISSUE_DATE")</f>
        <v>2.5</v>
      </c>
      <c r="N2187">
        <f>_xll.BDP("73629VBF Muni","YTW_SPREAD_TO_MATURITY_AT_ISSU")</f>
        <v>122.79092292628194</v>
      </c>
      <c r="O2187" t="str">
        <f>_xll.BDP("73629VBF Muni","BVAL_MID_YTM")</f>
        <v>#N/A Authorization</v>
      </c>
      <c r="P2187" t="str">
        <f>_xll.BDP("73629VBF Muni","MUNI_TAX_PROV")</f>
        <v>FED BQ</v>
      </c>
      <c r="Q2187" t="str">
        <f>_xll.BDP("73629VBF Muni","MUNI_FED_TAX")</f>
        <v>N</v>
      </c>
      <c r="R2187" t="str">
        <f>_xll.BDP("73629VBF Muni","MUNI_MSRB_VOLUME")</f>
        <v>#N/A N/A</v>
      </c>
      <c r="S2187" t="str">
        <f>_xll.BDP("73629VBF Muni","BB_COMPOSITE")</f>
        <v>#N/A N/A</v>
      </c>
      <c r="T2187">
        <f>_xll.BDP("73629VBF Muni","LQA_LIQUIDITY_SCORE")</f>
        <v>90</v>
      </c>
    </row>
    <row r="2188" spans="1:20" x14ac:dyDescent="0.25">
      <c r="A2188" t="str">
        <f>_xll.BDP("73629VBG Muni","ID_CUSIP")</f>
        <v>73629VBG3</v>
      </c>
      <c r="B2188" t="s">
        <v>549</v>
      </c>
      <c r="C2188" t="str">
        <f>_xll.BDP("73629VBG Muni","INSURANCE_STATUS")</f>
        <v>N</v>
      </c>
      <c r="D2188" t="str">
        <f>_xll.BDP("73629VBG Muni","STATE_CODE")</f>
        <v>TX</v>
      </c>
      <c r="E2188" t="str">
        <f>_xll.BDP("73629VBG Muni","COUNTY_LOCATION_ISSUER")</f>
        <v>Montgomery, TX</v>
      </c>
      <c r="F2188">
        <f>_xll.BDP("73629VBG Muni","DUR_ADJ_MID")</f>
        <v>1.5249932894542935</v>
      </c>
      <c r="G2188">
        <f>_xll.BDP("73629VBG Muni","SPREAD_AT_ISSUANCE_TO_WORST")</f>
        <v>123.15735741763785</v>
      </c>
      <c r="H2188" t="str">
        <f>_xll.BDP("73629VBG Muni","ISSUE_DT")</f>
        <v>10/1/2017</v>
      </c>
      <c r="I2188" t="str">
        <f>_xll.BDS("73629VBG Muni","MUNI_PURPOSE_SCHED", "aggregate=y")</f>
        <v>SEWER IMPS. WATER UTILITY IMPS.</v>
      </c>
      <c r="J2188">
        <f>_xll.BDP("73629VBG Muni","CPN")</f>
        <v>2.65</v>
      </c>
      <c r="K2188" t="str">
        <f>_xll.BDP("73629VBG Muni","MATURITY")</f>
        <v>3/1/2024</v>
      </c>
      <c r="L2188">
        <v>120000</v>
      </c>
      <c r="M2188">
        <f>_xll.BDP("73629VBG Muni","YIELD_ON_ISSUE_DATE")</f>
        <v>2.65</v>
      </c>
      <c r="N2188">
        <f>_xll.BDP("73629VBG Muni","YTW_SPREAD_TO_MATURITY_AT_ISSU")</f>
        <v>123.15735741763785</v>
      </c>
      <c r="O2188" t="str">
        <f>_xll.BDP("73629VBG Muni","BVAL_MID_YTM")</f>
        <v>#N/A Authorization</v>
      </c>
      <c r="P2188" t="str">
        <f>_xll.BDP("73629VBG Muni","MUNI_TAX_PROV")</f>
        <v>FED BQ</v>
      </c>
      <c r="Q2188" t="str">
        <f>_xll.BDP("73629VBG Muni","MUNI_FED_TAX")</f>
        <v>N</v>
      </c>
      <c r="R2188" t="str">
        <f>_xll.BDP("73629VBG Muni","MUNI_MSRB_VOLUME")</f>
        <v>#N/A N/A</v>
      </c>
      <c r="S2188" t="str">
        <f>_xll.BDP("73629VBG Muni","BB_COMPOSITE")</f>
        <v>#N/A N/A</v>
      </c>
      <c r="T2188">
        <f>_xll.BDP("73629VBG Muni","LQA_LIQUIDITY_SCORE")</f>
        <v>73</v>
      </c>
    </row>
    <row r="2189" spans="1:20" x14ac:dyDescent="0.25">
      <c r="A2189" t="str">
        <f>_xll.BDP("73629WBL Muni","ID_CUSIP")</f>
        <v>73629WBL0</v>
      </c>
      <c r="B2189" t="s">
        <v>550</v>
      </c>
      <c r="C2189" t="str">
        <f>_xll.BDP("73629WBL Muni","INSURANCE_STATUS")</f>
        <v>N</v>
      </c>
      <c r="D2189" t="str">
        <f>_xll.BDP("73629WBL Muni","STATE_CODE")</f>
        <v>TX</v>
      </c>
      <c r="E2189" t="str">
        <f>_xll.BDP("73629WBL Muni","COUNTY_LOCATION_ISSUER")</f>
        <v>Montgomery, TX</v>
      </c>
      <c r="F2189">
        <f>_xll.BDP("73629WBL Muni","DUR_ADJ_MID")</f>
        <v>0.56967136548037722</v>
      </c>
      <c r="G2189">
        <f>_xll.BDP("73629WBL Muni","SPREAD_AT_ISSUANCE_TO_WORST")</f>
        <v>99.234378109257477</v>
      </c>
      <c r="H2189" t="str">
        <f>_xll.BDP("73629WBL Muni","ISSUE_DT")</f>
        <v>5/1/2017</v>
      </c>
      <c r="I2189" t="str">
        <f>_xll.BDS("73629WBL Muni","MUNI_PURPOSE_SCHED", "aggregate=y")</f>
        <v>PUBLIC IMPS. WATER UTILITY IMPS. SEWER IMPS.</v>
      </c>
      <c r="J2189">
        <f>_xll.BDP("73629WBL Muni","CPN")</f>
        <v>2.5</v>
      </c>
      <c r="K2189" t="str">
        <f>_xll.BDP("73629WBL Muni","MATURITY")</f>
        <v>3/1/2023</v>
      </c>
      <c r="L2189">
        <v>60000</v>
      </c>
      <c r="M2189">
        <f>_xll.BDP("73629WBL Muni","YIELD_ON_ISSUE_DATE")</f>
        <v>2.5</v>
      </c>
      <c r="N2189">
        <f>_xll.BDP("73629WBL Muni","YTW_SPREAD_TO_MATURITY_AT_ISSU")</f>
        <v>99.234378109257477</v>
      </c>
      <c r="O2189" t="str">
        <f>_xll.BDP("73629WBL Muni","BVAL_MID_YTM")</f>
        <v>#N/A Authorization</v>
      </c>
      <c r="P2189" t="str">
        <f>_xll.BDP("73629WBL Muni","MUNI_TAX_PROV")</f>
        <v>FED BQ</v>
      </c>
      <c r="Q2189" t="str">
        <f>_xll.BDP("73629WBL Muni","MUNI_FED_TAX")</f>
        <v>N</v>
      </c>
      <c r="R2189" t="str">
        <f>_xll.BDP("73629WBL Muni","MUNI_MSRB_VOLUME")</f>
        <v>#N/A N/A</v>
      </c>
      <c r="S2189" t="str">
        <f>_xll.BDP("73629WBL Muni","BB_COMPOSITE")</f>
        <v>#N/A N/A</v>
      </c>
      <c r="T2189">
        <f>_xll.BDP("73629WBL Muni","LQA_LIQUIDITY_SCORE")</f>
        <v>71</v>
      </c>
    </row>
    <row r="2190" spans="1:20" x14ac:dyDescent="0.25">
      <c r="A2190" t="str">
        <f>_xll.BDP("73629WBM Muni","ID_CUSIP")</f>
        <v>73629WBM8</v>
      </c>
      <c r="B2190" t="s">
        <v>550</v>
      </c>
      <c r="C2190" t="str">
        <f>_xll.BDP("73629WBM Muni","INSURANCE_STATUS")</f>
        <v>N</v>
      </c>
      <c r="D2190" t="str">
        <f>_xll.BDP("73629WBM Muni","STATE_CODE")</f>
        <v>TX</v>
      </c>
      <c r="E2190" t="str">
        <f>_xll.BDP("73629WBM Muni","COUNTY_LOCATION_ISSUER")</f>
        <v>Montgomery, TX</v>
      </c>
      <c r="F2190">
        <f>_xll.BDP("73629WBM Muni","DUR_ADJ_MID")</f>
        <v>1.5238238113795364</v>
      </c>
      <c r="G2190">
        <f>_xll.BDP("73629WBM Muni","SPREAD_AT_ISSUANCE_TO_WORST")</f>
        <v>107.86241164010117</v>
      </c>
      <c r="H2190" t="str">
        <f>_xll.BDP("73629WBM Muni","ISSUE_DT")</f>
        <v>5/1/2017</v>
      </c>
      <c r="I2190" t="str">
        <f>_xll.BDS("73629WBM Muni","MUNI_PURPOSE_SCHED", "aggregate=y")</f>
        <v>PUBLIC IMPS. WATER UTILITY IMPS. SEWER IMPS.</v>
      </c>
      <c r="J2190">
        <f>_xll.BDP("73629WBM Muni","CPN")</f>
        <v>2.75</v>
      </c>
      <c r="K2190" t="str">
        <f>_xll.BDP("73629WBM Muni","MATURITY")</f>
        <v>3/1/2024</v>
      </c>
      <c r="L2190">
        <v>65000</v>
      </c>
      <c r="M2190">
        <f>_xll.BDP("73629WBM Muni","YIELD_ON_ISSUE_DATE")</f>
        <v>2.75</v>
      </c>
      <c r="N2190">
        <f>_xll.BDP("73629WBM Muni","YTW_SPREAD_TO_MATURITY_AT_ISSU")</f>
        <v>107.86241164010117</v>
      </c>
      <c r="O2190" t="str">
        <f>_xll.BDP("73629WBM Muni","BVAL_MID_YTM")</f>
        <v>#N/A Authorization</v>
      </c>
      <c r="P2190" t="str">
        <f>_xll.BDP("73629WBM Muni","MUNI_TAX_PROV")</f>
        <v>FED BQ</v>
      </c>
      <c r="Q2190" t="str">
        <f>_xll.BDP("73629WBM Muni","MUNI_FED_TAX")</f>
        <v>N</v>
      </c>
      <c r="R2190" t="str">
        <f>_xll.BDP("73629WBM Muni","MUNI_MSRB_VOLUME")</f>
        <v>#N/A N/A</v>
      </c>
      <c r="S2190" t="str">
        <f>_xll.BDP("73629WBM Muni","BB_COMPOSITE")</f>
        <v>#N/A N/A</v>
      </c>
      <c r="T2190">
        <f>_xll.BDP("73629WBM Muni","LQA_LIQUIDITY_SCORE")</f>
        <v>47</v>
      </c>
    </row>
    <row r="2191" spans="1:20" x14ac:dyDescent="0.25">
      <c r="A2191" t="str">
        <f>_xll.BDP("736606CU Muni","ID_CUSIP")</f>
        <v>736606CU6</v>
      </c>
      <c r="B2191" t="s">
        <v>551</v>
      </c>
      <c r="C2191" t="str">
        <f>_xll.BDP("736606CU Muni","INSURANCE_STATUS")</f>
        <v>N</v>
      </c>
      <c r="D2191" t="str">
        <f>_xll.BDP("736606CU Muni","STATE_CODE")</f>
        <v>ME</v>
      </c>
      <c r="E2191" t="str">
        <f>_xll.BDP("736606CU Muni","COUNTY_LOCATION_ISSUER")</f>
        <v>Cumberland, ME</v>
      </c>
      <c r="F2191">
        <f>_xll.BDP("736606CU Muni","DUR_ADJ_MID")</f>
        <v>1.2170248088783699</v>
      </c>
      <c r="G2191">
        <f>_xll.BDP("736606CU Muni","SPREAD_AT_ISSUANCE_TO_WORST")</f>
        <v>12.159998592163191</v>
      </c>
      <c r="H2191" t="str">
        <f>_xll.BDP("736606CU Muni","ISSUE_DT")</f>
        <v>8/1/2017</v>
      </c>
      <c r="I2191" t="str">
        <f>_xll.BDS("736606CU Muni","MUNI_PURPOSE_SCHED", "aggregate=y")</f>
        <v>WATER UTILITY IMPS.</v>
      </c>
      <c r="J2191">
        <f>_xll.BDP("736606CU Muni","CPN")</f>
        <v>3</v>
      </c>
      <c r="K2191" t="str">
        <f>_xll.BDP("736606CU Muni","MATURITY")</f>
        <v>11/1/2023</v>
      </c>
      <c r="L2191">
        <v>375000</v>
      </c>
      <c r="M2191">
        <f>_xll.BDP("736606CU Muni","YIELD_ON_ISSUE_DATE")</f>
        <v>1.6</v>
      </c>
      <c r="N2191">
        <f>_xll.BDP("736606CU Muni","YTW_SPREAD_TO_MATURITY_AT_ISSU")</f>
        <v>12.159998592163191</v>
      </c>
      <c r="O2191" t="str">
        <f>_xll.BDP("736606CU Muni","BVAL_MID_YTM")</f>
        <v>#N/A Authorization</v>
      </c>
      <c r="P2191" t="str">
        <f>_xll.BDP("736606CU Muni","MUNI_TAX_PROV")</f>
        <v>FED BQ/ST TAX-EXEMPT</v>
      </c>
      <c r="Q2191" t="str">
        <f>_xll.BDP("736606CU Muni","MUNI_FED_TAX")</f>
        <v>N</v>
      </c>
      <c r="R2191" t="str">
        <f>_xll.BDP("736606CU Muni","MUNI_MSRB_VOLUME")</f>
        <v>#N/A N/A</v>
      </c>
      <c r="S2191" t="str">
        <f>_xll.BDP("736606CU Muni","BB_COMPOSITE")</f>
        <v>AA-</v>
      </c>
      <c r="T2191">
        <f>_xll.BDP("736606CU Muni","LQA_LIQUIDITY_SCORE")</f>
        <v>88</v>
      </c>
    </row>
    <row r="2192" spans="1:20" x14ac:dyDescent="0.25">
      <c r="A2192" t="str">
        <f>_xll.BDP("736606CV Muni","ID_CUSIP")</f>
        <v>736606CV4</v>
      </c>
      <c r="B2192" t="s">
        <v>551</v>
      </c>
      <c r="C2192" t="str">
        <f>_xll.BDP("736606CV Muni","INSURANCE_STATUS")</f>
        <v>N</v>
      </c>
      <c r="D2192" t="str">
        <f>_xll.BDP("736606CV Muni","STATE_CODE")</f>
        <v>ME</v>
      </c>
      <c r="E2192" t="str">
        <f>_xll.BDP("736606CV Muni","COUNTY_LOCATION_ISSUER")</f>
        <v>Cumberland, ME</v>
      </c>
      <c r="F2192">
        <f>_xll.BDP("736606CV Muni","DUR_ADJ_MID")</f>
        <v>2.1586043491109379</v>
      </c>
      <c r="G2192">
        <f>_xll.BDP("736606CV Muni","SPREAD_AT_ISSUANCE_TO_WORST")</f>
        <v>6.344752435737866</v>
      </c>
      <c r="H2192" t="str">
        <f>_xll.BDP("736606CV Muni","ISSUE_DT")</f>
        <v>8/1/2017</v>
      </c>
      <c r="I2192" t="str">
        <f>_xll.BDS("736606CV Muni","MUNI_PURPOSE_SCHED", "aggregate=y")</f>
        <v>WATER UTILITY IMPS.</v>
      </c>
      <c r="J2192">
        <f>_xll.BDP("736606CV Muni","CPN")</f>
        <v>3</v>
      </c>
      <c r="K2192" t="str">
        <f>_xll.BDP("736606CV Muni","MATURITY")</f>
        <v>11/1/2024</v>
      </c>
      <c r="L2192">
        <v>375000</v>
      </c>
      <c r="M2192">
        <f>_xll.BDP("736606CV Muni","YIELD_ON_ISSUE_DATE")</f>
        <v>1.69</v>
      </c>
      <c r="N2192">
        <f>_xll.BDP("736606CV Muni","YTW_SPREAD_TO_MATURITY_AT_ISSU")</f>
        <v>6.344752435737866</v>
      </c>
      <c r="O2192" t="str">
        <f>_xll.BDP("736606CV Muni","BVAL_MID_YTM")</f>
        <v>#N/A Authorization</v>
      </c>
      <c r="P2192" t="str">
        <f>_xll.BDP("736606CV Muni","MUNI_TAX_PROV")</f>
        <v>FED BQ/ST TAX-EXEMPT</v>
      </c>
      <c r="Q2192" t="str">
        <f>_xll.BDP("736606CV Muni","MUNI_FED_TAX")</f>
        <v>N</v>
      </c>
      <c r="R2192" t="str">
        <f>_xll.BDP("736606CV Muni","MUNI_MSRB_VOLUME")</f>
        <v>#N/A N/A</v>
      </c>
      <c r="S2192" t="str">
        <f>_xll.BDP("736606CV Muni","BB_COMPOSITE")</f>
        <v>AA-</v>
      </c>
      <c r="T2192">
        <f>_xll.BDP("736606CV Muni","LQA_LIQUIDITY_SCORE")</f>
        <v>78</v>
      </c>
    </row>
    <row r="2193" spans="1:20" x14ac:dyDescent="0.25">
      <c r="A2193" t="str">
        <f>_xll.BDP("736606CX Muni","ID_CUSIP")</f>
        <v>736606CX0</v>
      </c>
      <c r="B2193" t="s">
        <v>551</v>
      </c>
      <c r="C2193" t="str">
        <f>_xll.BDP("736606CX Muni","INSURANCE_STATUS")</f>
        <v>N</v>
      </c>
      <c r="D2193" t="str">
        <f>_xll.BDP("736606CX Muni","STATE_CODE")</f>
        <v>ME</v>
      </c>
      <c r="E2193" t="str">
        <f>_xll.BDP("736606CX Muni","COUNTY_LOCATION_ISSUER")</f>
        <v>Cumberland, ME</v>
      </c>
      <c r="F2193">
        <f>_xll.BDP("736606CX Muni","DUR_ADJ_MID")</f>
        <v>3.8924495977750704</v>
      </c>
      <c r="G2193">
        <f>_xll.BDP("736606CX Muni","SPREAD_AT_ISSUANCE_TO_WORST")</f>
        <v>0.21647663678676654</v>
      </c>
      <c r="H2193" t="str">
        <f>_xll.BDP("736606CX Muni","ISSUE_DT")</f>
        <v>8/1/2017</v>
      </c>
      <c r="I2193" t="str">
        <f>_xll.BDS("736606CX Muni","MUNI_PURPOSE_SCHED", "aggregate=y")</f>
        <v>WATER UTILITY IMPS.</v>
      </c>
      <c r="J2193">
        <f>_xll.BDP("736606CX Muni","CPN")</f>
        <v>4</v>
      </c>
      <c r="K2193" t="str">
        <f>_xll.BDP("736606CX Muni","MATURITY")</f>
        <v>11/1/2026</v>
      </c>
      <c r="L2193">
        <v>375000</v>
      </c>
      <c r="M2193">
        <f>_xll.BDP("736606CX Muni","YIELD_ON_ISSUE_DATE")</f>
        <v>1.9000000000000001</v>
      </c>
      <c r="N2193">
        <f>_xll.BDP("736606CX Muni","YTW_SPREAD_TO_MATURITY_AT_ISSU")</f>
        <v>0.21647663678676654</v>
      </c>
      <c r="O2193" t="str">
        <f>_xll.BDP("736606CX Muni","BVAL_MID_YTM")</f>
        <v>#N/A Authorization</v>
      </c>
      <c r="P2193" t="str">
        <f>_xll.BDP("736606CX Muni","MUNI_TAX_PROV")</f>
        <v>FED BQ/ST TAX-EXEMPT</v>
      </c>
      <c r="Q2193" t="str">
        <f>_xll.BDP("736606CX Muni","MUNI_FED_TAX")</f>
        <v>N</v>
      </c>
      <c r="R2193" t="str">
        <f>_xll.BDP("736606CX Muni","MUNI_MSRB_VOLUME")</f>
        <v>#N/A N/A</v>
      </c>
      <c r="S2193" t="str">
        <f>_xll.BDP("736606CX Muni","BB_COMPOSITE")</f>
        <v>AA-</v>
      </c>
      <c r="T2193">
        <f>_xll.BDP("736606CX Muni","LQA_LIQUIDITY_SCORE")</f>
        <v>70</v>
      </c>
    </row>
    <row r="2194" spans="1:20" x14ac:dyDescent="0.25">
      <c r="A2194" t="str">
        <f>_xll.BDP("736606CY Muni","ID_CUSIP")</f>
        <v>736606CY8</v>
      </c>
      <c r="B2194" t="s">
        <v>551</v>
      </c>
      <c r="C2194" t="str">
        <f>_xll.BDP("736606CY Muni","INSURANCE_STATUS")</f>
        <v>N</v>
      </c>
      <c r="D2194" t="str">
        <f>_xll.BDP("736606CY Muni","STATE_CODE")</f>
        <v>ME</v>
      </c>
      <c r="E2194" t="str">
        <f>_xll.BDP("736606CY Muni","COUNTY_LOCATION_ISSUER")</f>
        <v>Cumberland, ME</v>
      </c>
      <c r="F2194">
        <f>_xll.BDP("736606CY Muni","DUR_ADJ_MID")</f>
        <v>4.72408940442463</v>
      </c>
      <c r="G2194">
        <f>_xll.BDP("736606CY Muni","SPREAD_AT_ISSUANCE_TO_WORST")</f>
        <v>4.3245771752525641</v>
      </c>
      <c r="H2194" t="str">
        <f>_xll.BDP("736606CY Muni","ISSUE_DT")</f>
        <v>8/1/2017</v>
      </c>
      <c r="I2194" t="str">
        <f>_xll.BDS("736606CY Muni","MUNI_PURPOSE_SCHED", "aggregate=y")</f>
        <v>WATER UTILITY IMPS.</v>
      </c>
      <c r="J2194">
        <f>_xll.BDP("736606CY Muni","CPN")</f>
        <v>4</v>
      </c>
      <c r="K2194" t="str">
        <f>_xll.BDP("736606CY Muni","MATURITY")</f>
        <v>11/1/2027</v>
      </c>
      <c r="L2194">
        <v>375000</v>
      </c>
      <c r="M2194">
        <f>_xll.BDP("736606CY Muni","YIELD_ON_ISSUE_DATE")</f>
        <v>2.0499999999999998</v>
      </c>
      <c r="N2194">
        <f>_xll.BDP("736606CY Muni","YTW_SPREAD_TO_MATURITY_AT_ISSU")</f>
        <v>4.3245771752525641</v>
      </c>
      <c r="O2194" t="str">
        <f>_xll.BDP("736606CY Muni","BVAL_MID_YTM")</f>
        <v>#N/A Authorization</v>
      </c>
      <c r="P2194" t="str">
        <f>_xll.BDP("736606CY Muni","MUNI_TAX_PROV")</f>
        <v>FED BQ/ST TAX-EXEMPT</v>
      </c>
      <c r="Q2194" t="str">
        <f>_xll.BDP("736606CY Muni","MUNI_FED_TAX")</f>
        <v>N</v>
      </c>
      <c r="R2194" t="str">
        <f>_xll.BDP("736606CY Muni","MUNI_MSRB_VOLUME")</f>
        <v>#N/A N/A</v>
      </c>
      <c r="S2194" t="str">
        <f>_xll.BDP("736606CY Muni","BB_COMPOSITE")</f>
        <v>AA-</v>
      </c>
      <c r="T2194">
        <f>_xll.BDP("736606CY Muni","LQA_LIQUIDITY_SCORE")</f>
        <v>64</v>
      </c>
    </row>
    <row r="2195" spans="1:20" x14ac:dyDescent="0.25">
      <c r="A2195" t="str">
        <f>_xll.BDP("73629UCF Muni","ID_CUSIP")</f>
        <v>73629UCF6</v>
      </c>
      <c r="B2195" t="s">
        <v>552</v>
      </c>
      <c r="C2195" t="str">
        <f>_xll.BDP("73629UCF Muni","INSURANCE_STATUS")</f>
        <v>N</v>
      </c>
      <c r="D2195" t="str">
        <f>_xll.BDP("73629UCF Muni","STATE_CODE")</f>
        <v>TX</v>
      </c>
      <c r="E2195" t="str">
        <f>_xll.BDP("73629UCF Muni","COUNTY_LOCATION_ISSUER")</f>
        <v>Montgomery, TX</v>
      </c>
      <c r="F2195">
        <f>_xll.BDP("73629UCF Muni","DUR_ADJ_MID")</f>
        <v>0.5682651615031783</v>
      </c>
      <c r="G2195">
        <f>_xll.BDP("73629UCF Muni","SPREAD_AT_ISSUANCE_TO_WORST")</f>
        <v>107.05453576673945</v>
      </c>
      <c r="H2195" t="str">
        <f>_xll.BDP("73629UCF Muni","ISSUE_DT")</f>
        <v>2/1/2017</v>
      </c>
      <c r="I2195" t="str">
        <f>_xll.BDS("73629UCF Muni","MUNI_PURPOSE_SCHED", "aggregate=y")</f>
        <v>WATER UTILITY IMPS. SEWER IMPS.</v>
      </c>
      <c r="J2195">
        <f>_xll.BDP("73629UCF Muni","CPN")</f>
        <v>3</v>
      </c>
      <c r="K2195" t="str">
        <f>_xll.BDP("73629UCF Muni","MATURITY")</f>
        <v>3/1/2023</v>
      </c>
      <c r="L2195">
        <v>70000</v>
      </c>
      <c r="M2195">
        <f>_xll.BDP("73629UCF Muni","YIELD_ON_ISSUE_DATE")</f>
        <v>2.8000000000000003</v>
      </c>
      <c r="N2195">
        <f>_xll.BDP("73629UCF Muni","YTW_SPREAD_TO_MATURITY_AT_ISSU")</f>
        <v>107.05453576673945</v>
      </c>
      <c r="O2195" t="str">
        <f>_xll.BDP("73629UCF Muni","BVAL_MID_YTM")</f>
        <v>#N/A Authorization</v>
      </c>
      <c r="P2195" t="str">
        <f>_xll.BDP("73629UCF Muni","MUNI_TAX_PROV")</f>
        <v>FED BQ</v>
      </c>
      <c r="Q2195" t="str">
        <f>_xll.BDP("73629UCF Muni","MUNI_FED_TAX")</f>
        <v>N</v>
      </c>
      <c r="R2195" t="str">
        <f>_xll.BDP("73629UCF Muni","MUNI_MSRB_VOLUME")</f>
        <v>#N/A N/A</v>
      </c>
      <c r="S2195" t="str">
        <f>_xll.BDP("73629UCF Muni","BB_COMPOSITE")</f>
        <v>#N/A N/A</v>
      </c>
      <c r="T2195">
        <f>_xll.BDP("73629UCF Muni","LQA_LIQUIDITY_SCORE")</f>
        <v>89</v>
      </c>
    </row>
    <row r="2196" spans="1:20" x14ac:dyDescent="0.25">
      <c r="A2196" t="str">
        <f>_xll.BDP("73629UCG Muni","ID_CUSIP")</f>
        <v>73629UCG4</v>
      </c>
      <c r="B2196" t="s">
        <v>552</v>
      </c>
      <c r="C2196" t="str">
        <f>_xll.BDP("73629UCG Muni","INSURANCE_STATUS")</f>
        <v>N</v>
      </c>
      <c r="D2196" t="str">
        <f>_xll.BDP("73629UCG Muni","STATE_CODE")</f>
        <v>TX</v>
      </c>
      <c r="E2196" t="str">
        <f>_xll.BDP("73629UCG Muni","COUNTY_LOCATION_ISSUER")</f>
        <v>Montgomery, TX</v>
      </c>
      <c r="F2196">
        <f>_xll.BDP("73629UCG Muni","DUR_ADJ_MID")</f>
        <v>1.5198066510752826</v>
      </c>
      <c r="G2196">
        <f>_xll.BDP("73629UCG Muni","SPREAD_AT_ISSUANCE_TO_WORST")</f>
        <v>114.07530390870717</v>
      </c>
      <c r="H2196" t="str">
        <f>_xll.BDP("73629UCG Muni","ISSUE_DT")</f>
        <v>2/1/2017</v>
      </c>
      <c r="I2196" t="str">
        <f>_xll.BDS("73629UCG Muni","MUNI_PURPOSE_SCHED", "aggregate=y")</f>
        <v>WATER UTILITY IMPS. SEWER IMPS.</v>
      </c>
      <c r="J2196">
        <f>_xll.BDP("73629UCG Muni","CPN")</f>
        <v>3</v>
      </c>
      <c r="K2196" t="str">
        <f>_xll.BDP("73629UCG Muni","MATURITY")</f>
        <v>3/1/2024</v>
      </c>
      <c r="L2196">
        <v>70000</v>
      </c>
      <c r="M2196">
        <f>_xll.BDP("73629UCG Muni","YIELD_ON_ISSUE_DATE")</f>
        <v>3</v>
      </c>
      <c r="N2196">
        <f>_xll.BDP("73629UCG Muni","YTW_SPREAD_TO_MATURITY_AT_ISSU")</f>
        <v>114.07530390870717</v>
      </c>
      <c r="O2196" t="str">
        <f>_xll.BDP("73629UCG Muni","BVAL_MID_YTM")</f>
        <v>#N/A Authorization</v>
      </c>
      <c r="P2196" t="str">
        <f>_xll.BDP("73629UCG Muni","MUNI_TAX_PROV")</f>
        <v>FED BQ</v>
      </c>
      <c r="Q2196" t="str">
        <f>_xll.BDP("73629UCG Muni","MUNI_FED_TAX")</f>
        <v>N</v>
      </c>
      <c r="R2196" t="str">
        <f>_xll.BDP("73629UCG Muni","MUNI_MSRB_VOLUME")</f>
        <v>#N/A N/A</v>
      </c>
      <c r="S2196" t="str">
        <f>_xll.BDP("73629UCG Muni","BB_COMPOSITE")</f>
        <v>#N/A N/A</v>
      </c>
      <c r="T2196">
        <f>_xll.BDP("73629UCG Muni","LQA_LIQUIDITY_SCORE")</f>
        <v>69</v>
      </c>
    </row>
    <row r="2197" spans="1:20" x14ac:dyDescent="0.25">
      <c r="A2197" t="str">
        <f>_xll.BDP("736606CT Muni","ID_CUSIP")</f>
        <v>736606CT9</v>
      </c>
      <c r="B2197" t="s">
        <v>551</v>
      </c>
      <c r="C2197" t="str">
        <f>_xll.BDP("736606CT Muni","INSURANCE_STATUS")</f>
        <v>N</v>
      </c>
      <c r="D2197" t="str">
        <f>_xll.BDP("736606CT Muni","STATE_CODE")</f>
        <v>ME</v>
      </c>
      <c r="E2197" t="str">
        <f>_xll.BDP("736606CT Muni","COUNTY_LOCATION_ISSUER")</f>
        <v>Cumberland, ME</v>
      </c>
      <c r="F2197">
        <f>_xll.BDP("736606CT Muni","DUR_ADJ_MID")</f>
        <v>0.24676417118359414</v>
      </c>
      <c r="G2197">
        <f>_xll.BDP("736606CT Muni","SPREAD_AT_ISSUANCE_TO_WORST")</f>
        <v>11.653820649790859</v>
      </c>
      <c r="H2197" t="str">
        <f>_xll.BDP("736606CT Muni","ISSUE_DT")</f>
        <v>8/1/2017</v>
      </c>
      <c r="I2197" t="str">
        <f>_xll.BDS("736606CT Muni","MUNI_PURPOSE_SCHED", "aggregate=y")</f>
        <v>WATER UTILITY IMPS.</v>
      </c>
      <c r="J2197">
        <f>_xll.BDP("736606CT Muni","CPN")</f>
        <v>5</v>
      </c>
      <c r="K2197" t="str">
        <f>_xll.BDP("736606CT Muni","MATURITY")</f>
        <v>11/1/2022</v>
      </c>
      <c r="L2197">
        <v>375000</v>
      </c>
      <c r="M2197">
        <f>_xll.BDP("736606CT Muni","YIELD_ON_ISSUE_DATE")</f>
        <v>1.45</v>
      </c>
      <c r="N2197">
        <f>_xll.BDP("736606CT Muni","YTW_SPREAD_TO_MATURITY_AT_ISSU")</f>
        <v>11.653820649790859</v>
      </c>
      <c r="O2197" t="str">
        <f>_xll.BDP("736606CT Muni","BVAL_MID_YTM")</f>
        <v>#N/A Authorization</v>
      </c>
      <c r="P2197" t="str">
        <f>_xll.BDP("736606CT Muni","MUNI_TAX_PROV")</f>
        <v>FED BQ/ST TAX-EXEMPT</v>
      </c>
      <c r="Q2197" t="str">
        <f>_xll.BDP("736606CT Muni","MUNI_FED_TAX")</f>
        <v>N</v>
      </c>
      <c r="R2197" t="str">
        <f>_xll.BDP("736606CT Muni","MUNI_MSRB_VOLUME")</f>
        <v>#N/A N/A</v>
      </c>
      <c r="S2197" t="str">
        <f>_xll.BDP("736606CT Muni","BB_COMPOSITE")</f>
        <v>AA-</v>
      </c>
      <c r="T2197">
        <f>_xll.BDP("736606CT Muni","LQA_LIQUIDITY_SCORE")</f>
        <v>93</v>
      </c>
    </row>
    <row r="2198" spans="1:20" x14ac:dyDescent="0.25">
      <c r="A2198" t="str">
        <f>_xll.BDP("736606CW Muni","ID_CUSIP")</f>
        <v>736606CW2</v>
      </c>
      <c r="B2198" t="s">
        <v>551</v>
      </c>
      <c r="C2198" t="str">
        <f>_xll.BDP("736606CW Muni","INSURANCE_STATUS")</f>
        <v>N</v>
      </c>
      <c r="D2198" t="str">
        <f>_xll.BDP("736606CW Muni","STATE_CODE")</f>
        <v>ME</v>
      </c>
      <c r="E2198" t="str">
        <f>_xll.BDP("736606CW Muni","COUNTY_LOCATION_ISSUER")</f>
        <v>Cumberland, ME</v>
      </c>
      <c r="F2198">
        <f>_xll.BDP("736606CW Muni","DUR_ADJ_MID")</f>
        <v>3.0734078456118308</v>
      </c>
      <c r="G2198">
        <f>_xll.BDP("736606CW Muni","SPREAD_AT_ISSUANCE_TO_WORST")</f>
        <v>2.8619223004135108</v>
      </c>
      <c r="H2198" t="str">
        <f>_xll.BDP("736606CW Muni","ISSUE_DT")</f>
        <v>8/1/2017</v>
      </c>
      <c r="I2198" t="str">
        <f>_xll.BDS("736606CW Muni","MUNI_PURPOSE_SCHED", "aggregate=y")</f>
        <v>WATER UTILITY IMPS.</v>
      </c>
      <c r="J2198">
        <f>_xll.BDP("736606CW Muni","CPN")</f>
        <v>3</v>
      </c>
      <c r="K2198" t="str">
        <f>_xll.BDP("736606CW Muni","MATURITY")</f>
        <v>11/1/2025</v>
      </c>
      <c r="L2198">
        <v>375000</v>
      </c>
      <c r="M2198">
        <f>_xll.BDP("736606CW Muni","YIELD_ON_ISSUE_DATE")</f>
        <v>1.8</v>
      </c>
      <c r="N2198">
        <f>_xll.BDP("736606CW Muni","YTW_SPREAD_TO_MATURITY_AT_ISSU")</f>
        <v>2.8619223004135108</v>
      </c>
      <c r="O2198" t="str">
        <f>_xll.BDP("736606CW Muni","BVAL_MID_YTM")</f>
        <v>#N/A Authorization</v>
      </c>
      <c r="P2198" t="str">
        <f>_xll.BDP("736606CW Muni","MUNI_TAX_PROV")</f>
        <v>FED BQ/ST TAX-EXEMPT</v>
      </c>
      <c r="Q2198" t="str">
        <f>_xll.BDP("736606CW Muni","MUNI_FED_TAX")</f>
        <v>N</v>
      </c>
      <c r="R2198" t="str">
        <f>_xll.BDP("736606CW Muni","MUNI_MSRB_VOLUME")</f>
        <v>#N/A N/A</v>
      </c>
      <c r="S2198" t="str">
        <f>_xll.BDP("736606CW Muni","BB_COMPOSITE")</f>
        <v>AA-</v>
      </c>
      <c r="T2198">
        <f>_xll.BDP("736606CW Muni","LQA_LIQUIDITY_SCORE")</f>
        <v>69</v>
      </c>
    </row>
    <row r="2199" spans="1:20" x14ac:dyDescent="0.25">
      <c r="A2199" t="str">
        <f>_xll.BDP("776195FW Muni","ID_CUSIP")</f>
        <v>776195FW4</v>
      </c>
      <c r="B2199" t="s">
        <v>170</v>
      </c>
      <c r="C2199" t="str">
        <f>_xll.BDP("776195FW Muni","INSURANCE_STATUS")</f>
        <v>N</v>
      </c>
      <c r="D2199" t="str">
        <f>_xll.BDP("776195FW Muni","STATE_CODE")</f>
        <v>MI</v>
      </c>
      <c r="E2199" t="str">
        <f>_xll.BDP("776195FW Muni","COUNTY_LOCATION_ISSUER")</f>
        <v>Wayne, MI</v>
      </c>
      <c r="F2199">
        <f>_xll.BDP("776195FW Muni","DUR_ADJ_MID")</f>
        <v>1.2088758130093371</v>
      </c>
      <c r="G2199">
        <f>_xll.BDP("776195FW Muni","SPREAD_AT_ISSUANCE_TO_WORST")</f>
        <v>29.78908767123287</v>
      </c>
      <c r="H2199" t="str">
        <f>_xll.BDP("776195FW Muni","ISSUE_DT")</f>
        <v>11/29/2017</v>
      </c>
      <c r="I2199" t="str">
        <f>_xll.BDS("776195FW Muni","MUNI_PURPOSE_SCHED", "aggregate=y")</f>
        <v>PUBLIC IMPS. WATER UTILITY IMPS. SEWER IMPS.</v>
      </c>
      <c r="J2199">
        <f>_xll.BDP("776195FW Muni","CPN")</f>
        <v>4</v>
      </c>
      <c r="K2199" t="str">
        <f>_xll.BDP("776195FW Muni","MATURITY")</f>
        <v>11/1/2023</v>
      </c>
      <c r="L2199">
        <v>645000</v>
      </c>
      <c r="M2199">
        <f>_xll.BDP("776195FW Muni","YIELD_ON_ISSUE_DATE")</f>
        <v>1.93</v>
      </c>
      <c r="N2199">
        <f>_xll.BDP("776195FW Muni","YTW_SPREAD_TO_MATURITY_AT_ISSU")</f>
        <v>29.78908767123287</v>
      </c>
      <c r="O2199" t="str">
        <f>_xll.BDP("776195FW Muni","BVAL_MID_YTM")</f>
        <v>#N/A Authorization</v>
      </c>
      <c r="P2199" t="str">
        <f>_xll.BDP("776195FW Muni","MUNI_TAX_PROV")</f>
        <v>FED &amp; ST TAX-EXEMPT</v>
      </c>
      <c r="Q2199" t="str">
        <f>_xll.BDP("776195FW Muni","MUNI_FED_TAX")</f>
        <v>N</v>
      </c>
      <c r="R2199" t="str">
        <f>_xll.BDP("776195FW Muni","MUNI_MSRB_VOLUME")</f>
        <v>#N/A N/A</v>
      </c>
      <c r="S2199" t="str">
        <f>_xll.BDP("776195FW Muni","BB_COMPOSITE")</f>
        <v>#N/A N/A</v>
      </c>
      <c r="T2199">
        <f>_xll.BDP("776195FW Muni","LQA_LIQUIDITY_SCORE")</f>
        <v>87</v>
      </c>
    </row>
    <row r="2200" spans="1:20" x14ac:dyDescent="0.25">
      <c r="A2200" t="str">
        <f>_xll.BDP("938729BX Muni","ID_CUSIP")</f>
        <v>938729BX7</v>
      </c>
      <c r="B2200" t="s">
        <v>553</v>
      </c>
      <c r="C2200" t="str">
        <f>_xll.BDP("938729BX Muni","INSURANCE_STATUS")</f>
        <v>N</v>
      </c>
      <c r="D2200" t="str">
        <f>_xll.BDP("938729BX Muni","STATE_CODE")</f>
        <v>UT</v>
      </c>
      <c r="E2200" t="str">
        <f>_xll.BDP("938729BX Muni","COUNTY_LOCATION_ISSUER")</f>
        <v>Washington, UT</v>
      </c>
      <c r="F2200">
        <f>_xll.BDP("938729BX Muni","DUR_ADJ_MID")</f>
        <v>1.1196772327673143</v>
      </c>
      <c r="G2200">
        <f>_xll.BDP("938729BX Muni","SPREAD_AT_ISSUANCE_TO_WORST")</f>
        <v>12.031713567687641</v>
      </c>
      <c r="H2200" t="str">
        <f>_xll.BDP("938729BX Muni","ISSUE_DT")</f>
        <v>9/26/2017</v>
      </c>
      <c r="I2200" t="str">
        <f>_xll.BDS("938729BX Muni","MUNI_PURPOSE_SCHED", "aggregate=y")</f>
        <v>WATER UTILITY IMPS. CURRENT REFUNDING</v>
      </c>
      <c r="J2200">
        <f>_xll.BDP("938729BX Muni","CPN")</f>
        <v>5</v>
      </c>
      <c r="K2200" t="str">
        <f>_xll.BDP("938729BX Muni","MATURITY")</f>
        <v>10/1/2023</v>
      </c>
      <c r="L2200">
        <v>905000</v>
      </c>
      <c r="M2200">
        <f>_xll.BDP("938729BX Muni","YIELD_ON_ISSUE_DATE")</f>
        <v>1.3800000000000001</v>
      </c>
      <c r="N2200">
        <f>_xll.BDP("938729BX Muni","YTW_SPREAD_TO_MATURITY_AT_ISSU")</f>
        <v>12.031713567687641</v>
      </c>
      <c r="O2200" t="str">
        <f>_xll.BDP("938729BX Muni","BVAL_MID_YTM")</f>
        <v>#N/A Authorization</v>
      </c>
      <c r="P2200" t="str">
        <f>_xll.BDP("938729BX Muni","MUNI_TAX_PROV")</f>
        <v>FED &amp; ST TAX-EXEMPT</v>
      </c>
      <c r="Q2200" t="str">
        <f>_xll.BDP("938729BX Muni","MUNI_FED_TAX")</f>
        <v>N</v>
      </c>
      <c r="R2200">
        <f>_xll.BDP("938729BX Muni","MUNI_MSRB_VOLUME")</f>
        <v>20000</v>
      </c>
      <c r="S2200" t="str">
        <f>_xll.BDP("938729BX Muni","BB_COMPOSITE")</f>
        <v>AA</v>
      </c>
      <c r="T2200">
        <f>_xll.BDP("938729BX Muni","LQA_LIQUIDITY_SCORE")</f>
        <v>86</v>
      </c>
    </row>
    <row r="2201" spans="1:20" x14ac:dyDescent="0.25">
      <c r="A2201" t="str">
        <f>_xll.BDP("938729BZ Muni","ID_CUSIP")</f>
        <v>938729BZ2</v>
      </c>
      <c r="B2201" t="s">
        <v>553</v>
      </c>
      <c r="C2201" t="str">
        <f>_xll.BDP("938729BZ Muni","INSURANCE_STATUS")</f>
        <v>N</v>
      </c>
      <c r="D2201" t="str">
        <f>_xll.BDP("938729BZ Muni","STATE_CODE")</f>
        <v>UT</v>
      </c>
      <c r="E2201" t="str">
        <f>_xll.BDP("938729BZ Muni","COUNTY_LOCATION_ISSUER")</f>
        <v>Washington, UT</v>
      </c>
      <c r="F2201">
        <f>_xll.BDP("938729BZ Muni","DUR_ADJ_MID")</f>
        <v>2.9449425724682858</v>
      </c>
      <c r="G2201">
        <f>_xll.BDP("938729BZ Muni","SPREAD_AT_ISSUANCE_TO_WORST")</f>
        <v>15.770280282441229</v>
      </c>
      <c r="H2201" t="str">
        <f>_xll.BDP("938729BZ Muni","ISSUE_DT")</f>
        <v>9/26/2017</v>
      </c>
      <c r="I2201" t="str">
        <f>_xll.BDS("938729BZ Muni","MUNI_PURPOSE_SCHED", "aggregate=y")</f>
        <v>WATER UTILITY IMPS. CURRENT REFUNDING</v>
      </c>
      <c r="J2201">
        <f>_xll.BDP("938729BZ Muni","CPN")</f>
        <v>4</v>
      </c>
      <c r="K2201" t="str">
        <f>_xll.BDP("938729BZ Muni","MATURITY")</f>
        <v>10/1/2025</v>
      </c>
      <c r="L2201">
        <v>1000000</v>
      </c>
      <c r="M2201">
        <f>_xll.BDP("938729BZ Muni","YIELD_ON_ISSUE_DATE")</f>
        <v>1.72</v>
      </c>
      <c r="N2201">
        <f>_xll.BDP("938729BZ Muni","YTW_SPREAD_TO_MATURITY_AT_ISSU")</f>
        <v>15.770280282441229</v>
      </c>
      <c r="O2201" t="str">
        <f>_xll.BDP("938729BZ Muni","BVAL_MID_YTM")</f>
        <v>#N/A Authorization</v>
      </c>
      <c r="P2201" t="str">
        <f>_xll.BDP("938729BZ Muni","MUNI_TAX_PROV")</f>
        <v>FED &amp; ST TAX-EXEMPT</v>
      </c>
      <c r="Q2201" t="str">
        <f>_xll.BDP("938729BZ Muni","MUNI_FED_TAX")</f>
        <v>N</v>
      </c>
      <c r="R2201">
        <f>_xll.BDP("938729BZ Muni","MUNI_MSRB_VOLUME")</f>
        <v>150000</v>
      </c>
      <c r="S2201" t="str">
        <f>_xll.BDP("938729BZ Muni","BB_COMPOSITE")</f>
        <v>AA</v>
      </c>
      <c r="T2201">
        <f>_xll.BDP("938729BZ Muni","LQA_LIQUIDITY_SCORE")</f>
        <v>73</v>
      </c>
    </row>
    <row r="2202" spans="1:20" x14ac:dyDescent="0.25">
      <c r="A2202" t="str">
        <f>_xll.BDP("938729CB Muni","ID_CUSIP")</f>
        <v>938729CB4</v>
      </c>
      <c r="B2202" t="s">
        <v>553</v>
      </c>
      <c r="C2202" t="str">
        <f>_xll.BDP("938729CB Muni","INSURANCE_STATUS")</f>
        <v>N</v>
      </c>
      <c r="D2202" t="str">
        <f>_xll.BDP("938729CB Muni","STATE_CODE")</f>
        <v>UT</v>
      </c>
      <c r="E2202" t="str">
        <f>_xll.BDP("938729CB Muni","COUNTY_LOCATION_ISSUER")</f>
        <v>Washington, UT</v>
      </c>
      <c r="F2202">
        <f>_xll.BDP("938729CB Muni","DUR_ADJ_MID")</f>
        <v>4.5438673028243892</v>
      </c>
      <c r="G2202">
        <f>_xll.BDP("938729CB Muni","SPREAD_AT_ISSUANCE_TO_WORST")</f>
        <v>17.458695694391182</v>
      </c>
      <c r="H2202" t="str">
        <f>_xll.BDP("938729CB Muni","ISSUE_DT")</f>
        <v>9/26/2017</v>
      </c>
      <c r="I2202" t="str">
        <f>_xll.BDS("938729CB Muni","MUNI_PURPOSE_SCHED", "aggregate=y")</f>
        <v>WATER UTILITY IMPS. CURRENT REFUNDING</v>
      </c>
      <c r="J2202">
        <f>_xll.BDP("938729CB Muni","CPN")</f>
        <v>5</v>
      </c>
      <c r="K2202" t="str">
        <f>_xll.BDP("938729CB Muni","MATURITY")</f>
        <v>10/1/2027</v>
      </c>
      <c r="L2202">
        <v>1260000</v>
      </c>
      <c r="M2202">
        <f>_xll.BDP("938729CB Muni","YIELD_ON_ISSUE_DATE")</f>
        <v>1.98</v>
      </c>
      <c r="N2202">
        <f>_xll.BDP("938729CB Muni","YTW_SPREAD_TO_MATURITY_AT_ISSU")</f>
        <v>17.458695694391182</v>
      </c>
      <c r="O2202" t="str">
        <f>_xll.BDP("938729CB Muni","BVAL_MID_YTM")</f>
        <v>#N/A Authorization</v>
      </c>
      <c r="P2202" t="str">
        <f>_xll.BDP("938729CB Muni","MUNI_TAX_PROV")</f>
        <v>FED &amp; ST TAX-EXEMPT</v>
      </c>
      <c r="Q2202" t="str">
        <f>_xll.BDP("938729CB Muni","MUNI_FED_TAX")</f>
        <v>N</v>
      </c>
      <c r="R2202">
        <f>_xll.BDP("938729CB Muni","MUNI_MSRB_VOLUME")</f>
        <v>1050000</v>
      </c>
      <c r="S2202" t="str">
        <f>_xll.BDP("938729CB Muni","BB_COMPOSITE")</f>
        <v>AA</v>
      </c>
      <c r="T2202">
        <f>_xll.BDP("938729CB Muni","LQA_LIQUIDITY_SCORE")</f>
        <v>69</v>
      </c>
    </row>
    <row r="2203" spans="1:20" x14ac:dyDescent="0.25">
      <c r="A2203" t="str">
        <f>_xll.BDP("940197AJ Muni","ID_CUSIP")</f>
        <v>940197AJ5</v>
      </c>
      <c r="B2203" t="s">
        <v>126</v>
      </c>
      <c r="C2203" t="str">
        <f>_xll.BDP("940197AJ Muni","INSURANCE_STATUS")</f>
        <v>N</v>
      </c>
      <c r="D2203" t="str">
        <f>_xll.BDP("940197AJ Muni","STATE_CODE")</f>
        <v>UT</v>
      </c>
      <c r="E2203" t="str">
        <f>_xll.BDP("940197AJ Muni","COUNTY_LOCATION_ISSUER")</f>
        <v>Weber, UT</v>
      </c>
      <c r="F2203">
        <f>_xll.BDP("940197AJ Muni","DUR_ADJ_MID")</f>
        <v>3.5452302164788052</v>
      </c>
      <c r="G2203">
        <f>_xll.BDP("940197AJ Muni","SPREAD_AT_ISSUANCE_TO_WORST")</f>
        <v>10.104434886230029</v>
      </c>
      <c r="H2203" t="str">
        <f>_xll.BDP("940197AJ Muni","ISSUE_DT")</f>
        <v>1/26/2017</v>
      </c>
      <c r="I2203" t="str">
        <f>_xll.BDS("940197AJ Muni","MUNI_PURPOSE_SCHED", "aggregate=y")</f>
        <v>WATER UTILITY IMPS. SEWER IMPS.</v>
      </c>
      <c r="J2203">
        <f>_xll.BDP("940197AJ Muni","CPN")</f>
        <v>4</v>
      </c>
      <c r="K2203" t="str">
        <f>_xll.BDP("940197AJ Muni","MATURITY")</f>
        <v>6/1/2026</v>
      </c>
      <c r="L2203">
        <v>220000</v>
      </c>
      <c r="M2203">
        <f>_xll.BDP("940197AJ Muni","YIELD_ON_ISSUE_DATE")</f>
        <v>2.25</v>
      </c>
      <c r="N2203">
        <f>_xll.BDP("940197AJ Muni","YTW_SPREAD_TO_MATURITY_AT_ISSU")</f>
        <v>10.104434886230029</v>
      </c>
      <c r="O2203" t="str">
        <f>_xll.BDP("940197AJ Muni","BVAL_MID_YTM")</f>
        <v>#N/A Authorization</v>
      </c>
      <c r="P2203" t="str">
        <f>_xll.BDP("940197AJ Muni","MUNI_TAX_PROV")</f>
        <v>FED BQ/ST TAX-EXEMPT</v>
      </c>
      <c r="Q2203" t="str">
        <f>_xll.BDP("940197AJ Muni","MUNI_FED_TAX")</f>
        <v>N</v>
      </c>
      <c r="R2203" t="str">
        <f>_xll.BDP("940197AJ Muni","MUNI_MSRB_VOLUME")</f>
        <v>#N/A N/A</v>
      </c>
      <c r="S2203" t="str">
        <f>_xll.BDP("940197AJ Muni","BB_COMPOSITE")</f>
        <v>#N/A N/A</v>
      </c>
      <c r="T2203">
        <f>_xll.BDP("940197AJ Muni","LQA_LIQUIDITY_SCORE")</f>
        <v>74</v>
      </c>
    </row>
    <row r="2204" spans="1:20" x14ac:dyDescent="0.25">
      <c r="A2204" t="str">
        <f>_xll.BDP("9525303D Muni","ID_CUSIP")</f>
        <v>9525303D3</v>
      </c>
      <c r="B2204" t="s">
        <v>554</v>
      </c>
      <c r="C2204" t="str">
        <f>_xll.BDP("9525303D Muni","INSURANCE_STATUS")</f>
        <v>N</v>
      </c>
      <c r="D2204" t="str">
        <f>_xll.BDP("9525303D Muni","STATE_CODE")</f>
        <v>IA</v>
      </c>
      <c r="E2204" t="str">
        <f>_xll.BDP("9525303D Muni","COUNTY_LOCATION_ISSUER")</f>
        <v>Polk, IA</v>
      </c>
      <c r="F2204">
        <f>_xll.BDP("9525303D Muni","DUR_ADJ_MID")</f>
        <v>0.82030811515336755</v>
      </c>
      <c r="G2204">
        <f>_xll.BDP("9525303D Muni","SPREAD_AT_ISSUANCE_TO_WORST")</f>
        <v>7.4569399029518424</v>
      </c>
      <c r="H2204" t="str">
        <f>_xll.BDP("9525303D Muni","ISSUE_DT")</f>
        <v>8/22/2017</v>
      </c>
      <c r="I2204" t="str">
        <f>_xll.BDS("9525303D Muni","MUNI_PURPOSE_SCHED", "aggregate=y")</f>
        <v>PUBLIC IMPS. RECREATIONAL FAC. IMPS. WATER UTILITY IMPS.</v>
      </c>
      <c r="J2204">
        <f>_xll.BDP("9525303D Muni","CPN")</f>
        <v>2</v>
      </c>
      <c r="K2204" t="str">
        <f>_xll.BDP("9525303D Muni","MATURITY")</f>
        <v>6/1/2023</v>
      </c>
      <c r="L2204">
        <v>470000</v>
      </c>
      <c r="M2204">
        <f>_xll.BDP("9525303D Muni","YIELD_ON_ISSUE_DATE")</f>
        <v>1.41</v>
      </c>
      <c r="N2204">
        <f>_xll.BDP("9525303D Muni","YTW_SPREAD_TO_MATURITY_AT_ISSU")</f>
        <v>7.4569399029518424</v>
      </c>
      <c r="O2204" t="str">
        <f>_xll.BDP("9525303D Muni","BVAL_MID_YTM")</f>
        <v>#N/A Authorization</v>
      </c>
      <c r="P2204" t="str">
        <f>_xll.BDP("9525303D Muni","MUNI_TAX_PROV")</f>
        <v>FED TAX-EXEMPT/ST TAXABLE</v>
      </c>
      <c r="Q2204" t="str">
        <f>_xll.BDP("9525303D Muni","MUNI_FED_TAX")</f>
        <v>N</v>
      </c>
      <c r="R2204" t="str">
        <f>_xll.BDP("9525303D Muni","MUNI_MSRB_VOLUME")</f>
        <v>#N/A N/A</v>
      </c>
      <c r="S2204" t="str">
        <f>_xll.BDP("9525303D Muni","BB_COMPOSITE")</f>
        <v>#N/A N/A</v>
      </c>
      <c r="T2204">
        <f>_xll.BDP("9525303D Muni","LQA_LIQUIDITY_SCORE")</f>
        <v>80</v>
      </c>
    </row>
    <row r="2205" spans="1:20" x14ac:dyDescent="0.25">
      <c r="A2205" t="str">
        <f>_xll.BDP("953079FQ Muni","ID_CUSIP")</f>
        <v>953079FQ8</v>
      </c>
      <c r="B2205" t="s">
        <v>555</v>
      </c>
      <c r="C2205" t="str">
        <f>_xll.BDP("953079FQ Muni","INSURANCE_STATUS")</f>
        <v>Y</v>
      </c>
      <c r="D2205" t="str">
        <f>_xll.BDP("953079FQ Muni","STATE_CODE")</f>
        <v>TX</v>
      </c>
      <c r="E2205" t="str">
        <f>_xll.BDP("953079FQ Muni","COUNTY_LOCATION_ISSUER")</f>
        <v>Harris, TX</v>
      </c>
      <c r="F2205">
        <f>_xll.BDP("953079FQ Muni","DUR_ADJ_MID")</f>
        <v>5.5546433128695763E-3</v>
      </c>
      <c r="G2205">
        <f>_xll.BDP("953079FQ Muni","SPREAD_AT_ISSUANCE_TO_WORST")</f>
        <v>39.341335601483827</v>
      </c>
      <c r="H2205" t="str">
        <f>_xll.BDP("953079FQ Muni","ISSUE_DT")</f>
        <v>3/1/2017</v>
      </c>
      <c r="I2205" t="str">
        <f>_xll.BDS("953079FQ Muni","MUNI_PURPOSE_SCHED", "aggregate=y")</f>
        <v>PUBLIC IMPS. WATER UTILITY IMPS. SEWER IMPS.</v>
      </c>
      <c r="J2205">
        <f>_xll.BDP("953079FQ Muni","CPN")</f>
        <v>3</v>
      </c>
      <c r="K2205" t="str">
        <f>_xll.BDP("953079FQ Muni","MATURITY")</f>
        <v>8/1/2022</v>
      </c>
      <c r="L2205">
        <v>210000</v>
      </c>
      <c r="M2205">
        <f>_xll.BDP("953079FQ Muni","YIELD_ON_ISSUE_DATE")</f>
        <v>2.1</v>
      </c>
      <c r="N2205">
        <f>_xll.BDP("953079FQ Muni","YTW_SPREAD_TO_MATURITY_AT_ISSU")</f>
        <v>39.341335601483827</v>
      </c>
      <c r="O2205" t="str">
        <f>_xll.BDP("953079FQ Muni","BVAL_MID_YTM")</f>
        <v>#N/A Authorization</v>
      </c>
      <c r="P2205" t="str">
        <f>_xll.BDP("953079FQ Muni","MUNI_TAX_PROV")</f>
        <v>FED BQ</v>
      </c>
      <c r="Q2205" t="str">
        <f>_xll.BDP("953079FQ Muni","MUNI_FED_TAX")</f>
        <v>N</v>
      </c>
      <c r="R2205" t="str">
        <f>_xll.BDP("953079FQ Muni","MUNI_MSRB_VOLUME")</f>
        <v>#N/A N/A</v>
      </c>
      <c r="S2205" t="str">
        <f>_xll.BDP("953079FQ Muni","BB_COMPOSITE")</f>
        <v>#N/A N/A</v>
      </c>
      <c r="T2205">
        <f>_xll.BDP("953079FQ Muni","LQA_LIQUIDITY_SCORE")</f>
        <v>98</v>
      </c>
    </row>
    <row r="2206" spans="1:20" x14ac:dyDescent="0.25">
      <c r="A2206" t="str">
        <f>_xll.BDP("953079FR Muni","ID_CUSIP")</f>
        <v>953079FR6</v>
      </c>
      <c r="B2206" t="s">
        <v>555</v>
      </c>
      <c r="C2206" t="str">
        <f>_xll.BDP("953079FR Muni","INSURANCE_STATUS")</f>
        <v>Y</v>
      </c>
      <c r="D2206" t="str">
        <f>_xll.BDP("953079FR Muni","STATE_CODE")</f>
        <v>TX</v>
      </c>
      <c r="E2206" t="str">
        <f>_xll.BDP("953079FR Muni","COUNTY_LOCATION_ISSUER")</f>
        <v>Harris, TX</v>
      </c>
      <c r="F2206">
        <f>_xll.BDP("953079FR Muni","DUR_ADJ_MID")</f>
        <v>0.98104917057638164</v>
      </c>
      <c r="G2206">
        <f>_xll.BDP("953079FR Muni","SPREAD_AT_ISSUANCE_TO_WORST")</f>
        <v>33.486134810926835</v>
      </c>
      <c r="H2206" t="str">
        <f>_xll.BDP("953079FR Muni","ISSUE_DT")</f>
        <v>3/1/2017</v>
      </c>
      <c r="I2206" t="str">
        <f>_xll.BDS("953079FR Muni","MUNI_PURPOSE_SCHED", "aggregate=y")</f>
        <v>PUBLIC IMPS. WATER UTILITY IMPS. SEWER IMPS.</v>
      </c>
      <c r="J2206">
        <f>_xll.BDP("953079FR Muni","CPN")</f>
        <v>3</v>
      </c>
      <c r="K2206" t="str">
        <f>_xll.BDP("953079FR Muni","MATURITY")</f>
        <v>8/1/2023</v>
      </c>
      <c r="L2206">
        <v>215000</v>
      </c>
      <c r="M2206">
        <f>_xll.BDP("953079FR Muni","YIELD_ON_ISSUE_DATE")</f>
        <v>2.2000000000000002</v>
      </c>
      <c r="N2206">
        <f>_xll.BDP("953079FR Muni","YTW_SPREAD_TO_MATURITY_AT_ISSU")</f>
        <v>33.486134810926835</v>
      </c>
      <c r="O2206" t="str">
        <f>_xll.BDP("953079FR Muni","BVAL_MID_YTM")</f>
        <v>#N/A Authorization</v>
      </c>
      <c r="P2206" t="str">
        <f>_xll.BDP("953079FR Muni","MUNI_TAX_PROV")</f>
        <v>FED BQ</v>
      </c>
      <c r="Q2206" t="str">
        <f>_xll.BDP("953079FR Muni","MUNI_FED_TAX")</f>
        <v>N</v>
      </c>
      <c r="R2206" t="str">
        <f>_xll.BDP("953079FR Muni","MUNI_MSRB_VOLUME")</f>
        <v>#N/A N/A</v>
      </c>
      <c r="S2206" t="str">
        <f>_xll.BDP("953079FR Muni","BB_COMPOSITE")</f>
        <v>#N/A N/A</v>
      </c>
      <c r="T2206">
        <f>_xll.BDP("953079FR Muni","LQA_LIQUIDITY_SCORE")</f>
        <v>87</v>
      </c>
    </row>
    <row r="2207" spans="1:20" x14ac:dyDescent="0.25">
      <c r="A2207" t="str">
        <f>_xll.BDP("953079FS Muni","ID_CUSIP")</f>
        <v>953079FS4</v>
      </c>
      <c r="B2207" t="s">
        <v>555</v>
      </c>
      <c r="C2207" t="str">
        <f>_xll.BDP("953079FS Muni","INSURANCE_STATUS")</f>
        <v>Y</v>
      </c>
      <c r="D2207" t="str">
        <f>_xll.BDP("953079FS Muni","STATE_CODE")</f>
        <v>TX</v>
      </c>
      <c r="E2207" t="str">
        <f>_xll.BDP("953079FS Muni","COUNTY_LOCATION_ISSUER")</f>
        <v>Harris, TX</v>
      </c>
      <c r="F2207">
        <f>_xll.BDP("953079FS Muni","DUR_ADJ_MID")</f>
        <v>1.9339665629244229</v>
      </c>
      <c r="G2207">
        <f>_xll.BDP("953079FS Muni","SPREAD_AT_ISSUANCE_TO_WORST")</f>
        <v>27.93102689879121</v>
      </c>
      <c r="H2207" t="str">
        <f>_xll.BDP("953079FS Muni","ISSUE_DT")</f>
        <v>3/1/2017</v>
      </c>
      <c r="I2207" t="str">
        <f>_xll.BDS("953079FS Muni","MUNI_PURPOSE_SCHED", "aggregate=y")</f>
        <v>PUBLIC IMPS. WATER UTILITY IMPS. SEWER IMPS.</v>
      </c>
      <c r="J2207">
        <f>_xll.BDP("953079FS Muni","CPN")</f>
        <v>3</v>
      </c>
      <c r="K2207" t="str">
        <f>_xll.BDP("953079FS Muni","MATURITY")</f>
        <v>8/1/2024</v>
      </c>
      <c r="L2207">
        <v>225000</v>
      </c>
      <c r="M2207">
        <f>_xll.BDP("953079FS Muni","YIELD_ON_ISSUE_DATE")</f>
        <v>2.3000000000000003</v>
      </c>
      <c r="N2207">
        <f>_xll.BDP("953079FS Muni","YTW_SPREAD_TO_MATURITY_AT_ISSU")</f>
        <v>27.93102689879121</v>
      </c>
      <c r="O2207" t="str">
        <f>_xll.BDP("953079FS Muni","BVAL_MID_YTM")</f>
        <v>#N/A Authorization</v>
      </c>
      <c r="P2207" t="str">
        <f>_xll.BDP("953079FS Muni","MUNI_TAX_PROV")</f>
        <v>FED BQ</v>
      </c>
      <c r="Q2207" t="str">
        <f>_xll.BDP("953079FS Muni","MUNI_FED_TAX")</f>
        <v>N</v>
      </c>
      <c r="R2207" t="str">
        <f>_xll.BDP("953079FS Muni","MUNI_MSRB_VOLUME")</f>
        <v>#N/A N/A</v>
      </c>
      <c r="S2207" t="str">
        <f>_xll.BDP("953079FS Muni","BB_COMPOSITE")</f>
        <v>#N/A N/A</v>
      </c>
      <c r="T2207">
        <f>_xll.BDP("953079FS Muni","LQA_LIQUIDITY_SCORE")</f>
        <v>73</v>
      </c>
    </row>
    <row r="2208" spans="1:20" x14ac:dyDescent="0.25">
      <c r="A2208" t="str">
        <f>_xll.BDP("795604AF Muni","ID_CUSIP")</f>
        <v>795604AF4</v>
      </c>
      <c r="B2208" t="s">
        <v>60</v>
      </c>
      <c r="C2208" t="str">
        <f>_xll.BDP("795604AF Muni","INSURANCE_STATUS")</f>
        <v>N</v>
      </c>
      <c r="D2208" t="str">
        <f>_xll.BDP("795604AF Muni","STATE_CODE")</f>
        <v>UT</v>
      </c>
      <c r="E2208" t="str">
        <f>_xll.BDP("795604AF Muni","COUNTY_LOCATION_ISSUER")</f>
        <v>#N/A Field Not Applicable</v>
      </c>
      <c r="F2208">
        <f>_xll.BDP("795604AF Muni","DUR_ADJ_MID")</f>
        <v>0.49479839311204604</v>
      </c>
      <c r="G2208">
        <f>_xll.BDP("795604AF Muni","SPREAD_AT_ISSUANCE_TO_WORST")</f>
        <v>8.1176527660393738</v>
      </c>
      <c r="H2208" t="str">
        <f>_xll.BDP("795604AF Muni","ISSUE_DT")</f>
        <v>4/5/2017</v>
      </c>
      <c r="I2208" t="str">
        <f>_xll.BDS("795604AF Muni","MUNI_PURPOSE_SCHED", "aggregate=y")</f>
        <v>WATER UTILITY IMPS. SEWER IMPS. ADVANCE REFUNDING</v>
      </c>
      <c r="J2208">
        <f>_xll.BDP("795604AF Muni","CPN")</f>
        <v>5</v>
      </c>
      <c r="K2208" t="str">
        <f>_xll.BDP("795604AF Muni","MATURITY")</f>
        <v>2/1/2023</v>
      </c>
      <c r="L2208">
        <v>3900000</v>
      </c>
      <c r="M2208">
        <f>_xll.BDP("795604AF Muni","YIELD_ON_ISSUE_DATE")</f>
        <v>1.78</v>
      </c>
      <c r="N2208">
        <f>_xll.BDP("795604AF Muni","YTW_SPREAD_TO_MATURITY_AT_ISSU")</f>
        <v>8.1176527660393738</v>
      </c>
      <c r="O2208" t="str">
        <f>_xll.BDP("795604AF Muni","BVAL_MID_YTM")</f>
        <v>#N/A Authorization</v>
      </c>
      <c r="P2208" t="str">
        <f>_xll.BDP("795604AF Muni","MUNI_TAX_PROV")</f>
        <v>FED &amp; ST TAX-EXEMPT</v>
      </c>
      <c r="Q2208" t="str">
        <f>_xll.BDP("795604AF Muni","MUNI_FED_TAX")</f>
        <v>N</v>
      </c>
      <c r="R2208">
        <f>_xll.BDP("795604AF Muni","MUNI_MSRB_VOLUME")</f>
        <v>100000</v>
      </c>
      <c r="S2208" t="str">
        <f>_xll.BDP("795604AF Muni","BB_COMPOSITE")</f>
        <v>AA+</v>
      </c>
      <c r="T2208">
        <f>_xll.BDP("795604AF Muni","LQA_LIQUIDITY_SCORE")</f>
        <v>96</v>
      </c>
    </row>
    <row r="2209" spans="1:20" x14ac:dyDescent="0.25">
      <c r="A2209" t="str">
        <f>_xll.BDP("795604AG Muni","ID_CUSIP")</f>
        <v>795604AG2</v>
      </c>
      <c r="B2209" t="s">
        <v>60</v>
      </c>
      <c r="C2209" t="str">
        <f>_xll.BDP("795604AG Muni","INSURANCE_STATUS")</f>
        <v>N</v>
      </c>
      <c r="D2209" t="str">
        <f>_xll.BDP("795604AG Muni","STATE_CODE")</f>
        <v>UT</v>
      </c>
      <c r="E2209" t="str">
        <f>_xll.BDP("795604AG Muni","COUNTY_LOCATION_ISSUER")</f>
        <v>#N/A Field Not Applicable</v>
      </c>
      <c r="F2209">
        <f>_xll.BDP("795604AG Muni","DUR_ADJ_MID")</f>
        <v>1.4506886325231207</v>
      </c>
      <c r="G2209">
        <f>_xll.BDP("795604AG Muni","SPREAD_AT_ISSUANCE_TO_WORST")</f>
        <v>15.035012107068146</v>
      </c>
      <c r="H2209" t="str">
        <f>_xll.BDP("795604AG Muni","ISSUE_DT")</f>
        <v>4/5/2017</v>
      </c>
      <c r="I2209" t="str">
        <f>_xll.BDS("795604AG Muni","MUNI_PURPOSE_SCHED", "aggregate=y")</f>
        <v>WATER UTILITY IMPS. SEWER IMPS. ADVANCE REFUNDING</v>
      </c>
      <c r="J2209">
        <f>_xll.BDP("795604AG Muni","CPN")</f>
        <v>5</v>
      </c>
      <c r="K2209" t="str">
        <f>_xll.BDP("795604AG Muni","MATURITY")</f>
        <v>2/1/2024</v>
      </c>
      <c r="L2209">
        <v>4090000</v>
      </c>
      <c r="M2209">
        <f>_xll.BDP("795604AG Muni","YIELD_ON_ISSUE_DATE")</f>
        <v>2.0100000000000002</v>
      </c>
      <c r="N2209">
        <f>_xll.BDP("795604AG Muni","YTW_SPREAD_TO_MATURITY_AT_ISSU")</f>
        <v>15.035012107068146</v>
      </c>
      <c r="O2209" t="str">
        <f>_xll.BDP("795604AG Muni","BVAL_MID_YTM")</f>
        <v>#N/A Authorization</v>
      </c>
      <c r="P2209" t="str">
        <f>_xll.BDP("795604AG Muni","MUNI_TAX_PROV")</f>
        <v>FED &amp; ST TAX-EXEMPT</v>
      </c>
      <c r="Q2209" t="str">
        <f>_xll.BDP("795604AG Muni","MUNI_FED_TAX")</f>
        <v>N</v>
      </c>
      <c r="R2209">
        <f>_xll.BDP("795604AG Muni","MUNI_MSRB_VOLUME")</f>
        <v>45000</v>
      </c>
      <c r="S2209" t="str">
        <f>_xll.BDP("795604AG Muni","BB_COMPOSITE")</f>
        <v>AA+</v>
      </c>
      <c r="T2209">
        <f>_xll.BDP("795604AG Muni","LQA_LIQUIDITY_SCORE")</f>
        <v>90</v>
      </c>
    </row>
    <row r="2210" spans="1:20" x14ac:dyDescent="0.25">
      <c r="A2210" t="str">
        <f>_xll.BDP("801889PY Muni","ID_CUSIP")</f>
        <v>801889PY6</v>
      </c>
      <c r="B2210" t="s">
        <v>127</v>
      </c>
      <c r="C2210" t="str">
        <f>_xll.BDP("801889PY Muni","INSURANCE_STATUS")</f>
        <v>N</v>
      </c>
      <c r="D2210" t="str">
        <f>_xll.BDP("801889PY Muni","STATE_CODE")</f>
        <v>NM</v>
      </c>
      <c r="E2210" t="str">
        <f>_xll.BDP("801889PY Muni","COUNTY_LOCATION_ISSUER")</f>
        <v>Santa Fe, NM</v>
      </c>
      <c r="F2210">
        <f>_xll.BDP("801889PY Muni","DUR_ADJ_MID")</f>
        <v>2.7236705013399014</v>
      </c>
      <c r="G2210">
        <f>_xll.BDP("801889PY Muni","SPREAD_AT_ISSUANCE_TO_WORST")</f>
        <v>11.058201215500919</v>
      </c>
      <c r="H2210" t="str">
        <f>_xll.BDP("801889PY Muni","ISSUE_DT")</f>
        <v>9/12/2017</v>
      </c>
      <c r="I2210" t="str">
        <f>_xll.BDS("801889PY Muni","MUNI_PURPOSE_SCHED", "aggregate=y")</f>
        <v>PUBLIC IMPS. WATER UTILITY IMPS. ADVANCE REFUNDING</v>
      </c>
      <c r="J2210">
        <f>_xll.BDP("801889PY Muni","CPN")</f>
        <v>5</v>
      </c>
      <c r="K2210" t="str">
        <f>_xll.BDP("801889PY Muni","MATURITY")</f>
        <v>7/1/2025</v>
      </c>
      <c r="L2210">
        <v>1280000</v>
      </c>
      <c r="M2210">
        <f>_xll.BDP("801889PY Muni","YIELD_ON_ISSUE_DATE")</f>
        <v>1.71</v>
      </c>
      <c r="N2210">
        <f>_xll.BDP("801889PY Muni","YTW_SPREAD_TO_MATURITY_AT_ISSU")</f>
        <v>11.058201215500919</v>
      </c>
      <c r="O2210" t="str">
        <f>_xll.BDP("801889PY Muni","BVAL_MID_YTM")</f>
        <v>#N/A Authorization</v>
      </c>
      <c r="P2210" t="str">
        <f>_xll.BDP("801889PY Muni","MUNI_TAX_PROV")</f>
        <v>FED &amp; ST TAX-EXEMPT</v>
      </c>
      <c r="Q2210" t="str">
        <f>_xll.BDP("801889PY Muni","MUNI_FED_TAX")</f>
        <v>N</v>
      </c>
      <c r="R2210">
        <f>_xll.BDP("801889PY Muni","MUNI_MSRB_VOLUME")</f>
        <v>80000</v>
      </c>
      <c r="S2210" t="str">
        <f>_xll.BDP("801889PY Muni","BB_COMPOSITE")</f>
        <v>#N/A N/A</v>
      </c>
      <c r="T2210">
        <f>_xll.BDP("801889PY Muni","LQA_LIQUIDITY_SCORE")</f>
        <v>78</v>
      </c>
    </row>
    <row r="2211" spans="1:20" x14ac:dyDescent="0.25">
      <c r="A2211" t="str">
        <f>_xll.BDP("838848DG Muni","ID_CUSIP")</f>
        <v>838848DG1</v>
      </c>
      <c r="B2211" t="s">
        <v>556</v>
      </c>
      <c r="C2211" t="str">
        <f>_xll.BDP("838848DG Muni","INSURANCE_STATUS")</f>
        <v>N</v>
      </c>
      <c r="D2211" t="str">
        <f>_xll.BDP("838848DG Muni","STATE_CODE")</f>
        <v>PA</v>
      </c>
      <c r="E2211" t="str">
        <f>_xll.BDP("838848DG Muni","COUNTY_LOCATION_ISSUER")</f>
        <v>Cumberland, PA</v>
      </c>
      <c r="F2211">
        <f>_xll.BDP("838848DG Muni","DUR_ADJ_MID")</f>
        <v>5.5549443831018437E-3</v>
      </c>
      <c r="G2211">
        <f>_xll.BDP("838848DG Muni","SPREAD_AT_ISSUANCE_TO_WORST")</f>
        <v>44.793771918446865</v>
      </c>
      <c r="H2211" t="str">
        <f>_xll.BDP("838848DG Muni","ISSUE_DT")</f>
        <v>4/26/2017</v>
      </c>
      <c r="I2211" t="str">
        <f>_xll.BDS("838848DG Muni","MUNI_PURPOSE_SCHED", "aggregate=y")</f>
        <v>WATER UTILITY IMPS. SEWER IMPS.</v>
      </c>
      <c r="J2211">
        <f>_xll.BDP("838848DG Muni","CPN")</f>
        <v>2</v>
      </c>
      <c r="K2211" t="str">
        <f>_xll.BDP("838848DG Muni","MATURITY")</f>
        <v>8/1/2022</v>
      </c>
      <c r="L2211">
        <v>280000</v>
      </c>
      <c r="M2211">
        <f>_xll.BDP("838848DG Muni","YIELD_ON_ISSUE_DATE")</f>
        <v>2</v>
      </c>
      <c r="N2211">
        <f>_xll.BDP("838848DG Muni","YTW_SPREAD_TO_MATURITY_AT_ISSU")</f>
        <v>44.793771918446865</v>
      </c>
      <c r="O2211" t="str">
        <f>_xll.BDP("838848DG Muni","BVAL_MID_YTM")</f>
        <v>#N/A Authorization</v>
      </c>
      <c r="P2211" t="str">
        <f>_xll.BDP("838848DG Muni","MUNI_TAX_PROV")</f>
        <v>FED BQ/ST TAX-EXEMPT</v>
      </c>
      <c r="Q2211" t="str">
        <f>_xll.BDP("838848DG Muni","MUNI_FED_TAX")</f>
        <v>N</v>
      </c>
      <c r="R2211" t="str">
        <f>_xll.BDP("838848DG Muni","MUNI_MSRB_VOLUME")</f>
        <v>#N/A N/A</v>
      </c>
      <c r="S2211" t="str">
        <f>_xll.BDP("838848DG Muni","BB_COMPOSITE")</f>
        <v>#N/A N/A</v>
      </c>
      <c r="T2211">
        <f>_xll.BDP("838848DG Muni","LQA_LIQUIDITY_SCORE")</f>
        <v>18</v>
      </c>
    </row>
    <row r="2212" spans="1:20" x14ac:dyDescent="0.25">
      <c r="A2212" t="str">
        <f>_xll.BDP("938729BW Muni","ID_CUSIP")</f>
        <v>938729BW9</v>
      </c>
      <c r="B2212" t="s">
        <v>553</v>
      </c>
      <c r="C2212" t="str">
        <f>_xll.BDP("938729BW Muni","INSURANCE_STATUS")</f>
        <v>N</v>
      </c>
      <c r="D2212" t="str">
        <f>_xll.BDP("938729BW Muni","STATE_CODE")</f>
        <v>UT</v>
      </c>
      <c r="E2212" t="str">
        <f>_xll.BDP("938729BW Muni","COUNTY_LOCATION_ISSUER")</f>
        <v>Washington, UT</v>
      </c>
      <c r="F2212">
        <f>_xll.BDP("938729BW Muni","DUR_ADJ_MID")</f>
        <v>0.16362691543153485</v>
      </c>
      <c r="G2212">
        <f>_xll.BDP("938729BW Muni","SPREAD_AT_ISSUANCE_TO_WORST")</f>
        <v>9.7768047328380625</v>
      </c>
      <c r="H2212" t="str">
        <f>_xll.BDP("938729BW Muni","ISSUE_DT")</f>
        <v>9/26/2017</v>
      </c>
      <c r="I2212" t="str">
        <f>_xll.BDS("938729BW Muni","MUNI_PURPOSE_SCHED", "aggregate=y")</f>
        <v>WATER UTILITY IMPS. CURRENT REFUNDING</v>
      </c>
      <c r="J2212">
        <f>_xll.BDP("938729BW Muni","CPN")</f>
        <v>5</v>
      </c>
      <c r="K2212" t="str">
        <f>_xll.BDP("938729BW Muni","MATURITY")</f>
        <v>10/1/2022</v>
      </c>
      <c r="L2212">
        <v>865000</v>
      </c>
      <c r="M2212">
        <f>_xll.BDP("938729BW Muni","YIELD_ON_ISSUE_DATE")</f>
        <v>1.21</v>
      </c>
      <c r="N2212">
        <f>_xll.BDP("938729BW Muni","YTW_SPREAD_TO_MATURITY_AT_ISSU")</f>
        <v>9.7768047328380625</v>
      </c>
      <c r="O2212" t="str">
        <f>_xll.BDP("938729BW Muni","BVAL_MID_YTM")</f>
        <v>#N/A Authorization</v>
      </c>
      <c r="P2212" t="str">
        <f>_xll.BDP("938729BW Muni","MUNI_TAX_PROV")</f>
        <v>FED &amp; ST TAX-EXEMPT</v>
      </c>
      <c r="Q2212" t="str">
        <f>_xll.BDP("938729BW Muni","MUNI_FED_TAX")</f>
        <v>N</v>
      </c>
      <c r="R2212">
        <f>_xll.BDP("938729BW Muni","MUNI_MSRB_VOLUME")</f>
        <v>40000</v>
      </c>
      <c r="S2212" t="str">
        <f>_xll.BDP("938729BW Muni","BB_COMPOSITE")</f>
        <v>AA</v>
      </c>
      <c r="T2212">
        <f>_xll.BDP("938729BW Muni","LQA_LIQUIDITY_SCORE")</f>
        <v>97</v>
      </c>
    </row>
    <row r="2213" spans="1:20" x14ac:dyDescent="0.25">
      <c r="A2213" t="str">
        <f>_xll.BDP("938729BY Muni","ID_CUSIP")</f>
        <v>938729BY5</v>
      </c>
      <c r="B2213" t="s">
        <v>553</v>
      </c>
      <c r="C2213" t="str">
        <f>_xll.BDP("938729BY Muni","INSURANCE_STATUS")</f>
        <v>N</v>
      </c>
      <c r="D2213" t="str">
        <f>_xll.BDP("938729BY Muni","STATE_CODE")</f>
        <v>UT</v>
      </c>
      <c r="E2213" t="str">
        <f>_xll.BDP("938729BY Muni","COUNTY_LOCATION_ISSUER")</f>
        <v>Washington, UT</v>
      </c>
      <c r="F2213">
        <f>_xll.BDP("938729BY Muni","DUR_ADJ_MID")</f>
        <v>2.0317770111358824</v>
      </c>
      <c r="G2213">
        <f>_xll.BDP("938729BY Muni","SPREAD_AT_ISSUANCE_TO_WORST")</f>
        <v>13.874167353091016</v>
      </c>
      <c r="H2213" t="str">
        <f>_xll.BDP("938729BY Muni","ISSUE_DT")</f>
        <v>9/26/2017</v>
      </c>
      <c r="I2213" t="str">
        <f>_xll.BDS("938729BY Muni","MUNI_PURPOSE_SCHED", "aggregate=y")</f>
        <v>WATER UTILITY IMPS. CURRENT REFUNDING</v>
      </c>
      <c r="J2213">
        <f>_xll.BDP("938729BY Muni","CPN")</f>
        <v>5</v>
      </c>
      <c r="K2213" t="str">
        <f>_xll.BDP("938729BY Muni","MATURITY")</f>
        <v>10/1/2024</v>
      </c>
      <c r="L2213">
        <v>955000</v>
      </c>
      <c r="M2213">
        <f>_xll.BDP("938729BY Muni","YIELD_ON_ISSUE_DATE")</f>
        <v>1.55</v>
      </c>
      <c r="N2213">
        <f>_xll.BDP("938729BY Muni","YTW_SPREAD_TO_MATURITY_AT_ISSU")</f>
        <v>13.874167353091016</v>
      </c>
      <c r="O2213" t="str">
        <f>_xll.BDP("938729BY Muni","BVAL_MID_YTM")</f>
        <v>#N/A Authorization</v>
      </c>
      <c r="P2213" t="str">
        <f>_xll.BDP("938729BY Muni","MUNI_TAX_PROV")</f>
        <v>FED &amp; ST TAX-EXEMPT</v>
      </c>
      <c r="Q2213" t="str">
        <f>_xll.BDP("938729BY Muni","MUNI_FED_TAX")</f>
        <v>N</v>
      </c>
      <c r="R2213">
        <f>_xll.BDP("938729BY Muni","MUNI_MSRB_VOLUME")</f>
        <v>75000</v>
      </c>
      <c r="S2213" t="str">
        <f>_xll.BDP("938729BY Muni","BB_COMPOSITE")</f>
        <v>AA</v>
      </c>
      <c r="T2213">
        <f>_xll.BDP("938729BY Muni","LQA_LIQUIDITY_SCORE")</f>
        <v>79</v>
      </c>
    </row>
    <row r="2214" spans="1:20" x14ac:dyDescent="0.25">
      <c r="A2214" t="str">
        <f>_xll.BDP("938729CA Muni","ID_CUSIP")</f>
        <v>938729CA6</v>
      </c>
      <c r="B2214" t="s">
        <v>553</v>
      </c>
      <c r="C2214" t="str">
        <f>_xll.BDP("938729CA Muni","INSURANCE_STATUS")</f>
        <v>N</v>
      </c>
      <c r="D2214" t="str">
        <f>_xll.BDP("938729CA Muni","STATE_CODE")</f>
        <v>UT</v>
      </c>
      <c r="E2214" t="str">
        <f>_xll.BDP("938729CA Muni","COUNTY_LOCATION_ISSUER")</f>
        <v>Washington, UT</v>
      </c>
      <c r="F2214">
        <f>_xll.BDP("938729CA Muni","DUR_ADJ_MID")</f>
        <v>3.741373396445614</v>
      </c>
      <c r="G2214">
        <f>_xll.BDP("938729CA Muni","SPREAD_AT_ISSUANCE_TO_WORST")</f>
        <v>14.371897704616066</v>
      </c>
      <c r="H2214" t="str">
        <f>_xll.BDP("938729CA Muni","ISSUE_DT")</f>
        <v>9/26/2017</v>
      </c>
      <c r="I2214" t="str">
        <f>_xll.BDS("938729CA Muni","MUNI_PURPOSE_SCHED", "aggregate=y")</f>
        <v>WATER UTILITY IMPS. CURRENT REFUNDING</v>
      </c>
      <c r="J2214">
        <f>_xll.BDP("938729CA Muni","CPN")</f>
        <v>5</v>
      </c>
      <c r="K2214" t="str">
        <f>_xll.BDP("938729CA Muni","MATURITY")</f>
        <v>10/1/2026</v>
      </c>
      <c r="L2214">
        <v>1210000</v>
      </c>
      <c r="M2214">
        <f>_xll.BDP("938729CA Muni","YIELD_ON_ISSUE_DATE")</f>
        <v>1.84</v>
      </c>
      <c r="N2214">
        <f>_xll.BDP("938729CA Muni","YTW_SPREAD_TO_MATURITY_AT_ISSU")</f>
        <v>14.371897704616066</v>
      </c>
      <c r="O2214" t="str">
        <f>_xll.BDP("938729CA Muni","BVAL_MID_YTM")</f>
        <v>#N/A Authorization</v>
      </c>
      <c r="P2214" t="str">
        <f>_xll.BDP("938729CA Muni","MUNI_TAX_PROV")</f>
        <v>FED &amp; ST TAX-EXEMPT</v>
      </c>
      <c r="Q2214" t="str">
        <f>_xll.BDP("938729CA Muni","MUNI_FED_TAX")</f>
        <v>N</v>
      </c>
      <c r="R2214">
        <f>_xll.BDP("938729CA Muni","MUNI_MSRB_VOLUME")</f>
        <v>10000</v>
      </c>
      <c r="S2214" t="str">
        <f>_xll.BDP("938729CA Muni","BB_COMPOSITE")</f>
        <v>AA</v>
      </c>
      <c r="T2214">
        <f>_xll.BDP("938729CA Muni","LQA_LIQUIDITY_SCORE")</f>
        <v>74</v>
      </c>
    </row>
    <row r="2215" spans="1:20" x14ac:dyDescent="0.25">
      <c r="A2215" t="str">
        <f>_xll.BDP("772827SG Muni","ID_CUSIP")</f>
        <v>772827SG7</v>
      </c>
      <c r="B2215" t="s">
        <v>547</v>
      </c>
      <c r="C2215" t="str">
        <f>_xll.BDP("772827SG Muni","INSURANCE_STATUS")</f>
        <v>N</v>
      </c>
      <c r="D2215" t="str">
        <f>_xll.BDP("772827SG Muni","STATE_CODE")</f>
        <v>NJ</v>
      </c>
      <c r="E2215" t="str">
        <f>_xll.BDP("772827SG Muni","COUNTY_LOCATION_ISSUER")</f>
        <v>Morris, NJ</v>
      </c>
      <c r="F2215">
        <f>_xll.BDP("772827SG Muni","DUR_ADJ_MID")</f>
        <v>0.94162235189697474</v>
      </c>
      <c r="G2215">
        <f>_xll.BDP("772827SG Muni","SPREAD_AT_ISSUANCE_TO_WORST")</f>
        <v>21.506783561643839</v>
      </c>
      <c r="H2215" t="str">
        <f>_xll.BDP("772827SG Muni","ISSUE_DT")</f>
        <v>11/15/2017</v>
      </c>
      <c r="I2215" t="str">
        <f>_xll.BDS("772827SG Muni","MUNI_PURPOSE_SCHED", "aggregate=y")</f>
        <v>PUBLIC IMPS. WATER UTILITY IMPS.</v>
      </c>
      <c r="J2215">
        <f>_xll.BDP("772827SG Muni","CPN")</f>
        <v>2</v>
      </c>
      <c r="K2215" t="str">
        <f>_xll.BDP("772827SG Muni","MATURITY")</f>
        <v>7/15/2023</v>
      </c>
      <c r="L2215">
        <v>1545000</v>
      </c>
      <c r="M2215">
        <f>_xll.BDP("772827SG Muni","YIELD_ON_ISSUE_DATE")</f>
        <v>1.75</v>
      </c>
      <c r="N2215">
        <f>_xll.BDP("772827SG Muni","YTW_SPREAD_TO_MATURITY_AT_ISSU")</f>
        <v>21.506783561643839</v>
      </c>
      <c r="O2215" t="str">
        <f>_xll.BDP("772827SG Muni","BVAL_MID_YTM")</f>
        <v>#N/A Authorization</v>
      </c>
      <c r="P2215" t="str">
        <f>_xll.BDP("772827SG Muni","MUNI_TAX_PROV")</f>
        <v>FED &amp; ST TAX-EXEMPT</v>
      </c>
      <c r="Q2215" t="str">
        <f>_xll.BDP("772827SG Muni","MUNI_FED_TAX")</f>
        <v>N</v>
      </c>
      <c r="R2215">
        <f>_xll.BDP("772827SG Muni","MUNI_MSRB_VOLUME")</f>
        <v>60000</v>
      </c>
      <c r="S2215" t="str">
        <f>_xll.BDP("772827SG Muni","BB_COMPOSITE")</f>
        <v>#N/A N/A</v>
      </c>
      <c r="T2215">
        <f>_xll.BDP("772827SG Muni","LQA_LIQUIDITY_SCORE")</f>
        <v>77</v>
      </c>
    </row>
    <row r="2216" spans="1:20" x14ac:dyDescent="0.25">
      <c r="A2216" t="str">
        <f>_xll.BDP("7741323H Muni","ID_CUSIP")</f>
        <v>7741323H5</v>
      </c>
      <c r="B2216" t="s">
        <v>548</v>
      </c>
      <c r="C2216" t="str">
        <f>_xll.BDP("7741323H Muni","INSURANCE_STATUS")</f>
        <v>N</v>
      </c>
      <c r="D2216" t="str">
        <f>_xll.BDP("7741323H Muni","STATE_CODE")</f>
        <v>NY</v>
      </c>
      <c r="E2216" t="str">
        <f>_xll.BDP("7741323H Muni","COUNTY_LOCATION_ISSUER")</f>
        <v>Nassau, NY</v>
      </c>
      <c r="F2216">
        <f>_xll.BDP("7741323H Muni","DUR_ADJ_MID")</f>
        <v>2.6194218534567599</v>
      </c>
      <c r="G2216">
        <f>_xll.BDP("7741323H Muni","SPREAD_AT_ISSUANCE_TO_WORST")</f>
        <v>5.4098963315134085</v>
      </c>
      <c r="H2216" t="str">
        <f>_xll.BDP("7741323H Muni","ISSUE_DT")</f>
        <v>5/1/2017</v>
      </c>
      <c r="I2216" t="str">
        <f>_xll.BDS("7741323H Muni","MUNI_PURPOSE_SCHED", "aggregate=y")</f>
        <v>PUBLIC IMPS. WATER UTILITY IMPS. ELEC. LT. &amp; PWR. IMPTS.</v>
      </c>
      <c r="J2216">
        <f>_xll.BDP("7741323H Muni","CPN")</f>
        <v>3</v>
      </c>
      <c r="K2216" t="str">
        <f>_xll.BDP("7741323H Muni","MATURITY")</f>
        <v>5/1/2025</v>
      </c>
      <c r="L2216">
        <v>660000</v>
      </c>
      <c r="M2216">
        <f>_xll.BDP("7741323H Muni","YIELD_ON_ISSUE_DATE")</f>
        <v>1.85</v>
      </c>
      <c r="N2216">
        <f>_xll.BDP("7741323H Muni","YTW_SPREAD_TO_MATURITY_AT_ISSU")</f>
        <v>5.4098963315134085</v>
      </c>
      <c r="O2216" t="str">
        <f>_xll.BDP("7741323H Muni","BVAL_MID_YTM")</f>
        <v>#N/A Authorization</v>
      </c>
      <c r="P2216" t="str">
        <f>_xll.BDP("7741323H Muni","MUNI_TAX_PROV")</f>
        <v>FED &amp; ST TAX-EXEMPT</v>
      </c>
      <c r="Q2216" t="str">
        <f>_xll.BDP("7741323H Muni","MUNI_FED_TAX")</f>
        <v>N</v>
      </c>
      <c r="R2216" t="str">
        <f>_xll.BDP("7741323H Muni","MUNI_MSRB_VOLUME")</f>
        <v>#N/A N/A</v>
      </c>
      <c r="S2216" t="str">
        <f>_xll.BDP("7741323H Muni","BB_COMPOSITE")</f>
        <v>AA+</v>
      </c>
      <c r="T2216">
        <f>_xll.BDP("7741323H Muni","LQA_LIQUIDITY_SCORE")</f>
        <v>71</v>
      </c>
    </row>
    <row r="2217" spans="1:20" x14ac:dyDescent="0.25">
      <c r="A2217" t="str">
        <f>_xll.BDP("774221EE Muni","ID_CUSIP")</f>
        <v>774221EE1</v>
      </c>
      <c r="B2217" t="s">
        <v>81</v>
      </c>
      <c r="C2217" t="str">
        <f>_xll.BDP("774221EE Muni","INSURANCE_STATUS")</f>
        <v>N</v>
      </c>
      <c r="D2217" t="str">
        <f>_xll.BDP("774221EE Muni","STATE_CODE")</f>
        <v>MD</v>
      </c>
      <c r="E2217" t="str">
        <f>_xll.BDP("774221EE Muni","COUNTY_LOCATION_ISSUER")</f>
        <v>Montgomery, MD</v>
      </c>
      <c r="F2217">
        <f>_xll.BDP("774221EE Muni","DUR_ADJ_MID")</f>
        <v>3.5486148098926065</v>
      </c>
      <c r="G2217">
        <f>_xll.BDP("774221EE Muni","SPREAD_AT_ISSUANCE_TO_WORST")</f>
        <v>6.3936529389027941</v>
      </c>
      <c r="H2217" t="str">
        <f>_xll.BDP("774221EE Muni","ISSUE_DT")</f>
        <v>7/11/2017</v>
      </c>
      <c r="I2217" t="str">
        <f>_xll.BDS("774221EE Muni","MUNI_PURPOSE_SCHED", "aggregate=y")</f>
        <v>WATER UTILITY IMPS. SEWER IMPS. PUBLIC IMPS.</v>
      </c>
      <c r="J2217">
        <f>_xll.BDP("774221EE Muni","CPN")</f>
        <v>4</v>
      </c>
      <c r="K2217" t="str">
        <f>_xll.BDP("774221EE Muni","MATURITY")</f>
        <v>6/1/2026</v>
      </c>
      <c r="L2217">
        <v>505000</v>
      </c>
      <c r="M2217">
        <f>_xll.BDP("774221EE Muni","YIELD_ON_ISSUE_DATE")</f>
        <v>1.81</v>
      </c>
      <c r="N2217">
        <f>_xll.BDP("774221EE Muni","YTW_SPREAD_TO_MATURITY_AT_ISSU")</f>
        <v>6.3936529389027941</v>
      </c>
      <c r="O2217" t="str">
        <f>_xll.BDP("774221EE Muni","BVAL_MID_YTM")</f>
        <v>#N/A Authorization</v>
      </c>
      <c r="P2217" t="str">
        <f>_xll.BDP("774221EE Muni","MUNI_TAX_PROV")</f>
        <v>FED &amp; ST TAX-EXEMPT</v>
      </c>
      <c r="Q2217" t="str">
        <f>_xll.BDP("774221EE Muni","MUNI_FED_TAX")</f>
        <v>N</v>
      </c>
      <c r="R2217" t="str">
        <f>_xll.BDP("774221EE Muni","MUNI_MSRB_VOLUME")</f>
        <v>#N/A N/A</v>
      </c>
      <c r="S2217" t="str">
        <f>_xll.BDP("774221EE Muni","BB_COMPOSITE")</f>
        <v>AAA</v>
      </c>
      <c r="T2217">
        <f>_xll.BDP("774221EE Muni","LQA_LIQUIDITY_SCORE")</f>
        <v>67</v>
      </c>
    </row>
    <row r="2218" spans="1:20" x14ac:dyDescent="0.25">
      <c r="A2218" t="str">
        <f>_xll.BDP("774221EF Muni","ID_CUSIP")</f>
        <v>774221EF8</v>
      </c>
      <c r="B2218" t="s">
        <v>81</v>
      </c>
      <c r="C2218" t="str">
        <f>_xll.BDP("774221EF Muni","INSURANCE_STATUS")</f>
        <v>N</v>
      </c>
      <c r="D2218" t="str">
        <f>_xll.BDP("774221EF Muni","STATE_CODE")</f>
        <v>MD</v>
      </c>
      <c r="E2218" t="str">
        <f>_xll.BDP("774221EF Muni","COUNTY_LOCATION_ISSUER")</f>
        <v>Montgomery, MD</v>
      </c>
      <c r="F2218">
        <f>_xll.BDP("774221EF Muni","DUR_ADJ_MID")</f>
        <v>4.3956593217810456</v>
      </c>
      <c r="G2218">
        <f>_xll.BDP("774221EF Muni","SPREAD_AT_ISSUANCE_TO_WORST")</f>
        <v>4.9938650961050879</v>
      </c>
      <c r="H2218" t="str">
        <f>_xll.BDP("774221EF Muni","ISSUE_DT")</f>
        <v>7/11/2017</v>
      </c>
      <c r="I2218" t="str">
        <f>_xll.BDS("774221EF Muni","MUNI_PURPOSE_SCHED", "aggregate=y")</f>
        <v>WATER UTILITY IMPS. SEWER IMPS. PUBLIC IMPS.</v>
      </c>
      <c r="J2218">
        <f>_xll.BDP("774221EF Muni","CPN")</f>
        <v>4</v>
      </c>
      <c r="K2218" t="str">
        <f>_xll.BDP("774221EF Muni","MATURITY")</f>
        <v>6/1/2027</v>
      </c>
      <c r="L2218">
        <v>505000</v>
      </c>
      <c r="M2218">
        <f>_xll.BDP("774221EF Muni","YIELD_ON_ISSUE_DATE")</f>
        <v>1.9100000000000001</v>
      </c>
      <c r="N2218">
        <f>_xll.BDP("774221EF Muni","YTW_SPREAD_TO_MATURITY_AT_ISSU")</f>
        <v>4.9938650961050879</v>
      </c>
      <c r="O2218" t="str">
        <f>_xll.BDP("774221EF Muni","BVAL_MID_YTM")</f>
        <v>#N/A Authorization</v>
      </c>
      <c r="P2218" t="str">
        <f>_xll.BDP("774221EF Muni","MUNI_TAX_PROV")</f>
        <v>FED &amp; ST TAX-EXEMPT</v>
      </c>
      <c r="Q2218" t="str">
        <f>_xll.BDP("774221EF Muni","MUNI_FED_TAX")</f>
        <v>N</v>
      </c>
      <c r="R2218">
        <f>_xll.BDP("774221EF Muni","MUNI_MSRB_VOLUME")</f>
        <v>20000</v>
      </c>
      <c r="S2218" t="str">
        <f>_xll.BDP("774221EF Muni","BB_COMPOSITE")</f>
        <v>AAA</v>
      </c>
      <c r="T2218">
        <f>_xll.BDP("774221EF Muni","LQA_LIQUIDITY_SCORE")</f>
        <v>61</v>
      </c>
    </row>
    <row r="2219" spans="1:20" x14ac:dyDescent="0.25">
      <c r="A2219" t="str">
        <f>_xll.BDP("951428DB Muni","ID_CUSIP")</f>
        <v>951428DB4</v>
      </c>
      <c r="B2219" t="s">
        <v>139</v>
      </c>
      <c r="C2219" t="str">
        <f>_xll.BDP("951428DB Muni","INSURANCE_STATUS")</f>
        <v>N</v>
      </c>
      <c r="D2219" t="str">
        <f>_xll.BDP("951428DB Muni","STATE_CODE")</f>
        <v>WI</v>
      </c>
      <c r="E2219" t="str">
        <f>_xll.BDP("951428DB Muni","COUNTY_LOCATION_ISSUER")</f>
        <v>Washington, WI</v>
      </c>
      <c r="F2219">
        <f>_xll.BDP("951428DB Muni","DUR_ADJ_MID")</f>
        <v>0.56959186170296161</v>
      </c>
      <c r="G2219">
        <f>_xll.BDP("951428DB Muni","SPREAD_AT_ISSUANCE_TO_WORST")</f>
        <v>24.803863819775309</v>
      </c>
      <c r="H2219" t="str">
        <f>_xll.BDP("951428DB Muni","ISSUE_DT")</f>
        <v>5/11/2017</v>
      </c>
      <c r="I2219" t="str">
        <f>_xll.BDS("951428DB Muni","MUNI_PURPOSE_SCHED", "aggregate=y")</f>
        <v>PUBLIC IMPS. WATER UTILITY IMPS.</v>
      </c>
      <c r="J2219">
        <f>_xll.BDP("951428DB Muni","CPN")</f>
        <v>3</v>
      </c>
      <c r="K2219" t="str">
        <f>_xll.BDP("951428DB Muni","MATURITY")</f>
        <v>3/1/2023</v>
      </c>
      <c r="L2219">
        <v>280000</v>
      </c>
      <c r="M2219">
        <f>_xll.BDP("951428DB Muni","YIELD_ON_ISSUE_DATE")</f>
        <v>1.75</v>
      </c>
      <c r="N2219">
        <f>_xll.BDP("951428DB Muni","YTW_SPREAD_TO_MATURITY_AT_ISSU")</f>
        <v>24.803863819775309</v>
      </c>
      <c r="O2219" t="str">
        <f>_xll.BDP("951428DB Muni","BVAL_MID_YTM")</f>
        <v>#N/A Authorization</v>
      </c>
      <c r="P2219" t="str">
        <f>_xll.BDP("951428DB Muni","MUNI_TAX_PROV")</f>
        <v>FED BQ/ST TAXABLE</v>
      </c>
      <c r="Q2219" t="str">
        <f>_xll.BDP("951428DB Muni","MUNI_FED_TAX")</f>
        <v>N</v>
      </c>
      <c r="R2219" t="str">
        <f>_xll.BDP("951428DB Muni","MUNI_MSRB_VOLUME")</f>
        <v>#N/A N/A</v>
      </c>
      <c r="S2219" t="str">
        <f>_xll.BDP("951428DB Muni","BB_COMPOSITE")</f>
        <v>#N/A N/A</v>
      </c>
      <c r="T2219">
        <f>_xll.BDP("951428DB Muni","LQA_LIQUIDITY_SCORE")</f>
        <v>91</v>
      </c>
    </row>
    <row r="2220" spans="1:20" x14ac:dyDescent="0.25">
      <c r="A2220" t="str">
        <f>_xll.BDP("9525303E Muni","ID_CUSIP")</f>
        <v>9525303E1</v>
      </c>
      <c r="B2220" t="s">
        <v>554</v>
      </c>
      <c r="C2220" t="str">
        <f>_xll.BDP("9525303E Muni","INSURANCE_STATUS")</f>
        <v>N</v>
      </c>
      <c r="D2220" t="str">
        <f>_xll.BDP("9525303E Muni","STATE_CODE")</f>
        <v>IA</v>
      </c>
      <c r="E2220" t="str">
        <f>_xll.BDP("9525303E Muni","COUNTY_LOCATION_ISSUER")</f>
        <v>Polk, IA</v>
      </c>
      <c r="F2220">
        <f>_xll.BDP("9525303E Muni","DUR_ADJ_MID")</f>
        <v>1.7866293199902936</v>
      </c>
      <c r="G2220">
        <f>_xll.BDP("9525303E Muni","SPREAD_AT_ISSUANCE_TO_WORST")</f>
        <v>7.8569912486822435</v>
      </c>
      <c r="H2220" t="str">
        <f>_xll.BDP("9525303E Muni","ISSUE_DT")</f>
        <v>8/22/2017</v>
      </c>
      <c r="I2220" t="str">
        <f>_xll.BDS("9525303E Muni","MUNI_PURPOSE_SCHED", "aggregate=y")</f>
        <v>PUBLIC IMPS. RECREATIONAL FAC. IMPS. WATER UTILITY IMPS.</v>
      </c>
      <c r="J2220">
        <f>_xll.BDP("9525303E Muni","CPN")</f>
        <v>2</v>
      </c>
      <c r="K2220" t="str">
        <f>_xll.BDP("9525303E Muni","MATURITY")</f>
        <v>6/1/2024</v>
      </c>
      <c r="L2220">
        <v>480000</v>
      </c>
      <c r="M2220">
        <f>_xll.BDP("9525303E Muni","YIELD_ON_ISSUE_DATE")</f>
        <v>1.56</v>
      </c>
      <c r="N2220">
        <f>_xll.BDP("9525303E Muni","YTW_SPREAD_TO_MATURITY_AT_ISSU")</f>
        <v>7.8569912486822435</v>
      </c>
      <c r="O2220" t="str">
        <f>_xll.BDP("9525303E Muni","BVAL_MID_YTM")</f>
        <v>#N/A Authorization</v>
      </c>
      <c r="P2220" t="str">
        <f>_xll.BDP("9525303E Muni","MUNI_TAX_PROV")</f>
        <v>FED TAX-EXEMPT/ST TAXABLE</v>
      </c>
      <c r="Q2220" t="str">
        <f>_xll.BDP("9525303E Muni","MUNI_FED_TAX")</f>
        <v>N</v>
      </c>
      <c r="R2220" t="str">
        <f>_xll.BDP("9525303E Muni","MUNI_MSRB_VOLUME")</f>
        <v>#N/A N/A</v>
      </c>
      <c r="S2220" t="str">
        <f>_xll.BDP("9525303E Muni","BB_COMPOSITE")</f>
        <v>#N/A N/A</v>
      </c>
      <c r="T2220">
        <f>_xll.BDP("9525303E Muni","LQA_LIQUIDITY_SCORE")</f>
        <v>65</v>
      </c>
    </row>
    <row r="2221" spans="1:20" x14ac:dyDescent="0.25">
      <c r="A2221" t="str">
        <f>_xll.BDP("9525303F Muni","ID_CUSIP")</f>
        <v>9525303F8</v>
      </c>
      <c r="B2221" t="s">
        <v>554</v>
      </c>
      <c r="C2221" t="str">
        <f>_xll.BDP("9525303F Muni","INSURANCE_STATUS")</f>
        <v>N</v>
      </c>
      <c r="D2221" t="str">
        <f>_xll.BDP("9525303F Muni","STATE_CODE")</f>
        <v>IA</v>
      </c>
      <c r="E2221" t="str">
        <f>_xll.BDP("9525303F Muni","COUNTY_LOCATION_ISSUER")</f>
        <v>Polk, IA</v>
      </c>
      <c r="F2221">
        <f>_xll.BDP("9525303F Muni","DUR_ADJ_MID")</f>
        <v>2.7338340201118063</v>
      </c>
      <c r="G2221">
        <f>_xll.BDP("9525303F Muni","SPREAD_AT_ISSUANCE_TO_WORST")</f>
        <v>10.167615126280261</v>
      </c>
      <c r="H2221" t="str">
        <f>_xll.BDP("9525303F Muni","ISSUE_DT")</f>
        <v>8/22/2017</v>
      </c>
      <c r="I2221" t="str">
        <f>_xll.BDS("9525303F Muni","MUNI_PURPOSE_SCHED", "aggregate=y")</f>
        <v>PUBLIC IMPS. RECREATIONAL FAC. IMPS. WATER UTILITY IMPS.</v>
      </c>
      <c r="J2221">
        <f>_xll.BDP("9525303F Muni","CPN")</f>
        <v>2</v>
      </c>
      <c r="K2221" t="str">
        <f>_xll.BDP("9525303F Muni","MATURITY")</f>
        <v>6/1/2025</v>
      </c>
      <c r="L2221">
        <v>490000</v>
      </c>
      <c r="M2221">
        <f>_xll.BDP("9525303F Muni","YIELD_ON_ISSUE_DATE")</f>
        <v>1.73</v>
      </c>
      <c r="N2221">
        <f>_xll.BDP("9525303F Muni","YTW_SPREAD_TO_MATURITY_AT_ISSU")</f>
        <v>10.167615126280261</v>
      </c>
      <c r="O2221" t="str">
        <f>_xll.BDP("9525303F Muni","BVAL_MID_YTM")</f>
        <v>#N/A Authorization</v>
      </c>
      <c r="P2221" t="str">
        <f>_xll.BDP("9525303F Muni","MUNI_TAX_PROV")</f>
        <v>FED TAX-EXEMPT/ST TAXABLE</v>
      </c>
      <c r="Q2221" t="str">
        <f>_xll.BDP("9525303F Muni","MUNI_FED_TAX")</f>
        <v>N</v>
      </c>
      <c r="R2221">
        <f>_xll.BDP("9525303F Muni","MUNI_MSRB_VOLUME")</f>
        <v>100000</v>
      </c>
      <c r="S2221" t="str">
        <f>_xll.BDP("9525303F Muni","BB_COMPOSITE")</f>
        <v>#N/A N/A</v>
      </c>
      <c r="T2221">
        <f>_xll.BDP("9525303F Muni","LQA_LIQUIDITY_SCORE")</f>
        <v>51</v>
      </c>
    </row>
    <row r="2222" spans="1:20" x14ac:dyDescent="0.25">
      <c r="A2222" t="str">
        <f>_xll.BDP("953079FT Muni","ID_CUSIP")</f>
        <v>953079FT2</v>
      </c>
      <c r="B2222" t="s">
        <v>555</v>
      </c>
      <c r="C2222" t="str">
        <f>_xll.BDP("953079FT Muni","INSURANCE_STATUS")</f>
        <v>Y</v>
      </c>
      <c r="D2222" t="str">
        <f>_xll.BDP("953079FT Muni","STATE_CODE")</f>
        <v>TX</v>
      </c>
      <c r="E2222" t="str">
        <f>_xll.BDP("953079FT Muni","COUNTY_LOCATION_ISSUER")</f>
        <v>Harris, TX</v>
      </c>
      <c r="F2222">
        <f>_xll.BDP("953079FT Muni","DUR_ADJ_MID")</f>
        <v>2.8593471766432841</v>
      </c>
      <c r="G2222">
        <f>_xll.BDP("953079FT Muni","SPREAD_AT_ISSUANCE_TO_WORST")</f>
        <v>23.507951147652626</v>
      </c>
      <c r="H2222" t="str">
        <f>_xll.BDP("953079FT Muni","ISSUE_DT")</f>
        <v>3/1/2017</v>
      </c>
      <c r="I2222" t="str">
        <f>_xll.BDS("953079FT Muni","MUNI_PURPOSE_SCHED", "aggregate=y")</f>
        <v>PUBLIC IMPS. WATER UTILITY IMPS. SEWER IMPS.</v>
      </c>
      <c r="J2222">
        <f>_xll.BDP("953079FT Muni","CPN")</f>
        <v>3</v>
      </c>
      <c r="K2222" t="str">
        <f>_xll.BDP("953079FT Muni","MATURITY")</f>
        <v>8/1/2025</v>
      </c>
      <c r="L2222">
        <v>230000</v>
      </c>
      <c r="M2222">
        <f>_xll.BDP("953079FT Muni","YIELD_ON_ISSUE_DATE")</f>
        <v>2.4000000000000004</v>
      </c>
      <c r="N2222">
        <f>_xll.BDP("953079FT Muni","YTW_SPREAD_TO_MATURITY_AT_ISSU")</f>
        <v>23.507951147652626</v>
      </c>
      <c r="O2222" t="str">
        <f>_xll.BDP("953079FT Muni","BVAL_MID_YTM")</f>
        <v>#N/A Authorization</v>
      </c>
      <c r="P2222" t="str">
        <f>_xll.BDP("953079FT Muni","MUNI_TAX_PROV")</f>
        <v>FED BQ</v>
      </c>
      <c r="Q2222" t="str">
        <f>_xll.BDP("953079FT Muni","MUNI_FED_TAX")</f>
        <v>N</v>
      </c>
      <c r="R2222" t="str">
        <f>_xll.BDP("953079FT Muni","MUNI_MSRB_VOLUME")</f>
        <v>#N/A N/A</v>
      </c>
      <c r="S2222" t="str">
        <f>_xll.BDP("953079FT Muni","BB_COMPOSITE")</f>
        <v>#N/A N/A</v>
      </c>
      <c r="T2222">
        <f>_xll.BDP("953079FT Muni","LQA_LIQUIDITY_SCORE")</f>
        <v>57</v>
      </c>
    </row>
    <row r="2223" spans="1:20" x14ac:dyDescent="0.25">
      <c r="A2223" t="str">
        <f>_xll.BDP("95308HBY Muni","ID_CUSIP")</f>
        <v>95308HBY6</v>
      </c>
      <c r="B2223" t="s">
        <v>557</v>
      </c>
      <c r="C2223" t="str">
        <f>_xll.BDP("95308HBY Muni","INSURANCE_STATUS")</f>
        <v>Y</v>
      </c>
      <c r="D2223" t="str">
        <f>_xll.BDP("95308HBY Muni","STATE_CODE")</f>
        <v>TX</v>
      </c>
      <c r="E2223" t="str">
        <f>_xll.BDP("95308HBY Muni","COUNTY_LOCATION_ISSUER")</f>
        <v>Harris, TX</v>
      </c>
      <c r="F2223">
        <f>_xll.BDP("95308HBY Muni","DUR_ADJ_MID")</f>
        <v>0.57155694697064408</v>
      </c>
      <c r="G2223">
        <f>_xll.BDP("95308HBY Muni","SPREAD_AT_ISSUANCE_TO_WORST")</f>
        <v>48.912911263959955</v>
      </c>
      <c r="H2223" t="str">
        <f>_xll.BDP("95308HBY Muni","ISSUE_DT")</f>
        <v>9/1/2017</v>
      </c>
      <c r="I2223" t="str">
        <f>_xll.BDS("95308HBY Muni","MUNI_PURPOSE_SCHED", "aggregate=y")</f>
        <v>WATER UTILITY IMPS. SEWER IMPS. PROPERTY ACQUISITION</v>
      </c>
      <c r="J2223">
        <f>_xll.BDP("95308HBY Muni","CPN")</f>
        <v>2</v>
      </c>
      <c r="K2223" t="str">
        <f>_xll.BDP("95308HBY Muni","MATURITY")</f>
        <v>3/1/2023</v>
      </c>
      <c r="L2223">
        <v>700000</v>
      </c>
      <c r="M2223">
        <f>_xll.BDP("95308HBY Muni","YIELD_ON_ISSUE_DATE")</f>
        <v>1.7000000000000002</v>
      </c>
      <c r="N2223">
        <f>_xll.BDP("95308HBY Muni","YTW_SPREAD_TO_MATURITY_AT_ISSU")</f>
        <v>48.912911263959955</v>
      </c>
      <c r="O2223" t="str">
        <f>_xll.BDP("95308HBY Muni","BVAL_MID_YTM")</f>
        <v>#N/A Authorization</v>
      </c>
      <c r="P2223" t="str">
        <f>_xll.BDP("95308HBY Muni","MUNI_TAX_PROV")</f>
        <v>FED BQ</v>
      </c>
      <c r="Q2223" t="str">
        <f>_xll.BDP("95308HBY Muni","MUNI_FED_TAX")</f>
        <v>N</v>
      </c>
      <c r="R2223" t="str">
        <f>_xll.BDP("95308HBY Muni","MUNI_MSRB_VOLUME")</f>
        <v>#N/A N/A</v>
      </c>
      <c r="S2223" t="str">
        <f>_xll.BDP("95308HBY Muni","BB_COMPOSITE")</f>
        <v>A+</v>
      </c>
      <c r="T2223">
        <f>_xll.BDP("95308HBY Muni","LQA_LIQUIDITY_SCORE")</f>
        <v>94</v>
      </c>
    </row>
    <row r="2224" spans="1:20" x14ac:dyDescent="0.25">
      <c r="A2224" t="str">
        <f>_xll.BDP("95308HBZ Muni","ID_CUSIP")</f>
        <v>95308HBZ3</v>
      </c>
      <c r="B2224" t="s">
        <v>557</v>
      </c>
      <c r="C2224" t="str">
        <f>_xll.BDP("95308HBZ Muni","INSURANCE_STATUS")</f>
        <v>Y</v>
      </c>
      <c r="D2224" t="str">
        <f>_xll.BDP("95308HBZ Muni","STATE_CODE")</f>
        <v>TX</v>
      </c>
      <c r="E2224" t="str">
        <f>_xll.BDP("95308HBZ Muni","COUNTY_LOCATION_ISSUER")</f>
        <v>Harris, TX</v>
      </c>
      <c r="F2224">
        <f>_xll.BDP("95308HBZ Muni","DUR_ADJ_MID")</f>
        <v>1.5361348320658221</v>
      </c>
      <c r="G2224">
        <f>_xll.BDP("95308HBZ Muni","SPREAD_AT_ISSUANCE_TO_WORST")</f>
        <v>48.70194677031985</v>
      </c>
      <c r="H2224" t="str">
        <f>_xll.BDP("95308HBZ Muni","ISSUE_DT")</f>
        <v>9/1/2017</v>
      </c>
      <c r="I2224" t="str">
        <f>_xll.BDS("95308HBZ Muni","MUNI_PURPOSE_SCHED", "aggregate=y")</f>
        <v>WATER UTILITY IMPS. SEWER IMPS. PROPERTY ACQUISITION</v>
      </c>
      <c r="J2224">
        <f>_xll.BDP("95308HBZ Muni","CPN")</f>
        <v>2</v>
      </c>
      <c r="K2224" t="str">
        <f>_xll.BDP("95308HBZ Muni","MATURITY")</f>
        <v>3/1/2024</v>
      </c>
      <c r="L2224">
        <v>600000</v>
      </c>
      <c r="M2224">
        <f>_xll.BDP("95308HBZ Muni","YIELD_ON_ISSUE_DATE")</f>
        <v>1.85</v>
      </c>
      <c r="N2224">
        <f>_xll.BDP("95308HBZ Muni","YTW_SPREAD_TO_MATURITY_AT_ISSU")</f>
        <v>48.70194677031985</v>
      </c>
      <c r="O2224" t="str">
        <f>_xll.BDP("95308HBZ Muni","BVAL_MID_YTM")</f>
        <v>#N/A Authorization</v>
      </c>
      <c r="P2224" t="str">
        <f>_xll.BDP("95308HBZ Muni","MUNI_TAX_PROV")</f>
        <v>FED BQ</v>
      </c>
      <c r="Q2224" t="str">
        <f>_xll.BDP("95308HBZ Muni","MUNI_FED_TAX")</f>
        <v>N</v>
      </c>
      <c r="R2224" t="str">
        <f>_xll.BDP("95308HBZ Muni","MUNI_MSRB_VOLUME")</f>
        <v>#N/A N/A</v>
      </c>
      <c r="S2224" t="str">
        <f>_xll.BDP("95308HBZ Muni","BB_COMPOSITE")</f>
        <v>A+</v>
      </c>
      <c r="T2224">
        <f>_xll.BDP("95308HBZ Muni","LQA_LIQUIDITY_SCORE")</f>
        <v>78</v>
      </c>
    </row>
    <row r="2225" spans="1:20" x14ac:dyDescent="0.25">
      <c r="A2225" t="str">
        <f>_xll.BDP("880162EQ Muni","ID_CUSIP")</f>
        <v>880162EQ1</v>
      </c>
      <c r="B2225" t="s">
        <v>72</v>
      </c>
      <c r="C2225" t="str">
        <f>_xll.BDP("880162EQ Muni","INSURANCE_STATUS")</f>
        <v>N</v>
      </c>
      <c r="D2225" t="str">
        <f>_xll.BDP("880162EQ Muni","STATE_CODE")</f>
        <v>TX</v>
      </c>
      <c r="E2225" t="str">
        <f>_xll.BDP("880162EQ Muni","COUNTY_LOCATION_ISSUER")</f>
        <v>Bell, TX</v>
      </c>
      <c r="F2225">
        <f>_xll.BDP("880162EQ Muni","DUR_ADJ_MID")</f>
        <v>5.5553020180521178E-3</v>
      </c>
      <c r="G2225">
        <f>_xll.BDP("880162EQ Muni","SPREAD_AT_ISSUANCE_TO_WORST")</f>
        <v>18.933419839039111</v>
      </c>
      <c r="H2225" t="str">
        <f>_xll.BDP("880162EQ Muni","ISSUE_DT")</f>
        <v>9/12/2017</v>
      </c>
      <c r="I2225" t="str">
        <f>_xll.BDS("880162EQ Muni","MUNI_PURPOSE_SCHED", "aggregate=y")</f>
        <v>WATER UTILITY IMPS. SEWER IMPS.</v>
      </c>
      <c r="J2225">
        <f>_xll.BDP("880162EQ Muni","CPN")</f>
        <v>5</v>
      </c>
      <c r="K2225" t="str">
        <f>_xll.BDP("880162EQ Muni","MATURITY")</f>
        <v>8/1/2022</v>
      </c>
      <c r="L2225">
        <v>1255000</v>
      </c>
      <c r="M2225">
        <f>_xll.BDP("880162EQ Muni","YIELD_ON_ISSUE_DATE")</f>
        <v>1.32</v>
      </c>
      <c r="N2225">
        <f>_xll.BDP("880162EQ Muni","YTW_SPREAD_TO_MATURITY_AT_ISSU")</f>
        <v>18.933419839039111</v>
      </c>
      <c r="O2225" t="str">
        <f>_xll.BDP("880162EQ Muni","BVAL_MID_YTM")</f>
        <v>#N/A Authorization</v>
      </c>
      <c r="P2225" t="str">
        <f>_xll.BDP("880162EQ Muni","MUNI_TAX_PROV")</f>
        <v>FED TAX-EXEMPT</v>
      </c>
      <c r="Q2225" t="str">
        <f>_xll.BDP("880162EQ Muni","MUNI_FED_TAX")</f>
        <v>N</v>
      </c>
      <c r="R2225">
        <f>_xll.BDP("880162EQ Muni","MUNI_MSRB_VOLUME")</f>
        <v>100000</v>
      </c>
      <c r="S2225" t="str">
        <f>_xll.BDP("880162EQ Muni","BB_COMPOSITE")</f>
        <v>#N/A N/A</v>
      </c>
      <c r="T2225">
        <f>_xll.BDP("880162EQ Muni","LQA_LIQUIDITY_SCORE")</f>
        <v>98</v>
      </c>
    </row>
    <row r="2226" spans="1:20" x14ac:dyDescent="0.25">
      <c r="A2226" t="str">
        <f>_xll.BDP("880162ET Muni","ID_CUSIP")</f>
        <v>880162ET5</v>
      </c>
      <c r="B2226" t="s">
        <v>72</v>
      </c>
      <c r="C2226" t="str">
        <f>_xll.BDP("880162ET Muni","INSURANCE_STATUS")</f>
        <v>N</v>
      </c>
      <c r="D2226" t="str">
        <f>_xll.BDP("880162ET Muni","STATE_CODE")</f>
        <v>TX</v>
      </c>
      <c r="E2226" t="str">
        <f>_xll.BDP("880162ET Muni","COUNTY_LOCATION_ISSUER")</f>
        <v>Bell, TX</v>
      </c>
      <c r="F2226">
        <f>_xll.BDP("880162ET Muni","DUR_ADJ_MID")</f>
        <v>2.8052115024689259</v>
      </c>
      <c r="G2226">
        <f>_xll.BDP("880162ET Muni","SPREAD_AT_ISSUANCE_TO_WORST")</f>
        <v>26.270585158091642</v>
      </c>
      <c r="H2226" t="str">
        <f>_xll.BDP("880162ET Muni","ISSUE_DT")</f>
        <v>9/12/2017</v>
      </c>
      <c r="I2226" t="str">
        <f>_xll.BDS("880162ET Muni","MUNI_PURPOSE_SCHED", "aggregate=y")</f>
        <v>WATER UTILITY IMPS. SEWER IMPS.</v>
      </c>
      <c r="J2226">
        <f>_xll.BDP("880162ET Muni","CPN")</f>
        <v>5</v>
      </c>
      <c r="K2226" t="str">
        <f>_xll.BDP("880162ET Muni","MATURITY")</f>
        <v>8/1/2025</v>
      </c>
      <c r="L2226">
        <v>1455000</v>
      </c>
      <c r="M2226">
        <f>_xll.BDP("880162ET Muni","YIELD_ON_ISSUE_DATE")</f>
        <v>1.85</v>
      </c>
      <c r="N2226">
        <f>_xll.BDP("880162ET Muni","YTW_SPREAD_TO_MATURITY_AT_ISSU")</f>
        <v>26.270585158091642</v>
      </c>
      <c r="O2226" t="str">
        <f>_xll.BDP("880162ET Muni","BVAL_MID_YTM")</f>
        <v>#N/A Authorization</v>
      </c>
      <c r="P2226" t="str">
        <f>_xll.BDP("880162ET Muni","MUNI_TAX_PROV")</f>
        <v>FED TAX-EXEMPT</v>
      </c>
      <c r="Q2226" t="str">
        <f>_xll.BDP("880162ET Muni","MUNI_FED_TAX")</f>
        <v>N</v>
      </c>
      <c r="R2226" t="str">
        <f>_xll.BDP("880162ET Muni","MUNI_MSRB_VOLUME")</f>
        <v>#N/A N/A</v>
      </c>
      <c r="S2226" t="str">
        <f>_xll.BDP("880162ET Muni","BB_COMPOSITE")</f>
        <v>#N/A N/A</v>
      </c>
      <c r="T2226">
        <f>_xll.BDP("880162ET Muni","LQA_LIQUIDITY_SCORE")</f>
        <v>76</v>
      </c>
    </row>
    <row r="2227" spans="1:20" x14ac:dyDescent="0.25">
      <c r="A2227" t="str">
        <f>_xll.BDP("802629AD Muni","ID_CUSIP")</f>
        <v>802629AD7</v>
      </c>
      <c r="B2227" t="s">
        <v>171</v>
      </c>
      <c r="C2227" t="str">
        <f>_xll.BDP("802629AD Muni","INSURANCE_STATUS")</f>
        <v>N</v>
      </c>
      <c r="D2227" t="str">
        <f>_xll.BDP("802629AD Muni","STATE_CODE")</f>
        <v>CA</v>
      </c>
      <c r="E2227" t="str">
        <f>_xll.BDP("802629AD Muni","COUNTY_LOCATION_ISSUER")</f>
        <v>#N/A Field Not Applicable</v>
      </c>
      <c r="F2227">
        <f>_xll.BDP("802629AD Muni","DUR_ADJ_MID")</f>
        <v>5.554049985052472E-3</v>
      </c>
      <c r="G2227">
        <f>_xll.BDP("802629AD Muni","SPREAD_AT_ISSUANCE_TO_WORST")</f>
        <v>-3.0828755165940525</v>
      </c>
      <c r="H2227" t="str">
        <f>_xll.BDP("802629AD Muni","ISSUE_DT")</f>
        <v>8/24/2017</v>
      </c>
      <c r="I2227" t="str">
        <f>_xll.BDS("802629AD Muni","MUNI_PURPOSE_SCHED", "aggregate=y")</f>
        <v>WATER UTILITY IMPS. SEWER IMPS.</v>
      </c>
      <c r="J2227">
        <f>_xll.BDP("802629AD Muni","CPN")</f>
        <v>5</v>
      </c>
      <c r="K2227" t="str">
        <f>_xll.BDP("802629AD Muni","MATURITY")</f>
        <v>8/1/2022</v>
      </c>
      <c r="L2227">
        <v>730000</v>
      </c>
      <c r="M2227">
        <f>_xll.BDP("802629AD Muni","YIELD_ON_ISSUE_DATE")</f>
        <v>1.19</v>
      </c>
      <c r="N2227">
        <f>_xll.BDP("802629AD Muni","YTW_SPREAD_TO_MATURITY_AT_ISSU")</f>
        <v>-3.0828755165940525</v>
      </c>
      <c r="O2227" t="str">
        <f>_xll.BDP("802629AD Muni","BVAL_MID_YTM")</f>
        <v>#N/A Authorization</v>
      </c>
      <c r="P2227" t="str">
        <f>_xll.BDP("802629AD Muni","MUNI_TAX_PROV")</f>
        <v>FED &amp; ST TAX-EXEMPT</v>
      </c>
      <c r="Q2227" t="str">
        <f>_xll.BDP("802629AD Muni","MUNI_FED_TAX")</f>
        <v>N</v>
      </c>
      <c r="R2227">
        <f>_xll.BDP("802629AD Muni","MUNI_MSRB_VOLUME")</f>
        <v>100000</v>
      </c>
      <c r="S2227" t="str">
        <f>_xll.BDP("802629AD Muni","BB_COMPOSITE")</f>
        <v>AA</v>
      </c>
      <c r="T2227">
        <f>_xll.BDP("802629AD Muni","LQA_LIQUIDITY_SCORE")</f>
        <v>95</v>
      </c>
    </row>
    <row r="2228" spans="1:20" x14ac:dyDescent="0.25">
      <c r="A2228" t="str">
        <f>_xll.BDP("802629AF Muni","ID_CUSIP")</f>
        <v>802629AF2</v>
      </c>
      <c r="B2228" t="s">
        <v>171</v>
      </c>
      <c r="C2228" t="str">
        <f>_xll.BDP("802629AF Muni","INSURANCE_STATUS")</f>
        <v>N</v>
      </c>
      <c r="D2228" t="str">
        <f>_xll.BDP("802629AF Muni","STATE_CODE")</f>
        <v>CA</v>
      </c>
      <c r="E2228" t="str">
        <f>_xll.BDP("802629AF Muni","COUNTY_LOCATION_ISSUER")</f>
        <v>#N/A Field Not Applicable</v>
      </c>
      <c r="F2228">
        <f>_xll.BDP("802629AF Muni","DUR_ADJ_MID")</f>
        <v>1.9122620587686521</v>
      </c>
      <c r="G2228">
        <f>_xll.BDP("802629AF Muni","SPREAD_AT_ISSUANCE_TO_WORST")</f>
        <v>0.52342537724485716</v>
      </c>
      <c r="H2228" t="str">
        <f>_xll.BDP("802629AF Muni","ISSUE_DT")</f>
        <v>8/24/2017</v>
      </c>
      <c r="I2228" t="str">
        <f>_xll.BDS("802629AF Muni","MUNI_PURPOSE_SCHED", "aggregate=y")</f>
        <v>WATER UTILITY IMPS. SEWER IMPS.</v>
      </c>
      <c r="J2228">
        <f>_xll.BDP("802629AF Muni","CPN")</f>
        <v>5</v>
      </c>
      <c r="K2228" t="str">
        <f>_xll.BDP("802629AF Muni","MATURITY")</f>
        <v>8/1/2024</v>
      </c>
      <c r="L2228">
        <v>765000</v>
      </c>
      <c r="M2228">
        <f>_xll.BDP("802629AF Muni","YIELD_ON_ISSUE_DATE")</f>
        <v>1.52</v>
      </c>
      <c r="N2228">
        <f>_xll.BDP("802629AF Muni","YTW_SPREAD_TO_MATURITY_AT_ISSU")</f>
        <v>0.52342537724485716</v>
      </c>
      <c r="O2228" t="str">
        <f>_xll.BDP("802629AF Muni","BVAL_MID_YTM")</f>
        <v>#N/A Authorization</v>
      </c>
      <c r="P2228" t="str">
        <f>_xll.BDP("802629AF Muni","MUNI_TAX_PROV")</f>
        <v>FED &amp; ST TAX-EXEMPT</v>
      </c>
      <c r="Q2228" t="str">
        <f>_xll.BDP("802629AF Muni","MUNI_FED_TAX")</f>
        <v>N</v>
      </c>
      <c r="R2228" t="str">
        <f>_xll.BDP("802629AF Muni","MUNI_MSRB_VOLUME")</f>
        <v>#N/A N/A</v>
      </c>
      <c r="S2228" t="str">
        <f>_xll.BDP("802629AF Muni","BB_COMPOSITE")</f>
        <v>AA</v>
      </c>
      <c r="T2228">
        <f>_xll.BDP("802629AF Muni","LQA_LIQUIDITY_SCORE")</f>
        <v>81</v>
      </c>
    </row>
    <row r="2229" spans="1:20" x14ac:dyDescent="0.25">
      <c r="A2229" t="str">
        <f>_xll.BDP("8800642D Muni","ID_CUSIP")</f>
        <v>8800642D1</v>
      </c>
      <c r="B2229" t="s">
        <v>64</v>
      </c>
      <c r="C2229" t="str">
        <f>_xll.BDP("8800642D Muni","INSURANCE_STATUS")</f>
        <v>N</v>
      </c>
      <c r="D2229" t="str">
        <f>_xll.BDP("8800642D Muni","STATE_CODE")</f>
        <v>TX</v>
      </c>
      <c r="E2229" t="str">
        <f>_xll.BDP("8800642D Muni","COUNTY_LOCATION_ISSUER")</f>
        <v>Bell, TX</v>
      </c>
      <c r="F2229">
        <f>_xll.BDP("8800642D Muni","DUR_ADJ_MID")</f>
        <v>0.9781058917567319</v>
      </c>
      <c r="G2229">
        <f>_xll.BDP("8800642D Muni","SPREAD_AT_ISSUANCE_TO_WORST")</f>
        <v>15.312134246575337</v>
      </c>
      <c r="H2229" t="str">
        <f>_xll.BDP("8800642D Muni","ISSUE_DT")</f>
        <v>11/8/2017</v>
      </c>
      <c r="I2229" t="str">
        <f>_xll.BDS("8800642D Muni","MUNI_PURPOSE_SCHED", "aggregate=y")</f>
        <v>PUBLIC IMPS. WATER UTILITY IMPS. SEWER IMPS.</v>
      </c>
      <c r="J2229">
        <f>_xll.BDP("8800642D Muni","CPN")</f>
        <v>5</v>
      </c>
      <c r="K2229" t="str">
        <f>_xll.BDP("8800642D Muni","MATURITY")</f>
        <v>8/1/2023</v>
      </c>
      <c r="L2229">
        <v>770000</v>
      </c>
      <c r="M2229">
        <f>_xll.BDP("8800642D Muni","YIELD_ON_ISSUE_DATE")</f>
        <v>1.6</v>
      </c>
      <c r="N2229">
        <f>_xll.BDP("8800642D Muni","YTW_SPREAD_TO_MATURITY_AT_ISSU")</f>
        <v>15.312134246575337</v>
      </c>
      <c r="O2229" t="str">
        <f>_xll.BDP("8800642D Muni","BVAL_MID_YTM")</f>
        <v>#N/A Authorization</v>
      </c>
      <c r="P2229" t="str">
        <f>_xll.BDP("8800642D Muni","MUNI_TAX_PROV")</f>
        <v>FED TAX-EXEMPT</v>
      </c>
      <c r="Q2229" t="str">
        <f>_xll.BDP("8800642D Muni","MUNI_FED_TAX")</f>
        <v>N</v>
      </c>
      <c r="R2229">
        <f>_xll.BDP("8800642D Muni","MUNI_MSRB_VOLUME")</f>
        <v>50000</v>
      </c>
      <c r="S2229" t="str">
        <f>_xll.BDP("8800642D Muni","BB_COMPOSITE")</f>
        <v>#N/A N/A</v>
      </c>
      <c r="T2229">
        <f>_xll.BDP("8800642D Muni","LQA_LIQUIDITY_SCORE")</f>
        <v>89</v>
      </c>
    </row>
    <row r="2230" spans="1:20" x14ac:dyDescent="0.25">
      <c r="A2230" t="str">
        <f>_xll.BDP("880162ER Muni","ID_CUSIP")</f>
        <v>880162ER9</v>
      </c>
      <c r="B2230" t="s">
        <v>72</v>
      </c>
      <c r="C2230" t="str">
        <f>_xll.BDP("880162ER Muni","INSURANCE_STATUS")</f>
        <v>N</v>
      </c>
      <c r="D2230" t="str">
        <f>_xll.BDP("880162ER Muni","STATE_CODE")</f>
        <v>TX</v>
      </c>
      <c r="E2230" t="str">
        <f>_xll.BDP("880162ER Muni","COUNTY_LOCATION_ISSUER")</f>
        <v>Bell, TX</v>
      </c>
      <c r="F2230">
        <f>_xll.BDP("880162ER Muni","DUR_ADJ_MID")</f>
        <v>0.97838438881702516</v>
      </c>
      <c r="G2230">
        <f>_xll.BDP("880162ER Muni","SPREAD_AT_ISSUANCE_TO_WORST")</f>
        <v>19.988853605729417</v>
      </c>
      <c r="H2230" t="str">
        <f>_xll.BDP("880162ER Muni","ISSUE_DT")</f>
        <v>9/12/2017</v>
      </c>
      <c r="I2230" t="str">
        <f>_xll.BDS("880162ER Muni","MUNI_PURPOSE_SCHED", "aggregate=y")</f>
        <v>WATER UTILITY IMPS. SEWER IMPS.</v>
      </c>
      <c r="J2230">
        <f>_xll.BDP("880162ER Muni","CPN")</f>
        <v>5</v>
      </c>
      <c r="K2230" t="str">
        <f>_xll.BDP("880162ER Muni","MATURITY")</f>
        <v>8/1/2023</v>
      </c>
      <c r="L2230">
        <v>1320000</v>
      </c>
      <c r="M2230">
        <f>_xll.BDP("880162ER Muni","YIELD_ON_ISSUE_DATE")</f>
        <v>1.48</v>
      </c>
      <c r="N2230">
        <f>_xll.BDP("880162ER Muni","YTW_SPREAD_TO_MATURITY_AT_ISSU")</f>
        <v>19.988853605729417</v>
      </c>
      <c r="O2230" t="str">
        <f>_xll.BDP("880162ER Muni","BVAL_MID_YTM")</f>
        <v>#N/A Authorization</v>
      </c>
      <c r="P2230" t="str">
        <f>_xll.BDP("880162ER Muni","MUNI_TAX_PROV")</f>
        <v>FED TAX-EXEMPT</v>
      </c>
      <c r="Q2230" t="str">
        <f>_xll.BDP("880162ER Muni","MUNI_FED_TAX")</f>
        <v>N</v>
      </c>
      <c r="R2230" t="str">
        <f>_xll.BDP("880162ER Muni","MUNI_MSRB_VOLUME")</f>
        <v>#N/A N/A</v>
      </c>
      <c r="S2230" t="str">
        <f>_xll.BDP("880162ER Muni","BB_COMPOSITE")</f>
        <v>#N/A N/A</v>
      </c>
      <c r="T2230">
        <f>_xll.BDP("880162ER Muni","LQA_LIQUIDITY_SCORE")</f>
        <v>89</v>
      </c>
    </row>
    <row r="2231" spans="1:20" x14ac:dyDescent="0.25">
      <c r="A2231" t="str">
        <f>_xll.BDP("801889PX Muni","ID_CUSIP")</f>
        <v>801889PX8</v>
      </c>
      <c r="B2231" t="s">
        <v>127</v>
      </c>
      <c r="C2231" t="str">
        <f>_xll.BDP("801889PX Muni","INSURANCE_STATUS")</f>
        <v>N</v>
      </c>
      <c r="D2231" t="str">
        <f>_xll.BDP("801889PX Muni","STATE_CODE")</f>
        <v>NM</v>
      </c>
      <c r="E2231" t="str">
        <f>_xll.BDP("801889PX Muni","COUNTY_LOCATION_ISSUER")</f>
        <v>Santa Fe, NM</v>
      </c>
      <c r="F2231">
        <f>_xll.BDP("801889PX Muni","DUR_ADJ_MID")</f>
        <v>1.8307116661319192</v>
      </c>
      <c r="G2231">
        <f>_xll.BDP("801889PX Muni","SPREAD_AT_ISSUANCE_TO_WORST")</f>
        <v>9.2496485489693026</v>
      </c>
      <c r="H2231" t="str">
        <f>_xll.BDP("801889PX Muni","ISSUE_DT")</f>
        <v>9/12/2017</v>
      </c>
      <c r="I2231" t="str">
        <f>_xll.BDS("801889PX Muni","MUNI_PURPOSE_SCHED", "aggregate=y")</f>
        <v>PUBLIC IMPS. WATER UTILITY IMPS. ADVANCE REFUNDING</v>
      </c>
      <c r="J2231">
        <f>_xll.BDP("801889PX Muni","CPN")</f>
        <v>5</v>
      </c>
      <c r="K2231" t="str">
        <f>_xll.BDP("801889PX Muni","MATURITY")</f>
        <v>7/1/2024</v>
      </c>
      <c r="L2231">
        <v>1655000</v>
      </c>
      <c r="M2231">
        <f>_xll.BDP("801889PX Muni","YIELD_ON_ISSUE_DATE")</f>
        <v>1.54</v>
      </c>
      <c r="N2231">
        <f>_xll.BDP("801889PX Muni","YTW_SPREAD_TO_MATURITY_AT_ISSU")</f>
        <v>9.2496485489693026</v>
      </c>
      <c r="O2231" t="str">
        <f>_xll.BDP("801889PX Muni","BVAL_MID_YTM")</f>
        <v>#N/A Authorization</v>
      </c>
      <c r="P2231" t="str">
        <f>_xll.BDP("801889PX Muni","MUNI_TAX_PROV")</f>
        <v>FED &amp; ST TAX-EXEMPT</v>
      </c>
      <c r="Q2231" t="str">
        <f>_xll.BDP("801889PX Muni","MUNI_FED_TAX")</f>
        <v>N</v>
      </c>
      <c r="R2231" t="str">
        <f>_xll.BDP("801889PX Muni","MUNI_MSRB_VOLUME")</f>
        <v>#N/A N/A</v>
      </c>
      <c r="S2231" t="str">
        <f>_xll.BDP("801889PX Muni","BB_COMPOSITE")</f>
        <v>#N/A N/A</v>
      </c>
      <c r="T2231">
        <f>_xll.BDP("801889PX Muni","LQA_LIQUIDITY_SCORE")</f>
        <v>87</v>
      </c>
    </row>
    <row r="2232" spans="1:20" x14ac:dyDescent="0.25">
      <c r="A2232" t="str">
        <f>_xll.BDP("801889PZ Muni","ID_CUSIP")</f>
        <v>801889PZ3</v>
      </c>
      <c r="B2232" t="s">
        <v>127</v>
      </c>
      <c r="C2232" t="str">
        <f>_xll.BDP("801889PZ Muni","INSURANCE_STATUS")</f>
        <v>N</v>
      </c>
      <c r="D2232" t="str">
        <f>_xll.BDP("801889PZ Muni","STATE_CODE")</f>
        <v>NM</v>
      </c>
      <c r="E2232" t="str">
        <f>_xll.BDP("801889PZ Muni","COUNTY_LOCATION_ISSUER")</f>
        <v>Santa Fe, NM</v>
      </c>
      <c r="F2232">
        <f>_xll.BDP("801889PZ Muni","DUR_ADJ_MID")</f>
        <v>4.4009726077516875</v>
      </c>
      <c r="G2232">
        <f>_xll.BDP("801889PZ Muni","SPREAD_AT_ISSUANCE_TO_WORST")</f>
        <v>14.945422375564753</v>
      </c>
      <c r="H2232" t="str">
        <f>_xll.BDP("801889PZ Muni","ISSUE_DT")</f>
        <v>9/12/2017</v>
      </c>
      <c r="I2232" t="str">
        <f>_xll.BDS("801889PZ Muni","MUNI_PURPOSE_SCHED", "aggregate=y")</f>
        <v>PUBLIC IMPS. WATER UTILITY IMPS. ADVANCE REFUNDING</v>
      </c>
      <c r="J2232">
        <f>_xll.BDP("801889PZ Muni","CPN")</f>
        <v>5</v>
      </c>
      <c r="K2232" t="str">
        <f>_xll.BDP("801889PZ Muni","MATURITY")</f>
        <v>7/1/2027</v>
      </c>
      <c r="L2232">
        <v>2300000</v>
      </c>
      <c r="M2232">
        <f>_xll.BDP("801889PZ Muni","YIELD_ON_ISSUE_DATE")</f>
        <v>2</v>
      </c>
      <c r="N2232">
        <f>_xll.BDP("801889PZ Muni","YTW_SPREAD_TO_MATURITY_AT_ISSU")</f>
        <v>14.945422375564753</v>
      </c>
      <c r="O2232" t="str">
        <f>_xll.BDP("801889PZ Muni","BVAL_MID_YTM")</f>
        <v>#N/A Authorization</v>
      </c>
      <c r="P2232" t="str">
        <f>_xll.BDP("801889PZ Muni","MUNI_TAX_PROV")</f>
        <v>FED &amp; ST TAX-EXEMPT</v>
      </c>
      <c r="Q2232" t="str">
        <f>_xll.BDP("801889PZ Muni","MUNI_FED_TAX")</f>
        <v>N</v>
      </c>
      <c r="R2232">
        <f>_xll.BDP("801889PZ Muni","MUNI_MSRB_VOLUME")</f>
        <v>100000</v>
      </c>
      <c r="S2232" t="str">
        <f>_xll.BDP("801889PZ Muni","BB_COMPOSITE")</f>
        <v>#N/A N/A</v>
      </c>
      <c r="T2232">
        <f>_xll.BDP("801889PZ Muni","LQA_LIQUIDITY_SCORE")</f>
        <v>67</v>
      </c>
    </row>
    <row r="2233" spans="1:20" x14ac:dyDescent="0.25">
      <c r="A2233" t="str">
        <f>_xll.BDP("802629AE Muni","ID_CUSIP")</f>
        <v>802629AE5</v>
      </c>
      <c r="B2233" t="s">
        <v>171</v>
      </c>
      <c r="C2233" t="str">
        <f>_xll.BDP("802629AE Muni","INSURANCE_STATUS")</f>
        <v>N</v>
      </c>
      <c r="D2233" t="str">
        <f>_xll.BDP("802629AE Muni","STATE_CODE")</f>
        <v>CA</v>
      </c>
      <c r="E2233" t="str">
        <f>_xll.BDP("802629AE Muni","COUNTY_LOCATION_ISSUER")</f>
        <v>#N/A Field Not Applicable</v>
      </c>
      <c r="F2233">
        <f>_xll.BDP("802629AE Muni","DUR_ADJ_MID")</f>
        <v>0.97852482114175454</v>
      </c>
      <c r="G2233">
        <f>_xll.BDP("802629AE Muni","SPREAD_AT_ISSUANCE_TO_WORST")</f>
        <v>-2.6251680587108694</v>
      </c>
      <c r="H2233" t="str">
        <f>_xll.BDP("802629AE Muni","ISSUE_DT")</f>
        <v>8/24/2017</v>
      </c>
      <c r="I2233" t="str">
        <f>_xll.BDS("802629AE Muni","MUNI_PURPOSE_SCHED", "aggregate=y")</f>
        <v>WATER UTILITY IMPS. SEWER IMPS.</v>
      </c>
      <c r="J2233">
        <f>_xll.BDP("802629AE Muni","CPN")</f>
        <v>5</v>
      </c>
      <c r="K2233" t="str">
        <f>_xll.BDP("802629AE Muni","MATURITY")</f>
        <v>8/1/2023</v>
      </c>
      <c r="L2233">
        <v>725000</v>
      </c>
      <c r="M2233">
        <f>_xll.BDP("802629AE Muni","YIELD_ON_ISSUE_DATE")</f>
        <v>1.34</v>
      </c>
      <c r="N2233">
        <f>_xll.BDP("802629AE Muni","YTW_SPREAD_TO_MATURITY_AT_ISSU")</f>
        <v>-2.6251680587108694</v>
      </c>
      <c r="O2233" t="str">
        <f>_xll.BDP("802629AE Muni","BVAL_MID_YTM")</f>
        <v>#N/A Authorization</v>
      </c>
      <c r="P2233" t="str">
        <f>_xll.BDP("802629AE Muni","MUNI_TAX_PROV")</f>
        <v>FED &amp; ST TAX-EXEMPT</v>
      </c>
      <c r="Q2233" t="str">
        <f>_xll.BDP("802629AE Muni","MUNI_FED_TAX")</f>
        <v>N</v>
      </c>
      <c r="R2233" t="str">
        <f>_xll.BDP("802629AE Muni","MUNI_MSRB_VOLUME")</f>
        <v>#N/A N/A</v>
      </c>
      <c r="S2233" t="str">
        <f>_xll.BDP("802629AE Muni","BB_COMPOSITE")</f>
        <v>AA</v>
      </c>
      <c r="T2233">
        <f>_xll.BDP("802629AE Muni","LQA_LIQUIDITY_SCORE")</f>
        <v>92</v>
      </c>
    </row>
    <row r="2234" spans="1:20" x14ac:dyDescent="0.25">
      <c r="A2234" t="str">
        <f>_xll.BDP("802629AG Muni","ID_CUSIP")</f>
        <v>802629AG0</v>
      </c>
      <c r="B2234" t="s">
        <v>171</v>
      </c>
      <c r="C2234" t="str">
        <f>_xll.BDP("802629AG Muni","INSURANCE_STATUS")</f>
        <v>N</v>
      </c>
      <c r="D2234" t="str">
        <f>_xll.BDP("802629AG Muni","STATE_CODE")</f>
        <v>CA</v>
      </c>
      <c r="E2234" t="str">
        <f>_xll.BDP("802629AG Muni","COUNTY_LOCATION_ISSUER")</f>
        <v>#N/A Field Not Applicable</v>
      </c>
      <c r="F2234">
        <f>_xll.BDP("802629AG Muni","DUR_ADJ_MID")</f>
        <v>2.8050569212714227</v>
      </c>
      <c r="G2234">
        <f>_xll.BDP("802629AG Muni","SPREAD_AT_ISSUANCE_TO_WORST")</f>
        <v>3.5590015142027198</v>
      </c>
      <c r="H2234" t="str">
        <f>_xll.BDP("802629AG Muni","ISSUE_DT")</f>
        <v>8/24/2017</v>
      </c>
      <c r="I2234" t="str">
        <f>_xll.BDS("802629AG Muni","MUNI_PURPOSE_SCHED", "aggregate=y")</f>
        <v>WATER UTILITY IMPS. SEWER IMPS.</v>
      </c>
      <c r="J2234">
        <f>_xll.BDP("802629AG Muni","CPN")</f>
        <v>5</v>
      </c>
      <c r="K2234" t="str">
        <f>_xll.BDP("802629AG Muni","MATURITY")</f>
        <v>8/1/2025</v>
      </c>
      <c r="L2234">
        <v>780000</v>
      </c>
      <c r="M2234">
        <f>_xll.BDP("802629AG Muni","YIELD_ON_ISSUE_DATE")</f>
        <v>1.7000000000000002</v>
      </c>
      <c r="N2234">
        <f>_xll.BDP("802629AG Muni","YTW_SPREAD_TO_MATURITY_AT_ISSU")</f>
        <v>3.5590015142027198</v>
      </c>
      <c r="O2234" t="str">
        <f>_xll.BDP("802629AG Muni","BVAL_MID_YTM")</f>
        <v>#N/A Authorization</v>
      </c>
      <c r="P2234" t="str">
        <f>_xll.BDP("802629AG Muni","MUNI_TAX_PROV")</f>
        <v>FED &amp; ST TAX-EXEMPT</v>
      </c>
      <c r="Q2234" t="str">
        <f>_xll.BDP("802629AG Muni","MUNI_FED_TAX")</f>
        <v>N</v>
      </c>
      <c r="R2234">
        <f>_xll.BDP("802629AG Muni","MUNI_MSRB_VOLUME")</f>
        <v>100000</v>
      </c>
      <c r="S2234" t="str">
        <f>_xll.BDP("802629AG Muni","BB_COMPOSITE")</f>
        <v>AA</v>
      </c>
      <c r="T2234">
        <f>_xll.BDP("802629AG Muni","LQA_LIQUIDITY_SCORE")</f>
        <v>71</v>
      </c>
    </row>
    <row r="2235" spans="1:20" x14ac:dyDescent="0.25">
      <c r="A2235" t="str">
        <f>_xll.BDP("802629AJ Muni","ID_CUSIP")</f>
        <v>802629AJ4</v>
      </c>
      <c r="B2235" t="s">
        <v>171</v>
      </c>
      <c r="C2235" t="str">
        <f>_xll.BDP("802629AJ Muni","INSURANCE_STATUS")</f>
        <v>N</v>
      </c>
      <c r="D2235" t="str">
        <f>_xll.BDP("802629AJ Muni","STATE_CODE")</f>
        <v>CA</v>
      </c>
      <c r="E2235" t="str">
        <f>_xll.BDP("802629AJ Muni","COUNTY_LOCATION_ISSUER")</f>
        <v>#N/A Field Not Applicable</v>
      </c>
      <c r="F2235">
        <f>_xll.BDP("802629AJ Muni","DUR_ADJ_MID")</f>
        <v>4.5583352529471259</v>
      </c>
      <c r="G2235">
        <f>_xll.BDP("802629AJ Muni","SPREAD_AT_ISSUANCE_TO_WORST")</f>
        <v>18.243894408486796</v>
      </c>
      <c r="H2235" t="str">
        <f>_xll.BDP("802629AJ Muni","ISSUE_DT")</f>
        <v>8/24/2017</v>
      </c>
      <c r="I2235" t="str">
        <f>_xll.BDS("802629AJ Muni","MUNI_PURPOSE_SCHED", "aggregate=y")</f>
        <v>WATER UTILITY IMPS. SEWER IMPS.</v>
      </c>
      <c r="J2235">
        <f>_xll.BDP("802629AJ Muni","CPN")</f>
        <v>4</v>
      </c>
      <c r="K2235" t="str">
        <f>_xll.BDP("802629AJ Muni","MATURITY")</f>
        <v>8/1/2027</v>
      </c>
      <c r="L2235">
        <v>850000</v>
      </c>
      <c r="M2235">
        <f>_xll.BDP("802629AJ Muni","YIELD_ON_ISSUE_DATE")</f>
        <v>2.09</v>
      </c>
      <c r="N2235">
        <f>_xll.BDP("802629AJ Muni","YTW_SPREAD_TO_MATURITY_AT_ISSU")</f>
        <v>18.243894408486796</v>
      </c>
      <c r="O2235" t="str">
        <f>_xll.BDP("802629AJ Muni","BVAL_MID_YTM")</f>
        <v>#N/A Authorization</v>
      </c>
      <c r="P2235" t="str">
        <f>_xll.BDP("802629AJ Muni","MUNI_TAX_PROV")</f>
        <v>FED &amp; ST TAX-EXEMPT</v>
      </c>
      <c r="Q2235" t="str">
        <f>_xll.BDP("802629AJ Muni","MUNI_FED_TAX")</f>
        <v>N</v>
      </c>
      <c r="R2235">
        <f>_xll.BDP("802629AJ Muni","MUNI_MSRB_VOLUME")</f>
        <v>20000</v>
      </c>
      <c r="S2235" t="str">
        <f>_xll.BDP("802629AJ Muni","BB_COMPOSITE")</f>
        <v>AA</v>
      </c>
      <c r="T2235">
        <f>_xll.BDP("802629AJ Muni","LQA_LIQUIDITY_SCORE")</f>
        <v>54</v>
      </c>
    </row>
    <row r="2236" spans="1:20" x14ac:dyDescent="0.25">
      <c r="A2236" t="str">
        <f>_xll.BDP("856618DG Muni","ID_CUSIP")</f>
        <v>856618DG5</v>
      </c>
      <c r="B2236" t="s">
        <v>558</v>
      </c>
      <c r="C2236" t="str">
        <f>_xll.BDP("856618DG Muni","INSURANCE_STATUS")</f>
        <v>N</v>
      </c>
      <c r="D2236" t="str">
        <f>_xll.BDP("856618DG Muni","STATE_CODE")</f>
        <v>IA</v>
      </c>
      <c r="E2236" t="str">
        <f>_xll.BDP("856618DG Muni","COUNTY_LOCATION_ISSUER")</f>
        <v>Marshall, IA</v>
      </c>
      <c r="F2236">
        <f>_xll.BDP("856618DG Muni","DUR_ADJ_MID")</f>
        <v>0.81741127509748401</v>
      </c>
      <c r="G2236">
        <f>_xll.BDP("856618DG Muni","SPREAD_AT_ISSUANCE_TO_WORST")</f>
        <v>52.547162692184401</v>
      </c>
      <c r="H2236" t="str">
        <f>_xll.BDP("856618DG Muni","ISSUE_DT")</f>
        <v>6/27/2017</v>
      </c>
      <c r="I2236" t="str">
        <f>_xll.BDS("856618DG Muni","MUNI_PURPOSE_SCHED", "aggregate=y")</f>
        <v>PUBLIC IMPS. WATER UTILITY IMPS. SEWER IMPS.</v>
      </c>
      <c r="J2236">
        <f>_xll.BDP("856618DG Muni","CPN")</f>
        <v>3</v>
      </c>
      <c r="K2236" t="str">
        <f>_xll.BDP("856618DG Muni","MATURITY")</f>
        <v>6/1/2023</v>
      </c>
      <c r="L2236">
        <v>100000</v>
      </c>
      <c r="M2236">
        <f>_xll.BDP("856618DG Muni","YIELD_ON_ISSUE_DATE")</f>
        <v>2</v>
      </c>
      <c r="N2236">
        <f>_xll.BDP("856618DG Muni","YTW_SPREAD_TO_MATURITY_AT_ISSU")</f>
        <v>52.547162692184401</v>
      </c>
      <c r="O2236" t="str">
        <f>_xll.BDP("856618DG Muni","BVAL_MID_YTM")</f>
        <v>#N/A Authorization</v>
      </c>
      <c r="P2236" t="str">
        <f>_xll.BDP("856618DG Muni","MUNI_TAX_PROV")</f>
        <v>FED BQ</v>
      </c>
      <c r="Q2236" t="str">
        <f>_xll.BDP("856618DG Muni","MUNI_FED_TAX")</f>
        <v>N</v>
      </c>
      <c r="R2236" t="str">
        <f>_xll.BDP("856618DG Muni","MUNI_MSRB_VOLUME")</f>
        <v>#N/A N/A</v>
      </c>
      <c r="S2236" t="str">
        <f>_xll.BDP("856618DG Muni","BB_COMPOSITE")</f>
        <v>#N/A N/A</v>
      </c>
      <c r="T2236">
        <f>_xll.BDP("856618DG Muni","LQA_LIQUIDITY_SCORE")</f>
        <v>85</v>
      </c>
    </row>
    <row r="2237" spans="1:20" x14ac:dyDescent="0.25">
      <c r="A2237" t="str">
        <f>_xll.BDP("889753NN Muni","ID_CUSIP")</f>
        <v>889753NN5</v>
      </c>
      <c r="B2237" t="s">
        <v>43</v>
      </c>
      <c r="C2237" t="str">
        <f>_xll.BDP("889753NN Muni","INSURANCE_STATUS")</f>
        <v>Y</v>
      </c>
      <c r="D2237" t="str">
        <f>_xll.BDP("889753NN Muni","STATE_CODE")</f>
        <v>WI</v>
      </c>
      <c r="E2237" t="str">
        <f>_xll.BDP("889753NN Muni","COUNTY_LOCATION_ISSUER")</f>
        <v>Monroe, WI</v>
      </c>
      <c r="F2237">
        <f>_xll.BDP("889753NN Muni","DUR_ADJ_MID")</f>
        <v>1.5223750297415082</v>
      </c>
      <c r="G2237">
        <f>_xll.BDP("889753NN Muni","SPREAD_AT_ISSUANCE_TO_WORST")</f>
        <v>24.254171617093469</v>
      </c>
      <c r="H2237" t="str">
        <f>_xll.BDP("889753NN Muni","ISSUE_DT")</f>
        <v>3/30/2017</v>
      </c>
      <c r="I2237" t="str">
        <f>_xll.BDS("889753NN Muni","MUNI_PURPOSE_SCHED", "aggregate=y")</f>
        <v>PUBLIC IMPS. WATER UTILITY IMPS. SEWER IMPS.</v>
      </c>
      <c r="J2237">
        <f>_xll.BDP("889753NN Muni","CPN")</f>
        <v>3</v>
      </c>
      <c r="K2237" t="str">
        <f>_xll.BDP("889753NN Muni","MATURITY")</f>
        <v>3/1/2024</v>
      </c>
      <c r="L2237">
        <v>335000</v>
      </c>
      <c r="M2237">
        <f>_xll.BDP("889753NN Muni","YIELD_ON_ISSUE_DATE")</f>
        <v>2.3000000000000003</v>
      </c>
      <c r="N2237">
        <f>_xll.BDP("889753NN Muni","YTW_SPREAD_TO_MATURITY_AT_ISSU")</f>
        <v>24.254171617093469</v>
      </c>
      <c r="O2237" t="str">
        <f>_xll.BDP("889753NN Muni","BVAL_MID_YTM")</f>
        <v>#N/A Authorization</v>
      </c>
      <c r="P2237" t="str">
        <f>_xll.BDP("889753NN Muni","MUNI_TAX_PROV")</f>
        <v>FED BQ/ST TAXABLE</v>
      </c>
      <c r="Q2237" t="str">
        <f>_xll.BDP("889753NN Muni","MUNI_FED_TAX")</f>
        <v>N</v>
      </c>
      <c r="R2237" t="str">
        <f>_xll.BDP("889753NN Muni","MUNI_MSRB_VOLUME")</f>
        <v>#N/A N/A</v>
      </c>
      <c r="S2237" t="str">
        <f>_xll.BDP("889753NN Muni","BB_COMPOSITE")</f>
        <v>AA-</v>
      </c>
      <c r="T2237">
        <f>_xll.BDP("889753NN Muni","LQA_LIQUIDITY_SCORE")</f>
        <v>79</v>
      </c>
    </row>
    <row r="2238" spans="1:20" x14ac:dyDescent="0.25">
      <c r="A2238" t="str">
        <f>_xll.BDP("890680NG Muni","ID_CUSIP")</f>
        <v>890680NG2</v>
      </c>
      <c r="B2238" t="s">
        <v>113</v>
      </c>
      <c r="C2238" t="str">
        <f>_xll.BDP("890680NG Muni","INSURANCE_STATUS")</f>
        <v>N</v>
      </c>
      <c r="D2238" t="str">
        <f>_xll.BDP("890680NG Muni","STATE_CODE")</f>
        <v>KS</v>
      </c>
      <c r="E2238" t="str">
        <f>_xll.BDP("890680NG Muni","COUNTY_LOCATION_ISSUER")</f>
        <v>Shawnee, KS</v>
      </c>
      <c r="F2238">
        <f>_xll.BDP("890680NG Muni","DUR_ADJ_MID")</f>
        <v>0.97800082888955342</v>
      </c>
      <c r="G2238">
        <f>_xll.BDP("890680NG Muni","SPREAD_AT_ISSUANCE_TO_WORST")</f>
        <v>12.338446404209602</v>
      </c>
      <c r="H2238" t="str">
        <f>_xll.BDP("890680NG Muni","ISSUE_DT")</f>
        <v>9/5/2017</v>
      </c>
      <c r="I2238" t="str">
        <f>_xll.BDS("890680NG Muni","MUNI_PURPOSE_SCHED", "aggregate=y")</f>
        <v>WATER UTILITY IMPS. SEWER IMPS. REFUNDING NOTES</v>
      </c>
      <c r="J2238">
        <f>_xll.BDP("890680NG Muni","CPN")</f>
        <v>5</v>
      </c>
      <c r="K2238" t="str">
        <f>_xll.BDP("890680NG Muni","MATURITY")</f>
        <v>8/1/2023</v>
      </c>
      <c r="L2238">
        <v>420000</v>
      </c>
      <c r="M2238">
        <f>_xll.BDP("890680NG Muni","YIELD_ON_ISSUE_DATE")</f>
        <v>1.4000000000000001</v>
      </c>
      <c r="N2238">
        <f>_xll.BDP("890680NG Muni","YTW_SPREAD_TO_MATURITY_AT_ISSU")</f>
        <v>12.338446404209602</v>
      </c>
      <c r="O2238" t="str">
        <f>_xll.BDP("890680NG Muni","BVAL_MID_YTM")</f>
        <v>#N/A Authorization</v>
      </c>
      <c r="P2238" t="str">
        <f>_xll.BDP("890680NG Muni","MUNI_TAX_PROV")</f>
        <v>FED &amp; ST TAX-EXEMPT</v>
      </c>
      <c r="Q2238" t="str">
        <f>_xll.BDP("890680NG Muni","MUNI_FED_TAX")</f>
        <v>N</v>
      </c>
      <c r="R2238" t="str">
        <f>_xll.BDP("890680NG Muni","MUNI_MSRB_VOLUME")</f>
        <v>#N/A N/A</v>
      </c>
      <c r="S2238" t="str">
        <f>_xll.BDP("890680NG Muni","BB_COMPOSITE")</f>
        <v>#N/A N/A</v>
      </c>
      <c r="T2238">
        <f>_xll.BDP("890680NG Muni","LQA_LIQUIDITY_SCORE")</f>
        <v>80</v>
      </c>
    </row>
    <row r="2239" spans="1:20" x14ac:dyDescent="0.25">
      <c r="A2239" t="str">
        <f>_xll.BDP("890680NH Muni","ID_CUSIP")</f>
        <v>890680NH0</v>
      </c>
      <c r="B2239" t="s">
        <v>113</v>
      </c>
      <c r="C2239" t="str">
        <f>_xll.BDP("890680NH Muni","INSURANCE_STATUS")</f>
        <v>N</v>
      </c>
      <c r="D2239" t="str">
        <f>_xll.BDP("890680NH Muni","STATE_CODE")</f>
        <v>KS</v>
      </c>
      <c r="E2239" t="str">
        <f>_xll.BDP("890680NH Muni","COUNTY_LOCATION_ISSUER")</f>
        <v>Shawnee, KS</v>
      </c>
      <c r="F2239">
        <f>_xll.BDP("890680NH Muni","DUR_ADJ_MID")</f>
        <v>1.9112806623409606</v>
      </c>
      <c r="G2239">
        <f>_xll.BDP("890680NH Muni","SPREAD_AT_ISSUANCE_TO_WORST")</f>
        <v>15.266724043160451</v>
      </c>
      <c r="H2239" t="str">
        <f>_xll.BDP("890680NH Muni","ISSUE_DT")</f>
        <v>9/5/2017</v>
      </c>
      <c r="I2239" t="str">
        <f>_xll.BDS("890680NH Muni","MUNI_PURPOSE_SCHED", "aggregate=y")</f>
        <v>WATER UTILITY IMPS. SEWER IMPS. REFUNDING NOTES</v>
      </c>
      <c r="J2239">
        <f>_xll.BDP("890680NH Muni","CPN")</f>
        <v>5</v>
      </c>
      <c r="K2239" t="str">
        <f>_xll.BDP("890680NH Muni","MATURITY")</f>
        <v>8/1/2024</v>
      </c>
      <c r="L2239">
        <v>440000</v>
      </c>
      <c r="M2239">
        <f>_xll.BDP("890680NH Muni","YIELD_ON_ISSUE_DATE")</f>
        <v>1.58</v>
      </c>
      <c r="N2239">
        <f>_xll.BDP("890680NH Muni","YTW_SPREAD_TO_MATURITY_AT_ISSU")</f>
        <v>15.266724043160451</v>
      </c>
      <c r="O2239" t="str">
        <f>_xll.BDP("890680NH Muni","BVAL_MID_YTM")</f>
        <v>#N/A Authorization</v>
      </c>
      <c r="P2239" t="str">
        <f>_xll.BDP("890680NH Muni","MUNI_TAX_PROV")</f>
        <v>FED &amp; ST TAX-EXEMPT</v>
      </c>
      <c r="Q2239" t="str">
        <f>_xll.BDP("890680NH Muni","MUNI_FED_TAX")</f>
        <v>N</v>
      </c>
      <c r="R2239" t="str">
        <f>_xll.BDP("890680NH Muni","MUNI_MSRB_VOLUME")</f>
        <v>#N/A N/A</v>
      </c>
      <c r="S2239" t="str">
        <f>_xll.BDP("890680NH Muni","BB_COMPOSITE")</f>
        <v>#N/A N/A</v>
      </c>
      <c r="T2239">
        <f>_xll.BDP("890680NH Muni","LQA_LIQUIDITY_SCORE")</f>
        <v>68</v>
      </c>
    </row>
    <row r="2240" spans="1:20" x14ac:dyDescent="0.25">
      <c r="A2240" t="str">
        <f>_xll.BDP("890680NJ Muni","ID_CUSIP")</f>
        <v>890680NJ6</v>
      </c>
      <c r="B2240" t="s">
        <v>113</v>
      </c>
      <c r="C2240" t="str">
        <f>_xll.BDP("890680NJ Muni","INSURANCE_STATUS")</f>
        <v>N</v>
      </c>
      <c r="D2240" t="str">
        <f>_xll.BDP("890680NJ Muni","STATE_CODE")</f>
        <v>KS</v>
      </c>
      <c r="E2240" t="str">
        <f>_xll.BDP("890680NJ Muni","COUNTY_LOCATION_ISSUER")</f>
        <v>Shawnee, KS</v>
      </c>
      <c r="F2240">
        <f>_xll.BDP("890680NJ Muni","DUR_ADJ_MID")</f>
        <v>2.8034883829323411</v>
      </c>
      <c r="G2240">
        <f>_xll.BDP("890680NJ Muni","SPREAD_AT_ISSUANCE_TO_WORST")</f>
        <v>17.168156777094691</v>
      </c>
      <c r="H2240" t="str">
        <f>_xll.BDP("890680NJ Muni","ISSUE_DT")</f>
        <v>9/5/2017</v>
      </c>
      <c r="I2240" t="str">
        <f>_xll.BDS("890680NJ Muni","MUNI_PURPOSE_SCHED", "aggregate=y")</f>
        <v>WATER UTILITY IMPS. SEWER IMPS. REFUNDING NOTES</v>
      </c>
      <c r="J2240">
        <f>_xll.BDP("890680NJ Muni","CPN")</f>
        <v>5</v>
      </c>
      <c r="K2240" t="str">
        <f>_xll.BDP("890680NJ Muni","MATURITY")</f>
        <v>8/1/2025</v>
      </c>
      <c r="L2240">
        <v>460000</v>
      </c>
      <c r="M2240">
        <f>_xll.BDP("890680NJ Muni","YIELD_ON_ISSUE_DATE")</f>
        <v>1.75</v>
      </c>
      <c r="N2240">
        <f>_xll.BDP("890680NJ Muni","YTW_SPREAD_TO_MATURITY_AT_ISSU")</f>
        <v>17.168156777094691</v>
      </c>
      <c r="O2240" t="str">
        <f>_xll.BDP("890680NJ Muni","BVAL_MID_YTM")</f>
        <v>#N/A Authorization</v>
      </c>
      <c r="P2240" t="str">
        <f>_xll.BDP("890680NJ Muni","MUNI_TAX_PROV")</f>
        <v>FED &amp; ST TAX-EXEMPT</v>
      </c>
      <c r="Q2240" t="str">
        <f>_xll.BDP("890680NJ Muni","MUNI_FED_TAX")</f>
        <v>N</v>
      </c>
      <c r="R2240">
        <f>_xll.BDP("890680NJ Muni","MUNI_MSRB_VOLUME")</f>
        <v>15000</v>
      </c>
      <c r="S2240" t="str">
        <f>_xll.BDP("890680NJ Muni","BB_COMPOSITE")</f>
        <v>#N/A N/A</v>
      </c>
      <c r="T2240">
        <f>_xll.BDP("890680NJ Muni","LQA_LIQUIDITY_SCORE")</f>
        <v>71</v>
      </c>
    </row>
    <row r="2241" spans="1:20" x14ac:dyDescent="0.25">
      <c r="A2241" t="str">
        <f>_xll.BDP("983064WM Muni","ID_CUSIP")</f>
        <v>983064WM4</v>
      </c>
      <c r="B2241" t="s">
        <v>559</v>
      </c>
      <c r="C2241" t="str">
        <f>_xll.BDP("983064WM Muni","INSURANCE_STATUS")</f>
        <v>N</v>
      </c>
      <c r="D2241" t="str">
        <f>_xll.BDP("983064WM Muni","STATE_CODE")</f>
        <v>TX</v>
      </c>
      <c r="E2241" t="str">
        <f>_xll.BDP("983064WM Muni","COUNTY_LOCATION_ISSUER")</f>
        <v>Dallas, TX</v>
      </c>
      <c r="F2241">
        <f>_xll.BDP("983064WM Muni","DUR_ADJ_MID")</f>
        <v>0.52383673069510717</v>
      </c>
      <c r="G2241">
        <f>_xll.BDP("983064WM Muni","SPREAD_AT_ISSUANCE_TO_WORST")</f>
        <v>24.712361405959559</v>
      </c>
      <c r="H2241" t="str">
        <f>_xll.BDP("983064WM Muni","ISSUE_DT")</f>
        <v>5/1/2017</v>
      </c>
      <c r="I2241" t="str">
        <f>_xll.BDS("983064WM Muni","MUNI_PURPOSE_SCHED", "aggregate=y")</f>
        <v>WATER UTILITY IMPS. SEWER IMPS.</v>
      </c>
      <c r="J2241">
        <f>_xll.BDP("983064WM Muni","CPN")</f>
        <v>4</v>
      </c>
      <c r="K2241" t="str">
        <f>_xll.BDP("983064WM Muni","MATURITY")</f>
        <v>2/15/2023</v>
      </c>
      <c r="L2241">
        <v>330000</v>
      </c>
      <c r="M2241">
        <f>_xll.BDP("983064WM Muni","YIELD_ON_ISSUE_DATE")</f>
        <v>1.75</v>
      </c>
      <c r="N2241">
        <f>_xll.BDP("983064WM Muni","YTW_SPREAD_TO_MATURITY_AT_ISSU")</f>
        <v>24.712361405959559</v>
      </c>
      <c r="O2241" t="str">
        <f>_xll.BDP("983064WM Muni","BVAL_MID_YTM")</f>
        <v>#N/A Authorization</v>
      </c>
      <c r="P2241" t="str">
        <f>_xll.BDP("983064WM Muni","MUNI_TAX_PROV")</f>
        <v>FED TAX-EXEMPT</v>
      </c>
      <c r="Q2241" t="str">
        <f>_xll.BDP("983064WM Muni","MUNI_FED_TAX")</f>
        <v>N</v>
      </c>
      <c r="R2241" t="str">
        <f>_xll.BDP("983064WM Muni","MUNI_MSRB_VOLUME")</f>
        <v>#N/A N/A</v>
      </c>
      <c r="S2241" t="str">
        <f>_xll.BDP("983064WM Muni","BB_COMPOSITE")</f>
        <v>AA</v>
      </c>
      <c r="T2241">
        <f>_xll.BDP("983064WM Muni","LQA_LIQUIDITY_SCORE")</f>
        <v>91</v>
      </c>
    </row>
    <row r="2242" spans="1:20" x14ac:dyDescent="0.25">
      <c r="A2242" t="str">
        <f>_xll.BDP("983064WN Muni","ID_CUSIP")</f>
        <v>983064WN2</v>
      </c>
      <c r="B2242" t="s">
        <v>559</v>
      </c>
      <c r="C2242" t="str">
        <f>_xll.BDP("983064WN Muni","INSURANCE_STATUS")</f>
        <v>N</v>
      </c>
      <c r="D2242" t="str">
        <f>_xll.BDP("983064WN Muni","STATE_CODE")</f>
        <v>TX</v>
      </c>
      <c r="E2242" t="str">
        <f>_xll.BDP("983064WN Muni","COUNTY_LOCATION_ISSUER")</f>
        <v>Dallas, TX</v>
      </c>
      <c r="F2242">
        <f>_xll.BDP("983064WN Muni","DUR_ADJ_MID")</f>
        <v>1.468260260529398</v>
      </c>
      <c r="G2242">
        <f>_xll.BDP("983064WN Muni","SPREAD_AT_ISSUANCE_TO_WORST")</f>
        <v>26.493394064725194</v>
      </c>
      <c r="H2242" t="str">
        <f>_xll.BDP("983064WN Muni","ISSUE_DT")</f>
        <v>5/1/2017</v>
      </c>
      <c r="I2242" t="str">
        <f>_xll.BDS("983064WN Muni","MUNI_PURPOSE_SCHED", "aggregate=y")</f>
        <v>WATER UTILITY IMPS. SEWER IMPS.</v>
      </c>
      <c r="J2242">
        <f>_xll.BDP("983064WN Muni","CPN")</f>
        <v>4</v>
      </c>
      <c r="K2242" t="str">
        <f>_xll.BDP("983064WN Muni","MATURITY")</f>
        <v>2/15/2024</v>
      </c>
      <c r="L2242">
        <v>340000</v>
      </c>
      <c r="M2242">
        <f>_xll.BDP("983064WN Muni","YIELD_ON_ISSUE_DATE")</f>
        <v>1.93</v>
      </c>
      <c r="N2242">
        <f>_xll.BDP("983064WN Muni","YTW_SPREAD_TO_MATURITY_AT_ISSU")</f>
        <v>26.493394064725194</v>
      </c>
      <c r="O2242" t="str">
        <f>_xll.BDP("983064WN Muni","BVAL_MID_YTM")</f>
        <v>#N/A Authorization</v>
      </c>
      <c r="P2242" t="str">
        <f>_xll.BDP("983064WN Muni","MUNI_TAX_PROV")</f>
        <v>FED TAX-EXEMPT</v>
      </c>
      <c r="Q2242" t="str">
        <f>_xll.BDP("983064WN Muni","MUNI_FED_TAX")</f>
        <v>N</v>
      </c>
      <c r="R2242">
        <f>_xll.BDP("983064WN Muni","MUNI_MSRB_VOLUME")</f>
        <v>30000</v>
      </c>
      <c r="S2242" t="str">
        <f>_xll.BDP("983064WN Muni","BB_COMPOSITE")</f>
        <v>AA</v>
      </c>
      <c r="T2242">
        <f>_xll.BDP("983064WN Muni","LQA_LIQUIDITY_SCORE")</f>
        <v>79</v>
      </c>
    </row>
    <row r="2243" spans="1:20" x14ac:dyDescent="0.25">
      <c r="A2243" t="str">
        <f>_xll.BDP("983064WP Muni","ID_CUSIP")</f>
        <v>983064WP7</v>
      </c>
      <c r="B2243" t="s">
        <v>559</v>
      </c>
      <c r="C2243" t="str">
        <f>_xll.BDP("983064WP Muni","INSURANCE_STATUS")</f>
        <v>N</v>
      </c>
      <c r="D2243" t="str">
        <f>_xll.BDP("983064WP Muni","STATE_CODE")</f>
        <v>TX</v>
      </c>
      <c r="E2243" t="str">
        <f>_xll.BDP("983064WP Muni","COUNTY_LOCATION_ISSUER")</f>
        <v>Dallas, TX</v>
      </c>
      <c r="F2243">
        <f>_xll.BDP("983064WP Muni","DUR_ADJ_MID")</f>
        <v>2.3778161498969372</v>
      </c>
      <c r="G2243">
        <f>_xll.BDP("983064WP Muni","SPREAD_AT_ISSUANCE_TO_WORST")</f>
        <v>32.227047574477851</v>
      </c>
      <c r="H2243" t="str">
        <f>_xll.BDP("983064WP Muni","ISSUE_DT")</f>
        <v>5/1/2017</v>
      </c>
      <c r="I2243" t="str">
        <f>_xll.BDS("983064WP Muni","MUNI_PURPOSE_SCHED", "aggregate=y")</f>
        <v>WATER UTILITY IMPS. SEWER IMPS.</v>
      </c>
      <c r="J2243">
        <f>_xll.BDP("983064WP Muni","CPN")</f>
        <v>4</v>
      </c>
      <c r="K2243" t="str">
        <f>_xll.BDP("983064WP Muni","MATURITY")</f>
        <v>2/15/2025</v>
      </c>
      <c r="L2243">
        <v>350000</v>
      </c>
      <c r="M2243">
        <f>_xll.BDP("983064WP Muni","YIELD_ON_ISSUE_DATE")</f>
        <v>2.15</v>
      </c>
      <c r="N2243">
        <f>_xll.BDP("983064WP Muni","YTW_SPREAD_TO_MATURITY_AT_ISSU")</f>
        <v>32.227047574477851</v>
      </c>
      <c r="O2243" t="str">
        <f>_xll.BDP("983064WP Muni","BVAL_MID_YTM")</f>
        <v>#N/A Authorization</v>
      </c>
      <c r="P2243" t="str">
        <f>_xll.BDP("983064WP Muni","MUNI_TAX_PROV")</f>
        <v>FED TAX-EXEMPT</v>
      </c>
      <c r="Q2243" t="str">
        <f>_xll.BDP("983064WP Muni","MUNI_FED_TAX")</f>
        <v>N</v>
      </c>
      <c r="R2243" t="str">
        <f>_xll.BDP("983064WP Muni","MUNI_MSRB_VOLUME")</f>
        <v>#N/A N/A</v>
      </c>
      <c r="S2243" t="str">
        <f>_xll.BDP("983064WP Muni","BB_COMPOSITE")</f>
        <v>AA</v>
      </c>
      <c r="T2243">
        <f>_xll.BDP("983064WP Muni","LQA_LIQUIDITY_SCORE")</f>
        <v>70</v>
      </c>
    </row>
    <row r="2244" spans="1:20" x14ac:dyDescent="0.25">
      <c r="A2244" t="str">
        <f>_xll.BDP("983064WQ Muni","ID_CUSIP")</f>
        <v>983064WQ5</v>
      </c>
      <c r="B2244" t="s">
        <v>559</v>
      </c>
      <c r="C2244" t="str">
        <f>_xll.BDP("983064WQ Muni","INSURANCE_STATUS")</f>
        <v>N</v>
      </c>
      <c r="D2244" t="str">
        <f>_xll.BDP("983064WQ Muni","STATE_CODE")</f>
        <v>TX</v>
      </c>
      <c r="E2244" t="str">
        <f>_xll.BDP("983064WQ Muni","COUNTY_LOCATION_ISSUER")</f>
        <v>Dallas, TX</v>
      </c>
      <c r="F2244">
        <f>_xll.BDP("983064WQ Muni","DUR_ADJ_MID")</f>
        <v>3.2550671953462058</v>
      </c>
      <c r="G2244">
        <f>_xll.BDP("983064WQ Muni","SPREAD_AT_ISSUANCE_TO_WORST")</f>
        <v>36.222734614693678</v>
      </c>
      <c r="H2244" t="str">
        <f>_xll.BDP("983064WQ Muni","ISSUE_DT")</f>
        <v>5/1/2017</v>
      </c>
      <c r="I2244" t="str">
        <f>_xll.BDS("983064WQ Muni","MUNI_PURPOSE_SCHED", "aggregate=y")</f>
        <v>WATER UTILITY IMPS. SEWER IMPS.</v>
      </c>
      <c r="J2244">
        <f>_xll.BDP("983064WQ Muni","CPN")</f>
        <v>4</v>
      </c>
      <c r="K2244" t="str">
        <f>_xll.BDP("983064WQ Muni","MATURITY")</f>
        <v>2/15/2026</v>
      </c>
      <c r="L2244">
        <v>360000</v>
      </c>
      <c r="M2244">
        <f>_xll.BDP("983064WQ Muni","YIELD_ON_ISSUE_DATE")</f>
        <v>2.34</v>
      </c>
      <c r="N2244">
        <f>_xll.BDP("983064WQ Muni","YTW_SPREAD_TO_MATURITY_AT_ISSU")</f>
        <v>36.222734614693678</v>
      </c>
      <c r="O2244" t="str">
        <f>_xll.BDP("983064WQ Muni","BVAL_MID_YTM")</f>
        <v>#N/A Authorization</v>
      </c>
      <c r="P2244" t="str">
        <f>_xll.BDP("983064WQ Muni","MUNI_TAX_PROV")</f>
        <v>FED TAX-EXEMPT</v>
      </c>
      <c r="Q2244" t="str">
        <f>_xll.BDP("983064WQ Muni","MUNI_FED_TAX")</f>
        <v>N</v>
      </c>
      <c r="R2244" t="str">
        <f>_xll.BDP("983064WQ Muni","MUNI_MSRB_VOLUME")</f>
        <v>#N/A N/A</v>
      </c>
      <c r="S2244" t="str">
        <f>_xll.BDP("983064WQ Muni","BB_COMPOSITE")</f>
        <v>AA</v>
      </c>
      <c r="T2244">
        <f>_xll.BDP("983064WQ Muni","LQA_LIQUIDITY_SCORE")</f>
        <v>61</v>
      </c>
    </row>
    <row r="2245" spans="1:20" x14ac:dyDescent="0.25">
      <c r="A2245" t="str">
        <f>_xll.BDP("983064WR Muni","ID_CUSIP")</f>
        <v>983064WR3</v>
      </c>
      <c r="B2245" t="s">
        <v>559</v>
      </c>
      <c r="C2245" t="str">
        <f>_xll.BDP("983064WR Muni","INSURANCE_STATUS")</f>
        <v>N</v>
      </c>
      <c r="D2245" t="str">
        <f>_xll.BDP("983064WR Muni","STATE_CODE")</f>
        <v>TX</v>
      </c>
      <c r="E2245" t="str">
        <f>_xll.BDP("983064WR Muni","COUNTY_LOCATION_ISSUER")</f>
        <v>Dallas, TX</v>
      </c>
      <c r="F2245">
        <f>_xll.BDP("983064WR Muni","DUR_ADJ_MID")</f>
        <v>4.1016566893095847</v>
      </c>
      <c r="G2245">
        <f>_xll.BDP("983064WR Muni","SPREAD_AT_ISSUANCE_TO_WORST")</f>
        <v>36.803381901453051</v>
      </c>
      <c r="H2245" t="str">
        <f>_xll.BDP("983064WR Muni","ISSUE_DT")</f>
        <v>5/1/2017</v>
      </c>
      <c r="I2245" t="str">
        <f>_xll.BDS("983064WR Muni","MUNI_PURPOSE_SCHED", "aggregate=y")</f>
        <v>WATER UTILITY IMPS. SEWER IMPS.</v>
      </c>
      <c r="J2245">
        <f>_xll.BDP("983064WR Muni","CPN")</f>
        <v>4</v>
      </c>
      <c r="K2245" t="str">
        <f>_xll.BDP("983064WR Muni","MATURITY")</f>
        <v>2/15/2027</v>
      </c>
      <c r="L2245">
        <v>370000</v>
      </c>
      <c r="M2245">
        <f>_xll.BDP("983064WR Muni","YIELD_ON_ISSUE_DATE")</f>
        <v>2.4700000000000002</v>
      </c>
      <c r="N2245">
        <f>_xll.BDP("983064WR Muni","YTW_SPREAD_TO_MATURITY_AT_ISSU")</f>
        <v>36.803381901453051</v>
      </c>
      <c r="O2245" t="str">
        <f>_xll.BDP("983064WR Muni","BVAL_MID_YTM")</f>
        <v>#N/A Authorization</v>
      </c>
      <c r="P2245" t="str">
        <f>_xll.BDP("983064WR Muni","MUNI_TAX_PROV")</f>
        <v>FED TAX-EXEMPT</v>
      </c>
      <c r="Q2245" t="str">
        <f>_xll.BDP("983064WR Muni","MUNI_FED_TAX")</f>
        <v>N</v>
      </c>
      <c r="R2245" t="str">
        <f>_xll.BDP("983064WR Muni","MUNI_MSRB_VOLUME")</f>
        <v>#N/A N/A</v>
      </c>
      <c r="S2245" t="str">
        <f>_xll.BDP("983064WR Muni","BB_COMPOSITE")</f>
        <v>AA</v>
      </c>
      <c r="T2245">
        <f>_xll.BDP("983064WR Muni","LQA_LIQUIDITY_SCORE")</f>
        <v>52</v>
      </c>
    </row>
    <row r="2246" spans="1:20" x14ac:dyDescent="0.25">
      <c r="A2246" t="str">
        <f>_xll.BDP("92823PEL Muni","ID_CUSIP")</f>
        <v>92823PEL6</v>
      </c>
      <c r="B2246" t="s">
        <v>560</v>
      </c>
      <c r="C2246" t="str">
        <f>_xll.BDP("92823PEL Muni","INSURANCE_STATUS")</f>
        <v>Y</v>
      </c>
      <c r="D2246" t="str">
        <f>_xll.BDP("92823PEL Muni","STATE_CODE")</f>
        <v>TX</v>
      </c>
      <c r="E2246" t="str">
        <f>_xll.BDP("92823PEL Muni","COUNTY_LOCATION_ISSUER")</f>
        <v>Dallas, TX</v>
      </c>
      <c r="F2246">
        <f>_xll.BDP("92823PEL Muni","DUR_ADJ_MID")</f>
        <v>0.32923542466275996</v>
      </c>
      <c r="G2246">
        <f>_xll.BDP("92823PEL Muni","SPREAD_AT_ISSUANCE_TO_WORST")</f>
        <v>60.726260273972613</v>
      </c>
      <c r="H2246" t="str">
        <f>_xll.BDP("92823PEL Muni","ISSUE_DT")</f>
        <v>10/1/2017</v>
      </c>
      <c r="I2246" t="str">
        <f>_xll.BDS("92823PEL Muni","MUNI_PURPOSE_SCHED", "aggregate=y")</f>
        <v>WATER UTILITY IMPS. SEWER IMPS.</v>
      </c>
      <c r="J2246">
        <f>_xll.BDP("92823PEL Muni","CPN")</f>
        <v>2</v>
      </c>
      <c r="K2246" t="str">
        <f>_xll.BDP("92823PEL Muni","MATURITY")</f>
        <v>12/1/2022</v>
      </c>
      <c r="L2246">
        <v>15000</v>
      </c>
      <c r="M2246">
        <f>_xll.BDP("92823PEL Muni","YIELD_ON_ISSUE_DATE")</f>
        <v>1.9000000000000001</v>
      </c>
      <c r="N2246">
        <f>_xll.BDP("92823PEL Muni","YTW_SPREAD_TO_MATURITY_AT_ISSU")</f>
        <v>60.726260273972613</v>
      </c>
      <c r="O2246" t="str">
        <f>_xll.BDP("92823PEL Muni","BVAL_MID_YTM")</f>
        <v>#N/A Authorization</v>
      </c>
      <c r="P2246" t="str">
        <f>_xll.BDP("92823PEL Muni","MUNI_TAX_PROV")</f>
        <v>FED TAX-EXEMPT</v>
      </c>
      <c r="Q2246" t="str">
        <f>_xll.BDP("92823PEL Muni","MUNI_FED_TAX")</f>
        <v>N</v>
      </c>
      <c r="R2246" t="str">
        <f>_xll.BDP("92823PEL Muni","MUNI_MSRB_VOLUME")</f>
        <v>#N/A N/A</v>
      </c>
      <c r="S2246" t="str">
        <f>_xll.BDP("92823PEL Muni","BB_COMPOSITE")</f>
        <v>#N/A N/A</v>
      </c>
      <c r="T2246">
        <f>_xll.BDP("92823PEL Muni","LQA_LIQUIDITY_SCORE")</f>
        <v>86</v>
      </c>
    </row>
    <row r="2247" spans="1:20" x14ac:dyDescent="0.25">
      <c r="A2247" t="str">
        <f>_xll.BDP("92823PEM Muni","ID_CUSIP")</f>
        <v>92823PEM4</v>
      </c>
      <c r="B2247" t="s">
        <v>560</v>
      </c>
      <c r="C2247" t="str">
        <f>_xll.BDP("92823PEM Muni","INSURANCE_STATUS")</f>
        <v>Y</v>
      </c>
      <c r="D2247" t="str">
        <f>_xll.BDP("92823PEM Muni","STATE_CODE")</f>
        <v>TX</v>
      </c>
      <c r="E2247" t="str">
        <f>_xll.BDP("92823PEM Muni","COUNTY_LOCATION_ISSUER")</f>
        <v>Dallas, TX</v>
      </c>
      <c r="F2247">
        <f>_xll.BDP("92823PEM Muni","DUR_ADJ_MID")</f>
        <v>1.3037859414784381</v>
      </c>
      <c r="G2247">
        <f>_xll.BDP("92823PEM Muni","SPREAD_AT_ISSUANCE_TO_WORST")</f>
        <v>61.984161643835598</v>
      </c>
      <c r="H2247" t="str">
        <f>_xll.BDP("92823PEM Muni","ISSUE_DT")</f>
        <v>10/1/2017</v>
      </c>
      <c r="I2247" t="str">
        <f>_xll.BDS("92823PEM Muni","MUNI_PURPOSE_SCHED", "aggregate=y")</f>
        <v>WATER UTILITY IMPS. SEWER IMPS.</v>
      </c>
      <c r="J2247">
        <f>_xll.BDP("92823PEM Muni","CPN")</f>
        <v>2</v>
      </c>
      <c r="K2247" t="str">
        <f>_xll.BDP("92823PEM Muni","MATURITY")</f>
        <v>12/1/2023</v>
      </c>
      <c r="L2247">
        <v>20000</v>
      </c>
      <c r="M2247">
        <f>_xll.BDP("92823PEM Muni","YIELD_ON_ISSUE_DATE")</f>
        <v>2.0499999999999998</v>
      </c>
      <c r="N2247">
        <f>_xll.BDP("92823PEM Muni","YTW_SPREAD_TO_MATURITY_AT_ISSU")</f>
        <v>61.984161643835598</v>
      </c>
      <c r="O2247" t="str">
        <f>_xll.BDP("92823PEM Muni","BVAL_MID_YTM")</f>
        <v>#N/A Authorization</v>
      </c>
      <c r="P2247" t="str">
        <f>_xll.BDP("92823PEM Muni","MUNI_TAX_PROV")</f>
        <v>FED TAX-EXEMPT</v>
      </c>
      <c r="Q2247" t="str">
        <f>_xll.BDP("92823PEM Muni","MUNI_FED_TAX")</f>
        <v>N</v>
      </c>
      <c r="R2247" t="str">
        <f>_xll.BDP("92823PEM Muni","MUNI_MSRB_VOLUME")</f>
        <v>#N/A N/A</v>
      </c>
      <c r="S2247" t="str">
        <f>_xll.BDP("92823PEM Muni","BB_COMPOSITE")</f>
        <v>#N/A N/A</v>
      </c>
      <c r="T2247">
        <f>_xll.BDP("92823PEM Muni","LQA_LIQUIDITY_SCORE")</f>
        <v>68</v>
      </c>
    </row>
    <row r="2248" spans="1:20" x14ac:dyDescent="0.25">
      <c r="A2248" t="str">
        <f>_xll.BDP("92823PEN Muni","ID_CUSIP")</f>
        <v>92823PEN2</v>
      </c>
      <c r="B2248" t="s">
        <v>560</v>
      </c>
      <c r="C2248" t="str">
        <f>_xll.BDP("92823PEN Muni","INSURANCE_STATUS")</f>
        <v>Y</v>
      </c>
      <c r="D2248" t="str">
        <f>_xll.BDP("92823PEN Muni","STATE_CODE")</f>
        <v>TX</v>
      </c>
      <c r="E2248" t="str">
        <f>_xll.BDP("92823PEN Muni","COUNTY_LOCATION_ISSUER")</f>
        <v>Dallas, TX</v>
      </c>
      <c r="F2248">
        <f>_xll.BDP("92823PEN Muni","DUR_ADJ_MID")</f>
        <v>2.2354672373762834</v>
      </c>
      <c r="G2248">
        <f>_xll.BDP("92823PEN Muni","SPREAD_AT_ISSUANCE_TO_WORST")</f>
        <v>62.875227397260282</v>
      </c>
      <c r="H2248" t="str">
        <f>_xll.BDP("92823PEN Muni","ISSUE_DT")</f>
        <v>10/1/2017</v>
      </c>
      <c r="I2248" t="str">
        <f>_xll.BDS("92823PEN Muni","MUNI_PURPOSE_SCHED", "aggregate=y")</f>
        <v>WATER UTILITY IMPS. SEWER IMPS.</v>
      </c>
      <c r="J2248">
        <f>_xll.BDP("92823PEN Muni","CPN")</f>
        <v>3</v>
      </c>
      <c r="K2248" t="str">
        <f>_xll.BDP("92823PEN Muni","MATURITY")</f>
        <v>12/1/2024</v>
      </c>
      <c r="L2248">
        <v>20000</v>
      </c>
      <c r="M2248">
        <f>_xll.BDP("92823PEN Muni","YIELD_ON_ISSUE_DATE")</f>
        <v>2.2000000000000002</v>
      </c>
      <c r="N2248">
        <f>_xll.BDP("92823PEN Muni","YTW_SPREAD_TO_MATURITY_AT_ISSU")</f>
        <v>62.875227397260282</v>
      </c>
      <c r="O2248" t="str">
        <f>_xll.BDP("92823PEN Muni","BVAL_MID_YTM")</f>
        <v>#N/A Authorization</v>
      </c>
      <c r="P2248" t="str">
        <f>_xll.BDP("92823PEN Muni","MUNI_TAX_PROV")</f>
        <v>FED TAX-EXEMPT</v>
      </c>
      <c r="Q2248" t="str">
        <f>_xll.BDP("92823PEN Muni","MUNI_FED_TAX")</f>
        <v>N</v>
      </c>
      <c r="R2248" t="str">
        <f>_xll.BDP("92823PEN Muni","MUNI_MSRB_VOLUME")</f>
        <v>#N/A N/A</v>
      </c>
      <c r="S2248" t="str">
        <f>_xll.BDP("92823PEN Muni","BB_COMPOSITE")</f>
        <v>#N/A N/A</v>
      </c>
      <c r="T2248">
        <f>_xll.BDP("92823PEN Muni","LQA_LIQUIDITY_SCORE")</f>
        <v>67</v>
      </c>
    </row>
    <row r="2249" spans="1:20" x14ac:dyDescent="0.25">
      <c r="A2249" t="str">
        <f>_xll.BDP("770247RK Muni","ID_CUSIP")</f>
        <v>770247RK2</v>
      </c>
      <c r="B2249" t="s">
        <v>561</v>
      </c>
      <c r="C2249" t="str">
        <f>_xll.BDP("770247RK Muni","INSURANCE_STATUS")</f>
        <v>N</v>
      </c>
      <c r="D2249" t="str">
        <f>_xll.BDP("770247RK Muni","STATE_CODE")</f>
        <v>MN</v>
      </c>
      <c r="E2249" t="str">
        <f>_xll.BDP("770247RK Muni","COUNTY_LOCATION_ISSUER")</f>
        <v>Hennepin, MN</v>
      </c>
      <c r="F2249">
        <f>_xll.BDP("770247RK Muni","DUR_ADJ_MID")</f>
        <v>0.49447002903174159</v>
      </c>
      <c r="G2249">
        <f>_xll.BDP("770247RK Muni","SPREAD_AT_ISSUANCE_TO_WORST")</f>
        <v>9.6539568536015743</v>
      </c>
      <c r="H2249" t="str">
        <f>_xll.BDP("770247RK Muni","ISSUE_DT")</f>
        <v>9/14/2017</v>
      </c>
      <c r="I2249" t="str">
        <f>_xll.BDS("770247RK Muni","MUNI_PURPOSE_SCHED", "aggregate=y")</f>
        <v>WATER UTILITY IMPS. SEWER IMPS. PUBLIC IMPS.</v>
      </c>
      <c r="J2249">
        <f>_xll.BDP("770247RK Muni","CPN")</f>
        <v>3</v>
      </c>
      <c r="K2249" t="str">
        <f>_xll.BDP("770247RK Muni","MATURITY")</f>
        <v>2/1/2023</v>
      </c>
      <c r="L2249">
        <v>310000</v>
      </c>
      <c r="M2249">
        <f>_xll.BDP("770247RK Muni","YIELD_ON_ISSUE_DATE")</f>
        <v>1.3</v>
      </c>
      <c r="N2249">
        <f>_xll.BDP("770247RK Muni","YTW_SPREAD_TO_MATURITY_AT_ISSU")</f>
        <v>9.6539568536015743</v>
      </c>
      <c r="O2249" t="str">
        <f>_xll.BDP("770247RK Muni","BVAL_MID_YTM")</f>
        <v>#N/A Authorization</v>
      </c>
      <c r="P2249" t="str">
        <f>_xll.BDP("770247RK Muni","MUNI_TAX_PROV")</f>
        <v>FED BQ/ST TAX-EXEMPT</v>
      </c>
      <c r="Q2249" t="str">
        <f>_xll.BDP("770247RK Muni","MUNI_FED_TAX")</f>
        <v>N</v>
      </c>
      <c r="R2249" t="str">
        <f>_xll.BDP("770247RK Muni","MUNI_MSRB_VOLUME")</f>
        <v>#N/A N/A</v>
      </c>
      <c r="S2249" t="str">
        <f>_xll.BDP("770247RK Muni","BB_COMPOSITE")</f>
        <v>#N/A N/A</v>
      </c>
      <c r="T2249">
        <f>_xll.BDP("770247RK Muni","LQA_LIQUIDITY_SCORE")</f>
        <v>89</v>
      </c>
    </row>
    <row r="2250" spans="1:20" x14ac:dyDescent="0.25">
      <c r="A2250" t="str">
        <f>_xll.BDP("770247RL Muni","ID_CUSIP")</f>
        <v>770247RL0</v>
      </c>
      <c r="B2250" t="s">
        <v>561</v>
      </c>
      <c r="C2250" t="str">
        <f>_xll.BDP("770247RL Muni","INSURANCE_STATUS")</f>
        <v>N</v>
      </c>
      <c r="D2250" t="str">
        <f>_xll.BDP("770247RL Muni","STATE_CODE")</f>
        <v>MN</v>
      </c>
      <c r="E2250" t="str">
        <f>_xll.BDP("770247RL Muni","COUNTY_LOCATION_ISSUER")</f>
        <v>Hennepin, MN</v>
      </c>
      <c r="F2250">
        <f>_xll.BDP("770247RL Muni","DUR_ADJ_MID")</f>
        <v>1.4631580506118724</v>
      </c>
      <c r="G2250">
        <f>_xll.BDP("770247RL Muni","SPREAD_AT_ISSUANCE_TO_WORST")</f>
        <v>9.766109179037862</v>
      </c>
      <c r="H2250" t="str">
        <f>_xll.BDP("770247RL Muni","ISSUE_DT")</f>
        <v>9/14/2017</v>
      </c>
      <c r="I2250" t="str">
        <f>_xll.BDS("770247RL Muni","MUNI_PURPOSE_SCHED", "aggregate=y")</f>
        <v>WATER UTILITY IMPS. SEWER IMPS. PUBLIC IMPS.</v>
      </c>
      <c r="J2250">
        <f>_xll.BDP("770247RL Muni","CPN")</f>
        <v>3</v>
      </c>
      <c r="K2250" t="str">
        <f>_xll.BDP("770247RL Muni","MATURITY")</f>
        <v>2/1/2024</v>
      </c>
      <c r="L2250">
        <v>320000</v>
      </c>
      <c r="M2250">
        <f>_xll.BDP("770247RL Muni","YIELD_ON_ISSUE_DATE")</f>
        <v>1.45</v>
      </c>
      <c r="N2250">
        <f>_xll.BDP("770247RL Muni","YTW_SPREAD_TO_MATURITY_AT_ISSU")</f>
        <v>9.766109179037862</v>
      </c>
      <c r="O2250" t="str">
        <f>_xll.BDP("770247RL Muni","BVAL_MID_YTM")</f>
        <v>#N/A Authorization</v>
      </c>
      <c r="P2250" t="str">
        <f>_xll.BDP("770247RL Muni","MUNI_TAX_PROV")</f>
        <v>FED BQ/ST TAX-EXEMPT</v>
      </c>
      <c r="Q2250" t="str">
        <f>_xll.BDP("770247RL Muni","MUNI_FED_TAX")</f>
        <v>N</v>
      </c>
      <c r="R2250" t="str">
        <f>_xll.BDP("770247RL Muni","MUNI_MSRB_VOLUME")</f>
        <v>#N/A N/A</v>
      </c>
      <c r="S2250" t="str">
        <f>_xll.BDP("770247RL Muni","BB_COMPOSITE")</f>
        <v>#N/A N/A</v>
      </c>
      <c r="T2250">
        <f>_xll.BDP("770247RL Muni","LQA_LIQUIDITY_SCORE")</f>
        <v>74</v>
      </c>
    </row>
    <row r="2251" spans="1:20" x14ac:dyDescent="0.25">
      <c r="A2251" t="str">
        <f>_xll.BDP("770247RM Muni","ID_CUSIP")</f>
        <v>770247RM8</v>
      </c>
      <c r="B2251" t="s">
        <v>561</v>
      </c>
      <c r="C2251" t="str">
        <f>_xll.BDP("770247RM Muni","INSURANCE_STATUS")</f>
        <v>N</v>
      </c>
      <c r="D2251" t="str">
        <f>_xll.BDP("770247RM Muni","STATE_CODE")</f>
        <v>MN</v>
      </c>
      <c r="E2251" t="str">
        <f>_xll.BDP("770247RM Muni","COUNTY_LOCATION_ISSUER")</f>
        <v>Hennepin, MN</v>
      </c>
      <c r="F2251">
        <f>_xll.BDP("770247RM Muni","DUR_ADJ_MID")</f>
        <v>2.4037310995915946</v>
      </c>
      <c r="G2251">
        <f>_xll.BDP("770247RM Muni","SPREAD_AT_ISSUANCE_TO_WORST")</f>
        <v>14.656294342643928</v>
      </c>
      <c r="H2251" t="str">
        <f>_xll.BDP("770247RM Muni","ISSUE_DT")</f>
        <v>9/14/2017</v>
      </c>
      <c r="I2251" t="str">
        <f>_xll.BDS("770247RM Muni","MUNI_PURPOSE_SCHED", "aggregate=y")</f>
        <v>WATER UTILITY IMPS. SEWER IMPS. PUBLIC IMPS.</v>
      </c>
      <c r="J2251">
        <f>_xll.BDP("770247RM Muni","CPN")</f>
        <v>3</v>
      </c>
      <c r="K2251" t="str">
        <f>_xll.BDP("770247RM Muni","MATURITY")</f>
        <v>2/1/2025</v>
      </c>
      <c r="L2251">
        <v>325000</v>
      </c>
      <c r="M2251">
        <f>_xll.BDP("770247RM Muni","YIELD_ON_ISSUE_DATE")</f>
        <v>1.6500000000000001</v>
      </c>
      <c r="N2251">
        <f>_xll.BDP("770247RM Muni","YTW_SPREAD_TO_MATURITY_AT_ISSU")</f>
        <v>14.656294342643928</v>
      </c>
      <c r="O2251" t="str">
        <f>_xll.BDP("770247RM Muni","BVAL_MID_YTM")</f>
        <v>#N/A Authorization</v>
      </c>
      <c r="P2251" t="str">
        <f>_xll.BDP("770247RM Muni","MUNI_TAX_PROV")</f>
        <v>FED BQ/ST TAX-EXEMPT</v>
      </c>
      <c r="Q2251" t="str">
        <f>_xll.BDP("770247RM Muni","MUNI_FED_TAX")</f>
        <v>N</v>
      </c>
      <c r="R2251" t="str">
        <f>_xll.BDP("770247RM Muni","MUNI_MSRB_VOLUME")</f>
        <v>#N/A N/A</v>
      </c>
      <c r="S2251" t="str">
        <f>_xll.BDP("770247RM Muni","BB_COMPOSITE")</f>
        <v>#N/A N/A</v>
      </c>
      <c r="T2251">
        <f>_xll.BDP("770247RM Muni","LQA_LIQUIDITY_SCORE")</f>
        <v>64</v>
      </c>
    </row>
    <row r="2252" spans="1:20" x14ac:dyDescent="0.25">
      <c r="A2252" t="str">
        <f>_xll.BDP("770873PV Muni","ID_CUSIP")</f>
        <v>770873PV3</v>
      </c>
      <c r="B2252" t="s">
        <v>562</v>
      </c>
      <c r="C2252" t="str">
        <f>_xll.BDP("770873PV Muni","INSURANCE_STATUS")</f>
        <v>Y</v>
      </c>
      <c r="D2252" t="str">
        <f>_xll.BDP("770873PV Muni","STATE_CODE")</f>
        <v>PA</v>
      </c>
      <c r="E2252" t="str">
        <f>_xll.BDP("770873PV Muni","COUNTY_LOCATION_ISSUER")</f>
        <v>Allegheny, PA</v>
      </c>
      <c r="F2252">
        <f>_xll.BDP("770873PV Muni","DUR_ADJ_MID")</f>
        <v>0.76942201440925251</v>
      </c>
      <c r="G2252">
        <f>_xll.BDP("770873PV Muni","SPREAD_AT_ISSUANCE_TO_WORST")</f>
        <v>45.059620554610923</v>
      </c>
      <c r="H2252" t="str">
        <f>_xll.BDP("770873PV Muni","ISSUE_DT")</f>
        <v>4/6/2017</v>
      </c>
      <c r="I2252" t="str">
        <f>_xll.BDS("770873PV Muni","MUNI_PURPOSE_SCHED", "aggregate=y")</f>
        <v>CURRENT REFUNDING WATER UTILITY IMPS. SEWER IMPS.</v>
      </c>
      <c r="J2252">
        <f>_xll.BDP("770873PV Muni","CPN")</f>
        <v>5</v>
      </c>
      <c r="K2252" t="str">
        <f>_xll.BDP("770873PV Muni","MATURITY")</f>
        <v>5/15/2023</v>
      </c>
      <c r="L2252">
        <v>1025000</v>
      </c>
      <c r="M2252">
        <f>_xll.BDP("770873PV Muni","YIELD_ON_ISSUE_DATE")</f>
        <v>2.31</v>
      </c>
      <c r="N2252">
        <f>_xll.BDP("770873PV Muni","YTW_SPREAD_TO_MATURITY_AT_ISSU")</f>
        <v>45.059620554610923</v>
      </c>
      <c r="O2252" t="str">
        <f>_xll.BDP("770873PV Muni","BVAL_MID_YTM")</f>
        <v>#N/A Authorization</v>
      </c>
      <c r="P2252" t="str">
        <f>_xll.BDP("770873PV Muni","MUNI_TAX_PROV")</f>
        <v>FED &amp; ST TAX-EXEMPT</v>
      </c>
      <c r="Q2252" t="str">
        <f>_xll.BDP("770873PV Muni","MUNI_FED_TAX")</f>
        <v>N</v>
      </c>
      <c r="R2252" t="str">
        <f>_xll.BDP("770873PV Muni","MUNI_MSRB_VOLUME")</f>
        <v>#N/A N/A</v>
      </c>
      <c r="S2252" t="str">
        <f>_xll.BDP("770873PV Muni","BB_COMPOSITE")</f>
        <v>#N/A N/A</v>
      </c>
      <c r="T2252">
        <f>_xll.BDP("770873PV Muni","LQA_LIQUIDITY_SCORE")</f>
        <v>93</v>
      </c>
    </row>
    <row r="2253" spans="1:20" x14ac:dyDescent="0.25">
      <c r="A2253" t="str">
        <f>_xll.BDP("770873PW Muni","ID_CUSIP")</f>
        <v>770873PW1</v>
      </c>
      <c r="B2253" t="s">
        <v>562</v>
      </c>
      <c r="C2253" t="str">
        <f>_xll.BDP("770873PW Muni","INSURANCE_STATUS")</f>
        <v>Y</v>
      </c>
      <c r="D2253" t="str">
        <f>_xll.BDP("770873PW Muni","STATE_CODE")</f>
        <v>PA</v>
      </c>
      <c r="E2253" t="str">
        <f>_xll.BDP("770873PW Muni","COUNTY_LOCATION_ISSUER")</f>
        <v>Allegheny, PA</v>
      </c>
      <c r="F2253">
        <f>_xll.BDP("770873PW Muni","DUR_ADJ_MID")</f>
        <v>1.7028679217735825</v>
      </c>
      <c r="G2253">
        <f>_xll.BDP("770873PW Muni","SPREAD_AT_ISSUANCE_TO_WORST")</f>
        <v>53.75189290002416</v>
      </c>
      <c r="H2253" t="str">
        <f>_xll.BDP("770873PW Muni","ISSUE_DT")</f>
        <v>4/6/2017</v>
      </c>
      <c r="I2253" t="str">
        <f>_xll.BDS("770873PW Muni","MUNI_PURPOSE_SCHED", "aggregate=y")</f>
        <v>CURRENT REFUNDING WATER UTILITY IMPS. SEWER IMPS.</v>
      </c>
      <c r="J2253">
        <f>_xll.BDP("770873PW Muni","CPN")</f>
        <v>5</v>
      </c>
      <c r="K2253" t="str">
        <f>_xll.BDP("770873PW Muni","MATURITY")</f>
        <v>5/15/2024</v>
      </c>
      <c r="L2253">
        <v>1080000</v>
      </c>
      <c r="M2253">
        <f>_xll.BDP("770873PW Muni","YIELD_ON_ISSUE_DATE")</f>
        <v>2.56</v>
      </c>
      <c r="N2253">
        <f>_xll.BDP("770873PW Muni","YTW_SPREAD_TO_MATURITY_AT_ISSU")</f>
        <v>53.75189290002416</v>
      </c>
      <c r="O2253" t="str">
        <f>_xll.BDP("770873PW Muni","BVAL_MID_YTM")</f>
        <v>#N/A Authorization</v>
      </c>
      <c r="P2253" t="str">
        <f>_xll.BDP("770873PW Muni","MUNI_TAX_PROV")</f>
        <v>FED &amp; ST TAX-EXEMPT</v>
      </c>
      <c r="Q2253" t="str">
        <f>_xll.BDP("770873PW Muni","MUNI_FED_TAX")</f>
        <v>N</v>
      </c>
      <c r="R2253">
        <f>_xll.BDP("770873PW Muni","MUNI_MSRB_VOLUME")</f>
        <v>45000</v>
      </c>
      <c r="S2253" t="str">
        <f>_xll.BDP("770873PW Muni","BB_COMPOSITE")</f>
        <v>#N/A N/A</v>
      </c>
      <c r="T2253">
        <f>_xll.BDP("770873PW Muni","LQA_LIQUIDITY_SCORE")</f>
        <v>82</v>
      </c>
    </row>
    <row r="2254" spans="1:20" x14ac:dyDescent="0.25">
      <c r="A2254" t="str">
        <f>_xll.BDP("770873PX Muni","ID_CUSIP")</f>
        <v>770873PX9</v>
      </c>
      <c r="B2254" t="s">
        <v>562</v>
      </c>
      <c r="C2254" t="str">
        <f>_xll.BDP("770873PX Muni","INSURANCE_STATUS")</f>
        <v>Y</v>
      </c>
      <c r="D2254" t="str">
        <f>_xll.BDP("770873PX Muni","STATE_CODE")</f>
        <v>PA</v>
      </c>
      <c r="E2254" t="str">
        <f>_xll.BDP("770873PX Muni","COUNTY_LOCATION_ISSUER")</f>
        <v>Allegheny, PA</v>
      </c>
      <c r="F2254">
        <f>_xll.BDP("770873PX Muni","DUR_ADJ_MID")</f>
        <v>2.5951267619227498</v>
      </c>
      <c r="G2254">
        <f>_xll.BDP("770873PX Muni","SPREAD_AT_ISSUANCE_TO_WORST")</f>
        <v>58.150669069586726</v>
      </c>
      <c r="H2254" t="str">
        <f>_xll.BDP("770873PX Muni","ISSUE_DT")</f>
        <v>4/6/2017</v>
      </c>
      <c r="I2254" t="str">
        <f>_xll.BDS("770873PX Muni","MUNI_PURPOSE_SCHED", "aggregate=y")</f>
        <v>CURRENT REFUNDING WATER UTILITY IMPS. SEWER IMPS.</v>
      </c>
      <c r="J2254">
        <f>_xll.BDP("770873PX Muni","CPN")</f>
        <v>5</v>
      </c>
      <c r="K2254" t="str">
        <f>_xll.BDP("770873PX Muni","MATURITY")</f>
        <v>5/15/2025</v>
      </c>
      <c r="L2254">
        <v>1135000</v>
      </c>
      <c r="M2254">
        <f>_xll.BDP("770873PX Muni","YIELD_ON_ISSUE_DATE")</f>
        <v>2.7600000000000002</v>
      </c>
      <c r="N2254">
        <f>_xll.BDP("770873PX Muni","YTW_SPREAD_TO_MATURITY_AT_ISSU")</f>
        <v>58.150669069586726</v>
      </c>
      <c r="O2254" t="str">
        <f>_xll.BDP("770873PX Muni","BVAL_MID_YTM")</f>
        <v>#N/A Authorization</v>
      </c>
      <c r="P2254" t="str">
        <f>_xll.BDP("770873PX Muni","MUNI_TAX_PROV")</f>
        <v>FED &amp; ST TAX-EXEMPT</v>
      </c>
      <c r="Q2254" t="str">
        <f>_xll.BDP("770873PX Muni","MUNI_FED_TAX")</f>
        <v>N</v>
      </c>
      <c r="R2254">
        <f>_xll.BDP("770873PX Muni","MUNI_MSRB_VOLUME")</f>
        <v>75000</v>
      </c>
      <c r="S2254" t="str">
        <f>_xll.BDP("770873PX Muni","BB_COMPOSITE")</f>
        <v>#N/A N/A</v>
      </c>
      <c r="T2254">
        <f>_xll.BDP("770873PX Muni","LQA_LIQUIDITY_SCORE")</f>
        <v>75</v>
      </c>
    </row>
    <row r="2255" spans="1:20" x14ac:dyDescent="0.25">
      <c r="A2255" t="str">
        <f>_xll.BDP("770873PY Muni","ID_CUSIP")</f>
        <v>770873PY7</v>
      </c>
      <c r="B2255" t="s">
        <v>562</v>
      </c>
      <c r="C2255" t="str">
        <f>_xll.BDP("770873PY Muni","INSURANCE_STATUS")</f>
        <v>Y</v>
      </c>
      <c r="D2255" t="str">
        <f>_xll.BDP("770873PY Muni","STATE_CODE")</f>
        <v>PA</v>
      </c>
      <c r="E2255" t="str">
        <f>_xll.BDP("770873PY Muni","COUNTY_LOCATION_ISSUER")</f>
        <v>Allegheny, PA</v>
      </c>
      <c r="F2255">
        <f>_xll.BDP("770873PY Muni","DUR_ADJ_MID")</f>
        <v>3.4495411739135888</v>
      </c>
      <c r="G2255">
        <f>_xll.BDP("770873PY Muni","SPREAD_AT_ISSUANCE_TO_WORST")</f>
        <v>59.75107729949984</v>
      </c>
      <c r="H2255" t="str">
        <f>_xll.BDP("770873PY Muni","ISSUE_DT")</f>
        <v>4/6/2017</v>
      </c>
      <c r="I2255" t="str">
        <f>_xll.BDS("770873PY Muni","MUNI_PURPOSE_SCHED", "aggregate=y")</f>
        <v>CURRENT REFUNDING WATER UTILITY IMPS. SEWER IMPS.</v>
      </c>
      <c r="J2255">
        <f>_xll.BDP("770873PY Muni","CPN")</f>
        <v>5</v>
      </c>
      <c r="K2255" t="str">
        <f>_xll.BDP("770873PY Muni","MATURITY")</f>
        <v>5/15/2026</v>
      </c>
      <c r="L2255">
        <v>1195000</v>
      </c>
      <c r="M2255">
        <f>_xll.BDP("770873PY Muni","YIELD_ON_ISSUE_DATE")</f>
        <v>2.91</v>
      </c>
      <c r="N2255">
        <f>_xll.BDP("770873PY Muni","YTW_SPREAD_TO_MATURITY_AT_ISSU")</f>
        <v>59.75107729949984</v>
      </c>
      <c r="O2255" t="str">
        <f>_xll.BDP("770873PY Muni","BVAL_MID_YTM")</f>
        <v>#N/A Authorization</v>
      </c>
      <c r="P2255" t="str">
        <f>_xll.BDP("770873PY Muni","MUNI_TAX_PROV")</f>
        <v>FED &amp; ST TAX-EXEMPT</v>
      </c>
      <c r="Q2255" t="str">
        <f>_xll.BDP("770873PY Muni","MUNI_FED_TAX")</f>
        <v>N</v>
      </c>
      <c r="R2255" t="str">
        <f>_xll.BDP("770873PY Muni","MUNI_MSRB_VOLUME")</f>
        <v>#N/A N/A</v>
      </c>
      <c r="S2255" t="str">
        <f>_xll.BDP("770873PY Muni","BB_COMPOSITE")</f>
        <v>#N/A N/A</v>
      </c>
      <c r="T2255">
        <f>_xll.BDP("770873PY Muni","LQA_LIQUIDITY_SCORE")</f>
        <v>70</v>
      </c>
    </row>
    <row r="2256" spans="1:20" x14ac:dyDescent="0.25">
      <c r="A2256" t="str">
        <f>_xll.BDP("913407HY Muni","ID_CUSIP")</f>
        <v>913407HY1</v>
      </c>
      <c r="B2256" t="s">
        <v>155</v>
      </c>
      <c r="C2256" t="str">
        <f>_xll.BDP("913407HY Muni","INSURANCE_STATUS")</f>
        <v>N</v>
      </c>
      <c r="D2256" t="str">
        <f>_xll.BDP("913407HY Muni","STATE_CODE")</f>
        <v>TX</v>
      </c>
      <c r="E2256" t="str">
        <f>_xll.BDP("913407HY Muni","COUNTY_LOCATION_ISSUER")</f>
        <v>Bexar, TX</v>
      </c>
      <c r="F2256">
        <f>_xll.BDP("913407HY Muni","DUR_ADJ_MID")</f>
        <v>2.9040549827684448</v>
      </c>
      <c r="G2256">
        <f>_xll.BDP("913407HY Muni","SPREAD_AT_ISSUANCE_TO_WORST")</f>
        <v>15.856208449470266</v>
      </c>
      <c r="H2256" t="str">
        <f>_xll.BDP("913407HY Muni","ISSUE_DT")</f>
        <v>6/15/2017</v>
      </c>
      <c r="I2256" t="str">
        <f>_xll.BDS("913407HY Muni","MUNI_PURPOSE_SCHED", "aggregate=y")</f>
        <v>WATER UTILITY IMPS. SEWER IMPS.</v>
      </c>
      <c r="J2256">
        <f>_xll.BDP("913407HY Muni","CPN")</f>
        <v>3</v>
      </c>
      <c r="K2256" t="str">
        <f>_xll.BDP("913407HY Muni","MATURITY")</f>
        <v>9/1/2025</v>
      </c>
      <c r="L2256">
        <v>135000</v>
      </c>
      <c r="M2256">
        <f>_xll.BDP("913407HY Muni","YIELD_ON_ISSUE_DATE")</f>
        <v>1.8</v>
      </c>
      <c r="N2256">
        <f>_xll.BDP("913407HY Muni","YTW_SPREAD_TO_MATURITY_AT_ISSU")</f>
        <v>15.856208449470266</v>
      </c>
      <c r="O2256" t="str">
        <f>_xll.BDP("913407HY Muni","BVAL_MID_YTM")</f>
        <v>#N/A Authorization</v>
      </c>
      <c r="P2256" t="str">
        <f>_xll.BDP("913407HY Muni","MUNI_TAX_PROV")</f>
        <v>FED BQ</v>
      </c>
      <c r="Q2256" t="str">
        <f>_xll.BDP("913407HY Muni","MUNI_FED_TAX")</f>
        <v>N</v>
      </c>
      <c r="R2256" t="str">
        <f>_xll.BDP("913407HY Muni","MUNI_MSRB_VOLUME")</f>
        <v>#N/A N/A</v>
      </c>
      <c r="S2256" t="str">
        <f>_xll.BDP("913407HY Muni","BB_COMPOSITE")</f>
        <v>#N/A N/A</v>
      </c>
      <c r="T2256">
        <f>_xll.BDP("913407HY Muni","LQA_LIQUIDITY_SCORE")</f>
        <v>68</v>
      </c>
    </row>
    <row r="2257" spans="1:20" x14ac:dyDescent="0.25">
      <c r="A2257" t="str">
        <f>_xll.BDP("913407HX Muni","ID_CUSIP")</f>
        <v>913407HX3</v>
      </c>
      <c r="B2257" t="s">
        <v>155</v>
      </c>
      <c r="C2257" t="str">
        <f>_xll.BDP("913407HX Muni","INSURANCE_STATUS")</f>
        <v>N</v>
      </c>
      <c r="D2257" t="str">
        <f>_xll.BDP("913407HX Muni","STATE_CODE")</f>
        <v>TX</v>
      </c>
      <c r="E2257" t="str">
        <f>_xll.BDP("913407HX Muni","COUNTY_LOCATION_ISSUER")</f>
        <v>Bexar, TX</v>
      </c>
      <c r="F2257">
        <f>_xll.BDP("913407HX Muni","DUR_ADJ_MID")</f>
        <v>1.9905013162220428</v>
      </c>
      <c r="G2257">
        <f>_xll.BDP("913407HX Muni","SPREAD_AT_ISSUANCE_TO_WORST")</f>
        <v>16.133220247065051</v>
      </c>
      <c r="H2257" t="str">
        <f>_xll.BDP("913407HX Muni","ISSUE_DT")</f>
        <v>6/15/2017</v>
      </c>
      <c r="I2257" t="str">
        <f>_xll.BDS("913407HX Muni","MUNI_PURPOSE_SCHED", "aggregate=y")</f>
        <v>WATER UTILITY IMPS. SEWER IMPS.</v>
      </c>
      <c r="J2257">
        <f>_xll.BDP("913407HX Muni","CPN")</f>
        <v>3</v>
      </c>
      <c r="K2257" t="str">
        <f>_xll.BDP("913407HX Muni","MATURITY")</f>
        <v>9/1/2024</v>
      </c>
      <c r="L2257">
        <v>130000</v>
      </c>
      <c r="M2257">
        <f>_xll.BDP("913407HX Muni","YIELD_ON_ISSUE_DATE")</f>
        <v>1.6500000000000001</v>
      </c>
      <c r="N2257">
        <f>_xll.BDP("913407HX Muni","YTW_SPREAD_TO_MATURITY_AT_ISSU")</f>
        <v>16.133220247065051</v>
      </c>
      <c r="O2257" t="str">
        <f>_xll.BDP("913407HX Muni","BVAL_MID_YTM")</f>
        <v>#N/A Authorization</v>
      </c>
      <c r="P2257" t="str">
        <f>_xll.BDP("913407HX Muni","MUNI_TAX_PROV")</f>
        <v>FED BQ</v>
      </c>
      <c r="Q2257" t="str">
        <f>_xll.BDP("913407HX Muni","MUNI_FED_TAX")</f>
        <v>N</v>
      </c>
      <c r="R2257" t="str">
        <f>_xll.BDP("913407HX Muni","MUNI_MSRB_VOLUME")</f>
        <v>#N/A N/A</v>
      </c>
      <c r="S2257" t="str">
        <f>_xll.BDP("913407HX Muni","BB_COMPOSITE")</f>
        <v>#N/A N/A</v>
      </c>
      <c r="T2257">
        <f>_xll.BDP("913407HX Muni","LQA_LIQUIDITY_SCORE")</f>
        <v>80</v>
      </c>
    </row>
    <row r="2258" spans="1:20" x14ac:dyDescent="0.25">
      <c r="A2258" t="str">
        <f>_xll.BDP("913407HW Muni","ID_CUSIP")</f>
        <v>913407HW5</v>
      </c>
      <c r="B2258" t="s">
        <v>155</v>
      </c>
      <c r="C2258" t="str">
        <f>_xll.BDP("913407HW Muni","INSURANCE_STATUS")</f>
        <v>N</v>
      </c>
      <c r="D2258" t="str">
        <f>_xll.BDP("913407HW Muni","STATE_CODE")</f>
        <v>TX</v>
      </c>
      <c r="E2258" t="str">
        <f>_xll.BDP("913407HW Muni","COUNTY_LOCATION_ISSUER")</f>
        <v>Bexar, TX</v>
      </c>
      <c r="F2258">
        <f>_xll.BDP("913407HW Muni","DUR_ADJ_MID")</f>
        <v>1.0501928214708776</v>
      </c>
      <c r="G2258">
        <f>_xll.BDP("913407HW Muni","SPREAD_AT_ISSUANCE_TO_WORST")</f>
        <v>16.847884669666179</v>
      </c>
      <c r="H2258" t="str">
        <f>_xll.BDP("913407HW Muni","ISSUE_DT")</f>
        <v>6/15/2017</v>
      </c>
      <c r="I2258" t="str">
        <f>_xll.BDS("913407HW Muni","MUNI_PURPOSE_SCHED", "aggregate=y")</f>
        <v>WATER UTILITY IMPS. SEWER IMPS.</v>
      </c>
      <c r="J2258">
        <f>_xll.BDP("913407HW Muni","CPN")</f>
        <v>3</v>
      </c>
      <c r="K2258" t="str">
        <f>_xll.BDP("913407HW Muni","MATURITY")</f>
        <v>9/1/2023</v>
      </c>
      <c r="L2258">
        <v>130000</v>
      </c>
      <c r="M2258">
        <f>_xll.BDP("913407HW Muni","YIELD_ON_ISSUE_DATE")</f>
        <v>1.5</v>
      </c>
      <c r="N2258">
        <f>_xll.BDP("913407HW Muni","YTW_SPREAD_TO_MATURITY_AT_ISSU")</f>
        <v>16.847884669666179</v>
      </c>
      <c r="O2258" t="str">
        <f>_xll.BDP("913407HW Muni","BVAL_MID_YTM")</f>
        <v>#N/A Authorization</v>
      </c>
      <c r="P2258" t="str">
        <f>_xll.BDP("913407HW Muni","MUNI_TAX_PROV")</f>
        <v>FED BQ</v>
      </c>
      <c r="Q2258" t="str">
        <f>_xll.BDP("913407HW Muni","MUNI_FED_TAX")</f>
        <v>N</v>
      </c>
      <c r="R2258" t="str">
        <f>_xll.BDP("913407HW Muni","MUNI_MSRB_VOLUME")</f>
        <v>#N/A N/A</v>
      </c>
      <c r="S2258" t="str">
        <f>_xll.BDP("913407HW Muni","BB_COMPOSITE")</f>
        <v>#N/A N/A</v>
      </c>
      <c r="T2258">
        <f>_xll.BDP("913407HW Muni","LQA_LIQUIDITY_SCORE")</f>
        <v>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258"/>
  <sheetViews>
    <sheetView tabSelected="1" workbookViewId="0">
      <selection activeCell="V11" sqref="V11"/>
    </sheetView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 t="s">
        <v>585</v>
      </c>
      <c r="B2" t="s">
        <v>20</v>
      </c>
      <c r="C2" t="s">
        <v>586</v>
      </c>
      <c r="D2" t="s">
        <v>587</v>
      </c>
      <c r="E2" t="s">
        <v>588</v>
      </c>
      <c r="F2">
        <v>3.0299719197408277</v>
      </c>
      <c r="G2">
        <v>23.73827601678795</v>
      </c>
      <c r="H2" t="s">
        <v>589</v>
      </c>
      <c r="I2" t="s">
        <v>590</v>
      </c>
      <c r="J2">
        <v>4</v>
      </c>
      <c r="K2" t="s">
        <v>591</v>
      </c>
      <c r="L2">
        <v>31985000</v>
      </c>
      <c r="M2">
        <v>1.85</v>
      </c>
      <c r="N2">
        <v>23.73827601678795</v>
      </c>
      <c r="O2" t="s">
        <v>592</v>
      </c>
      <c r="P2" t="s">
        <v>593</v>
      </c>
      <c r="Q2" t="s">
        <v>586</v>
      </c>
      <c r="R2">
        <v>45000</v>
      </c>
      <c r="S2" t="s">
        <v>594</v>
      </c>
      <c r="T2">
        <v>77</v>
      </c>
    </row>
    <row r="3" spans="1:20" x14ac:dyDescent="0.25">
      <c r="A3" t="s">
        <v>595</v>
      </c>
      <c r="B3" t="s">
        <v>21</v>
      </c>
      <c r="C3" t="s">
        <v>586</v>
      </c>
      <c r="D3" t="s">
        <v>587</v>
      </c>
      <c r="E3" t="s">
        <v>588</v>
      </c>
      <c r="F3">
        <v>1.1200801314619979</v>
      </c>
      <c r="G3">
        <v>-2.7976382589976589</v>
      </c>
      <c r="H3" t="s">
        <v>596</v>
      </c>
      <c r="I3" t="s">
        <v>597</v>
      </c>
      <c r="J3">
        <v>5</v>
      </c>
      <c r="K3" t="s">
        <v>598</v>
      </c>
      <c r="L3">
        <v>39755000</v>
      </c>
      <c r="M3">
        <v>1.77</v>
      </c>
      <c r="N3">
        <v>-2.7976382589976589</v>
      </c>
      <c r="O3" t="s">
        <v>592</v>
      </c>
      <c r="P3" t="s">
        <v>593</v>
      </c>
      <c r="Q3" t="s">
        <v>586</v>
      </c>
      <c r="R3">
        <v>75000</v>
      </c>
      <c r="S3" t="s">
        <v>599</v>
      </c>
      <c r="T3">
        <v>95</v>
      </c>
    </row>
    <row r="4" spans="1:20" x14ac:dyDescent="0.25">
      <c r="A4" t="s">
        <v>600</v>
      </c>
      <c r="B4" t="s">
        <v>22</v>
      </c>
      <c r="C4" t="s">
        <v>586</v>
      </c>
      <c r="D4" t="s">
        <v>601</v>
      </c>
      <c r="E4" t="s">
        <v>602</v>
      </c>
      <c r="F4">
        <v>2.6809280077526085</v>
      </c>
      <c r="G4">
        <v>6.733772291209883</v>
      </c>
      <c r="H4" t="s">
        <v>603</v>
      </c>
      <c r="I4" t="s">
        <v>604</v>
      </c>
      <c r="J4">
        <v>5</v>
      </c>
      <c r="K4" t="s">
        <v>605</v>
      </c>
      <c r="L4">
        <v>19725000</v>
      </c>
      <c r="M4">
        <v>2.2400000000000002</v>
      </c>
      <c r="N4">
        <v>6.733772291209883</v>
      </c>
      <c r="O4" t="s">
        <v>592</v>
      </c>
      <c r="P4" t="s">
        <v>593</v>
      </c>
      <c r="Q4" t="s">
        <v>586</v>
      </c>
      <c r="R4">
        <v>100000</v>
      </c>
      <c r="S4" t="s">
        <v>599</v>
      </c>
      <c r="T4">
        <v>80</v>
      </c>
    </row>
    <row r="5" spans="1:20" x14ac:dyDescent="0.25">
      <c r="A5" t="s">
        <v>606</v>
      </c>
      <c r="B5" t="s">
        <v>23</v>
      </c>
      <c r="C5" t="s">
        <v>607</v>
      </c>
      <c r="D5" t="s">
        <v>608</v>
      </c>
      <c r="E5" t="s">
        <v>609</v>
      </c>
      <c r="F5">
        <v>1.0486591545700168</v>
      </c>
      <c r="G5">
        <v>39.541356164383565</v>
      </c>
      <c r="H5" t="s">
        <v>610</v>
      </c>
      <c r="I5" t="s">
        <v>611</v>
      </c>
      <c r="J5">
        <v>3</v>
      </c>
      <c r="K5" t="s">
        <v>612</v>
      </c>
      <c r="L5">
        <v>300000</v>
      </c>
      <c r="M5">
        <v>2.25</v>
      </c>
      <c r="N5">
        <v>39.541356164383565</v>
      </c>
      <c r="O5" t="s">
        <v>592</v>
      </c>
      <c r="P5" t="s">
        <v>613</v>
      </c>
      <c r="Q5" t="s">
        <v>586</v>
      </c>
      <c r="R5">
        <v>400000</v>
      </c>
      <c r="S5" t="s">
        <v>614</v>
      </c>
      <c r="T5">
        <v>89</v>
      </c>
    </row>
    <row r="6" spans="1:20" x14ac:dyDescent="0.25">
      <c r="A6" t="s">
        <v>615</v>
      </c>
      <c r="B6" t="s">
        <v>24</v>
      </c>
      <c r="C6" t="s">
        <v>586</v>
      </c>
      <c r="D6" t="s">
        <v>616</v>
      </c>
      <c r="E6" t="s">
        <v>617</v>
      </c>
      <c r="F6">
        <v>3.6572327106455629</v>
      </c>
      <c r="G6">
        <v>6.3528135363118743</v>
      </c>
      <c r="H6" t="s">
        <v>618</v>
      </c>
      <c r="I6" t="s">
        <v>619</v>
      </c>
      <c r="J6">
        <v>5</v>
      </c>
      <c r="K6" t="s">
        <v>620</v>
      </c>
      <c r="L6">
        <v>6565000</v>
      </c>
      <c r="M6">
        <v>1.86</v>
      </c>
      <c r="N6">
        <v>6.3528135363118743</v>
      </c>
      <c r="O6" t="s">
        <v>592</v>
      </c>
      <c r="P6" t="s">
        <v>621</v>
      </c>
      <c r="Q6" t="s">
        <v>586</v>
      </c>
      <c r="R6">
        <v>435000</v>
      </c>
      <c r="S6" t="s">
        <v>599</v>
      </c>
      <c r="T6">
        <v>60</v>
      </c>
    </row>
    <row r="7" spans="1:20" x14ac:dyDescent="0.25">
      <c r="A7" t="s">
        <v>622</v>
      </c>
      <c r="B7" t="s">
        <v>25</v>
      </c>
      <c r="C7" t="s">
        <v>586</v>
      </c>
      <c r="D7" t="s">
        <v>623</v>
      </c>
      <c r="E7" t="s">
        <v>624</v>
      </c>
      <c r="F7">
        <v>2.7186202960932668</v>
      </c>
      <c r="G7">
        <v>28.523949513826729</v>
      </c>
      <c r="H7" t="s">
        <v>589</v>
      </c>
      <c r="I7" t="s">
        <v>625</v>
      </c>
      <c r="J7">
        <v>5</v>
      </c>
      <c r="K7" t="s">
        <v>626</v>
      </c>
      <c r="L7">
        <v>16730000</v>
      </c>
      <c r="M7">
        <v>1.85</v>
      </c>
      <c r="N7">
        <v>28.523949513826729</v>
      </c>
      <c r="O7" t="s">
        <v>592</v>
      </c>
      <c r="P7" t="s">
        <v>627</v>
      </c>
      <c r="Q7" t="s">
        <v>586</v>
      </c>
      <c r="R7">
        <v>100000</v>
      </c>
      <c r="S7" t="s">
        <v>599</v>
      </c>
      <c r="T7">
        <v>79</v>
      </c>
    </row>
    <row r="8" spans="1:20" x14ac:dyDescent="0.25">
      <c r="A8" t="s">
        <v>628</v>
      </c>
      <c r="B8" t="s">
        <v>21</v>
      </c>
      <c r="C8" t="s">
        <v>586</v>
      </c>
      <c r="D8" t="s">
        <v>587</v>
      </c>
      <c r="E8" t="s">
        <v>588</v>
      </c>
      <c r="F8">
        <v>3.7428802360014557</v>
      </c>
      <c r="G8">
        <v>4.3383690781315654</v>
      </c>
      <c r="H8" t="s">
        <v>596</v>
      </c>
      <c r="I8" t="s">
        <v>597</v>
      </c>
      <c r="J8">
        <v>5</v>
      </c>
      <c r="K8" t="s">
        <v>629</v>
      </c>
      <c r="L8">
        <v>24525000</v>
      </c>
      <c r="M8">
        <v>2.27</v>
      </c>
      <c r="N8">
        <v>4.3383690781315654</v>
      </c>
      <c r="O8" t="s">
        <v>592</v>
      </c>
      <c r="P8" t="s">
        <v>593</v>
      </c>
      <c r="Q8" t="s">
        <v>586</v>
      </c>
      <c r="R8">
        <v>25000</v>
      </c>
      <c r="S8" t="s">
        <v>599</v>
      </c>
      <c r="T8">
        <v>73</v>
      </c>
    </row>
    <row r="9" spans="1:20" x14ac:dyDescent="0.25">
      <c r="A9" t="s">
        <v>630</v>
      </c>
      <c r="B9" t="s">
        <v>26</v>
      </c>
      <c r="C9" t="s">
        <v>586</v>
      </c>
      <c r="D9" t="s">
        <v>631</v>
      </c>
      <c r="E9" t="s">
        <v>632</v>
      </c>
      <c r="F9">
        <v>1.4970961904765159</v>
      </c>
      <c r="G9">
        <v>19.858415436318122</v>
      </c>
      <c r="H9" t="s">
        <v>633</v>
      </c>
      <c r="I9" t="s">
        <v>611</v>
      </c>
      <c r="J9">
        <v>5</v>
      </c>
      <c r="K9" t="s">
        <v>634</v>
      </c>
      <c r="L9">
        <v>3305000</v>
      </c>
      <c r="M9">
        <v>1.6500000000000001</v>
      </c>
      <c r="N9">
        <v>19.858415436318122</v>
      </c>
      <c r="O9" t="s">
        <v>592</v>
      </c>
      <c r="P9" t="s">
        <v>593</v>
      </c>
      <c r="Q9" t="s">
        <v>586</v>
      </c>
      <c r="R9">
        <v>30000</v>
      </c>
      <c r="S9" t="s">
        <v>635</v>
      </c>
      <c r="T9">
        <v>79</v>
      </c>
    </row>
    <row r="10" spans="1:20" x14ac:dyDescent="0.25">
      <c r="A10" t="s">
        <v>636</v>
      </c>
      <c r="B10" t="s">
        <v>27</v>
      </c>
      <c r="C10" t="s">
        <v>586</v>
      </c>
      <c r="D10" t="s">
        <v>637</v>
      </c>
      <c r="E10" t="s">
        <v>638</v>
      </c>
      <c r="F10">
        <v>0.89574888041160405</v>
      </c>
      <c r="G10">
        <v>16.65243162403587</v>
      </c>
      <c r="H10" t="s">
        <v>639</v>
      </c>
      <c r="I10" t="s">
        <v>619</v>
      </c>
      <c r="J10">
        <v>5</v>
      </c>
      <c r="K10" t="s">
        <v>640</v>
      </c>
      <c r="L10">
        <v>4910000</v>
      </c>
      <c r="M10">
        <v>2.06</v>
      </c>
      <c r="N10">
        <v>16.65243162403587</v>
      </c>
      <c r="O10" t="s">
        <v>592</v>
      </c>
      <c r="P10" t="s">
        <v>593</v>
      </c>
      <c r="Q10" t="s">
        <v>586</v>
      </c>
      <c r="R10">
        <v>700000</v>
      </c>
      <c r="S10" t="s">
        <v>635</v>
      </c>
      <c r="T10">
        <v>93</v>
      </c>
    </row>
    <row r="11" spans="1:20" x14ac:dyDescent="0.25">
      <c r="A11" t="s">
        <v>641</v>
      </c>
      <c r="B11" t="s">
        <v>28</v>
      </c>
      <c r="C11" t="s">
        <v>586</v>
      </c>
      <c r="D11" t="s">
        <v>642</v>
      </c>
      <c r="E11" t="s">
        <v>643</v>
      </c>
      <c r="F11">
        <v>0.97268242408841621</v>
      </c>
      <c r="G11">
        <v>15.779890410958885</v>
      </c>
      <c r="H11" t="s">
        <v>644</v>
      </c>
      <c r="I11" t="s">
        <v>645</v>
      </c>
      <c r="J11">
        <v>5</v>
      </c>
      <c r="K11" t="s">
        <v>646</v>
      </c>
      <c r="L11">
        <v>12775000</v>
      </c>
      <c r="M11">
        <v>1.9000000000000001</v>
      </c>
      <c r="N11">
        <v>15.779890410958885</v>
      </c>
      <c r="O11" t="s">
        <v>592</v>
      </c>
      <c r="P11" t="s">
        <v>593</v>
      </c>
      <c r="Q11" t="s">
        <v>586</v>
      </c>
      <c r="R11">
        <v>15000</v>
      </c>
      <c r="S11" t="s">
        <v>599</v>
      </c>
      <c r="T11">
        <v>91</v>
      </c>
    </row>
    <row r="12" spans="1:20" x14ac:dyDescent="0.25">
      <c r="A12" t="s">
        <v>647</v>
      </c>
      <c r="B12" t="s">
        <v>29</v>
      </c>
      <c r="C12" t="s">
        <v>586</v>
      </c>
      <c r="D12" t="s">
        <v>587</v>
      </c>
      <c r="E12" t="s">
        <v>648</v>
      </c>
      <c r="F12">
        <v>2.0280865484276545</v>
      </c>
      <c r="G12">
        <v>2.5450883671672475</v>
      </c>
      <c r="H12" t="s">
        <v>649</v>
      </c>
      <c r="I12" t="s">
        <v>650</v>
      </c>
      <c r="J12">
        <v>5</v>
      </c>
      <c r="K12" t="s">
        <v>651</v>
      </c>
      <c r="L12">
        <v>1095000</v>
      </c>
      <c r="M12">
        <v>1.81</v>
      </c>
      <c r="N12">
        <v>2.5450883671672475</v>
      </c>
      <c r="O12" t="s">
        <v>592</v>
      </c>
      <c r="P12" t="s">
        <v>593</v>
      </c>
      <c r="Q12" t="s">
        <v>586</v>
      </c>
      <c r="R12">
        <v>600000</v>
      </c>
      <c r="S12" t="s">
        <v>652</v>
      </c>
      <c r="T12">
        <v>68</v>
      </c>
    </row>
    <row r="13" spans="1:20" x14ac:dyDescent="0.25">
      <c r="A13" t="s">
        <v>653</v>
      </c>
      <c r="B13" t="s">
        <v>30</v>
      </c>
      <c r="C13" t="s">
        <v>586</v>
      </c>
      <c r="D13" t="s">
        <v>654</v>
      </c>
      <c r="E13" t="s">
        <v>655</v>
      </c>
      <c r="F13">
        <v>1.8286813328672389</v>
      </c>
      <c r="G13">
        <v>8.9499650945381823</v>
      </c>
      <c r="H13" t="s">
        <v>656</v>
      </c>
      <c r="I13" t="s">
        <v>657</v>
      </c>
      <c r="J13">
        <v>5</v>
      </c>
      <c r="K13" t="s">
        <v>658</v>
      </c>
      <c r="L13">
        <v>6880000</v>
      </c>
      <c r="M13">
        <v>1.59</v>
      </c>
      <c r="N13">
        <v>8.9499650945381823</v>
      </c>
      <c r="O13" t="s">
        <v>592</v>
      </c>
      <c r="P13" t="s">
        <v>593</v>
      </c>
      <c r="Q13" t="s">
        <v>586</v>
      </c>
      <c r="R13">
        <v>75000</v>
      </c>
      <c r="S13" t="s">
        <v>635</v>
      </c>
      <c r="T13">
        <v>79</v>
      </c>
    </row>
    <row r="14" spans="1:20" x14ac:dyDescent="0.25">
      <c r="A14" t="s">
        <v>659</v>
      </c>
      <c r="B14" t="s">
        <v>31</v>
      </c>
      <c r="C14" t="s">
        <v>586</v>
      </c>
      <c r="D14" t="s">
        <v>608</v>
      </c>
      <c r="E14" t="s">
        <v>609</v>
      </c>
      <c r="F14">
        <v>2.5115709963877588</v>
      </c>
      <c r="G14">
        <v>16.649802739726027</v>
      </c>
      <c r="H14" t="s">
        <v>660</v>
      </c>
      <c r="I14" t="s">
        <v>661</v>
      </c>
      <c r="J14">
        <v>5</v>
      </c>
      <c r="K14" t="s">
        <v>662</v>
      </c>
      <c r="L14">
        <v>27850000</v>
      </c>
      <c r="M14">
        <v>1.79</v>
      </c>
      <c r="N14">
        <v>16.649802739726027</v>
      </c>
      <c r="O14" t="s">
        <v>592</v>
      </c>
      <c r="P14" t="s">
        <v>621</v>
      </c>
      <c r="Q14" t="s">
        <v>586</v>
      </c>
      <c r="R14">
        <v>225000</v>
      </c>
      <c r="S14" t="s">
        <v>599</v>
      </c>
      <c r="T14">
        <v>85</v>
      </c>
    </row>
    <row r="15" spans="1:20" x14ac:dyDescent="0.25">
      <c r="A15" t="s">
        <v>663</v>
      </c>
      <c r="B15" t="s">
        <v>22</v>
      </c>
      <c r="C15" t="s">
        <v>586</v>
      </c>
      <c r="D15" t="s">
        <v>601</v>
      </c>
      <c r="E15" t="s">
        <v>602</v>
      </c>
      <c r="F15">
        <v>1.785985605460026</v>
      </c>
      <c r="G15">
        <v>7.0974808942408263</v>
      </c>
      <c r="H15" t="s">
        <v>603</v>
      </c>
      <c r="I15" t="s">
        <v>604</v>
      </c>
      <c r="J15">
        <v>5</v>
      </c>
      <c r="K15" t="s">
        <v>664</v>
      </c>
      <c r="L15">
        <v>21670000</v>
      </c>
      <c r="M15">
        <v>2.09</v>
      </c>
      <c r="N15">
        <v>7.0974808942408263</v>
      </c>
      <c r="O15" t="s">
        <v>592</v>
      </c>
      <c r="P15" t="s">
        <v>593</v>
      </c>
      <c r="Q15" t="s">
        <v>586</v>
      </c>
      <c r="R15">
        <v>150000</v>
      </c>
      <c r="S15" t="s">
        <v>599</v>
      </c>
      <c r="T15">
        <v>87</v>
      </c>
    </row>
    <row r="16" spans="1:20" x14ac:dyDescent="0.25">
      <c r="A16" t="s">
        <v>665</v>
      </c>
      <c r="B16" t="s">
        <v>32</v>
      </c>
      <c r="C16" t="s">
        <v>586</v>
      </c>
      <c r="D16" t="s">
        <v>666</v>
      </c>
      <c r="E16" t="s">
        <v>667</v>
      </c>
      <c r="F16">
        <v>2.6383522217427617</v>
      </c>
      <c r="G16">
        <v>6.7582626000100232</v>
      </c>
      <c r="H16" t="s">
        <v>668</v>
      </c>
      <c r="I16" t="s">
        <v>611</v>
      </c>
      <c r="J16">
        <v>5</v>
      </c>
      <c r="K16" t="s">
        <v>669</v>
      </c>
      <c r="L16">
        <v>2190000</v>
      </c>
      <c r="M16">
        <v>1.6300000000000001</v>
      </c>
      <c r="N16">
        <v>6.7582626000100232</v>
      </c>
      <c r="O16" t="s">
        <v>592</v>
      </c>
      <c r="P16" t="s">
        <v>593</v>
      </c>
      <c r="Q16" t="s">
        <v>586</v>
      </c>
      <c r="R16">
        <v>500000</v>
      </c>
      <c r="S16" t="s">
        <v>635</v>
      </c>
      <c r="T16">
        <v>67</v>
      </c>
    </row>
    <row r="17" spans="1:20" x14ac:dyDescent="0.25">
      <c r="A17" t="s">
        <v>670</v>
      </c>
      <c r="B17" t="s">
        <v>33</v>
      </c>
      <c r="C17" t="s">
        <v>586</v>
      </c>
      <c r="D17" t="s">
        <v>608</v>
      </c>
      <c r="E17" t="s">
        <v>671</v>
      </c>
      <c r="F17">
        <v>3.6563430287050247</v>
      </c>
      <c r="G17">
        <v>20.208971274119804</v>
      </c>
      <c r="H17" t="s">
        <v>672</v>
      </c>
      <c r="I17" t="s">
        <v>673</v>
      </c>
      <c r="J17">
        <v>5</v>
      </c>
      <c r="K17" t="s">
        <v>620</v>
      </c>
      <c r="L17">
        <v>6625000</v>
      </c>
      <c r="M17">
        <v>2.2800000000000002</v>
      </c>
      <c r="N17">
        <v>20.208971274119804</v>
      </c>
      <c r="O17" t="s">
        <v>592</v>
      </c>
      <c r="P17" t="s">
        <v>621</v>
      </c>
      <c r="Q17" t="s">
        <v>586</v>
      </c>
      <c r="R17">
        <v>395000</v>
      </c>
      <c r="S17" t="s">
        <v>599</v>
      </c>
      <c r="T17">
        <v>74</v>
      </c>
    </row>
    <row r="18" spans="1:20" x14ac:dyDescent="0.25">
      <c r="A18" t="s">
        <v>674</v>
      </c>
      <c r="B18" t="s">
        <v>34</v>
      </c>
      <c r="C18" t="s">
        <v>586</v>
      </c>
      <c r="D18" t="s">
        <v>587</v>
      </c>
      <c r="E18" t="s">
        <v>675</v>
      </c>
      <c r="F18">
        <v>1.1152350726380686</v>
      </c>
      <c r="G18">
        <v>3.6816980995586501</v>
      </c>
      <c r="H18" t="s">
        <v>676</v>
      </c>
      <c r="I18" t="s">
        <v>650</v>
      </c>
      <c r="J18">
        <v>5</v>
      </c>
      <c r="K18" t="s">
        <v>598</v>
      </c>
      <c r="L18">
        <v>1690000</v>
      </c>
      <c r="M18">
        <v>1.42</v>
      </c>
      <c r="N18">
        <v>3.6816980995586501</v>
      </c>
      <c r="O18" t="s">
        <v>592</v>
      </c>
      <c r="P18" t="s">
        <v>593</v>
      </c>
      <c r="Q18" t="s">
        <v>586</v>
      </c>
      <c r="R18">
        <v>5000</v>
      </c>
      <c r="S18" t="s">
        <v>652</v>
      </c>
      <c r="T18">
        <v>77</v>
      </c>
    </row>
    <row r="19" spans="1:20" x14ac:dyDescent="0.25">
      <c r="A19" t="s">
        <v>677</v>
      </c>
      <c r="B19" t="s">
        <v>22</v>
      </c>
      <c r="C19" t="s">
        <v>586</v>
      </c>
      <c r="D19" t="s">
        <v>601</v>
      </c>
      <c r="E19" t="s">
        <v>602</v>
      </c>
      <c r="F19">
        <v>4.3522196195939191</v>
      </c>
      <c r="G19">
        <v>6.4572270066915127</v>
      </c>
      <c r="H19" t="s">
        <v>603</v>
      </c>
      <c r="I19" t="s">
        <v>604</v>
      </c>
      <c r="J19">
        <v>5</v>
      </c>
      <c r="K19" t="s">
        <v>678</v>
      </c>
      <c r="L19">
        <v>21210000</v>
      </c>
      <c r="M19">
        <v>2.48</v>
      </c>
      <c r="N19">
        <v>6.4572270066915127</v>
      </c>
      <c r="O19" t="s">
        <v>592</v>
      </c>
      <c r="P19" t="s">
        <v>593</v>
      </c>
      <c r="Q19" t="s">
        <v>586</v>
      </c>
      <c r="R19">
        <v>25000</v>
      </c>
      <c r="S19" t="s">
        <v>599</v>
      </c>
      <c r="T19">
        <v>70</v>
      </c>
    </row>
    <row r="20" spans="1:20" x14ac:dyDescent="0.25">
      <c r="A20" t="s">
        <v>679</v>
      </c>
      <c r="B20" t="s">
        <v>35</v>
      </c>
      <c r="C20" t="s">
        <v>586</v>
      </c>
      <c r="D20" t="s">
        <v>680</v>
      </c>
      <c r="E20" t="s">
        <v>681</v>
      </c>
      <c r="F20">
        <v>1.6630233567117265</v>
      </c>
      <c r="G20">
        <v>11.212818715023975</v>
      </c>
      <c r="H20" t="s">
        <v>676</v>
      </c>
      <c r="I20" t="s">
        <v>625</v>
      </c>
      <c r="J20">
        <v>5</v>
      </c>
      <c r="K20" t="s">
        <v>682</v>
      </c>
      <c r="L20">
        <v>9390000</v>
      </c>
      <c r="M20">
        <v>1.57</v>
      </c>
      <c r="N20">
        <v>11.212818715023975</v>
      </c>
      <c r="O20" t="s">
        <v>592</v>
      </c>
      <c r="P20" t="s">
        <v>593</v>
      </c>
      <c r="Q20" t="s">
        <v>586</v>
      </c>
      <c r="R20">
        <v>80000</v>
      </c>
      <c r="S20" t="s">
        <v>599</v>
      </c>
      <c r="T20">
        <v>77</v>
      </c>
    </row>
    <row r="21" spans="1:20" x14ac:dyDescent="0.25">
      <c r="A21" t="s">
        <v>683</v>
      </c>
      <c r="B21" t="s">
        <v>35</v>
      </c>
      <c r="C21" t="s">
        <v>586</v>
      </c>
      <c r="D21" t="s">
        <v>680</v>
      </c>
      <c r="E21" t="s">
        <v>681</v>
      </c>
      <c r="F21">
        <v>3.4119318568477959</v>
      </c>
      <c r="G21">
        <v>17.034925909554865</v>
      </c>
      <c r="H21" t="s">
        <v>676</v>
      </c>
      <c r="I21" t="s">
        <v>625</v>
      </c>
      <c r="J21">
        <v>5</v>
      </c>
      <c r="K21" t="s">
        <v>684</v>
      </c>
      <c r="L21">
        <v>10905000</v>
      </c>
      <c r="M21">
        <v>1.93</v>
      </c>
      <c r="N21">
        <v>17.034925909554865</v>
      </c>
      <c r="O21" t="s">
        <v>592</v>
      </c>
      <c r="P21" t="s">
        <v>593</v>
      </c>
      <c r="Q21" t="s">
        <v>586</v>
      </c>
      <c r="R21">
        <v>100000</v>
      </c>
      <c r="S21" t="s">
        <v>599</v>
      </c>
      <c r="T21">
        <v>63</v>
      </c>
    </row>
    <row r="22" spans="1:20" x14ac:dyDescent="0.25">
      <c r="A22" t="s">
        <v>685</v>
      </c>
      <c r="B22" t="s">
        <v>25</v>
      </c>
      <c r="C22" t="s">
        <v>586</v>
      </c>
      <c r="D22" t="s">
        <v>623</v>
      </c>
      <c r="E22" t="s">
        <v>624</v>
      </c>
      <c r="F22">
        <v>0.4115652792270682</v>
      </c>
      <c r="G22">
        <v>20.569293776331232</v>
      </c>
      <c r="H22" t="s">
        <v>589</v>
      </c>
      <c r="I22" t="s">
        <v>625</v>
      </c>
      <c r="J22">
        <v>5</v>
      </c>
      <c r="K22" t="s">
        <v>686</v>
      </c>
      <c r="L22">
        <v>15750000</v>
      </c>
      <c r="M22">
        <v>1.4000000000000001</v>
      </c>
      <c r="N22">
        <v>20.569293776331232</v>
      </c>
      <c r="O22" t="s">
        <v>592</v>
      </c>
      <c r="P22" t="s">
        <v>627</v>
      </c>
      <c r="Q22" t="s">
        <v>586</v>
      </c>
      <c r="R22">
        <v>4040000</v>
      </c>
      <c r="S22" t="s">
        <v>599</v>
      </c>
      <c r="T22">
        <v>92</v>
      </c>
    </row>
    <row r="23" spans="1:20" x14ac:dyDescent="0.25">
      <c r="A23" t="s">
        <v>687</v>
      </c>
      <c r="B23" t="s">
        <v>31</v>
      </c>
      <c r="C23" t="s">
        <v>586</v>
      </c>
      <c r="D23" t="s">
        <v>608</v>
      </c>
      <c r="E23" t="s">
        <v>609</v>
      </c>
      <c r="F23">
        <v>3.3664954889037295</v>
      </c>
      <c r="G23">
        <v>18.39928219178082</v>
      </c>
      <c r="H23" t="s">
        <v>660</v>
      </c>
      <c r="I23" t="s">
        <v>661</v>
      </c>
      <c r="J23">
        <v>5</v>
      </c>
      <c r="K23" t="s">
        <v>688</v>
      </c>
      <c r="L23">
        <v>21395000</v>
      </c>
      <c r="M23">
        <v>1.94</v>
      </c>
      <c r="N23">
        <v>18.39928219178082</v>
      </c>
      <c r="O23" t="s">
        <v>592</v>
      </c>
      <c r="P23" t="s">
        <v>621</v>
      </c>
      <c r="Q23" t="s">
        <v>586</v>
      </c>
      <c r="R23">
        <v>175000</v>
      </c>
      <c r="S23" t="s">
        <v>599</v>
      </c>
      <c r="T23">
        <v>80</v>
      </c>
    </row>
    <row r="24" spans="1:20" x14ac:dyDescent="0.25">
      <c r="A24" t="s">
        <v>689</v>
      </c>
      <c r="B24" t="s">
        <v>36</v>
      </c>
      <c r="C24" t="s">
        <v>586</v>
      </c>
      <c r="D24" t="s">
        <v>690</v>
      </c>
      <c r="E24" t="s">
        <v>691</v>
      </c>
      <c r="F24">
        <v>3.7447065270950297</v>
      </c>
      <c r="G24">
        <v>2.8519227147368209</v>
      </c>
      <c r="H24" t="s">
        <v>692</v>
      </c>
      <c r="I24" t="s">
        <v>611</v>
      </c>
      <c r="J24">
        <v>5</v>
      </c>
      <c r="K24" t="s">
        <v>629</v>
      </c>
      <c r="L24">
        <v>2125000</v>
      </c>
      <c r="M24">
        <v>2.25</v>
      </c>
      <c r="N24">
        <v>2.8519227147368209</v>
      </c>
      <c r="O24" t="s">
        <v>592</v>
      </c>
      <c r="P24" t="s">
        <v>593</v>
      </c>
      <c r="Q24" t="s">
        <v>586</v>
      </c>
      <c r="R24">
        <v>450000</v>
      </c>
      <c r="S24" t="s">
        <v>599</v>
      </c>
      <c r="T24">
        <v>79</v>
      </c>
    </row>
    <row r="25" spans="1:20" x14ac:dyDescent="0.25">
      <c r="A25" t="s">
        <v>693</v>
      </c>
      <c r="B25" t="s">
        <v>20</v>
      </c>
      <c r="C25" t="s">
        <v>586</v>
      </c>
      <c r="D25" t="s">
        <v>587</v>
      </c>
      <c r="E25" t="s">
        <v>588</v>
      </c>
      <c r="F25">
        <v>0.24677574841800529</v>
      </c>
      <c r="G25">
        <v>16.999719009201918</v>
      </c>
      <c r="H25" t="s">
        <v>589</v>
      </c>
      <c r="I25" t="s">
        <v>590</v>
      </c>
      <c r="J25">
        <v>5</v>
      </c>
      <c r="K25" t="s">
        <v>694</v>
      </c>
      <c r="L25">
        <v>45000000</v>
      </c>
      <c r="M25">
        <v>1.34</v>
      </c>
      <c r="N25">
        <v>16.999719009201918</v>
      </c>
      <c r="O25" t="s">
        <v>592</v>
      </c>
      <c r="P25" t="s">
        <v>593</v>
      </c>
      <c r="Q25" t="s">
        <v>586</v>
      </c>
      <c r="R25">
        <v>310000</v>
      </c>
      <c r="S25" t="s">
        <v>594</v>
      </c>
      <c r="T25">
        <v>97</v>
      </c>
    </row>
    <row r="26" spans="1:20" x14ac:dyDescent="0.25">
      <c r="A26" t="s">
        <v>695</v>
      </c>
      <c r="B26" t="s">
        <v>37</v>
      </c>
      <c r="C26" t="s">
        <v>586</v>
      </c>
      <c r="D26" t="s">
        <v>587</v>
      </c>
      <c r="E26" t="s">
        <v>696</v>
      </c>
      <c r="F26">
        <v>2.1163468953311835</v>
      </c>
      <c r="G26">
        <v>-7.8150027397260402</v>
      </c>
      <c r="H26" t="s">
        <v>697</v>
      </c>
      <c r="I26" t="s">
        <v>698</v>
      </c>
      <c r="J26">
        <v>5</v>
      </c>
      <c r="K26" t="s">
        <v>699</v>
      </c>
      <c r="L26">
        <v>2570000</v>
      </c>
      <c r="M26">
        <v>1.8900000000000001</v>
      </c>
      <c r="N26">
        <v>-7.8150027397260402</v>
      </c>
      <c r="O26" t="s">
        <v>592</v>
      </c>
      <c r="P26" t="s">
        <v>593</v>
      </c>
      <c r="Q26" t="s">
        <v>586</v>
      </c>
      <c r="R26">
        <v>700000</v>
      </c>
      <c r="S26" t="s">
        <v>594</v>
      </c>
      <c r="T26">
        <v>82</v>
      </c>
    </row>
    <row r="27" spans="1:20" x14ac:dyDescent="0.25">
      <c r="A27" t="s">
        <v>700</v>
      </c>
      <c r="B27" t="s">
        <v>35</v>
      </c>
      <c r="C27" t="s">
        <v>586</v>
      </c>
      <c r="D27" t="s">
        <v>680</v>
      </c>
      <c r="E27" t="s">
        <v>681</v>
      </c>
      <c r="F27">
        <v>4.226918621723704</v>
      </c>
      <c r="G27">
        <v>17.249330658145535</v>
      </c>
      <c r="H27" t="s">
        <v>676</v>
      </c>
      <c r="I27" t="s">
        <v>625</v>
      </c>
      <c r="J27">
        <v>5</v>
      </c>
      <c r="K27" t="s">
        <v>701</v>
      </c>
      <c r="L27">
        <v>8675000</v>
      </c>
      <c r="M27">
        <v>2.0499999999999998</v>
      </c>
      <c r="N27">
        <v>17.249330658145535</v>
      </c>
      <c r="O27" t="s">
        <v>592</v>
      </c>
      <c r="P27" t="s">
        <v>593</v>
      </c>
      <c r="Q27" t="s">
        <v>586</v>
      </c>
      <c r="R27">
        <v>100000</v>
      </c>
      <c r="S27" t="s">
        <v>599</v>
      </c>
      <c r="T27">
        <v>32</v>
      </c>
    </row>
    <row r="28" spans="1:20" x14ac:dyDescent="0.25">
      <c r="A28" t="s">
        <v>702</v>
      </c>
      <c r="B28" t="s">
        <v>22</v>
      </c>
      <c r="C28" t="s">
        <v>586</v>
      </c>
      <c r="D28" t="s">
        <v>601</v>
      </c>
      <c r="E28" t="s">
        <v>602</v>
      </c>
      <c r="F28">
        <v>3.5369992034519715</v>
      </c>
      <c r="G28">
        <v>0.43429589041097394</v>
      </c>
      <c r="H28" t="s">
        <v>644</v>
      </c>
      <c r="I28" t="s">
        <v>703</v>
      </c>
      <c r="J28">
        <v>5</v>
      </c>
      <c r="K28" t="s">
        <v>704</v>
      </c>
      <c r="L28">
        <v>7615000</v>
      </c>
      <c r="M28">
        <v>2.09</v>
      </c>
      <c r="N28">
        <v>0.43429589041097394</v>
      </c>
      <c r="O28" t="s">
        <v>592</v>
      </c>
      <c r="P28" t="s">
        <v>593</v>
      </c>
      <c r="Q28" t="s">
        <v>586</v>
      </c>
      <c r="R28">
        <v>550000</v>
      </c>
      <c r="S28" t="s">
        <v>599</v>
      </c>
      <c r="T28">
        <v>76</v>
      </c>
    </row>
    <row r="29" spans="1:20" x14ac:dyDescent="0.25">
      <c r="A29" t="s">
        <v>705</v>
      </c>
      <c r="B29" t="s">
        <v>29</v>
      </c>
      <c r="C29" t="s">
        <v>586</v>
      </c>
      <c r="D29" t="s">
        <v>587</v>
      </c>
      <c r="E29" t="s">
        <v>648</v>
      </c>
      <c r="F29">
        <v>1.1176649044200093</v>
      </c>
      <c r="G29">
        <v>2.6787809533364459</v>
      </c>
      <c r="H29" t="s">
        <v>649</v>
      </c>
      <c r="I29" t="s">
        <v>650</v>
      </c>
      <c r="J29">
        <v>5</v>
      </c>
      <c r="K29" t="s">
        <v>598</v>
      </c>
      <c r="L29">
        <v>1045000</v>
      </c>
      <c r="M29">
        <v>1.6500000000000001</v>
      </c>
      <c r="N29">
        <v>2.6787809533364459</v>
      </c>
      <c r="O29" t="s">
        <v>592</v>
      </c>
      <c r="P29" t="s">
        <v>593</v>
      </c>
      <c r="Q29" t="s">
        <v>586</v>
      </c>
      <c r="R29">
        <v>450000</v>
      </c>
      <c r="S29" t="s">
        <v>652</v>
      </c>
      <c r="T29">
        <v>78</v>
      </c>
    </row>
    <row r="30" spans="1:20" x14ac:dyDescent="0.25">
      <c r="A30" t="s">
        <v>706</v>
      </c>
      <c r="B30" t="s">
        <v>38</v>
      </c>
      <c r="C30" t="s">
        <v>586</v>
      </c>
      <c r="D30" t="s">
        <v>707</v>
      </c>
      <c r="E30" t="s">
        <v>708</v>
      </c>
      <c r="F30">
        <v>0.32933099122149884</v>
      </c>
      <c r="G30">
        <v>10.72867306144316</v>
      </c>
      <c r="H30" t="s">
        <v>709</v>
      </c>
      <c r="I30" t="s">
        <v>661</v>
      </c>
      <c r="J30">
        <v>2</v>
      </c>
      <c r="K30" t="s">
        <v>710</v>
      </c>
      <c r="L30">
        <v>350000</v>
      </c>
      <c r="M30">
        <v>1.3</v>
      </c>
      <c r="N30">
        <v>10.72867306144316</v>
      </c>
      <c r="O30" t="s">
        <v>592</v>
      </c>
      <c r="P30" t="s">
        <v>711</v>
      </c>
      <c r="Q30" t="s">
        <v>586</v>
      </c>
      <c r="R30">
        <v>200000</v>
      </c>
      <c r="S30" t="s">
        <v>712</v>
      </c>
      <c r="T30">
        <v>89</v>
      </c>
    </row>
    <row r="31" spans="1:20" x14ac:dyDescent="0.25">
      <c r="A31" t="s">
        <v>713</v>
      </c>
      <c r="B31" t="s">
        <v>39</v>
      </c>
      <c r="C31" t="s">
        <v>586</v>
      </c>
      <c r="D31" t="s">
        <v>714</v>
      </c>
      <c r="E31" t="s">
        <v>715</v>
      </c>
      <c r="F31">
        <v>4.4597694685100979</v>
      </c>
      <c r="G31">
        <v>26.151512328767133</v>
      </c>
      <c r="H31" t="s">
        <v>644</v>
      </c>
      <c r="I31" t="s">
        <v>716</v>
      </c>
      <c r="J31">
        <v>5</v>
      </c>
      <c r="K31" t="s">
        <v>717</v>
      </c>
      <c r="L31">
        <v>4180000</v>
      </c>
      <c r="M31">
        <v>2.48</v>
      </c>
      <c r="N31">
        <v>26.151512328767133</v>
      </c>
      <c r="O31" t="s">
        <v>592</v>
      </c>
      <c r="P31" t="s">
        <v>593</v>
      </c>
      <c r="Q31" t="s">
        <v>586</v>
      </c>
      <c r="R31">
        <v>700000</v>
      </c>
      <c r="S31" t="s">
        <v>594</v>
      </c>
      <c r="T31">
        <v>55</v>
      </c>
    </row>
    <row r="32" spans="1:20" x14ac:dyDescent="0.25">
      <c r="A32" t="s">
        <v>718</v>
      </c>
      <c r="B32" t="s">
        <v>40</v>
      </c>
      <c r="C32" t="s">
        <v>586</v>
      </c>
      <c r="D32" t="s">
        <v>690</v>
      </c>
      <c r="E32" t="s">
        <v>719</v>
      </c>
      <c r="F32">
        <v>4.4014623235459451</v>
      </c>
      <c r="G32">
        <v>65.430402867214227</v>
      </c>
      <c r="H32" t="s">
        <v>720</v>
      </c>
      <c r="I32" t="s">
        <v>721</v>
      </c>
      <c r="J32">
        <v>3.25</v>
      </c>
      <c r="K32" t="s">
        <v>722</v>
      </c>
      <c r="L32">
        <v>75000</v>
      </c>
      <c r="M32">
        <v>3</v>
      </c>
      <c r="N32">
        <v>65.430402867214227</v>
      </c>
      <c r="O32" t="s">
        <v>592</v>
      </c>
      <c r="P32" t="s">
        <v>723</v>
      </c>
      <c r="Q32" t="s">
        <v>607</v>
      </c>
      <c r="R32">
        <v>30000</v>
      </c>
      <c r="S32" t="s">
        <v>594</v>
      </c>
      <c r="T32">
        <v>55</v>
      </c>
    </row>
    <row r="33" spans="1:20" x14ac:dyDescent="0.25">
      <c r="A33" t="s">
        <v>724</v>
      </c>
      <c r="B33" t="s">
        <v>20</v>
      </c>
      <c r="C33" t="s">
        <v>586</v>
      </c>
      <c r="D33" t="s">
        <v>587</v>
      </c>
      <c r="E33" t="s">
        <v>588</v>
      </c>
      <c r="F33">
        <v>3.888895898814186</v>
      </c>
      <c r="G33">
        <v>23.732234329489966</v>
      </c>
      <c r="H33" t="s">
        <v>589</v>
      </c>
      <c r="I33" t="s">
        <v>590</v>
      </c>
      <c r="J33">
        <v>4</v>
      </c>
      <c r="K33" t="s">
        <v>725</v>
      </c>
      <c r="L33">
        <v>10565000</v>
      </c>
      <c r="M33">
        <v>1.98</v>
      </c>
      <c r="N33">
        <v>23.732234329489966</v>
      </c>
      <c r="O33" t="s">
        <v>592</v>
      </c>
      <c r="P33" t="s">
        <v>593</v>
      </c>
      <c r="Q33" t="s">
        <v>586</v>
      </c>
      <c r="R33">
        <v>130000</v>
      </c>
      <c r="S33" t="s">
        <v>594</v>
      </c>
      <c r="T33">
        <v>68</v>
      </c>
    </row>
    <row r="34" spans="1:20" x14ac:dyDescent="0.25">
      <c r="A34" t="s">
        <v>726</v>
      </c>
      <c r="B34" t="s">
        <v>21</v>
      </c>
      <c r="C34" t="s">
        <v>586</v>
      </c>
      <c r="D34" t="s">
        <v>587</v>
      </c>
      <c r="E34" t="s">
        <v>588</v>
      </c>
      <c r="F34">
        <v>2.9086605536218828</v>
      </c>
      <c r="G34">
        <v>3.4497176807526841</v>
      </c>
      <c r="H34" t="s">
        <v>596</v>
      </c>
      <c r="I34" t="s">
        <v>597</v>
      </c>
      <c r="J34">
        <v>5</v>
      </c>
      <c r="K34" t="s">
        <v>727</v>
      </c>
      <c r="L34">
        <v>26860000</v>
      </c>
      <c r="M34">
        <v>2.14</v>
      </c>
      <c r="N34">
        <v>3.4497176807526841</v>
      </c>
      <c r="O34" t="s">
        <v>592</v>
      </c>
      <c r="P34" t="s">
        <v>593</v>
      </c>
      <c r="Q34" t="s">
        <v>586</v>
      </c>
      <c r="R34">
        <v>120000</v>
      </c>
      <c r="S34" t="s">
        <v>599</v>
      </c>
      <c r="T34">
        <v>80</v>
      </c>
    </row>
    <row r="35" spans="1:20" x14ac:dyDescent="0.25">
      <c r="A35" t="s">
        <v>728</v>
      </c>
      <c r="B35" t="s">
        <v>33</v>
      </c>
      <c r="C35" t="s">
        <v>586</v>
      </c>
      <c r="D35" t="s">
        <v>608</v>
      </c>
      <c r="E35" t="s">
        <v>671</v>
      </c>
      <c r="F35">
        <v>1.9384790999327159</v>
      </c>
      <c r="G35">
        <v>30.156373819358183</v>
      </c>
      <c r="H35" t="s">
        <v>672</v>
      </c>
      <c r="I35" t="s">
        <v>673</v>
      </c>
      <c r="J35">
        <v>3</v>
      </c>
      <c r="K35" t="s">
        <v>729</v>
      </c>
      <c r="L35">
        <v>14380000</v>
      </c>
      <c r="M35">
        <v>2.08</v>
      </c>
      <c r="N35">
        <v>30.156373819358183</v>
      </c>
      <c r="O35" t="s">
        <v>592</v>
      </c>
      <c r="P35" t="s">
        <v>621</v>
      </c>
      <c r="Q35" t="s">
        <v>586</v>
      </c>
      <c r="R35">
        <v>200000</v>
      </c>
      <c r="S35" t="s">
        <v>599</v>
      </c>
      <c r="T35">
        <v>82</v>
      </c>
    </row>
    <row r="36" spans="1:20" x14ac:dyDescent="0.25">
      <c r="A36" t="s">
        <v>730</v>
      </c>
      <c r="B36" t="s">
        <v>41</v>
      </c>
      <c r="C36" t="s">
        <v>586</v>
      </c>
      <c r="D36" t="s">
        <v>731</v>
      </c>
      <c r="E36" t="s">
        <v>732</v>
      </c>
      <c r="F36">
        <v>2.4735736654449041</v>
      </c>
      <c r="G36">
        <v>-2.464421513032411</v>
      </c>
      <c r="H36" t="s">
        <v>639</v>
      </c>
      <c r="I36" t="s">
        <v>733</v>
      </c>
      <c r="J36">
        <v>5</v>
      </c>
      <c r="K36" t="s">
        <v>734</v>
      </c>
      <c r="L36">
        <v>5795000</v>
      </c>
      <c r="M36">
        <v>2.0300000000000002</v>
      </c>
      <c r="N36">
        <v>-2.464421513032411</v>
      </c>
      <c r="O36" t="s">
        <v>592</v>
      </c>
      <c r="P36" t="s">
        <v>593</v>
      </c>
      <c r="Q36" t="s">
        <v>586</v>
      </c>
      <c r="R36">
        <v>155000</v>
      </c>
      <c r="S36" t="s">
        <v>599</v>
      </c>
      <c r="T36">
        <v>83</v>
      </c>
    </row>
    <row r="37" spans="1:20" x14ac:dyDescent="0.25">
      <c r="A37" t="s">
        <v>735</v>
      </c>
      <c r="B37" t="s">
        <v>42</v>
      </c>
      <c r="C37" t="s">
        <v>586</v>
      </c>
      <c r="D37" t="s">
        <v>736</v>
      </c>
      <c r="E37" t="s">
        <v>737</v>
      </c>
      <c r="F37">
        <v>3.409868127514633</v>
      </c>
      <c r="G37">
        <v>24.462256551810711</v>
      </c>
      <c r="H37" t="s">
        <v>738</v>
      </c>
      <c r="I37" t="s">
        <v>739</v>
      </c>
      <c r="J37">
        <v>5</v>
      </c>
      <c r="K37" t="s">
        <v>684</v>
      </c>
      <c r="L37">
        <v>4180000</v>
      </c>
      <c r="M37">
        <v>2.2400000000000002</v>
      </c>
      <c r="N37">
        <v>24.462256551810711</v>
      </c>
      <c r="O37" t="s">
        <v>592</v>
      </c>
      <c r="P37" t="s">
        <v>593</v>
      </c>
      <c r="Q37" t="s">
        <v>586</v>
      </c>
      <c r="R37">
        <v>200000</v>
      </c>
      <c r="S37" t="s">
        <v>635</v>
      </c>
      <c r="T37">
        <v>66</v>
      </c>
    </row>
    <row r="38" spans="1:20" x14ac:dyDescent="0.25">
      <c r="A38" t="s">
        <v>740</v>
      </c>
      <c r="B38" t="s">
        <v>43</v>
      </c>
      <c r="C38" t="s">
        <v>607</v>
      </c>
      <c r="D38" t="s">
        <v>741</v>
      </c>
      <c r="E38" t="s">
        <v>742</v>
      </c>
      <c r="F38">
        <v>0.56851961451889255</v>
      </c>
      <c r="G38">
        <v>20.669464846794973</v>
      </c>
      <c r="H38" t="s">
        <v>743</v>
      </c>
      <c r="I38" t="s">
        <v>721</v>
      </c>
      <c r="J38">
        <v>3</v>
      </c>
      <c r="K38" t="s">
        <v>744</v>
      </c>
      <c r="L38">
        <v>330000</v>
      </c>
      <c r="M38">
        <v>2.1</v>
      </c>
      <c r="N38">
        <v>20.669464846794973</v>
      </c>
      <c r="O38" t="s">
        <v>592</v>
      </c>
      <c r="P38" t="s">
        <v>745</v>
      </c>
      <c r="Q38" t="s">
        <v>586</v>
      </c>
      <c r="R38">
        <v>350000</v>
      </c>
      <c r="S38" t="s">
        <v>594</v>
      </c>
      <c r="T38">
        <v>91</v>
      </c>
    </row>
    <row r="39" spans="1:20" x14ac:dyDescent="0.25">
      <c r="A39" t="s">
        <v>746</v>
      </c>
      <c r="B39" t="s">
        <v>25</v>
      </c>
      <c r="C39" t="s">
        <v>586</v>
      </c>
      <c r="D39" t="s">
        <v>623</v>
      </c>
      <c r="E39" t="s">
        <v>624</v>
      </c>
      <c r="F39">
        <v>2.2775133738409949</v>
      </c>
      <c r="G39">
        <v>27.972585402920068</v>
      </c>
      <c r="H39" t="s">
        <v>589</v>
      </c>
      <c r="I39" t="s">
        <v>625</v>
      </c>
      <c r="J39">
        <v>5</v>
      </c>
      <c r="K39" t="s">
        <v>747</v>
      </c>
      <c r="L39">
        <v>16835000</v>
      </c>
      <c r="M39">
        <v>1.77</v>
      </c>
      <c r="N39">
        <v>27.972585402920068</v>
      </c>
      <c r="O39" t="s">
        <v>592</v>
      </c>
      <c r="P39" t="s">
        <v>627</v>
      </c>
      <c r="Q39" t="s">
        <v>586</v>
      </c>
      <c r="R39">
        <v>30000</v>
      </c>
      <c r="S39" t="s">
        <v>599</v>
      </c>
      <c r="T39">
        <v>82</v>
      </c>
    </row>
    <row r="40" spans="1:20" x14ac:dyDescent="0.25">
      <c r="A40" t="s">
        <v>748</v>
      </c>
      <c r="B40" t="s">
        <v>21</v>
      </c>
      <c r="C40" t="s">
        <v>586</v>
      </c>
      <c r="D40" t="s">
        <v>587</v>
      </c>
      <c r="E40" t="s">
        <v>588</v>
      </c>
      <c r="F40">
        <v>0.16350124063345525</v>
      </c>
      <c r="G40">
        <v>-8.4133711862190985</v>
      </c>
      <c r="H40" t="s">
        <v>596</v>
      </c>
      <c r="I40" t="s">
        <v>597</v>
      </c>
      <c r="J40">
        <v>5</v>
      </c>
      <c r="K40" t="s">
        <v>749</v>
      </c>
      <c r="L40">
        <v>26725000</v>
      </c>
      <c r="M40">
        <v>1.55</v>
      </c>
      <c r="N40">
        <v>-8.4133711862190985</v>
      </c>
      <c r="O40" t="s">
        <v>592</v>
      </c>
      <c r="P40" t="s">
        <v>593</v>
      </c>
      <c r="Q40" t="s">
        <v>586</v>
      </c>
      <c r="R40">
        <v>80000</v>
      </c>
      <c r="S40" t="s">
        <v>599</v>
      </c>
      <c r="T40">
        <v>99</v>
      </c>
    </row>
    <row r="41" spans="1:20" x14ac:dyDescent="0.25">
      <c r="A41" t="s">
        <v>750</v>
      </c>
      <c r="B41" t="s">
        <v>44</v>
      </c>
      <c r="C41" t="s">
        <v>586</v>
      </c>
      <c r="D41" t="s">
        <v>587</v>
      </c>
      <c r="E41" t="s">
        <v>751</v>
      </c>
      <c r="F41">
        <v>3.5780007149419673</v>
      </c>
      <c r="G41">
        <v>11.935224062226579</v>
      </c>
      <c r="H41" t="s">
        <v>649</v>
      </c>
      <c r="I41" t="s">
        <v>752</v>
      </c>
      <c r="J41">
        <v>5</v>
      </c>
      <c r="K41" t="s">
        <v>753</v>
      </c>
      <c r="L41">
        <v>10880000</v>
      </c>
      <c r="M41">
        <v>2.16</v>
      </c>
      <c r="N41">
        <v>11.935224062226579</v>
      </c>
      <c r="O41" t="s">
        <v>592</v>
      </c>
      <c r="P41" t="s">
        <v>593</v>
      </c>
      <c r="Q41" t="s">
        <v>586</v>
      </c>
      <c r="R41">
        <v>20000</v>
      </c>
      <c r="S41" t="s">
        <v>635</v>
      </c>
      <c r="T41">
        <v>72</v>
      </c>
    </row>
    <row r="42" spans="1:20" x14ac:dyDescent="0.25">
      <c r="A42" t="s">
        <v>754</v>
      </c>
      <c r="B42" t="s">
        <v>21</v>
      </c>
      <c r="C42" t="s">
        <v>586</v>
      </c>
      <c r="D42" t="s">
        <v>587</v>
      </c>
      <c r="E42" t="s">
        <v>588</v>
      </c>
      <c r="F42">
        <v>2.0313791379683379</v>
      </c>
      <c r="G42">
        <v>1.1478484270493583</v>
      </c>
      <c r="H42" t="s">
        <v>596</v>
      </c>
      <c r="I42" t="s">
        <v>597</v>
      </c>
      <c r="J42">
        <v>5</v>
      </c>
      <c r="K42" t="s">
        <v>651</v>
      </c>
      <c r="L42">
        <v>40840000</v>
      </c>
      <c r="M42">
        <v>1.97</v>
      </c>
      <c r="N42">
        <v>1.1478484270493583</v>
      </c>
      <c r="O42" t="s">
        <v>592</v>
      </c>
      <c r="P42" t="s">
        <v>593</v>
      </c>
      <c r="Q42" t="s">
        <v>586</v>
      </c>
      <c r="R42">
        <v>15000</v>
      </c>
      <c r="S42" t="s">
        <v>599</v>
      </c>
      <c r="T42">
        <v>88</v>
      </c>
    </row>
    <row r="43" spans="1:20" x14ac:dyDescent="0.25">
      <c r="A43" t="s">
        <v>755</v>
      </c>
      <c r="B43" t="s">
        <v>45</v>
      </c>
      <c r="C43" t="s">
        <v>607</v>
      </c>
      <c r="D43" t="s">
        <v>587</v>
      </c>
      <c r="E43" t="s">
        <v>756</v>
      </c>
      <c r="F43">
        <v>1.2914027560218435</v>
      </c>
      <c r="G43">
        <v>12.081605479452051</v>
      </c>
      <c r="H43" t="s">
        <v>757</v>
      </c>
      <c r="I43" t="s">
        <v>661</v>
      </c>
      <c r="J43">
        <v>4</v>
      </c>
      <c r="K43" t="s">
        <v>758</v>
      </c>
      <c r="L43">
        <v>380000</v>
      </c>
      <c r="M43">
        <v>1.75</v>
      </c>
      <c r="N43">
        <v>12.081605479452051</v>
      </c>
      <c r="O43" t="s">
        <v>592</v>
      </c>
      <c r="P43" t="s">
        <v>593</v>
      </c>
      <c r="Q43" t="s">
        <v>586</v>
      </c>
      <c r="R43">
        <v>420000</v>
      </c>
      <c r="S43" t="s">
        <v>712</v>
      </c>
      <c r="T43">
        <v>72</v>
      </c>
    </row>
    <row r="44" spans="1:20" x14ac:dyDescent="0.25">
      <c r="A44" t="s">
        <v>759</v>
      </c>
      <c r="B44" t="s">
        <v>46</v>
      </c>
      <c r="C44" t="s">
        <v>586</v>
      </c>
      <c r="D44" t="s">
        <v>608</v>
      </c>
      <c r="E44" t="s">
        <v>760</v>
      </c>
      <c r="F44">
        <v>3.2808375709592306</v>
      </c>
      <c r="G44">
        <v>23.611689627111886</v>
      </c>
      <c r="H44" t="s">
        <v>761</v>
      </c>
      <c r="I44" t="s">
        <v>619</v>
      </c>
      <c r="J44">
        <v>5</v>
      </c>
      <c r="K44" t="s">
        <v>762</v>
      </c>
      <c r="L44">
        <v>2905000</v>
      </c>
      <c r="M44">
        <v>1.97</v>
      </c>
      <c r="N44">
        <v>23.611689627111886</v>
      </c>
      <c r="O44" t="s">
        <v>592</v>
      </c>
      <c r="P44" t="s">
        <v>621</v>
      </c>
      <c r="Q44" t="s">
        <v>586</v>
      </c>
      <c r="R44">
        <v>260000</v>
      </c>
      <c r="S44" t="s">
        <v>652</v>
      </c>
      <c r="T44">
        <v>77</v>
      </c>
    </row>
    <row r="45" spans="1:20" x14ac:dyDescent="0.25">
      <c r="A45" t="s">
        <v>763</v>
      </c>
      <c r="B45" t="s">
        <v>20</v>
      </c>
      <c r="C45" t="s">
        <v>586</v>
      </c>
      <c r="D45" t="s">
        <v>587</v>
      </c>
      <c r="E45" t="s">
        <v>588</v>
      </c>
      <c r="F45">
        <v>1.2072032647568363</v>
      </c>
      <c r="G45">
        <v>17.402074474724529</v>
      </c>
      <c r="H45" t="s">
        <v>589</v>
      </c>
      <c r="I45" t="s">
        <v>590</v>
      </c>
      <c r="J45">
        <v>4</v>
      </c>
      <c r="K45" t="s">
        <v>764</v>
      </c>
      <c r="L45">
        <v>26695000</v>
      </c>
      <c r="M45">
        <v>1.49</v>
      </c>
      <c r="N45">
        <v>17.402074474724529</v>
      </c>
      <c r="O45" t="s">
        <v>592</v>
      </c>
      <c r="P45" t="s">
        <v>593</v>
      </c>
      <c r="Q45" t="s">
        <v>586</v>
      </c>
      <c r="R45">
        <v>10000</v>
      </c>
      <c r="S45" t="s">
        <v>594</v>
      </c>
      <c r="T45">
        <v>89</v>
      </c>
    </row>
    <row r="46" spans="1:20" x14ac:dyDescent="0.25">
      <c r="A46" t="s">
        <v>765</v>
      </c>
      <c r="B46" t="s">
        <v>47</v>
      </c>
      <c r="C46" t="s">
        <v>586</v>
      </c>
      <c r="D46" t="s">
        <v>654</v>
      </c>
      <c r="E46" t="s">
        <v>766</v>
      </c>
      <c r="F46">
        <v>1.8269609098792856</v>
      </c>
      <c r="G46">
        <v>12.5478407158226</v>
      </c>
      <c r="H46" t="s">
        <v>767</v>
      </c>
      <c r="I46" t="s">
        <v>768</v>
      </c>
      <c r="J46">
        <v>5</v>
      </c>
      <c r="K46" t="s">
        <v>658</v>
      </c>
      <c r="L46">
        <v>2500000</v>
      </c>
      <c r="M46">
        <v>1.8900000000000001</v>
      </c>
      <c r="N46">
        <v>12.5478407158226</v>
      </c>
      <c r="O46" t="s">
        <v>592</v>
      </c>
      <c r="P46" t="s">
        <v>593</v>
      </c>
      <c r="Q46" t="s">
        <v>586</v>
      </c>
      <c r="R46">
        <v>60000</v>
      </c>
      <c r="S46" t="s">
        <v>594</v>
      </c>
      <c r="T46">
        <v>87</v>
      </c>
    </row>
    <row r="47" spans="1:20" x14ac:dyDescent="0.25">
      <c r="A47" t="s">
        <v>769</v>
      </c>
      <c r="B47" t="s">
        <v>48</v>
      </c>
      <c r="C47" t="s">
        <v>586</v>
      </c>
      <c r="D47" t="s">
        <v>770</v>
      </c>
      <c r="E47" t="s">
        <v>771</v>
      </c>
      <c r="F47">
        <v>0.41158950686919488</v>
      </c>
      <c r="G47">
        <v>23.135638007735349</v>
      </c>
      <c r="H47" t="s">
        <v>743</v>
      </c>
      <c r="I47" t="s">
        <v>657</v>
      </c>
      <c r="J47">
        <v>5</v>
      </c>
      <c r="K47" t="s">
        <v>686</v>
      </c>
      <c r="L47">
        <v>2290000</v>
      </c>
      <c r="M47">
        <v>2.0300000000000002</v>
      </c>
      <c r="N47">
        <v>23.135638007735349</v>
      </c>
      <c r="O47" t="s">
        <v>592</v>
      </c>
      <c r="P47" t="s">
        <v>621</v>
      </c>
      <c r="Q47" t="s">
        <v>586</v>
      </c>
      <c r="R47">
        <v>280000</v>
      </c>
      <c r="S47" t="s">
        <v>594</v>
      </c>
      <c r="T47">
        <v>95</v>
      </c>
    </row>
    <row r="48" spans="1:20" x14ac:dyDescent="0.25">
      <c r="A48" t="s">
        <v>772</v>
      </c>
      <c r="B48" t="s">
        <v>49</v>
      </c>
      <c r="C48" t="s">
        <v>586</v>
      </c>
      <c r="D48" t="s">
        <v>601</v>
      </c>
      <c r="E48" t="s">
        <v>773</v>
      </c>
      <c r="F48">
        <v>2.0537449224314717</v>
      </c>
      <c r="G48">
        <v>1.1211359113090014</v>
      </c>
      <c r="H48" t="s">
        <v>774</v>
      </c>
      <c r="I48" t="s">
        <v>775</v>
      </c>
      <c r="J48">
        <v>2</v>
      </c>
      <c r="K48" t="s">
        <v>776</v>
      </c>
      <c r="L48">
        <v>1090000</v>
      </c>
      <c r="M48">
        <v>1.51</v>
      </c>
      <c r="N48">
        <v>1.1211359113090014</v>
      </c>
      <c r="O48" t="s">
        <v>592</v>
      </c>
      <c r="P48" t="s">
        <v>593</v>
      </c>
      <c r="Q48" t="s">
        <v>586</v>
      </c>
      <c r="R48">
        <v>100000</v>
      </c>
      <c r="S48" t="s">
        <v>712</v>
      </c>
      <c r="T48">
        <v>70</v>
      </c>
    </row>
    <row r="49" spans="1:20" x14ac:dyDescent="0.25">
      <c r="A49" t="s">
        <v>777</v>
      </c>
      <c r="B49" t="s">
        <v>50</v>
      </c>
      <c r="C49" t="s">
        <v>586</v>
      </c>
      <c r="D49" t="s">
        <v>587</v>
      </c>
      <c r="E49" t="s">
        <v>778</v>
      </c>
      <c r="F49">
        <v>1.4495645631140599</v>
      </c>
      <c r="G49">
        <v>0.53995388787948517</v>
      </c>
      <c r="H49" t="s">
        <v>779</v>
      </c>
      <c r="I49" t="s">
        <v>733</v>
      </c>
      <c r="J49">
        <v>5</v>
      </c>
      <c r="K49" t="s">
        <v>780</v>
      </c>
      <c r="L49">
        <v>4575000</v>
      </c>
      <c r="M49">
        <v>1.9000000000000001</v>
      </c>
      <c r="N49">
        <v>0.53995388787948517</v>
      </c>
      <c r="O49" t="s">
        <v>592</v>
      </c>
      <c r="P49" t="s">
        <v>593</v>
      </c>
      <c r="Q49" t="s">
        <v>586</v>
      </c>
      <c r="R49">
        <v>10000</v>
      </c>
      <c r="S49" t="s">
        <v>652</v>
      </c>
      <c r="T49">
        <v>84</v>
      </c>
    </row>
    <row r="50" spans="1:20" x14ac:dyDescent="0.25">
      <c r="A50" t="s">
        <v>781</v>
      </c>
      <c r="B50" t="s">
        <v>51</v>
      </c>
      <c r="C50" t="s">
        <v>607</v>
      </c>
      <c r="D50" t="s">
        <v>601</v>
      </c>
      <c r="E50" t="s">
        <v>773</v>
      </c>
      <c r="F50">
        <v>2.5015802152823388</v>
      </c>
      <c r="G50">
        <v>29.896925833000299</v>
      </c>
      <c r="H50" t="s">
        <v>603</v>
      </c>
      <c r="I50" t="s">
        <v>782</v>
      </c>
      <c r="J50">
        <v>4</v>
      </c>
      <c r="K50" t="s">
        <v>734</v>
      </c>
      <c r="L50">
        <v>6320000</v>
      </c>
      <c r="M50">
        <v>2.29</v>
      </c>
      <c r="N50">
        <v>29.896925833000299</v>
      </c>
      <c r="O50" t="s">
        <v>592</v>
      </c>
      <c r="P50" t="s">
        <v>593</v>
      </c>
      <c r="Q50" t="s">
        <v>586</v>
      </c>
      <c r="R50">
        <v>50000</v>
      </c>
      <c r="S50" t="s">
        <v>712</v>
      </c>
      <c r="T50">
        <v>78</v>
      </c>
    </row>
    <row r="51" spans="1:20" x14ac:dyDescent="0.25">
      <c r="A51" t="s">
        <v>783</v>
      </c>
      <c r="B51" t="s">
        <v>52</v>
      </c>
      <c r="C51" t="s">
        <v>586</v>
      </c>
      <c r="D51" t="s">
        <v>608</v>
      </c>
      <c r="E51" t="s">
        <v>760</v>
      </c>
      <c r="F51">
        <v>4.6707999258652579</v>
      </c>
      <c r="G51">
        <v>131.22323885937297</v>
      </c>
      <c r="H51" t="s">
        <v>784</v>
      </c>
      <c r="I51" t="s">
        <v>611</v>
      </c>
      <c r="J51">
        <v>3</v>
      </c>
      <c r="K51" t="s">
        <v>785</v>
      </c>
      <c r="L51">
        <v>165000</v>
      </c>
      <c r="M51">
        <v>3.1</v>
      </c>
      <c r="N51">
        <v>131.22323885937297</v>
      </c>
      <c r="O51" t="s">
        <v>592</v>
      </c>
      <c r="P51" t="s">
        <v>613</v>
      </c>
      <c r="Q51" t="s">
        <v>586</v>
      </c>
      <c r="R51">
        <v>400000</v>
      </c>
      <c r="S51" t="s">
        <v>712</v>
      </c>
      <c r="T51">
        <v>41</v>
      </c>
    </row>
    <row r="52" spans="1:20" x14ac:dyDescent="0.25">
      <c r="A52" t="s">
        <v>786</v>
      </c>
      <c r="B52" t="s">
        <v>51</v>
      </c>
      <c r="C52" t="s">
        <v>607</v>
      </c>
      <c r="D52" t="s">
        <v>601</v>
      </c>
      <c r="E52" t="s">
        <v>773</v>
      </c>
      <c r="F52">
        <v>0.65005518903643988</v>
      </c>
      <c r="G52">
        <v>22.567815115848887</v>
      </c>
      <c r="H52" t="s">
        <v>603</v>
      </c>
      <c r="I52" t="s">
        <v>782</v>
      </c>
      <c r="J52">
        <v>4</v>
      </c>
      <c r="K52" t="s">
        <v>787</v>
      </c>
      <c r="L52">
        <v>5835000</v>
      </c>
      <c r="M52">
        <v>1.8900000000000001</v>
      </c>
      <c r="N52">
        <v>22.567815115848887</v>
      </c>
      <c r="O52" t="s">
        <v>592</v>
      </c>
      <c r="P52" t="s">
        <v>593</v>
      </c>
      <c r="Q52" t="s">
        <v>586</v>
      </c>
      <c r="R52">
        <v>100000</v>
      </c>
      <c r="S52" t="s">
        <v>712</v>
      </c>
      <c r="T52">
        <v>98</v>
      </c>
    </row>
    <row r="53" spans="1:20" x14ac:dyDescent="0.25">
      <c r="A53" t="s">
        <v>788</v>
      </c>
      <c r="B53" t="s">
        <v>53</v>
      </c>
      <c r="C53" t="s">
        <v>586</v>
      </c>
      <c r="D53" t="s">
        <v>608</v>
      </c>
      <c r="E53" t="s">
        <v>789</v>
      </c>
      <c r="F53">
        <v>0.56732084663480864</v>
      </c>
      <c r="G53">
        <v>24.040207052674379</v>
      </c>
      <c r="H53" t="s">
        <v>672</v>
      </c>
      <c r="I53" t="s">
        <v>619</v>
      </c>
      <c r="J53">
        <v>4</v>
      </c>
      <c r="K53" t="s">
        <v>744</v>
      </c>
      <c r="L53">
        <v>735000</v>
      </c>
      <c r="M53">
        <v>1.76</v>
      </c>
      <c r="N53">
        <v>24.040207052674379</v>
      </c>
      <c r="O53" t="s">
        <v>592</v>
      </c>
      <c r="P53" t="s">
        <v>621</v>
      </c>
      <c r="Q53" t="s">
        <v>586</v>
      </c>
      <c r="R53">
        <v>225000</v>
      </c>
      <c r="S53" t="s">
        <v>635</v>
      </c>
      <c r="T53">
        <v>96</v>
      </c>
    </row>
    <row r="54" spans="1:20" x14ac:dyDescent="0.25">
      <c r="A54" t="s">
        <v>790</v>
      </c>
      <c r="B54" t="s">
        <v>54</v>
      </c>
      <c r="C54" t="s">
        <v>586</v>
      </c>
      <c r="D54" t="s">
        <v>587</v>
      </c>
      <c r="E54" t="s">
        <v>791</v>
      </c>
      <c r="F54">
        <v>4.3901964547240846</v>
      </c>
      <c r="G54">
        <v>-1.1400050915203241</v>
      </c>
      <c r="H54" t="s">
        <v>792</v>
      </c>
      <c r="I54" t="s">
        <v>793</v>
      </c>
      <c r="J54">
        <v>4</v>
      </c>
      <c r="K54" t="s">
        <v>722</v>
      </c>
      <c r="L54">
        <v>5000000</v>
      </c>
      <c r="M54">
        <v>1.82</v>
      </c>
      <c r="N54">
        <v>-1.1400050915203241</v>
      </c>
      <c r="O54" t="s">
        <v>592</v>
      </c>
      <c r="P54" t="s">
        <v>593</v>
      </c>
      <c r="Q54" t="s">
        <v>586</v>
      </c>
      <c r="R54">
        <v>10000</v>
      </c>
      <c r="S54" t="s">
        <v>652</v>
      </c>
      <c r="T54">
        <v>48</v>
      </c>
    </row>
    <row r="55" spans="1:20" x14ac:dyDescent="0.25">
      <c r="A55" t="s">
        <v>794</v>
      </c>
      <c r="B55" t="s">
        <v>55</v>
      </c>
      <c r="C55" t="s">
        <v>586</v>
      </c>
      <c r="D55" t="s">
        <v>795</v>
      </c>
      <c r="E55" t="s">
        <v>796</v>
      </c>
      <c r="F55">
        <v>4.5370764640776544</v>
      </c>
      <c r="G55">
        <v>20.313427141588789</v>
      </c>
      <c r="H55" t="s">
        <v>720</v>
      </c>
      <c r="I55" t="s">
        <v>611</v>
      </c>
      <c r="J55">
        <v>5</v>
      </c>
      <c r="K55" t="s">
        <v>797</v>
      </c>
      <c r="L55">
        <v>3305000</v>
      </c>
      <c r="M55">
        <v>2.38</v>
      </c>
      <c r="N55">
        <v>20.313427141588789</v>
      </c>
      <c r="O55" t="s">
        <v>592</v>
      </c>
      <c r="P55" t="s">
        <v>593</v>
      </c>
      <c r="Q55" t="s">
        <v>586</v>
      </c>
      <c r="R55">
        <v>240000</v>
      </c>
      <c r="S55" t="s">
        <v>712</v>
      </c>
      <c r="T55">
        <v>57</v>
      </c>
    </row>
    <row r="56" spans="1:20" x14ac:dyDescent="0.25">
      <c r="A56" t="s">
        <v>798</v>
      </c>
      <c r="B56" t="s">
        <v>56</v>
      </c>
      <c r="C56" t="s">
        <v>586</v>
      </c>
      <c r="D56" t="s">
        <v>587</v>
      </c>
      <c r="E56" t="s">
        <v>648</v>
      </c>
      <c r="F56">
        <v>1.5357465336876042</v>
      </c>
      <c r="G56">
        <v>-2.3672053724667075</v>
      </c>
      <c r="H56" t="s">
        <v>799</v>
      </c>
      <c r="I56" t="s">
        <v>650</v>
      </c>
      <c r="J56">
        <v>5</v>
      </c>
      <c r="K56" t="s">
        <v>800</v>
      </c>
      <c r="L56">
        <v>3605000</v>
      </c>
      <c r="M56">
        <v>1.45</v>
      </c>
      <c r="N56">
        <v>-2.3672053724667075</v>
      </c>
      <c r="O56" t="s">
        <v>592</v>
      </c>
      <c r="P56" t="s">
        <v>593</v>
      </c>
      <c r="Q56" t="s">
        <v>586</v>
      </c>
      <c r="R56">
        <v>50000</v>
      </c>
      <c r="S56" t="s">
        <v>599</v>
      </c>
      <c r="T56">
        <v>73</v>
      </c>
    </row>
    <row r="57" spans="1:20" x14ac:dyDescent="0.25">
      <c r="A57" t="s">
        <v>801</v>
      </c>
      <c r="B57" t="s">
        <v>22</v>
      </c>
      <c r="C57" t="s">
        <v>586</v>
      </c>
      <c r="D57" t="s">
        <v>601</v>
      </c>
      <c r="E57" t="s">
        <v>602</v>
      </c>
      <c r="F57">
        <v>2.3472845741142301</v>
      </c>
      <c r="G57">
        <v>-1.4824712328767253</v>
      </c>
      <c r="H57" t="s">
        <v>802</v>
      </c>
      <c r="I57" t="s">
        <v>597</v>
      </c>
      <c r="J57">
        <v>5</v>
      </c>
      <c r="K57" t="s">
        <v>803</v>
      </c>
      <c r="L57">
        <v>1840000</v>
      </c>
      <c r="M57">
        <v>1.6300000000000001</v>
      </c>
      <c r="N57">
        <v>-1.4824712328767253</v>
      </c>
      <c r="O57" t="s">
        <v>592</v>
      </c>
      <c r="P57" t="s">
        <v>593</v>
      </c>
      <c r="Q57" t="s">
        <v>586</v>
      </c>
      <c r="R57">
        <v>40000</v>
      </c>
      <c r="S57" t="s">
        <v>599</v>
      </c>
      <c r="T57">
        <v>82</v>
      </c>
    </row>
    <row r="58" spans="1:20" x14ac:dyDescent="0.25">
      <c r="A58" t="s">
        <v>804</v>
      </c>
      <c r="B58" t="s">
        <v>57</v>
      </c>
      <c r="C58" t="s">
        <v>586</v>
      </c>
      <c r="D58" t="s">
        <v>805</v>
      </c>
      <c r="E58" t="s">
        <v>806</v>
      </c>
      <c r="F58">
        <v>0.49400065462248138</v>
      </c>
      <c r="G58">
        <v>3.9769106866969217</v>
      </c>
      <c r="H58" t="s">
        <v>603</v>
      </c>
      <c r="I58" t="s">
        <v>625</v>
      </c>
      <c r="J58">
        <v>5</v>
      </c>
      <c r="K58" t="s">
        <v>807</v>
      </c>
      <c r="L58">
        <v>7670000</v>
      </c>
      <c r="M58">
        <v>1.7000000000000002</v>
      </c>
      <c r="N58">
        <v>3.9769106866969217</v>
      </c>
      <c r="O58" t="s">
        <v>592</v>
      </c>
      <c r="P58" t="s">
        <v>593</v>
      </c>
      <c r="Q58" t="s">
        <v>586</v>
      </c>
      <c r="R58">
        <v>15000</v>
      </c>
      <c r="S58" t="s">
        <v>599</v>
      </c>
      <c r="T58">
        <v>96</v>
      </c>
    </row>
    <row r="59" spans="1:20" x14ac:dyDescent="0.25">
      <c r="A59" t="s">
        <v>808</v>
      </c>
      <c r="B59" t="s">
        <v>58</v>
      </c>
      <c r="C59" t="s">
        <v>586</v>
      </c>
      <c r="D59" t="s">
        <v>809</v>
      </c>
      <c r="E59" t="s">
        <v>810</v>
      </c>
      <c r="F59">
        <v>0.49411315574048298</v>
      </c>
      <c r="G59">
        <v>21.266322072192168</v>
      </c>
      <c r="H59" t="s">
        <v>811</v>
      </c>
      <c r="I59" t="s">
        <v>812</v>
      </c>
      <c r="J59">
        <v>3</v>
      </c>
      <c r="K59" t="s">
        <v>807</v>
      </c>
      <c r="L59">
        <v>1940000</v>
      </c>
      <c r="M59">
        <v>2.0499999999999998</v>
      </c>
      <c r="N59">
        <v>21.266322072192168</v>
      </c>
      <c r="O59" t="s">
        <v>592</v>
      </c>
      <c r="P59" t="s">
        <v>593</v>
      </c>
      <c r="Q59" t="s">
        <v>586</v>
      </c>
      <c r="R59">
        <v>200000</v>
      </c>
      <c r="S59" t="s">
        <v>652</v>
      </c>
      <c r="T59">
        <v>87</v>
      </c>
    </row>
    <row r="60" spans="1:20" x14ac:dyDescent="0.25">
      <c r="A60" t="s">
        <v>813</v>
      </c>
      <c r="B60" t="s">
        <v>44</v>
      </c>
      <c r="C60" t="s">
        <v>586</v>
      </c>
      <c r="D60" t="s">
        <v>587</v>
      </c>
      <c r="E60" t="s">
        <v>751</v>
      </c>
      <c r="F60">
        <v>2.7195779709827241</v>
      </c>
      <c r="G60">
        <v>9.8462859587011167</v>
      </c>
      <c r="H60" t="s">
        <v>649</v>
      </c>
      <c r="I60" t="s">
        <v>752</v>
      </c>
      <c r="J60">
        <v>5</v>
      </c>
      <c r="K60" t="s">
        <v>626</v>
      </c>
      <c r="L60">
        <v>4975000</v>
      </c>
      <c r="M60">
        <v>2</v>
      </c>
      <c r="N60">
        <v>9.8462859587011167</v>
      </c>
      <c r="O60" t="s">
        <v>592</v>
      </c>
      <c r="P60" t="s">
        <v>593</v>
      </c>
      <c r="Q60" t="s">
        <v>586</v>
      </c>
      <c r="R60">
        <v>30000</v>
      </c>
      <c r="S60" t="s">
        <v>635</v>
      </c>
      <c r="T60">
        <v>77</v>
      </c>
    </row>
    <row r="61" spans="1:20" x14ac:dyDescent="0.25">
      <c r="A61" t="s">
        <v>814</v>
      </c>
      <c r="B61" t="s">
        <v>25</v>
      </c>
      <c r="C61" t="s">
        <v>586</v>
      </c>
      <c r="D61" t="s">
        <v>623</v>
      </c>
      <c r="E61" t="s">
        <v>624</v>
      </c>
      <c r="F61">
        <v>3.1538027968402642</v>
      </c>
      <c r="G61">
        <v>33.479342984408731</v>
      </c>
      <c r="H61" t="s">
        <v>589</v>
      </c>
      <c r="I61" t="s">
        <v>625</v>
      </c>
      <c r="J61">
        <v>5</v>
      </c>
      <c r="K61" t="s">
        <v>815</v>
      </c>
      <c r="L61">
        <v>16555000</v>
      </c>
      <c r="M61">
        <v>1.97</v>
      </c>
      <c r="N61">
        <v>33.479342984408731</v>
      </c>
      <c r="O61" t="s">
        <v>592</v>
      </c>
      <c r="P61" t="s">
        <v>627</v>
      </c>
      <c r="Q61" t="s">
        <v>586</v>
      </c>
      <c r="R61">
        <v>20000</v>
      </c>
      <c r="S61" t="s">
        <v>599</v>
      </c>
      <c r="T61">
        <v>76</v>
      </c>
    </row>
    <row r="62" spans="1:20" x14ac:dyDescent="0.25">
      <c r="A62" t="s">
        <v>816</v>
      </c>
      <c r="B62" t="s">
        <v>33</v>
      </c>
      <c r="C62" t="s">
        <v>586</v>
      </c>
      <c r="D62" t="s">
        <v>608</v>
      </c>
      <c r="E62" t="s">
        <v>671</v>
      </c>
      <c r="F62">
        <v>2.8615234361208008</v>
      </c>
      <c r="G62">
        <v>36.193954766663495</v>
      </c>
      <c r="H62" t="s">
        <v>672</v>
      </c>
      <c r="I62" t="s">
        <v>673</v>
      </c>
      <c r="J62">
        <v>3</v>
      </c>
      <c r="K62" t="s">
        <v>817</v>
      </c>
      <c r="L62">
        <v>14720000</v>
      </c>
      <c r="M62">
        <v>2.3000000000000003</v>
      </c>
      <c r="N62">
        <v>36.193954766663495</v>
      </c>
      <c r="O62" t="s">
        <v>592</v>
      </c>
      <c r="P62" t="s">
        <v>621</v>
      </c>
      <c r="Q62" t="s">
        <v>586</v>
      </c>
      <c r="R62">
        <v>35000</v>
      </c>
      <c r="S62" t="s">
        <v>599</v>
      </c>
      <c r="T62">
        <v>72</v>
      </c>
    </row>
    <row r="63" spans="1:20" x14ac:dyDescent="0.25">
      <c r="A63" t="s">
        <v>818</v>
      </c>
      <c r="B63" t="s">
        <v>59</v>
      </c>
      <c r="C63" t="s">
        <v>586</v>
      </c>
      <c r="D63" t="s">
        <v>805</v>
      </c>
      <c r="E63" t="s">
        <v>819</v>
      </c>
      <c r="F63">
        <v>0.85140290923050155</v>
      </c>
      <c r="G63">
        <v>6.3897280259866074</v>
      </c>
      <c r="H63" t="s">
        <v>676</v>
      </c>
      <c r="I63" t="s">
        <v>820</v>
      </c>
      <c r="J63">
        <v>5</v>
      </c>
      <c r="K63" t="s">
        <v>821</v>
      </c>
      <c r="L63">
        <v>315000</v>
      </c>
      <c r="M63">
        <v>1.4000000000000001</v>
      </c>
      <c r="N63">
        <v>6.3897280259866074</v>
      </c>
      <c r="O63" t="s">
        <v>592</v>
      </c>
      <c r="P63" t="s">
        <v>711</v>
      </c>
      <c r="Q63" t="s">
        <v>586</v>
      </c>
      <c r="R63">
        <v>100000</v>
      </c>
      <c r="S63" t="s">
        <v>712</v>
      </c>
      <c r="T63">
        <v>93</v>
      </c>
    </row>
    <row r="64" spans="1:20" x14ac:dyDescent="0.25">
      <c r="A64" t="s">
        <v>822</v>
      </c>
      <c r="B64" t="s">
        <v>60</v>
      </c>
      <c r="C64" t="s">
        <v>586</v>
      </c>
      <c r="D64" t="s">
        <v>631</v>
      </c>
      <c r="E64" t="s">
        <v>756</v>
      </c>
      <c r="F64">
        <v>3.2329843995921808</v>
      </c>
      <c r="G64">
        <v>15.368054355469596</v>
      </c>
      <c r="H64" t="s">
        <v>823</v>
      </c>
      <c r="I64" t="s">
        <v>619</v>
      </c>
      <c r="J64">
        <v>5</v>
      </c>
      <c r="K64" t="s">
        <v>824</v>
      </c>
      <c r="L64">
        <v>3350000</v>
      </c>
      <c r="M64">
        <v>2.31</v>
      </c>
      <c r="N64">
        <v>15.368054355469596</v>
      </c>
      <c r="O64" t="s">
        <v>592</v>
      </c>
      <c r="P64" t="s">
        <v>593</v>
      </c>
      <c r="Q64" t="s">
        <v>586</v>
      </c>
      <c r="R64">
        <v>50000</v>
      </c>
      <c r="S64" t="s">
        <v>652</v>
      </c>
      <c r="T64">
        <v>77</v>
      </c>
    </row>
    <row r="65" spans="1:20" x14ac:dyDescent="0.25">
      <c r="A65" t="s">
        <v>825</v>
      </c>
      <c r="B65" t="s">
        <v>61</v>
      </c>
      <c r="C65" t="s">
        <v>586</v>
      </c>
      <c r="D65" t="s">
        <v>623</v>
      </c>
      <c r="E65" t="s">
        <v>826</v>
      </c>
      <c r="F65">
        <v>0.32424266679686664</v>
      </c>
      <c r="G65">
        <v>136.98855519138388</v>
      </c>
      <c r="H65" t="s">
        <v>827</v>
      </c>
      <c r="I65" t="s">
        <v>828</v>
      </c>
      <c r="J65">
        <v>4.75</v>
      </c>
      <c r="K65" t="s">
        <v>710</v>
      </c>
      <c r="L65">
        <v>10000</v>
      </c>
      <c r="M65">
        <v>3</v>
      </c>
      <c r="N65">
        <v>136.98855519138388</v>
      </c>
      <c r="O65" t="s">
        <v>592</v>
      </c>
      <c r="P65" t="s">
        <v>745</v>
      </c>
      <c r="Q65" t="s">
        <v>586</v>
      </c>
      <c r="R65">
        <v>40000</v>
      </c>
      <c r="S65" t="s">
        <v>712</v>
      </c>
      <c r="T65">
        <v>92</v>
      </c>
    </row>
    <row r="66" spans="1:20" x14ac:dyDescent="0.25">
      <c r="A66" t="s">
        <v>829</v>
      </c>
      <c r="B66" t="s">
        <v>62</v>
      </c>
      <c r="C66" t="s">
        <v>586</v>
      </c>
      <c r="D66" t="s">
        <v>830</v>
      </c>
      <c r="E66" t="s">
        <v>831</v>
      </c>
      <c r="F66">
        <v>4.3843328266938917</v>
      </c>
      <c r="G66">
        <v>37.947167751200325</v>
      </c>
      <c r="H66" t="s">
        <v>832</v>
      </c>
      <c r="I66" t="s">
        <v>721</v>
      </c>
      <c r="J66">
        <v>3</v>
      </c>
      <c r="K66" t="s">
        <v>701</v>
      </c>
      <c r="L66">
        <v>950000</v>
      </c>
      <c r="M66">
        <v>2.35</v>
      </c>
      <c r="N66">
        <v>37.947167751200325</v>
      </c>
      <c r="O66" t="s">
        <v>592</v>
      </c>
      <c r="P66" t="s">
        <v>593</v>
      </c>
      <c r="Q66" t="s">
        <v>586</v>
      </c>
      <c r="R66">
        <v>30000</v>
      </c>
      <c r="S66" t="s">
        <v>712</v>
      </c>
      <c r="T66">
        <v>40</v>
      </c>
    </row>
    <row r="67" spans="1:20" x14ac:dyDescent="0.25">
      <c r="A67" t="s">
        <v>833</v>
      </c>
      <c r="B67" t="s">
        <v>20</v>
      </c>
      <c r="C67" t="s">
        <v>586</v>
      </c>
      <c r="D67" t="s">
        <v>587</v>
      </c>
      <c r="E67" t="s">
        <v>588</v>
      </c>
      <c r="F67">
        <v>4.6307649775644562</v>
      </c>
      <c r="G67">
        <v>24.883613722653241</v>
      </c>
      <c r="H67" t="s">
        <v>589</v>
      </c>
      <c r="I67" t="s">
        <v>590</v>
      </c>
      <c r="J67">
        <v>5</v>
      </c>
      <c r="K67" t="s">
        <v>834</v>
      </c>
      <c r="L67">
        <v>36000000</v>
      </c>
      <c r="M67">
        <v>2.1</v>
      </c>
      <c r="N67">
        <v>24.883613722653241</v>
      </c>
      <c r="O67" t="s">
        <v>592</v>
      </c>
      <c r="P67" t="s">
        <v>593</v>
      </c>
      <c r="Q67" t="s">
        <v>586</v>
      </c>
      <c r="R67">
        <v>115000</v>
      </c>
      <c r="S67" t="s">
        <v>594</v>
      </c>
      <c r="T67">
        <v>67</v>
      </c>
    </row>
    <row r="68" spans="1:20" x14ac:dyDescent="0.25">
      <c r="A68" t="s">
        <v>835</v>
      </c>
      <c r="B68" t="s">
        <v>63</v>
      </c>
      <c r="C68" t="s">
        <v>586</v>
      </c>
      <c r="D68" t="s">
        <v>587</v>
      </c>
      <c r="E68" t="s">
        <v>836</v>
      </c>
      <c r="F68">
        <v>0.97802024086906725</v>
      </c>
      <c r="G68">
        <v>39.69438560183589</v>
      </c>
      <c r="H68" t="s">
        <v>792</v>
      </c>
      <c r="I68" t="s">
        <v>661</v>
      </c>
      <c r="J68">
        <v>5</v>
      </c>
      <c r="K68" t="s">
        <v>646</v>
      </c>
      <c r="L68">
        <v>2400000</v>
      </c>
      <c r="M68">
        <v>1.7000000000000002</v>
      </c>
      <c r="N68">
        <v>39.69438560183589</v>
      </c>
      <c r="O68" t="s">
        <v>592</v>
      </c>
      <c r="P68" t="s">
        <v>593</v>
      </c>
      <c r="Q68" t="s">
        <v>586</v>
      </c>
      <c r="R68">
        <v>600000</v>
      </c>
      <c r="S68" t="s">
        <v>712</v>
      </c>
      <c r="T68">
        <v>83</v>
      </c>
    </row>
    <row r="69" spans="1:20" x14ac:dyDescent="0.25">
      <c r="A69" t="s">
        <v>837</v>
      </c>
      <c r="B69" t="s">
        <v>41</v>
      </c>
      <c r="C69" t="s">
        <v>586</v>
      </c>
      <c r="D69" t="s">
        <v>731</v>
      </c>
      <c r="E69" t="s">
        <v>732</v>
      </c>
      <c r="F69">
        <v>3.3238295468127768</v>
      </c>
      <c r="G69">
        <v>-1.382779483609875</v>
      </c>
      <c r="H69" t="s">
        <v>639</v>
      </c>
      <c r="I69" t="s">
        <v>733</v>
      </c>
      <c r="J69">
        <v>5</v>
      </c>
      <c r="K69" t="s">
        <v>838</v>
      </c>
      <c r="L69">
        <v>10265000</v>
      </c>
      <c r="M69">
        <v>2.17</v>
      </c>
      <c r="N69">
        <v>-1.382779483609875</v>
      </c>
      <c r="O69" t="s">
        <v>592</v>
      </c>
      <c r="P69" t="s">
        <v>593</v>
      </c>
      <c r="Q69" t="s">
        <v>586</v>
      </c>
      <c r="R69">
        <v>30000</v>
      </c>
      <c r="S69" t="s">
        <v>599</v>
      </c>
      <c r="T69">
        <v>77</v>
      </c>
    </row>
    <row r="70" spans="1:20" x14ac:dyDescent="0.25">
      <c r="A70" t="s">
        <v>839</v>
      </c>
      <c r="B70" t="s">
        <v>25</v>
      </c>
      <c r="C70" t="s">
        <v>586</v>
      </c>
      <c r="D70" t="s">
        <v>623</v>
      </c>
      <c r="E70" t="s">
        <v>624</v>
      </c>
      <c r="F70">
        <v>1.8273092242688873</v>
      </c>
      <c r="G70">
        <v>25.517951576097108</v>
      </c>
      <c r="H70" t="s">
        <v>589</v>
      </c>
      <c r="I70" t="s">
        <v>625</v>
      </c>
      <c r="J70">
        <v>5</v>
      </c>
      <c r="K70" t="s">
        <v>658</v>
      </c>
      <c r="L70">
        <v>16745000</v>
      </c>
      <c r="M70">
        <v>1.67</v>
      </c>
      <c r="N70">
        <v>25.517951576097108</v>
      </c>
      <c r="O70" t="s">
        <v>592</v>
      </c>
      <c r="P70" t="s">
        <v>627</v>
      </c>
      <c r="Q70" t="s">
        <v>586</v>
      </c>
      <c r="R70">
        <v>125000</v>
      </c>
      <c r="S70" t="s">
        <v>599</v>
      </c>
      <c r="T70">
        <v>85</v>
      </c>
    </row>
    <row r="71" spans="1:20" x14ac:dyDescent="0.25">
      <c r="A71" t="s">
        <v>840</v>
      </c>
      <c r="B71" t="s">
        <v>64</v>
      </c>
      <c r="C71" t="s">
        <v>586</v>
      </c>
      <c r="D71" t="s">
        <v>608</v>
      </c>
      <c r="E71" t="s">
        <v>841</v>
      </c>
      <c r="F71">
        <v>1.9089028205153469</v>
      </c>
      <c r="G71">
        <v>17.491364383561645</v>
      </c>
      <c r="H71" t="s">
        <v>842</v>
      </c>
      <c r="I71" t="s">
        <v>721</v>
      </c>
      <c r="J71">
        <v>5</v>
      </c>
      <c r="K71" t="s">
        <v>729</v>
      </c>
      <c r="L71">
        <v>1300000</v>
      </c>
      <c r="M71">
        <v>1.75</v>
      </c>
      <c r="N71">
        <v>17.491364383561645</v>
      </c>
      <c r="O71" t="s">
        <v>592</v>
      </c>
      <c r="P71" t="s">
        <v>621</v>
      </c>
      <c r="Q71" t="s">
        <v>586</v>
      </c>
      <c r="R71">
        <v>50000</v>
      </c>
      <c r="S71" t="s">
        <v>712</v>
      </c>
      <c r="T71">
        <v>84</v>
      </c>
    </row>
    <row r="72" spans="1:20" x14ac:dyDescent="0.25">
      <c r="A72" t="s">
        <v>843</v>
      </c>
      <c r="B72" t="s">
        <v>36</v>
      </c>
      <c r="C72" t="s">
        <v>586</v>
      </c>
      <c r="D72" t="s">
        <v>690</v>
      </c>
      <c r="E72" t="s">
        <v>691</v>
      </c>
      <c r="F72">
        <v>2.0331292743983846</v>
      </c>
      <c r="G72">
        <v>6.6794439071388823</v>
      </c>
      <c r="H72" t="s">
        <v>692</v>
      </c>
      <c r="I72" t="s">
        <v>611</v>
      </c>
      <c r="J72">
        <v>5</v>
      </c>
      <c r="K72" t="s">
        <v>651</v>
      </c>
      <c r="L72">
        <v>2125000</v>
      </c>
      <c r="M72">
        <v>2.0100000000000002</v>
      </c>
      <c r="N72">
        <v>6.6794439071388823</v>
      </c>
      <c r="O72" t="s">
        <v>592</v>
      </c>
      <c r="P72" t="s">
        <v>593</v>
      </c>
      <c r="Q72" t="s">
        <v>586</v>
      </c>
      <c r="R72">
        <v>40000</v>
      </c>
      <c r="S72" t="s">
        <v>599</v>
      </c>
      <c r="T72">
        <v>88</v>
      </c>
    </row>
    <row r="73" spans="1:20" x14ac:dyDescent="0.25">
      <c r="A73" t="s">
        <v>844</v>
      </c>
      <c r="B73" t="s">
        <v>65</v>
      </c>
      <c r="C73" t="s">
        <v>586</v>
      </c>
      <c r="D73" t="s">
        <v>731</v>
      </c>
      <c r="E73" t="s">
        <v>845</v>
      </c>
      <c r="F73">
        <v>1.0369463970685628</v>
      </c>
      <c r="G73">
        <v>9.7621917808219152</v>
      </c>
      <c r="H73" t="s">
        <v>846</v>
      </c>
      <c r="I73" t="s">
        <v>721</v>
      </c>
      <c r="J73">
        <v>5</v>
      </c>
      <c r="K73" t="s">
        <v>612</v>
      </c>
      <c r="L73">
        <v>5510000</v>
      </c>
      <c r="M73">
        <v>1.7000000000000002</v>
      </c>
      <c r="N73">
        <v>9.7621917808219152</v>
      </c>
      <c r="O73" t="s">
        <v>592</v>
      </c>
      <c r="P73" t="s">
        <v>593</v>
      </c>
      <c r="Q73" t="s">
        <v>586</v>
      </c>
      <c r="R73">
        <v>20000</v>
      </c>
      <c r="S73" t="s">
        <v>652</v>
      </c>
      <c r="T73">
        <v>90</v>
      </c>
    </row>
    <row r="74" spans="1:20" x14ac:dyDescent="0.25">
      <c r="A74" t="s">
        <v>847</v>
      </c>
      <c r="B74" t="s">
        <v>66</v>
      </c>
      <c r="C74" t="s">
        <v>586</v>
      </c>
      <c r="D74" t="s">
        <v>654</v>
      </c>
      <c r="E74" t="s">
        <v>766</v>
      </c>
      <c r="F74">
        <v>0.8954127042351484</v>
      </c>
      <c r="G74">
        <v>3.3870958904109516</v>
      </c>
      <c r="H74" t="s">
        <v>848</v>
      </c>
      <c r="I74" t="s">
        <v>611</v>
      </c>
      <c r="J74">
        <v>5</v>
      </c>
      <c r="K74" t="s">
        <v>640</v>
      </c>
      <c r="L74">
        <v>1185000</v>
      </c>
      <c r="M74">
        <v>1.78</v>
      </c>
      <c r="N74">
        <v>3.3870958904109516</v>
      </c>
      <c r="O74" t="s">
        <v>592</v>
      </c>
      <c r="P74" t="s">
        <v>593</v>
      </c>
      <c r="Q74" t="s">
        <v>586</v>
      </c>
      <c r="R74">
        <v>400000</v>
      </c>
      <c r="S74" t="s">
        <v>652</v>
      </c>
      <c r="T74">
        <v>92</v>
      </c>
    </row>
    <row r="75" spans="1:20" x14ac:dyDescent="0.25">
      <c r="A75" t="s">
        <v>849</v>
      </c>
      <c r="B75" t="s">
        <v>67</v>
      </c>
      <c r="C75" t="s">
        <v>586</v>
      </c>
      <c r="D75" t="s">
        <v>608</v>
      </c>
      <c r="E75" t="s">
        <v>850</v>
      </c>
      <c r="F75">
        <v>4.3037609482331511</v>
      </c>
      <c r="G75">
        <v>48.255566037868562</v>
      </c>
      <c r="H75" t="s">
        <v>851</v>
      </c>
      <c r="I75" t="s">
        <v>611</v>
      </c>
      <c r="J75">
        <v>4</v>
      </c>
      <c r="K75" t="s">
        <v>701</v>
      </c>
      <c r="L75">
        <v>845000</v>
      </c>
      <c r="M75">
        <v>2.82</v>
      </c>
      <c r="N75">
        <v>48.255566037868562</v>
      </c>
      <c r="O75" t="s">
        <v>592</v>
      </c>
      <c r="P75" t="s">
        <v>621</v>
      </c>
      <c r="Q75" t="s">
        <v>586</v>
      </c>
      <c r="R75">
        <v>100000</v>
      </c>
      <c r="S75" t="s">
        <v>594</v>
      </c>
      <c r="T75">
        <v>60</v>
      </c>
    </row>
    <row r="76" spans="1:20" x14ac:dyDescent="0.25">
      <c r="A76" t="s">
        <v>852</v>
      </c>
      <c r="B76" t="s">
        <v>31</v>
      </c>
      <c r="C76" t="s">
        <v>586</v>
      </c>
      <c r="D76" t="s">
        <v>608</v>
      </c>
      <c r="E76" t="s">
        <v>609</v>
      </c>
      <c r="F76">
        <v>1.6193265024826307</v>
      </c>
      <c r="G76">
        <v>15.746484931506831</v>
      </c>
      <c r="H76" t="s">
        <v>660</v>
      </c>
      <c r="I76" t="s">
        <v>661</v>
      </c>
      <c r="J76">
        <v>5</v>
      </c>
      <c r="K76" t="s">
        <v>853</v>
      </c>
      <c r="L76">
        <v>26100000</v>
      </c>
      <c r="M76">
        <v>1.6400000000000001</v>
      </c>
      <c r="N76">
        <v>15.746484931506831</v>
      </c>
      <c r="O76" t="s">
        <v>592</v>
      </c>
      <c r="P76" t="s">
        <v>621</v>
      </c>
      <c r="Q76" t="s">
        <v>586</v>
      </c>
      <c r="R76">
        <v>40000</v>
      </c>
      <c r="S76" t="s">
        <v>599</v>
      </c>
      <c r="T76">
        <v>92</v>
      </c>
    </row>
    <row r="77" spans="1:20" x14ac:dyDescent="0.25">
      <c r="A77" t="s">
        <v>854</v>
      </c>
      <c r="B77" t="s">
        <v>68</v>
      </c>
      <c r="C77" t="s">
        <v>586</v>
      </c>
      <c r="D77" t="s">
        <v>587</v>
      </c>
      <c r="E77" t="s">
        <v>855</v>
      </c>
      <c r="F77">
        <v>1.0417008378293593</v>
      </c>
      <c r="G77">
        <v>48.329103241687775</v>
      </c>
      <c r="H77" t="s">
        <v>856</v>
      </c>
      <c r="I77" t="s">
        <v>661</v>
      </c>
      <c r="J77">
        <v>4</v>
      </c>
      <c r="K77" t="s">
        <v>612</v>
      </c>
      <c r="L77">
        <v>395000</v>
      </c>
      <c r="M77">
        <v>2.0699999999999998</v>
      </c>
      <c r="N77">
        <v>48.329103241687775</v>
      </c>
      <c r="O77" t="s">
        <v>592</v>
      </c>
      <c r="P77" t="s">
        <v>593</v>
      </c>
      <c r="Q77" t="s">
        <v>586</v>
      </c>
      <c r="R77">
        <v>60000</v>
      </c>
      <c r="S77" t="s">
        <v>712</v>
      </c>
      <c r="T77">
        <v>85</v>
      </c>
    </row>
    <row r="78" spans="1:20" x14ac:dyDescent="0.25">
      <c r="A78" t="s">
        <v>857</v>
      </c>
      <c r="B78" t="s">
        <v>69</v>
      </c>
      <c r="C78" t="s">
        <v>586</v>
      </c>
      <c r="D78" t="s">
        <v>805</v>
      </c>
      <c r="E78" t="s">
        <v>858</v>
      </c>
      <c r="F78">
        <v>0.73092430395130104</v>
      </c>
      <c r="G78">
        <v>18.58156773226316</v>
      </c>
      <c r="H78" t="s">
        <v>859</v>
      </c>
      <c r="I78" t="s">
        <v>860</v>
      </c>
      <c r="J78">
        <v>5</v>
      </c>
      <c r="K78" t="s">
        <v>861</v>
      </c>
      <c r="L78">
        <v>2810000</v>
      </c>
      <c r="M78">
        <v>1.71</v>
      </c>
      <c r="N78">
        <v>18.58156773226316</v>
      </c>
      <c r="O78" t="s">
        <v>592</v>
      </c>
      <c r="P78" t="s">
        <v>593</v>
      </c>
      <c r="Q78" t="s">
        <v>586</v>
      </c>
      <c r="R78">
        <v>40000</v>
      </c>
      <c r="S78" t="s">
        <v>635</v>
      </c>
      <c r="T78">
        <v>92</v>
      </c>
    </row>
    <row r="79" spans="1:20" x14ac:dyDescent="0.25">
      <c r="A79" t="s">
        <v>862</v>
      </c>
      <c r="B79" t="s">
        <v>70</v>
      </c>
      <c r="C79" t="s">
        <v>586</v>
      </c>
      <c r="D79" t="s">
        <v>863</v>
      </c>
      <c r="E79" t="s">
        <v>864</v>
      </c>
      <c r="F79">
        <v>0.20210185193503016</v>
      </c>
      <c r="G79">
        <v>45.091685503473421</v>
      </c>
      <c r="H79" t="s">
        <v>709</v>
      </c>
      <c r="I79" t="s">
        <v>865</v>
      </c>
      <c r="J79">
        <v>3</v>
      </c>
      <c r="K79" t="s">
        <v>866</v>
      </c>
      <c r="L79">
        <v>415000</v>
      </c>
      <c r="M79">
        <v>1.6500000000000001</v>
      </c>
      <c r="N79">
        <v>45.091685503473421</v>
      </c>
      <c r="O79" t="s">
        <v>592</v>
      </c>
      <c r="P79" t="s">
        <v>711</v>
      </c>
      <c r="Q79" t="s">
        <v>586</v>
      </c>
      <c r="R79">
        <v>540000</v>
      </c>
      <c r="S79" t="s">
        <v>712</v>
      </c>
      <c r="T79">
        <v>99</v>
      </c>
    </row>
    <row r="80" spans="1:20" x14ac:dyDescent="0.25">
      <c r="A80" t="s">
        <v>867</v>
      </c>
      <c r="B80" t="s">
        <v>71</v>
      </c>
      <c r="C80" t="s">
        <v>586</v>
      </c>
      <c r="D80" t="s">
        <v>731</v>
      </c>
      <c r="E80" t="s">
        <v>868</v>
      </c>
      <c r="F80">
        <v>3.2348341982739042</v>
      </c>
      <c r="G80">
        <v>-6.7400634992418773</v>
      </c>
      <c r="H80" t="s">
        <v>869</v>
      </c>
      <c r="I80" t="s">
        <v>870</v>
      </c>
      <c r="J80">
        <v>2</v>
      </c>
      <c r="K80" t="s">
        <v>871</v>
      </c>
      <c r="L80">
        <v>690000</v>
      </c>
      <c r="M80">
        <v>1.6400000000000001</v>
      </c>
      <c r="N80">
        <v>-6.7400634992418773</v>
      </c>
      <c r="O80" t="s">
        <v>592</v>
      </c>
      <c r="P80" t="s">
        <v>593</v>
      </c>
      <c r="Q80" t="s">
        <v>586</v>
      </c>
      <c r="R80">
        <v>440000</v>
      </c>
      <c r="S80" t="s">
        <v>599</v>
      </c>
      <c r="T80">
        <v>53</v>
      </c>
    </row>
    <row r="81" spans="1:20" x14ac:dyDescent="0.25">
      <c r="A81" t="s">
        <v>872</v>
      </c>
      <c r="B81" t="s">
        <v>41</v>
      </c>
      <c r="C81" t="s">
        <v>586</v>
      </c>
      <c r="D81" t="s">
        <v>731</v>
      </c>
      <c r="E81" t="s">
        <v>732</v>
      </c>
      <c r="F81">
        <v>0.64584165096717061</v>
      </c>
      <c r="G81">
        <v>-5.2284138704383309</v>
      </c>
      <c r="H81" t="s">
        <v>639</v>
      </c>
      <c r="I81" t="s">
        <v>733</v>
      </c>
      <c r="J81">
        <v>5</v>
      </c>
      <c r="K81" t="s">
        <v>787</v>
      </c>
      <c r="L81">
        <v>5260000</v>
      </c>
      <c r="M81">
        <v>1.7000000000000002</v>
      </c>
      <c r="N81">
        <v>-5.2284138704383309</v>
      </c>
      <c r="O81" t="s">
        <v>592</v>
      </c>
      <c r="P81" t="s">
        <v>593</v>
      </c>
      <c r="Q81" t="s">
        <v>586</v>
      </c>
      <c r="R81">
        <v>30000</v>
      </c>
      <c r="S81" t="s">
        <v>599</v>
      </c>
      <c r="T81">
        <v>96</v>
      </c>
    </row>
    <row r="82" spans="1:20" x14ac:dyDescent="0.25">
      <c r="A82" t="s">
        <v>873</v>
      </c>
      <c r="B82" t="s">
        <v>72</v>
      </c>
      <c r="C82" t="s">
        <v>586</v>
      </c>
      <c r="D82" t="s">
        <v>608</v>
      </c>
      <c r="E82" t="s">
        <v>841</v>
      </c>
      <c r="F82">
        <v>3.6501848497435248</v>
      </c>
      <c r="G82">
        <v>29.391518783506186</v>
      </c>
      <c r="H82" t="s">
        <v>589</v>
      </c>
      <c r="I82" t="s">
        <v>611</v>
      </c>
      <c r="J82">
        <v>5</v>
      </c>
      <c r="K82" t="s">
        <v>620</v>
      </c>
      <c r="L82">
        <v>1525000</v>
      </c>
      <c r="M82">
        <v>2.02</v>
      </c>
      <c r="N82">
        <v>29.391518783506186</v>
      </c>
      <c r="O82" t="s">
        <v>592</v>
      </c>
      <c r="P82" t="s">
        <v>621</v>
      </c>
      <c r="Q82" t="s">
        <v>586</v>
      </c>
      <c r="R82">
        <v>25000</v>
      </c>
      <c r="S82" t="s">
        <v>712</v>
      </c>
      <c r="T82">
        <v>70</v>
      </c>
    </row>
    <row r="83" spans="1:20" x14ac:dyDescent="0.25">
      <c r="A83" t="s">
        <v>874</v>
      </c>
      <c r="B83" t="s">
        <v>73</v>
      </c>
      <c r="C83" t="s">
        <v>586</v>
      </c>
      <c r="D83" t="s">
        <v>875</v>
      </c>
      <c r="E83" t="s">
        <v>876</v>
      </c>
      <c r="F83">
        <v>4.3806654979594484</v>
      </c>
      <c r="G83">
        <v>53.52423648174809</v>
      </c>
      <c r="H83" t="s">
        <v>668</v>
      </c>
      <c r="I83" t="s">
        <v>877</v>
      </c>
      <c r="J83">
        <v>4</v>
      </c>
      <c r="K83" t="s">
        <v>722</v>
      </c>
      <c r="L83">
        <v>215000</v>
      </c>
      <c r="M83">
        <v>2.37</v>
      </c>
      <c r="N83">
        <v>53.52423648174809</v>
      </c>
      <c r="O83" t="s">
        <v>592</v>
      </c>
      <c r="P83" t="s">
        <v>593</v>
      </c>
      <c r="Q83" t="s">
        <v>586</v>
      </c>
      <c r="R83">
        <v>100000</v>
      </c>
      <c r="S83" t="s">
        <v>878</v>
      </c>
      <c r="T83">
        <v>25</v>
      </c>
    </row>
    <row r="84" spans="1:20" x14ac:dyDescent="0.25">
      <c r="A84" t="s">
        <v>879</v>
      </c>
      <c r="B84" t="s">
        <v>31</v>
      </c>
      <c r="C84" t="s">
        <v>586</v>
      </c>
      <c r="D84" t="s">
        <v>608</v>
      </c>
      <c r="E84" t="s">
        <v>609</v>
      </c>
      <c r="F84">
        <v>0.68430038551029349</v>
      </c>
      <c r="G84">
        <v>15.670232876712342</v>
      </c>
      <c r="H84" t="s">
        <v>660</v>
      </c>
      <c r="I84" t="s">
        <v>661</v>
      </c>
      <c r="J84">
        <v>5</v>
      </c>
      <c r="K84" t="s">
        <v>880</v>
      </c>
      <c r="L84">
        <v>24560000</v>
      </c>
      <c r="M84">
        <v>1.5</v>
      </c>
      <c r="N84">
        <v>15.670232876712342</v>
      </c>
      <c r="O84" t="s">
        <v>592</v>
      </c>
      <c r="P84" t="s">
        <v>621</v>
      </c>
      <c r="Q84" t="s">
        <v>586</v>
      </c>
      <c r="R84">
        <v>60000</v>
      </c>
      <c r="S84" t="s">
        <v>599</v>
      </c>
      <c r="T84">
        <v>98</v>
      </c>
    </row>
    <row r="85" spans="1:20" x14ac:dyDescent="0.25">
      <c r="A85" t="s">
        <v>881</v>
      </c>
      <c r="B85" t="s">
        <v>24</v>
      </c>
      <c r="C85" t="s">
        <v>586</v>
      </c>
      <c r="D85" t="s">
        <v>616</v>
      </c>
      <c r="E85" t="s">
        <v>617</v>
      </c>
      <c r="F85">
        <v>2.8028371332265509</v>
      </c>
      <c r="G85">
        <v>5.9248324566453237</v>
      </c>
      <c r="H85" t="s">
        <v>618</v>
      </c>
      <c r="I85" t="s">
        <v>619</v>
      </c>
      <c r="J85">
        <v>5</v>
      </c>
      <c r="K85" t="s">
        <v>817</v>
      </c>
      <c r="L85">
        <v>4395000</v>
      </c>
      <c r="M85">
        <v>1.72</v>
      </c>
      <c r="N85">
        <v>5.9248324566453237</v>
      </c>
      <c r="O85" t="s">
        <v>592</v>
      </c>
      <c r="P85" t="s">
        <v>621</v>
      </c>
      <c r="Q85" t="s">
        <v>586</v>
      </c>
      <c r="R85">
        <v>50000</v>
      </c>
      <c r="S85" t="s">
        <v>599</v>
      </c>
      <c r="T85">
        <v>67</v>
      </c>
    </row>
    <row r="86" spans="1:20" x14ac:dyDescent="0.25">
      <c r="A86" t="s">
        <v>882</v>
      </c>
      <c r="B86" t="s">
        <v>74</v>
      </c>
      <c r="C86" t="s">
        <v>586</v>
      </c>
      <c r="D86" t="s">
        <v>805</v>
      </c>
      <c r="E86" t="s">
        <v>883</v>
      </c>
      <c r="F86">
        <v>1.7988433341612107</v>
      </c>
      <c r="G86">
        <v>1.2159967389044235</v>
      </c>
      <c r="H86" t="s">
        <v>884</v>
      </c>
      <c r="I86" t="s">
        <v>885</v>
      </c>
      <c r="J86">
        <v>4</v>
      </c>
      <c r="K86" t="s">
        <v>664</v>
      </c>
      <c r="L86">
        <v>715000</v>
      </c>
      <c r="M86">
        <v>1.51</v>
      </c>
      <c r="N86">
        <v>1.2159967389044235</v>
      </c>
      <c r="O86" t="s">
        <v>592</v>
      </c>
      <c r="P86" t="s">
        <v>711</v>
      </c>
      <c r="Q86" t="s">
        <v>586</v>
      </c>
      <c r="R86">
        <v>90000</v>
      </c>
      <c r="S86" t="s">
        <v>712</v>
      </c>
      <c r="T86">
        <v>89</v>
      </c>
    </row>
    <row r="87" spans="1:20" x14ac:dyDescent="0.25">
      <c r="A87" t="s">
        <v>886</v>
      </c>
      <c r="B87" t="s">
        <v>75</v>
      </c>
      <c r="C87" t="s">
        <v>586</v>
      </c>
      <c r="D87" t="s">
        <v>805</v>
      </c>
      <c r="E87" t="s">
        <v>887</v>
      </c>
      <c r="F87">
        <v>1.9871020165990942</v>
      </c>
      <c r="G87">
        <v>1.1098164383561482</v>
      </c>
      <c r="H87" t="s">
        <v>888</v>
      </c>
      <c r="I87" t="s">
        <v>889</v>
      </c>
      <c r="J87">
        <v>5</v>
      </c>
      <c r="K87" t="s">
        <v>776</v>
      </c>
      <c r="L87">
        <v>1535000</v>
      </c>
      <c r="M87">
        <v>1.68</v>
      </c>
      <c r="N87">
        <v>1.1098164383561482</v>
      </c>
      <c r="O87" t="s">
        <v>592</v>
      </c>
      <c r="P87" t="s">
        <v>593</v>
      </c>
      <c r="Q87" t="s">
        <v>586</v>
      </c>
      <c r="R87">
        <v>170000</v>
      </c>
      <c r="S87" t="s">
        <v>712</v>
      </c>
      <c r="T87">
        <v>86</v>
      </c>
    </row>
    <row r="88" spans="1:20" x14ac:dyDescent="0.25">
      <c r="A88" t="s">
        <v>890</v>
      </c>
      <c r="B88" t="s">
        <v>76</v>
      </c>
      <c r="C88" t="s">
        <v>586</v>
      </c>
      <c r="D88" t="s">
        <v>608</v>
      </c>
      <c r="E88" t="s">
        <v>891</v>
      </c>
      <c r="F88">
        <v>1.4481218306575414</v>
      </c>
      <c r="G88">
        <v>27.445980986509699</v>
      </c>
      <c r="H88" t="s">
        <v>892</v>
      </c>
      <c r="I88" t="s">
        <v>721</v>
      </c>
      <c r="J88">
        <v>5</v>
      </c>
      <c r="K88" t="s">
        <v>780</v>
      </c>
      <c r="L88">
        <v>1480000</v>
      </c>
      <c r="M88">
        <v>2.3199999999999998</v>
      </c>
      <c r="N88">
        <v>27.445980986509699</v>
      </c>
      <c r="O88" t="s">
        <v>592</v>
      </c>
      <c r="P88" t="s">
        <v>621</v>
      </c>
      <c r="Q88" t="s">
        <v>586</v>
      </c>
      <c r="R88">
        <v>110000</v>
      </c>
      <c r="S88" t="s">
        <v>652</v>
      </c>
      <c r="T88">
        <v>73</v>
      </c>
    </row>
    <row r="89" spans="1:20" x14ac:dyDescent="0.25">
      <c r="A89" t="s">
        <v>893</v>
      </c>
      <c r="B89" t="s">
        <v>77</v>
      </c>
      <c r="C89" t="s">
        <v>586</v>
      </c>
      <c r="D89" t="s">
        <v>894</v>
      </c>
      <c r="E89" t="s">
        <v>895</v>
      </c>
      <c r="F89">
        <v>1.9052558670996893</v>
      </c>
      <c r="G89">
        <v>4.72141693095669</v>
      </c>
      <c r="H89" t="s">
        <v>896</v>
      </c>
      <c r="I89" t="s">
        <v>897</v>
      </c>
      <c r="J89">
        <v>5</v>
      </c>
      <c r="K89" t="s">
        <v>898</v>
      </c>
      <c r="L89">
        <v>3065000</v>
      </c>
      <c r="M89">
        <v>1.5</v>
      </c>
      <c r="N89">
        <v>4.72141693095669</v>
      </c>
      <c r="O89" t="s">
        <v>592</v>
      </c>
      <c r="P89" t="s">
        <v>593</v>
      </c>
      <c r="Q89" t="s">
        <v>586</v>
      </c>
      <c r="R89">
        <v>50000</v>
      </c>
      <c r="S89" t="s">
        <v>652</v>
      </c>
      <c r="T89">
        <v>88</v>
      </c>
    </row>
    <row r="90" spans="1:20" x14ac:dyDescent="0.25">
      <c r="A90" t="s">
        <v>899</v>
      </c>
      <c r="B90" t="s">
        <v>78</v>
      </c>
      <c r="C90" t="s">
        <v>586</v>
      </c>
      <c r="D90" t="s">
        <v>900</v>
      </c>
      <c r="E90" t="s">
        <v>901</v>
      </c>
      <c r="F90">
        <v>0.73609834286795284</v>
      </c>
      <c r="G90">
        <v>19.476498032801448</v>
      </c>
      <c r="H90" t="s">
        <v>902</v>
      </c>
      <c r="I90" t="s">
        <v>661</v>
      </c>
      <c r="J90">
        <v>2</v>
      </c>
      <c r="K90" t="s">
        <v>861</v>
      </c>
      <c r="L90">
        <v>725000</v>
      </c>
      <c r="M90">
        <v>1.45</v>
      </c>
      <c r="N90">
        <v>19.476498032801448</v>
      </c>
      <c r="O90" t="s">
        <v>592</v>
      </c>
      <c r="P90" t="s">
        <v>593</v>
      </c>
      <c r="Q90" t="s">
        <v>586</v>
      </c>
      <c r="R90">
        <v>20000</v>
      </c>
      <c r="S90" t="s">
        <v>712</v>
      </c>
      <c r="T90">
        <v>82</v>
      </c>
    </row>
    <row r="91" spans="1:20" x14ac:dyDescent="0.25">
      <c r="A91" t="s">
        <v>903</v>
      </c>
      <c r="B91" t="s">
        <v>79</v>
      </c>
      <c r="C91" t="s">
        <v>607</v>
      </c>
      <c r="D91" t="s">
        <v>875</v>
      </c>
      <c r="E91" t="s">
        <v>904</v>
      </c>
      <c r="F91">
        <v>1.6040372619134591</v>
      </c>
      <c r="G91">
        <v>42.095236618132034</v>
      </c>
      <c r="H91" t="s">
        <v>743</v>
      </c>
      <c r="I91" t="s">
        <v>611</v>
      </c>
      <c r="J91">
        <v>3</v>
      </c>
      <c r="K91" t="s">
        <v>905</v>
      </c>
      <c r="L91">
        <v>320000</v>
      </c>
      <c r="M91">
        <v>2.3000000000000003</v>
      </c>
      <c r="N91">
        <v>42.095236618132034</v>
      </c>
      <c r="O91" t="s">
        <v>592</v>
      </c>
      <c r="P91" t="s">
        <v>711</v>
      </c>
      <c r="Q91" t="s">
        <v>586</v>
      </c>
      <c r="R91">
        <v>260000</v>
      </c>
      <c r="S91" t="s">
        <v>712</v>
      </c>
      <c r="T91">
        <v>87</v>
      </c>
    </row>
    <row r="92" spans="1:20" x14ac:dyDescent="0.25">
      <c r="A92" t="s">
        <v>906</v>
      </c>
      <c r="B92" t="s">
        <v>22</v>
      </c>
      <c r="C92" t="s">
        <v>586</v>
      </c>
      <c r="D92" t="s">
        <v>601</v>
      </c>
      <c r="E92" t="s">
        <v>602</v>
      </c>
      <c r="F92">
        <v>4.3542234825122508</v>
      </c>
      <c r="G92">
        <v>6.0191616438356466</v>
      </c>
      <c r="H92" t="s">
        <v>644</v>
      </c>
      <c r="I92" t="s">
        <v>703</v>
      </c>
      <c r="J92">
        <v>5</v>
      </c>
      <c r="K92" t="s">
        <v>678</v>
      </c>
      <c r="L92">
        <v>8015000</v>
      </c>
      <c r="M92">
        <v>2.2200000000000002</v>
      </c>
      <c r="N92">
        <v>6.0191616438356466</v>
      </c>
      <c r="O92" t="s">
        <v>592</v>
      </c>
      <c r="P92" t="s">
        <v>593</v>
      </c>
      <c r="Q92" t="s">
        <v>586</v>
      </c>
      <c r="R92">
        <v>80000</v>
      </c>
      <c r="S92" t="s">
        <v>599</v>
      </c>
      <c r="T92">
        <v>70</v>
      </c>
    </row>
    <row r="93" spans="1:20" x14ac:dyDescent="0.25">
      <c r="A93" t="s">
        <v>907</v>
      </c>
      <c r="B93" t="s">
        <v>80</v>
      </c>
      <c r="C93" t="s">
        <v>586</v>
      </c>
      <c r="D93" t="s">
        <v>601</v>
      </c>
      <c r="E93" t="s">
        <v>773</v>
      </c>
      <c r="F93">
        <v>0.32968052917597074</v>
      </c>
      <c r="G93">
        <v>0.21302739726025699</v>
      </c>
      <c r="H93" t="s">
        <v>644</v>
      </c>
      <c r="I93" t="s">
        <v>908</v>
      </c>
      <c r="J93">
        <v>2</v>
      </c>
      <c r="K93" t="s">
        <v>710</v>
      </c>
      <c r="L93">
        <v>240000</v>
      </c>
      <c r="M93">
        <v>1.72</v>
      </c>
      <c r="N93">
        <v>0.21302739726025699</v>
      </c>
      <c r="O93" t="s">
        <v>592</v>
      </c>
      <c r="P93" t="s">
        <v>593</v>
      </c>
      <c r="Q93" t="s">
        <v>586</v>
      </c>
      <c r="R93">
        <v>100000</v>
      </c>
      <c r="S93" t="s">
        <v>712</v>
      </c>
      <c r="T93">
        <v>94</v>
      </c>
    </row>
    <row r="94" spans="1:20" x14ac:dyDescent="0.25">
      <c r="A94" t="s">
        <v>909</v>
      </c>
      <c r="B94" t="s">
        <v>69</v>
      </c>
      <c r="C94" t="s">
        <v>586</v>
      </c>
      <c r="D94" t="s">
        <v>805</v>
      </c>
      <c r="E94" t="s">
        <v>858</v>
      </c>
      <c r="F94">
        <v>3.4075332307337263</v>
      </c>
      <c r="G94">
        <v>21.46225655181069</v>
      </c>
      <c r="H94" t="s">
        <v>859</v>
      </c>
      <c r="I94" t="s">
        <v>860</v>
      </c>
      <c r="J94">
        <v>5</v>
      </c>
      <c r="K94" t="s">
        <v>684</v>
      </c>
      <c r="L94">
        <v>2930000</v>
      </c>
      <c r="M94">
        <v>2.21</v>
      </c>
      <c r="N94">
        <v>21.46225655181069</v>
      </c>
      <c r="O94" t="s">
        <v>592</v>
      </c>
      <c r="P94" t="s">
        <v>593</v>
      </c>
      <c r="Q94" t="s">
        <v>586</v>
      </c>
      <c r="R94">
        <v>50000</v>
      </c>
      <c r="S94" t="s">
        <v>635</v>
      </c>
      <c r="T94">
        <v>78</v>
      </c>
    </row>
    <row r="95" spans="1:20" x14ac:dyDescent="0.25">
      <c r="A95" t="s">
        <v>910</v>
      </c>
      <c r="B95" t="s">
        <v>59</v>
      </c>
      <c r="C95" t="s">
        <v>586</v>
      </c>
      <c r="D95" t="s">
        <v>805</v>
      </c>
      <c r="E95" t="s">
        <v>819</v>
      </c>
      <c r="F95">
        <v>2.6740122716985613</v>
      </c>
      <c r="G95">
        <v>-2.2768391736424753</v>
      </c>
      <c r="H95" t="s">
        <v>676</v>
      </c>
      <c r="I95" t="s">
        <v>820</v>
      </c>
      <c r="J95">
        <v>5</v>
      </c>
      <c r="K95" t="s">
        <v>605</v>
      </c>
      <c r="L95">
        <v>315000</v>
      </c>
      <c r="M95">
        <v>1.6300000000000001</v>
      </c>
      <c r="N95">
        <v>-2.2768391736424753</v>
      </c>
      <c r="O95" t="s">
        <v>592</v>
      </c>
      <c r="P95" t="s">
        <v>711</v>
      </c>
      <c r="Q95" t="s">
        <v>586</v>
      </c>
      <c r="R95">
        <v>15000</v>
      </c>
      <c r="S95" t="s">
        <v>712</v>
      </c>
      <c r="T95">
        <v>79</v>
      </c>
    </row>
    <row r="96" spans="1:20" x14ac:dyDescent="0.25">
      <c r="A96" t="s">
        <v>911</v>
      </c>
      <c r="B96" t="s">
        <v>81</v>
      </c>
      <c r="C96" t="s">
        <v>586</v>
      </c>
      <c r="D96" t="s">
        <v>690</v>
      </c>
      <c r="E96" t="s">
        <v>912</v>
      </c>
      <c r="F96">
        <v>2.6659372135890216</v>
      </c>
      <c r="G96">
        <v>3.427230681643656</v>
      </c>
      <c r="H96" t="s">
        <v>913</v>
      </c>
      <c r="I96" t="s">
        <v>885</v>
      </c>
      <c r="J96">
        <v>4</v>
      </c>
      <c r="K96" t="s">
        <v>669</v>
      </c>
      <c r="L96">
        <v>510000</v>
      </c>
      <c r="M96">
        <v>1.6400000000000001</v>
      </c>
      <c r="N96">
        <v>3.427230681643656</v>
      </c>
      <c r="O96" t="s">
        <v>592</v>
      </c>
      <c r="P96" t="s">
        <v>593</v>
      </c>
      <c r="Q96" t="s">
        <v>586</v>
      </c>
      <c r="R96">
        <v>420000</v>
      </c>
      <c r="S96" t="s">
        <v>599</v>
      </c>
      <c r="T96">
        <v>76</v>
      </c>
    </row>
    <row r="97" spans="1:20" x14ac:dyDescent="0.25">
      <c r="A97" t="s">
        <v>914</v>
      </c>
      <c r="B97" t="s">
        <v>82</v>
      </c>
      <c r="C97" t="s">
        <v>586</v>
      </c>
      <c r="D97" t="s">
        <v>770</v>
      </c>
      <c r="E97" t="s">
        <v>915</v>
      </c>
      <c r="F97">
        <v>3.8767693016823692</v>
      </c>
      <c r="G97">
        <v>28.784836215314826</v>
      </c>
      <c r="H97" t="s">
        <v>792</v>
      </c>
      <c r="I97" t="s">
        <v>916</v>
      </c>
      <c r="J97">
        <v>4</v>
      </c>
      <c r="K97" t="s">
        <v>725</v>
      </c>
      <c r="L97">
        <v>555000</v>
      </c>
      <c r="M97">
        <v>2.06</v>
      </c>
      <c r="N97">
        <v>28.784836215314826</v>
      </c>
      <c r="O97" t="s">
        <v>592</v>
      </c>
      <c r="P97" t="s">
        <v>621</v>
      </c>
      <c r="Q97" t="s">
        <v>586</v>
      </c>
      <c r="R97">
        <v>20000</v>
      </c>
      <c r="S97" t="s">
        <v>712</v>
      </c>
      <c r="T97">
        <v>57</v>
      </c>
    </row>
    <row r="98" spans="1:20" x14ac:dyDescent="0.25">
      <c r="A98" t="s">
        <v>917</v>
      </c>
      <c r="B98" t="s">
        <v>83</v>
      </c>
      <c r="C98" t="s">
        <v>586</v>
      </c>
      <c r="D98" t="s">
        <v>805</v>
      </c>
      <c r="E98" t="s">
        <v>858</v>
      </c>
      <c r="F98">
        <v>0.99182552637517296</v>
      </c>
      <c r="G98">
        <v>-8.5207910687816515</v>
      </c>
      <c r="H98" t="s">
        <v>918</v>
      </c>
      <c r="I98" t="s">
        <v>919</v>
      </c>
      <c r="J98">
        <v>5</v>
      </c>
      <c r="K98" t="s">
        <v>920</v>
      </c>
      <c r="L98">
        <v>490000</v>
      </c>
      <c r="M98">
        <v>1.28</v>
      </c>
      <c r="N98">
        <v>-8.5207910687816515</v>
      </c>
      <c r="O98" t="s">
        <v>592</v>
      </c>
      <c r="P98" t="s">
        <v>711</v>
      </c>
      <c r="Q98" t="s">
        <v>586</v>
      </c>
      <c r="R98">
        <v>15000</v>
      </c>
      <c r="S98" t="s">
        <v>712</v>
      </c>
      <c r="T98">
        <v>95</v>
      </c>
    </row>
    <row r="99" spans="1:20" x14ac:dyDescent="0.25">
      <c r="A99" t="s">
        <v>921</v>
      </c>
      <c r="B99" t="s">
        <v>35</v>
      </c>
      <c r="C99" t="s">
        <v>586</v>
      </c>
      <c r="D99" t="s">
        <v>680</v>
      </c>
      <c r="E99" t="s">
        <v>681</v>
      </c>
      <c r="F99">
        <v>0.73097582445866149</v>
      </c>
      <c r="G99">
        <v>12.132010607890354</v>
      </c>
      <c r="H99" t="s">
        <v>676</v>
      </c>
      <c r="I99" t="s">
        <v>625</v>
      </c>
      <c r="J99">
        <v>4</v>
      </c>
      <c r="K99" t="s">
        <v>861</v>
      </c>
      <c r="L99">
        <v>2200000</v>
      </c>
      <c r="M99">
        <v>1.42</v>
      </c>
      <c r="N99">
        <v>12.132010607890354</v>
      </c>
      <c r="O99" t="s">
        <v>592</v>
      </c>
      <c r="P99" t="s">
        <v>593</v>
      </c>
      <c r="Q99" t="s">
        <v>586</v>
      </c>
      <c r="R99">
        <v>50000</v>
      </c>
      <c r="S99" t="s">
        <v>599</v>
      </c>
      <c r="T99">
        <v>86</v>
      </c>
    </row>
    <row r="100" spans="1:20" x14ac:dyDescent="0.25">
      <c r="A100" t="s">
        <v>922</v>
      </c>
      <c r="B100" t="s">
        <v>22</v>
      </c>
      <c r="C100" t="s">
        <v>586</v>
      </c>
      <c r="D100" t="s">
        <v>601</v>
      </c>
      <c r="E100" t="s">
        <v>602</v>
      </c>
      <c r="F100">
        <v>3.5287045383275921</v>
      </c>
      <c r="G100">
        <v>8.5473818023780179</v>
      </c>
      <c r="H100" t="s">
        <v>603</v>
      </c>
      <c r="I100" t="s">
        <v>604</v>
      </c>
      <c r="J100">
        <v>5</v>
      </c>
      <c r="K100" t="s">
        <v>704</v>
      </c>
      <c r="L100">
        <v>20455000</v>
      </c>
      <c r="M100">
        <v>2.39</v>
      </c>
      <c r="N100">
        <v>8.5473818023780179</v>
      </c>
      <c r="O100" t="s">
        <v>592</v>
      </c>
      <c r="P100" t="s">
        <v>593</v>
      </c>
      <c r="Q100" t="s">
        <v>586</v>
      </c>
      <c r="R100">
        <v>100000</v>
      </c>
      <c r="S100" t="s">
        <v>599</v>
      </c>
      <c r="T100">
        <v>75</v>
      </c>
    </row>
    <row r="101" spans="1:20" x14ac:dyDescent="0.25">
      <c r="A101" t="s">
        <v>923</v>
      </c>
      <c r="B101" t="s">
        <v>84</v>
      </c>
      <c r="C101" t="s">
        <v>586</v>
      </c>
      <c r="D101" t="s">
        <v>601</v>
      </c>
      <c r="E101" t="s">
        <v>924</v>
      </c>
      <c r="F101">
        <v>1.606861495505771</v>
      </c>
      <c r="G101">
        <v>11.41831217308955</v>
      </c>
      <c r="H101" t="s">
        <v>692</v>
      </c>
      <c r="I101" t="s">
        <v>925</v>
      </c>
      <c r="J101">
        <v>3</v>
      </c>
      <c r="K101" t="s">
        <v>905</v>
      </c>
      <c r="L101">
        <v>595000</v>
      </c>
      <c r="M101">
        <v>2</v>
      </c>
      <c r="N101">
        <v>11.41831217308955</v>
      </c>
      <c r="O101" t="s">
        <v>592</v>
      </c>
      <c r="P101" t="s">
        <v>593</v>
      </c>
      <c r="Q101" t="s">
        <v>586</v>
      </c>
      <c r="R101">
        <v>80000</v>
      </c>
      <c r="S101" t="s">
        <v>712</v>
      </c>
      <c r="T101">
        <v>77</v>
      </c>
    </row>
    <row r="102" spans="1:20" x14ac:dyDescent="0.25">
      <c r="A102" t="s">
        <v>926</v>
      </c>
      <c r="B102" t="s">
        <v>85</v>
      </c>
      <c r="C102" t="s">
        <v>607</v>
      </c>
      <c r="D102" t="s">
        <v>830</v>
      </c>
      <c r="E102" t="s">
        <v>927</v>
      </c>
      <c r="F102">
        <v>3.3820188073031385</v>
      </c>
      <c r="G102">
        <v>74.034792743466156</v>
      </c>
      <c r="H102" t="s">
        <v>928</v>
      </c>
      <c r="I102" t="s">
        <v>721</v>
      </c>
      <c r="J102">
        <v>3</v>
      </c>
      <c r="K102" t="s">
        <v>762</v>
      </c>
      <c r="L102">
        <v>1120000</v>
      </c>
      <c r="M102">
        <v>2.5</v>
      </c>
      <c r="N102">
        <v>74.034792743466156</v>
      </c>
      <c r="O102" t="s">
        <v>592</v>
      </c>
      <c r="P102" t="s">
        <v>593</v>
      </c>
      <c r="Q102" t="s">
        <v>586</v>
      </c>
      <c r="R102">
        <v>50000</v>
      </c>
      <c r="S102" t="s">
        <v>594</v>
      </c>
      <c r="T102">
        <v>48</v>
      </c>
    </row>
    <row r="103" spans="1:20" x14ac:dyDescent="0.25">
      <c r="A103" t="s">
        <v>929</v>
      </c>
      <c r="B103" t="s">
        <v>42</v>
      </c>
      <c r="C103" t="s">
        <v>586</v>
      </c>
      <c r="D103" t="s">
        <v>736</v>
      </c>
      <c r="E103" t="s">
        <v>737</v>
      </c>
      <c r="F103">
        <v>2.5575109735024206</v>
      </c>
      <c r="G103">
        <v>25.02285080891815</v>
      </c>
      <c r="H103" t="s">
        <v>738</v>
      </c>
      <c r="I103" t="s">
        <v>739</v>
      </c>
      <c r="J103">
        <v>5</v>
      </c>
      <c r="K103" t="s">
        <v>930</v>
      </c>
      <c r="L103">
        <v>3980000</v>
      </c>
      <c r="M103">
        <v>2.1</v>
      </c>
      <c r="N103">
        <v>25.02285080891815</v>
      </c>
      <c r="O103" t="s">
        <v>592</v>
      </c>
      <c r="P103" t="s">
        <v>593</v>
      </c>
      <c r="Q103" t="s">
        <v>586</v>
      </c>
      <c r="R103">
        <v>25000</v>
      </c>
      <c r="S103" t="s">
        <v>635</v>
      </c>
      <c r="T103">
        <v>74</v>
      </c>
    </row>
    <row r="104" spans="1:20" x14ac:dyDescent="0.25">
      <c r="A104" t="s">
        <v>931</v>
      </c>
      <c r="B104" t="s">
        <v>86</v>
      </c>
      <c r="C104" t="s">
        <v>586</v>
      </c>
      <c r="D104" t="s">
        <v>587</v>
      </c>
      <c r="E104" t="s">
        <v>756</v>
      </c>
      <c r="F104">
        <v>4.7076290617875562</v>
      </c>
      <c r="G104">
        <v>25.122113376084965</v>
      </c>
      <c r="H104" t="s">
        <v>932</v>
      </c>
      <c r="I104" t="s">
        <v>611</v>
      </c>
      <c r="J104">
        <v>5</v>
      </c>
      <c r="K104" t="s">
        <v>933</v>
      </c>
      <c r="L104">
        <v>250000</v>
      </c>
      <c r="M104">
        <v>2.54</v>
      </c>
      <c r="N104">
        <v>25.122113376084965</v>
      </c>
      <c r="O104" t="s">
        <v>592</v>
      </c>
      <c r="P104" t="s">
        <v>711</v>
      </c>
      <c r="Q104" t="s">
        <v>586</v>
      </c>
      <c r="R104" t="s">
        <v>712</v>
      </c>
      <c r="S104" t="s">
        <v>712</v>
      </c>
      <c r="T104">
        <v>54</v>
      </c>
    </row>
    <row r="105" spans="1:20" x14ac:dyDescent="0.25">
      <c r="A105" t="s">
        <v>934</v>
      </c>
      <c r="B105" t="s">
        <v>87</v>
      </c>
      <c r="C105" t="s">
        <v>586</v>
      </c>
      <c r="D105" t="s">
        <v>741</v>
      </c>
      <c r="E105" t="s">
        <v>935</v>
      </c>
      <c r="F105">
        <v>3.1971699629458077</v>
      </c>
      <c r="G105">
        <v>5.5314793620443226</v>
      </c>
      <c r="H105" t="s">
        <v>936</v>
      </c>
      <c r="I105" t="s">
        <v>937</v>
      </c>
      <c r="J105">
        <v>2</v>
      </c>
      <c r="K105" t="s">
        <v>938</v>
      </c>
      <c r="L105">
        <v>340000</v>
      </c>
      <c r="M105">
        <v>1.85</v>
      </c>
      <c r="N105">
        <v>5.5314793620443226</v>
      </c>
      <c r="O105" t="s">
        <v>592</v>
      </c>
      <c r="P105" t="s">
        <v>745</v>
      </c>
      <c r="Q105" t="s">
        <v>586</v>
      </c>
      <c r="R105">
        <v>150000</v>
      </c>
      <c r="S105" t="s">
        <v>712</v>
      </c>
      <c r="T105">
        <v>59</v>
      </c>
    </row>
    <row r="106" spans="1:20" x14ac:dyDescent="0.25">
      <c r="A106" t="s">
        <v>939</v>
      </c>
      <c r="B106" t="s">
        <v>88</v>
      </c>
      <c r="C106" t="s">
        <v>586</v>
      </c>
      <c r="D106" t="s">
        <v>690</v>
      </c>
      <c r="E106" t="s">
        <v>940</v>
      </c>
      <c r="F106">
        <v>3.5692863645521999</v>
      </c>
      <c r="G106">
        <v>36.567345006232358</v>
      </c>
      <c r="H106" t="s">
        <v>941</v>
      </c>
      <c r="I106" t="s">
        <v>661</v>
      </c>
      <c r="J106">
        <v>5</v>
      </c>
      <c r="K106" t="s">
        <v>753</v>
      </c>
      <c r="L106">
        <v>3730000</v>
      </c>
      <c r="M106">
        <v>2.69</v>
      </c>
      <c r="N106">
        <v>36.567345006232358</v>
      </c>
      <c r="O106" t="s">
        <v>592</v>
      </c>
      <c r="P106" t="s">
        <v>593</v>
      </c>
      <c r="Q106" t="s">
        <v>586</v>
      </c>
      <c r="R106">
        <v>30000</v>
      </c>
      <c r="S106" t="s">
        <v>878</v>
      </c>
      <c r="T106">
        <v>77</v>
      </c>
    </row>
    <row r="107" spans="1:20" x14ac:dyDescent="0.25">
      <c r="A107" t="s">
        <v>942</v>
      </c>
      <c r="B107" t="s">
        <v>89</v>
      </c>
      <c r="C107" t="s">
        <v>586</v>
      </c>
      <c r="D107" t="s">
        <v>608</v>
      </c>
      <c r="E107" t="s">
        <v>943</v>
      </c>
      <c r="F107">
        <v>0.4930498687088537</v>
      </c>
      <c r="G107">
        <v>25.226135113145155</v>
      </c>
      <c r="H107" t="s">
        <v>869</v>
      </c>
      <c r="I107" t="s">
        <v>885</v>
      </c>
      <c r="J107">
        <v>5</v>
      </c>
      <c r="K107" t="s">
        <v>807</v>
      </c>
      <c r="L107">
        <v>1065000</v>
      </c>
      <c r="M107">
        <v>1.55</v>
      </c>
      <c r="N107">
        <v>25.226135113145155</v>
      </c>
      <c r="O107" t="s">
        <v>592</v>
      </c>
      <c r="P107" t="s">
        <v>621</v>
      </c>
      <c r="Q107" t="s">
        <v>586</v>
      </c>
      <c r="R107">
        <v>20000</v>
      </c>
      <c r="S107" t="s">
        <v>712</v>
      </c>
      <c r="T107">
        <v>94</v>
      </c>
    </row>
    <row r="108" spans="1:20" x14ac:dyDescent="0.25">
      <c r="A108" t="s">
        <v>944</v>
      </c>
      <c r="B108" t="s">
        <v>37</v>
      </c>
      <c r="C108" t="s">
        <v>586</v>
      </c>
      <c r="D108" t="s">
        <v>587</v>
      </c>
      <c r="E108" t="s">
        <v>696</v>
      </c>
      <c r="F108">
        <v>0.24673932836467258</v>
      </c>
      <c r="G108">
        <v>-6.7639863013698509</v>
      </c>
      <c r="H108" t="s">
        <v>697</v>
      </c>
      <c r="I108" t="s">
        <v>661</v>
      </c>
      <c r="J108">
        <v>5</v>
      </c>
      <c r="K108" t="s">
        <v>694</v>
      </c>
      <c r="L108">
        <v>2835000</v>
      </c>
      <c r="M108">
        <v>1.71</v>
      </c>
      <c r="N108">
        <v>-6.7639863013698509</v>
      </c>
      <c r="O108" t="s">
        <v>592</v>
      </c>
      <c r="P108" t="s">
        <v>593</v>
      </c>
      <c r="Q108" t="s">
        <v>586</v>
      </c>
      <c r="R108">
        <v>175000</v>
      </c>
      <c r="S108" t="s">
        <v>594</v>
      </c>
      <c r="T108">
        <v>97</v>
      </c>
    </row>
    <row r="109" spans="1:20" x14ac:dyDescent="0.25">
      <c r="A109" t="s">
        <v>945</v>
      </c>
      <c r="B109" t="s">
        <v>48</v>
      </c>
      <c r="C109" t="s">
        <v>586</v>
      </c>
      <c r="D109" t="s">
        <v>770</v>
      </c>
      <c r="E109" t="s">
        <v>771</v>
      </c>
      <c r="F109">
        <v>1.3683374245295674</v>
      </c>
      <c r="G109">
        <v>31.724873777648767</v>
      </c>
      <c r="H109" t="s">
        <v>743</v>
      </c>
      <c r="I109" t="s">
        <v>657</v>
      </c>
      <c r="J109">
        <v>5</v>
      </c>
      <c r="K109" t="s">
        <v>946</v>
      </c>
      <c r="L109">
        <v>2405000</v>
      </c>
      <c r="M109">
        <v>2.2800000000000002</v>
      </c>
      <c r="N109">
        <v>31.724873777648767</v>
      </c>
      <c r="O109" t="s">
        <v>592</v>
      </c>
      <c r="P109" t="s">
        <v>621</v>
      </c>
      <c r="Q109" t="s">
        <v>586</v>
      </c>
      <c r="R109">
        <v>50000</v>
      </c>
      <c r="S109" t="s">
        <v>594</v>
      </c>
      <c r="T109">
        <v>87</v>
      </c>
    </row>
    <row r="110" spans="1:20" x14ac:dyDescent="0.25">
      <c r="A110" t="s">
        <v>947</v>
      </c>
      <c r="B110" t="s">
        <v>56</v>
      </c>
      <c r="C110" t="s">
        <v>586</v>
      </c>
      <c r="D110" t="s">
        <v>587</v>
      </c>
      <c r="E110" t="s">
        <v>648</v>
      </c>
      <c r="F110">
        <v>0.60316244305034128</v>
      </c>
      <c r="G110">
        <v>-0.38859651380949156</v>
      </c>
      <c r="H110" t="s">
        <v>799</v>
      </c>
      <c r="I110" t="s">
        <v>650</v>
      </c>
      <c r="J110">
        <v>5</v>
      </c>
      <c r="K110" t="s">
        <v>948</v>
      </c>
      <c r="L110">
        <v>3385000</v>
      </c>
      <c r="M110">
        <v>1.31</v>
      </c>
      <c r="N110">
        <v>-0.38859651380949156</v>
      </c>
      <c r="O110" t="s">
        <v>592</v>
      </c>
      <c r="P110" t="s">
        <v>593</v>
      </c>
      <c r="Q110" t="s">
        <v>586</v>
      </c>
      <c r="R110">
        <v>200000</v>
      </c>
      <c r="S110" t="s">
        <v>599</v>
      </c>
      <c r="T110">
        <v>86</v>
      </c>
    </row>
    <row r="111" spans="1:20" x14ac:dyDescent="0.25">
      <c r="A111" t="s">
        <v>949</v>
      </c>
      <c r="B111" t="s">
        <v>39</v>
      </c>
      <c r="C111" t="s">
        <v>586</v>
      </c>
      <c r="D111" t="s">
        <v>714</v>
      </c>
      <c r="E111" t="s">
        <v>715</v>
      </c>
      <c r="F111">
        <v>8.0501188201119012E-2</v>
      </c>
      <c r="G111">
        <v>20.043452054794521</v>
      </c>
      <c r="H111" t="s">
        <v>644</v>
      </c>
      <c r="I111" t="s">
        <v>716</v>
      </c>
      <c r="J111">
        <v>5</v>
      </c>
      <c r="K111" t="s">
        <v>950</v>
      </c>
      <c r="L111">
        <v>1405000</v>
      </c>
      <c r="M111">
        <v>1.96</v>
      </c>
      <c r="N111">
        <v>20.043452054794521</v>
      </c>
      <c r="O111" t="s">
        <v>592</v>
      </c>
      <c r="P111" t="s">
        <v>593</v>
      </c>
      <c r="Q111" t="s">
        <v>586</v>
      </c>
      <c r="R111">
        <v>50000</v>
      </c>
      <c r="S111" t="s">
        <v>594</v>
      </c>
      <c r="T111">
        <v>98</v>
      </c>
    </row>
    <row r="112" spans="1:20" x14ac:dyDescent="0.25">
      <c r="A112" t="s">
        <v>951</v>
      </c>
      <c r="B112" t="s">
        <v>22</v>
      </c>
      <c r="C112" t="s">
        <v>586</v>
      </c>
      <c r="D112" t="s">
        <v>601</v>
      </c>
      <c r="E112" t="s">
        <v>602</v>
      </c>
      <c r="F112">
        <v>0.99998057595686685</v>
      </c>
      <c r="G112">
        <v>0.81594520547945137</v>
      </c>
      <c r="H112" t="s">
        <v>802</v>
      </c>
      <c r="I112" t="s">
        <v>597</v>
      </c>
      <c r="J112">
        <v>4</v>
      </c>
      <c r="K112" t="s">
        <v>920</v>
      </c>
      <c r="L112">
        <v>1015000</v>
      </c>
      <c r="M112">
        <v>1.46</v>
      </c>
      <c r="N112">
        <v>0.81594520547945137</v>
      </c>
      <c r="O112" t="s">
        <v>592</v>
      </c>
      <c r="P112" t="s">
        <v>593</v>
      </c>
      <c r="Q112" t="s">
        <v>586</v>
      </c>
      <c r="R112">
        <v>60000</v>
      </c>
      <c r="S112" t="s">
        <v>599</v>
      </c>
      <c r="T112">
        <v>92</v>
      </c>
    </row>
    <row r="113" spans="1:20" x14ac:dyDescent="0.25">
      <c r="A113" t="s">
        <v>952</v>
      </c>
      <c r="B113" t="s">
        <v>90</v>
      </c>
      <c r="C113" t="s">
        <v>586</v>
      </c>
      <c r="D113" t="s">
        <v>805</v>
      </c>
      <c r="E113" t="s">
        <v>953</v>
      </c>
      <c r="F113">
        <v>2.5063945841239135</v>
      </c>
      <c r="G113">
        <v>10.147652036761624</v>
      </c>
      <c r="H113" t="s">
        <v>954</v>
      </c>
      <c r="I113" t="s">
        <v>611</v>
      </c>
      <c r="J113">
        <v>5</v>
      </c>
      <c r="K113" t="s">
        <v>662</v>
      </c>
      <c r="L113">
        <v>1055000</v>
      </c>
      <c r="M113">
        <v>1.73</v>
      </c>
      <c r="N113">
        <v>10.147652036761624</v>
      </c>
      <c r="O113" t="s">
        <v>592</v>
      </c>
      <c r="P113" t="s">
        <v>593</v>
      </c>
      <c r="Q113" t="s">
        <v>586</v>
      </c>
      <c r="R113">
        <v>40000</v>
      </c>
      <c r="S113" t="s">
        <v>712</v>
      </c>
      <c r="T113">
        <v>83</v>
      </c>
    </row>
    <row r="114" spans="1:20" x14ac:dyDescent="0.25">
      <c r="A114" t="s">
        <v>955</v>
      </c>
      <c r="B114" t="s">
        <v>65</v>
      </c>
      <c r="C114" t="s">
        <v>586</v>
      </c>
      <c r="D114" t="s">
        <v>731</v>
      </c>
      <c r="E114" t="s">
        <v>845</v>
      </c>
      <c r="F114">
        <v>1.9509514813711213</v>
      </c>
      <c r="G114">
        <v>8.3469479452054962</v>
      </c>
      <c r="H114" t="s">
        <v>846</v>
      </c>
      <c r="I114" t="s">
        <v>721</v>
      </c>
      <c r="J114">
        <v>5</v>
      </c>
      <c r="K114" t="s">
        <v>956</v>
      </c>
      <c r="L114">
        <v>5510000</v>
      </c>
      <c r="M114">
        <v>1.79</v>
      </c>
      <c r="N114">
        <v>8.3469479452054962</v>
      </c>
      <c r="O114" t="s">
        <v>592</v>
      </c>
      <c r="P114" t="s">
        <v>593</v>
      </c>
      <c r="Q114" t="s">
        <v>586</v>
      </c>
      <c r="R114">
        <v>15000</v>
      </c>
      <c r="S114" t="s">
        <v>652</v>
      </c>
      <c r="T114">
        <v>85</v>
      </c>
    </row>
    <row r="115" spans="1:20" x14ac:dyDescent="0.25">
      <c r="A115" t="s">
        <v>957</v>
      </c>
      <c r="B115" t="s">
        <v>34</v>
      </c>
      <c r="C115" t="s">
        <v>586</v>
      </c>
      <c r="D115" t="s">
        <v>587</v>
      </c>
      <c r="E115" t="s">
        <v>675</v>
      </c>
      <c r="F115">
        <v>0.16363443033687727</v>
      </c>
      <c r="G115">
        <v>6.5639868132928436</v>
      </c>
      <c r="H115" t="s">
        <v>676</v>
      </c>
      <c r="I115" t="s">
        <v>650</v>
      </c>
      <c r="J115">
        <v>5</v>
      </c>
      <c r="K115" t="s">
        <v>749</v>
      </c>
      <c r="L115">
        <v>1610000</v>
      </c>
      <c r="M115">
        <v>1.29</v>
      </c>
      <c r="N115">
        <v>6.5639868132928436</v>
      </c>
      <c r="O115" t="s">
        <v>592</v>
      </c>
      <c r="P115" t="s">
        <v>593</v>
      </c>
      <c r="Q115" t="s">
        <v>586</v>
      </c>
      <c r="R115">
        <v>30000</v>
      </c>
      <c r="S115" t="s">
        <v>652</v>
      </c>
      <c r="T115">
        <v>95</v>
      </c>
    </row>
    <row r="116" spans="1:20" x14ac:dyDescent="0.25">
      <c r="A116" t="s">
        <v>958</v>
      </c>
      <c r="B116" t="s">
        <v>26</v>
      </c>
      <c r="C116" t="s">
        <v>586</v>
      </c>
      <c r="D116" t="s">
        <v>631</v>
      </c>
      <c r="E116" t="s">
        <v>632</v>
      </c>
      <c r="F116">
        <v>2.3860119190640283</v>
      </c>
      <c r="G116">
        <v>18.30081017979812</v>
      </c>
      <c r="H116" t="s">
        <v>633</v>
      </c>
      <c r="I116" t="s">
        <v>611</v>
      </c>
      <c r="J116">
        <v>5</v>
      </c>
      <c r="K116" t="s">
        <v>959</v>
      </c>
      <c r="L116">
        <v>3475000</v>
      </c>
      <c r="M116">
        <v>1.78</v>
      </c>
      <c r="N116">
        <v>18.30081017979812</v>
      </c>
      <c r="O116" t="s">
        <v>592</v>
      </c>
      <c r="P116" t="s">
        <v>593</v>
      </c>
      <c r="Q116" t="s">
        <v>586</v>
      </c>
      <c r="R116">
        <v>20000</v>
      </c>
      <c r="S116" t="s">
        <v>635</v>
      </c>
      <c r="T116">
        <v>74</v>
      </c>
    </row>
    <row r="117" spans="1:20" x14ac:dyDescent="0.25">
      <c r="A117" t="s">
        <v>960</v>
      </c>
      <c r="B117" t="s">
        <v>91</v>
      </c>
      <c r="C117" t="s">
        <v>586</v>
      </c>
      <c r="D117" t="s">
        <v>961</v>
      </c>
      <c r="E117" t="s">
        <v>962</v>
      </c>
      <c r="F117">
        <v>4.4619578676181053</v>
      </c>
      <c r="G117">
        <v>-0.15169589041099663</v>
      </c>
      <c r="H117" t="s">
        <v>963</v>
      </c>
      <c r="I117" t="s">
        <v>661</v>
      </c>
      <c r="J117">
        <v>5</v>
      </c>
      <c r="K117" t="s">
        <v>717</v>
      </c>
      <c r="L117">
        <v>735000</v>
      </c>
      <c r="M117">
        <v>2</v>
      </c>
      <c r="N117">
        <v>-0.15169589041099663</v>
      </c>
      <c r="O117" t="s">
        <v>592</v>
      </c>
      <c r="P117" t="s">
        <v>593</v>
      </c>
      <c r="Q117" t="s">
        <v>586</v>
      </c>
      <c r="R117">
        <v>30000</v>
      </c>
      <c r="S117" t="s">
        <v>599</v>
      </c>
      <c r="T117">
        <v>68</v>
      </c>
    </row>
    <row r="118" spans="1:20" x14ac:dyDescent="0.25">
      <c r="A118" t="s">
        <v>964</v>
      </c>
      <c r="B118" t="s">
        <v>44</v>
      </c>
      <c r="C118" t="s">
        <v>586</v>
      </c>
      <c r="D118" t="s">
        <v>587</v>
      </c>
      <c r="E118" t="s">
        <v>751</v>
      </c>
      <c r="F118">
        <v>0.89382504427300447</v>
      </c>
      <c r="G118">
        <v>1.743587820882686</v>
      </c>
      <c r="H118" t="s">
        <v>649</v>
      </c>
      <c r="I118" t="s">
        <v>752</v>
      </c>
      <c r="J118">
        <v>5</v>
      </c>
      <c r="K118" t="s">
        <v>640</v>
      </c>
      <c r="L118">
        <v>5245000</v>
      </c>
      <c r="M118">
        <v>1.6</v>
      </c>
      <c r="N118">
        <v>1.743587820882686</v>
      </c>
      <c r="O118" t="s">
        <v>592</v>
      </c>
      <c r="P118" t="s">
        <v>593</v>
      </c>
      <c r="Q118" t="s">
        <v>586</v>
      </c>
      <c r="R118">
        <v>25000</v>
      </c>
      <c r="S118" t="s">
        <v>635</v>
      </c>
      <c r="T118">
        <v>90</v>
      </c>
    </row>
    <row r="119" spans="1:20" x14ac:dyDescent="0.25">
      <c r="A119" t="s">
        <v>965</v>
      </c>
      <c r="B119" t="s">
        <v>50</v>
      </c>
      <c r="C119" t="s">
        <v>586</v>
      </c>
      <c r="D119" t="s">
        <v>587</v>
      </c>
      <c r="E119" t="s">
        <v>778</v>
      </c>
      <c r="F119">
        <v>0.49388908280646371</v>
      </c>
      <c r="G119">
        <v>-2.8607153628451343</v>
      </c>
      <c r="H119" t="s">
        <v>779</v>
      </c>
      <c r="I119" t="s">
        <v>733</v>
      </c>
      <c r="J119">
        <v>5</v>
      </c>
      <c r="K119" t="s">
        <v>807</v>
      </c>
      <c r="L119">
        <v>4350000</v>
      </c>
      <c r="M119">
        <v>1.71</v>
      </c>
      <c r="N119">
        <v>-2.8607153628451343</v>
      </c>
      <c r="O119" t="s">
        <v>592</v>
      </c>
      <c r="P119" t="s">
        <v>593</v>
      </c>
      <c r="Q119" t="s">
        <v>586</v>
      </c>
      <c r="R119">
        <v>100000</v>
      </c>
      <c r="S119" t="s">
        <v>652</v>
      </c>
      <c r="T119">
        <v>93</v>
      </c>
    </row>
    <row r="120" spans="1:20" x14ac:dyDescent="0.25">
      <c r="A120" t="s">
        <v>966</v>
      </c>
      <c r="B120" t="s">
        <v>92</v>
      </c>
      <c r="C120" t="s">
        <v>586</v>
      </c>
      <c r="D120" t="s">
        <v>894</v>
      </c>
      <c r="E120" t="s">
        <v>967</v>
      </c>
      <c r="F120">
        <v>2.1364437483297931</v>
      </c>
      <c r="G120">
        <v>44.936645814676666</v>
      </c>
      <c r="H120" t="s">
        <v>968</v>
      </c>
      <c r="I120" t="s">
        <v>661</v>
      </c>
      <c r="J120">
        <v>4</v>
      </c>
      <c r="K120" t="s">
        <v>699</v>
      </c>
      <c r="L120">
        <v>140000</v>
      </c>
      <c r="M120">
        <v>2.08</v>
      </c>
      <c r="N120">
        <v>44.936645814676666</v>
      </c>
      <c r="O120" t="s">
        <v>592</v>
      </c>
      <c r="P120" t="s">
        <v>593</v>
      </c>
      <c r="Q120" t="s">
        <v>586</v>
      </c>
      <c r="R120">
        <v>10000</v>
      </c>
      <c r="S120" t="s">
        <v>712</v>
      </c>
      <c r="T120">
        <v>70</v>
      </c>
    </row>
    <row r="121" spans="1:20" x14ac:dyDescent="0.25">
      <c r="A121" t="s">
        <v>969</v>
      </c>
      <c r="B121" t="s">
        <v>93</v>
      </c>
      <c r="C121" t="s">
        <v>586</v>
      </c>
      <c r="D121" t="s">
        <v>666</v>
      </c>
      <c r="E121" t="s">
        <v>970</v>
      </c>
      <c r="F121">
        <v>2.19967263945157</v>
      </c>
      <c r="G121">
        <v>12.910814472545805</v>
      </c>
      <c r="H121" t="s">
        <v>971</v>
      </c>
      <c r="I121" t="s">
        <v>611</v>
      </c>
      <c r="J121">
        <v>5</v>
      </c>
      <c r="K121" t="s">
        <v>972</v>
      </c>
      <c r="L121">
        <v>995000</v>
      </c>
      <c r="M121">
        <v>2.12</v>
      </c>
      <c r="N121">
        <v>12.910814472545805</v>
      </c>
      <c r="O121" t="s">
        <v>592</v>
      </c>
      <c r="P121" t="s">
        <v>593</v>
      </c>
      <c r="Q121" t="s">
        <v>586</v>
      </c>
      <c r="R121">
        <v>40000</v>
      </c>
      <c r="S121" t="s">
        <v>599</v>
      </c>
      <c r="T121">
        <v>82</v>
      </c>
    </row>
    <row r="122" spans="1:20" x14ac:dyDescent="0.25">
      <c r="A122" t="s">
        <v>973</v>
      </c>
      <c r="B122" t="s">
        <v>41</v>
      </c>
      <c r="C122" t="s">
        <v>586</v>
      </c>
      <c r="D122" t="s">
        <v>731</v>
      </c>
      <c r="E122" t="s">
        <v>732</v>
      </c>
      <c r="F122">
        <v>1.5819061025335241</v>
      </c>
      <c r="G122">
        <v>-4.624718959628038</v>
      </c>
      <c r="H122" t="s">
        <v>639</v>
      </c>
      <c r="I122" t="s">
        <v>733</v>
      </c>
      <c r="J122">
        <v>5</v>
      </c>
      <c r="K122" t="s">
        <v>905</v>
      </c>
      <c r="L122">
        <v>5530000</v>
      </c>
      <c r="M122">
        <v>1.86</v>
      </c>
      <c r="N122">
        <v>-4.624718959628038</v>
      </c>
      <c r="O122" t="s">
        <v>592</v>
      </c>
      <c r="P122" t="s">
        <v>593</v>
      </c>
      <c r="Q122" t="s">
        <v>586</v>
      </c>
      <c r="R122">
        <v>40000</v>
      </c>
      <c r="S122" t="s">
        <v>599</v>
      </c>
      <c r="T122">
        <v>89</v>
      </c>
    </row>
    <row r="123" spans="1:20" x14ac:dyDescent="0.25">
      <c r="A123" t="s">
        <v>974</v>
      </c>
      <c r="B123" t="s">
        <v>31</v>
      </c>
      <c r="C123" t="s">
        <v>586</v>
      </c>
      <c r="D123" t="s">
        <v>608</v>
      </c>
      <c r="E123" t="s">
        <v>609</v>
      </c>
      <c r="F123">
        <v>0.2017358869628664</v>
      </c>
      <c r="G123">
        <v>32.386231367989062</v>
      </c>
      <c r="H123" t="s">
        <v>660</v>
      </c>
      <c r="I123" t="s">
        <v>661</v>
      </c>
      <c r="J123">
        <v>2.2000000000000002</v>
      </c>
      <c r="K123" t="s">
        <v>866</v>
      </c>
      <c r="L123">
        <v>530000</v>
      </c>
      <c r="M123">
        <v>2.2000000000000002</v>
      </c>
      <c r="N123">
        <v>32.386231367989062</v>
      </c>
      <c r="O123" t="s">
        <v>592</v>
      </c>
      <c r="P123" t="s">
        <v>975</v>
      </c>
      <c r="Q123" t="s">
        <v>607</v>
      </c>
      <c r="R123">
        <v>50000</v>
      </c>
      <c r="S123" t="s">
        <v>599</v>
      </c>
      <c r="T123">
        <v>97</v>
      </c>
    </row>
    <row r="124" spans="1:20" x14ac:dyDescent="0.25">
      <c r="A124" t="s">
        <v>976</v>
      </c>
      <c r="B124" t="s">
        <v>94</v>
      </c>
      <c r="C124" t="s">
        <v>586</v>
      </c>
      <c r="D124" t="s">
        <v>608</v>
      </c>
      <c r="E124" t="s">
        <v>977</v>
      </c>
      <c r="F124">
        <v>2.7787414363043368</v>
      </c>
      <c r="G124">
        <v>12.331389041095896</v>
      </c>
      <c r="H124" t="s">
        <v>757</v>
      </c>
      <c r="I124" t="s">
        <v>611</v>
      </c>
      <c r="J124">
        <v>5</v>
      </c>
      <c r="K124" t="s">
        <v>978</v>
      </c>
      <c r="L124">
        <v>915000</v>
      </c>
      <c r="M124">
        <v>1.87</v>
      </c>
      <c r="N124">
        <v>12.331389041095896</v>
      </c>
      <c r="O124" t="s">
        <v>592</v>
      </c>
      <c r="P124" t="s">
        <v>621</v>
      </c>
      <c r="Q124" t="s">
        <v>586</v>
      </c>
      <c r="R124">
        <v>25000</v>
      </c>
      <c r="S124" t="s">
        <v>712</v>
      </c>
      <c r="T124">
        <v>74</v>
      </c>
    </row>
    <row r="125" spans="1:20" x14ac:dyDescent="0.25">
      <c r="A125" t="s">
        <v>979</v>
      </c>
      <c r="B125" t="s">
        <v>95</v>
      </c>
      <c r="C125" t="s">
        <v>586</v>
      </c>
      <c r="D125" t="s">
        <v>608</v>
      </c>
      <c r="E125" t="s">
        <v>980</v>
      </c>
      <c r="F125">
        <v>2.3722714346300298</v>
      </c>
      <c r="G125">
        <v>18.764898630136994</v>
      </c>
      <c r="H125" t="s">
        <v>981</v>
      </c>
      <c r="I125" t="s">
        <v>611</v>
      </c>
      <c r="J125">
        <v>4</v>
      </c>
      <c r="K125" t="s">
        <v>803</v>
      </c>
      <c r="L125">
        <v>155000</v>
      </c>
      <c r="M125">
        <v>2.1</v>
      </c>
      <c r="N125">
        <v>18.764898630136994</v>
      </c>
      <c r="O125" t="s">
        <v>592</v>
      </c>
      <c r="P125" t="s">
        <v>613</v>
      </c>
      <c r="Q125" t="s">
        <v>586</v>
      </c>
      <c r="R125">
        <v>20000</v>
      </c>
      <c r="S125" t="s">
        <v>712</v>
      </c>
      <c r="T125">
        <v>72</v>
      </c>
    </row>
    <row r="126" spans="1:20" x14ac:dyDescent="0.25">
      <c r="A126" t="s">
        <v>982</v>
      </c>
      <c r="B126" t="s">
        <v>25</v>
      </c>
      <c r="C126" t="s">
        <v>586</v>
      </c>
      <c r="D126" t="s">
        <v>623</v>
      </c>
      <c r="E126" t="s">
        <v>624</v>
      </c>
      <c r="F126">
        <v>1.3652022389584668</v>
      </c>
      <c r="G126">
        <v>24.920874899348931</v>
      </c>
      <c r="H126" t="s">
        <v>589</v>
      </c>
      <c r="I126" t="s">
        <v>625</v>
      </c>
      <c r="J126">
        <v>5</v>
      </c>
      <c r="K126" t="s">
        <v>946</v>
      </c>
      <c r="L126">
        <v>16585000</v>
      </c>
      <c r="M126">
        <v>1.59</v>
      </c>
      <c r="N126">
        <v>24.920874899348931</v>
      </c>
      <c r="O126" t="s">
        <v>592</v>
      </c>
      <c r="P126" t="s">
        <v>627</v>
      </c>
      <c r="Q126" t="s">
        <v>586</v>
      </c>
      <c r="R126">
        <v>5000</v>
      </c>
      <c r="S126" t="s">
        <v>599</v>
      </c>
      <c r="T126">
        <v>89</v>
      </c>
    </row>
    <row r="127" spans="1:20" x14ac:dyDescent="0.25">
      <c r="A127" t="s">
        <v>983</v>
      </c>
      <c r="B127" t="s">
        <v>32</v>
      </c>
      <c r="C127" t="s">
        <v>586</v>
      </c>
      <c r="D127" t="s">
        <v>666</v>
      </c>
      <c r="E127" t="s">
        <v>667</v>
      </c>
      <c r="F127">
        <v>0.81338722858282408</v>
      </c>
      <c r="G127">
        <v>7.2411983404107927</v>
      </c>
      <c r="H127" t="s">
        <v>668</v>
      </c>
      <c r="I127" t="s">
        <v>611</v>
      </c>
      <c r="J127">
        <v>5</v>
      </c>
      <c r="K127" t="s">
        <v>984</v>
      </c>
      <c r="L127">
        <v>1985000</v>
      </c>
      <c r="M127">
        <v>1.33</v>
      </c>
      <c r="N127">
        <v>7.2411983404107927</v>
      </c>
      <c r="O127" t="s">
        <v>592</v>
      </c>
      <c r="P127" t="s">
        <v>593</v>
      </c>
      <c r="Q127" t="s">
        <v>586</v>
      </c>
      <c r="R127">
        <v>20000</v>
      </c>
      <c r="S127" t="s">
        <v>635</v>
      </c>
      <c r="T127">
        <v>85</v>
      </c>
    </row>
    <row r="128" spans="1:20" x14ac:dyDescent="0.25">
      <c r="A128" t="s">
        <v>985</v>
      </c>
      <c r="B128" t="s">
        <v>96</v>
      </c>
      <c r="C128" t="s">
        <v>586</v>
      </c>
      <c r="D128" t="s">
        <v>961</v>
      </c>
      <c r="E128" t="s">
        <v>962</v>
      </c>
      <c r="F128">
        <v>1.0748549473557598</v>
      </c>
      <c r="G128">
        <v>2.7021339585123538</v>
      </c>
      <c r="H128" t="s">
        <v>986</v>
      </c>
      <c r="I128" t="s">
        <v>703</v>
      </c>
      <c r="J128">
        <v>5</v>
      </c>
      <c r="K128" t="s">
        <v>987</v>
      </c>
      <c r="L128">
        <v>2615000</v>
      </c>
      <c r="M128">
        <v>1.62</v>
      </c>
      <c r="N128">
        <v>2.7021339585123538</v>
      </c>
      <c r="O128" t="s">
        <v>592</v>
      </c>
      <c r="P128" t="s">
        <v>593</v>
      </c>
      <c r="Q128" t="s">
        <v>586</v>
      </c>
      <c r="R128">
        <v>40000</v>
      </c>
      <c r="S128" t="s">
        <v>599</v>
      </c>
      <c r="T128">
        <v>97</v>
      </c>
    </row>
    <row r="129" spans="1:20" x14ac:dyDescent="0.25">
      <c r="A129" t="s">
        <v>988</v>
      </c>
      <c r="B129" t="s">
        <v>33</v>
      </c>
      <c r="C129" t="s">
        <v>586</v>
      </c>
      <c r="D129" t="s">
        <v>608</v>
      </c>
      <c r="E129" t="s">
        <v>671</v>
      </c>
      <c r="F129">
        <v>0.98046098785968883</v>
      </c>
      <c r="G129">
        <v>26.632274598331172</v>
      </c>
      <c r="H129" t="s">
        <v>672</v>
      </c>
      <c r="I129" t="s">
        <v>673</v>
      </c>
      <c r="J129">
        <v>3</v>
      </c>
      <c r="K129" t="s">
        <v>646</v>
      </c>
      <c r="L129">
        <v>13995000</v>
      </c>
      <c r="M129">
        <v>1.8800000000000001</v>
      </c>
      <c r="N129">
        <v>26.632274598331172</v>
      </c>
      <c r="O129" t="s">
        <v>592</v>
      </c>
      <c r="P129" t="s">
        <v>621</v>
      </c>
      <c r="Q129" t="s">
        <v>586</v>
      </c>
      <c r="R129">
        <v>20000</v>
      </c>
      <c r="S129" t="s">
        <v>599</v>
      </c>
      <c r="T129">
        <v>94</v>
      </c>
    </row>
    <row r="130" spans="1:20" x14ac:dyDescent="0.25">
      <c r="A130" t="s">
        <v>989</v>
      </c>
      <c r="B130" t="s">
        <v>97</v>
      </c>
      <c r="C130" t="s">
        <v>607</v>
      </c>
      <c r="D130" t="s">
        <v>990</v>
      </c>
      <c r="E130" t="s">
        <v>991</v>
      </c>
      <c r="F130">
        <v>0.81555453337139205</v>
      </c>
      <c r="G130">
        <v>21.735214831228355</v>
      </c>
      <c r="H130" t="s">
        <v>992</v>
      </c>
      <c r="I130" t="s">
        <v>993</v>
      </c>
      <c r="J130">
        <v>3</v>
      </c>
      <c r="K130" t="s">
        <v>984</v>
      </c>
      <c r="L130">
        <v>430000</v>
      </c>
      <c r="M130">
        <v>2</v>
      </c>
      <c r="N130">
        <v>21.735214831228355</v>
      </c>
      <c r="O130" t="s">
        <v>592</v>
      </c>
      <c r="P130" t="s">
        <v>711</v>
      </c>
      <c r="Q130" t="s">
        <v>586</v>
      </c>
      <c r="R130">
        <v>20000</v>
      </c>
      <c r="S130" t="s">
        <v>712</v>
      </c>
      <c r="T130">
        <v>91</v>
      </c>
    </row>
    <row r="131" spans="1:20" x14ac:dyDescent="0.25">
      <c r="A131" t="s">
        <v>994</v>
      </c>
      <c r="B131" t="s">
        <v>33</v>
      </c>
      <c r="C131" t="s">
        <v>586</v>
      </c>
      <c r="D131" t="s">
        <v>608</v>
      </c>
      <c r="E131" t="s">
        <v>671</v>
      </c>
      <c r="F131">
        <v>5.5571394159004512E-3</v>
      </c>
      <c r="G131">
        <v>10.0269752491857</v>
      </c>
      <c r="H131" t="s">
        <v>672</v>
      </c>
      <c r="I131" t="s">
        <v>673</v>
      </c>
      <c r="J131">
        <v>5</v>
      </c>
      <c r="K131" t="s">
        <v>995</v>
      </c>
      <c r="L131">
        <v>10785000</v>
      </c>
      <c r="M131">
        <v>1.55</v>
      </c>
      <c r="N131">
        <v>10.0269752491857</v>
      </c>
      <c r="O131" t="s">
        <v>592</v>
      </c>
      <c r="P131" t="s">
        <v>621</v>
      </c>
      <c r="Q131" t="s">
        <v>586</v>
      </c>
      <c r="R131">
        <v>25000</v>
      </c>
      <c r="S131" t="s">
        <v>599</v>
      </c>
      <c r="T131">
        <v>99</v>
      </c>
    </row>
    <row r="132" spans="1:20" x14ac:dyDescent="0.25">
      <c r="A132" t="s">
        <v>996</v>
      </c>
      <c r="B132" t="s">
        <v>98</v>
      </c>
      <c r="C132" t="s">
        <v>607</v>
      </c>
      <c r="D132" t="s">
        <v>863</v>
      </c>
      <c r="E132" t="s">
        <v>997</v>
      </c>
      <c r="F132">
        <v>0.24657634708346271</v>
      </c>
      <c r="G132">
        <v>49.224936866328271</v>
      </c>
      <c r="H132" t="s">
        <v>656</v>
      </c>
      <c r="I132" t="s">
        <v>611</v>
      </c>
      <c r="J132">
        <v>1.75</v>
      </c>
      <c r="K132" t="s">
        <v>694</v>
      </c>
      <c r="L132">
        <v>55000</v>
      </c>
      <c r="M132">
        <v>1.75</v>
      </c>
      <c r="N132">
        <v>49.224936866328271</v>
      </c>
      <c r="O132" t="s">
        <v>592</v>
      </c>
      <c r="P132" t="s">
        <v>711</v>
      </c>
      <c r="Q132" t="s">
        <v>586</v>
      </c>
      <c r="R132" t="s">
        <v>712</v>
      </c>
      <c r="S132" t="s">
        <v>712</v>
      </c>
      <c r="T132">
        <v>93</v>
      </c>
    </row>
    <row r="133" spans="1:20" x14ac:dyDescent="0.25">
      <c r="A133" t="s">
        <v>998</v>
      </c>
      <c r="B133" t="s">
        <v>99</v>
      </c>
      <c r="C133" t="s">
        <v>586</v>
      </c>
      <c r="D133" t="s">
        <v>608</v>
      </c>
      <c r="E133" t="s">
        <v>999</v>
      </c>
      <c r="F133">
        <v>1.4548810098047629</v>
      </c>
      <c r="G133">
        <v>22.01646020488084</v>
      </c>
      <c r="H133" t="s">
        <v>1000</v>
      </c>
      <c r="I133" t="s">
        <v>721</v>
      </c>
      <c r="J133">
        <v>5</v>
      </c>
      <c r="K133" t="s">
        <v>1001</v>
      </c>
      <c r="L133">
        <v>745000</v>
      </c>
      <c r="M133">
        <v>1.67</v>
      </c>
      <c r="N133">
        <v>22.01646020488084</v>
      </c>
      <c r="O133" t="s">
        <v>592</v>
      </c>
      <c r="P133" t="s">
        <v>621</v>
      </c>
      <c r="Q133" t="s">
        <v>586</v>
      </c>
      <c r="R133">
        <v>40000</v>
      </c>
      <c r="S133" t="s">
        <v>652</v>
      </c>
      <c r="T133">
        <v>83</v>
      </c>
    </row>
    <row r="134" spans="1:20" x14ac:dyDescent="0.25">
      <c r="A134" t="s">
        <v>1002</v>
      </c>
      <c r="B134" t="s">
        <v>88</v>
      </c>
      <c r="C134" t="s">
        <v>586</v>
      </c>
      <c r="D134" t="s">
        <v>690</v>
      </c>
      <c r="E134" t="s">
        <v>940</v>
      </c>
      <c r="F134">
        <v>2.7170649933835467</v>
      </c>
      <c r="G134">
        <v>34.75416473875508</v>
      </c>
      <c r="H134" t="s">
        <v>941</v>
      </c>
      <c r="I134" t="s">
        <v>661</v>
      </c>
      <c r="J134">
        <v>5</v>
      </c>
      <c r="K134" t="s">
        <v>626</v>
      </c>
      <c r="L134">
        <v>3555000</v>
      </c>
      <c r="M134">
        <v>2.56</v>
      </c>
      <c r="N134">
        <v>34.75416473875508</v>
      </c>
      <c r="O134" t="s">
        <v>592</v>
      </c>
      <c r="P134" t="s">
        <v>593</v>
      </c>
      <c r="Q134" t="s">
        <v>586</v>
      </c>
      <c r="R134">
        <v>35000</v>
      </c>
      <c r="S134" t="s">
        <v>878</v>
      </c>
      <c r="T134">
        <v>80</v>
      </c>
    </row>
    <row r="135" spans="1:20" x14ac:dyDescent="0.25">
      <c r="A135" t="s">
        <v>1003</v>
      </c>
      <c r="B135" t="s">
        <v>100</v>
      </c>
      <c r="C135" t="s">
        <v>586</v>
      </c>
      <c r="D135" t="s">
        <v>608</v>
      </c>
      <c r="E135" t="s">
        <v>671</v>
      </c>
      <c r="F135">
        <v>0.52012848980630255</v>
      </c>
      <c r="G135">
        <v>10.29881551676266</v>
      </c>
      <c r="H135" t="s">
        <v>1004</v>
      </c>
      <c r="I135" t="s">
        <v>619</v>
      </c>
      <c r="J135">
        <v>5</v>
      </c>
      <c r="K135" t="s">
        <v>1005</v>
      </c>
      <c r="L135">
        <v>1855000</v>
      </c>
      <c r="M135">
        <v>1.46</v>
      </c>
      <c r="N135">
        <v>10.29881551676266</v>
      </c>
      <c r="O135" t="s">
        <v>592</v>
      </c>
      <c r="P135" t="s">
        <v>621</v>
      </c>
      <c r="Q135" t="s">
        <v>586</v>
      </c>
      <c r="R135">
        <v>60000</v>
      </c>
      <c r="S135" t="s">
        <v>635</v>
      </c>
      <c r="T135">
        <v>99</v>
      </c>
    </row>
    <row r="136" spans="1:20" x14ac:dyDescent="0.25">
      <c r="A136" t="s">
        <v>1006</v>
      </c>
      <c r="B136" t="s">
        <v>101</v>
      </c>
      <c r="C136" t="s">
        <v>586</v>
      </c>
      <c r="D136" t="s">
        <v>608</v>
      </c>
      <c r="E136" t="s">
        <v>789</v>
      </c>
      <c r="F136">
        <v>3.6103869317796265E-2</v>
      </c>
      <c r="G136">
        <v>22.065616459417271</v>
      </c>
      <c r="H136" t="s">
        <v>1007</v>
      </c>
      <c r="I136" t="s">
        <v>611</v>
      </c>
      <c r="J136">
        <v>5</v>
      </c>
      <c r="K136" t="s">
        <v>1008</v>
      </c>
      <c r="L136">
        <v>780000</v>
      </c>
      <c r="M136">
        <v>1.8800000000000001</v>
      </c>
      <c r="N136">
        <v>22.065616459417271</v>
      </c>
      <c r="O136" t="s">
        <v>592</v>
      </c>
      <c r="P136" t="s">
        <v>621</v>
      </c>
      <c r="Q136" t="s">
        <v>586</v>
      </c>
      <c r="R136">
        <v>10000</v>
      </c>
      <c r="S136" t="s">
        <v>635</v>
      </c>
      <c r="T136">
        <v>95</v>
      </c>
    </row>
    <row r="137" spans="1:20" x14ac:dyDescent="0.25">
      <c r="A137" t="s">
        <v>1009</v>
      </c>
      <c r="B137" t="s">
        <v>102</v>
      </c>
      <c r="C137" t="s">
        <v>586</v>
      </c>
      <c r="D137" t="s">
        <v>805</v>
      </c>
      <c r="E137" t="s">
        <v>806</v>
      </c>
      <c r="F137">
        <v>3.6612444143315881</v>
      </c>
      <c r="G137">
        <v>15.034328202584879</v>
      </c>
      <c r="H137" t="s">
        <v>1010</v>
      </c>
      <c r="I137" t="s">
        <v>1011</v>
      </c>
      <c r="J137">
        <v>5</v>
      </c>
      <c r="K137" t="s">
        <v>620</v>
      </c>
      <c r="L137">
        <v>2345000</v>
      </c>
      <c r="M137">
        <v>2.2000000000000002</v>
      </c>
      <c r="N137">
        <v>15.034328202584879</v>
      </c>
      <c r="O137" t="s">
        <v>592</v>
      </c>
      <c r="P137" t="s">
        <v>593</v>
      </c>
      <c r="Q137" t="s">
        <v>586</v>
      </c>
      <c r="R137">
        <v>1945000</v>
      </c>
      <c r="S137" t="s">
        <v>652</v>
      </c>
      <c r="T137">
        <v>77</v>
      </c>
    </row>
    <row r="138" spans="1:20" x14ac:dyDescent="0.25">
      <c r="A138" t="s">
        <v>1012</v>
      </c>
      <c r="B138" t="s">
        <v>58</v>
      </c>
      <c r="C138" t="s">
        <v>586</v>
      </c>
      <c r="D138" t="s">
        <v>809</v>
      </c>
      <c r="E138" t="s">
        <v>810</v>
      </c>
      <c r="F138">
        <v>2.3998806463499225</v>
      </c>
      <c r="G138">
        <v>27.055715649431722</v>
      </c>
      <c r="H138" t="s">
        <v>811</v>
      </c>
      <c r="I138" t="s">
        <v>812</v>
      </c>
      <c r="J138">
        <v>3</v>
      </c>
      <c r="K138" t="s">
        <v>1013</v>
      </c>
      <c r="L138">
        <v>1990000</v>
      </c>
      <c r="M138">
        <v>2.38</v>
      </c>
      <c r="N138">
        <v>27.055715649431722</v>
      </c>
      <c r="O138" t="s">
        <v>592</v>
      </c>
      <c r="P138" t="s">
        <v>593</v>
      </c>
      <c r="Q138" t="s">
        <v>586</v>
      </c>
      <c r="R138">
        <v>50000</v>
      </c>
      <c r="S138" t="s">
        <v>652</v>
      </c>
      <c r="T138">
        <v>55</v>
      </c>
    </row>
    <row r="139" spans="1:20" x14ac:dyDescent="0.25">
      <c r="A139" t="s">
        <v>1014</v>
      </c>
      <c r="B139" t="s">
        <v>42</v>
      </c>
      <c r="C139" t="s">
        <v>586</v>
      </c>
      <c r="D139" t="s">
        <v>736</v>
      </c>
      <c r="E139" t="s">
        <v>737</v>
      </c>
      <c r="F139">
        <v>4.2335433676592444</v>
      </c>
      <c r="G139">
        <v>23.675019820474262</v>
      </c>
      <c r="H139" t="s">
        <v>738</v>
      </c>
      <c r="I139" t="s">
        <v>739</v>
      </c>
      <c r="J139">
        <v>5</v>
      </c>
      <c r="K139" t="s">
        <v>701</v>
      </c>
      <c r="L139">
        <v>4385000</v>
      </c>
      <c r="M139">
        <v>2.35</v>
      </c>
      <c r="N139">
        <v>23.675019820474262</v>
      </c>
      <c r="O139" t="s">
        <v>592</v>
      </c>
      <c r="P139" t="s">
        <v>593</v>
      </c>
      <c r="Q139" t="s">
        <v>586</v>
      </c>
      <c r="R139">
        <v>60000</v>
      </c>
      <c r="S139" t="s">
        <v>635</v>
      </c>
      <c r="T139">
        <v>60</v>
      </c>
    </row>
    <row r="140" spans="1:20" x14ac:dyDescent="0.25">
      <c r="A140" t="s">
        <v>1015</v>
      </c>
      <c r="B140" t="s">
        <v>99</v>
      </c>
      <c r="C140" t="s">
        <v>586</v>
      </c>
      <c r="D140" t="s">
        <v>608</v>
      </c>
      <c r="E140" t="s">
        <v>999</v>
      </c>
      <c r="F140">
        <v>2.3468565692300891</v>
      </c>
      <c r="G140">
        <v>21.346950236867592</v>
      </c>
      <c r="H140" t="s">
        <v>1000</v>
      </c>
      <c r="I140" t="s">
        <v>721</v>
      </c>
      <c r="J140">
        <v>5</v>
      </c>
      <c r="K140" t="s">
        <v>803</v>
      </c>
      <c r="L140">
        <v>785000</v>
      </c>
      <c r="M140">
        <v>1.81</v>
      </c>
      <c r="N140">
        <v>21.346950236867592</v>
      </c>
      <c r="O140" t="s">
        <v>592</v>
      </c>
      <c r="P140" t="s">
        <v>621</v>
      </c>
      <c r="Q140" t="s">
        <v>586</v>
      </c>
      <c r="R140">
        <v>10000</v>
      </c>
      <c r="S140" t="s">
        <v>652</v>
      </c>
      <c r="T140">
        <v>77</v>
      </c>
    </row>
    <row r="141" spans="1:20" x14ac:dyDescent="0.25">
      <c r="A141" t="s">
        <v>1016</v>
      </c>
      <c r="B141" t="s">
        <v>103</v>
      </c>
      <c r="C141" t="s">
        <v>586</v>
      </c>
      <c r="D141" t="s">
        <v>741</v>
      </c>
      <c r="E141" t="s">
        <v>1017</v>
      </c>
      <c r="F141">
        <v>1.1205355740026908</v>
      </c>
      <c r="G141">
        <v>7.6976597426466453</v>
      </c>
      <c r="H141" t="s">
        <v>1018</v>
      </c>
      <c r="I141" t="s">
        <v>1019</v>
      </c>
      <c r="J141">
        <v>5</v>
      </c>
      <c r="K141" t="s">
        <v>598</v>
      </c>
      <c r="L141">
        <v>3010000</v>
      </c>
      <c r="M141">
        <v>1.54</v>
      </c>
      <c r="N141">
        <v>7.6976597426466453</v>
      </c>
      <c r="O141" t="s">
        <v>592</v>
      </c>
      <c r="P141" t="s">
        <v>627</v>
      </c>
      <c r="Q141" t="s">
        <v>586</v>
      </c>
      <c r="R141">
        <v>50000</v>
      </c>
      <c r="S141" t="s">
        <v>652</v>
      </c>
      <c r="T141">
        <v>76</v>
      </c>
    </row>
    <row r="142" spans="1:20" x14ac:dyDescent="0.25">
      <c r="A142" t="s">
        <v>1020</v>
      </c>
      <c r="B142" t="s">
        <v>28</v>
      </c>
      <c r="C142" t="s">
        <v>586</v>
      </c>
      <c r="D142" t="s">
        <v>642</v>
      </c>
      <c r="E142" t="s">
        <v>643</v>
      </c>
      <c r="F142">
        <v>3.6571341188767614</v>
      </c>
      <c r="G142">
        <v>14.214306849315061</v>
      </c>
      <c r="H142" t="s">
        <v>644</v>
      </c>
      <c r="I142" t="s">
        <v>645</v>
      </c>
      <c r="J142">
        <v>5</v>
      </c>
      <c r="K142" t="s">
        <v>620</v>
      </c>
      <c r="L142">
        <v>17620000</v>
      </c>
      <c r="M142">
        <v>2.19</v>
      </c>
      <c r="N142">
        <v>14.214306849315061</v>
      </c>
      <c r="O142" t="s">
        <v>592</v>
      </c>
      <c r="P142" t="s">
        <v>593</v>
      </c>
      <c r="Q142" t="s">
        <v>586</v>
      </c>
      <c r="R142">
        <v>75000</v>
      </c>
      <c r="S142" t="s">
        <v>599</v>
      </c>
      <c r="T142">
        <v>76</v>
      </c>
    </row>
    <row r="143" spans="1:20" x14ac:dyDescent="0.25">
      <c r="A143" t="s">
        <v>1021</v>
      </c>
      <c r="B143" t="s">
        <v>77</v>
      </c>
      <c r="C143" t="s">
        <v>586</v>
      </c>
      <c r="D143" t="s">
        <v>894</v>
      </c>
      <c r="E143" t="s">
        <v>895</v>
      </c>
      <c r="F143">
        <v>2.782823445453972</v>
      </c>
      <c r="G143">
        <v>-0.60804765347912682</v>
      </c>
      <c r="H143" t="s">
        <v>896</v>
      </c>
      <c r="I143" t="s">
        <v>897</v>
      </c>
      <c r="J143">
        <v>5</v>
      </c>
      <c r="K143" t="s">
        <v>978</v>
      </c>
      <c r="L143">
        <v>4315000</v>
      </c>
      <c r="M143">
        <v>1.58</v>
      </c>
      <c r="N143">
        <v>-0.60804765347912682</v>
      </c>
      <c r="O143" t="s">
        <v>592</v>
      </c>
      <c r="P143" t="s">
        <v>593</v>
      </c>
      <c r="Q143" t="s">
        <v>586</v>
      </c>
      <c r="R143">
        <v>300000</v>
      </c>
      <c r="S143" t="s">
        <v>652</v>
      </c>
      <c r="T143">
        <v>80</v>
      </c>
    </row>
    <row r="144" spans="1:20" x14ac:dyDescent="0.25">
      <c r="A144" t="s">
        <v>1022</v>
      </c>
      <c r="B144" t="s">
        <v>33</v>
      </c>
      <c r="C144" t="s">
        <v>586</v>
      </c>
      <c r="D144" t="s">
        <v>608</v>
      </c>
      <c r="E144" t="s">
        <v>671</v>
      </c>
      <c r="F144">
        <v>4.5587465560443823</v>
      </c>
      <c r="G144">
        <v>31.263435475077863</v>
      </c>
      <c r="H144" t="s">
        <v>672</v>
      </c>
      <c r="I144" t="s">
        <v>673</v>
      </c>
      <c r="J144">
        <v>4</v>
      </c>
      <c r="K144" t="s">
        <v>1023</v>
      </c>
      <c r="L144">
        <v>8770000</v>
      </c>
      <c r="M144">
        <v>2.5100000000000002</v>
      </c>
      <c r="N144">
        <v>31.263435475077863</v>
      </c>
      <c r="O144" t="s">
        <v>592</v>
      </c>
      <c r="P144" t="s">
        <v>621</v>
      </c>
      <c r="Q144" t="s">
        <v>586</v>
      </c>
      <c r="R144">
        <v>10000</v>
      </c>
      <c r="S144" t="s">
        <v>599</v>
      </c>
      <c r="T144">
        <v>67</v>
      </c>
    </row>
    <row r="145" spans="1:20" x14ac:dyDescent="0.25">
      <c r="A145" t="s">
        <v>1024</v>
      </c>
      <c r="B145" t="s">
        <v>29</v>
      </c>
      <c r="C145" t="s">
        <v>586</v>
      </c>
      <c r="D145" t="s">
        <v>587</v>
      </c>
      <c r="E145" t="s">
        <v>648</v>
      </c>
      <c r="F145">
        <v>2.902716745989919</v>
      </c>
      <c r="G145">
        <v>5.2027769103836441</v>
      </c>
      <c r="H145" t="s">
        <v>649</v>
      </c>
      <c r="I145" t="s">
        <v>650</v>
      </c>
      <c r="J145">
        <v>5</v>
      </c>
      <c r="K145" t="s">
        <v>727</v>
      </c>
      <c r="L145">
        <v>1145000</v>
      </c>
      <c r="M145">
        <v>1.99</v>
      </c>
      <c r="N145">
        <v>5.2027769103836441</v>
      </c>
      <c r="O145" t="s">
        <v>592</v>
      </c>
      <c r="P145" t="s">
        <v>593</v>
      </c>
      <c r="Q145" t="s">
        <v>586</v>
      </c>
      <c r="R145">
        <v>25000</v>
      </c>
      <c r="S145" t="s">
        <v>652</v>
      </c>
      <c r="T145">
        <v>60</v>
      </c>
    </row>
    <row r="146" spans="1:20" x14ac:dyDescent="0.25">
      <c r="A146" t="s">
        <v>1025</v>
      </c>
      <c r="B146" t="s">
        <v>32</v>
      </c>
      <c r="C146" t="s">
        <v>586</v>
      </c>
      <c r="D146" t="s">
        <v>666</v>
      </c>
      <c r="E146" t="s">
        <v>667</v>
      </c>
      <c r="F146">
        <v>4.4014956870319129</v>
      </c>
      <c r="G146">
        <v>14.095616795823073</v>
      </c>
      <c r="H146" t="s">
        <v>668</v>
      </c>
      <c r="I146" t="s">
        <v>611</v>
      </c>
      <c r="J146">
        <v>4</v>
      </c>
      <c r="K146" t="s">
        <v>722</v>
      </c>
      <c r="L146">
        <v>2415000</v>
      </c>
      <c r="M146">
        <v>1.96</v>
      </c>
      <c r="N146">
        <v>14.095616795823073</v>
      </c>
      <c r="O146" t="s">
        <v>592</v>
      </c>
      <c r="P146" t="s">
        <v>593</v>
      </c>
      <c r="Q146" t="s">
        <v>586</v>
      </c>
      <c r="R146">
        <v>120000</v>
      </c>
      <c r="S146" t="s">
        <v>635</v>
      </c>
      <c r="T146">
        <v>51</v>
      </c>
    </row>
    <row r="147" spans="1:20" x14ac:dyDescent="0.25">
      <c r="A147" t="s">
        <v>1026</v>
      </c>
      <c r="B147" t="s">
        <v>60</v>
      </c>
      <c r="C147" t="s">
        <v>586</v>
      </c>
      <c r="D147" t="s">
        <v>631</v>
      </c>
      <c r="E147" t="s">
        <v>756</v>
      </c>
      <c r="F147">
        <v>2.3632753473863537</v>
      </c>
      <c r="G147">
        <v>16.23886927605076</v>
      </c>
      <c r="H147" t="s">
        <v>823</v>
      </c>
      <c r="I147" t="s">
        <v>619</v>
      </c>
      <c r="J147">
        <v>5</v>
      </c>
      <c r="K147" t="s">
        <v>1013</v>
      </c>
      <c r="L147">
        <v>3190000</v>
      </c>
      <c r="M147">
        <v>2.1800000000000002</v>
      </c>
      <c r="N147">
        <v>16.23886927605076</v>
      </c>
      <c r="O147" t="s">
        <v>592</v>
      </c>
      <c r="P147" t="s">
        <v>593</v>
      </c>
      <c r="Q147" t="s">
        <v>586</v>
      </c>
      <c r="R147">
        <v>10000</v>
      </c>
      <c r="S147" t="s">
        <v>652</v>
      </c>
      <c r="T147">
        <v>83</v>
      </c>
    </row>
    <row r="148" spans="1:20" x14ac:dyDescent="0.25">
      <c r="A148" t="s">
        <v>1027</v>
      </c>
      <c r="B148" t="s">
        <v>104</v>
      </c>
      <c r="C148" t="s">
        <v>586</v>
      </c>
      <c r="D148" t="s">
        <v>1028</v>
      </c>
      <c r="E148" t="s">
        <v>1029</v>
      </c>
      <c r="F148">
        <v>3.7382531921836453</v>
      </c>
      <c r="G148">
        <v>16.723665879091953</v>
      </c>
      <c r="H148" t="s">
        <v>1030</v>
      </c>
      <c r="I148" t="s">
        <v>611</v>
      </c>
      <c r="J148">
        <v>5</v>
      </c>
      <c r="K148" t="s">
        <v>629</v>
      </c>
      <c r="L148">
        <v>5535000</v>
      </c>
      <c r="M148">
        <v>2.46</v>
      </c>
      <c r="N148">
        <v>16.723665879091953</v>
      </c>
      <c r="O148" t="s">
        <v>592</v>
      </c>
      <c r="P148" t="s">
        <v>593</v>
      </c>
      <c r="Q148" t="s">
        <v>586</v>
      </c>
      <c r="R148">
        <v>20000</v>
      </c>
      <c r="S148" t="s">
        <v>652</v>
      </c>
      <c r="T148">
        <v>77</v>
      </c>
    </row>
    <row r="149" spans="1:20" x14ac:dyDescent="0.25">
      <c r="A149" t="s">
        <v>1031</v>
      </c>
      <c r="B149" t="s">
        <v>105</v>
      </c>
      <c r="C149" t="s">
        <v>607</v>
      </c>
      <c r="D149" t="s">
        <v>608</v>
      </c>
      <c r="E149" t="s">
        <v>1032</v>
      </c>
      <c r="F149">
        <v>8.0450186412629951E-2</v>
      </c>
      <c r="G149">
        <v>37.871197260273973</v>
      </c>
      <c r="H149" t="s">
        <v>1033</v>
      </c>
      <c r="I149" t="s">
        <v>1034</v>
      </c>
      <c r="J149">
        <v>2</v>
      </c>
      <c r="K149" t="s">
        <v>950</v>
      </c>
      <c r="L149">
        <v>750000</v>
      </c>
      <c r="M149">
        <v>1.75</v>
      </c>
      <c r="N149">
        <v>37.871197260273973</v>
      </c>
      <c r="O149" t="s">
        <v>592</v>
      </c>
      <c r="P149" t="s">
        <v>621</v>
      </c>
      <c r="Q149" t="s">
        <v>586</v>
      </c>
      <c r="R149">
        <v>20000</v>
      </c>
      <c r="S149" t="s">
        <v>594</v>
      </c>
      <c r="T149">
        <v>92</v>
      </c>
    </row>
    <row r="150" spans="1:20" x14ac:dyDescent="0.25">
      <c r="A150" t="s">
        <v>1035</v>
      </c>
      <c r="B150" t="s">
        <v>106</v>
      </c>
      <c r="C150" t="s">
        <v>607</v>
      </c>
      <c r="D150" t="s">
        <v>587</v>
      </c>
      <c r="E150" t="s">
        <v>1036</v>
      </c>
      <c r="F150">
        <v>3.2432344107415054</v>
      </c>
      <c r="G150">
        <v>6.8311241358926633</v>
      </c>
      <c r="H150" t="s">
        <v>697</v>
      </c>
      <c r="I150" t="s">
        <v>1037</v>
      </c>
      <c r="J150">
        <v>5</v>
      </c>
      <c r="K150" t="s">
        <v>1038</v>
      </c>
      <c r="L150">
        <v>435000</v>
      </c>
      <c r="M150">
        <v>2.17</v>
      </c>
      <c r="N150" t="s">
        <v>712</v>
      </c>
      <c r="O150" t="s">
        <v>592</v>
      </c>
      <c r="P150" t="s">
        <v>593</v>
      </c>
      <c r="Q150" t="s">
        <v>586</v>
      </c>
      <c r="R150">
        <v>30000</v>
      </c>
      <c r="S150" t="s">
        <v>712</v>
      </c>
      <c r="T150">
        <v>77</v>
      </c>
    </row>
    <row r="151" spans="1:20" x14ac:dyDescent="0.25">
      <c r="A151" t="s">
        <v>1039</v>
      </c>
      <c r="B151" t="s">
        <v>35</v>
      </c>
      <c r="C151" t="s">
        <v>586</v>
      </c>
      <c r="D151" t="s">
        <v>680</v>
      </c>
      <c r="E151" t="s">
        <v>681</v>
      </c>
      <c r="F151">
        <v>2.5548016197904686</v>
      </c>
      <c r="G151">
        <v>12.439987666267104</v>
      </c>
      <c r="H151" t="s">
        <v>676</v>
      </c>
      <c r="I151" t="s">
        <v>625</v>
      </c>
      <c r="J151">
        <v>5</v>
      </c>
      <c r="K151" t="s">
        <v>930</v>
      </c>
      <c r="L151">
        <v>9750000</v>
      </c>
      <c r="M151">
        <v>1.74</v>
      </c>
      <c r="N151">
        <v>12.439987666267104</v>
      </c>
      <c r="O151" t="s">
        <v>592</v>
      </c>
      <c r="P151" t="s">
        <v>593</v>
      </c>
      <c r="Q151" t="s">
        <v>586</v>
      </c>
      <c r="R151">
        <v>15000</v>
      </c>
      <c r="S151" t="s">
        <v>599</v>
      </c>
      <c r="T151">
        <v>68</v>
      </c>
    </row>
    <row r="152" spans="1:20" x14ac:dyDescent="0.25">
      <c r="A152" t="s">
        <v>1040</v>
      </c>
      <c r="B152" t="s">
        <v>107</v>
      </c>
      <c r="C152" t="s">
        <v>607</v>
      </c>
      <c r="D152" t="s">
        <v>608</v>
      </c>
      <c r="E152" t="s">
        <v>1032</v>
      </c>
      <c r="F152">
        <v>2.0706728570728252</v>
      </c>
      <c r="G152">
        <v>37.170256135366152</v>
      </c>
      <c r="H152" t="s">
        <v>1041</v>
      </c>
      <c r="I152" t="s">
        <v>885</v>
      </c>
      <c r="J152">
        <v>3</v>
      </c>
      <c r="K152" t="s">
        <v>651</v>
      </c>
      <c r="L152">
        <v>245000</v>
      </c>
      <c r="M152">
        <v>2.3000000000000003</v>
      </c>
      <c r="N152">
        <v>37.170256135366152</v>
      </c>
      <c r="O152" t="s">
        <v>592</v>
      </c>
      <c r="P152" t="s">
        <v>613</v>
      </c>
      <c r="Q152" t="s">
        <v>586</v>
      </c>
      <c r="R152" t="s">
        <v>712</v>
      </c>
      <c r="S152" t="s">
        <v>878</v>
      </c>
      <c r="T152">
        <v>76</v>
      </c>
    </row>
    <row r="153" spans="1:20" x14ac:dyDescent="0.25">
      <c r="A153" t="s">
        <v>1042</v>
      </c>
      <c r="B153" t="s">
        <v>25</v>
      </c>
      <c r="C153" t="s">
        <v>586</v>
      </c>
      <c r="D153" t="s">
        <v>623</v>
      </c>
      <c r="E153" t="s">
        <v>624</v>
      </c>
      <c r="F153">
        <v>3.9909058647105997</v>
      </c>
      <c r="G153">
        <v>34.938107474621646</v>
      </c>
      <c r="H153" t="s">
        <v>589</v>
      </c>
      <c r="I153" t="s">
        <v>625</v>
      </c>
      <c r="J153">
        <v>5</v>
      </c>
      <c r="K153" t="s">
        <v>1043</v>
      </c>
      <c r="L153">
        <v>17205000</v>
      </c>
      <c r="M153">
        <v>2.11</v>
      </c>
      <c r="N153">
        <v>34.938107474621646</v>
      </c>
      <c r="O153" t="s">
        <v>592</v>
      </c>
      <c r="P153" t="s">
        <v>627</v>
      </c>
      <c r="Q153" t="s">
        <v>586</v>
      </c>
      <c r="R153">
        <v>25000</v>
      </c>
      <c r="S153" t="s">
        <v>599</v>
      </c>
      <c r="T153">
        <v>70</v>
      </c>
    </row>
    <row r="154" spans="1:20" x14ac:dyDescent="0.25">
      <c r="A154" t="s">
        <v>1044</v>
      </c>
      <c r="B154" t="s">
        <v>108</v>
      </c>
      <c r="C154" t="s">
        <v>586</v>
      </c>
      <c r="D154" t="s">
        <v>608</v>
      </c>
      <c r="E154" t="s">
        <v>756</v>
      </c>
      <c r="F154">
        <v>3.732792139542549</v>
      </c>
      <c r="G154">
        <v>101.99569863013697</v>
      </c>
      <c r="H154" t="s">
        <v>1045</v>
      </c>
      <c r="I154" t="s">
        <v>611</v>
      </c>
      <c r="J154">
        <v>3</v>
      </c>
      <c r="K154" t="s">
        <v>1046</v>
      </c>
      <c r="L154">
        <v>200000</v>
      </c>
      <c r="M154">
        <v>2.9000000000000004</v>
      </c>
      <c r="N154">
        <v>101.99569863013697</v>
      </c>
      <c r="O154" t="s">
        <v>592</v>
      </c>
      <c r="P154" t="s">
        <v>613</v>
      </c>
      <c r="Q154" t="s">
        <v>586</v>
      </c>
      <c r="R154" t="s">
        <v>712</v>
      </c>
      <c r="S154" t="s">
        <v>712</v>
      </c>
      <c r="T154">
        <v>36</v>
      </c>
    </row>
    <row r="155" spans="1:20" x14ac:dyDescent="0.25">
      <c r="A155" t="s">
        <v>1047</v>
      </c>
      <c r="B155" t="s">
        <v>109</v>
      </c>
      <c r="C155" t="s">
        <v>586</v>
      </c>
      <c r="D155" t="s">
        <v>690</v>
      </c>
      <c r="E155" t="s">
        <v>1048</v>
      </c>
      <c r="F155">
        <v>4.359327177774559</v>
      </c>
      <c r="G155">
        <v>6.3189726027397031</v>
      </c>
      <c r="H155" t="s">
        <v>802</v>
      </c>
      <c r="I155" t="s">
        <v>611</v>
      </c>
      <c r="J155">
        <v>5</v>
      </c>
      <c r="K155" t="s">
        <v>678</v>
      </c>
      <c r="L155">
        <v>11650000</v>
      </c>
      <c r="M155">
        <v>2.0300000000000002</v>
      </c>
      <c r="N155">
        <v>6.3189726027397031</v>
      </c>
      <c r="O155" t="s">
        <v>592</v>
      </c>
      <c r="P155" t="s">
        <v>593</v>
      </c>
      <c r="Q155" t="s">
        <v>586</v>
      </c>
      <c r="R155">
        <v>45000</v>
      </c>
      <c r="S155" t="s">
        <v>599</v>
      </c>
      <c r="T155">
        <v>73</v>
      </c>
    </row>
    <row r="156" spans="1:20" x14ac:dyDescent="0.25">
      <c r="A156" t="s">
        <v>1049</v>
      </c>
      <c r="B156" t="s">
        <v>24</v>
      </c>
      <c r="C156" t="s">
        <v>586</v>
      </c>
      <c r="D156" t="s">
        <v>616</v>
      </c>
      <c r="E156" t="s">
        <v>617</v>
      </c>
      <c r="F156">
        <v>1.9092962178384811</v>
      </c>
      <c r="G156">
        <v>2.0264935637209769</v>
      </c>
      <c r="H156" t="s">
        <v>618</v>
      </c>
      <c r="I156" t="s">
        <v>619</v>
      </c>
      <c r="J156">
        <v>5</v>
      </c>
      <c r="K156" t="s">
        <v>729</v>
      </c>
      <c r="L156">
        <v>4190000</v>
      </c>
      <c r="M156">
        <v>1.53</v>
      </c>
      <c r="N156">
        <v>2.0264935637209769</v>
      </c>
      <c r="O156" t="s">
        <v>592</v>
      </c>
      <c r="P156" t="s">
        <v>621</v>
      </c>
      <c r="Q156" t="s">
        <v>586</v>
      </c>
      <c r="R156">
        <v>50000</v>
      </c>
      <c r="S156" t="s">
        <v>599</v>
      </c>
      <c r="T156">
        <v>76</v>
      </c>
    </row>
    <row r="157" spans="1:20" x14ac:dyDescent="0.25">
      <c r="A157" t="s">
        <v>1050</v>
      </c>
      <c r="B157" t="s">
        <v>54</v>
      </c>
      <c r="C157" t="s">
        <v>586</v>
      </c>
      <c r="D157" t="s">
        <v>587</v>
      </c>
      <c r="E157" t="s">
        <v>791</v>
      </c>
      <c r="F157">
        <v>4.3178592916861618</v>
      </c>
      <c r="G157">
        <v>-1.1400050915203241</v>
      </c>
      <c r="H157" t="s">
        <v>792</v>
      </c>
      <c r="I157" t="s">
        <v>793</v>
      </c>
      <c r="J157">
        <v>5</v>
      </c>
      <c r="K157" t="s">
        <v>722</v>
      </c>
      <c r="L157">
        <v>12745000</v>
      </c>
      <c r="M157">
        <v>1.82</v>
      </c>
      <c r="N157">
        <v>-1.1400050915203241</v>
      </c>
      <c r="O157" t="s">
        <v>592</v>
      </c>
      <c r="P157" t="s">
        <v>593</v>
      </c>
      <c r="Q157" t="s">
        <v>586</v>
      </c>
      <c r="R157">
        <v>15000</v>
      </c>
      <c r="S157" t="s">
        <v>652</v>
      </c>
      <c r="T157">
        <v>55</v>
      </c>
    </row>
    <row r="158" spans="1:20" x14ac:dyDescent="0.25">
      <c r="A158" t="s">
        <v>1051</v>
      </c>
      <c r="B158" t="s">
        <v>110</v>
      </c>
      <c r="C158" t="s">
        <v>586</v>
      </c>
      <c r="D158" t="s">
        <v>741</v>
      </c>
      <c r="E158" t="s">
        <v>1052</v>
      </c>
      <c r="F158">
        <v>2.2608643079613269</v>
      </c>
      <c r="G158">
        <v>19.280087841755034</v>
      </c>
      <c r="H158" t="s">
        <v>633</v>
      </c>
      <c r="I158" t="s">
        <v>1053</v>
      </c>
      <c r="J158">
        <v>2</v>
      </c>
      <c r="K158" t="s">
        <v>972</v>
      </c>
      <c r="L158">
        <v>550000</v>
      </c>
      <c r="M158">
        <v>1.9000000000000001</v>
      </c>
      <c r="N158">
        <v>19.280087841755034</v>
      </c>
      <c r="O158" t="s">
        <v>592</v>
      </c>
      <c r="P158" t="s">
        <v>745</v>
      </c>
      <c r="Q158" t="s">
        <v>586</v>
      </c>
      <c r="R158" t="s">
        <v>712</v>
      </c>
      <c r="S158" t="s">
        <v>712</v>
      </c>
      <c r="T158">
        <v>64</v>
      </c>
    </row>
    <row r="159" spans="1:20" x14ac:dyDescent="0.25">
      <c r="A159" t="s">
        <v>1054</v>
      </c>
      <c r="B159" t="s">
        <v>46</v>
      </c>
      <c r="C159" t="s">
        <v>586</v>
      </c>
      <c r="D159" t="s">
        <v>608</v>
      </c>
      <c r="E159" t="s">
        <v>760</v>
      </c>
      <c r="F159">
        <v>2.4258096625060261</v>
      </c>
      <c r="G159">
        <v>21.54286692994598</v>
      </c>
      <c r="H159" t="s">
        <v>761</v>
      </c>
      <c r="I159" t="s">
        <v>619</v>
      </c>
      <c r="J159">
        <v>5</v>
      </c>
      <c r="K159" t="s">
        <v>1055</v>
      </c>
      <c r="L159">
        <v>2760000</v>
      </c>
      <c r="M159">
        <v>1.81</v>
      </c>
      <c r="N159">
        <v>21.54286692994598</v>
      </c>
      <c r="O159" t="s">
        <v>592</v>
      </c>
      <c r="P159" t="s">
        <v>621</v>
      </c>
      <c r="Q159" t="s">
        <v>586</v>
      </c>
      <c r="R159">
        <v>90000</v>
      </c>
      <c r="S159" t="s">
        <v>652</v>
      </c>
      <c r="T159">
        <v>82</v>
      </c>
    </row>
    <row r="160" spans="1:20" x14ac:dyDescent="0.25">
      <c r="A160" t="s">
        <v>1056</v>
      </c>
      <c r="B160" t="s">
        <v>61</v>
      </c>
      <c r="C160" t="s">
        <v>586</v>
      </c>
      <c r="D160" t="s">
        <v>623</v>
      </c>
      <c r="E160" t="s">
        <v>826</v>
      </c>
      <c r="F160">
        <v>1.2859132995262328</v>
      </c>
      <c r="G160">
        <v>140.21330325997303</v>
      </c>
      <c r="H160" t="s">
        <v>827</v>
      </c>
      <c r="I160" t="s">
        <v>828</v>
      </c>
      <c r="J160">
        <v>4.75</v>
      </c>
      <c r="K160" t="s">
        <v>758</v>
      </c>
      <c r="L160">
        <v>11000</v>
      </c>
      <c r="M160">
        <v>3.2</v>
      </c>
      <c r="N160">
        <v>140.21330325997303</v>
      </c>
      <c r="O160" t="s">
        <v>592</v>
      </c>
      <c r="P160" t="s">
        <v>745</v>
      </c>
      <c r="Q160" t="s">
        <v>586</v>
      </c>
      <c r="R160" t="s">
        <v>712</v>
      </c>
      <c r="S160" t="s">
        <v>712</v>
      </c>
      <c r="T160">
        <v>84</v>
      </c>
    </row>
    <row r="161" spans="1:20" x14ac:dyDescent="0.25">
      <c r="A161" t="s">
        <v>1057</v>
      </c>
      <c r="B161" t="s">
        <v>111</v>
      </c>
      <c r="C161" t="s">
        <v>586</v>
      </c>
      <c r="D161" t="s">
        <v>608</v>
      </c>
      <c r="E161" t="s">
        <v>789</v>
      </c>
      <c r="F161">
        <v>0.52177445896885954</v>
      </c>
      <c r="G161">
        <v>11.05590656049953</v>
      </c>
      <c r="H161" t="s">
        <v>676</v>
      </c>
      <c r="I161" t="s">
        <v>611</v>
      </c>
      <c r="J161">
        <v>4</v>
      </c>
      <c r="K161" t="s">
        <v>1005</v>
      </c>
      <c r="L161">
        <v>405000</v>
      </c>
      <c r="M161">
        <v>1.4000000000000001</v>
      </c>
      <c r="N161">
        <v>11.05590656049953</v>
      </c>
      <c r="O161" t="s">
        <v>592</v>
      </c>
      <c r="P161" t="s">
        <v>621</v>
      </c>
      <c r="Q161" t="s">
        <v>586</v>
      </c>
      <c r="R161">
        <v>100000</v>
      </c>
      <c r="S161" t="s">
        <v>635</v>
      </c>
      <c r="T161">
        <v>90</v>
      </c>
    </row>
    <row r="162" spans="1:20" x14ac:dyDescent="0.25">
      <c r="A162" t="s">
        <v>1058</v>
      </c>
      <c r="B162" t="s">
        <v>112</v>
      </c>
      <c r="C162" t="s">
        <v>607</v>
      </c>
      <c r="D162" t="s">
        <v>623</v>
      </c>
      <c r="E162" t="s">
        <v>624</v>
      </c>
      <c r="F162">
        <v>3.0938070766075221</v>
      </c>
      <c r="G162">
        <v>132.3211464274541</v>
      </c>
      <c r="H162" t="s">
        <v>709</v>
      </c>
      <c r="I162" t="s">
        <v>716</v>
      </c>
      <c r="J162">
        <v>4</v>
      </c>
      <c r="K162" t="s">
        <v>938</v>
      </c>
      <c r="L162">
        <v>260000</v>
      </c>
      <c r="M162">
        <v>3</v>
      </c>
      <c r="N162">
        <v>132.3211464274541</v>
      </c>
      <c r="O162" t="s">
        <v>592</v>
      </c>
      <c r="P162" t="s">
        <v>745</v>
      </c>
      <c r="Q162" t="s">
        <v>586</v>
      </c>
      <c r="R162">
        <v>225000</v>
      </c>
      <c r="S162" t="s">
        <v>712</v>
      </c>
      <c r="T162">
        <v>69</v>
      </c>
    </row>
    <row r="163" spans="1:20" x14ac:dyDescent="0.25">
      <c r="A163" t="s">
        <v>1059</v>
      </c>
      <c r="B163" t="s">
        <v>31</v>
      </c>
      <c r="C163" t="s">
        <v>586</v>
      </c>
      <c r="D163" t="s">
        <v>608</v>
      </c>
      <c r="E163" t="s">
        <v>609</v>
      </c>
      <c r="F163">
        <v>4.1884817747702661</v>
      </c>
      <c r="G163">
        <v>19.338027397260294</v>
      </c>
      <c r="H163" t="s">
        <v>660</v>
      </c>
      <c r="I163" t="s">
        <v>661</v>
      </c>
      <c r="J163">
        <v>5</v>
      </c>
      <c r="K163" t="s">
        <v>1060</v>
      </c>
      <c r="L163">
        <v>22305000</v>
      </c>
      <c r="M163">
        <v>2.06</v>
      </c>
      <c r="N163">
        <v>19.338027397260294</v>
      </c>
      <c r="O163" t="s">
        <v>592</v>
      </c>
      <c r="P163" t="s">
        <v>621</v>
      </c>
      <c r="Q163" t="s">
        <v>586</v>
      </c>
      <c r="R163">
        <v>35000</v>
      </c>
      <c r="S163" t="s">
        <v>599</v>
      </c>
      <c r="T163">
        <v>74</v>
      </c>
    </row>
    <row r="164" spans="1:20" x14ac:dyDescent="0.25">
      <c r="A164" t="s">
        <v>1061</v>
      </c>
      <c r="B164" t="s">
        <v>33</v>
      </c>
      <c r="C164" t="s">
        <v>586</v>
      </c>
      <c r="D164" t="s">
        <v>608</v>
      </c>
      <c r="E164" t="s">
        <v>671</v>
      </c>
      <c r="F164">
        <v>4.47196164156043</v>
      </c>
      <c r="G164">
        <v>20.263435475077873</v>
      </c>
      <c r="H164" t="s">
        <v>672</v>
      </c>
      <c r="I164" t="s">
        <v>673</v>
      </c>
      <c r="J164">
        <v>5</v>
      </c>
      <c r="K164" t="s">
        <v>1023</v>
      </c>
      <c r="L164">
        <v>13250000</v>
      </c>
      <c r="M164">
        <v>2.4000000000000004</v>
      </c>
      <c r="N164">
        <v>20.263435475077873</v>
      </c>
      <c r="O164" t="s">
        <v>592</v>
      </c>
      <c r="P164" t="s">
        <v>621</v>
      </c>
      <c r="Q164" t="s">
        <v>586</v>
      </c>
      <c r="R164">
        <v>15000</v>
      </c>
      <c r="S164" t="s">
        <v>599</v>
      </c>
      <c r="T164">
        <v>70</v>
      </c>
    </row>
    <row r="165" spans="1:20" x14ac:dyDescent="0.25">
      <c r="A165" t="s">
        <v>1062</v>
      </c>
      <c r="B165" t="s">
        <v>113</v>
      </c>
      <c r="C165" t="s">
        <v>586</v>
      </c>
      <c r="D165" t="s">
        <v>795</v>
      </c>
      <c r="E165" t="s">
        <v>1063</v>
      </c>
      <c r="F165">
        <v>5.5571394159004512E-3</v>
      </c>
      <c r="G165">
        <v>12.070059551269075</v>
      </c>
      <c r="H165" t="s">
        <v>1064</v>
      </c>
      <c r="I165" t="s">
        <v>1034</v>
      </c>
      <c r="J165">
        <v>5</v>
      </c>
      <c r="K165" t="s">
        <v>995</v>
      </c>
      <c r="L165">
        <v>400000</v>
      </c>
      <c r="M165">
        <v>1.25</v>
      </c>
      <c r="N165">
        <v>12.070059551269075</v>
      </c>
      <c r="O165" t="s">
        <v>592</v>
      </c>
      <c r="P165" t="s">
        <v>593</v>
      </c>
      <c r="Q165" t="s">
        <v>586</v>
      </c>
      <c r="R165">
        <v>25000</v>
      </c>
      <c r="S165" t="s">
        <v>712</v>
      </c>
      <c r="T165">
        <v>96</v>
      </c>
    </row>
    <row r="166" spans="1:20" x14ac:dyDescent="0.25">
      <c r="A166" t="s">
        <v>1065</v>
      </c>
      <c r="B166" t="s">
        <v>96</v>
      </c>
      <c r="C166" t="s">
        <v>586</v>
      </c>
      <c r="D166" t="s">
        <v>961</v>
      </c>
      <c r="E166" t="s">
        <v>962</v>
      </c>
      <c r="F166">
        <v>2.8645347180519534</v>
      </c>
      <c r="G166">
        <v>2.5790966691080497</v>
      </c>
      <c r="H166" t="s">
        <v>986</v>
      </c>
      <c r="I166" t="s">
        <v>703</v>
      </c>
      <c r="J166">
        <v>5</v>
      </c>
      <c r="K166" t="s">
        <v>1066</v>
      </c>
      <c r="L166">
        <v>2885000</v>
      </c>
      <c r="M166">
        <v>1.94</v>
      </c>
      <c r="N166">
        <v>2.5790966691080497</v>
      </c>
      <c r="O166" t="s">
        <v>592</v>
      </c>
      <c r="P166" t="s">
        <v>593</v>
      </c>
      <c r="Q166" t="s">
        <v>586</v>
      </c>
      <c r="R166" t="s">
        <v>712</v>
      </c>
      <c r="S166" t="s">
        <v>599</v>
      </c>
      <c r="T166">
        <v>83</v>
      </c>
    </row>
    <row r="167" spans="1:20" x14ac:dyDescent="0.25">
      <c r="A167" t="s">
        <v>1067</v>
      </c>
      <c r="B167" t="s">
        <v>114</v>
      </c>
      <c r="C167" t="s">
        <v>607</v>
      </c>
      <c r="D167" t="s">
        <v>608</v>
      </c>
      <c r="E167" t="s">
        <v>1068</v>
      </c>
      <c r="F167">
        <v>3.3118167698351599</v>
      </c>
      <c r="G167">
        <v>15.426635243888143</v>
      </c>
      <c r="H167" t="s">
        <v>1041</v>
      </c>
      <c r="I167" t="s">
        <v>1069</v>
      </c>
      <c r="J167">
        <v>3</v>
      </c>
      <c r="K167" t="s">
        <v>824</v>
      </c>
      <c r="L167">
        <v>435000</v>
      </c>
      <c r="M167">
        <v>2.4000000000000004</v>
      </c>
      <c r="N167">
        <v>15.426635243888143</v>
      </c>
      <c r="O167" t="s">
        <v>592</v>
      </c>
      <c r="P167" t="s">
        <v>613</v>
      </c>
      <c r="Q167" t="s">
        <v>586</v>
      </c>
      <c r="R167">
        <v>20000</v>
      </c>
      <c r="S167" t="s">
        <v>878</v>
      </c>
      <c r="T167">
        <v>59</v>
      </c>
    </row>
    <row r="168" spans="1:20" x14ac:dyDescent="0.25">
      <c r="A168" t="s">
        <v>1070</v>
      </c>
      <c r="B168" t="s">
        <v>115</v>
      </c>
      <c r="C168" t="s">
        <v>607</v>
      </c>
      <c r="D168" t="s">
        <v>1071</v>
      </c>
      <c r="E168" t="s">
        <v>1072</v>
      </c>
      <c r="F168">
        <v>4.1179077156986645</v>
      </c>
      <c r="G168">
        <v>46.603053168631604</v>
      </c>
      <c r="H168" t="s">
        <v>1073</v>
      </c>
      <c r="I168" t="s">
        <v>661</v>
      </c>
      <c r="J168">
        <v>3</v>
      </c>
      <c r="K168" t="s">
        <v>1043</v>
      </c>
      <c r="L168">
        <v>105000</v>
      </c>
      <c r="M168">
        <v>2.4500000000000002</v>
      </c>
      <c r="N168">
        <v>46.603053168631604</v>
      </c>
      <c r="O168" t="s">
        <v>592</v>
      </c>
      <c r="P168" t="s">
        <v>593</v>
      </c>
      <c r="Q168" t="s">
        <v>586</v>
      </c>
      <c r="R168" t="s">
        <v>712</v>
      </c>
      <c r="S168" t="s">
        <v>712</v>
      </c>
      <c r="T168">
        <v>47</v>
      </c>
    </row>
    <row r="169" spans="1:20" x14ac:dyDescent="0.25">
      <c r="A169" t="s">
        <v>1074</v>
      </c>
      <c r="B169" t="s">
        <v>116</v>
      </c>
      <c r="C169" t="s">
        <v>586</v>
      </c>
      <c r="D169" t="s">
        <v>1075</v>
      </c>
      <c r="E169" t="s">
        <v>1076</v>
      </c>
      <c r="F169">
        <v>2.8051567253456819</v>
      </c>
      <c r="G169">
        <v>9.6800406147496521</v>
      </c>
      <c r="H169" t="s">
        <v>913</v>
      </c>
      <c r="I169" t="s">
        <v>721</v>
      </c>
      <c r="J169">
        <v>5</v>
      </c>
      <c r="K169" t="s">
        <v>817</v>
      </c>
      <c r="L169">
        <v>605000</v>
      </c>
      <c r="M169">
        <v>1.75</v>
      </c>
      <c r="N169">
        <v>9.6800406147496521</v>
      </c>
      <c r="O169" t="s">
        <v>592</v>
      </c>
      <c r="P169" t="s">
        <v>593</v>
      </c>
      <c r="Q169" t="s">
        <v>586</v>
      </c>
      <c r="R169">
        <v>70000</v>
      </c>
      <c r="S169" t="s">
        <v>652</v>
      </c>
      <c r="T169">
        <v>64</v>
      </c>
    </row>
    <row r="170" spans="1:20" x14ac:dyDescent="0.25">
      <c r="A170" t="s">
        <v>1077</v>
      </c>
      <c r="B170" t="s">
        <v>103</v>
      </c>
      <c r="C170" t="s">
        <v>586</v>
      </c>
      <c r="D170" t="s">
        <v>741</v>
      </c>
      <c r="E170" t="s">
        <v>1017</v>
      </c>
      <c r="F170">
        <v>2.0305869078638259</v>
      </c>
      <c r="G170">
        <v>5.5581765441729436</v>
      </c>
      <c r="H170" t="s">
        <v>1018</v>
      </c>
      <c r="I170" t="s">
        <v>1019</v>
      </c>
      <c r="J170">
        <v>5</v>
      </c>
      <c r="K170" t="s">
        <v>651</v>
      </c>
      <c r="L170">
        <v>3165000</v>
      </c>
      <c r="M170">
        <v>1.68</v>
      </c>
      <c r="N170">
        <v>5.5581765441729436</v>
      </c>
      <c r="O170" t="s">
        <v>592</v>
      </c>
      <c r="P170" t="s">
        <v>627</v>
      </c>
      <c r="Q170" t="s">
        <v>586</v>
      </c>
      <c r="R170">
        <v>20000</v>
      </c>
      <c r="S170" t="s">
        <v>652</v>
      </c>
      <c r="T170">
        <v>85</v>
      </c>
    </row>
    <row r="171" spans="1:20" x14ac:dyDescent="0.25">
      <c r="A171" t="s">
        <v>1078</v>
      </c>
      <c r="B171" t="s">
        <v>117</v>
      </c>
      <c r="C171" t="s">
        <v>607</v>
      </c>
      <c r="D171" t="s">
        <v>741</v>
      </c>
      <c r="E171" t="s">
        <v>1079</v>
      </c>
      <c r="F171">
        <v>2.0707003069799716</v>
      </c>
      <c r="G171">
        <v>22.564180193839878</v>
      </c>
      <c r="H171" t="s">
        <v>767</v>
      </c>
      <c r="I171" t="s">
        <v>937</v>
      </c>
      <c r="J171">
        <v>3</v>
      </c>
      <c r="K171" t="s">
        <v>651</v>
      </c>
      <c r="L171">
        <v>180000</v>
      </c>
      <c r="M171">
        <v>2</v>
      </c>
      <c r="N171">
        <v>22.564180193839878</v>
      </c>
      <c r="O171" t="s">
        <v>592</v>
      </c>
      <c r="P171" t="s">
        <v>745</v>
      </c>
      <c r="Q171" t="s">
        <v>586</v>
      </c>
      <c r="R171">
        <v>20000</v>
      </c>
      <c r="S171" t="s">
        <v>712</v>
      </c>
      <c r="T171">
        <v>72</v>
      </c>
    </row>
    <row r="172" spans="1:20" x14ac:dyDescent="0.25">
      <c r="A172" t="s">
        <v>1080</v>
      </c>
      <c r="B172" t="s">
        <v>28</v>
      </c>
      <c r="C172" t="s">
        <v>586</v>
      </c>
      <c r="D172" t="s">
        <v>642</v>
      </c>
      <c r="E172" t="s">
        <v>643</v>
      </c>
      <c r="F172">
        <v>2.8041150657886083</v>
      </c>
      <c r="G172">
        <v>13.019504109589054</v>
      </c>
      <c r="H172" t="s">
        <v>644</v>
      </c>
      <c r="I172" t="s">
        <v>645</v>
      </c>
      <c r="J172">
        <v>5</v>
      </c>
      <c r="K172" t="s">
        <v>817</v>
      </c>
      <c r="L172">
        <v>19240000</v>
      </c>
      <c r="M172">
        <v>2.08</v>
      </c>
      <c r="N172">
        <v>13.019504109589054</v>
      </c>
      <c r="O172" t="s">
        <v>592</v>
      </c>
      <c r="P172" t="s">
        <v>593</v>
      </c>
      <c r="Q172" t="s">
        <v>586</v>
      </c>
      <c r="R172">
        <v>150000</v>
      </c>
      <c r="S172" t="s">
        <v>599</v>
      </c>
      <c r="T172">
        <v>81</v>
      </c>
    </row>
    <row r="173" spans="1:20" x14ac:dyDescent="0.25">
      <c r="A173" t="s">
        <v>1081</v>
      </c>
      <c r="B173" t="s">
        <v>47</v>
      </c>
      <c r="C173" t="s">
        <v>586</v>
      </c>
      <c r="D173" t="s">
        <v>654</v>
      </c>
      <c r="E173" t="s">
        <v>766</v>
      </c>
      <c r="F173">
        <v>0.89536418556818642</v>
      </c>
      <c r="G173">
        <v>11.029148234876862</v>
      </c>
      <c r="H173" t="s">
        <v>767</v>
      </c>
      <c r="I173" t="s">
        <v>768</v>
      </c>
      <c r="J173">
        <v>5</v>
      </c>
      <c r="K173" t="s">
        <v>640</v>
      </c>
      <c r="L173">
        <v>2400000</v>
      </c>
      <c r="M173">
        <v>1.71</v>
      </c>
      <c r="N173">
        <v>11.029148234876862</v>
      </c>
      <c r="O173" t="s">
        <v>592</v>
      </c>
      <c r="P173" t="s">
        <v>593</v>
      </c>
      <c r="Q173" t="s">
        <v>586</v>
      </c>
      <c r="R173">
        <v>160000</v>
      </c>
      <c r="S173" t="s">
        <v>594</v>
      </c>
      <c r="T173">
        <v>95</v>
      </c>
    </row>
    <row r="174" spans="1:20" x14ac:dyDescent="0.25">
      <c r="A174" t="s">
        <v>1082</v>
      </c>
      <c r="B174" t="s">
        <v>118</v>
      </c>
      <c r="C174" t="s">
        <v>586</v>
      </c>
      <c r="D174" t="s">
        <v>863</v>
      </c>
      <c r="E174" t="s">
        <v>1083</v>
      </c>
      <c r="F174">
        <v>3.9071541006971851</v>
      </c>
      <c r="G174">
        <v>7.6685351319749628</v>
      </c>
      <c r="H174" t="s">
        <v>1084</v>
      </c>
      <c r="I174" t="s">
        <v>661</v>
      </c>
      <c r="J174">
        <v>5</v>
      </c>
      <c r="K174" t="s">
        <v>1085</v>
      </c>
      <c r="L174">
        <v>2555000</v>
      </c>
      <c r="M174">
        <v>2.33</v>
      </c>
      <c r="N174">
        <v>7.6685351319749628</v>
      </c>
      <c r="O174" t="s">
        <v>592</v>
      </c>
      <c r="P174" t="s">
        <v>593</v>
      </c>
      <c r="Q174" t="s">
        <v>586</v>
      </c>
      <c r="R174">
        <v>35000</v>
      </c>
      <c r="S174" t="s">
        <v>635</v>
      </c>
      <c r="T174">
        <v>73</v>
      </c>
    </row>
    <row r="175" spans="1:20" x14ac:dyDescent="0.25">
      <c r="A175" t="s">
        <v>1086</v>
      </c>
      <c r="B175" t="s">
        <v>22</v>
      </c>
      <c r="C175" t="s">
        <v>586</v>
      </c>
      <c r="D175" t="s">
        <v>601</v>
      </c>
      <c r="E175" t="s">
        <v>602</v>
      </c>
      <c r="F175">
        <v>0.52186106093895446</v>
      </c>
      <c r="G175">
        <v>-1.2698630136998013E-2</v>
      </c>
      <c r="H175" t="s">
        <v>802</v>
      </c>
      <c r="I175" t="s">
        <v>597</v>
      </c>
      <c r="J175">
        <v>5</v>
      </c>
      <c r="K175" t="s">
        <v>1005</v>
      </c>
      <c r="L175">
        <v>1730000</v>
      </c>
      <c r="M175">
        <v>1.3900000000000001</v>
      </c>
      <c r="N175">
        <v>-1.2698630136998013E-2</v>
      </c>
      <c r="O175" t="s">
        <v>592</v>
      </c>
      <c r="P175" t="s">
        <v>593</v>
      </c>
      <c r="Q175" t="s">
        <v>586</v>
      </c>
      <c r="R175">
        <v>210000</v>
      </c>
      <c r="S175" t="s">
        <v>599</v>
      </c>
      <c r="T175">
        <v>98</v>
      </c>
    </row>
    <row r="176" spans="1:20" x14ac:dyDescent="0.25">
      <c r="A176" t="s">
        <v>1087</v>
      </c>
      <c r="B176" t="s">
        <v>33</v>
      </c>
      <c r="C176" t="s">
        <v>586</v>
      </c>
      <c r="D176" t="s">
        <v>608</v>
      </c>
      <c r="E176" t="s">
        <v>671</v>
      </c>
      <c r="F176">
        <v>2.805464988843291</v>
      </c>
      <c r="G176">
        <v>14.19395476666352</v>
      </c>
      <c r="H176" t="s">
        <v>672</v>
      </c>
      <c r="I176" t="s">
        <v>673</v>
      </c>
      <c r="J176">
        <v>5</v>
      </c>
      <c r="K176" t="s">
        <v>817</v>
      </c>
      <c r="L176">
        <v>6035000</v>
      </c>
      <c r="M176">
        <v>2.08</v>
      </c>
      <c r="N176">
        <v>14.19395476666352</v>
      </c>
      <c r="O176" t="s">
        <v>592</v>
      </c>
      <c r="P176" t="s">
        <v>621</v>
      </c>
      <c r="Q176" t="s">
        <v>586</v>
      </c>
      <c r="R176">
        <v>10000</v>
      </c>
      <c r="S176" t="s">
        <v>599</v>
      </c>
      <c r="T176">
        <v>79</v>
      </c>
    </row>
    <row r="177" spans="1:20" x14ac:dyDescent="0.25">
      <c r="A177" t="s">
        <v>1088</v>
      </c>
      <c r="B177" t="s">
        <v>27</v>
      </c>
      <c r="C177" t="s">
        <v>586</v>
      </c>
      <c r="D177" t="s">
        <v>637</v>
      </c>
      <c r="E177" t="s">
        <v>638</v>
      </c>
      <c r="F177">
        <v>3.5688880295405476</v>
      </c>
      <c r="G177">
        <v>26.216157374570457</v>
      </c>
      <c r="H177" t="s">
        <v>639</v>
      </c>
      <c r="I177" t="s">
        <v>619</v>
      </c>
      <c r="J177">
        <v>5</v>
      </c>
      <c r="K177" t="s">
        <v>753</v>
      </c>
      <c r="L177">
        <v>5685000</v>
      </c>
      <c r="M177">
        <v>2.5300000000000002</v>
      </c>
      <c r="N177">
        <v>26.216157374570457</v>
      </c>
      <c r="O177" t="s">
        <v>592</v>
      </c>
      <c r="P177" t="s">
        <v>593</v>
      </c>
      <c r="Q177" t="s">
        <v>586</v>
      </c>
      <c r="R177">
        <v>5000</v>
      </c>
      <c r="S177" t="s">
        <v>635</v>
      </c>
      <c r="T177">
        <v>75</v>
      </c>
    </row>
    <row r="178" spans="1:20" x14ac:dyDescent="0.25">
      <c r="A178" t="s">
        <v>1089</v>
      </c>
      <c r="B178" t="s">
        <v>119</v>
      </c>
      <c r="C178" t="s">
        <v>586</v>
      </c>
      <c r="D178" t="s">
        <v>1090</v>
      </c>
      <c r="E178" t="s">
        <v>1091</v>
      </c>
      <c r="F178">
        <v>1.8504545731331283</v>
      </c>
      <c r="G178">
        <v>27.5090356126126</v>
      </c>
      <c r="H178" t="s">
        <v>1092</v>
      </c>
      <c r="I178" t="s">
        <v>625</v>
      </c>
      <c r="J178">
        <v>2.35</v>
      </c>
      <c r="K178" t="s">
        <v>658</v>
      </c>
      <c r="L178">
        <v>2055000</v>
      </c>
      <c r="M178">
        <v>2.35</v>
      </c>
      <c r="N178">
        <v>27.5090356126126</v>
      </c>
      <c r="O178" t="s">
        <v>592</v>
      </c>
      <c r="P178" t="s">
        <v>723</v>
      </c>
      <c r="Q178" t="s">
        <v>607</v>
      </c>
      <c r="R178" t="s">
        <v>712</v>
      </c>
      <c r="S178" t="s">
        <v>635</v>
      </c>
      <c r="T178">
        <v>74</v>
      </c>
    </row>
    <row r="179" spans="1:20" x14ac:dyDescent="0.25">
      <c r="A179" t="s">
        <v>1093</v>
      </c>
      <c r="B179" t="s">
        <v>120</v>
      </c>
      <c r="C179" t="s">
        <v>607</v>
      </c>
      <c r="D179" t="s">
        <v>608</v>
      </c>
      <c r="E179" t="s">
        <v>756</v>
      </c>
      <c r="F179">
        <v>1.9452828920711649</v>
      </c>
      <c r="G179">
        <v>70.251779005382772</v>
      </c>
      <c r="H179" t="s">
        <v>672</v>
      </c>
      <c r="I179" t="s">
        <v>820</v>
      </c>
      <c r="J179">
        <v>5</v>
      </c>
      <c r="K179" t="s">
        <v>956</v>
      </c>
      <c r="L179">
        <v>145000</v>
      </c>
      <c r="M179">
        <v>2.6</v>
      </c>
      <c r="N179">
        <v>70.251779005382772</v>
      </c>
      <c r="O179" t="s">
        <v>592</v>
      </c>
      <c r="P179" t="s">
        <v>621</v>
      </c>
      <c r="Q179" t="s">
        <v>586</v>
      </c>
      <c r="R179" t="s">
        <v>712</v>
      </c>
      <c r="S179" t="s">
        <v>712</v>
      </c>
      <c r="T179">
        <v>82</v>
      </c>
    </row>
    <row r="180" spans="1:20" x14ac:dyDescent="0.25">
      <c r="A180" t="s">
        <v>1094</v>
      </c>
      <c r="B180" t="s">
        <v>121</v>
      </c>
      <c r="C180" t="s">
        <v>586</v>
      </c>
      <c r="D180" t="s">
        <v>1095</v>
      </c>
      <c r="E180" t="s">
        <v>1096</v>
      </c>
      <c r="F180">
        <v>1.4974791118756396</v>
      </c>
      <c r="G180">
        <v>32.147191780821906</v>
      </c>
      <c r="H180" t="s">
        <v>1097</v>
      </c>
      <c r="I180" t="s">
        <v>768</v>
      </c>
      <c r="J180">
        <v>5</v>
      </c>
      <c r="K180" t="s">
        <v>634</v>
      </c>
      <c r="L180">
        <v>2575000</v>
      </c>
      <c r="M180">
        <v>1.92</v>
      </c>
      <c r="N180">
        <v>32.147191780821906</v>
      </c>
      <c r="O180" t="s">
        <v>592</v>
      </c>
      <c r="P180" t="s">
        <v>593</v>
      </c>
      <c r="Q180" t="s">
        <v>586</v>
      </c>
      <c r="R180" t="s">
        <v>712</v>
      </c>
      <c r="S180" t="s">
        <v>1098</v>
      </c>
      <c r="T180">
        <v>76</v>
      </c>
    </row>
    <row r="181" spans="1:20" x14ac:dyDescent="0.25">
      <c r="A181" t="s">
        <v>1099</v>
      </c>
      <c r="B181" t="s">
        <v>22</v>
      </c>
      <c r="C181" t="s">
        <v>586</v>
      </c>
      <c r="D181" t="s">
        <v>601</v>
      </c>
      <c r="E181" t="s">
        <v>602</v>
      </c>
      <c r="F181">
        <v>0.85246004253208152</v>
      </c>
      <c r="G181">
        <v>6.3188705040316373</v>
      </c>
      <c r="H181" t="s">
        <v>603</v>
      </c>
      <c r="I181" t="s">
        <v>604</v>
      </c>
      <c r="J181">
        <v>5</v>
      </c>
      <c r="K181" t="s">
        <v>821</v>
      </c>
      <c r="L181">
        <v>20865000</v>
      </c>
      <c r="M181">
        <v>1.92</v>
      </c>
      <c r="N181">
        <v>6.3188705040316373</v>
      </c>
      <c r="O181" t="s">
        <v>592</v>
      </c>
      <c r="P181" t="s">
        <v>593</v>
      </c>
      <c r="Q181" t="s">
        <v>586</v>
      </c>
      <c r="R181">
        <v>65000</v>
      </c>
      <c r="S181" t="s">
        <v>599</v>
      </c>
      <c r="T181">
        <v>95</v>
      </c>
    </row>
    <row r="182" spans="1:20" x14ac:dyDescent="0.25">
      <c r="A182" t="s">
        <v>1100</v>
      </c>
      <c r="B182" t="s">
        <v>22</v>
      </c>
      <c r="C182" t="s">
        <v>586</v>
      </c>
      <c r="D182" t="s">
        <v>601</v>
      </c>
      <c r="E182" t="s">
        <v>602</v>
      </c>
      <c r="F182">
        <v>1.7867870666276986</v>
      </c>
      <c r="G182">
        <v>-3.8778082191792684E-2</v>
      </c>
      <c r="H182" t="s">
        <v>644</v>
      </c>
      <c r="I182" t="s">
        <v>703</v>
      </c>
      <c r="J182">
        <v>5</v>
      </c>
      <c r="K182" t="s">
        <v>664</v>
      </c>
      <c r="L182">
        <v>6880000</v>
      </c>
      <c r="M182">
        <v>1.8800000000000001</v>
      </c>
      <c r="N182">
        <v>-3.8778082191792684E-2</v>
      </c>
      <c r="O182" t="s">
        <v>592</v>
      </c>
      <c r="P182" t="s">
        <v>593</v>
      </c>
      <c r="Q182" t="s">
        <v>586</v>
      </c>
      <c r="R182">
        <v>50000</v>
      </c>
      <c r="S182" t="s">
        <v>599</v>
      </c>
      <c r="T182">
        <v>87</v>
      </c>
    </row>
    <row r="183" spans="1:20" x14ac:dyDescent="0.25">
      <c r="A183" t="s">
        <v>1101</v>
      </c>
      <c r="B183" t="s">
        <v>122</v>
      </c>
      <c r="C183" t="s">
        <v>586</v>
      </c>
      <c r="D183" t="s">
        <v>1075</v>
      </c>
      <c r="E183" t="s">
        <v>1076</v>
      </c>
      <c r="F183">
        <v>0.32829100866158434</v>
      </c>
      <c r="G183">
        <v>204.72986849315066</v>
      </c>
      <c r="H183" t="s">
        <v>757</v>
      </c>
      <c r="I183" t="s">
        <v>1102</v>
      </c>
      <c r="J183">
        <v>3.25</v>
      </c>
      <c r="K183" t="s">
        <v>710</v>
      </c>
      <c r="L183">
        <v>615000</v>
      </c>
      <c r="M183">
        <v>3.58</v>
      </c>
      <c r="N183">
        <v>204.72986849315066</v>
      </c>
      <c r="O183" t="s">
        <v>592</v>
      </c>
      <c r="P183" t="s">
        <v>593</v>
      </c>
      <c r="Q183" t="s">
        <v>586</v>
      </c>
      <c r="R183" t="s">
        <v>712</v>
      </c>
      <c r="S183" t="s">
        <v>712</v>
      </c>
      <c r="T183">
        <v>96</v>
      </c>
    </row>
    <row r="184" spans="1:20" x14ac:dyDescent="0.25">
      <c r="A184" t="s">
        <v>1103</v>
      </c>
      <c r="B184" t="s">
        <v>123</v>
      </c>
      <c r="C184" t="s">
        <v>586</v>
      </c>
      <c r="D184" t="s">
        <v>805</v>
      </c>
      <c r="E184" t="s">
        <v>1104</v>
      </c>
      <c r="F184">
        <v>0.1193325486467537</v>
      </c>
      <c r="G184">
        <v>8.7416556332707618</v>
      </c>
      <c r="H184" t="s">
        <v>709</v>
      </c>
      <c r="I184" t="s">
        <v>661</v>
      </c>
      <c r="J184">
        <v>5</v>
      </c>
      <c r="K184" t="s">
        <v>1105</v>
      </c>
      <c r="L184">
        <v>35000</v>
      </c>
      <c r="M184">
        <v>1.25</v>
      </c>
      <c r="N184">
        <v>8.7416556332707618</v>
      </c>
      <c r="O184" t="s">
        <v>592</v>
      </c>
      <c r="P184" t="s">
        <v>711</v>
      </c>
      <c r="Q184" t="s">
        <v>586</v>
      </c>
      <c r="R184" t="s">
        <v>712</v>
      </c>
      <c r="S184" t="s">
        <v>712</v>
      </c>
      <c r="T184">
        <v>96</v>
      </c>
    </row>
    <row r="185" spans="1:20" x14ac:dyDescent="0.25">
      <c r="A185" t="s">
        <v>1106</v>
      </c>
      <c r="B185" t="s">
        <v>124</v>
      </c>
      <c r="C185" t="s">
        <v>586</v>
      </c>
      <c r="D185" t="s">
        <v>741</v>
      </c>
      <c r="E185" t="s">
        <v>1017</v>
      </c>
      <c r="F185">
        <v>0.41208320586235925</v>
      </c>
      <c r="G185">
        <v>26.979468493150669</v>
      </c>
      <c r="H185" t="s">
        <v>1107</v>
      </c>
      <c r="I185" t="s">
        <v>661</v>
      </c>
      <c r="J185">
        <v>3</v>
      </c>
      <c r="K185" t="s">
        <v>686</v>
      </c>
      <c r="L185">
        <v>125000</v>
      </c>
      <c r="M185">
        <v>1.6500000000000001</v>
      </c>
      <c r="N185">
        <v>26.979468493150669</v>
      </c>
      <c r="O185" t="s">
        <v>592</v>
      </c>
      <c r="P185" t="s">
        <v>627</v>
      </c>
      <c r="Q185" t="s">
        <v>586</v>
      </c>
      <c r="R185">
        <v>100000</v>
      </c>
      <c r="S185" t="s">
        <v>712</v>
      </c>
      <c r="T185">
        <v>92</v>
      </c>
    </row>
    <row r="186" spans="1:20" x14ac:dyDescent="0.25">
      <c r="A186" t="s">
        <v>1108</v>
      </c>
      <c r="B186" t="s">
        <v>125</v>
      </c>
      <c r="C186" t="s">
        <v>586</v>
      </c>
      <c r="D186" t="s">
        <v>608</v>
      </c>
      <c r="E186" t="s">
        <v>671</v>
      </c>
      <c r="F186">
        <v>2.3623691588027471</v>
      </c>
      <c r="G186">
        <v>17.73116092417839</v>
      </c>
      <c r="H186" t="s">
        <v>1000</v>
      </c>
      <c r="I186" t="s">
        <v>611</v>
      </c>
      <c r="J186">
        <v>5</v>
      </c>
      <c r="K186" t="s">
        <v>1013</v>
      </c>
      <c r="L186">
        <v>840000</v>
      </c>
      <c r="M186">
        <v>1.78</v>
      </c>
      <c r="N186">
        <v>17.73116092417839</v>
      </c>
      <c r="O186" t="s">
        <v>592</v>
      </c>
      <c r="P186" t="s">
        <v>621</v>
      </c>
      <c r="Q186" t="s">
        <v>586</v>
      </c>
      <c r="R186">
        <v>20000</v>
      </c>
      <c r="S186" t="s">
        <v>712</v>
      </c>
      <c r="T186">
        <v>79</v>
      </c>
    </row>
    <row r="187" spans="1:20" x14ac:dyDescent="0.25">
      <c r="A187" t="s">
        <v>1109</v>
      </c>
      <c r="B187" t="s">
        <v>33</v>
      </c>
      <c r="C187" t="s">
        <v>586</v>
      </c>
      <c r="D187" t="s">
        <v>608</v>
      </c>
      <c r="E187" t="s">
        <v>671</v>
      </c>
      <c r="F187">
        <v>0.97865068427168622</v>
      </c>
      <c r="G187">
        <v>7.632274598331179</v>
      </c>
      <c r="H187" t="s">
        <v>672</v>
      </c>
      <c r="I187" t="s">
        <v>673</v>
      </c>
      <c r="J187">
        <v>5</v>
      </c>
      <c r="K187" t="s">
        <v>646</v>
      </c>
      <c r="L187">
        <v>5475000</v>
      </c>
      <c r="M187">
        <v>1.69</v>
      </c>
      <c r="N187">
        <v>7.632274598331179</v>
      </c>
      <c r="O187" t="s">
        <v>592</v>
      </c>
      <c r="P187" t="s">
        <v>621</v>
      </c>
      <c r="Q187" t="s">
        <v>586</v>
      </c>
      <c r="R187">
        <v>40000</v>
      </c>
      <c r="S187" t="s">
        <v>599</v>
      </c>
      <c r="T187">
        <v>97</v>
      </c>
    </row>
    <row r="188" spans="1:20" x14ac:dyDescent="0.25">
      <c r="A188" t="s">
        <v>1110</v>
      </c>
      <c r="B188" t="s">
        <v>42</v>
      </c>
      <c r="C188" t="s">
        <v>586</v>
      </c>
      <c r="D188" t="s">
        <v>736</v>
      </c>
      <c r="E188" t="s">
        <v>737</v>
      </c>
      <c r="F188">
        <v>1.6646405594674549</v>
      </c>
      <c r="G188">
        <v>20.228518856148114</v>
      </c>
      <c r="H188" t="s">
        <v>738</v>
      </c>
      <c r="I188" t="s">
        <v>739</v>
      </c>
      <c r="J188">
        <v>5</v>
      </c>
      <c r="K188" t="s">
        <v>682</v>
      </c>
      <c r="L188">
        <v>3790000</v>
      </c>
      <c r="M188">
        <v>1.8900000000000001</v>
      </c>
      <c r="N188">
        <v>20.228518856148114</v>
      </c>
      <c r="O188" t="s">
        <v>592</v>
      </c>
      <c r="P188" t="s">
        <v>593</v>
      </c>
      <c r="Q188" t="s">
        <v>586</v>
      </c>
      <c r="R188">
        <v>10000</v>
      </c>
      <c r="S188" t="s">
        <v>635</v>
      </c>
      <c r="T188">
        <v>81</v>
      </c>
    </row>
    <row r="189" spans="1:20" x14ac:dyDescent="0.25">
      <c r="A189" t="s">
        <v>1111</v>
      </c>
      <c r="B189" t="s">
        <v>126</v>
      </c>
      <c r="C189" t="s">
        <v>586</v>
      </c>
      <c r="D189" t="s">
        <v>631</v>
      </c>
      <c r="E189" t="s">
        <v>1112</v>
      </c>
      <c r="F189">
        <v>1.7595471850289623</v>
      </c>
      <c r="G189">
        <v>7.7504475822137264</v>
      </c>
      <c r="H189" t="s">
        <v>1113</v>
      </c>
      <c r="I189" t="s">
        <v>611</v>
      </c>
      <c r="J189">
        <v>4</v>
      </c>
      <c r="K189" t="s">
        <v>1114</v>
      </c>
      <c r="L189">
        <v>205000</v>
      </c>
      <c r="M189">
        <v>2</v>
      </c>
      <c r="N189">
        <v>7.7504475822137264</v>
      </c>
      <c r="O189" t="s">
        <v>592</v>
      </c>
      <c r="P189" t="s">
        <v>711</v>
      </c>
      <c r="Q189" t="s">
        <v>586</v>
      </c>
      <c r="R189" t="s">
        <v>712</v>
      </c>
      <c r="S189" t="s">
        <v>712</v>
      </c>
      <c r="T189">
        <v>86</v>
      </c>
    </row>
    <row r="190" spans="1:20" x14ac:dyDescent="0.25">
      <c r="A190" t="s">
        <v>1115</v>
      </c>
      <c r="B190" t="s">
        <v>127</v>
      </c>
      <c r="C190" t="s">
        <v>586</v>
      </c>
      <c r="D190" t="s">
        <v>637</v>
      </c>
      <c r="E190" t="s">
        <v>1116</v>
      </c>
      <c r="F190">
        <v>0.89668386640233255</v>
      </c>
      <c r="G190">
        <v>7.3099027728364518</v>
      </c>
      <c r="H190" t="s">
        <v>589</v>
      </c>
      <c r="I190" t="s">
        <v>1117</v>
      </c>
      <c r="J190">
        <v>5</v>
      </c>
      <c r="K190" t="s">
        <v>640</v>
      </c>
      <c r="L190">
        <v>1910000</v>
      </c>
      <c r="M190">
        <v>1.37</v>
      </c>
      <c r="N190">
        <v>7.3099027728364518</v>
      </c>
      <c r="O190" t="s">
        <v>592</v>
      </c>
      <c r="P190" t="s">
        <v>593</v>
      </c>
      <c r="Q190" t="s">
        <v>586</v>
      </c>
      <c r="R190" t="s">
        <v>712</v>
      </c>
      <c r="S190" t="s">
        <v>712</v>
      </c>
      <c r="T190">
        <v>96</v>
      </c>
    </row>
    <row r="191" spans="1:20" x14ac:dyDescent="0.25">
      <c r="A191" t="s">
        <v>1118</v>
      </c>
      <c r="B191" t="s">
        <v>128</v>
      </c>
      <c r="C191" t="s">
        <v>607</v>
      </c>
      <c r="D191" t="s">
        <v>875</v>
      </c>
      <c r="E191" t="s">
        <v>1119</v>
      </c>
      <c r="F191">
        <v>3.9846101596562353</v>
      </c>
      <c r="G191">
        <v>71.885123287671249</v>
      </c>
      <c r="H191" t="s">
        <v>1120</v>
      </c>
      <c r="I191" t="s">
        <v>1037</v>
      </c>
      <c r="J191">
        <v>5</v>
      </c>
      <c r="K191" t="s">
        <v>1043</v>
      </c>
      <c r="L191">
        <v>690000</v>
      </c>
      <c r="M191">
        <v>2.72</v>
      </c>
      <c r="N191">
        <v>71.885123287671249</v>
      </c>
      <c r="O191" t="s">
        <v>592</v>
      </c>
      <c r="P191" t="s">
        <v>593</v>
      </c>
      <c r="Q191" t="s">
        <v>586</v>
      </c>
      <c r="R191">
        <v>100000</v>
      </c>
      <c r="S191" t="s">
        <v>712</v>
      </c>
      <c r="T191">
        <v>68</v>
      </c>
    </row>
    <row r="192" spans="1:20" x14ac:dyDescent="0.25">
      <c r="A192" t="s">
        <v>1121</v>
      </c>
      <c r="B192" t="s">
        <v>129</v>
      </c>
      <c r="C192" t="s">
        <v>607</v>
      </c>
      <c r="D192" t="s">
        <v>608</v>
      </c>
      <c r="E192" t="s">
        <v>1122</v>
      </c>
      <c r="F192">
        <v>8.0459849447292398E-2</v>
      </c>
      <c r="G192">
        <v>38.636047243272564</v>
      </c>
      <c r="H192" t="s">
        <v>672</v>
      </c>
      <c r="I192" t="s">
        <v>611</v>
      </c>
      <c r="J192">
        <v>5</v>
      </c>
      <c r="K192" t="s">
        <v>950</v>
      </c>
      <c r="L192">
        <v>680000</v>
      </c>
      <c r="M192">
        <v>1.85</v>
      </c>
      <c r="N192">
        <v>38.636047243272564</v>
      </c>
      <c r="O192" t="s">
        <v>592</v>
      </c>
      <c r="P192" t="s">
        <v>621</v>
      </c>
      <c r="Q192" t="s">
        <v>586</v>
      </c>
      <c r="R192">
        <v>40000</v>
      </c>
      <c r="S192" t="s">
        <v>594</v>
      </c>
      <c r="T192">
        <v>95</v>
      </c>
    </row>
    <row r="193" spans="1:20" x14ac:dyDescent="0.25">
      <c r="A193" t="s">
        <v>1123</v>
      </c>
      <c r="B193" t="s">
        <v>130</v>
      </c>
      <c r="C193" t="s">
        <v>586</v>
      </c>
      <c r="D193" t="s">
        <v>1124</v>
      </c>
      <c r="E193" t="s">
        <v>1125</v>
      </c>
      <c r="F193">
        <v>1.3448795371495561</v>
      </c>
      <c r="G193">
        <v>0.48800273972602337</v>
      </c>
      <c r="H193" t="s">
        <v>963</v>
      </c>
      <c r="I193" t="s">
        <v>1126</v>
      </c>
      <c r="J193">
        <v>4</v>
      </c>
      <c r="K193" t="s">
        <v>1127</v>
      </c>
      <c r="L193">
        <v>890000</v>
      </c>
      <c r="M193">
        <v>1.51</v>
      </c>
      <c r="N193">
        <v>0.48800273972602337</v>
      </c>
      <c r="O193" t="s">
        <v>592</v>
      </c>
      <c r="P193" t="s">
        <v>593</v>
      </c>
      <c r="Q193" t="s">
        <v>586</v>
      </c>
      <c r="R193">
        <v>75000</v>
      </c>
      <c r="S193" t="s">
        <v>712</v>
      </c>
      <c r="T193">
        <v>88</v>
      </c>
    </row>
    <row r="194" spans="1:20" x14ac:dyDescent="0.25">
      <c r="A194" t="s">
        <v>1128</v>
      </c>
      <c r="B194" t="s">
        <v>96</v>
      </c>
      <c r="C194" t="s">
        <v>586</v>
      </c>
      <c r="D194" t="s">
        <v>961</v>
      </c>
      <c r="E194" t="s">
        <v>962</v>
      </c>
      <c r="F194">
        <v>2.0318479925375823</v>
      </c>
      <c r="G194">
        <v>6.3243730636530993</v>
      </c>
      <c r="H194" t="s">
        <v>986</v>
      </c>
      <c r="I194" t="s">
        <v>703</v>
      </c>
      <c r="J194">
        <v>3</v>
      </c>
      <c r="K194" t="s">
        <v>776</v>
      </c>
      <c r="L194">
        <v>2750000</v>
      </c>
      <c r="M194">
        <v>1.82</v>
      </c>
      <c r="N194">
        <v>6.3243730636530993</v>
      </c>
      <c r="O194" t="s">
        <v>592</v>
      </c>
      <c r="P194" t="s">
        <v>593</v>
      </c>
      <c r="Q194" t="s">
        <v>586</v>
      </c>
      <c r="R194" t="s">
        <v>712</v>
      </c>
      <c r="S194" t="s">
        <v>599</v>
      </c>
      <c r="T194">
        <v>83</v>
      </c>
    </row>
    <row r="195" spans="1:20" x14ac:dyDescent="0.25">
      <c r="A195" t="s">
        <v>1129</v>
      </c>
      <c r="B195" t="s">
        <v>131</v>
      </c>
      <c r="C195" t="s">
        <v>586</v>
      </c>
      <c r="D195" t="s">
        <v>795</v>
      </c>
      <c r="E195" t="s">
        <v>1130</v>
      </c>
      <c r="F195">
        <v>2.7509479584502681</v>
      </c>
      <c r="G195">
        <v>22.12301244457646</v>
      </c>
      <c r="H195" t="s">
        <v>1007</v>
      </c>
      <c r="I195" t="s">
        <v>716</v>
      </c>
      <c r="J195">
        <v>4</v>
      </c>
      <c r="K195" t="s">
        <v>626</v>
      </c>
      <c r="L195">
        <v>575000</v>
      </c>
      <c r="M195">
        <v>2.4000000000000004</v>
      </c>
      <c r="N195">
        <v>22.12301244457646</v>
      </c>
      <c r="O195" t="s">
        <v>592</v>
      </c>
      <c r="P195" t="s">
        <v>593</v>
      </c>
      <c r="Q195" t="s">
        <v>586</v>
      </c>
      <c r="R195" t="s">
        <v>712</v>
      </c>
      <c r="S195" t="s">
        <v>712</v>
      </c>
      <c r="T195">
        <v>66</v>
      </c>
    </row>
    <row r="196" spans="1:20" x14ac:dyDescent="0.25">
      <c r="A196" t="s">
        <v>1131</v>
      </c>
      <c r="B196" t="s">
        <v>69</v>
      </c>
      <c r="C196" t="s">
        <v>586</v>
      </c>
      <c r="D196" t="s">
        <v>805</v>
      </c>
      <c r="E196" t="s">
        <v>858</v>
      </c>
      <c r="F196">
        <v>2.5583107769520694</v>
      </c>
      <c r="G196">
        <v>21.022850808918147</v>
      </c>
      <c r="H196" t="s">
        <v>859</v>
      </c>
      <c r="I196" t="s">
        <v>860</v>
      </c>
      <c r="J196">
        <v>5</v>
      </c>
      <c r="K196" t="s">
        <v>930</v>
      </c>
      <c r="L196">
        <v>2900000</v>
      </c>
      <c r="M196">
        <v>2.06</v>
      </c>
      <c r="N196">
        <v>21.022850808918147</v>
      </c>
      <c r="O196" t="s">
        <v>592</v>
      </c>
      <c r="P196" t="s">
        <v>593</v>
      </c>
      <c r="Q196" t="s">
        <v>586</v>
      </c>
      <c r="R196">
        <v>400000</v>
      </c>
      <c r="S196" t="s">
        <v>635</v>
      </c>
      <c r="T196">
        <v>80</v>
      </c>
    </row>
    <row r="197" spans="1:20" x14ac:dyDescent="0.25">
      <c r="A197" t="s">
        <v>1132</v>
      </c>
      <c r="B197" t="s">
        <v>26</v>
      </c>
      <c r="C197" t="s">
        <v>586</v>
      </c>
      <c r="D197" t="s">
        <v>631</v>
      </c>
      <c r="E197" t="s">
        <v>632</v>
      </c>
      <c r="F197">
        <v>4.0635588065221784</v>
      </c>
      <c r="G197">
        <v>22.906290941183414</v>
      </c>
      <c r="H197" t="s">
        <v>633</v>
      </c>
      <c r="I197" t="s">
        <v>611</v>
      </c>
      <c r="J197">
        <v>5</v>
      </c>
      <c r="K197" t="s">
        <v>1133</v>
      </c>
      <c r="L197">
        <v>3840000</v>
      </c>
      <c r="M197">
        <v>2.08</v>
      </c>
      <c r="N197">
        <v>22.906290941183414</v>
      </c>
      <c r="O197" t="s">
        <v>592</v>
      </c>
      <c r="P197" t="s">
        <v>593</v>
      </c>
      <c r="Q197" t="s">
        <v>586</v>
      </c>
      <c r="R197">
        <v>200000</v>
      </c>
      <c r="S197" t="s">
        <v>635</v>
      </c>
      <c r="T197">
        <v>68</v>
      </c>
    </row>
    <row r="198" spans="1:20" x14ac:dyDescent="0.25">
      <c r="A198" t="s">
        <v>1134</v>
      </c>
      <c r="B198" t="s">
        <v>132</v>
      </c>
      <c r="C198" t="s">
        <v>586</v>
      </c>
      <c r="D198" t="s">
        <v>1124</v>
      </c>
      <c r="E198" t="s">
        <v>1135</v>
      </c>
      <c r="F198">
        <v>0.49450725946598545</v>
      </c>
      <c r="G198">
        <v>26.600275087785661</v>
      </c>
      <c r="H198" t="s">
        <v>1136</v>
      </c>
      <c r="I198" t="s">
        <v>1137</v>
      </c>
      <c r="J198">
        <v>3</v>
      </c>
      <c r="K198" t="s">
        <v>807</v>
      </c>
      <c r="L198">
        <v>720000</v>
      </c>
      <c r="M198">
        <v>1.55</v>
      </c>
      <c r="N198">
        <v>26.600275087785661</v>
      </c>
      <c r="O198" t="s">
        <v>592</v>
      </c>
      <c r="P198" t="s">
        <v>711</v>
      </c>
      <c r="Q198" t="s">
        <v>586</v>
      </c>
      <c r="R198">
        <v>30000</v>
      </c>
      <c r="S198" t="s">
        <v>712</v>
      </c>
      <c r="T198">
        <v>89</v>
      </c>
    </row>
    <row r="199" spans="1:20" x14ac:dyDescent="0.25">
      <c r="A199" t="s">
        <v>1138</v>
      </c>
      <c r="B199" t="s">
        <v>133</v>
      </c>
      <c r="C199" t="s">
        <v>586</v>
      </c>
      <c r="D199" t="s">
        <v>1139</v>
      </c>
      <c r="E199" t="s">
        <v>1140</v>
      </c>
      <c r="F199">
        <v>5.5552207179736801E-3</v>
      </c>
      <c r="G199">
        <v>18.642572526909397</v>
      </c>
      <c r="H199" t="s">
        <v>709</v>
      </c>
      <c r="I199" t="s">
        <v>1137</v>
      </c>
      <c r="J199">
        <v>5</v>
      </c>
      <c r="K199" t="s">
        <v>995</v>
      </c>
      <c r="L199">
        <v>355000</v>
      </c>
      <c r="M199">
        <v>1.3</v>
      </c>
      <c r="N199">
        <v>18.642572526909397</v>
      </c>
      <c r="O199" t="s">
        <v>592</v>
      </c>
      <c r="P199" t="s">
        <v>711</v>
      </c>
      <c r="Q199" t="s">
        <v>586</v>
      </c>
      <c r="R199" t="s">
        <v>712</v>
      </c>
      <c r="S199" t="s">
        <v>712</v>
      </c>
      <c r="T199">
        <v>97</v>
      </c>
    </row>
    <row r="200" spans="1:20" x14ac:dyDescent="0.25">
      <c r="A200" t="s">
        <v>1141</v>
      </c>
      <c r="B200" t="s">
        <v>134</v>
      </c>
      <c r="C200" t="s">
        <v>586</v>
      </c>
      <c r="D200" t="s">
        <v>608</v>
      </c>
      <c r="E200" t="s">
        <v>1142</v>
      </c>
      <c r="F200">
        <v>1.2416387206541166</v>
      </c>
      <c r="G200">
        <v>23.927179015089738</v>
      </c>
      <c r="H200" t="s">
        <v>1143</v>
      </c>
      <c r="I200" t="s">
        <v>721</v>
      </c>
      <c r="J200">
        <v>5</v>
      </c>
      <c r="K200" t="s">
        <v>1144</v>
      </c>
      <c r="L200">
        <v>860000</v>
      </c>
      <c r="M200">
        <v>1.56</v>
      </c>
      <c r="N200">
        <v>23.927179015089738</v>
      </c>
      <c r="O200" t="s">
        <v>592</v>
      </c>
      <c r="P200" t="s">
        <v>621</v>
      </c>
      <c r="Q200" t="s">
        <v>586</v>
      </c>
      <c r="R200">
        <v>50000</v>
      </c>
      <c r="S200" t="s">
        <v>652</v>
      </c>
      <c r="T200">
        <v>83</v>
      </c>
    </row>
    <row r="201" spans="1:20" x14ac:dyDescent="0.25">
      <c r="A201" t="s">
        <v>1145</v>
      </c>
      <c r="B201" t="s">
        <v>135</v>
      </c>
      <c r="C201" t="s">
        <v>586</v>
      </c>
      <c r="D201" t="s">
        <v>1139</v>
      </c>
      <c r="E201" t="s">
        <v>1146</v>
      </c>
      <c r="F201">
        <v>2.3815570691042192</v>
      </c>
      <c r="G201">
        <v>81.802919443810225</v>
      </c>
      <c r="H201" t="s">
        <v>913</v>
      </c>
      <c r="I201" t="s">
        <v>716</v>
      </c>
      <c r="J201">
        <v>4</v>
      </c>
      <c r="K201" t="s">
        <v>1013</v>
      </c>
      <c r="L201">
        <v>215000</v>
      </c>
      <c r="M201">
        <v>2.4000000000000004</v>
      </c>
      <c r="N201">
        <v>81.802919443810225</v>
      </c>
      <c r="O201" t="s">
        <v>592</v>
      </c>
      <c r="P201" t="s">
        <v>593</v>
      </c>
      <c r="Q201" t="s">
        <v>586</v>
      </c>
      <c r="R201" t="s">
        <v>712</v>
      </c>
      <c r="S201" t="s">
        <v>712</v>
      </c>
      <c r="T201">
        <v>69</v>
      </c>
    </row>
    <row r="202" spans="1:20" x14ac:dyDescent="0.25">
      <c r="A202" t="s">
        <v>1147</v>
      </c>
      <c r="B202" t="s">
        <v>136</v>
      </c>
      <c r="C202" t="s">
        <v>607</v>
      </c>
      <c r="D202" t="s">
        <v>990</v>
      </c>
      <c r="E202" t="s">
        <v>756</v>
      </c>
      <c r="F202">
        <v>1.7700767608295098</v>
      </c>
      <c r="G202">
        <v>40.374886422339706</v>
      </c>
      <c r="H202" t="s">
        <v>1148</v>
      </c>
      <c r="I202" t="s">
        <v>1149</v>
      </c>
      <c r="J202">
        <v>3</v>
      </c>
      <c r="K202" t="s">
        <v>1114</v>
      </c>
      <c r="L202">
        <v>190000</v>
      </c>
      <c r="M202">
        <v>2.4000000000000004</v>
      </c>
      <c r="N202">
        <v>40.374886422339706</v>
      </c>
      <c r="O202" t="s">
        <v>592</v>
      </c>
      <c r="P202" t="s">
        <v>711</v>
      </c>
      <c r="Q202" t="s">
        <v>586</v>
      </c>
      <c r="R202" t="s">
        <v>712</v>
      </c>
      <c r="S202" t="s">
        <v>712</v>
      </c>
      <c r="T202">
        <v>84</v>
      </c>
    </row>
    <row r="203" spans="1:20" x14ac:dyDescent="0.25">
      <c r="A203" t="s">
        <v>1150</v>
      </c>
      <c r="B203" t="s">
        <v>137</v>
      </c>
      <c r="C203" t="s">
        <v>586</v>
      </c>
      <c r="D203" t="s">
        <v>1071</v>
      </c>
      <c r="E203" t="s">
        <v>1151</v>
      </c>
      <c r="F203">
        <v>2.3644410747706623</v>
      </c>
      <c r="G203">
        <v>6.7764246575342524</v>
      </c>
      <c r="H203" t="s">
        <v>1033</v>
      </c>
      <c r="I203" t="s">
        <v>1152</v>
      </c>
      <c r="J203">
        <v>5</v>
      </c>
      <c r="K203" t="s">
        <v>1013</v>
      </c>
      <c r="L203">
        <v>2440000</v>
      </c>
      <c r="M203">
        <v>1.76</v>
      </c>
      <c r="N203">
        <v>6.7764246575342524</v>
      </c>
      <c r="O203" t="s">
        <v>592</v>
      </c>
      <c r="P203" t="s">
        <v>593</v>
      </c>
      <c r="Q203" t="s">
        <v>586</v>
      </c>
      <c r="R203">
        <v>300000</v>
      </c>
      <c r="S203" t="s">
        <v>599</v>
      </c>
      <c r="T203">
        <v>80</v>
      </c>
    </row>
    <row r="204" spans="1:20" x14ac:dyDescent="0.25">
      <c r="A204" t="s">
        <v>1153</v>
      </c>
      <c r="B204" t="s">
        <v>138</v>
      </c>
      <c r="C204" t="s">
        <v>586</v>
      </c>
      <c r="D204" t="s">
        <v>1124</v>
      </c>
      <c r="E204" t="s">
        <v>1154</v>
      </c>
      <c r="F204">
        <v>3.1979811079218479</v>
      </c>
      <c r="G204">
        <v>9.3014446959923234</v>
      </c>
      <c r="H204" t="s">
        <v>1064</v>
      </c>
      <c r="I204" t="s">
        <v>721</v>
      </c>
      <c r="J204">
        <v>2</v>
      </c>
      <c r="K204" t="s">
        <v>938</v>
      </c>
      <c r="L204">
        <v>270000</v>
      </c>
      <c r="M204">
        <v>1.8</v>
      </c>
      <c r="N204">
        <v>9.3014446959923234</v>
      </c>
      <c r="O204" t="s">
        <v>592</v>
      </c>
      <c r="P204" t="s">
        <v>711</v>
      </c>
      <c r="Q204" t="s">
        <v>586</v>
      </c>
      <c r="R204" t="s">
        <v>712</v>
      </c>
      <c r="S204" t="s">
        <v>712</v>
      </c>
      <c r="T204">
        <v>59</v>
      </c>
    </row>
    <row r="205" spans="1:20" x14ac:dyDescent="0.25">
      <c r="A205" t="s">
        <v>1155</v>
      </c>
      <c r="B205" t="s">
        <v>25</v>
      </c>
      <c r="C205" t="s">
        <v>586</v>
      </c>
      <c r="D205" t="s">
        <v>623</v>
      </c>
      <c r="E205" t="s">
        <v>624</v>
      </c>
      <c r="F205">
        <v>0.89400965962710044</v>
      </c>
      <c r="G205">
        <v>20.3577041509281</v>
      </c>
      <c r="H205" t="s">
        <v>589</v>
      </c>
      <c r="I205" t="s">
        <v>625</v>
      </c>
      <c r="J205">
        <v>5</v>
      </c>
      <c r="K205" t="s">
        <v>640</v>
      </c>
      <c r="L205">
        <v>16170000</v>
      </c>
      <c r="M205">
        <v>1.47</v>
      </c>
      <c r="N205">
        <v>20.3577041509281</v>
      </c>
      <c r="O205" t="s">
        <v>592</v>
      </c>
      <c r="P205" t="s">
        <v>627</v>
      </c>
      <c r="Q205" t="s">
        <v>586</v>
      </c>
      <c r="R205">
        <v>20000</v>
      </c>
      <c r="S205" t="s">
        <v>599</v>
      </c>
      <c r="T205">
        <v>93</v>
      </c>
    </row>
    <row r="206" spans="1:20" x14ac:dyDescent="0.25">
      <c r="A206" t="s">
        <v>1156</v>
      </c>
      <c r="B206" t="s">
        <v>55</v>
      </c>
      <c r="C206" t="s">
        <v>586</v>
      </c>
      <c r="D206" t="s">
        <v>795</v>
      </c>
      <c r="E206" t="s">
        <v>796</v>
      </c>
      <c r="F206">
        <v>1.1190441555955106</v>
      </c>
      <c r="G206">
        <v>17.985597634883234</v>
      </c>
      <c r="H206" t="s">
        <v>720</v>
      </c>
      <c r="I206" t="s">
        <v>611</v>
      </c>
      <c r="J206">
        <v>5</v>
      </c>
      <c r="K206" t="s">
        <v>598</v>
      </c>
      <c r="L206">
        <v>2720000</v>
      </c>
      <c r="M206">
        <v>1.78</v>
      </c>
      <c r="N206">
        <v>17.985597634883234</v>
      </c>
      <c r="O206" t="s">
        <v>592</v>
      </c>
      <c r="P206" t="s">
        <v>593</v>
      </c>
      <c r="Q206" t="s">
        <v>586</v>
      </c>
      <c r="R206">
        <v>45000</v>
      </c>
      <c r="S206" t="s">
        <v>712</v>
      </c>
      <c r="T206">
        <v>80</v>
      </c>
    </row>
    <row r="207" spans="1:20" x14ac:dyDescent="0.25">
      <c r="A207" t="s">
        <v>1157</v>
      </c>
      <c r="B207" t="s">
        <v>29</v>
      </c>
      <c r="C207" t="s">
        <v>586</v>
      </c>
      <c r="D207" t="s">
        <v>587</v>
      </c>
      <c r="E207" t="s">
        <v>648</v>
      </c>
      <c r="F207">
        <v>4.5423107932330025</v>
      </c>
      <c r="G207">
        <v>6.1698556049669673</v>
      </c>
      <c r="H207" t="s">
        <v>649</v>
      </c>
      <c r="I207" t="s">
        <v>650</v>
      </c>
      <c r="J207">
        <v>5</v>
      </c>
      <c r="K207" t="s">
        <v>797</v>
      </c>
      <c r="L207">
        <v>1265000</v>
      </c>
      <c r="M207">
        <v>2.25</v>
      </c>
      <c r="N207">
        <v>6.1698556049669673</v>
      </c>
      <c r="O207" t="s">
        <v>592</v>
      </c>
      <c r="P207" t="s">
        <v>593</v>
      </c>
      <c r="Q207" t="s">
        <v>586</v>
      </c>
      <c r="R207">
        <v>240000</v>
      </c>
      <c r="S207" t="s">
        <v>652</v>
      </c>
      <c r="T207">
        <v>59</v>
      </c>
    </row>
    <row r="208" spans="1:20" x14ac:dyDescent="0.25">
      <c r="A208" t="s">
        <v>1158</v>
      </c>
      <c r="B208" t="s">
        <v>109</v>
      </c>
      <c r="C208" t="s">
        <v>586</v>
      </c>
      <c r="D208" t="s">
        <v>690</v>
      </c>
      <c r="E208" t="s">
        <v>1048</v>
      </c>
      <c r="F208">
        <v>3.5372639638834227</v>
      </c>
      <c r="G208">
        <v>3.9895479452054738</v>
      </c>
      <c r="H208" t="s">
        <v>802</v>
      </c>
      <c r="I208" t="s">
        <v>611</v>
      </c>
      <c r="J208">
        <v>5</v>
      </c>
      <c r="K208" t="s">
        <v>704</v>
      </c>
      <c r="L208">
        <v>11095000</v>
      </c>
      <c r="M208">
        <v>1.9100000000000001</v>
      </c>
      <c r="N208">
        <v>3.9895479452054738</v>
      </c>
      <c r="O208" t="s">
        <v>592</v>
      </c>
      <c r="P208" t="s">
        <v>593</v>
      </c>
      <c r="Q208" t="s">
        <v>586</v>
      </c>
      <c r="R208">
        <v>10000</v>
      </c>
      <c r="S208" t="s">
        <v>599</v>
      </c>
      <c r="T208">
        <v>78</v>
      </c>
    </row>
    <row r="209" spans="1:20" x14ac:dyDescent="0.25">
      <c r="A209" t="s">
        <v>1159</v>
      </c>
      <c r="B209" t="s">
        <v>139</v>
      </c>
      <c r="C209" t="s">
        <v>586</v>
      </c>
      <c r="D209" t="s">
        <v>741</v>
      </c>
      <c r="E209" t="s">
        <v>1160</v>
      </c>
      <c r="F209">
        <v>1.5235475014045186</v>
      </c>
      <c r="G209">
        <v>28.237032185021715</v>
      </c>
      <c r="H209" t="s">
        <v>649</v>
      </c>
      <c r="I209" t="s">
        <v>1137</v>
      </c>
      <c r="J209">
        <v>3</v>
      </c>
      <c r="K209" t="s">
        <v>634</v>
      </c>
      <c r="L209">
        <v>285000</v>
      </c>
      <c r="M209">
        <v>1.95</v>
      </c>
      <c r="N209">
        <v>28.237032185021715</v>
      </c>
      <c r="O209" t="s">
        <v>592</v>
      </c>
      <c r="P209" t="s">
        <v>745</v>
      </c>
      <c r="Q209" t="s">
        <v>586</v>
      </c>
      <c r="R209" t="s">
        <v>712</v>
      </c>
      <c r="S209" t="s">
        <v>712</v>
      </c>
      <c r="T209">
        <v>82</v>
      </c>
    </row>
    <row r="210" spans="1:20" x14ac:dyDescent="0.25">
      <c r="A210" t="s">
        <v>1161</v>
      </c>
      <c r="B210" t="s">
        <v>140</v>
      </c>
      <c r="C210" t="s">
        <v>607</v>
      </c>
      <c r="D210" t="s">
        <v>875</v>
      </c>
      <c r="E210" t="s">
        <v>1119</v>
      </c>
      <c r="F210">
        <v>3.4890139468440675</v>
      </c>
      <c r="G210">
        <v>44.864821917808229</v>
      </c>
      <c r="H210" t="s">
        <v>802</v>
      </c>
      <c r="I210" t="s">
        <v>1162</v>
      </c>
      <c r="J210">
        <v>5</v>
      </c>
      <c r="K210" t="s">
        <v>1163</v>
      </c>
      <c r="L210">
        <v>1905000</v>
      </c>
      <c r="M210">
        <v>2.33</v>
      </c>
      <c r="N210">
        <v>44.864821917808229</v>
      </c>
      <c r="O210" t="s">
        <v>592</v>
      </c>
      <c r="P210" t="s">
        <v>593</v>
      </c>
      <c r="Q210" t="s">
        <v>586</v>
      </c>
      <c r="R210" t="s">
        <v>712</v>
      </c>
      <c r="S210" t="s">
        <v>878</v>
      </c>
      <c r="T210">
        <v>72</v>
      </c>
    </row>
    <row r="211" spans="1:20" x14ac:dyDescent="0.25">
      <c r="A211" t="s">
        <v>1164</v>
      </c>
      <c r="B211" t="s">
        <v>141</v>
      </c>
      <c r="C211" t="s">
        <v>586</v>
      </c>
      <c r="D211" t="s">
        <v>805</v>
      </c>
      <c r="E211" t="s">
        <v>819</v>
      </c>
      <c r="F211">
        <v>2.7083662307717078</v>
      </c>
      <c r="G211">
        <v>18.961258708679573</v>
      </c>
      <c r="H211" t="s">
        <v>869</v>
      </c>
      <c r="I211" t="s">
        <v>1165</v>
      </c>
      <c r="J211">
        <v>4</v>
      </c>
      <c r="K211" t="s">
        <v>605</v>
      </c>
      <c r="L211">
        <v>240000</v>
      </c>
      <c r="M211">
        <v>1.83</v>
      </c>
      <c r="N211">
        <v>18.961258708679573</v>
      </c>
      <c r="O211" t="s">
        <v>592</v>
      </c>
      <c r="P211" t="s">
        <v>711</v>
      </c>
      <c r="Q211" t="s">
        <v>586</v>
      </c>
      <c r="R211" t="s">
        <v>712</v>
      </c>
      <c r="S211" t="s">
        <v>712</v>
      </c>
      <c r="T211">
        <v>74</v>
      </c>
    </row>
    <row r="212" spans="1:20" x14ac:dyDescent="0.25">
      <c r="A212" t="s">
        <v>1166</v>
      </c>
      <c r="B212" t="s">
        <v>142</v>
      </c>
      <c r="C212" t="s">
        <v>607</v>
      </c>
      <c r="D212" t="s">
        <v>601</v>
      </c>
      <c r="E212" t="s">
        <v>1167</v>
      </c>
      <c r="F212">
        <v>0.7764145514471974</v>
      </c>
      <c r="G212">
        <v>23.820173937998668</v>
      </c>
      <c r="H212" t="s">
        <v>1010</v>
      </c>
      <c r="I212" t="s">
        <v>1137</v>
      </c>
      <c r="J212">
        <v>2</v>
      </c>
      <c r="K212" t="s">
        <v>1168</v>
      </c>
      <c r="L212">
        <v>245000</v>
      </c>
      <c r="M212">
        <v>1.8</v>
      </c>
      <c r="N212">
        <v>23.820173937998668</v>
      </c>
      <c r="O212" t="s">
        <v>592</v>
      </c>
      <c r="P212" t="s">
        <v>711</v>
      </c>
      <c r="Q212" t="s">
        <v>586</v>
      </c>
      <c r="R212" t="s">
        <v>712</v>
      </c>
      <c r="S212" t="s">
        <v>712</v>
      </c>
      <c r="T212">
        <v>86</v>
      </c>
    </row>
    <row r="213" spans="1:20" x14ac:dyDescent="0.25">
      <c r="A213" t="s">
        <v>1169</v>
      </c>
      <c r="B213" t="s">
        <v>143</v>
      </c>
      <c r="C213" t="s">
        <v>586</v>
      </c>
      <c r="D213" t="s">
        <v>741</v>
      </c>
      <c r="E213" t="s">
        <v>1052</v>
      </c>
      <c r="F213">
        <v>0.56813571336938129</v>
      </c>
      <c r="G213">
        <v>16.000038502383607</v>
      </c>
      <c r="H213" t="s">
        <v>1092</v>
      </c>
      <c r="I213" t="s">
        <v>721</v>
      </c>
      <c r="J213">
        <v>3</v>
      </c>
      <c r="K213" t="s">
        <v>744</v>
      </c>
      <c r="L213">
        <v>120000</v>
      </c>
      <c r="M213">
        <v>1.6500000000000001</v>
      </c>
      <c r="N213">
        <v>16.000038502383607</v>
      </c>
      <c r="O213" t="s">
        <v>592</v>
      </c>
      <c r="P213" t="s">
        <v>745</v>
      </c>
      <c r="Q213" t="s">
        <v>586</v>
      </c>
      <c r="R213">
        <v>50000</v>
      </c>
      <c r="S213" t="s">
        <v>712</v>
      </c>
      <c r="T213">
        <v>87</v>
      </c>
    </row>
    <row r="214" spans="1:20" x14ac:dyDescent="0.25">
      <c r="A214" t="s">
        <v>1170</v>
      </c>
      <c r="B214" t="s">
        <v>143</v>
      </c>
      <c r="C214" t="s">
        <v>586</v>
      </c>
      <c r="D214" t="s">
        <v>741</v>
      </c>
      <c r="E214" t="s">
        <v>1052</v>
      </c>
      <c r="F214">
        <v>1.5243039398470859</v>
      </c>
      <c r="G214">
        <v>14.585989157542233</v>
      </c>
      <c r="H214" t="s">
        <v>1092</v>
      </c>
      <c r="I214" t="s">
        <v>721</v>
      </c>
      <c r="J214">
        <v>3</v>
      </c>
      <c r="K214" t="s">
        <v>634</v>
      </c>
      <c r="L214">
        <v>120000</v>
      </c>
      <c r="M214">
        <v>1.8</v>
      </c>
      <c r="N214">
        <v>14.585989157542233</v>
      </c>
      <c r="O214" t="s">
        <v>592</v>
      </c>
      <c r="P214" t="s">
        <v>745</v>
      </c>
      <c r="Q214" t="s">
        <v>586</v>
      </c>
      <c r="R214" t="s">
        <v>712</v>
      </c>
      <c r="S214" t="s">
        <v>712</v>
      </c>
      <c r="T214">
        <v>85</v>
      </c>
    </row>
    <row r="215" spans="1:20" x14ac:dyDescent="0.25">
      <c r="A215" t="s">
        <v>1171</v>
      </c>
      <c r="B215" t="s">
        <v>74</v>
      </c>
      <c r="C215" t="s">
        <v>586</v>
      </c>
      <c r="D215" t="s">
        <v>805</v>
      </c>
      <c r="E215" t="s">
        <v>883</v>
      </c>
      <c r="F215">
        <v>2.7090989294610841</v>
      </c>
      <c r="G215">
        <v>-4.487773769751624</v>
      </c>
      <c r="H215" t="s">
        <v>884</v>
      </c>
      <c r="I215" t="s">
        <v>885</v>
      </c>
      <c r="J215">
        <v>4</v>
      </c>
      <c r="K215" t="s">
        <v>605</v>
      </c>
      <c r="L215">
        <v>715000</v>
      </c>
      <c r="M215">
        <v>1.6</v>
      </c>
      <c r="N215">
        <v>-4.487773769751624</v>
      </c>
      <c r="O215" t="s">
        <v>592</v>
      </c>
      <c r="P215" t="s">
        <v>711</v>
      </c>
      <c r="Q215" t="s">
        <v>586</v>
      </c>
      <c r="R215" t="s">
        <v>712</v>
      </c>
      <c r="S215" t="s">
        <v>712</v>
      </c>
      <c r="T215">
        <v>80</v>
      </c>
    </row>
    <row r="216" spans="1:20" x14ac:dyDescent="0.25">
      <c r="A216" t="s">
        <v>1172</v>
      </c>
      <c r="B216" t="s">
        <v>34</v>
      </c>
      <c r="C216" t="s">
        <v>586</v>
      </c>
      <c r="D216" t="s">
        <v>587</v>
      </c>
      <c r="E216" t="s">
        <v>675</v>
      </c>
      <c r="F216">
        <v>3.7462884440530764</v>
      </c>
      <c r="G216">
        <v>8.1322886941561201</v>
      </c>
      <c r="H216" t="s">
        <v>676</v>
      </c>
      <c r="I216" t="s">
        <v>650</v>
      </c>
      <c r="J216">
        <v>5</v>
      </c>
      <c r="K216" t="s">
        <v>629</v>
      </c>
      <c r="L216">
        <v>1965000</v>
      </c>
      <c r="M216">
        <v>1.9100000000000001</v>
      </c>
      <c r="N216">
        <v>8.1322886941561201</v>
      </c>
      <c r="O216" t="s">
        <v>592</v>
      </c>
      <c r="P216" t="s">
        <v>593</v>
      </c>
      <c r="Q216" t="s">
        <v>586</v>
      </c>
      <c r="R216">
        <v>25000</v>
      </c>
      <c r="S216" t="s">
        <v>652</v>
      </c>
      <c r="T216">
        <v>61</v>
      </c>
    </row>
    <row r="217" spans="1:20" x14ac:dyDescent="0.25">
      <c r="A217" t="s">
        <v>1173</v>
      </c>
      <c r="B217" t="s">
        <v>144</v>
      </c>
      <c r="C217" t="s">
        <v>586</v>
      </c>
      <c r="D217" t="s">
        <v>654</v>
      </c>
      <c r="E217" t="s">
        <v>766</v>
      </c>
      <c r="F217">
        <v>4.393488644873611</v>
      </c>
      <c r="G217">
        <v>13.330360811245834</v>
      </c>
      <c r="H217" t="s">
        <v>767</v>
      </c>
      <c r="I217" t="s">
        <v>611</v>
      </c>
      <c r="J217">
        <v>5</v>
      </c>
      <c r="K217" t="s">
        <v>1174</v>
      </c>
      <c r="L217">
        <v>1915000</v>
      </c>
      <c r="M217">
        <v>2.2800000000000002</v>
      </c>
      <c r="N217">
        <v>13.330360811245834</v>
      </c>
      <c r="O217" t="s">
        <v>592</v>
      </c>
      <c r="P217" t="s">
        <v>593</v>
      </c>
      <c r="Q217" t="s">
        <v>586</v>
      </c>
      <c r="R217">
        <v>50000</v>
      </c>
      <c r="S217" t="s">
        <v>652</v>
      </c>
      <c r="T217">
        <v>66</v>
      </c>
    </row>
    <row r="218" spans="1:20" x14ac:dyDescent="0.25">
      <c r="A218" t="s">
        <v>1175</v>
      </c>
      <c r="B218" t="s">
        <v>94</v>
      </c>
      <c r="C218" t="s">
        <v>586</v>
      </c>
      <c r="D218" t="s">
        <v>608</v>
      </c>
      <c r="E218" t="s">
        <v>977</v>
      </c>
      <c r="F218">
        <v>4.4170661947986511</v>
      </c>
      <c r="G218">
        <v>20.808408219178066</v>
      </c>
      <c r="H218" t="s">
        <v>757</v>
      </c>
      <c r="I218" t="s">
        <v>611</v>
      </c>
      <c r="J218">
        <v>5</v>
      </c>
      <c r="K218" t="s">
        <v>1176</v>
      </c>
      <c r="L218">
        <v>1005000</v>
      </c>
      <c r="M218">
        <v>2.13</v>
      </c>
      <c r="N218">
        <v>20.808408219178066</v>
      </c>
      <c r="O218" t="s">
        <v>592</v>
      </c>
      <c r="P218" t="s">
        <v>621</v>
      </c>
      <c r="Q218" t="s">
        <v>586</v>
      </c>
      <c r="R218">
        <v>30000</v>
      </c>
      <c r="S218" t="s">
        <v>712</v>
      </c>
      <c r="T218">
        <v>62</v>
      </c>
    </row>
    <row r="219" spans="1:20" x14ac:dyDescent="0.25">
      <c r="A219" t="s">
        <v>1177</v>
      </c>
      <c r="B219" t="s">
        <v>79</v>
      </c>
      <c r="C219" t="s">
        <v>607</v>
      </c>
      <c r="D219" t="s">
        <v>875</v>
      </c>
      <c r="E219" t="s">
        <v>904</v>
      </c>
      <c r="F219">
        <v>0.65190102851709875</v>
      </c>
      <c r="G219">
        <v>42.347262489633209</v>
      </c>
      <c r="H219" t="s">
        <v>743</v>
      </c>
      <c r="I219" t="s">
        <v>611</v>
      </c>
      <c r="J219">
        <v>3</v>
      </c>
      <c r="K219" t="s">
        <v>787</v>
      </c>
      <c r="L219">
        <v>315000</v>
      </c>
      <c r="M219">
        <v>2.14</v>
      </c>
      <c r="N219">
        <v>42.347262489633209</v>
      </c>
      <c r="O219" t="s">
        <v>592</v>
      </c>
      <c r="P219" t="s">
        <v>711</v>
      </c>
      <c r="Q219" t="s">
        <v>586</v>
      </c>
      <c r="R219" t="s">
        <v>712</v>
      </c>
      <c r="S219" t="s">
        <v>712</v>
      </c>
      <c r="T219">
        <v>97</v>
      </c>
    </row>
    <row r="220" spans="1:20" x14ac:dyDescent="0.25">
      <c r="A220" t="s">
        <v>1178</v>
      </c>
      <c r="B220" t="s">
        <v>145</v>
      </c>
      <c r="C220" t="s">
        <v>586</v>
      </c>
      <c r="D220" t="s">
        <v>1179</v>
      </c>
      <c r="E220" t="s">
        <v>1180</v>
      </c>
      <c r="F220">
        <v>1.5242117892879097</v>
      </c>
      <c r="G220">
        <v>4.1214952864925269</v>
      </c>
      <c r="H220" t="s">
        <v>743</v>
      </c>
      <c r="I220" t="s">
        <v>721</v>
      </c>
      <c r="J220">
        <v>3</v>
      </c>
      <c r="K220" t="s">
        <v>634</v>
      </c>
      <c r="L220">
        <v>300000</v>
      </c>
      <c r="M220">
        <v>2.1</v>
      </c>
      <c r="N220">
        <v>4.1214952864925269</v>
      </c>
      <c r="O220" t="s">
        <v>592</v>
      </c>
      <c r="P220" t="s">
        <v>711</v>
      </c>
      <c r="Q220" t="s">
        <v>586</v>
      </c>
      <c r="R220" t="s">
        <v>712</v>
      </c>
      <c r="S220" t="s">
        <v>712</v>
      </c>
      <c r="T220">
        <v>82</v>
      </c>
    </row>
    <row r="221" spans="1:20" x14ac:dyDescent="0.25">
      <c r="A221" t="s">
        <v>1181</v>
      </c>
      <c r="B221" t="s">
        <v>100</v>
      </c>
      <c r="C221" t="s">
        <v>586</v>
      </c>
      <c r="D221" t="s">
        <v>608</v>
      </c>
      <c r="E221" t="s">
        <v>671</v>
      </c>
      <c r="F221">
        <v>1.4551157198823086</v>
      </c>
      <c r="G221">
        <v>10.30984215643076</v>
      </c>
      <c r="H221" t="s">
        <v>1004</v>
      </c>
      <c r="I221" t="s">
        <v>619</v>
      </c>
      <c r="J221">
        <v>5</v>
      </c>
      <c r="K221" t="s">
        <v>1001</v>
      </c>
      <c r="L221">
        <v>3610000</v>
      </c>
      <c r="M221">
        <v>1.62</v>
      </c>
      <c r="N221">
        <v>10.30984215643076</v>
      </c>
      <c r="O221" t="s">
        <v>592</v>
      </c>
      <c r="P221" t="s">
        <v>621</v>
      </c>
      <c r="Q221" t="s">
        <v>586</v>
      </c>
      <c r="R221">
        <v>75000</v>
      </c>
      <c r="S221" t="s">
        <v>635</v>
      </c>
      <c r="T221">
        <v>92</v>
      </c>
    </row>
    <row r="222" spans="1:20" x14ac:dyDescent="0.25">
      <c r="A222" t="s">
        <v>1182</v>
      </c>
      <c r="B222" t="s">
        <v>106</v>
      </c>
      <c r="C222" t="s">
        <v>607</v>
      </c>
      <c r="D222" t="s">
        <v>587</v>
      </c>
      <c r="E222" t="s">
        <v>1036</v>
      </c>
      <c r="F222">
        <v>0.56531889026263893</v>
      </c>
      <c r="G222">
        <v>6.0409163514228759</v>
      </c>
      <c r="H222" t="s">
        <v>697</v>
      </c>
      <c r="I222" t="s">
        <v>1037</v>
      </c>
      <c r="J222">
        <v>5</v>
      </c>
      <c r="K222" t="s">
        <v>744</v>
      </c>
      <c r="L222">
        <v>125000</v>
      </c>
      <c r="M222">
        <v>1.86</v>
      </c>
      <c r="N222" t="s">
        <v>712</v>
      </c>
      <c r="O222" t="s">
        <v>592</v>
      </c>
      <c r="P222" t="s">
        <v>593</v>
      </c>
      <c r="Q222" t="s">
        <v>586</v>
      </c>
      <c r="R222">
        <v>45000</v>
      </c>
      <c r="S222" t="s">
        <v>712</v>
      </c>
      <c r="T222">
        <v>99</v>
      </c>
    </row>
    <row r="223" spans="1:20" x14ac:dyDescent="0.25">
      <c r="A223" t="s">
        <v>1183</v>
      </c>
      <c r="B223" t="s">
        <v>104</v>
      </c>
      <c r="C223" t="s">
        <v>586</v>
      </c>
      <c r="D223" t="s">
        <v>1028</v>
      </c>
      <c r="E223" t="s">
        <v>1029</v>
      </c>
      <c r="F223">
        <v>2.9039075552717479</v>
      </c>
      <c r="G223">
        <v>13.535091837803037</v>
      </c>
      <c r="H223" t="s">
        <v>1030</v>
      </c>
      <c r="I223" t="s">
        <v>611</v>
      </c>
      <c r="J223">
        <v>5</v>
      </c>
      <c r="K223" t="s">
        <v>727</v>
      </c>
      <c r="L223">
        <v>5275000</v>
      </c>
      <c r="M223">
        <v>2.3199999999999998</v>
      </c>
      <c r="N223">
        <v>13.535091837803037</v>
      </c>
      <c r="O223" t="s">
        <v>592</v>
      </c>
      <c r="P223" t="s">
        <v>593</v>
      </c>
      <c r="Q223" t="s">
        <v>586</v>
      </c>
      <c r="R223">
        <v>50000</v>
      </c>
      <c r="S223" t="s">
        <v>652</v>
      </c>
      <c r="T223">
        <v>82</v>
      </c>
    </row>
    <row r="224" spans="1:20" x14ac:dyDescent="0.25">
      <c r="A224" t="s">
        <v>1184</v>
      </c>
      <c r="B224" t="s">
        <v>146</v>
      </c>
      <c r="C224" t="s">
        <v>607</v>
      </c>
      <c r="D224" t="s">
        <v>608</v>
      </c>
      <c r="E224" t="s">
        <v>1032</v>
      </c>
      <c r="F224">
        <v>8.0490304674271373E-2</v>
      </c>
      <c r="G224">
        <v>75.755756968035655</v>
      </c>
      <c r="H224" t="s">
        <v>1000</v>
      </c>
      <c r="I224" t="s">
        <v>1034</v>
      </c>
      <c r="J224">
        <v>2</v>
      </c>
      <c r="K224" t="s">
        <v>950</v>
      </c>
      <c r="L224">
        <v>500000</v>
      </c>
      <c r="M224">
        <v>2.0499999999999998</v>
      </c>
      <c r="N224">
        <v>75.755756968035655</v>
      </c>
      <c r="O224" t="s">
        <v>592</v>
      </c>
      <c r="P224" t="s">
        <v>621</v>
      </c>
      <c r="Q224" t="s">
        <v>586</v>
      </c>
      <c r="R224" t="s">
        <v>712</v>
      </c>
      <c r="S224" t="s">
        <v>878</v>
      </c>
      <c r="T224">
        <v>99</v>
      </c>
    </row>
    <row r="225" spans="1:20" x14ac:dyDescent="0.25">
      <c r="A225" t="s">
        <v>1185</v>
      </c>
      <c r="B225" t="s">
        <v>28</v>
      </c>
      <c r="C225" t="s">
        <v>586</v>
      </c>
      <c r="D225" t="s">
        <v>642</v>
      </c>
      <c r="E225" t="s">
        <v>643</v>
      </c>
      <c r="F225">
        <v>4.480411352166052</v>
      </c>
      <c r="G225">
        <v>16.243797260273986</v>
      </c>
      <c r="H225" t="s">
        <v>644</v>
      </c>
      <c r="I225" t="s">
        <v>645</v>
      </c>
      <c r="J225">
        <v>5</v>
      </c>
      <c r="K225" t="s">
        <v>1023</v>
      </c>
      <c r="L225">
        <v>28100000</v>
      </c>
      <c r="M225">
        <v>2.2800000000000002</v>
      </c>
      <c r="N225">
        <v>16.243797260273986</v>
      </c>
      <c r="O225" t="s">
        <v>592</v>
      </c>
      <c r="P225" t="s">
        <v>593</v>
      </c>
      <c r="Q225" t="s">
        <v>586</v>
      </c>
      <c r="R225">
        <v>50000</v>
      </c>
      <c r="S225" t="s">
        <v>599</v>
      </c>
      <c r="T225">
        <v>71</v>
      </c>
    </row>
    <row r="226" spans="1:20" x14ac:dyDescent="0.25">
      <c r="A226" t="s">
        <v>1186</v>
      </c>
      <c r="B226" t="s">
        <v>135</v>
      </c>
      <c r="C226" t="s">
        <v>586</v>
      </c>
      <c r="D226" t="s">
        <v>1139</v>
      </c>
      <c r="E226" t="s">
        <v>1146</v>
      </c>
      <c r="F226">
        <v>0.49449559867379683</v>
      </c>
      <c r="G226">
        <v>70.671697046741457</v>
      </c>
      <c r="H226" t="s">
        <v>913</v>
      </c>
      <c r="I226" t="s">
        <v>716</v>
      </c>
      <c r="J226">
        <v>4</v>
      </c>
      <c r="K226" t="s">
        <v>807</v>
      </c>
      <c r="L226">
        <v>205000</v>
      </c>
      <c r="M226">
        <v>2</v>
      </c>
      <c r="N226">
        <v>70.671697046741457</v>
      </c>
      <c r="O226" t="s">
        <v>592</v>
      </c>
      <c r="P226" t="s">
        <v>593</v>
      </c>
      <c r="Q226" t="s">
        <v>586</v>
      </c>
      <c r="R226">
        <v>45000</v>
      </c>
      <c r="S226" t="s">
        <v>712</v>
      </c>
      <c r="T226">
        <v>90</v>
      </c>
    </row>
    <row r="227" spans="1:20" x14ac:dyDescent="0.25">
      <c r="A227" t="s">
        <v>1187</v>
      </c>
      <c r="B227" t="s">
        <v>147</v>
      </c>
      <c r="C227" t="s">
        <v>586</v>
      </c>
      <c r="D227" t="s">
        <v>795</v>
      </c>
      <c r="E227" t="s">
        <v>1130</v>
      </c>
      <c r="F227">
        <v>2.2809819968414242</v>
      </c>
      <c r="G227">
        <v>6.1720958904109668</v>
      </c>
      <c r="H227" t="s">
        <v>842</v>
      </c>
      <c r="I227" t="s">
        <v>661</v>
      </c>
      <c r="J227">
        <v>5</v>
      </c>
      <c r="K227" t="s">
        <v>747</v>
      </c>
      <c r="L227">
        <v>685000</v>
      </c>
      <c r="M227">
        <v>1.75</v>
      </c>
      <c r="N227">
        <v>6.1720958904109668</v>
      </c>
      <c r="O227" t="s">
        <v>592</v>
      </c>
      <c r="P227" t="s">
        <v>593</v>
      </c>
      <c r="Q227" t="s">
        <v>586</v>
      </c>
      <c r="R227">
        <v>25000</v>
      </c>
      <c r="S227" t="s">
        <v>599</v>
      </c>
      <c r="T227">
        <v>83</v>
      </c>
    </row>
    <row r="228" spans="1:20" x14ac:dyDescent="0.25">
      <c r="A228" t="s">
        <v>1188</v>
      </c>
      <c r="B228" t="s">
        <v>148</v>
      </c>
      <c r="C228" t="s">
        <v>607</v>
      </c>
      <c r="D228" t="s">
        <v>707</v>
      </c>
      <c r="E228" t="s">
        <v>1189</v>
      </c>
      <c r="F228">
        <v>0.32946288616152014</v>
      </c>
      <c r="G228">
        <v>27.578589041095892</v>
      </c>
      <c r="H228" t="s">
        <v>1190</v>
      </c>
      <c r="I228" t="s">
        <v>820</v>
      </c>
      <c r="J228">
        <v>2</v>
      </c>
      <c r="K228" t="s">
        <v>710</v>
      </c>
      <c r="L228">
        <v>135000</v>
      </c>
      <c r="M228">
        <v>1.6400000000000001</v>
      </c>
      <c r="N228">
        <v>27.578589041095892</v>
      </c>
      <c r="O228" t="s">
        <v>592</v>
      </c>
      <c r="P228" t="s">
        <v>711</v>
      </c>
      <c r="Q228" t="s">
        <v>586</v>
      </c>
      <c r="R228" t="s">
        <v>712</v>
      </c>
      <c r="S228" t="s">
        <v>878</v>
      </c>
      <c r="T228">
        <v>91</v>
      </c>
    </row>
    <row r="229" spans="1:20" x14ac:dyDescent="0.25">
      <c r="A229" t="s">
        <v>1191</v>
      </c>
      <c r="B229" t="s">
        <v>47</v>
      </c>
      <c r="C229" t="s">
        <v>586</v>
      </c>
      <c r="D229" t="s">
        <v>654</v>
      </c>
      <c r="E229" t="s">
        <v>766</v>
      </c>
      <c r="F229">
        <v>3.6867851476728362</v>
      </c>
      <c r="G229">
        <v>18.211385058916505</v>
      </c>
      <c r="H229" t="s">
        <v>767</v>
      </c>
      <c r="I229" t="s">
        <v>768</v>
      </c>
      <c r="J229">
        <v>3</v>
      </c>
      <c r="K229" t="s">
        <v>753</v>
      </c>
      <c r="L229">
        <v>2700000</v>
      </c>
      <c r="M229">
        <v>2.25</v>
      </c>
      <c r="N229">
        <v>18.211385058916505</v>
      </c>
      <c r="O229" t="s">
        <v>592</v>
      </c>
      <c r="P229" t="s">
        <v>593</v>
      </c>
      <c r="Q229" t="s">
        <v>586</v>
      </c>
      <c r="R229">
        <v>200000</v>
      </c>
      <c r="S229" t="s">
        <v>594</v>
      </c>
      <c r="T229">
        <v>62</v>
      </c>
    </row>
    <row r="230" spans="1:20" x14ac:dyDescent="0.25">
      <c r="A230" t="s">
        <v>1192</v>
      </c>
      <c r="B230" t="s">
        <v>149</v>
      </c>
      <c r="C230" t="s">
        <v>607</v>
      </c>
      <c r="D230" t="s">
        <v>608</v>
      </c>
      <c r="E230" t="s">
        <v>1142</v>
      </c>
      <c r="F230">
        <v>2.0076600907749658</v>
      </c>
      <c r="G230">
        <v>52.21476712328765</v>
      </c>
      <c r="H230" t="s">
        <v>1033</v>
      </c>
      <c r="I230" t="s">
        <v>885</v>
      </c>
      <c r="J230">
        <v>2</v>
      </c>
      <c r="K230" t="s">
        <v>956</v>
      </c>
      <c r="L230">
        <v>300000</v>
      </c>
      <c r="M230">
        <v>2.15</v>
      </c>
      <c r="N230">
        <v>52.21476712328765</v>
      </c>
      <c r="O230" t="s">
        <v>592</v>
      </c>
      <c r="P230" t="s">
        <v>613</v>
      </c>
      <c r="Q230" t="s">
        <v>586</v>
      </c>
      <c r="R230" t="s">
        <v>712</v>
      </c>
      <c r="S230" t="s">
        <v>614</v>
      </c>
      <c r="T230">
        <v>69</v>
      </c>
    </row>
    <row r="231" spans="1:20" x14ac:dyDescent="0.25">
      <c r="A231" t="s">
        <v>1193</v>
      </c>
      <c r="B231" t="s">
        <v>150</v>
      </c>
      <c r="C231" t="s">
        <v>607</v>
      </c>
      <c r="D231" t="s">
        <v>741</v>
      </c>
      <c r="E231" t="s">
        <v>1194</v>
      </c>
      <c r="F231">
        <v>0.32928582620410685</v>
      </c>
      <c r="G231">
        <v>36.34418020051131</v>
      </c>
      <c r="H231" t="s">
        <v>1195</v>
      </c>
      <c r="I231" t="s">
        <v>661</v>
      </c>
      <c r="J231">
        <v>2</v>
      </c>
      <c r="K231" t="s">
        <v>710</v>
      </c>
      <c r="L231">
        <v>50000</v>
      </c>
      <c r="M231">
        <v>1.6</v>
      </c>
      <c r="N231">
        <v>36.34418020051131</v>
      </c>
      <c r="O231" t="s">
        <v>592</v>
      </c>
      <c r="P231" t="s">
        <v>627</v>
      </c>
      <c r="Q231" t="s">
        <v>586</v>
      </c>
      <c r="R231" t="s">
        <v>712</v>
      </c>
      <c r="S231" t="s">
        <v>712</v>
      </c>
      <c r="T231">
        <v>96</v>
      </c>
    </row>
    <row r="232" spans="1:20" x14ac:dyDescent="0.25">
      <c r="A232" t="s">
        <v>1196</v>
      </c>
      <c r="B232" t="s">
        <v>22</v>
      </c>
      <c r="C232" t="s">
        <v>586</v>
      </c>
      <c r="D232" t="s">
        <v>601</v>
      </c>
      <c r="E232" t="s">
        <v>602</v>
      </c>
      <c r="F232">
        <v>0.85245325660630777</v>
      </c>
      <c r="G232">
        <v>2.1455890410958967</v>
      </c>
      <c r="H232" t="s">
        <v>644</v>
      </c>
      <c r="I232" t="s">
        <v>703</v>
      </c>
      <c r="J232">
        <v>5</v>
      </c>
      <c r="K232" t="s">
        <v>821</v>
      </c>
      <c r="L232">
        <v>6540000</v>
      </c>
      <c r="M232">
        <v>1.8</v>
      </c>
      <c r="N232">
        <v>2.1455890410958967</v>
      </c>
      <c r="O232" t="s">
        <v>592</v>
      </c>
      <c r="P232" t="s">
        <v>593</v>
      </c>
      <c r="Q232" t="s">
        <v>586</v>
      </c>
      <c r="R232">
        <v>30000</v>
      </c>
      <c r="S232" t="s">
        <v>599</v>
      </c>
      <c r="T232">
        <v>95</v>
      </c>
    </row>
    <row r="233" spans="1:20" x14ac:dyDescent="0.25">
      <c r="A233" t="s">
        <v>1197</v>
      </c>
      <c r="B233" t="s">
        <v>50</v>
      </c>
      <c r="C233" t="s">
        <v>586</v>
      </c>
      <c r="D233" t="s">
        <v>587</v>
      </c>
      <c r="E233" t="s">
        <v>778</v>
      </c>
      <c r="F233">
        <v>2.3618069671627158</v>
      </c>
      <c r="G233">
        <v>7.2795564824961634</v>
      </c>
      <c r="H233" t="s">
        <v>779</v>
      </c>
      <c r="I233" t="s">
        <v>733</v>
      </c>
      <c r="J233">
        <v>5</v>
      </c>
      <c r="K233" t="s">
        <v>1013</v>
      </c>
      <c r="L233">
        <v>4295000</v>
      </c>
      <c r="M233">
        <v>2.12</v>
      </c>
      <c r="N233">
        <v>7.2795564824961634</v>
      </c>
      <c r="O233" t="s">
        <v>592</v>
      </c>
      <c r="P233" t="s">
        <v>593</v>
      </c>
      <c r="Q233" t="s">
        <v>586</v>
      </c>
      <c r="R233">
        <v>30000</v>
      </c>
      <c r="S233" t="s">
        <v>652</v>
      </c>
      <c r="T233">
        <v>76</v>
      </c>
    </row>
    <row r="234" spans="1:20" x14ac:dyDescent="0.25">
      <c r="A234" t="s">
        <v>1198</v>
      </c>
      <c r="B234" t="s">
        <v>151</v>
      </c>
      <c r="C234" t="s">
        <v>586</v>
      </c>
      <c r="D234" t="s">
        <v>608</v>
      </c>
      <c r="E234" t="s">
        <v>1199</v>
      </c>
      <c r="F234">
        <v>2.8482332942572519</v>
      </c>
      <c r="G234">
        <v>104.2173424657534</v>
      </c>
      <c r="H234" t="s">
        <v>1045</v>
      </c>
      <c r="I234" t="s">
        <v>885</v>
      </c>
      <c r="J234">
        <v>3</v>
      </c>
      <c r="K234" t="s">
        <v>978</v>
      </c>
      <c r="L234">
        <v>330000</v>
      </c>
      <c r="M234">
        <v>2.8000000000000003</v>
      </c>
      <c r="N234">
        <v>104.2173424657534</v>
      </c>
      <c r="O234" t="s">
        <v>592</v>
      </c>
      <c r="P234" t="s">
        <v>613</v>
      </c>
      <c r="Q234" t="s">
        <v>586</v>
      </c>
      <c r="R234" t="s">
        <v>712</v>
      </c>
      <c r="S234" t="s">
        <v>712</v>
      </c>
      <c r="T234">
        <v>59</v>
      </c>
    </row>
    <row r="235" spans="1:20" x14ac:dyDescent="0.25">
      <c r="A235" t="s">
        <v>1200</v>
      </c>
      <c r="B235" t="s">
        <v>49</v>
      </c>
      <c r="C235" t="s">
        <v>586</v>
      </c>
      <c r="D235" t="s">
        <v>601</v>
      </c>
      <c r="E235" t="s">
        <v>773</v>
      </c>
      <c r="F235">
        <v>2.0332867223799416</v>
      </c>
      <c r="G235">
        <v>0.12113591130900048</v>
      </c>
      <c r="H235" t="s">
        <v>774</v>
      </c>
      <c r="I235" t="s">
        <v>1011</v>
      </c>
      <c r="J235">
        <v>3</v>
      </c>
      <c r="K235" t="s">
        <v>776</v>
      </c>
      <c r="L235">
        <v>125000</v>
      </c>
      <c r="M235">
        <v>1.5</v>
      </c>
      <c r="N235">
        <v>0.12113591130900048</v>
      </c>
      <c r="O235" t="s">
        <v>592</v>
      </c>
      <c r="P235" t="s">
        <v>593</v>
      </c>
      <c r="Q235" t="s">
        <v>586</v>
      </c>
      <c r="R235" t="s">
        <v>712</v>
      </c>
      <c r="S235" t="s">
        <v>712</v>
      </c>
      <c r="T235">
        <v>76</v>
      </c>
    </row>
    <row r="236" spans="1:20" x14ac:dyDescent="0.25">
      <c r="A236" t="s">
        <v>1201</v>
      </c>
      <c r="B236" t="s">
        <v>152</v>
      </c>
      <c r="C236" t="s">
        <v>586</v>
      </c>
      <c r="D236" t="s">
        <v>601</v>
      </c>
      <c r="E236" t="s">
        <v>924</v>
      </c>
      <c r="F236">
        <v>1.0563074385580682</v>
      </c>
      <c r="G236">
        <v>-1.6977816154248204</v>
      </c>
      <c r="H236" t="s">
        <v>1041</v>
      </c>
      <c r="I236" t="s">
        <v>1202</v>
      </c>
      <c r="J236">
        <v>2</v>
      </c>
      <c r="K236" t="s">
        <v>612</v>
      </c>
      <c r="L236">
        <v>380000</v>
      </c>
      <c r="M236">
        <v>1.75</v>
      </c>
      <c r="N236">
        <v>-1.6977816154248204</v>
      </c>
      <c r="O236" t="s">
        <v>592</v>
      </c>
      <c r="P236" t="s">
        <v>711</v>
      </c>
      <c r="Q236" t="s">
        <v>586</v>
      </c>
      <c r="R236" t="s">
        <v>712</v>
      </c>
      <c r="S236" t="s">
        <v>712</v>
      </c>
      <c r="T236">
        <v>72</v>
      </c>
    </row>
    <row r="237" spans="1:20" x14ac:dyDescent="0.25">
      <c r="A237" t="s">
        <v>1203</v>
      </c>
      <c r="B237" t="s">
        <v>153</v>
      </c>
      <c r="C237" t="s">
        <v>586</v>
      </c>
      <c r="D237" t="s">
        <v>608</v>
      </c>
      <c r="E237" t="s">
        <v>1204</v>
      </c>
      <c r="F237">
        <v>0.56522696686830409</v>
      </c>
      <c r="G237">
        <v>34.610906849315072</v>
      </c>
      <c r="H237" t="s">
        <v>963</v>
      </c>
      <c r="I237" t="s">
        <v>611</v>
      </c>
      <c r="J237">
        <v>5</v>
      </c>
      <c r="K237" t="s">
        <v>744</v>
      </c>
      <c r="L237">
        <v>340000</v>
      </c>
      <c r="M237">
        <v>1.83</v>
      </c>
      <c r="N237">
        <v>34.610906849315072</v>
      </c>
      <c r="O237" t="s">
        <v>592</v>
      </c>
      <c r="P237" t="s">
        <v>621</v>
      </c>
      <c r="Q237" t="s">
        <v>586</v>
      </c>
      <c r="R237" t="s">
        <v>712</v>
      </c>
      <c r="S237" t="s">
        <v>594</v>
      </c>
      <c r="T237">
        <v>93</v>
      </c>
    </row>
    <row r="238" spans="1:20" x14ac:dyDescent="0.25">
      <c r="A238" t="s">
        <v>1205</v>
      </c>
      <c r="B238" t="s">
        <v>57</v>
      </c>
      <c r="C238" t="s">
        <v>586</v>
      </c>
      <c r="D238" t="s">
        <v>805</v>
      </c>
      <c r="E238" t="s">
        <v>806</v>
      </c>
      <c r="F238">
        <v>1.449085431567531</v>
      </c>
      <c r="G238">
        <v>5.1937975455824237</v>
      </c>
      <c r="H238" t="s">
        <v>603</v>
      </c>
      <c r="I238" t="s">
        <v>625</v>
      </c>
      <c r="J238">
        <v>5</v>
      </c>
      <c r="K238" t="s">
        <v>780</v>
      </c>
      <c r="L238">
        <v>7950000</v>
      </c>
      <c r="M238">
        <v>1.8800000000000001</v>
      </c>
      <c r="N238">
        <v>5.1937975455824237</v>
      </c>
      <c r="O238" t="s">
        <v>592</v>
      </c>
      <c r="P238" t="s">
        <v>593</v>
      </c>
      <c r="Q238" t="s">
        <v>586</v>
      </c>
      <c r="R238">
        <v>10000</v>
      </c>
      <c r="S238" t="s">
        <v>599</v>
      </c>
      <c r="T238">
        <v>91</v>
      </c>
    </row>
    <row r="239" spans="1:20" x14ac:dyDescent="0.25">
      <c r="A239" t="s">
        <v>1206</v>
      </c>
      <c r="B239" t="s">
        <v>31</v>
      </c>
      <c r="C239" t="s">
        <v>586</v>
      </c>
      <c r="D239" t="s">
        <v>608</v>
      </c>
      <c r="E239" t="s">
        <v>609</v>
      </c>
      <c r="F239">
        <v>2.9400435926511488</v>
      </c>
      <c r="G239">
        <v>16.661079452054793</v>
      </c>
      <c r="H239" t="s">
        <v>660</v>
      </c>
      <c r="I239" t="s">
        <v>661</v>
      </c>
      <c r="J239">
        <v>5</v>
      </c>
      <c r="K239" t="s">
        <v>1207</v>
      </c>
      <c r="L239">
        <v>11325000</v>
      </c>
      <c r="M239">
        <v>1.86</v>
      </c>
      <c r="N239">
        <v>16.661079452054793</v>
      </c>
      <c r="O239" t="s">
        <v>592</v>
      </c>
      <c r="P239" t="s">
        <v>621</v>
      </c>
      <c r="Q239" t="s">
        <v>586</v>
      </c>
      <c r="R239">
        <v>20000</v>
      </c>
      <c r="S239" t="s">
        <v>599</v>
      </c>
      <c r="T239">
        <v>81</v>
      </c>
    </row>
    <row r="240" spans="1:20" x14ac:dyDescent="0.25">
      <c r="A240" t="s">
        <v>1208</v>
      </c>
      <c r="B240" t="s">
        <v>55</v>
      </c>
      <c r="C240" t="s">
        <v>586</v>
      </c>
      <c r="D240" t="s">
        <v>795</v>
      </c>
      <c r="E240" t="s">
        <v>796</v>
      </c>
      <c r="F240">
        <v>3.7314183864544037</v>
      </c>
      <c r="G240">
        <v>21.362465012243259</v>
      </c>
      <c r="H240" t="s">
        <v>720</v>
      </c>
      <c r="I240" t="s">
        <v>611</v>
      </c>
      <c r="J240">
        <v>5</v>
      </c>
      <c r="K240" t="s">
        <v>629</v>
      </c>
      <c r="L240">
        <v>3150000</v>
      </c>
      <c r="M240">
        <v>2.27</v>
      </c>
      <c r="N240">
        <v>21.362465012243259</v>
      </c>
      <c r="O240" t="s">
        <v>592</v>
      </c>
      <c r="P240" t="s">
        <v>593</v>
      </c>
      <c r="Q240" t="s">
        <v>586</v>
      </c>
      <c r="R240">
        <v>30000</v>
      </c>
      <c r="S240" t="s">
        <v>712</v>
      </c>
      <c r="T240">
        <v>63</v>
      </c>
    </row>
    <row r="241" spans="1:20" x14ac:dyDescent="0.25">
      <c r="A241" t="s">
        <v>1209</v>
      </c>
      <c r="B241" t="s">
        <v>45</v>
      </c>
      <c r="C241" t="s">
        <v>607</v>
      </c>
      <c r="D241" t="s">
        <v>587</v>
      </c>
      <c r="E241" t="s">
        <v>756</v>
      </c>
      <c r="F241">
        <v>4.7958573781702478</v>
      </c>
      <c r="G241">
        <v>22.620506849315049</v>
      </c>
      <c r="H241" t="s">
        <v>757</v>
      </c>
      <c r="I241" t="s">
        <v>661</v>
      </c>
      <c r="J241">
        <v>4</v>
      </c>
      <c r="K241" t="s">
        <v>933</v>
      </c>
      <c r="L241">
        <v>450000</v>
      </c>
      <c r="M241">
        <v>2.23</v>
      </c>
      <c r="N241">
        <v>22.620506849315049</v>
      </c>
      <c r="O241" t="s">
        <v>592</v>
      </c>
      <c r="P241" t="s">
        <v>593</v>
      </c>
      <c r="Q241" t="s">
        <v>586</v>
      </c>
      <c r="R241">
        <v>300000</v>
      </c>
      <c r="S241" t="s">
        <v>712</v>
      </c>
      <c r="T241">
        <v>33</v>
      </c>
    </row>
    <row r="242" spans="1:20" x14ac:dyDescent="0.25">
      <c r="A242" t="s">
        <v>1210</v>
      </c>
      <c r="B242" t="s">
        <v>154</v>
      </c>
      <c r="C242" t="s">
        <v>607</v>
      </c>
      <c r="D242" t="s">
        <v>608</v>
      </c>
      <c r="E242" t="s">
        <v>1211</v>
      </c>
      <c r="F242">
        <v>1.9341354257548093</v>
      </c>
      <c r="G242">
        <v>27.58715342465754</v>
      </c>
      <c r="H242" t="s">
        <v>1045</v>
      </c>
      <c r="I242" t="s">
        <v>611</v>
      </c>
      <c r="J242">
        <v>3</v>
      </c>
      <c r="K242" t="s">
        <v>729</v>
      </c>
      <c r="L242">
        <v>85000</v>
      </c>
      <c r="M242">
        <v>1.8</v>
      </c>
      <c r="N242">
        <v>27.58715342465754</v>
      </c>
      <c r="O242" t="s">
        <v>592</v>
      </c>
      <c r="P242" t="s">
        <v>613</v>
      </c>
      <c r="Q242" t="s">
        <v>586</v>
      </c>
      <c r="R242" t="s">
        <v>712</v>
      </c>
      <c r="S242" t="s">
        <v>594</v>
      </c>
      <c r="T242">
        <v>73</v>
      </c>
    </row>
    <row r="243" spans="1:20" x14ac:dyDescent="0.25">
      <c r="A243" t="s">
        <v>1212</v>
      </c>
      <c r="B243" t="s">
        <v>76</v>
      </c>
      <c r="C243" t="s">
        <v>586</v>
      </c>
      <c r="D243" t="s">
        <v>608</v>
      </c>
      <c r="E243" t="s">
        <v>891</v>
      </c>
      <c r="F243">
        <v>0.49299650827480396</v>
      </c>
      <c r="G243">
        <v>21.173782514544893</v>
      </c>
      <c r="H243" t="s">
        <v>892</v>
      </c>
      <c r="I243" t="s">
        <v>721</v>
      </c>
      <c r="J243">
        <v>5</v>
      </c>
      <c r="K243" t="s">
        <v>807</v>
      </c>
      <c r="L243">
        <v>1410000</v>
      </c>
      <c r="M243">
        <v>2.09</v>
      </c>
      <c r="N243">
        <v>21.173782514544893</v>
      </c>
      <c r="O243" t="s">
        <v>592</v>
      </c>
      <c r="P243" t="s">
        <v>621</v>
      </c>
      <c r="Q243" t="s">
        <v>586</v>
      </c>
      <c r="R243">
        <v>45000</v>
      </c>
      <c r="S243" t="s">
        <v>652</v>
      </c>
      <c r="T243">
        <v>88</v>
      </c>
    </row>
    <row r="244" spans="1:20" x14ac:dyDescent="0.25">
      <c r="A244" t="s">
        <v>1213</v>
      </c>
      <c r="B244" t="s">
        <v>109</v>
      </c>
      <c r="C244" t="s">
        <v>586</v>
      </c>
      <c r="D244" t="s">
        <v>690</v>
      </c>
      <c r="E244" t="s">
        <v>1048</v>
      </c>
      <c r="F244">
        <v>0.85231122797558923</v>
      </c>
      <c r="G244">
        <v>4.5163287671232899</v>
      </c>
      <c r="H244" t="s">
        <v>802</v>
      </c>
      <c r="I244" t="s">
        <v>611</v>
      </c>
      <c r="J244">
        <v>5</v>
      </c>
      <c r="K244" t="s">
        <v>821</v>
      </c>
      <c r="L244">
        <v>9585000</v>
      </c>
      <c r="M244">
        <v>1.54</v>
      </c>
      <c r="N244">
        <v>4.5163287671232899</v>
      </c>
      <c r="O244" t="s">
        <v>592</v>
      </c>
      <c r="P244" t="s">
        <v>593</v>
      </c>
      <c r="Q244" t="s">
        <v>586</v>
      </c>
      <c r="R244">
        <v>10000</v>
      </c>
      <c r="S244" t="s">
        <v>599</v>
      </c>
      <c r="T244">
        <v>95</v>
      </c>
    </row>
    <row r="245" spans="1:20" x14ac:dyDescent="0.25">
      <c r="A245" t="s">
        <v>1214</v>
      </c>
      <c r="B245" t="s">
        <v>155</v>
      </c>
      <c r="C245" t="s">
        <v>586</v>
      </c>
      <c r="D245" t="s">
        <v>608</v>
      </c>
      <c r="E245" t="s">
        <v>1215</v>
      </c>
      <c r="F245">
        <v>8.0488320111819486E-2</v>
      </c>
      <c r="G245">
        <v>17.425898549790887</v>
      </c>
      <c r="H245" t="s">
        <v>676</v>
      </c>
      <c r="I245" t="s">
        <v>611</v>
      </c>
      <c r="J245">
        <v>3</v>
      </c>
      <c r="K245" t="s">
        <v>950</v>
      </c>
      <c r="L245">
        <v>125000</v>
      </c>
      <c r="M245">
        <v>1.35</v>
      </c>
      <c r="N245">
        <v>17.425898549790887</v>
      </c>
      <c r="O245" t="s">
        <v>592</v>
      </c>
      <c r="P245" t="s">
        <v>613</v>
      </c>
      <c r="Q245" t="s">
        <v>586</v>
      </c>
      <c r="R245" t="s">
        <v>712</v>
      </c>
      <c r="S245" t="s">
        <v>712</v>
      </c>
      <c r="T245">
        <v>99</v>
      </c>
    </row>
    <row r="246" spans="1:20" x14ac:dyDescent="0.25">
      <c r="A246" t="s">
        <v>1216</v>
      </c>
      <c r="B246" t="s">
        <v>20</v>
      </c>
      <c r="C246" t="s">
        <v>586</v>
      </c>
      <c r="D246" t="s">
        <v>587</v>
      </c>
      <c r="E246" t="s">
        <v>588</v>
      </c>
      <c r="F246">
        <v>2.1363635562550209</v>
      </c>
      <c r="G246">
        <v>20.482899155597913</v>
      </c>
      <c r="H246" t="s">
        <v>589</v>
      </c>
      <c r="I246" t="s">
        <v>590</v>
      </c>
      <c r="J246">
        <v>4</v>
      </c>
      <c r="K246" t="s">
        <v>699</v>
      </c>
      <c r="L246">
        <v>24000000</v>
      </c>
      <c r="M246">
        <v>1.67</v>
      </c>
      <c r="N246">
        <v>20.482899155597913</v>
      </c>
      <c r="O246" t="s">
        <v>592</v>
      </c>
      <c r="P246" t="s">
        <v>593</v>
      </c>
      <c r="Q246" t="s">
        <v>586</v>
      </c>
      <c r="R246">
        <v>2000000</v>
      </c>
      <c r="S246" t="s">
        <v>594</v>
      </c>
      <c r="T246">
        <v>83</v>
      </c>
    </row>
    <row r="247" spans="1:20" x14ac:dyDescent="0.25">
      <c r="A247" t="s">
        <v>1217</v>
      </c>
      <c r="B247" t="s">
        <v>156</v>
      </c>
      <c r="C247" t="s">
        <v>586</v>
      </c>
      <c r="D247" t="s">
        <v>608</v>
      </c>
      <c r="E247" t="s">
        <v>1218</v>
      </c>
      <c r="F247">
        <v>3.3280864647615789</v>
      </c>
      <c r="G247">
        <v>22.305309601290357</v>
      </c>
      <c r="H247" t="s">
        <v>892</v>
      </c>
      <c r="I247" t="s">
        <v>611</v>
      </c>
      <c r="J247">
        <v>5</v>
      </c>
      <c r="K247" t="s">
        <v>838</v>
      </c>
      <c r="L247">
        <v>1475000</v>
      </c>
      <c r="M247">
        <v>2.3000000000000003</v>
      </c>
      <c r="N247">
        <v>22.305309601290357</v>
      </c>
      <c r="O247" t="s">
        <v>592</v>
      </c>
      <c r="P247" t="s">
        <v>621</v>
      </c>
      <c r="Q247" t="s">
        <v>586</v>
      </c>
      <c r="R247">
        <v>75000</v>
      </c>
      <c r="S247" t="s">
        <v>712</v>
      </c>
      <c r="T247">
        <v>67</v>
      </c>
    </row>
    <row r="248" spans="1:20" x14ac:dyDescent="0.25">
      <c r="A248" t="s">
        <v>1219</v>
      </c>
      <c r="B248" t="s">
        <v>68</v>
      </c>
      <c r="C248" t="s">
        <v>607</v>
      </c>
      <c r="D248" t="s">
        <v>587</v>
      </c>
      <c r="E248" t="s">
        <v>855</v>
      </c>
      <c r="F248">
        <v>3.7201599871405335</v>
      </c>
      <c r="G248">
        <v>49.335594165580112</v>
      </c>
      <c r="H248" t="s">
        <v>856</v>
      </c>
      <c r="I248" t="s">
        <v>661</v>
      </c>
      <c r="J248">
        <v>4</v>
      </c>
      <c r="K248" t="s">
        <v>1220</v>
      </c>
      <c r="L248">
        <v>585000</v>
      </c>
      <c r="M248">
        <v>2.54</v>
      </c>
      <c r="N248">
        <v>49.335594165580112</v>
      </c>
      <c r="O248" t="s">
        <v>592</v>
      </c>
      <c r="P248" t="s">
        <v>593</v>
      </c>
      <c r="Q248" t="s">
        <v>586</v>
      </c>
      <c r="R248">
        <v>70000</v>
      </c>
      <c r="S248" t="s">
        <v>712</v>
      </c>
      <c r="T248">
        <v>65</v>
      </c>
    </row>
    <row r="249" spans="1:20" x14ac:dyDescent="0.25">
      <c r="A249" t="s">
        <v>1221</v>
      </c>
      <c r="B249" t="s">
        <v>24</v>
      </c>
      <c r="C249" t="s">
        <v>586</v>
      </c>
      <c r="D249" t="s">
        <v>616</v>
      </c>
      <c r="E249" t="s">
        <v>617</v>
      </c>
      <c r="F249">
        <v>4.4764967193377609</v>
      </c>
      <c r="G249">
        <v>12.639394273938276</v>
      </c>
      <c r="H249" t="s">
        <v>618</v>
      </c>
      <c r="I249" t="s">
        <v>619</v>
      </c>
      <c r="J249">
        <v>5</v>
      </c>
      <c r="K249" t="s">
        <v>1023</v>
      </c>
      <c r="L249">
        <v>6840000</v>
      </c>
      <c r="M249">
        <v>2.0300000000000002</v>
      </c>
      <c r="N249">
        <v>12.639394273938276</v>
      </c>
      <c r="O249" t="s">
        <v>592</v>
      </c>
      <c r="P249" t="s">
        <v>621</v>
      </c>
      <c r="Q249" t="s">
        <v>586</v>
      </c>
      <c r="R249">
        <v>20000</v>
      </c>
      <c r="S249" t="s">
        <v>599</v>
      </c>
      <c r="T249">
        <v>52</v>
      </c>
    </row>
    <row r="250" spans="1:20" x14ac:dyDescent="0.25">
      <c r="A250" t="s">
        <v>1222</v>
      </c>
      <c r="B250" t="s">
        <v>157</v>
      </c>
      <c r="C250" t="s">
        <v>607</v>
      </c>
      <c r="D250" t="s">
        <v>608</v>
      </c>
      <c r="E250" t="s">
        <v>1223</v>
      </c>
      <c r="F250">
        <v>0.64823885270261916</v>
      </c>
      <c r="G250">
        <v>60.870709324727756</v>
      </c>
      <c r="H250" t="s">
        <v>720</v>
      </c>
      <c r="I250" t="s">
        <v>611</v>
      </c>
      <c r="J250">
        <v>4</v>
      </c>
      <c r="K250" t="s">
        <v>787</v>
      </c>
      <c r="L250">
        <v>335000</v>
      </c>
      <c r="M250">
        <v>1.93</v>
      </c>
      <c r="N250">
        <v>60.870709324727756</v>
      </c>
      <c r="O250" t="s">
        <v>592</v>
      </c>
      <c r="P250" t="s">
        <v>621</v>
      </c>
      <c r="Q250" t="s">
        <v>586</v>
      </c>
      <c r="R250">
        <v>15000</v>
      </c>
      <c r="S250" t="s">
        <v>712</v>
      </c>
      <c r="T250">
        <v>92</v>
      </c>
    </row>
    <row r="251" spans="1:20" x14ac:dyDescent="0.25">
      <c r="A251" t="s">
        <v>1224</v>
      </c>
      <c r="B251" t="s">
        <v>90</v>
      </c>
      <c r="C251" t="s">
        <v>586</v>
      </c>
      <c r="D251" t="s">
        <v>805</v>
      </c>
      <c r="E251" t="s">
        <v>953</v>
      </c>
      <c r="F251">
        <v>1.6138723608367165</v>
      </c>
      <c r="G251">
        <v>8.7620963751714243</v>
      </c>
      <c r="H251" t="s">
        <v>954</v>
      </c>
      <c r="I251" t="s">
        <v>611</v>
      </c>
      <c r="J251">
        <v>5</v>
      </c>
      <c r="K251" t="s">
        <v>853</v>
      </c>
      <c r="L251">
        <v>1055000</v>
      </c>
      <c r="M251">
        <v>1.57</v>
      </c>
      <c r="N251">
        <v>8.7620963751714243</v>
      </c>
      <c r="O251" t="s">
        <v>592</v>
      </c>
      <c r="P251" t="s">
        <v>593</v>
      </c>
      <c r="Q251" t="s">
        <v>586</v>
      </c>
      <c r="R251">
        <v>10000</v>
      </c>
      <c r="S251" t="s">
        <v>712</v>
      </c>
      <c r="T251">
        <v>86</v>
      </c>
    </row>
    <row r="252" spans="1:20" x14ac:dyDescent="0.25">
      <c r="A252" t="s">
        <v>1225</v>
      </c>
      <c r="B252" t="s">
        <v>158</v>
      </c>
      <c r="C252" t="s">
        <v>607</v>
      </c>
      <c r="D252" t="s">
        <v>608</v>
      </c>
      <c r="E252" t="s">
        <v>789</v>
      </c>
      <c r="F252">
        <v>0.56673792684907975</v>
      </c>
      <c r="G252">
        <v>53.912911263959963</v>
      </c>
      <c r="H252" t="s">
        <v>1143</v>
      </c>
      <c r="I252" t="s">
        <v>820</v>
      </c>
      <c r="J252">
        <v>4</v>
      </c>
      <c r="K252" t="s">
        <v>744</v>
      </c>
      <c r="L252">
        <v>170000</v>
      </c>
      <c r="M252">
        <v>1.75</v>
      </c>
      <c r="N252">
        <v>53.912911263959963</v>
      </c>
      <c r="O252" t="s">
        <v>592</v>
      </c>
      <c r="P252" t="s">
        <v>621</v>
      </c>
      <c r="Q252" t="s">
        <v>586</v>
      </c>
      <c r="R252" t="s">
        <v>712</v>
      </c>
      <c r="S252" t="s">
        <v>878</v>
      </c>
      <c r="T252">
        <v>86</v>
      </c>
    </row>
    <row r="253" spans="1:20" x14ac:dyDescent="0.25">
      <c r="A253" t="s">
        <v>1226</v>
      </c>
      <c r="B253" t="s">
        <v>159</v>
      </c>
      <c r="C253" t="s">
        <v>607</v>
      </c>
      <c r="D253" t="s">
        <v>608</v>
      </c>
      <c r="E253" t="s">
        <v>980</v>
      </c>
      <c r="F253">
        <v>1.0476029346178026</v>
      </c>
      <c r="G253">
        <v>56.806379805849595</v>
      </c>
      <c r="H253" t="s">
        <v>1000</v>
      </c>
      <c r="I253" t="s">
        <v>1227</v>
      </c>
      <c r="J253">
        <v>3</v>
      </c>
      <c r="K253" t="s">
        <v>612</v>
      </c>
      <c r="L253">
        <v>900000</v>
      </c>
      <c r="M253">
        <v>2</v>
      </c>
      <c r="N253">
        <v>56.806379805849595</v>
      </c>
      <c r="O253" t="s">
        <v>592</v>
      </c>
      <c r="P253" t="s">
        <v>621</v>
      </c>
      <c r="Q253" t="s">
        <v>586</v>
      </c>
      <c r="R253">
        <v>50000</v>
      </c>
      <c r="S253" t="s">
        <v>594</v>
      </c>
      <c r="T253">
        <v>90</v>
      </c>
    </row>
    <row r="254" spans="1:20" x14ac:dyDescent="0.25">
      <c r="A254" t="s">
        <v>1228</v>
      </c>
      <c r="B254" t="s">
        <v>91</v>
      </c>
      <c r="C254" t="s">
        <v>586</v>
      </c>
      <c r="D254" t="s">
        <v>961</v>
      </c>
      <c r="E254" t="s">
        <v>962</v>
      </c>
      <c r="F254">
        <v>1.0361795940137963</v>
      </c>
      <c r="G254">
        <v>-5.0873424657534194</v>
      </c>
      <c r="H254" t="s">
        <v>963</v>
      </c>
      <c r="I254" t="s">
        <v>661</v>
      </c>
      <c r="J254">
        <v>5</v>
      </c>
      <c r="K254" t="s">
        <v>612</v>
      </c>
      <c r="L254">
        <v>885000</v>
      </c>
      <c r="M254">
        <v>1.5</v>
      </c>
      <c r="N254">
        <v>-5.0873424657534194</v>
      </c>
      <c r="O254" t="s">
        <v>592</v>
      </c>
      <c r="P254" t="s">
        <v>593</v>
      </c>
      <c r="Q254" t="s">
        <v>586</v>
      </c>
      <c r="R254">
        <v>25000</v>
      </c>
      <c r="S254" t="s">
        <v>599</v>
      </c>
      <c r="T254">
        <v>95</v>
      </c>
    </row>
    <row r="255" spans="1:20" x14ac:dyDescent="0.25">
      <c r="A255" t="s">
        <v>1229</v>
      </c>
      <c r="B255" t="s">
        <v>54</v>
      </c>
      <c r="C255" t="s">
        <v>586</v>
      </c>
      <c r="D255" t="s">
        <v>587</v>
      </c>
      <c r="E255" t="s">
        <v>791</v>
      </c>
      <c r="F255">
        <v>3.5003071266266796</v>
      </c>
      <c r="G255">
        <v>-1.9809725690934421</v>
      </c>
      <c r="H255" t="s">
        <v>792</v>
      </c>
      <c r="I255" t="s">
        <v>793</v>
      </c>
      <c r="J255">
        <v>5</v>
      </c>
      <c r="K255" t="s">
        <v>1163</v>
      </c>
      <c r="L255">
        <v>3890000</v>
      </c>
      <c r="M255">
        <v>1.7000000000000002</v>
      </c>
      <c r="N255">
        <v>-1.9809725690934421</v>
      </c>
      <c r="O255" t="s">
        <v>592</v>
      </c>
      <c r="P255" t="s">
        <v>593</v>
      </c>
      <c r="Q255" t="s">
        <v>586</v>
      </c>
      <c r="R255">
        <v>75000</v>
      </c>
      <c r="S255" t="s">
        <v>652</v>
      </c>
      <c r="T255">
        <v>59</v>
      </c>
    </row>
    <row r="256" spans="1:20" x14ac:dyDescent="0.25">
      <c r="A256" t="s">
        <v>1230</v>
      </c>
      <c r="B256" t="s">
        <v>35</v>
      </c>
      <c r="C256" t="s">
        <v>586</v>
      </c>
      <c r="D256" t="s">
        <v>680</v>
      </c>
      <c r="E256" t="s">
        <v>681</v>
      </c>
      <c r="F256">
        <v>2.587747086862354</v>
      </c>
      <c r="G256">
        <v>12.439987666267104</v>
      </c>
      <c r="H256" t="s">
        <v>676</v>
      </c>
      <c r="I256" t="s">
        <v>625</v>
      </c>
      <c r="J256">
        <v>4</v>
      </c>
      <c r="K256" t="s">
        <v>930</v>
      </c>
      <c r="L256">
        <v>330000</v>
      </c>
      <c r="M256">
        <v>1.74</v>
      </c>
      <c r="N256">
        <v>12.439987666267104</v>
      </c>
      <c r="O256" t="s">
        <v>592</v>
      </c>
      <c r="P256" t="s">
        <v>593</v>
      </c>
      <c r="Q256" t="s">
        <v>586</v>
      </c>
      <c r="R256" t="s">
        <v>712</v>
      </c>
      <c r="S256" t="s">
        <v>599</v>
      </c>
      <c r="T256">
        <v>65</v>
      </c>
    </row>
    <row r="257" spans="1:20" x14ac:dyDescent="0.25">
      <c r="A257" t="s">
        <v>1231</v>
      </c>
      <c r="B257" t="s">
        <v>160</v>
      </c>
      <c r="C257" t="s">
        <v>607</v>
      </c>
      <c r="D257" t="s">
        <v>990</v>
      </c>
      <c r="E257" t="s">
        <v>1232</v>
      </c>
      <c r="F257">
        <v>3.1471377439525261</v>
      </c>
      <c r="G257">
        <v>52.32114642745411</v>
      </c>
      <c r="H257" t="s">
        <v>660</v>
      </c>
      <c r="I257" t="s">
        <v>1233</v>
      </c>
      <c r="J257">
        <v>3</v>
      </c>
      <c r="K257" t="s">
        <v>938</v>
      </c>
      <c r="L257">
        <v>280000</v>
      </c>
      <c r="M257">
        <v>2.2000000000000002</v>
      </c>
      <c r="N257">
        <v>52.32114642745411</v>
      </c>
      <c r="O257" t="s">
        <v>592</v>
      </c>
      <c r="P257" t="s">
        <v>711</v>
      </c>
      <c r="Q257" t="s">
        <v>586</v>
      </c>
      <c r="R257" t="s">
        <v>712</v>
      </c>
      <c r="S257" t="s">
        <v>878</v>
      </c>
      <c r="T257">
        <v>53</v>
      </c>
    </row>
    <row r="258" spans="1:20" x14ac:dyDescent="0.25">
      <c r="A258" t="s">
        <v>1234</v>
      </c>
      <c r="B258" t="s">
        <v>160</v>
      </c>
      <c r="C258" t="s">
        <v>607</v>
      </c>
      <c r="D258" t="s">
        <v>990</v>
      </c>
      <c r="E258" t="s">
        <v>1232</v>
      </c>
      <c r="F258">
        <v>4.0325445604907735</v>
      </c>
      <c r="G258">
        <v>51.779861761731681</v>
      </c>
      <c r="H258" t="s">
        <v>660</v>
      </c>
      <c r="I258" t="s">
        <v>1233</v>
      </c>
      <c r="J258">
        <v>3</v>
      </c>
      <c r="K258" t="s">
        <v>1085</v>
      </c>
      <c r="L258">
        <v>290000</v>
      </c>
      <c r="M258">
        <v>2.3199999999999998</v>
      </c>
      <c r="N258">
        <v>51.779861761731681</v>
      </c>
      <c r="O258" t="s">
        <v>592</v>
      </c>
      <c r="P258" t="s">
        <v>711</v>
      </c>
      <c r="Q258" t="s">
        <v>586</v>
      </c>
      <c r="R258" t="s">
        <v>712</v>
      </c>
      <c r="S258" t="s">
        <v>878</v>
      </c>
      <c r="T258">
        <v>44</v>
      </c>
    </row>
    <row r="259" spans="1:20" x14ac:dyDescent="0.25">
      <c r="A259" t="s">
        <v>1235</v>
      </c>
      <c r="B259" t="s">
        <v>28</v>
      </c>
      <c r="C259" t="s">
        <v>586</v>
      </c>
      <c r="D259" t="s">
        <v>642</v>
      </c>
      <c r="E259" t="s">
        <v>643</v>
      </c>
      <c r="F259">
        <v>5.554049985052472E-3</v>
      </c>
      <c r="G259">
        <v>14.366835616438367</v>
      </c>
      <c r="H259" t="s">
        <v>644</v>
      </c>
      <c r="I259" t="s">
        <v>645</v>
      </c>
      <c r="J259">
        <v>5</v>
      </c>
      <c r="K259" t="s">
        <v>995</v>
      </c>
      <c r="L259">
        <v>9575000</v>
      </c>
      <c r="M259">
        <v>1.78</v>
      </c>
      <c r="N259">
        <v>14.366835616438367</v>
      </c>
      <c r="O259" t="s">
        <v>592</v>
      </c>
      <c r="P259" t="s">
        <v>593</v>
      </c>
      <c r="Q259" t="s">
        <v>586</v>
      </c>
      <c r="R259">
        <v>30000</v>
      </c>
      <c r="S259" t="s">
        <v>599</v>
      </c>
      <c r="T259">
        <v>96</v>
      </c>
    </row>
    <row r="260" spans="1:20" x14ac:dyDescent="0.25">
      <c r="A260" t="s">
        <v>1236</v>
      </c>
      <c r="B260" t="s">
        <v>28</v>
      </c>
      <c r="C260" t="s">
        <v>586</v>
      </c>
      <c r="D260" t="s">
        <v>642</v>
      </c>
      <c r="E260" t="s">
        <v>643</v>
      </c>
      <c r="F260">
        <v>1.910751070178343</v>
      </c>
      <c r="G260">
        <v>13.650230136986297</v>
      </c>
      <c r="H260" t="s">
        <v>644</v>
      </c>
      <c r="I260" t="s">
        <v>645</v>
      </c>
      <c r="J260">
        <v>5</v>
      </c>
      <c r="K260" t="s">
        <v>729</v>
      </c>
      <c r="L260">
        <v>12030000</v>
      </c>
      <c r="M260">
        <v>1.98</v>
      </c>
      <c r="N260">
        <v>13.650230136986297</v>
      </c>
      <c r="O260" t="s">
        <v>592</v>
      </c>
      <c r="P260" t="s">
        <v>593</v>
      </c>
      <c r="Q260" t="s">
        <v>586</v>
      </c>
      <c r="R260">
        <v>30000</v>
      </c>
      <c r="S260" t="s">
        <v>599</v>
      </c>
      <c r="T260">
        <v>85</v>
      </c>
    </row>
    <row r="261" spans="1:20" x14ac:dyDescent="0.25">
      <c r="A261" t="s">
        <v>1237</v>
      </c>
      <c r="B261" t="s">
        <v>161</v>
      </c>
      <c r="C261" t="s">
        <v>586</v>
      </c>
      <c r="D261" t="s">
        <v>608</v>
      </c>
      <c r="E261" t="s">
        <v>789</v>
      </c>
      <c r="F261">
        <v>0.11904683174729395</v>
      </c>
      <c r="G261">
        <v>32.999575916552672</v>
      </c>
      <c r="H261" t="s">
        <v>743</v>
      </c>
      <c r="I261" t="s">
        <v>721</v>
      </c>
      <c r="J261">
        <v>3.25</v>
      </c>
      <c r="K261" t="s">
        <v>1105</v>
      </c>
      <c r="L261">
        <v>1120000</v>
      </c>
      <c r="M261">
        <v>2.4000000000000004</v>
      </c>
      <c r="N261">
        <v>32.999575916552672</v>
      </c>
      <c r="O261" t="s">
        <v>592</v>
      </c>
      <c r="P261" t="s">
        <v>975</v>
      </c>
      <c r="Q261" t="s">
        <v>607</v>
      </c>
      <c r="R261" t="s">
        <v>712</v>
      </c>
      <c r="S261" t="s">
        <v>599</v>
      </c>
      <c r="T261">
        <v>91</v>
      </c>
    </row>
    <row r="262" spans="1:20" x14ac:dyDescent="0.25">
      <c r="A262" t="s">
        <v>1238</v>
      </c>
      <c r="B262" t="s">
        <v>56</v>
      </c>
      <c r="C262" t="s">
        <v>586</v>
      </c>
      <c r="D262" t="s">
        <v>587</v>
      </c>
      <c r="E262" t="s">
        <v>648</v>
      </c>
      <c r="F262">
        <v>3.2874388194769457</v>
      </c>
      <c r="G262">
        <v>2.1948461944986786</v>
      </c>
      <c r="H262" t="s">
        <v>799</v>
      </c>
      <c r="I262" t="s">
        <v>650</v>
      </c>
      <c r="J262">
        <v>5</v>
      </c>
      <c r="K262" t="s">
        <v>762</v>
      </c>
      <c r="L262">
        <v>4050000</v>
      </c>
      <c r="M262">
        <v>1.8</v>
      </c>
      <c r="N262">
        <v>2.1948461944986786</v>
      </c>
      <c r="O262" t="s">
        <v>592</v>
      </c>
      <c r="P262" t="s">
        <v>593</v>
      </c>
      <c r="Q262" t="s">
        <v>586</v>
      </c>
      <c r="R262">
        <v>100000</v>
      </c>
      <c r="S262" t="s">
        <v>599</v>
      </c>
      <c r="T262">
        <v>64</v>
      </c>
    </row>
    <row r="263" spans="1:20" x14ac:dyDescent="0.25">
      <c r="A263" t="s">
        <v>1239</v>
      </c>
      <c r="B263" t="s">
        <v>56</v>
      </c>
      <c r="C263" t="s">
        <v>586</v>
      </c>
      <c r="D263" t="s">
        <v>587</v>
      </c>
      <c r="E263" t="s">
        <v>648</v>
      </c>
      <c r="F263">
        <v>4.1089759748147561</v>
      </c>
      <c r="G263">
        <v>1.0547882193286728</v>
      </c>
      <c r="H263" t="s">
        <v>799</v>
      </c>
      <c r="I263" t="s">
        <v>650</v>
      </c>
      <c r="J263">
        <v>5</v>
      </c>
      <c r="K263" t="s">
        <v>1240</v>
      </c>
      <c r="L263">
        <v>2055000</v>
      </c>
      <c r="M263">
        <v>1.9100000000000001</v>
      </c>
      <c r="N263">
        <v>1.0547882193286728</v>
      </c>
      <c r="O263" t="s">
        <v>592</v>
      </c>
      <c r="P263" t="s">
        <v>593</v>
      </c>
      <c r="Q263" t="s">
        <v>586</v>
      </c>
      <c r="R263">
        <v>80000</v>
      </c>
      <c r="S263" t="s">
        <v>599</v>
      </c>
      <c r="T263">
        <v>59</v>
      </c>
    </row>
    <row r="264" spans="1:20" x14ac:dyDescent="0.25">
      <c r="A264" t="s">
        <v>1241</v>
      </c>
      <c r="B264" t="s">
        <v>162</v>
      </c>
      <c r="C264" t="s">
        <v>607</v>
      </c>
      <c r="D264" t="s">
        <v>608</v>
      </c>
      <c r="E264" t="s">
        <v>1242</v>
      </c>
      <c r="F264">
        <v>1.571646837025614</v>
      </c>
      <c r="G264">
        <v>36.687521691618443</v>
      </c>
      <c r="H264" t="s">
        <v>761</v>
      </c>
      <c r="I264" t="s">
        <v>611</v>
      </c>
      <c r="J264">
        <v>2.25</v>
      </c>
      <c r="K264" t="s">
        <v>800</v>
      </c>
      <c r="L264">
        <v>240000</v>
      </c>
      <c r="M264">
        <v>1.97</v>
      </c>
      <c r="N264">
        <v>36.687521691618443</v>
      </c>
      <c r="O264" t="s">
        <v>592</v>
      </c>
      <c r="P264" t="s">
        <v>613</v>
      </c>
      <c r="Q264" t="s">
        <v>586</v>
      </c>
      <c r="R264">
        <v>300000</v>
      </c>
      <c r="S264" t="s">
        <v>878</v>
      </c>
      <c r="T264">
        <v>83</v>
      </c>
    </row>
    <row r="265" spans="1:20" x14ac:dyDescent="0.25">
      <c r="A265" t="s">
        <v>1243</v>
      </c>
      <c r="B265" t="s">
        <v>163</v>
      </c>
      <c r="C265" t="s">
        <v>607</v>
      </c>
      <c r="D265" t="s">
        <v>608</v>
      </c>
      <c r="E265" t="s">
        <v>1142</v>
      </c>
      <c r="F265">
        <v>8.0471362155151188E-2</v>
      </c>
      <c r="G265">
        <v>23.074442267852223</v>
      </c>
      <c r="H265" t="s">
        <v>672</v>
      </c>
      <c r="I265" t="s">
        <v>611</v>
      </c>
      <c r="J265">
        <v>2</v>
      </c>
      <c r="K265" t="s">
        <v>950</v>
      </c>
      <c r="L265">
        <v>275000</v>
      </c>
      <c r="M265">
        <v>1.7000000000000002</v>
      </c>
      <c r="N265">
        <v>23.074442267852223</v>
      </c>
      <c r="O265" t="s">
        <v>592</v>
      </c>
      <c r="P265" t="s">
        <v>613</v>
      </c>
      <c r="Q265" t="s">
        <v>586</v>
      </c>
      <c r="R265" t="s">
        <v>712</v>
      </c>
      <c r="S265" t="s">
        <v>878</v>
      </c>
      <c r="T265">
        <v>100</v>
      </c>
    </row>
    <row r="266" spans="1:20" x14ac:dyDescent="0.25">
      <c r="A266" t="s">
        <v>1244</v>
      </c>
      <c r="B266" t="s">
        <v>164</v>
      </c>
      <c r="C266" t="s">
        <v>586</v>
      </c>
      <c r="D266" t="s">
        <v>587</v>
      </c>
      <c r="E266" t="s">
        <v>1245</v>
      </c>
      <c r="F266">
        <v>8.0455554350908051E-2</v>
      </c>
      <c r="G266">
        <v>67.280698143407363</v>
      </c>
      <c r="H266" t="s">
        <v>1246</v>
      </c>
      <c r="I266" t="s">
        <v>1247</v>
      </c>
      <c r="J266">
        <v>4</v>
      </c>
      <c r="K266" t="s">
        <v>950</v>
      </c>
      <c r="L266">
        <v>70000</v>
      </c>
      <c r="M266">
        <v>1.83</v>
      </c>
      <c r="N266">
        <v>67.280698143407363</v>
      </c>
      <c r="O266" t="s">
        <v>592</v>
      </c>
      <c r="P266" t="s">
        <v>593</v>
      </c>
      <c r="Q266" t="s">
        <v>586</v>
      </c>
      <c r="R266" t="s">
        <v>712</v>
      </c>
      <c r="S266" t="s">
        <v>712</v>
      </c>
      <c r="T266">
        <v>91</v>
      </c>
    </row>
    <row r="267" spans="1:20" x14ac:dyDescent="0.25">
      <c r="A267" t="s">
        <v>1248</v>
      </c>
      <c r="B267" t="s">
        <v>22</v>
      </c>
      <c r="C267" t="s">
        <v>586</v>
      </c>
      <c r="D267" t="s">
        <v>601</v>
      </c>
      <c r="E267" t="s">
        <v>602</v>
      </c>
      <c r="F267">
        <v>1.4515378449760932</v>
      </c>
      <c r="G267">
        <v>-0.58838904109588253</v>
      </c>
      <c r="H267" t="s">
        <v>802</v>
      </c>
      <c r="I267" t="s">
        <v>597</v>
      </c>
      <c r="J267">
        <v>5</v>
      </c>
      <c r="K267" t="s">
        <v>1001</v>
      </c>
      <c r="L267">
        <v>1790000</v>
      </c>
      <c r="M267">
        <v>1.51</v>
      </c>
      <c r="N267">
        <v>-0.58838904109588253</v>
      </c>
      <c r="O267" t="s">
        <v>592</v>
      </c>
      <c r="P267" t="s">
        <v>593</v>
      </c>
      <c r="Q267" t="s">
        <v>586</v>
      </c>
      <c r="R267">
        <v>5000</v>
      </c>
      <c r="S267" t="s">
        <v>599</v>
      </c>
      <c r="T267">
        <v>89</v>
      </c>
    </row>
    <row r="268" spans="1:20" x14ac:dyDescent="0.25">
      <c r="A268" t="s">
        <v>1249</v>
      </c>
      <c r="B268" t="s">
        <v>61</v>
      </c>
      <c r="C268" t="s">
        <v>586</v>
      </c>
      <c r="D268" t="s">
        <v>623</v>
      </c>
      <c r="E268" t="s">
        <v>826</v>
      </c>
      <c r="F268">
        <v>2.2005228702987529</v>
      </c>
      <c r="G268">
        <v>143.80614579132973</v>
      </c>
      <c r="H268" t="s">
        <v>827</v>
      </c>
      <c r="I268" t="s">
        <v>828</v>
      </c>
      <c r="J268">
        <v>4.75</v>
      </c>
      <c r="K268" t="s">
        <v>972</v>
      </c>
      <c r="L268">
        <v>11000</v>
      </c>
      <c r="M268">
        <v>3.4000000000000004</v>
      </c>
      <c r="N268">
        <v>143.80614579132973</v>
      </c>
      <c r="O268" t="s">
        <v>592</v>
      </c>
      <c r="P268" t="s">
        <v>745</v>
      </c>
      <c r="Q268" t="s">
        <v>586</v>
      </c>
      <c r="R268" t="s">
        <v>712</v>
      </c>
      <c r="S268" t="s">
        <v>712</v>
      </c>
      <c r="T268">
        <v>71</v>
      </c>
    </row>
    <row r="269" spans="1:20" x14ac:dyDescent="0.25">
      <c r="A269" t="s">
        <v>1250</v>
      </c>
      <c r="B269" t="s">
        <v>165</v>
      </c>
      <c r="C269" t="s">
        <v>586</v>
      </c>
      <c r="D269" t="s">
        <v>1251</v>
      </c>
      <c r="E269" t="s">
        <v>1252</v>
      </c>
      <c r="F269">
        <v>2.5245732520349082</v>
      </c>
      <c r="G269">
        <v>26.983679799166495</v>
      </c>
      <c r="H269" t="s">
        <v>1253</v>
      </c>
      <c r="I269" t="s">
        <v>611</v>
      </c>
      <c r="J269">
        <v>3.25</v>
      </c>
      <c r="K269" t="s">
        <v>734</v>
      </c>
      <c r="L269">
        <v>55000</v>
      </c>
      <c r="M269">
        <v>2.4000000000000004</v>
      </c>
      <c r="N269">
        <v>26.983679799166495</v>
      </c>
      <c r="O269" t="s">
        <v>592</v>
      </c>
      <c r="P269" t="s">
        <v>711</v>
      </c>
      <c r="Q269" t="s">
        <v>586</v>
      </c>
      <c r="R269" t="s">
        <v>712</v>
      </c>
      <c r="S269" t="s">
        <v>712</v>
      </c>
      <c r="T269">
        <v>57</v>
      </c>
    </row>
    <row r="270" spans="1:20" x14ac:dyDescent="0.25">
      <c r="A270" t="s">
        <v>1254</v>
      </c>
      <c r="B270" t="s">
        <v>166</v>
      </c>
      <c r="C270" t="s">
        <v>586</v>
      </c>
      <c r="D270" t="s">
        <v>608</v>
      </c>
      <c r="E270" t="s">
        <v>1255</v>
      </c>
      <c r="F270">
        <v>1.457177268999281</v>
      </c>
      <c r="G270">
        <v>23.55262422366069</v>
      </c>
      <c r="H270" t="s">
        <v>1256</v>
      </c>
      <c r="I270" t="s">
        <v>721</v>
      </c>
      <c r="J270">
        <v>5</v>
      </c>
      <c r="K270" t="s">
        <v>1001</v>
      </c>
      <c r="L270">
        <v>1455000</v>
      </c>
      <c r="M270">
        <v>2.0699999999999998</v>
      </c>
      <c r="N270">
        <v>23.55262422366069</v>
      </c>
      <c r="O270" t="s">
        <v>592</v>
      </c>
      <c r="P270" t="s">
        <v>621</v>
      </c>
      <c r="Q270" t="s">
        <v>586</v>
      </c>
      <c r="R270">
        <v>60000</v>
      </c>
      <c r="S270" t="s">
        <v>652</v>
      </c>
      <c r="T270">
        <v>81</v>
      </c>
    </row>
    <row r="271" spans="1:20" x14ac:dyDescent="0.25">
      <c r="A271" t="s">
        <v>1257</v>
      </c>
      <c r="B271" t="s">
        <v>167</v>
      </c>
      <c r="C271" t="s">
        <v>586</v>
      </c>
      <c r="D271" t="s">
        <v>830</v>
      </c>
      <c r="E271" t="s">
        <v>927</v>
      </c>
      <c r="F271">
        <v>1.0339845152386027</v>
      </c>
      <c r="G271">
        <v>-3.8182057354732235</v>
      </c>
      <c r="H271" t="s">
        <v>1258</v>
      </c>
      <c r="I271" t="s">
        <v>1152</v>
      </c>
      <c r="J271">
        <v>5</v>
      </c>
      <c r="K271" t="s">
        <v>612</v>
      </c>
      <c r="L271">
        <v>1070000</v>
      </c>
      <c r="M271">
        <v>1.56</v>
      </c>
      <c r="N271">
        <v>-3.8182057354732235</v>
      </c>
      <c r="O271" t="s">
        <v>592</v>
      </c>
      <c r="P271" t="s">
        <v>593</v>
      </c>
      <c r="Q271" t="s">
        <v>586</v>
      </c>
      <c r="R271">
        <v>30000</v>
      </c>
      <c r="S271" t="s">
        <v>599</v>
      </c>
      <c r="T271">
        <v>95</v>
      </c>
    </row>
    <row r="272" spans="1:20" x14ac:dyDescent="0.25">
      <c r="A272" t="s">
        <v>1259</v>
      </c>
      <c r="B272" t="s">
        <v>167</v>
      </c>
      <c r="C272" t="s">
        <v>586</v>
      </c>
      <c r="D272" t="s">
        <v>830</v>
      </c>
      <c r="E272" t="s">
        <v>927</v>
      </c>
      <c r="F272">
        <v>1.0371953479887337</v>
      </c>
      <c r="G272">
        <v>17.088750684931497</v>
      </c>
      <c r="H272" t="s">
        <v>1097</v>
      </c>
      <c r="I272" t="s">
        <v>1260</v>
      </c>
      <c r="J272">
        <v>5</v>
      </c>
      <c r="K272" t="s">
        <v>612</v>
      </c>
      <c r="L272">
        <v>90000</v>
      </c>
      <c r="M272">
        <v>1.7000000000000002</v>
      </c>
      <c r="N272">
        <v>17.088750684931497</v>
      </c>
      <c r="O272" t="s">
        <v>592</v>
      </c>
      <c r="P272" t="s">
        <v>1261</v>
      </c>
      <c r="Q272" t="s">
        <v>586</v>
      </c>
      <c r="R272" t="s">
        <v>712</v>
      </c>
      <c r="S272" t="s">
        <v>599</v>
      </c>
      <c r="T272">
        <v>87</v>
      </c>
    </row>
    <row r="273" spans="1:20" x14ac:dyDescent="0.25">
      <c r="A273" t="s">
        <v>1262</v>
      </c>
      <c r="B273" t="s">
        <v>77</v>
      </c>
      <c r="C273" t="s">
        <v>586</v>
      </c>
      <c r="D273" t="s">
        <v>894</v>
      </c>
      <c r="E273" t="s">
        <v>895</v>
      </c>
      <c r="F273">
        <v>3.6217512615353562</v>
      </c>
      <c r="G273">
        <v>-0.31183423744762795</v>
      </c>
      <c r="H273" t="s">
        <v>896</v>
      </c>
      <c r="I273" t="s">
        <v>897</v>
      </c>
      <c r="J273">
        <v>5</v>
      </c>
      <c r="K273" t="s">
        <v>1046</v>
      </c>
      <c r="L273">
        <v>4915000</v>
      </c>
      <c r="M273">
        <v>1.72</v>
      </c>
      <c r="N273">
        <v>-0.31183423744762795</v>
      </c>
      <c r="O273" t="s">
        <v>592</v>
      </c>
      <c r="P273" t="s">
        <v>593</v>
      </c>
      <c r="Q273" t="s">
        <v>586</v>
      </c>
      <c r="R273">
        <v>50000</v>
      </c>
      <c r="S273" t="s">
        <v>652</v>
      </c>
      <c r="T273">
        <v>75</v>
      </c>
    </row>
    <row r="274" spans="1:20" x14ac:dyDescent="0.25">
      <c r="A274" t="s">
        <v>1263</v>
      </c>
      <c r="B274" t="s">
        <v>77</v>
      </c>
      <c r="C274" t="s">
        <v>586</v>
      </c>
      <c r="D274" t="s">
        <v>894</v>
      </c>
      <c r="E274" t="s">
        <v>895</v>
      </c>
      <c r="F274">
        <v>2.8228314378824368</v>
      </c>
      <c r="G274">
        <v>6.5298717992460675</v>
      </c>
      <c r="H274" t="s">
        <v>896</v>
      </c>
      <c r="I274" t="s">
        <v>897</v>
      </c>
      <c r="J274">
        <v>4</v>
      </c>
      <c r="K274" t="s">
        <v>978</v>
      </c>
      <c r="L274">
        <v>990000</v>
      </c>
      <c r="M274">
        <v>1.67</v>
      </c>
      <c r="N274">
        <v>6.5298717992460675</v>
      </c>
      <c r="O274" t="s">
        <v>592</v>
      </c>
      <c r="P274" t="s">
        <v>593</v>
      </c>
      <c r="Q274" t="s">
        <v>586</v>
      </c>
      <c r="R274">
        <v>5000</v>
      </c>
      <c r="S274" t="s">
        <v>652</v>
      </c>
      <c r="T274">
        <v>76</v>
      </c>
    </row>
    <row r="275" spans="1:20" x14ac:dyDescent="0.25">
      <c r="A275" t="s">
        <v>1264</v>
      </c>
      <c r="B275" t="s">
        <v>168</v>
      </c>
      <c r="C275" t="s">
        <v>586</v>
      </c>
      <c r="D275" t="s">
        <v>608</v>
      </c>
      <c r="E275" t="s">
        <v>609</v>
      </c>
      <c r="F275">
        <v>0.9785124522376798</v>
      </c>
      <c r="G275">
        <v>13.992747625623814</v>
      </c>
      <c r="H275" t="s">
        <v>1265</v>
      </c>
      <c r="I275" t="s">
        <v>1037</v>
      </c>
      <c r="J275">
        <v>5</v>
      </c>
      <c r="K275" t="s">
        <v>646</v>
      </c>
      <c r="L275">
        <v>240000</v>
      </c>
      <c r="M275">
        <v>1.57</v>
      </c>
      <c r="N275">
        <v>13.992747625623814</v>
      </c>
      <c r="O275" t="s">
        <v>592</v>
      </c>
      <c r="P275" t="s">
        <v>621</v>
      </c>
      <c r="Q275" t="s">
        <v>586</v>
      </c>
      <c r="R275" t="s">
        <v>712</v>
      </c>
      <c r="S275" t="s">
        <v>599</v>
      </c>
      <c r="T275">
        <v>94</v>
      </c>
    </row>
    <row r="276" spans="1:20" x14ac:dyDescent="0.25">
      <c r="A276" t="s">
        <v>1266</v>
      </c>
      <c r="B276" t="s">
        <v>168</v>
      </c>
      <c r="C276" t="s">
        <v>586</v>
      </c>
      <c r="D276" t="s">
        <v>608</v>
      </c>
      <c r="E276" t="s">
        <v>609</v>
      </c>
      <c r="F276">
        <v>1.9125456390573932</v>
      </c>
      <c r="G276">
        <v>13.955181191494702</v>
      </c>
      <c r="H276" t="s">
        <v>1265</v>
      </c>
      <c r="I276" t="s">
        <v>1037</v>
      </c>
      <c r="J276">
        <v>5</v>
      </c>
      <c r="K276" t="s">
        <v>729</v>
      </c>
      <c r="L276">
        <v>450000</v>
      </c>
      <c r="M276">
        <v>1.73</v>
      </c>
      <c r="N276">
        <v>13.955181191494702</v>
      </c>
      <c r="O276" t="s">
        <v>592</v>
      </c>
      <c r="P276" t="s">
        <v>621</v>
      </c>
      <c r="Q276" t="s">
        <v>586</v>
      </c>
      <c r="R276">
        <v>600000</v>
      </c>
      <c r="S276" t="s">
        <v>599</v>
      </c>
      <c r="T276">
        <v>85</v>
      </c>
    </row>
    <row r="277" spans="1:20" x14ac:dyDescent="0.25">
      <c r="A277" t="s">
        <v>1267</v>
      </c>
      <c r="B277" t="s">
        <v>168</v>
      </c>
      <c r="C277" t="s">
        <v>586</v>
      </c>
      <c r="D277" t="s">
        <v>608</v>
      </c>
      <c r="E277" t="s">
        <v>609</v>
      </c>
      <c r="F277">
        <v>4.4796860476089755</v>
      </c>
      <c r="G277">
        <v>20.938754152629222</v>
      </c>
      <c r="H277" t="s">
        <v>1265</v>
      </c>
      <c r="I277" t="s">
        <v>1037</v>
      </c>
      <c r="J277">
        <v>5</v>
      </c>
      <c r="K277" t="s">
        <v>1023</v>
      </c>
      <c r="L277">
        <v>640000</v>
      </c>
      <c r="M277">
        <v>2.21</v>
      </c>
      <c r="N277">
        <v>20.938754152629222</v>
      </c>
      <c r="O277" t="s">
        <v>592</v>
      </c>
      <c r="P277" t="s">
        <v>621</v>
      </c>
      <c r="Q277" t="s">
        <v>586</v>
      </c>
      <c r="R277" t="s">
        <v>712</v>
      </c>
      <c r="S277" t="s">
        <v>599</v>
      </c>
      <c r="T277">
        <v>60</v>
      </c>
    </row>
    <row r="278" spans="1:20" x14ac:dyDescent="0.25">
      <c r="A278" t="s">
        <v>1268</v>
      </c>
      <c r="B278" t="s">
        <v>31</v>
      </c>
      <c r="C278" t="s">
        <v>586</v>
      </c>
      <c r="D278" t="s">
        <v>608</v>
      </c>
      <c r="E278" t="s">
        <v>609</v>
      </c>
      <c r="F278">
        <v>3.0155216109375855</v>
      </c>
      <c r="G278">
        <v>54.027103141797951</v>
      </c>
      <c r="H278" t="s">
        <v>660</v>
      </c>
      <c r="I278" t="s">
        <v>661</v>
      </c>
      <c r="J278">
        <v>2.69</v>
      </c>
      <c r="K278" t="s">
        <v>1207</v>
      </c>
      <c r="L278">
        <v>570000</v>
      </c>
      <c r="M278">
        <v>2.69</v>
      </c>
      <c r="N278">
        <v>54.027103141797951</v>
      </c>
      <c r="O278" t="s">
        <v>592</v>
      </c>
      <c r="P278" t="s">
        <v>975</v>
      </c>
      <c r="Q278" t="s">
        <v>607</v>
      </c>
      <c r="R278" t="s">
        <v>712</v>
      </c>
      <c r="S278" t="s">
        <v>599</v>
      </c>
      <c r="T278">
        <v>61</v>
      </c>
    </row>
    <row r="279" spans="1:20" x14ac:dyDescent="0.25">
      <c r="A279" t="s">
        <v>1269</v>
      </c>
      <c r="B279" t="s">
        <v>62</v>
      </c>
      <c r="C279" t="s">
        <v>586</v>
      </c>
      <c r="D279" t="s">
        <v>830</v>
      </c>
      <c r="E279" t="s">
        <v>831</v>
      </c>
      <c r="F279">
        <v>3.5193897307527457</v>
      </c>
      <c r="G279">
        <v>39.592750043200198</v>
      </c>
      <c r="H279" t="s">
        <v>832</v>
      </c>
      <c r="I279" t="s">
        <v>721</v>
      </c>
      <c r="J279">
        <v>3</v>
      </c>
      <c r="K279" t="s">
        <v>684</v>
      </c>
      <c r="L279">
        <v>945000</v>
      </c>
      <c r="M279">
        <v>2.25</v>
      </c>
      <c r="N279">
        <v>39.592750043200198</v>
      </c>
      <c r="O279" t="s">
        <v>592</v>
      </c>
      <c r="P279" t="s">
        <v>593</v>
      </c>
      <c r="Q279" t="s">
        <v>586</v>
      </c>
      <c r="R279">
        <v>40000</v>
      </c>
      <c r="S279" t="s">
        <v>712</v>
      </c>
      <c r="T279">
        <v>45</v>
      </c>
    </row>
    <row r="280" spans="1:20" x14ac:dyDescent="0.25">
      <c r="A280" t="s">
        <v>1270</v>
      </c>
      <c r="B280" t="s">
        <v>169</v>
      </c>
      <c r="C280" t="s">
        <v>586</v>
      </c>
      <c r="D280" t="s">
        <v>736</v>
      </c>
      <c r="E280" t="s">
        <v>737</v>
      </c>
      <c r="F280">
        <v>3.745868524502876</v>
      </c>
      <c r="G280">
        <v>17.527788574512204</v>
      </c>
      <c r="H280" t="s">
        <v>1271</v>
      </c>
      <c r="I280" t="s">
        <v>597</v>
      </c>
      <c r="J280">
        <v>5</v>
      </c>
      <c r="K280" t="s">
        <v>629</v>
      </c>
      <c r="L280">
        <v>585000</v>
      </c>
      <c r="M280">
        <v>2.2200000000000002</v>
      </c>
      <c r="N280">
        <v>17.527788574512204</v>
      </c>
      <c r="O280" t="s">
        <v>592</v>
      </c>
      <c r="P280" t="s">
        <v>593</v>
      </c>
      <c r="Q280" t="s">
        <v>586</v>
      </c>
      <c r="R280">
        <v>50000</v>
      </c>
      <c r="S280" t="s">
        <v>599</v>
      </c>
      <c r="T280">
        <v>66</v>
      </c>
    </row>
    <row r="281" spans="1:20" x14ac:dyDescent="0.25">
      <c r="A281" t="s">
        <v>1272</v>
      </c>
      <c r="B281" t="s">
        <v>170</v>
      </c>
      <c r="C281" t="s">
        <v>586</v>
      </c>
      <c r="D281" t="s">
        <v>900</v>
      </c>
      <c r="E281" t="s">
        <v>1273</v>
      </c>
      <c r="F281">
        <v>0.24624814527113265</v>
      </c>
      <c r="G281">
        <v>25.654279452054784</v>
      </c>
      <c r="H281" t="s">
        <v>1274</v>
      </c>
      <c r="I281" t="s">
        <v>721</v>
      </c>
      <c r="J281">
        <v>4</v>
      </c>
      <c r="K281" t="s">
        <v>694</v>
      </c>
      <c r="L281">
        <v>775000</v>
      </c>
      <c r="M281">
        <v>1.78</v>
      </c>
      <c r="N281">
        <v>25.654279452054784</v>
      </c>
      <c r="O281" t="s">
        <v>592</v>
      </c>
      <c r="P281" t="s">
        <v>593</v>
      </c>
      <c r="Q281" t="s">
        <v>586</v>
      </c>
      <c r="R281">
        <v>15000</v>
      </c>
      <c r="S281" t="s">
        <v>712</v>
      </c>
      <c r="T281">
        <v>95</v>
      </c>
    </row>
    <row r="282" spans="1:20" x14ac:dyDescent="0.25">
      <c r="A282" t="s">
        <v>1275</v>
      </c>
      <c r="B282" t="s">
        <v>109</v>
      </c>
      <c r="C282" t="s">
        <v>586</v>
      </c>
      <c r="D282" t="s">
        <v>690</v>
      </c>
      <c r="E282" t="s">
        <v>1048</v>
      </c>
      <c r="F282">
        <v>1.7866171445310304</v>
      </c>
      <c r="G282">
        <v>1.7560547945205451</v>
      </c>
      <c r="H282" t="s">
        <v>802</v>
      </c>
      <c r="I282" t="s">
        <v>611</v>
      </c>
      <c r="J282">
        <v>5</v>
      </c>
      <c r="K282" t="s">
        <v>664</v>
      </c>
      <c r="L282">
        <v>10065000</v>
      </c>
      <c r="M282">
        <v>1.6400000000000001</v>
      </c>
      <c r="N282">
        <v>1.7560547945205451</v>
      </c>
      <c r="O282" t="s">
        <v>592</v>
      </c>
      <c r="P282" t="s">
        <v>593</v>
      </c>
      <c r="Q282" t="s">
        <v>586</v>
      </c>
      <c r="R282">
        <v>50000</v>
      </c>
      <c r="S282" t="s">
        <v>599</v>
      </c>
      <c r="T282">
        <v>92</v>
      </c>
    </row>
    <row r="283" spans="1:20" x14ac:dyDescent="0.25">
      <c r="A283" t="s">
        <v>1276</v>
      </c>
      <c r="B283" t="s">
        <v>171</v>
      </c>
      <c r="C283" t="s">
        <v>586</v>
      </c>
      <c r="D283" t="s">
        <v>587</v>
      </c>
      <c r="E283" t="s">
        <v>756</v>
      </c>
      <c r="F283">
        <v>3.6601465000291631</v>
      </c>
      <c r="G283">
        <v>8.0390580340102815</v>
      </c>
      <c r="H283" t="s">
        <v>1246</v>
      </c>
      <c r="I283" t="s">
        <v>611</v>
      </c>
      <c r="J283">
        <v>5</v>
      </c>
      <c r="K283" t="s">
        <v>620</v>
      </c>
      <c r="L283">
        <v>805000</v>
      </c>
      <c r="M283">
        <v>1.8800000000000001</v>
      </c>
      <c r="N283">
        <v>8.0390580340102815</v>
      </c>
      <c r="O283" t="s">
        <v>592</v>
      </c>
      <c r="P283" t="s">
        <v>593</v>
      </c>
      <c r="Q283" t="s">
        <v>586</v>
      </c>
      <c r="R283">
        <v>70000</v>
      </c>
      <c r="S283" t="s">
        <v>635</v>
      </c>
      <c r="T283">
        <v>65</v>
      </c>
    </row>
    <row r="284" spans="1:20" x14ac:dyDescent="0.25">
      <c r="A284" t="s">
        <v>1277</v>
      </c>
      <c r="B284" t="s">
        <v>172</v>
      </c>
      <c r="C284" t="s">
        <v>586</v>
      </c>
      <c r="D284" t="s">
        <v>863</v>
      </c>
      <c r="E284" t="s">
        <v>1278</v>
      </c>
      <c r="F284">
        <v>0.41191015202215769</v>
      </c>
      <c r="G284">
        <v>107.33688201853211</v>
      </c>
      <c r="H284" t="s">
        <v>1279</v>
      </c>
      <c r="I284" t="s">
        <v>611</v>
      </c>
      <c r="J284">
        <v>2.125</v>
      </c>
      <c r="K284" t="s">
        <v>686</v>
      </c>
      <c r="L284">
        <v>150000</v>
      </c>
      <c r="M284">
        <v>2.3199999999999998</v>
      </c>
      <c r="N284">
        <v>107.33688201853211</v>
      </c>
      <c r="O284" t="s">
        <v>592</v>
      </c>
      <c r="P284" t="s">
        <v>711</v>
      </c>
      <c r="Q284" t="s">
        <v>586</v>
      </c>
      <c r="R284" t="s">
        <v>712</v>
      </c>
      <c r="S284" t="s">
        <v>712</v>
      </c>
      <c r="T284">
        <v>85</v>
      </c>
    </row>
    <row r="285" spans="1:20" x14ac:dyDescent="0.25">
      <c r="A285" t="s">
        <v>1280</v>
      </c>
      <c r="B285" t="s">
        <v>172</v>
      </c>
      <c r="C285" t="s">
        <v>586</v>
      </c>
      <c r="D285" t="s">
        <v>863</v>
      </c>
      <c r="E285" t="s">
        <v>1278</v>
      </c>
      <c r="F285">
        <v>1.3842887739675531</v>
      </c>
      <c r="G285">
        <v>115.4770296045029</v>
      </c>
      <c r="H285" t="s">
        <v>1279</v>
      </c>
      <c r="I285" t="s">
        <v>611</v>
      </c>
      <c r="J285">
        <v>2.375</v>
      </c>
      <c r="K285" t="s">
        <v>946</v>
      </c>
      <c r="L285">
        <v>155000</v>
      </c>
      <c r="M285">
        <v>2.56</v>
      </c>
      <c r="N285">
        <v>115.4770296045029</v>
      </c>
      <c r="O285" t="s">
        <v>592</v>
      </c>
      <c r="P285" t="s">
        <v>711</v>
      </c>
      <c r="Q285" t="s">
        <v>586</v>
      </c>
      <c r="R285" t="s">
        <v>712</v>
      </c>
      <c r="S285" t="s">
        <v>712</v>
      </c>
      <c r="T285">
        <v>62</v>
      </c>
    </row>
    <row r="286" spans="1:20" x14ac:dyDescent="0.25">
      <c r="A286" t="s">
        <v>1281</v>
      </c>
      <c r="B286" t="s">
        <v>172</v>
      </c>
      <c r="C286" t="s">
        <v>586</v>
      </c>
      <c r="D286" t="s">
        <v>863</v>
      </c>
      <c r="E286" t="s">
        <v>1278</v>
      </c>
      <c r="F286">
        <v>2.3307223688905467</v>
      </c>
      <c r="G286">
        <v>117.62254504851238</v>
      </c>
      <c r="H286" t="s">
        <v>1279</v>
      </c>
      <c r="I286" t="s">
        <v>611</v>
      </c>
      <c r="J286">
        <v>2.5</v>
      </c>
      <c r="K286" t="s">
        <v>747</v>
      </c>
      <c r="L286">
        <v>160000</v>
      </c>
      <c r="M286">
        <v>2.74</v>
      </c>
      <c r="N286">
        <v>117.62254504851238</v>
      </c>
      <c r="O286" t="s">
        <v>592</v>
      </c>
      <c r="P286" t="s">
        <v>711</v>
      </c>
      <c r="Q286" t="s">
        <v>586</v>
      </c>
      <c r="R286" t="s">
        <v>712</v>
      </c>
      <c r="S286" t="s">
        <v>712</v>
      </c>
      <c r="T286">
        <v>45</v>
      </c>
    </row>
    <row r="287" spans="1:20" x14ac:dyDescent="0.25">
      <c r="A287" t="s">
        <v>1282</v>
      </c>
      <c r="B287" t="s">
        <v>173</v>
      </c>
      <c r="C287" t="s">
        <v>586</v>
      </c>
      <c r="D287" t="s">
        <v>795</v>
      </c>
      <c r="E287" t="s">
        <v>1283</v>
      </c>
      <c r="F287">
        <v>5.555273843089366E-3</v>
      </c>
      <c r="G287">
        <v>82.873539082338255</v>
      </c>
      <c r="H287" t="s">
        <v>1143</v>
      </c>
      <c r="I287" t="s">
        <v>661</v>
      </c>
      <c r="J287">
        <v>4</v>
      </c>
      <c r="K287" t="s">
        <v>995</v>
      </c>
      <c r="L287">
        <v>15000</v>
      </c>
      <c r="M287">
        <v>2</v>
      </c>
      <c r="N287">
        <v>82.873539082338255</v>
      </c>
      <c r="O287" t="s">
        <v>592</v>
      </c>
      <c r="P287" t="s">
        <v>711</v>
      </c>
      <c r="Q287" t="s">
        <v>586</v>
      </c>
      <c r="R287" t="s">
        <v>712</v>
      </c>
      <c r="S287" t="s">
        <v>712</v>
      </c>
      <c r="T287">
        <v>94</v>
      </c>
    </row>
    <row r="288" spans="1:20" x14ac:dyDescent="0.25">
      <c r="A288" t="s">
        <v>1284</v>
      </c>
      <c r="B288" t="s">
        <v>27</v>
      </c>
      <c r="C288" t="s">
        <v>586</v>
      </c>
      <c r="D288" t="s">
        <v>637</v>
      </c>
      <c r="E288" t="s">
        <v>638</v>
      </c>
      <c r="F288">
        <v>1.8291896025847272</v>
      </c>
      <c r="G288">
        <v>23.999597360801772</v>
      </c>
      <c r="H288" t="s">
        <v>639</v>
      </c>
      <c r="I288" t="s">
        <v>619</v>
      </c>
      <c r="J288">
        <v>5</v>
      </c>
      <c r="K288" t="s">
        <v>658</v>
      </c>
      <c r="L288">
        <v>5160000</v>
      </c>
      <c r="M288">
        <v>2.27</v>
      </c>
      <c r="N288">
        <v>23.999597360801772</v>
      </c>
      <c r="O288" t="s">
        <v>592</v>
      </c>
      <c r="P288" t="s">
        <v>593</v>
      </c>
      <c r="Q288" t="s">
        <v>586</v>
      </c>
      <c r="R288">
        <v>1400000</v>
      </c>
      <c r="S288" t="s">
        <v>635</v>
      </c>
      <c r="T288">
        <v>88</v>
      </c>
    </row>
    <row r="289" spans="1:20" x14ac:dyDescent="0.25">
      <c r="A289" t="s">
        <v>1285</v>
      </c>
      <c r="B289" t="s">
        <v>27</v>
      </c>
      <c r="C289" t="s">
        <v>586</v>
      </c>
      <c r="D289" t="s">
        <v>637</v>
      </c>
      <c r="E289" t="s">
        <v>638</v>
      </c>
      <c r="F289">
        <v>2.7208180827001169</v>
      </c>
      <c r="G289">
        <v>24.063669677369639</v>
      </c>
      <c r="H289" t="s">
        <v>639</v>
      </c>
      <c r="I289" t="s">
        <v>619</v>
      </c>
      <c r="J289">
        <v>5</v>
      </c>
      <c r="K289" t="s">
        <v>626</v>
      </c>
      <c r="L289">
        <v>5415000</v>
      </c>
      <c r="M289">
        <v>2.4000000000000004</v>
      </c>
      <c r="N289">
        <v>24.063669677369639</v>
      </c>
      <c r="O289" t="s">
        <v>592</v>
      </c>
      <c r="P289" t="s">
        <v>593</v>
      </c>
      <c r="Q289" t="s">
        <v>586</v>
      </c>
      <c r="R289">
        <v>75000</v>
      </c>
      <c r="S289" t="s">
        <v>635</v>
      </c>
      <c r="T289">
        <v>80</v>
      </c>
    </row>
    <row r="290" spans="1:20" x14ac:dyDescent="0.25">
      <c r="A290" t="s">
        <v>1286</v>
      </c>
      <c r="B290" t="s">
        <v>27</v>
      </c>
      <c r="C290" t="s">
        <v>586</v>
      </c>
      <c r="D290" t="s">
        <v>637</v>
      </c>
      <c r="E290" t="s">
        <v>638</v>
      </c>
      <c r="F290">
        <v>4.3913893270449194</v>
      </c>
      <c r="G290">
        <v>25.527340177486035</v>
      </c>
      <c r="H290" t="s">
        <v>639</v>
      </c>
      <c r="I290" t="s">
        <v>619</v>
      </c>
      <c r="J290">
        <v>5</v>
      </c>
      <c r="K290" t="s">
        <v>1174</v>
      </c>
      <c r="L290">
        <v>5970000</v>
      </c>
      <c r="M290">
        <v>2.62</v>
      </c>
      <c r="N290">
        <v>25.527340177486035</v>
      </c>
      <c r="O290" t="s">
        <v>592</v>
      </c>
      <c r="P290" t="s">
        <v>593</v>
      </c>
      <c r="Q290" t="s">
        <v>586</v>
      </c>
      <c r="R290">
        <v>420000</v>
      </c>
      <c r="S290" t="s">
        <v>635</v>
      </c>
      <c r="T290">
        <v>70</v>
      </c>
    </row>
    <row r="291" spans="1:20" x14ac:dyDescent="0.25">
      <c r="A291" t="s">
        <v>1287</v>
      </c>
      <c r="B291" t="s">
        <v>174</v>
      </c>
      <c r="C291" t="s">
        <v>586</v>
      </c>
      <c r="D291" t="s">
        <v>642</v>
      </c>
      <c r="E291" t="s">
        <v>1288</v>
      </c>
      <c r="F291">
        <v>0.81979104669511293</v>
      </c>
      <c r="G291">
        <v>12.786757500007351</v>
      </c>
      <c r="H291" t="s">
        <v>596</v>
      </c>
      <c r="I291" t="s">
        <v>721</v>
      </c>
      <c r="J291">
        <v>2</v>
      </c>
      <c r="K291" t="s">
        <v>984</v>
      </c>
      <c r="L291">
        <v>55000</v>
      </c>
      <c r="M291">
        <v>1.95</v>
      </c>
      <c r="N291">
        <v>12.786757500007351</v>
      </c>
      <c r="O291" t="s">
        <v>592</v>
      </c>
      <c r="P291" t="s">
        <v>613</v>
      </c>
      <c r="Q291" t="s">
        <v>586</v>
      </c>
      <c r="R291" t="s">
        <v>712</v>
      </c>
      <c r="S291" t="s">
        <v>712</v>
      </c>
      <c r="T291">
        <v>70</v>
      </c>
    </row>
    <row r="292" spans="1:20" x14ac:dyDescent="0.25">
      <c r="A292" t="s">
        <v>1289</v>
      </c>
      <c r="B292" t="s">
        <v>174</v>
      </c>
      <c r="C292" t="s">
        <v>586</v>
      </c>
      <c r="D292" t="s">
        <v>642</v>
      </c>
      <c r="E292" t="s">
        <v>1288</v>
      </c>
      <c r="F292">
        <v>1.7852153866024338</v>
      </c>
      <c r="G292">
        <v>2.042368962793506</v>
      </c>
      <c r="H292" t="s">
        <v>596</v>
      </c>
      <c r="I292" t="s">
        <v>721</v>
      </c>
      <c r="J292">
        <v>2</v>
      </c>
      <c r="K292" t="s">
        <v>1114</v>
      </c>
      <c r="L292">
        <v>60000</v>
      </c>
      <c r="M292">
        <v>2</v>
      </c>
      <c r="N292">
        <v>2.042368962793506</v>
      </c>
      <c r="O292" t="s">
        <v>592</v>
      </c>
      <c r="P292" t="s">
        <v>613</v>
      </c>
      <c r="Q292" t="s">
        <v>586</v>
      </c>
      <c r="R292" t="s">
        <v>712</v>
      </c>
      <c r="S292" t="s">
        <v>712</v>
      </c>
      <c r="T292">
        <v>55</v>
      </c>
    </row>
    <row r="293" spans="1:20" x14ac:dyDescent="0.25">
      <c r="A293" t="s">
        <v>1290</v>
      </c>
      <c r="B293" t="s">
        <v>175</v>
      </c>
      <c r="C293" t="s">
        <v>607</v>
      </c>
      <c r="D293" t="s">
        <v>1291</v>
      </c>
      <c r="E293" t="s">
        <v>1292</v>
      </c>
      <c r="F293">
        <v>0.28522481214425877</v>
      </c>
      <c r="G293">
        <v>42.155890410958904</v>
      </c>
      <c r="H293" t="s">
        <v>963</v>
      </c>
      <c r="I293" t="s">
        <v>1293</v>
      </c>
      <c r="J293">
        <v>2</v>
      </c>
      <c r="K293" t="s">
        <v>1294</v>
      </c>
      <c r="L293">
        <v>450000</v>
      </c>
      <c r="M293">
        <v>1.8</v>
      </c>
      <c r="N293">
        <v>42.155890410958904</v>
      </c>
      <c r="O293" t="s">
        <v>592</v>
      </c>
      <c r="P293" t="s">
        <v>711</v>
      </c>
      <c r="Q293" t="s">
        <v>586</v>
      </c>
      <c r="R293" t="s">
        <v>712</v>
      </c>
      <c r="S293" t="s">
        <v>712</v>
      </c>
      <c r="T293">
        <v>28</v>
      </c>
    </row>
    <row r="294" spans="1:20" x14ac:dyDescent="0.25">
      <c r="A294" t="s">
        <v>1295</v>
      </c>
      <c r="B294" t="s">
        <v>175</v>
      </c>
      <c r="C294" t="s">
        <v>607</v>
      </c>
      <c r="D294" t="s">
        <v>1291</v>
      </c>
      <c r="E294" t="s">
        <v>1292</v>
      </c>
      <c r="F294">
        <v>0.28522474348442123</v>
      </c>
      <c r="G294">
        <v>42.155890410958904</v>
      </c>
      <c r="H294" t="s">
        <v>963</v>
      </c>
      <c r="I294" t="s">
        <v>1293</v>
      </c>
      <c r="J294">
        <v>4</v>
      </c>
      <c r="K294" t="s">
        <v>1294</v>
      </c>
      <c r="L294">
        <v>510000</v>
      </c>
      <c r="M294">
        <v>1.8</v>
      </c>
      <c r="N294">
        <v>42.155890410958904</v>
      </c>
      <c r="O294" t="s">
        <v>592</v>
      </c>
      <c r="P294" t="s">
        <v>711</v>
      </c>
      <c r="Q294" t="s">
        <v>586</v>
      </c>
      <c r="R294" t="s">
        <v>712</v>
      </c>
      <c r="S294" t="s">
        <v>712</v>
      </c>
      <c r="T294">
        <v>82</v>
      </c>
    </row>
    <row r="295" spans="1:20" x14ac:dyDescent="0.25">
      <c r="A295" t="s">
        <v>1296</v>
      </c>
      <c r="B295" t="s">
        <v>176</v>
      </c>
      <c r="C295" t="s">
        <v>586</v>
      </c>
      <c r="D295" t="s">
        <v>642</v>
      </c>
      <c r="E295" t="s">
        <v>643</v>
      </c>
      <c r="F295">
        <v>0.81488614091351119</v>
      </c>
      <c r="G295">
        <v>18.008478940407869</v>
      </c>
      <c r="H295" t="s">
        <v>856</v>
      </c>
      <c r="I295" t="s">
        <v>661</v>
      </c>
      <c r="J295">
        <v>4</v>
      </c>
      <c r="K295" t="s">
        <v>984</v>
      </c>
      <c r="L295">
        <v>130000</v>
      </c>
      <c r="M295">
        <v>1.74</v>
      </c>
      <c r="N295">
        <v>18.008478940407869</v>
      </c>
      <c r="O295" t="s">
        <v>592</v>
      </c>
      <c r="P295" t="s">
        <v>627</v>
      </c>
      <c r="Q295" t="s">
        <v>586</v>
      </c>
      <c r="R295" t="s">
        <v>712</v>
      </c>
      <c r="S295" t="s">
        <v>712</v>
      </c>
      <c r="T295">
        <v>84</v>
      </c>
    </row>
    <row r="296" spans="1:20" x14ac:dyDescent="0.25">
      <c r="A296" t="s">
        <v>1297</v>
      </c>
      <c r="B296" t="s">
        <v>176</v>
      </c>
      <c r="C296" t="s">
        <v>586</v>
      </c>
      <c r="D296" t="s">
        <v>642</v>
      </c>
      <c r="E296" t="s">
        <v>643</v>
      </c>
      <c r="F296">
        <v>1.7579570308189976</v>
      </c>
      <c r="G296">
        <v>19.924034468305528</v>
      </c>
      <c r="H296" t="s">
        <v>856</v>
      </c>
      <c r="I296" t="s">
        <v>661</v>
      </c>
      <c r="J296">
        <v>4</v>
      </c>
      <c r="K296" t="s">
        <v>1114</v>
      </c>
      <c r="L296">
        <v>135000</v>
      </c>
      <c r="M296">
        <v>1.92</v>
      </c>
      <c r="N296">
        <v>19.924034468305528</v>
      </c>
      <c r="O296" t="s">
        <v>592</v>
      </c>
      <c r="P296" t="s">
        <v>627</v>
      </c>
      <c r="Q296" t="s">
        <v>586</v>
      </c>
      <c r="R296" t="s">
        <v>712</v>
      </c>
      <c r="S296" t="s">
        <v>712</v>
      </c>
      <c r="T296">
        <v>76</v>
      </c>
    </row>
    <row r="297" spans="1:20" x14ac:dyDescent="0.25">
      <c r="A297" t="s">
        <v>1298</v>
      </c>
      <c r="B297" t="s">
        <v>176</v>
      </c>
      <c r="C297" t="s">
        <v>586</v>
      </c>
      <c r="D297" t="s">
        <v>642</v>
      </c>
      <c r="E297" t="s">
        <v>643</v>
      </c>
      <c r="F297">
        <v>2.6664240980692835</v>
      </c>
      <c r="G297">
        <v>26.040434258766652</v>
      </c>
      <c r="H297" t="s">
        <v>856</v>
      </c>
      <c r="I297" t="s">
        <v>661</v>
      </c>
      <c r="J297">
        <v>4</v>
      </c>
      <c r="K297" t="s">
        <v>669</v>
      </c>
      <c r="L297">
        <v>145000</v>
      </c>
      <c r="M297">
        <v>2.14</v>
      </c>
      <c r="N297">
        <v>26.040434258766652</v>
      </c>
      <c r="O297" t="s">
        <v>592</v>
      </c>
      <c r="P297" t="s">
        <v>627</v>
      </c>
      <c r="Q297" t="s">
        <v>586</v>
      </c>
      <c r="R297" t="s">
        <v>712</v>
      </c>
      <c r="S297" t="s">
        <v>712</v>
      </c>
      <c r="T297">
        <v>65</v>
      </c>
    </row>
    <row r="298" spans="1:20" x14ac:dyDescent="0.25">
      <c r="A298" t="s">
        <v>1299</v>
      </c>
      <c r="B298" t="s">
        <v>36</v>
      </c>
      <c r="C298" t="s">
        <v>586</v>
      </c>
      <c r="D298" t="s">
        <v>690</v>
      </c>
      <c r="E298" t="s">
        <v>691</v>
      </c>
      <c r="F298">
        <v>0.16365625553853094</v>
      </c>
      <c r="G298">
        <v>9.9724892842371524</v>
      </c>
      <c r="H298" t="s">
        <v>692</v>
      </c>
      <c r="I298" t="s">
        <v>611</v>
      </c>
      <c r="J298">
        <v>5</v>
      </c>
      <c r="K298" t="s">
        <v>749</v>
      </c>
      <c r="L298">
        <v>2125000</v>
      </c>
      <c r="M298">
        <v>1.71</v>
      </c>
      <c r="N298">
        <v>9.9724892842371524</v>
      </c>
      <c r="O298" t="s">
        <v>592</v>
      </c>
      <c r="P298" t="s">
        <v>593</v>
      </c>
      <c r="Q298" t="s">
        <v>586</v>
      </c>
      <c r="R298" t="s">
        <v>712</v>
      </c>
      <c r="S298" t="s">
        <v>599</v>
      </c>
      <c r="T298">
        <v>95</v>
      </c>
    </row>
    <row r="299" spans="1:20" x14ac:dyDescent="0.25">
      <c r="A299" t="s">
        <v>1300</v>
      </c>
      <c r="B299" t="s">
        <v>36</v>
      </c>
      <c r="C299" t="s">
        <v>586</v>
      </c>
      <c r="D299" t="s">
        <v>690</v>
      </c>
      <c r="E299" t="s">
        <v>691</v>
      </c>
      <c r="F299">
        <v>1.1204379990407936</v>
      </c>
      <c r="G299">
        <v>9.1238516423521645</v>
      </c>
      <c r="H299" t="s">
        <v>692</v>
      </c>
      <c r="I299" t="s">
        <v>611</v>
      </c>
      <c r="J299">
        <v>5</v>
      </c>
      <c r="K299" t="s">
        <v>598</v>
      </c>
      <c r="L299">
        <v>2125000</v>
      </c>
      <c r="M299">
        <v>1.87</v>
      </c>
      <c r="N299">
        <v>9.1238516423521645</v>
      </c>
      <c r="O299" t="s">
        <v>592</v>
      </c>
      <c r="P299" t="s">
        <v>593</v>
      </c>
      <c r="Q299" t="s">
        <v>586</v>
      </c>
      <c r="R299">
        <v>6375000</v>
      </c>
      <c r="S299" t="s">
        <v>599</v>
      </c>
      <c r="T299">
        <v>92</v>
      </c>
    </row>
    <row r="300" spans="1:20" x14ac:dyDescent="0.25">
      <c r="A300" t="s">
        <v>1301</v>
      </c>
      <c r="B300" t="s">
        <v>36</v>
      </c>
      <c r="C300" t="s">
        <v>586</v>
      </c>
      <c r="D300" t="s">
        <v>690</v>
      </c>
      <c r="E300" t="s">
        <v>691</v>
      </c>
      <c r="F300">
        <v>2.9081813192549748</v>
      </c>
      <c r="G300">
        <v>3.4992580369040738</v>
      </c>
      <c r="H300" t="s">
        <v>692</v>
      </c>
      <c r="I300" t="s">
        <v>611</v>
      </c>
      <c r="J300">
        <v>5</v>
      </c>
      <c r="K300" t="s">
        <v>727</v>
      </c>
      <c r="L300">
        <v>2125000</v>
      </c>
      <c r="M300">
        <v>2.13</v>
      </c>
      <c r="N300">
        <v>3.4992580369040738</v>
      </c>
      <c r="O300" t="s">
        <v>592</v>
      </c>
      <c r="P300" t="s">
        <v>593</v>
      </c>
      <c r="Q300" t="s">
        <v>586</v>
      </c>
      <c r="R300" t="s">
        <v>712</v>
      </c>
      <c r="S300" t="s">
        <v>599</v>
      </c>
      <c r="T300">
        <v>84</v>
      </c>
    </row>
    <row r="301" spans="1:20" x14ac:dyDescent="0.25">
      <c r="A301" t="s">
        <v>1302</v>
      </c>
      <c r="B301" t="s">
        <v>119</v>
      </c>
      <c r="C301" t="s">
        <v>586</v>
      </c>
      <c r="D301" t="s">
        <v>1090</v>
      </c>
      <c r="E301" t="s">
        <v>1091</v>
      </c>
      <c r="F301">
        <v>0.89490582271921992</v>
      </c>
      <c r="G301">
        <v>24.590297462380306</v>
      </c>
      <c r="H301" t="s">
        <v>1092</v>
      </c>
      <c r="I301" t="s">
        <v>625</v>
      </c>
      <c r="J301">
        <v>2.2000000000000002</v>
      </c>
      <c r="K301" t="s">
        <v>640</v>
      </c>
      <c r="L301">
        <v>2010000</v>
      </c>
      <c r="M301">
        <v>2.2000000000000002</v>
      </c>
      <c r="N301">
        <v>24.590297462380306</v>
      </c>
      <c r="O301" t="s">
        <v>592</v>
      </c>
      <c r="P301" t="s">
        <v>723</v>
      </c>
      <c r="Q301" t="s">
        <v>607</v>
      </c>
      <c r="R301" t="s">
        <v>712</v>
      </c>
      <c r="S301" t="s">
        <v>635</v>
      </c>
      <c r="T301">
        <v>87</v>
      </c>
    </row>
    <row r="302" spans="1:20" x14ac:dyDescent="0.25">
      <c r="A302" t="s">
        <v>1303</v>
      </c>
      <c r="B302" t="s">
        <v>119</v>
      </c>
      <c r="C302" t="s">
        <v>586</v>
      </c>
      <c r="D302" t="s">
        <v>1090</v>
      </c>
      <c r="E302" t="s">
        <v>1091</v>
      </c>
      <c r="F302">
        <v>2.7785389220533263</v>
      </c>
      <c r="G302">
        <v>36.25117309009007</v>
      </c>
      <c r="H302" t="s">
        <v>1092</v>
      </c>
      <c r="I302" t="s">
        <v>625</v>
      </c>
      <c r="J302">
        <v>2.5</v>
      </c>
      <c r="K302" t="s">
        <v>626</v>
      </c>
      <c r="L302">
        <v>2105000</v>
      </c>
      <c r="M302">
        <v>2.5</v>
      </c>
      <c r="N302">
        <v>36.25117309009007</v>
      </c>
      <c r="O302" t="s">
        <v>592</v>
      </c>
      <c r="P302" t="s">
        <v>723</v>
      </c>
      <c r="Q302" t="s">
        <v>607</v>
      </c>
      <c r="R302" t="s">
        <v>712</v>
      </c>
      <c r="S302" t="s">
        <v>635</v>
      </c>
      <c r="T302">
        <v>65</v>
      </c>
    </row>
    <row r="303" spans="1:20" x14ac:dyDescent="0.25">
      <c r="A303" t="s">
        <v>1304</v>
      </c>
      <c r="B303" t="s">
        <v>119</v>
      </c>
      <c r="C303" t="s">
        <v>586</v>
      </c>
      <c r="D303" t="s">
        <v>1090</v>
      </c>
      <c r="E303" t="s">
        <v>1091</v>
      </c>
      <c r="F303">
        <v>4.5352484423515689</v>
      </c>
      <c r="G303">
        <v>54.116990921971244</v>
      </c>
      <c r="H303" t="s">
        <v>1092</v>
      </c>
      <c r="I303" t="s">
        <v>625</v>
      </c>
      <c r="J303">
        <v>2.8</v>
      </c>
      <c r="K303" t="s">
        <v>1174</v>
      </c>
      <c r="L303">
        <v>2220000</v>
      </c>
      <c r="M303">
        <v>2.8000000000000003</v>
      </c>
      <c r="N303">
        <v>54.116990921971244</v>
      </c>
      <c r="O303" t="s">
        <v>592</v>
      </c>
      <c r="P303" t="s">
        <v>723</v>
      </c>
      <c r="Q303" t="s">
        <v>607</v>
      </c>
      <c r="R303" t="s">
        <v>712</v>
      </c>
      <c r="S303" t="s">
        <v>635</v>
      </c>
      <c r="T303">
        <v>53</v>
      </c>
    </row>
    <row r="304" spans="1:20" x14ac:dyDescent="0.25">
      <c r="A304" t="s">
        <v>1305</v>
      </c>
      <c r="B304" t="s">
        <v>140</v>
      </c>
      <c r="C304" t="s">
        <v>607</v>
      </c>
      <c r="D304" t="s">
        <v>875</v>
      </c>
      <c r="E304" t="s">
        <v>1119</v>
      </c>
      <c r="F304">
        <v>0.8126297475810933</v>
      </c>
      <c r="G304">
        <v>39.343199999999982</v>
      </c>
      <c r="H304" t="s">
        <v>802</v>
      </c>
      <c r="I304" t="s">
        <v>1162</v>
      </c>
      <c r="J304">
        <v>5</v>
      </c>
      <c r="K304" t="s">
        <v>984</v>
      </c>
      <c r="L304">
        <v>1650000</v>
      </c>
      <c r="M304">
        <v>1.9000000000000001</v>
      </c>
      <c r="N304">
        <v>39.343199999999982</v>
      </c>
      <c r="O304" t="s">
        <v>592</v>
      </c>
      <c r="P304" t="s">
        <v>593</v>
      </c>
      <c r="Q304" t="s">
        <v>586</v>
      </c>
      <c r="R304">
        <v>120000</v>
      </c>
      <c r="S304" t="s">
        <v>878</v>
      </c>
      <c r="T304">
        <v>93</v>
      </c>
    </row>
    <row r="305" spans="1:20" x14ac:dyDescent="0.25">
      <c r="A305" t="s">
        <v>1306</v>
      </c>
      <c r="B305" t="s">
        <v>140</v>
      </c>
      <c r="C305" t="s">
        <v>607</v>
      </c>
      <c r="D305" t="s">
        <v>875</v>
      </c>
      <c r="E305" t="s">
        <v>1119</v>
      </c>
      <c r="F305">
        <v>1.7450616565340025</v>
      </c>
      <c r="G305">
        <v>40.631643835616437</v>
      </c>
      <c r="H305" t="s">
        <v>802</v>
      </c>
      <c r="I305" t="s">
        <v>1162</v>
      </c>
      <c r="J305">
        <v>5</v>
      </c>
      <c r="K305" t="s">
        <v>1114</v>
      </c>
      <c r="L305">
        <v>1730000</v>
      </c>
      <c r="M305">
        <v>2.04</v>
      </c>
      <c r="N305">
        <v>40.631643835616437</v>
      </c>
      <c r="O305" t="s">
        <v>592</v>
      </c>
      <c r="P305" t="s">
        <v>593</v>
      </c>
      <c r="Q305" t="s">
        <v>586</v>
      </c>
      <c r="R305" t="s">
        <v>712</v>
      </c>
      <c r="S305" t="s">
        <v>878</v>
      </c>
      <c r="T305">
        <v>85</v>
      </c>
    </row>
    <row r="306" spans="1:20" x14ac:dyDescent="0.25">
      <c r="A306" t="s">
        <v>1307</v>
      </c>
      <c r="B306" t="s">
        <v>140</v>
      </c>
      <c r="C306" t="s">
        <v>607</v>
      </c>
      <c r="D306" t="s">
        <v>875</v>
      </c>
      <c r="E306" t="s">
        <v>1119</v>
      </c>
      <c r="F306">
        <v>2.6361418113850448</v>
      </c>
      <c r="G306">
        <v>41.759863013698649</v>
      </c>
      <c r="H306" t="s">
        <v>802</v>
      </c>
      <c r="I306" t="s">
        <v>1162</v>
      </c>
      <c r="J306">
        <v>5</v>
      </c>
      <c r="K306" t="s">
        <v>669</v>
      </c>
      <c r="L306">
        <v>1815000</v>
      </c>
      <c r="M306">
        <v>2.1800000000000002</v>
      </c>
      <c r="N306">
        <v>41.759863013698649</v>
      </c>
      <c r="O306" t="s">
        <v>592</v>
      </c>
      <c r="P306" t="s">
        <v>593</v>
      </c>
      <c r="Q306" t="s">
        <v>586</v>
      </c>
      <c r="R306" t="s">
        <v>712</v>
      </c>
      <c r="S306" t="s">
        <v>878</v>
      </c>
      <c r="T306">
        <v>78</v>
      </c>
    </row>
    <row r="307" spans="1:20" x14ac:dyDescent="0.25">
      <c r="A307" t="s">
        <v>1308</v>
      </c>
      <c r="B307" t="s">
        <v>140</v>
      </c>
      <c r="C307" t="s">
        <v>607</v>
      </c>
      <c r="D307" t="s">
        <v>875</v>
      </c>
      <c r="E307" t="s">
        <v>1119</v>
      </c>
      <c r="F307">
        <v>4.3063663353436752</v>
      </c>
      <c r="G307">
        <v>49.125013698630163</v>
      </c>
      <c r="H307" t="s">
        <v>802</v>
      </c>
      <c r="I307" t="s">
        <v>1162</v>
      </c>
      <c r="J307">
        <v>5</v>
      </c>
      <c r="K307" t="s">
        <v>722</v>
      </c>
      <c r="L307">
        <v>2005000</v>
      </c>
      <c r="M307">
        <v>2.4700000000000002</v>
      </c>
      <c r="N307">
        <v>49.125013698630163</v>
      </c>
      <c r="O307" t="s">
        <v>592</v>
      </c>
      <c r="P307" t="s">
        <v>593</v>
      </c>
      <c r="Q307" t="s">
        <v>586</v>
      </c>
      <c r="R307">
        <v>60000</v>
      </c>
      <c r="S307" t="s">
        <v>878</v>
      </c>
      <c r="T307">
        <v>65</v>
      </c>
    </row>
    <row r="308" spans="1:20" x14ac:dyDescent="0.25">
      <c r="A308" t="s">
        <v>1309</v>
      </c>
      <c r="B308" t="s">
        <v>128</v>
      </c>
      <c r="C308" t="s">
        <v>607</v>
      </c>
      <c r="D308" t="s">
        <v>875</v>
      </c>
      <c r="E308" t="s">
        <v>1119</v>
      </c>
      <c r="F308">
        <v>0.41183804210143404</v>
      </c>
      <c r="G308">
        <v>52.715443835616462</v>
      </c>
      <c r="H308" t="s">
        <v>1120</v>
      </c>
      <c r="I308" t="s">
        <v>1037</v>
      </c>
      <c r="J308">
        <v>5</v>
      </c>
      <c r="K308" t="s">
        <v>686</v>
      </c>
      <c r="L308">
        <v>565000</v>
      </c>
      <c r="M308">
        <v>2.2200000000000002</v>
      </c>
      <c r="N308">
        <v>52.715443835616462</v>
      </c>
      <c r="O308" t="s">
        <v>592</v>
      </c>
      <c r="P308" t="s">
        <v>593</v>
      </c>
      <c r="Q308" t="s">
        <v>586</v>
      </c>
      <c r="R308" t="s">
        <v>712</v>
      </c>
      <c r="S308" t="s">
        <v>712</v>
      </c>
      <c r="T308">
        <v>99</v>
      </c>
    </row>
    <row r="309" spans="1:20" x14ac:dyDescent="0.25">
      <c r="A309" t="s">
        <v>1310</v>
      </c>
      <c r="B309" t="s">
        <v>128</v>
      </c>
      <c r="C309" t="s">
        <v>607</v>
      </c>
      <c r="D309" t="s">
        <v>875</v>
      </c>
      <c r="E309" t="s">
        <v>1119</v>
      </c>
      <c r="F309">
        <v>1.3661608192950243</v>
      </c>
      <c r="G309">
        <v>58.92600547945208</v>
      </c>
      <c r="H309" t="s">
        <v>1120</v>
      </c>
      <c r="I309" t="s">
        <v>1037</v>
      </c>
      <c r="J309">
        <v>5</v>
      </c>
      <c r="K309" t="s">
        <v>946</v>
      </c>
      <c r="L309">
        <v>595000</v>
      </c>
      <c r="M309">
        <v>2.35</v>
      </c>
      <c r="N309">
        <v>58.92600547945208</v>
      </c>
      <c r="O309" t="s">
        <v>592</v>
      </c>
      <c r="P309" t="s">
        <v>593</v>
      </c>
      <c r="Q309" t="s">
        <v>586</v>
      </c>
      <c r="R309">
        <v>30000</v>
      </c>
      <c r="S309" t="s">
        <v>712</v>
      </c>
      <c r="T309">
        <v>90</v>
      </c>
    </row>
    <row r="310" spans="1:20" x14ac:dyDescent="0.25">
      <c r="A310" t="s">
        <v>1311</v>
      </c>
      <c r="B310" t="s">
        <v>128</v>
      </c>
      <c r="C310" t="s">
        <v>607</v>
      </c>
      <c r="D310" t="s">
        <v>875</v>
      </c>
      <c r="E310" t="s">
        <v>1119</v>
      </c>
      <c r="F310">
        <v>2.2768171188293613</v>
      </c>
      <c r="G310">
        <v>64.477054794520555</v>
      </c>
      <c r="H310" t="s">
        <v>1120</v>
      </c>
      <c r="I310" t="s">
        <v>1037</v>
      </c>
      <c r="J310">
        <v>5</v>
      </c>
      <c r="K310" t="s">
        <v>747</v>
      </c>
      <c r="L310">
        <v>625000</v>
      </c>
      <c r="M310">
        <v>2.48</v>
      </c>
      <c r="N310">
        <v>64.477054794520555</v>
      </c>
      <c r="O310" t="s">
        <v>592</v>
      </c>
      <c r="P310" t="s">
        <v>593</v>
      </c>
      <c r="Q310" t="s">
        <v>586</v>
      </c>
      <c r="R310">
        <v>50000</v>
      </c>
      <c r="S310" t="s">
        <v>712</v>
      </c>
      <c r="T310">
        <v>81</v>
      </c>
    </row>
    <row r="311" spans="1:20" x14ac:dyDescent="0.25">
      <c r="A311" t="s">
        <v>1312</v>
      </c>
      <c r="B311" t="s">
        <v>128</v>
      </c>
      <c r="C311" t="s">
        <v>607</v>
      </c>
      <c r="D311" t="s">
        <v>875</v>
      </c>
      <c r="E311" t="s">
        <v>1119</v>
      </c>
      <c r="F311">
        <v>3.1478740529221336</v>
      </c>
      <c r="G311">
        <v>66.328465753424638</v>
      </c>
      <c r="H311" t="s">
        <v>1120</v>
      </c>
      <c r="I311" t="s">
        <v>1037</v>
      </c>
      <c r="J311">
        <v>5</v>
      </c>
      <c r="K311" t="s">
        <v>815</v>
      </c>
      <c r="L311">
        <v>655000</v>
      </c>
      <c r="M311">
        <v>2.59</v>
      </c>
      <c r="N311">
        <v>66.328465753424638</v>
      </c>
      <c r="O311" t="s">
        <v>592</v>
      </c>
      <c r="P311" t="s">
        <v>593</v>
      </c>
      <c r="Q311" t="s">
        <v>586</v>
      </c>
      <c r="R311" t="s">
        <v>712</v>
      </c>
      <c r="S311" t="s">
        <v>712</v>
      </c>
      <c r="T311">
        <v>73</v>
      </c>
    </row>
    <row r="312" spans="1:20" x14ac:dyDescent="0.25">
      <c r="A312" t="s">
        <v>1313</v>
      </c>
      <c r="B312" t="s">
        <v>177</v>
      </c>
      <c r="C312" t="s">
        <v>586</v>
      </c>
      <c r="D312" t="s">
        <v>1124</v>
      </c>
      <c r="E312" t="s">
        <v>1314</v>
      </c>
      <c r="F312">
        <v>0.49488279961570047</v>
      </c>
      <c r="G312">
        <v>4.9773344096569305</v>
      </c>
      <c r="H312" t="s">
        <v>859</v>
      </c>
      <c r="I312" t="s">
        <v>661</v>
      </c>
      <c r="J312">
        <v>5</v>
      </c>
      <c r="K312" t="s">
        <v>807</v>
      </c>
      <c r="L312">
        <v>115000</v>
      </c>
      <c r="M312">
        <v>1.7000000000000002</v>
      </c>
      <c r="N312">
        <v>4.9773344096569305</v>
      </c>
      <c r="O312" t="s">
        <v>592</v>
      </c>
      <c r="P312" t="s">
        <v>593</v>
      </c>
      <c r="Q312" t="s">
        <v>586</v>
      </c>
      <c r="R312" t="s">
        <v>712</v>
      </c>
      <c r="S312" t="s">
        <v>712</v>
      </c>
      <c r="T312">
        <v>95</v>
      </c>
    </row>
    <row r="313" spans="1:20" x14ac:dyDescent="0.25">
      <c r="A313" t="s">
        <v>1315</v>
      </c>
      <c r="B313" t="s">
        <v>177</v>
      </c>
      <c r="C313" t="s">
        <v>586</v>
      </c>
      <c r="D313" t="s">
        <v>1124</v>
      </c>
      <c r="E313" t="s">
        <v>1314</v>
      </c>
      <c r="F313">
        <v>1.4511209381214702</v>
      </c>
      <c r="G313">
        <v>3.1700292000593988</v>
      </c>
      <c r="H313" t="s">
        <v>859</v>
      </c>
      <c r="I313" t="s">
        <v>661</v>
      </c>
      <c r="J313">
        <v>5</v>
      </c>
      <c r="K313" t="s">
        <v>780</v>
      </c>
      <c r="L313">
        <v>120000</v>
      </c>
      <c r="M313">
        <v>1.85</v>
      </c>
      <c r="N313">
        <v>3.1700292000593988</v>
      </c>
      <c r="O313" t="s">
        <v>592</v>
      </c>
      <c r="P313" t="s">
        <v>593</v>
      </c>
      <c r="Q313" t="s">
        <v>586</v>
      </c>
      <c r="R313" t="s">
        <v>712</v>
      </c>
      <c r="S313" t="s">
        <v>712</v>
      </c>
      <c r="T313">
        <v>87</v>
      </c>
    </row>
    <row r="314" spans="1:20" x14ac:dyDescent="0.25">
      <c r="A314" t="s">
        <v>1316</v>
      </c>
      <c r="B314" t="s">
        <v>177</v>
      </c>
      <c r="C314" t="s">
        <v>586</v>
      </c>
      <c r="D314" t="s">
        <v>1124</v>
      </c>
      <c r="E314" t="s">
        <v>1314</v>
      </c>
      <c r="F314">
        <v>2.4286623976431763</v>
      </c>
      <c r="G314">
        <v>0.709442957559836</v>
      </c>
      <c r="H314" t="s">
        <v>859</v>
      </c>
      <c r="I314" t="s">
        <v>661</v>
      </c>
      <c r="J314">
        <v>2</v>
      </c>
      <c r="K314" t="s">
        <v>1013</v>
      </c>
      <c r="L314">
        <v>130000</v>
      </c>
      <c r="M314">
        <v>1.99</v>
      </c>
      <c r="N314">
        <v>0.709442957559836</v>
      </c>
      <c r="O314" t="s">
        <v>592</v>
      </c>
      <c r="P314" t="s">
        <v>593</v>
      </c>
      <c r="Q314" t="s">
        <v>586</v>
      </c>
      <c r="R314" t="s">
        <v>712</v>
      </c>
      <c r="S314" t="s">
        <v>712</v>
      </c>
      <c r="T314">
        <v>55</v>
      </c>
    </row>
    <row r="315" spans="1:20" x14ac:dyDescent="0.25">
      <c r="A315" t="s">
        <v>1317</v>
      </c>
      <c r="B315" t="s">
        <v>177</v>
      </c>
      <c r="C315" t="s">
        <v>586</v>
      </c>
      <c r="D315" t="s">
        <v>1124</v>
      </c>
      <c r="E315" t="s">
        <v>1314</v>
      </c>
      <c r="F315">
        <v>3.3667505401375819</v>
      </c>
      <c r="G315">
        <v>-1.0424077243206931</v>
      </c>
      <c r="H315" t="s">
        <v>859</v>
      </c>
      <c r="I315" t="s">
        <v>661</v>
      </c>
      <c r="J315">
        <v>2</v>
      </c>
      <c r="K315" t="s">
        <v>824</v>
      </c>
      <c r="L315">
        <v>130000</v>
      </c>
      <c r="M315">
        <v>2.12</v>
      </c>
      <c r="N315">
        <v>-1.0424077243206931</v>
      </c>
      <c r="O315" t="s">
        <v>592</v>
      </c>
      <c r="P315" t="s">
        <v>593</v>
      </c>
      <c r="Q315" t="s">
        <v>586</v>
      </c>
      <c r="R315" t="s">
        <v>712</v>
      </c>
      <c r="S315" t="s">
        <v>712</v>
      </c>
      <c r="T315">
        <v>40</v>
      </c>
    </row>
    <row r="316" spans="1:20" x14ac:dyDescent="0.25">
      <c r="A316" t="s">
        <v>1318</v>
      </c>
      <c r="B316" t="s">
        <v>177</v>
      </c>
      <c r="C316" t="s">
        <v>586</v>
      </c>
      <c r="D316" t="s">
        <v>1124</v>
      </c>
      <c r="E316" t="s">
        <v>1314</v>
      </c>
      <c r="F316">
        <v>4.2757407429629533</v>
      </c>
      <c r="G316">
        <v>-2.9064355515822538</v>
      </c>
      <c r="H316" t="s">
        <v>859</v>
      </c>
      <c r="I316" t="s">
        <v>661</v>
      </c>
      <c r="J316">
        <v>2.125</v>
      </c>
      <c r="K316" t="s">
        <v>1319</v>
      </c>
      <c r="L316">
        <v>135000</v>
      </c>
      <c r="M316">
        <v>2.2200000000000002</v>
      </c>
      <c r="N316">
        <v>-2.9064355515822538</v>
      </c>
      <c r="O316" t="s">
        <v>592</v>
      </c>
      <c r="P316" t="s">
        <v>593</v>
      </c>
      <c r="Q316" t="s">
        <v>586</v>
      </c>
      <c r="R316" t="s">
        <v>712</v>
      </c>
      <c r="S316" t="s">
        <v>712</v>
      </c>
      <c r="T316">
        <v>32</v>
      </c>
    </row>
    <row r="317" spans="1:20" x14ac:dyDescent="0.25">
      <c r="A317" t="s">
        <v>1320</v>
      </c>
      <c r="B317" t="s">
        <v>178</v>
      </c>
      <c r="C317" t="s">
        <v>607</v>
      </c>
      <c r="D317" t="s">
        <v>608</v>
      </c>
      <c r="E317" t="s">
        <v>1321</v>
      </c>
      <c r="F317">
        <v>8.0479329734043523E-2</v>
      </c>
      <c r="G317">
        <v>48.214882843527839</v>
      </c>
      <c r="H317" t="s">
        <v>1041</v>
      </c>
      <c r="I317" t="s">
        <v>611</v>
      </c>
      <c r="J317">
        <v>2.125</v>
      </c>
      <c r="K317" t="s">
        <v>950</v>
      </c>
      <c r="L317">
        <v>75000</v>
      </c>
      <c r="M317">
        <v>2.25</v>
      </c>
      <c r="N317">
        <v>48.214882843527839</v>
      </c>
      <c r="O317" t="s">
        <v>592</v>
      </c>
      <c r="P317" t="s">
        <v>613</v>
      </c>
      <c r="Q317" t="s">
        <v>586</v>
      </c>
      <c r="R317" t="s">
        <v>712</v>
      </c>
      <c r="S317" t="s">
        <v>712</v>
      </c>
      <c r="T317">
        <v>96</v>
      </c>
    </row>
    <row r="318" spans="1:20" x14ac:dyDescent="0.25">
      <c r="A318" t="s">
        <v>1322</v>
      </c>
      <c r="B318" t="s">
        <v>178</v>
      </c>
      <c r="C318" t="s">
        <v>607</v>
      </c>
      <c r="D318" t="s">
        <v>608</v>
      </c>
      <c r="E318" t="s">
        <v>1321</v>
      </c>
      <c r="F318">
        <v>1.0546464932043662</v>
      </c>
      <c r="G318">
        <v>50.33506111662134</v>
      </c>
      <c r="H318" t="s">
        <v>1041</v>
      </c>
      <c r="I318" t="s">
        <v>611</v>
      </c>
      <c r="J318">
        <v>2.25</v>
      </c>
      <c r="K318" t="s">
        <v>612</v>
      </c>
      <c r="L318">
        <v>75000</v>
      </c>
      <c r="M318">
        <v>2.4000000000000004</v>
      </c>
      <c r="N318">
        <v>50.33506111662134</v>
      </c>
      <c r="O318" t="s">
        <v>592</v>
      </c>
      <c r="P318" t="s">
        <v>613</v>
      </c>
      <c r="Q318" t="s">
        <v>586</v>
      </c>
      <c r="R318" t="s">
        <v>712</v>
      </c>
      <c r="S318" t="s">
        <v>712</v>
      </c>
      <c r="T318">
        <v>74</v>
      </c>
    </row>
    <row r="319" spans="1:20" x14ac:dyDescent="0.25">
      <c r="A319" t="s">
        <v>1323</v>
      </c>
      <c r="B319" t="s">
        <v>178</v>
      </c>
      <c r="C319" t="s">
        <v>607</v>
      </c>
      <c r="D319" t="s">
        <v>608</v>
      </c>
      <c r="E319" t="s">
        <v>1321</v>
      </c>
      <c r="F319">
        <v>2.0055835537304278</v>
      </c>
      <c r="G319">
        <v>47.484370159898639</v>
      </c>
      <c r="H319" t="s">
        <v>1041</v>
      </c>
      <c r="I319" t="s">
        <v>611</v>
      </c>
      <c r="J319">
        <v>2.25</v>
      </c>
      <c r="K319" t="s">
        <v>956</v>
      </c>
      <c r="L319">
        <v>80000</v>
      </c>
      <c r="M319">
        <v>2.5</v>
      </c>
      <c r="N319">
        <v>47.484370159898639</v>
      </c>
      <c r="O319" t="s">
        <v>592</v>
      </c>
      <c r="P319" t="s">
        <v>613</v>
      </c>
      <c r="Q319" t="s">
        <v>586</v>
      </c>
      <c r="R319" t="s">
        <v>712</v>
      </c>
      <c r="S319" t="s">
        <v>712</v>
      </c>
      <c r="T319">
        <v>61</v>
      </c>
    </row>
    <row r="320" spans="1:20" x14ac:dyDescent="0.25">
      <c r="A320" t="s">
        <v>1324</v>
      </c>
      <c r="B320" t="s">
        <v>20</v>
      </c>
      <c r="C320" t="s">
        <v>586</v>
      </c>
      <c r="D320" t="s">
        <v>587</v>
      </c>
      <c r="E320" t="s">
        <v>588</v>
      </c>
      <c r="F320">
        <v>2.9909075856909602</v>
      </c>
      <c r="G320">
        <v>23.73827601678795</v>
      </c>
      <c r="H320" t="s">
        <v>589</v>
      </c>
      <c r="I320" t="s">
        <v>590</v>
      </c>
      <c r="J320">
        <v>5</v>
      </c>
      <c r="K320" t="s">
        <v>591</v>
      </c>
      <c r="L320">
        <v>3770000</v>
      </c>
      <c r="M320">
        <v>1.85</v>
      </c>
      <c r="N320">
        <v>23.73827601678795</v>
      </c>
      <c r="O320" t="s">
        <v>592</v>
      </c>
      <c r="P320" t="s">
        <v>593</v>
      </c>
      <c r="Q320" t="s">
        <v>586</v>
      </c>
      <c r="R320">
        <v>15000</v>
      </c>
      <c r="S320" t="s">
        <v>594</v>
      </c>
      <c r="T320">
        <v>79</v>
      </c>
    </row>
    <row r="321" spans="1:20" x14ac:dyDescent="0.25">
      <c r="A321" t="s">
        <v>1325</v>
      </c>
      <c r="B321" t="s">
        <v>20</v>
      </c>
      <c r="C321" t="s">
        <v>586</v>
      </c>
      <c r="D321" t="s">
        <v>587</v>
      </c>
      <c r="E321" t="s">
        <v>588</v>
      </c>
      <c r="F321">
        <v>3.8303137145483674</v>
      </c>
      <c r="G321">
        <v>23.732234329489966</v>
      </c>
      <c r="H321" t="s">
        <v>589</v>
      </c>
      <c r="I321" t="s">
        <v>590</v>
      </c>
      <c r="J321">
        <v>5</v>
      </c>
      <c r="K321" t="s">
        <v>725</v>
      </c>
      <c r="L321">
        <v>15435000</v>
      </c>
      <c r="M321">
        <v>1.98</v>
      </c>
      <c r="N321">
        <v>23.732234329489966</v>
      </c>
      <c r="O321" t="s">
        <v>592</v>
      </c>
      <c r="P321" t="s">
        <v>593</v>
      </c>
      <c r="Q321" t="s">
        <v>586</v>
      </c>
      <c r="R321">
        <v>200000</v>
      </c>
      <c r="S321" t="s">
        <v>594</v>
      </c>
      <c r="T321">
        <v>73</v>
      </c>
    </row>
    <row r="322" spans="1:20" x14ac:dyDescent="0.25">
      <c r="A322" t="s">
        <v>1326</v>
      </c>
      <c r="B322" t="s">
        <v>179</v>
      </c>
      <c r="C322" t="s">
        <v>586</v>
      </c>
      <c r="D322" t="s">
        <v>608</v>
      </c>
      <c r="E322" t="s">
        <v>1321</v>
      </c>
      <c r="F322">
        <v>0.49469118714832921</v>
      </c>
      <c r="G322">
        <v>28.816098630136988</v>
      </c>
      <c r="H322" t="s">
        <v>1045</v>
      </c>
      <c r="I322" t="s">
        <v>721</v>
      </c>
      <c r="J322">
        <v>5</v>
      </c>
      <c r="K322" t="s">
        <v>807</v>
      </c>
      <c r="L322">
        <v>1815000</v>
      </c>
      <c r="M322">
        <v>1.7000000000000002</v>
      </c>
      <c r="N322">
        <v>28.816098630136988</v>
      </c>
      <c r="O322" t="s">
        <v>592</v>
      </c>
      <c r="P322" t="s">
        <v>621</v>
      </c>
      <c r="Q322" t="s">
        <v>586</v>
      </c>
      <c r="R322" t="s">
        <v>712</v>
      </c>
      <c r="S322" t="s">
        <v>635</v>
      </c>
      <c r="T322">
        <v>90</v>
      </c>
    </row>
    <row r="323" spans="1:20" x14ac:dyDescent="0.25">
      <c r="A323" t="s">
        <v>1327</v>
      </c>
      <c r="B323" t="s">
        <v>179</v>
      </c>
      <c r="C323" t="s">
        <v>586</v>
      </c>
      <c r="D323" t="s">
        <v>608</v>
      </c>
      <c r="E323" t="s">
        <v>1321</v>
      </c>
      <c r="F323">
        <v>1.4502820796404416</v>
      </c>
      <c r="G323">
        <v>30.289745205479445</v>
      </c>
      <c r="H323" t="s">
        <v>1045</v>
      </c>
      <c r="I323" t="s">
        <v>721</v>
      </c>
      <c r="J323">
        <v>5</v>
      </c>
      <c r="K323" t="s">
        <v>780</v>
      </c>
      <c r="L323">
        <v>1910000</v>
      </c>
      <c r="M323">
        <v>1.85</v>
      </c>
      <c r="N323">
        <v>30.289745205479445</v>
      </c>
      <c r="O323" t="s">
        <v>592</v>
      </c>
      <c r="P323" t="s">
        <v>621</v>
      </c>
      <c r="Q323" t="s">
        <v>586</v>
      </c>
      <c r="R323">
        <v>80000</v>
      </c>
      <c r="S323" t="s">
        <v>635</v>
      </c>
      <c r="T323">
        <v>78</v>
      </c>
    </row>
    <row r="324" spans="1:20" x14ac:dyDescent="0.25">
      <c r="A324" t="s">
        <v>1328</v>
      </c>
      <c r="B324" t="s">
        <v>179</v>
      </c>
      <c r="C324" t="s">
        <v>586</v>
      </c>
      <c r="D324" t="s">
        <v>608</v>
      </c>
      <c r="E324" t="s">
        <v>1321</v>
      </c>
      <c r="F324">
        <v>2.3826640660120155</v>
      </c>
      <c r="G324">
        <v>34.443717808219155</v>
      </c>
      <c r="H324" t="s">
        <v>1045</v>
      </c>
      <c r="I324" t="s">
        <v>721</v>
      </c>
      <c r="J324">
        <v>4</v>
      </c>
      <c r="K324" t="s">
        <v>1013</v>
      </c>
      <c r="L324">
        <v>1995000</v>
      </c>
      <c r="M324">
        <v>2.0300000000000002</v>
      </c>
      <c r="N324">
        <v>34.443717808219155</v>
      </c>
      <c r="O324" t="s">
        <v>592</v>
      </c>
      <c r="P324" t="s">
        <v>621</v>
      </c>
      <c r="Q324" t="s">
        <v>586</v>
      </c>
      <c r="R324" t="s">
        <v>712</v>
      </c>
      <c r="S324" t="s">
        <v>635</v>
      </c>
      <c r="T324">
        <v>73</v>
      </c>
    </row>
    <row r="325" spans="1:20" x14ac:dyDescent="0.25">
      <c r="A325" t="s">
        <v>1329</v>
      </c>
      <c r="B325" t="s">
        <v>179</v>
      </c>
      <c r="C325" t="s">
        <v>586</v>
      </c>
      <c r="D325" t="s">
        <v>608</v>
      </c>
      <c r="E325" t="s">
        <v>1321</v>
      </c>
      <c r="F325">
        <v>3.2744922140542556</v>
      </c>
      <c r="G325">
        <v>38.150484931506853</v>
      </c>
      <c r="H325" t="s">
        <v>1045</v>
      </c>
      <c r="I325" t="s">
        <v>721</v>
      </c>
      <c r="J325">
        <v>4</v>
      </c>
      <c r="K325" t="s">
        <v>824</v>
      </c>
      <c r="L325">
        <v>2080000</v>
      </c>
      <c r="M325">
        <v>2.2000000000000002</v>
      </c>
      <c r="N325">
        <v>38.150484931506853</v>
      </c>
      <c r="O325" t="s">
        <v>592</v>
      </c>
      <c r="P325" t="s">
        <v>621</v>
      </c>
      <c r="Q325" t="s">
        <v>586</v>
      </c>
      <c r="R325">
        <v>60000</v>
      </c>
      <c r="S325" t="s">
        <v>635</v>
      </c>
      <c r="T325">
        <v>66</v>
      </c>
    </row>
    <row r="326" spans="1:20" x14ac:dyDescent="0.25">
      <c r="A326" t="s">
        <v>1330</v>
      </c>
      <c r="B326" t="s">
        <v>179</v>
      </c>
      <c r="C326" t="s">
        <v>586</v>
      </c>
      <c r="D326" t="s">
        <v>608</v>
      </c>
      <c r="E326" t="s">
        <v>1321</v>
      </c>
      <c r="F326">
        <v>4.1338195763118915</v>
      </c>
      <c r="G326">
        <v>36.799199999999985</v>
      </c>
      <c r="H326" t="s">
        <v>1045</v>
      </c>
      <c r="I326" t="s">
        <v>721</v>
      </c>
      <c r="J326">
        <v>4</v>
      </c>
      <c r="K326" t="s">
        <v>1319</v>
      </c>
      <c r="L326">
        <v>2165000</v>
      </c>
      <c r="M326">
        <v>2.3000000000000003</v>
      </c>
      <c r="N326">
        <v>36.799199999999985</v>
      </c>
      <c r="O326" t="s">
        <v>592</v>
      </c>
      <c r="P326" t="s">
        <v>621</v>
      </c>
      <c r="Q326" t="s">
        <v>586</v>
      </c>
      <c r="R326">
        <v>10000</v>
      </c>
      <c r="S326" t="s">
        <v>635</v>
      </c>
      <c r="T326">
        <v>59</v>
      </c>
    </row>
    <row r="327" spans="1:20" x14ac:dyDescent="0.25">
      <c r="A327" t="s">
        <v>1331</v>
      </c>
      <c r="B327" t="s">
        <v>129</v>
      </c>
      <c r="C327" t="s">
        <v>607</v>
      </c>
      <c r="D327" t="s">
        <v>608</v>
      </c>
      <c r="E327" t="s">
        <v>1122</v>
      </c>
      <c r="F327">
        <v>1.0372766690127071</v>
      </c>
      <c r="G327">
        <v>35.235400961785501</v>
      </c>
      <c r="H327" t="s">
        <v>672</v>
      </c>
      <c r="I327" t="s">
        <v>611</v>
      </c>
      <c r="J327">
        <v>5</v>
      </c>
      <c r="K327" t="s">
        <v>612</v>
      </c>
      <c r="L327">
        <v>715000</v>
      </c>
      <c r="M327">
        <v>1.98</v>
      </c>
      <c r="N327">
        <v>35.235400961785501</v>
      </c>
      <c r="O327" t="s">
        <v>592</v>
      </c>
      <c r="P327" t="s">
        <v>621</v>
      </c>
      <c r="Q327" t="s">
        <v>586</v>
      </c>
      <c r="R327" t="s">
        <v>712</v>
      </c>
      <c r="S327" t="s">
        <v>594</v>
      </c>
      <c r="T327">
        <v>81</v>
      </c>
    </row>
    <row r="328" spans="1:20" x14ac:dyDescent="0.25">
      <c r="A328" t="s">
        <v>1332</v>
      </c>
      <c r="B328" t="s">
        <v>129</v>
      </c>
      <c r="C328" t="s">
        <v>607</v>
      </c>
      <c r="D328" t="s">
        <v>608</v>
      </c>
      <c r="E328" t="s">
        <v>1122</v>
      </c>
      <c r="F328">
        <v>1.9491688778018954</v>
      </c>
      <c r="G328">
        <v>39.764906922893736</v>
      </c>
      <c r="H328" t="s">
        <v>672</v>
      </c>
      <c r="I328" t="s">
        <v>611</v>
      </c>
      <c r="J328">
        <v>5</v>
      </c>
      <c r="K328" t="s">
        <v>956</v>
      </c>
      <c r="L328">
        <v>750000</v>
      </c>
      <c r="M328">
        <v>2.19</v>
      </c>
      <c r="N328">
        <v>39.764906922893736</v>
      </c>
      <c r="O328" t="s">
        <v>592</v>
      </c>
      <c r="P328" t="s">
        <v>621</v>
      </c>
      <c r="Q328" t="s">
        <v>586</v>
      </c>
      <c r="R328">
        <v>50000</v>
      </c>
      <c r="S328" t="s">
        <v>594</v>
      </c>
      <c r="T328">
        <v>70</v>
      </c>
    </row>
    <row r="329" spans="1:20" x14ac:dyDescent="0.25">
      <c r="A329" t="s">
        <v>1333</v>
      </c>
      <c r="B329" t="s">
        <v>129</v>
      </c>
      <c r="C329" t="s">
        <v>607</v>
      </c>
      <c r="D329" t="s">
        <v>608</v>
      </c>
      <c r="E329" t="s">
        <v>1122</v>
      </c>
      <c r="F329">
        <v>2.8216216716405946</v>
      </c>
      <c r="G329">
        <v>47.942815037682784</v>
      </c>
      <c r="H329" t="s">
        <v>672</v>
      </c>
      <c r="I329" t="s">
        <v>611</v>
      </c>
      <c r="J329">
        <v>5</v>
      </c>
      <c r="K329" t="s">
        <v>1334</v>
      </c>
      <c r="L329">
        <v>785000</v>
      </c>
      <c r="M329">
        <v>2.4300000000000002</v>
      </c>
      <c r="N329">
        <v>47.942815037682784</v>
      </c>
      <c r="O329" t="s">
        <v>592</v>
      </c>
      <c r="P329" t="s">
        <v>621</v>
      </c>
      <c r="Q329" t="s">
        <v>586</v>
      </c>
      <c r="R329" t="s">
        <v>712</v>
      </c>
      <c r="S329" t="s">
        <v>594</v>
      </c>
      <c r="T329">
        <v>61</v>
      </c>
    </row>
    <row r="330" spans="1:20" x14ac:dyDescent="0.25">
      <c r="A330" t="s">
        <v>1335</v>
      </c>
      <c r="B330" t="s">
        <v>129</v>
      </c>
      <c r="C330" t="s">
        <v>607</v>
      </c>
      <c r="D330" t="s">
        <v>608</v>
      </c>
      <c r="E330" t="s">
        <v>1122</v>
      </c>
      <c r="F330">
        <v>3.6573328024531544</v>
      </c>
      <c r="G330">
        <v>53.206557489323146</v>
      </c>
      <c r="H330" t="s">
        <v>672</v>
      </c>
      <c r="I330" t="s">
        <v>611</v>
      </c>
      <c r="J330">
        <v>5</v>
      </c>
      <c r="K330" t="s">
        <v>1220</v>
      </c>
      <c r="L330">
        <v>825000</v>
      </c>
      <c r="M330">
        <v>2.62</v>
      </c>
      <c r="N330">
        <v>53.206557489323146</v>
      </c>
      <c r="O330" t="s">
        <v>592</v>
      </c>
      <c r="P330" t="s">
        <v>621</v>
      </c>
      <c r="Q330" t="s">
        <v>586</v>
      </c>
      <c r="R330" t="s">
        <v>712</v>
      </c>
      <c r="S330" t="s">
        <v>594</v>
      </c>
      <c r="T330">
        <v>53</v>
      </c>
    </row>
    <row r="331" spans="1:20" x14ac:dyDescent="0.25">
      <c r="A331" t="s">
        <v>1336</v>
      </c>
      <c r="B331" t="s">
        <v>129</v>
      </c>
      <c r="C331" t="s">
        <v>607</v>
      </c>
      <c r="D331" t="s">
        <v>608</v>
      </c>
      <c r="E331" t="s">
        <v>1122</v>
      </c>
      <c r="F331">
        <v>4.4588630415600301</v>
      </c>
      <c r="G331">
        <v>53.213381063189622</v>
      </c>
      <c r="H331" t="s">
        <v>672</v>
      </c>
      <c r="I331" t="s">
        <v>611</v>
      </c>
      <c r="J331">
        <v>5</v>
      </c>
      <c r="K331" t="s">
        <v>717</v>
      </c>
      <c r="L331">
        <v>865000</v>
      </c>
      <c r="M331">
        <v>2.74</v>
      </c>
      <c r="N331">
        <v>53.213381063189622</v>
      </c>
      <c r="O331" t="s">
        <v>592</v>
      </c>
      <c r="P331" t="s">
        <v>621</v>
      </c>
      <c r="Q331" t="s">
        <v>586</v>
      </c>
      <c r="R331">
        <v>45000</v>
      </c>
      <c r="S331" t="s">
        <v>594</v>
      </c>
      <c r="T331">
        <v>46</v>
      </c>
    </row>
    <row r="332" spans="1:20" x14ac:dyDescent="0.25">
      <c r="A332" t="s">
        <v>1337</v>
      </c>
      <c r="B332" t="s">
        <v>130</v>
      </c>
      <c r="C332" t="s">
        <v>586</v>
      </c>
      <c r="D332" t="s">
        <v>1124</v>
      </c>
      <c r="E332" t="s">
        <v>1125</v>
      </c>
      <c r="F332">
        <v>0.38203513672319311</v>
      </c>
      <c r="G332">
        <v>1.4017041095890415</v>
      </c>
      <c r="H332" t="s">
        <v>963</v>
      </c>
      <c r="I332" t="s">
        <v>1126</v>
      </c>
      <c r="J332">
        <v>4</v>
      </c>
      <c r="K332" t="s">
        <v>1338</v>
      </c>
      <c r="L332">
        <v>850000</v>
      </c>
      <c r="M332">
        <v>1.3900000000000001</v>
      </c>
      <c r="N332">
        <v>1.4017041095890415</v>
      </c>
      <c r="O332" t="s">
        <v>592</v>
      </c>
      <c r="P332" t="s">
        <v>593</v>
      </c>
      <c r="Q332" t="s">
        <v>586</v>
      </c>
      <c r="R332">
        <v>600000</v>
      </c>
      <c r="S332" t="s">
        <v>712</v>
      </c>
      <c r="T332">
        <v>97</v>
      </c>
    </row>
    <row r="333" spans="1:20" x14ac:dyDescent="0.25">
      <c r="A333" t="s">
        <v>1339</v>
      </c>
      <c r="B333" t="s">
        <v>130</v>
      </c>
      <c r="C333" t="s">
        <v>586</v>
      </c>
      <c r="D333" t="s">
        <v>1124</v>
      </c>
      <c r="E333" t="s">
        <v>1125</v>
      </c>
      <c r="F333">
        <v>2.2719544559894</v>
      </c>
      <c r="G333">
        <v>1.205263013698632</v>
      </c>
      <c r="H333" t="s">
        <v>963</v>
      </c>
      <c r="I333" t="s">
        <v>1126</v>
      </c>
      <c r="J333">
        <v>4</v>
      </c>
      <c r="K333" t="s">
        <v>1340</v>
      </c>
      <c r="L333">
        <v>925000</v>
      </c>
      <c r="M333">
        <v>1.6500000000000001</v>
      </c>
      <c r="N333">
        <v>1.205263013698632</v>
      </c>
      <c r="O333" t="s">
        <v>592</v>
      </c>
      <c r="P333" t="s">
        <v>593</v>
      </c>
      <c r="Q333" t="s">
        <v>586</v>
      </c>
      <c r="R333" t="s">
        <v>712</v>
      </c>
      <c r="S333" t="s">
        <v>712</v>
      </c>
      <c r="T333">
        <v>80</v>
      </c>
    </row>
    <row r="334" spans="1:20" x14ac:dyDescent="0.25">
      <c r="A334" t="s">
        <v>1341</v>
      </c>
      <c r="B334" t="s">
        <v>130</v>
      </c>
      <c r="C334" t="s">
        <v>586</v>
      </c>
      <c r="D334" t="s">
        <v>1124</v>
      </c>
      <c r="E334" t="s">
        <v>1125</v>
      </c>
      <c r="F334">
        <v>3.1659524771491379</v>
      </c>
      <c r="G334">
        <v>8.2094438356164368</v>
      </c>
      <c r="H334" t="s">
        <v>963</v>
      </c>
      <c r="I334" t="s">
        <v>1126</v>
      </c>
      <c r="J334">
        <v>4</v>
      </c>
      <c r="K334" t="s">
        <v>1342</v>
      </c>
      <c r="L334">
        <v>965000</v>
      </c>
      <c r="M334">
        <v>1.85</v>
      </c>
      <c r="N334">
        <v>8.2094438356164368</v>
      </c>
      <c r="O334" t="s">
        <v>592</v>
      </c>
      <c r="P334" t="s">
        <v>593</v>
      </c>
      <c r="Q334" t="s">
        <v>586</v>
      </c>
      <c r="R334" t="s">
        <v>712</v>
      </c>
      <c r="S334" t="s">
        <v>712</v>
      </c>
      <c r="T334">
        <v>71</v>
      </c>
    </row>
    <row r="335" spans="1:20" x14ac:dyDescent="0.25">
      <c r="A335" t="s">
        <v>1343</v>
      </c>
      <c r="B335" t="s">
        <v>130</v>
      </c>
      <c r="C335" t="s">
        <v>586</v>
      </c>
      <c r="D335" t="s">
        <v>1124</v>
      </c>
      <c r="E335" t="s">
        <v>1125</v>
      </c>
      <c r="F335">
        <v>4.0283305040409001</v>
      </c>
      <c r="G335">
        <v>12.02994246575344</v>
      </c>
      <c r="H335" t="s">
        <v>963</v>
      </c>
      <c r="I335" t="s">
        <v>1126</v>
      </c>
      <c r="J335">
        <v>4</v>
      </c>
      <c r="K335" t="s">
        <v>1344</v>
      </c>
      <c r="L335">
        <v>1000000</v>
      </c>
      <c r="M335">
        <v>2</v>
      </c>
      <c r="N335">
        <v>12.02994246575344</v>
      </c>
      <c r="O335" t="s">
        <v>592</v>
      </c>
      <c r="P335" t="s">
        <v>593</v>
      </c>
      <c r="Q335" t="s">
        <v>586</v>
      </c>
      <c r="R335" t="s">
        <v>712</v>
      </c>
      <c r="S335" t="s">
        <v>712</v>
      </c>
      <c r="T335">
        <v>65</v>
      </c>
    </row>
    <row r="336" spans="1:20" x14ac:dyDescent="0.25">
      <c r="A336" t="s">
        <v>1345</v>
      </c>
      <c r="B336" t="s">
        <v>180</v>
      </c>
      <c r="C336" t="s">
        <v>586</v>
      </c>
      <c r="D336" t="s">
        <v>741</v>
      </c>
      <c r="E336" t="s">
        <v>935</v>
      </c>
      <c r="F336">
        <v>0.49380086099218651</v>
      </c>
      <c r="G336">
        <v>22.14501017706425</v>
      </c>
      <c r="H336" t="s">
        <v>743</v>
      </c>
      <c r="I336" t="s">
        <v>1137</v>
      </c>
      <c r="J336">
        <v>3</v>
      </c>
      <c r="K336" t="s">
        <v>807</v>
      </c>
      <c r="L336">
        <v>50000</v>
      </c>
      <c r="M336">
        <v>2</v>
      </c>
      <c r="N336">
        <v>22.14501017706425</v>
      </c>
      <c r="O336" t="s">
        <v>592</v>
      </c>
      <c r="P336" t="s">
        <v>745</v>
      </c>
      <c r="Q336" t="s">
        <v>586</v>
      </c>
      <c r="R336" t="s">
        <v>712</v>
      </c>
      <c r="S336" t="s">
        <v>712</v>
      </c>
      <c r="T336">
        <v>89</v>
      </c>
    </row>
    <row r="337" spans="1:20" x14ac:dyDescent="0.25">
      <c r="A337" t="s">
        <v>1346</v>
      </c>
      <c r="B337" t="s">
        <v>156</v>
      </c>
      <c r="C337" t="s">
        <v>586</v>
      </c>
      <c r="D337" t="s">
        <v>608</v>
      </c>
      <c r="E337" t="s">
        <v>1218</v>
      </c>
      <c r="F337">
        <v>0.64804213927551113</v>
      </c>
      <c r="G337">
        <v>20.056678925581608</v>
      </c>
      <c r="H337" t="s">
        <v>892</v>
      </c>
      <c r="I337" t="s">
        <v>611</v>
      </c>
      <c r="J337">
        <v>5</v>
      </c>
      <c r="K337" t="s">
        <v>787</v>
      </c>
      <c r="L337">
        <v>1360000</v>
      </c>
      <c r="M337">
        <v>1.8</v>
      </c>
      <c r="N337">
        <v>20.056678925581608</v>
      </c>
      <c r="O337" t="s">
        <v>592</v>
      </c>
      <c r="P337" t="s">
        <v>621</v>
      </c>
      <c r="Q337" t="s">
        <v>586</v>
      </c>
      <c r="R337">
        <v>35000</v>
      </c>
      <c r="S337" t="s">
        <v>712</v>
      </c>
      <c r="T337">
        <v>95</v>
      </c>
    </row>
    <row r="338" spans="1:20" x14ac:dyDescent="0.25">
      <c r="A338" t="s">
        <v>1347</v>
      </c>
      <c r="B338" t="s">
        <v>156</v>
      </c>
      <c r="C338" t="s">
        <v>586</v>
      </c>
      <c r="D338" t="s">
        <v>608</v>
      </c>
      <c r="E338" t="s">
        <v>1218</v>
      </c>
      <c r="F338">
        <v>1.5813618816619355</v>
      </c>
      <c r="G338">
        <v>21.276725653257799</v>
      </c>
      <c r="H338" t="s">
        <v>892</v>
      </c>
      <c r="I338" t="s">
        <v>611</v>
      </c>
      <c r="J338">
        <v>5</v>
      </c>
      <c r="K338" t="s">
        <v>905</v>
      </c>
      <c r="L338">
        <v>1425000</v>
      </c>
      <c r="M338">
        <v>1.98</v>
      </c>
      <c r="N338">
        <v>21.276725653257799</v>
      </c>
      <c r="O338" t="s">
        <v>592</v>
      </c>
      <c r="P338" t="s">
        <v>621</v>
      </c>
      <c r="Q338" t="s">
        <v>586</v>
      </c>
      <c r="R338" t="s">
        <v>712</v>
      </c>
      <c r="S338" t="s">
        <v>712</v>
      </c>
      <c r="T338">
        <v>85</v>
      </c>
    </row>
    <row r="339" spans="1:20" x14ac:dyDescent="0.25">
      <c r="A339" t="s">
        <v>1348</v>
      </c>
      <c r="B339" t="s">
        <v>156</v>
      </c>
      <c r="C339" t="s">
        <v>586</v>
      </c>
      <c r="D339" t="s">
        <v>608</v>
      </c>
      <c r="E339" t="s">
        <v>1218</v>
      </c>
      <c r="F339">
        <v>2.4735190024863742</v>
      </c>
      <c r="G339">
        <v>22.894465568501165</v>
      </c>
      <c r="H339" t="s">
        <v>892</v>
      </c>
      <c r="I339" t="s">
        <v>611</v>
      </c>
      <c r="J339">
        <v>5</v>
      </c>
      <c r="K339" t="s">
        <v>734</v>
      </c>
      <c r="L339">
        <v>1500000</v>
      </c>
      <c r="M339">
        <v>2.16</v>
      </c>
      <c r="N339">
        <v>22.894465568501165</v>
      </c>
      <c r="O339" t="s">
        <v>592</v>
      </c>
      <c r="P339" t="s">
        <v>621</v>
      </c>
      <c r="Q339" t="s">
        <v>586</v>
      </c>
      <c r="R339">
        <v>15000</v>
      </c>
      <c r="S339" t="s">
        <v>712</v>
      </c>
      <c r="T339">
        <v>76</v>
      </c>
    </row>
    <row r="340" spans="1:20" x14ac:dyDescent="0.25">
      <c r="A340" t="s">
        <v>1349</v>
      </c>
      <c r="B340" t="s">
        <v>156</v>
      </c>
      <c r="C340" t="s">
        <v>586</v>
      </c>
      <c r="D340" t="s">
        <v>608</v>
      </c>
      <c r="E340" t="s">
        <v>1218</v>
      </c>
      <c r="F340">
        <v>4.1477251919742821</v>
      </c>
      <c r="G340">
        <v>17.65546980012158</v>
      </c>
      <c r="H340" t="s">
        <v>892</v>
      </c>
      <c r="I340" t="s">
        <v>611</v>
      </c>
      <c r="J340">
        <v>5</v>
      </c>
      <c r="K340" t="s">
        <v>1350</v>
      </c>
      <c r="L340">
        <v>1445000</v>
      </c>
      <c r="M340">
        <v>2.37</v>
      </c>
      <c r="N340">
        <v>17.65546980012158</v>
      </c>
      <c r="O340" t="s">
        <v>592</v>
      </c>
      <c r="P340" t="s">
        <v>621</v>
      </c>
      <c r="Q340" t="s">
        <v>586</v>
      </c>
      <c r="R340" t="s">
        <v>712</v>
      </c>
      <c r="S340" t="s">
        <v>712</v>
      </c>
      <c r="T340">
        <v>59</v>
      </c>
    </row>
    <row r="341" spans="1:20" x14ac:dyDescent="0.25">
      <c r="A341" t="s">
        <v>1351</v>
      </c>
      <c r="B341" t="s">
        <v>181</v>
      </c>
      <c r="C341" t="s">
        <v>586</v>
      </c>
      <c r="D341" t="s">
        <v>623</v>
      </c>
      <c r="E341" t="s">
        <v>1352</v>
      </c>
      <c r="F341">
        <v>0.32869543984074201</v>
      </c>
      <c r="G341">
        <v>148.04627083080837</v>
      </c>
      <c r="H341" t="s">
        <v>1271</v>
      </c>
      <c r="I341" t="s">
        <v>1037</v>
      </c>
      <c r="J341">
        <v>4.75</v>
      </c>
      <c r="K341" t="s">
        <v>710</v>
      </c>
      <c r="L341">
        <v>60000</v>
      </c>
      <c r="M341">
        <v>2.9000000000000004</v>
      </c>
      <c r="N341">
        <v>148.04627083080837</v>
      </c>
      <c r="O341" t="s">
        <v>592</v>
      </c>
      <c r="P341" t="s">
        <v>745</v>
      </c>
      <c r="Q341" t="s">
        <v>586</v>
      </c>
      <c r="R341" t="s">
        <v>712</v>
      </c>
      <c r="S341" t="s">
        <v>712</v>
      </c>
      <c r="T341">
        <v>98</v>
      </c>
    </row>
    <row r="342" spans="1:20" x14ac:dyDescent="0.25">
      <c r="A342" t="s">
        <v>1353</v>
      </c>
      <c r="B342" t="s">
        <v>182</v>
      </c>
      <c r="C342" t="s">
        <v>586</v>
      </c>
      <c r="D342" t="s">
        <v>608</v>
      </c>
      <c r="E342" t="s">
        <v>1321</v>
      </c>
      <c r="F342">
        <v>0.61079357998864248</v>
      </c>
      <c r="G342">
        <v>11.177136986301385</v>
      </c>
      <c r="H342" t="s">
        <v>610</v>
      </c>
      <c r="I342" t="s">
        <v>611</v>
      </c>
      <c r="J342">
        <v>2</v>
      </c>
      <c r="K342" t="s">
        <v>948</v>
      </c>
      <c r="L342">
        <v>195000</v>
      </c>
      <c r="M342">
        <v>1.6</v>
      </c>
      <c r="N342">
        <v>11.177136986301385</v>
      </c>
      <c r="O342" t="s">
        <v>592</v>
      </c>
      <c r="P342" t="s">
        <v>613</v>
      </c>
      <c r="Q342" t="s">
        <v>586</v>
      </c>
      <c r="R342" t="s">
        <v>712</v>
      </c>
      <c r="S342" t="s">
        <v>712</v>
      </c>
      <c r="T342">
        <v>93</v>
      </c>
    </row>
    <row r="343" spans="1:20" x14ac:dyDescent="0.25">
      <c r="A343" t="s">
        <v>1354</v>
      </c>
      <c r="B343" t="s">
        <v>182</v>
      </c>
      <c r="C343" t="s">
        <v>586</v>
      </c>
      <c r="D343" t="s">
        <v>608</v>
      </c>
      <c r="E343" t="s">
        <v>1321</v>
      </c>
      <c r="F343">
        <v>1.5628309025033185</v>
      </c>
      <c r="G343">
        <v>14.698616438356172</v>
      </c>
      <c r="H343" t="s">
        <v>610</v>
      </c>
      <c r="I343" t="s">
        <v>611</v>
      </c>
      <c r="J343">
        <v>3</v>
      </c>
      <c r="K343" t="s">
        <v>800</v>
      </c>
      <c r="L343">
        <v>250000</v>
      </c>
      <c r="M343">
        <v>1.75</v>
      </c>
      <c r="N343">
        <v>14.698616438356172</v>
      </c>
      <c r="O343" t="s">
        <v>592</v>
      </c>
      <c r="P343" t="s">
        <v>613</v>
      </c>
      <c r="Q343" t="s">
        <v>586</v>
      </c>
      <c r="R343">
        <v>50000</v>
      </c>
      <c r="S343" t="s">
        <v>712</v>
      </c>
      <c r="T343">
        <v>89</v>
      </c>
    </row>
    <row r="344" spans="1:20" x14ac:dyDescent="0.25">
      <c r="A344" t="s">
        <v>1355</v>
      </c>
      <c r="B344" t="s">
        <v>182</v>
      </c>
      <c r="C344" t="s">
        <v>586</v>
      </c>
      <c r="D344" t="s">
        <v>608</v>
      </c>
      <c r="E344" t="s">
        <v>1321</v>
      </c>
      <c r="F344">
        <v>3.3907282917645962</v>
      </c>
      <c r="G344">
        <v>16.811068493150682</v>
      </c>
      <c r="H344" t="s">
        <v>610</v>
      </c>
      <c r="I344" t="s">
        <v>611</v>
      </c>
      <c r="J344">
        <v>3</v>
      </c>
      <c r="K344" t="s">
        <v>762</v>
      </c>
      <c r="L344">
        <v>265000</v>
      </c>
      <c r="M344">
        <v>2</v>
      </c>
      <c r="N344">
        <v>16.811068493150682</v>
      </c>
      <c r="O344" t="s">
        <v>592</v>
      </c>
      <c r="P344" t="s">
        <v>613</v>
      </c>
      <c r="Q344" t="s">
        <v>586</v>
      </c>
      <c r="R344" t="s">
        <v>712</v>
      </c>
      <c r="S344" t="s">
        <v>712</v>
      </c>
      <c r="T344">
        <v>71</v>
      </c>
    </row>
    <row r="345" spans="1:20" x14ac:dyDescent="0.25">
      <c r="A345" t="s">
        <v>1356</v>
      </c>
      <c r="B345" t="s">
        <v>183</v>
      </c>
      <c r="C345" t="s">
        <v>607</v>
      </c>
      <c r="D345" t="s">
        <v>608</v>
      </c>
      <c r="E345" t="s">
        <v>1321</v>
      </c>
      <c r="F345">
        <v>1.0122109132021391</v>
      </c>
      <c r="G345">
        <v>35.477243835616434</v>
      </c>
      <c r="H345" t="s">
        <v>963</v>
      </c>
      <c r="I345" t="s">
        <v>611</v>
      </c>
      <c r="J345">
        <v>2</v>
      </c>
      <c r="K345" t="s">
        <v>920</v>
      </c>
      <c r="L345">
        <v>185000</v>
      </c>
      <c r="M345">
        <v>1.9000000000000001</v>
      </c>
      <c r="N345">
        <v>35.477243835616434</v>
      </c>
      <c r="O345" t="s">
        <v>592</v>
      </c>
      <c r="P345" t="s">
        <v>613</v>
      </c>
      <c r="Q345" t="s">
        <v>586</v>
      </c>
      <c r="R345" t="s">
        <v>712</v>
      </c>
      <c r="S345" t="s">
        <v>712</v>
      </c>
      <c r="T345">
        <v>85</v>
      </c>
    </row>
    <row r="346" spans="1:20" x14ac:dyDescent="0.25">
      <c r="A346" t="s">
        <v>1357</v>
      </c>
      <c r="B346" t="s">
        <v>183</v>
      </c>
      <c r="C346" t="s">
        <v>607</v>
      </c>
      <c r="D346" t="s">
        <v>608</v>
      </c>
      <c r="E346" t="s">
        <v>1321</v>
      </c>
      <c r="F346">
        <v>1.9669347259764531</v>
      </c>
      <c r="G346">
        <v>43.014821917808234</v>
      </c>
      <c r="H346" t="s">
        <v>963</v>
      </c>
      <c r="I346" t="s">
        <v>611</v>
      </c>
      <c r="J346">
        <v>2</v>
      </c>
      <c r="K346" t="s">
        <v>898</v>
      </c>
      <c r="L346">
        <v>185000</v>
      </c>
      <c r="M346">
        <v>2.1</v>
      </c>
      <c r="N346">
        <v>43.014821917808234</v>
      </c>
      <c r="O346" t="s">
        <v>592</v>
      </c>
      <c r="P346" t="s">
        <v>613</v>
      </c>
      <c r="Q346" t="s">
        <v>586</v>
      </c>
      <c r="R346" t="s">
        <v>712</v>
      </c>
      <c r="S346" t="s">
        <v>712</v>
      </c>
      <c r="T346">
        <v>70</v>
      </c>
    </row>
    <row r="347" spans="1:20" x14ac:dyDescent="0.25">
      <c r="A347" t="s">
        <v>1358</v>
      </c>
      <c r="B347" t="s">
        <v>183</v>
      </c>
      <c r="C347" t="s">
        <v>607</v>
      </c>
      <c r="D347" t="s">
        <v>608</v>
      </c>
      <c r="E347" t="s">
        <v>1321</v>
      </c>
      <c r="F347">
        <v>3.6095300086271355E-2</v>
      </c>
      <c r="G347">
        <v>37.613589041095885</v>
      </c>
      <c r="H347" t="s">
        <v>963</v>
      </c>
      <c r="I347" t="s">
        <v>611</v>
      </c>
      <c r="J347">
        <v>2</v>
      </c>
      <c r="K347" t="s">
        <v>1008</v>
      </c>
      <c r="L347">
        <v>185000</v>
      </c>
      <c r="M347">
        <v>1.8</v>
      </c>
      <c r="N347">
        <v>37.613589041095885</v>
      </c>
      <c r="O347" t="s">
        <v>592</v>
      </c>
      <c r="P347" t="s">
        <v>613</v>
      </c>
      <c r="Q347" t="s">
        <v>586</v>
      </c>
      <c r="R347" t="s">
        <v>712</v>
      </c>
      <c r="S347" t="s">
        <v>712</v>
      </c>
      <c r="T347">
        <v>95</v>
      </c>
    </row>
    <row r="348" spans="1:20" x14ac:dyDescent="0.25">
      <c r="A348" t="s">
        <v>1359</v>
      </c>
      <c r="B348" t="s">
        <v>183</v>
      </c>
      <c r="C348" t="s">
        <v>607</v>
      </c>
      <c r="D348" t="s">
        <v>608</v>
      </c>
      <c r="E348" t="s">
        <v>1321</v>
      </c>
      <c r="F348">
        <v>2.9023638932319673</v>
      </c>
      <c r="G348">
        <v>45.45098082191781</v>
      </c>
      <c r="H348" t="s">
        <v>963</v>
      </c>
      <c r="I348" t="s">
        <v>611</v>
      </c>
      <c r="J348">
        <v>2</v>
      </c>
      <c r="K348" t="s">
        <v>978</v>
      </c>
      <c r="L348">
        <v>180000</v>
      </c>
      <c r="M348">
        <v>2.25</v>
      </c>
      <c r="N348">
        <v>45.45098082191781</v>
      </c>
      <c r="O348" t="s">
        <v>592</v>
      </c>
      <c r="P348" t="s">
        <v>613</v>
      </c>
      <c r="Q348" t="s">
        <v>586</v>
      </c>
      <c r="R348" t="s">
        <v>712</v>
      </c>
      <c r="S348" t="s">
        <v>712</v>
      </c>
      <c r="T348">
        <v>56</v>
      </c>
    </row>
    <row r="349" spans="1:20" x14ac:dyDescent="0.25">
      <c r="A349" t="s">
        <v>1360</v>
      </c>
      <c r="B349" t="s">
        <v>184</v>
      </c>
      <c r="C349" t="s">
        <v>586</v>
      </c>
      <c r="D349" t="s">
        <v>642</v>
      </c>
      <c r="E349" t="s">
        <v>1361</v>
      </c>
      <c r="F349">
        <v>0.81859546028075303</v>
      </c>
      <c r="G349">
        <v>25.033740776233216</v>
      </c>
      <c r="H349" t="s">
        <v>1362</v>
      </c>
      <c r="I349" t="s">
        <v>721</v>
      </c>
      <c r="J349">
        <v>2.5</v>
      </c>
      <c r="K349" t="s">
        <v>984</v>
      </c>
      <c r="L349">
        <v>125000</v>
      </c>
      <c r="M349">
        <v>2</v>
      </c>
      <c r="N349">
        <v>25.033740776233216</v>
      </c>
      <c r="O349" t="s">
        <v>592</v>
      </c>
      <c r="P349" t="s">
        <v>613</v>
      </c>
      <c r="Q349" t="s">
        <v>586</v>
      </c>
      <c r="R349" t="s">
        <v>712</v>
      </c>
      <c r="S349" t="s">
        <v>712</v>
      </c>
      <c r="T349">
        <v>77</v>
      </c>
    </row>
    <row r="350" spans="1:20" x14ac:dyDescent="0.25">
      <c r="A350" t="s">
        <v>1363</v>
      </c>
      <c r="B350" t="s">
        <v>184</v>
      </c>
      <c r="C350" t="s">
        <v>586</v>
      </c>
      <c r="D350" t="s">
        <v>642</v>
      </c>
      <c r="E350" t="s">
        <v>1361</v>
      </c>
      <c r="F350">
        <v>1.7782724636285938</v>
      </c>
      <c r="G350">
        <v>18.337460501613268</v>
      </c>
      <c r="H350" t="s">
        <v>1362</v>
      </c>
      <c r="I350" t="s">
        <v>721</v>
      </c>
      <c r="J350">
        <v>2.5</v>
      </c>
      <c r="K350" t="s">
        <v>1114</v>
      </c>
      <c r="L350">
        <v>130000</v>
      </c>
      <c r="M350">
        <v>2.1</v>
      </c>
      <c r="N350">
        <v>18.337460501613268</v>
      </c>
      <c r="O350" t="s">
        <v>592</v>
      </c>
      <c r="P350" t="s">
        <v>613</v>
      </c>
      <c r="Q350" t="s">
        <v>586</v>
      </c>
      <c r="R350" t="s">
        <v>712</v>
      </c>
      <c r="S350" t="s">
        <v>712</v>
      </c>
      <c r="T350">
        <v>62</v>
      </c>
    </row>
    <row r="351" spans="1:20" x14ac:dyDescent="0.25">
      <c r="A351" t="s">
        <v>1364</v>
      </c>
      <c r="B351" t="s">
        <v>184</v>
      </c>
      <c r="C351" t="s">
        <v>586</v>
      </c>
      <c r="D351" t="s">
        <v>642</v>
      </c>
      <c r="E351" t="s">
        <v>1361</v>
      </c>
      <c r="F351">
        <v>2.7145852982993652</v>
      </c>
      <c r="G351">
        <v>17.384798781340692</v>
      </c>
      <c r="H351" t="s">
        <v>1362</v>
      </c>
      <c r="I351" t="s">
        <v>721</v>
      </c>
      <c r="J351">
        <v>2.5</v>
      </c>
      <c r="K351" t="s">
        <v>669</v>
      </c>
      <c r="L351">
        <v>130000</v>
      </c>
      <c r="M351">
        <v>2.25</v>
      </c>
      <c r="N351">
        <v>17.384798781340692</v>
      </c>
      <c r="O351" t="s">
        <v>592</v>
      </c>
      <c r="P351" t="s">
        <v>613</v>
      </c>
      <c r="Q351" t="s">
        <v>586</v>
      </c>
      <c r="R351" t="s">
        <v>712</v>
      </c>
      <c r="S351" t="s">
        <v>712</v>
      </c>
      <c r="T351">
        <v>48</v>
      </c>
    </row>
    <row r="352" spans="1:20" x14ac:dyDescent="0.25">
      <c r="A352" t="s">
        <v>1365</v>
      </c>
      <c r="B352" t="s">
        <v>184</v>
      </c>
      <c r="C352" t="s">
        <v>586</v>
      </c>
      <c r="D352" t="s">
        <v>642</v>
      </c>
      <c r="E352" t="s">
        <v>1361</v>
      </c>
      <c r="F352">
        <v>3.5985927798365696</v>
      </c>
      <c r="G352">
        <v>13.606595402789923</v>
      </c>
      <c r="H352" t="s">
        <v>1362</v>
      </c>
      <c r="I352" t="s">
        <v>721</v>
      </c>
      <c r="J352">
        <v>3</v>
      </c>
      <c r="K352" t="s">
        <v>1163</v>
      </c>
      <c r="L352">
        <v>135000</v>
      </c>
      <c r="M352">
        <v>2.35</v>
      </c>
      <c r="N352">
        <v>13.606595402789923</v>
      </c>
      <c r="O352" t="s">
        <v>592</v>
      </c>
      <c r="P352" t="s">
        <v>613</v>
      </c>
      <c r="Q352" t="s">
        <v>586</v>
      </c>
      <c r="R352" t="s">
        <v>712</v>
      </c>
      <c r="S352" t="s">
        <v>712</v>
      </c>
      <c r="T352">
        <v>46</v>
      </c>
    </row>
    <row r="353" spans="1:20" x14ac:dyDescent="0.25">
      <c r="A353" t="s">
        <v>1366</v>
      </c>
      <c r="B353" t="s">
        <v>68</v>
      </c>
      <c r="C353" t="s">
        <v>586</v>
      </c>
      <c r="D353" t="s">
        <v>587</v>
      </c>
      <c r="E353" t="s">
        <v>855</v>
      </c>
      <c r="F353">
        <v>8.0480392312274371E-2</v>
      </c>
      <c r="G353">
        <v>48.586570636548032</v>
      </c>
      <c r="H353" t="s">
        <v>856</v>
      </c>
      <c r="I353" t="s">
        <v>661</v>
      </c>
      <c r="J353">
        <v>4</v>
      </c>
      <c r="K353" t="s">
        <v>950</v>
      </c>
      <c r="L353">
        <v>340000</v>
      </c>
      <c r="M353">
        <v>1.9100000000000001</v>
      </c>
      <c r="N353">
        <v>48.586570636548032</v>
      </c>
      <c r="O353" t="s">
        <v>592</v>
      </c>
      <c r="P353" t="s">
        <v>593</v>
      </c>
      <c r="Q353" t="s">
        <v>586</v>
      </c>
      <c r="R353" t="s">
        <v>712</v>
      </c>
      <c r="S353" t="s">
        <v>712</v>
      </c>
      <c r="T353">
        <v>97</v>
      </c>
    </row>
    <row r="354" spans="1:20" x14ac:dyDescent="0.25">
      <c r="A354" t="s">
        <v>1367</v>
      </c>
      <c r="B354" t="s">
        <v>68</v>
      </c>
      <c r="C354" t="s">
        <v>607</v>
      </c>
      <c r="D354" t="s">
        <v>587</v>
      </c>
      <c r="E354" t="s">
        <v>855</v>
      </c>
      <c r="F354">
        <v>1.9692357229770516</v>
      </c>
      <c r="G354">
        <v>46.949941538257889</v>
      </c>
      <c r="H354" t="s">
        <v>856</v>
      </c>
      <c r="I354" t="s">
        <v>661</v>
      </c>
      <c r="J354">
        <v>4</v>
      </c>
      <c r="K354" t="s">
        <v>956</v>
      </c>
      <c r="L354">
        <v>455000</v>
      </c>
      <c r="M354">
        <v>2.2200000000000002</v>
      </c>
      <c r="N354">
        <v>46.949941538257889</v>
      </c>
      <c r="O354" t="s">
        <v>592</v>
      </c>
      <c r="P354" t="s">
        <v>593</v>
      </c>
      <c r="Q354" t="s">
        <v>586</v>
      </c>
      <c r="R354" t="s">
        <v>712</v>
      </c>
      <c r="S354" t="s">
        <v>712</v>
      </c>
      <c r="T354">
        <v>79</v>
      </c>
    </row>
    <row r="355" spans="1:20" x14ac:dyDescent="0.25">
      <c r="A355" t="s">
        <v>1368</v>
      </c>
      <c r="B355" t="s">
        <v>68</v>
      </c>
      <c r="C355" t="s">
        <v>607</v>
      </c>
      <c r="D355" t="s">
        <v>587</v>
      </c>
      <c r="E355" t="s">
        <v>855</v>
      </c>
      <c r="F355">
        <v>2.8609458465357811</v>
      </c>
      <c r="G355">
        <v>49.143906499811976</v>
      </c>
      <c r="H355" t="s">
        <v>856</v>
      </c>
      <c r="I355" t="s">
        <v>661</v>
      </c>
      <c r="J355">
        <v>4</v>
      </c>
      <c r="K355" t="s">
        <v>1334</v>
      </c>
      <c r="L355">
        <v>520000</v>
      </c>
      <c r="M355">
        <v>2.4000000000000004</v>
      </c>
      <c r="N355">
        <v>49.143906499811976</v>
      </c>
      <c r="O355" t="s">
        <v>592</v>
      </c>
      <c r="P355" t="s">
        <v>593</v>
      </c>
      <c r="Q355" t="s">
        <v>586</v>
      </c>
      <c r="R355">
        <v>150000</v>
      </c>
      <c r="S355" t="s">
        <v>712</v>
      </c>
      <c r="T355">
        <v>71</v>
      </c>
    </row>
    <row r="356" spans="1:20" x14ac:dyDescent="0.25">
      <c r="A356" t="s">
        <v>1369</v>
      </c>
      <c r="B356" t="s">
        <v>68</v>
      </c>
      <c r="C356" t="s">
        <v>607</v>
      </c>
      <c r="D356" t="s">
        <v>587</v>
      </c>
      <c r="E356" t="s">
        <v>855</v>
      </c>
      <c r="F356">
        <v>4.4562053329370839</v>
      </c>
      <c r="G356">
        <v>53.329563111033096</v>
      </c>
      <c r="H356" t="s">
        <v>856</v>
      </c>
      <c r="I356" t="s">
        <v>661</v>
      </c>
      <c r="J356">
        <v>5</v>
      </c>
      <c r="K356" t="s">
        <v>717</v>
      </c>
      <c r="L356">
        <v>655000</v>
      </c>
      <c r="M356">
        <v>2.7</v>
      </c>
      <c r="N356">
        <v>53.329563111033096</v>
      </c>
      <c r="O356" t="s">
        <v>592</v>
      </c>
      <c r="P356" t="s">
        <v>593</v>
      </c>
      <c r="Q356" t="s">
        <v>586</v>
      </c>
      <c r="R356" t="s">
        <v>712</v>
      </c>
      <c r="S356" t="s">
        <v>712</v>
      </c>
      <c r="T356">
        <v>63</v>
      </c>
    </row>
    <row r="357" spans="1:20" x14ac:dyDescent="0.25">
      <c r="A357" t="s">
        <v>1370</v>
      </c>
      <c r="B357" t="s">
        <v>185</v>
      </c>
      <c r="C357" t="s">
        <v>586</v>
      </c>
      <c r="D357" t="s">
        <v>608</v>
      </c>
      <c r="E357" t="s">
        <v>671</v>
      </c>
      <c r="F357">
        <v>1.7592737600538146</v>
      </c>
      <c r="G357">
        <v>13.092558336107452</v>
      </c>
      <c r="H357" t="s">
        <v>720</v>
      </c>
      <c r="I357" t="s">
        <v>611</v>
      </c>
      <c r="J357">
        <v>4</v>
      </c>
      <c r="K357" t="s">
        <v>1114</v>
      </c>
      <c r="L357">
        <v>2015000</v>
      </c>
      <c r="M357">
        <v>1.61</v>
      </c>
      <c r="N357">
        <v>13.092558336107452</v>
      </c>
      <c r="O357" t="s">
        <v>592</v>
      </c>
      <c r="P357" t="s">
        <v>621</v>
      </c>
      <c r="Q357" t="s">
        <v>586</v>
      </c>
      <c r="R357" t="s">
        <v>712</v>
      </c>
      <c r="S357" t="s">
        <v>652</v>
      </c>
      <c r="T357">
        <v>88</v>
      </c>
    </row>
    <row r="358" spans="1:20" x14ac:dyDescent="0.25">
      <c r="A358" t="s">
        <v>1371</v>
      </c>
      <c r="B358" t="s">
        <v>185</v>
      </c>
      <c r="C358" t="s">
        <v>586</v>
      </c>
      <c r="D358" t="s">
        <v>608</v>
      </c>
      <c r="E358" t="s">
        <v>671</v>
      </c>
      <c r="F358">
        <v>0.8155033625496193</v>
      </c>
      <c r="G358">
        <v>14.060490209335462</v>
      </c>
      <c r="H358" t="s">
        <v>720</v>
      </c>
      <c r="I358" t="s">
        <v>611</v>
      </c>
      <c r="J358">
        <v>4</v>
      </c>
      <c r="K358" t="s">
        <v>984</v>
      </c>
      <c r="L358">
        <v>2015000</v>
      </c>
      <c r="M358">
        <v>1.47</v>
      </c>
      <c r="N358">
        <v>14.060490209335462</v>
      </c>
      <c r="O358" t="s">
        <v>592</v>
      </c>
      <c r="P358" t="s">
        <v>621</v>
      </c>
      <c r="Q358" t="s">
        <v>586</v>
      </c>
      <c r="R358">
        <v>100000</v>
      </c>
      <c r="S358" t="s">
        <v>652</v>
      </c>
      <c r="T358">
        <v>91</v>
      </c>
    </row>
    <row r="359" spans="1:20" x14ac:dyDescent="0.25">
      <c r="A359" t="s">
        <v>1372</v>
      </c>
      <c r="B359" t="s">
        <v>185</v>
      </c>
      <c r="C359" t="s">
        <v>586</v>
      </c>
      <c r="D359" t="s">
        <v>608</v>
      </c>
      <c r="E359" t="s">
        <v>671</v>
      </c>
      <c r="F359">
        <v>4.3918632018217432</v>
      </c>
      <c r="G359">
        <v>24.862865608779238</v>
      </c>
      <c r="H359" t="s">
        <v>720</v>
      </c>
      <c r="I359" t="s">
        <v>611</v>
      </c>
      <c r="J359">
        <v>4</v>
      </c>
      <c r="K359" t="s">
        <v>722</v>
      </c>
      <c r="L359">
        <v>2015000</v>
      </c>
      <c r="M359">
        <v>2.13</v>
      </c>
      <c r="N359">
        <v>24.862865608779238</v>
      </c>
      <c r="O359" t="s">
        <v>592</v>
      </c>
      <c r="P359" t="s">
        <v>621</v>
      </c>
      <c r="Q359" t="s">
        <v>586</v>
      </c>
      <c r="R359">
        <v>10000</v>
      </c>
      <c r="S359" t="s">
        <v>652</v>
      </c>
      <c r="T359">
        <v>66</v>
      </c>
    </row>
    <row r="360" spans="1:20" x14ac:dyDescent="0.25">
      <c r="A360" t="s">
        <v>1373</v>
      </c>
      <c r="B360" t="s">
        <v>182</v>
      </c>
      <c r="C360" t="s">
        <v>586</v>
      </c>
      <c r="D360" t="s">
        <v>608</v>
      </c>
      <c r="E360" t="s">
        <v>1321</v>
      </c>
      <c r="F360">
        <v>2.4898693774743013</v>
      </c>
      <c r="G360">
        <v>12.978493150684933</v>
      </c>
      <c r="H360" t="s">
        <v>610</v>
      </c>
      <c r="I360" t="s">
        <v>611</v>
      </c>
      <c r="J360">
        <v>3</v>
      </c>
      <c r="K360" t="s">
        <v>1055</v>
      </c>
      <c r="L360">
        <v>255000</v>
      </c>
      <c r="M360">
        <v>1.85</v>
      </c>
      <c r="N360">
        <v>12.978493150684933</v>
      </c>
      <c r="O360" t="s">
        <v>592</v>
      </c>
      <c r="P360" t="s">
        <v>613</v>
      </c>
      <c r="Q360" t="s">
        <v>586</v>
      </c>
      <c r="R360" t="s">
        <v>712</v>
      </c>
      <c r="S360" t="s">
        <v>712</v>
      </c>
      <c r="T360">
        <v>80</v>
      </c>
    </row>
    <row r="361" spans="1:20" x14ac:dyDescent="0.25">
      <c r="A361" t="s">
        <v>1374</v>
      </c>
      <c r="B361" t="s">
        <v>86</v>
      </c>
      <c r="C361" t="s">
        <v>586</v>
      </c>
      <c r="D361" t="s">
        <v>587</v>
      </c>
      <c r="E361" t="s">
        <v>756</v>
      </c>
      <c r="F361">
        <v>0.32953027556509207</v>
      </c>
      <c r="G361">
        <v>16.074813327072455</v>
      </c>
      <c r="H361" t="s">
        <v>932</v>
      </c>
      <c r="I361" t="s">
        <v>611</v>
      </c>
      <c r="J361">
        <v>4</v>
      </c>
      <c r="K361" t="s">
        <v>710</v>
      </c>
      <c r="L361">
        <v>200000</v>
      </c>
      <c r="M361">
        <v>1.73</v>
      </c>
      <c r="N361">
        <v>16.074813327072455</v>
      </c>
      <c r="O361" t="s">
        <v>592</v>
      </c>
      <c r="P361" t="s">
        <v>711</v>
      </c>
      <c r="Q361" t="s">
        <v>586</v>
      </c>
      <c r="R361" t="s">
        <v>712</v>
      </c>
      <c r="S361" t="s">
        <v>712</v>
      </c>
      <c r="T361">
        <v>93</v>
      </c>
    </row>
    <row r="362" spans="1:20" x14ac:dyDescent="0.25">
      <c r="A362" t="s">
        <v>1375</v>
      </c>
      <c r="B362" t="s">
        <v>86</v>
      </c>
      <c r="C362" t="s">
        <v>586</v>
      </c>
      <c r="D362" t="s">
        <v>587</v>
      </c>
      <c r="E362" t="s">
        <v>756</v>
      </c>
      <c r="F362">
        <v>2.197389196486367</v>
      </c>
      <c r="G362">
        <v>23.218926381660854</v>
      </c>
      <c r="H362" t="s">
        <v>932</v>
      </c>
      <c r="I362" t="s">
        <v>611</v>
      </c>
      <c r="J362">
        <v>5</v>
      </c>
      <c r="K362" t="s">
        <v>972</v>
      </c>
      <c r="L362">
        <v>215000</v>
      </c>
      <c r="M362">
        <v>2.13</v>
      </c>
      <c r="N362">
        <v>23.218926381660854</v>
      </c>
      <c r="O362" t="s">
        <v>592</v>
      </c>
      <c r="P362" t="s">
        <v>711</v>
      </c>
      <c r="Q362" t="s">
        <v>586</v>
      </c>
      <c r="R362" t="s">
        <v>712</v>
      </c>
      <c r="S362" t="s">
        <v>712</v>
      </c>
      <c r="T362">
        <v>72</v>
      </c>
    </row>
    <row r="363" spans="1:20" x14ac:dyDescent="0.25">
      <c r="A363" t="s">
        <v>1376</v>
      </c>
      <c r="B363" t="s">
        <v>104</v>
      </c>
      <c r="C363" t="s">
        <v>586</v>
      </c>
      <c r="D363" t="s">
        <v>1028</v>
      </c>
      <c r="E363" t="s">
        <v>1029</v>
      </c>
      <c r="F363">
        <v>2.0328778424623342</v>
      </c>
      <c r="G363">
        <v>9.8128621204322641</v>
      </c>
      <c r="H363" t="s">
        <v>1030</v>
      </c>
      <c r="I363" t="s">
        <v>611</v>
      </c>
      <c r="J363">
        <v>5</v>
      </c>
      <c r="K363" t="s">
        <v>651</v>
      </c>
      <c r="L363">
        <v>5025000</v>
      </c>
      <c r="M363">
        <v>2.15</v>
      </c>
      <c r="N363">
        <v>9.8128621204322641</v>
      </c>
      <c r="O363" t="s">
        <v>592</v>
      </c>
      <c r="P363" t="s">
        <v>593</v>
      </c>
      <c r="Q363" t="s">
        <v>586</v>
      </c>
      <c r="R363">
        <v>10000</v>
      </c>
      <c r="S363" t="s">
        <v>652</v>
      </c>
      <c r="T363">
        <v>89</v>
      </c>
    </row>
    <row r="364" spans="1:20" x14ac:dyDescent="0.25">
      <c r="A364" t="s">
        <v>1377</v>
      </c>
      <c r="B364" t="s">
        <v>141</v>
      </c>
      <c r="C364" t="s">
        <v>586</v>
      </c>
      <c r="D364" t="s">
        <v>805</v>
      </c>
      <c r="E364" t="s">
        <v>819</v>
      </c>
      <c r="F364">
        <v>0.85431732278078543</v>
      </c>
      <c r="G364">
        <v>8.0222287634415856</v>
      </c>
      <c r="H364" t="s">
        <v>869</v>
      </c>
      <c r="I364" t="s">
        <v>1165</v>
      </c>
      <c r="J364">
        <v>4</v>
      </c>
      <c r="K364" t="s">
        <v>821</v>
      </c>
      <c r="L364">
        <v>245000</v>
      </c>
      <c r="M364">
        <v>1.43</v>
      </c>
      <c r="N364">
        <v>8.0222287634415856</v>
      </c>
      <c r="O364" t="s">
        <v>592</v>
      </c>
      <c r="P364" t="s">
        <v>711</v>
      </c>
      <c r="Q364" t="s">
        <v>586</v>
      </c>
      <c r="R364">
        <v>75000</v>
      </c>
      <c r="S364" t="s">
        <v>712</v>
      </c>
      <c r="T364">
        <v>92</v>
      </c>
    </row>
    <row r="365" spans="1:20" x14ac:dyDescent="0.25">
      <c r="A365" t="s">
        <v>1378</v>
      </c>
      <c r="B365" t="s">
        <v>141</v>
      </c>
      <c r="C365" t="s">
        <v>586</v>
      </c>
      <c r="D365" t="s">
        <v>805</v>
      </c>
      <c r="E365" t="s">
        <v>819</v>
      </c>
      <c r="F365">
        <v>3.5860222925153522</v>
      </c>
      <c r="G365">
        <v>32.616202288624322</v>
      </c>
      <c r="H365" t="s">
        <v>869</v>
      </c>
      <c r="I365" t="s">
        <v>1165</v>
      </c>
      <c r="J365">
        <v>4</v>
      </c>
      <c r="K365" t="s">
        <v>704</v>
      </c>
      <c r="L365">
        <v>240000</v>
      </c>
      <c r="M365">
        <v>2.1</v>
      </c>
      <c r="N365">
        <v>32.616202288624322</v>
      </c>
      <c r="O365" t="s">
        <v>592</v>
      </c>
      <c r="P365" t="s">
        <v>711</v>
      </c>
      <c r="Q365" t="s">
        <v>586</v>
      </c>
      <c r="R365">
        <v>75000</v>
      </c>
      <c r="S365" t="s">
        <v>712</v>
      </c>
      <c r="T365">
        <v>63</v>
      </c>
    </row>
    <row r="366" spans="1:20" x14ac:dyDescent="0.25">
      <c r="A366" t="s">
        <v>1379</v>
      </c>
      <c r="B366" t="s">
        <v>141</v>
      </c>
      <c r="C366" t="s">
        <v>586</v>
      </c>
      <c r="D366" t="s">
        <v>805</v>
      </c>
      <c r="E366" t="s">
        <v>819</v>
      </c>
      <c r="F366">
        <v>4.433136857914536</v>
      </c>
      <c r="G366">
        <v>36.796203543607106</v>
      </c>
      <c r="H366" t="s">
        <v>869</v>
      </c>
      <c r="I366" t="s">
        <v>1165</v>
      </c>
      <c r="J366">
        <v>4</v>
      </c>
      <c r="K366" t="s">
        <v>678</v>
      </c>
      <c r="L366">
        <v>225000</v>
      </c>
      <c r="M366">
        <v>2.25</v>
      </c>
      <c r="N366">
        <v>36.796203543607106</v>
      </c>
      <c r="O366" t="s">
        <v>592</v>
      </c>
      <c r="P366" t="s">
        <v>711</v>
      </c>
      <c r="Q366" t="s">
        <v>586</v>
      </c>
      <c r="R366" t="s">
        <v>712</v>
      </c>
      <c r="S366" t="s">
        <v>712</v>
      </c>
      <c r="T366">
        <v>52</v>
      </c>
    </row>
    <row r="367" spans="1:20" x14ac:dyDescent="0.25">
      <c r="A367" t="s">
        <v>1380</v>
      </c>
      <c r="B367" t="s">
        <v>186</v>
      </c>
      <c r="C367" t="s">
        <v>607</v>
      </c>
      <c r="D367" t="s">
        <v>608</v>
      </c>
      <c r="E367" t="s">
        <v>1381</v>
      </c>
      <c r="F367">
        <v>1.5227186557382122</v>
      </c>
      <c r="G367">
        <v>37.280304919506001</v>
      </c>
      <c r="H367" t="s">
        <v>761</v>
      </c>
      <c r="I367" t="s">
        <v>1382</v>
      </c>
      <c r="J367">
        <v>3</v>
      </c>
      <c r="K367" t="s">
        <v>634</v>
      </c>
      <c r="L367">
        <v>295000</v>
      </c>
      <c r="M367">
        <v>1.9000000000000001</v>
      </c>
      <c r="N367">
        <v>37.280304919506001</v>
      </c>
      <c r="O367" t="s">
        <v>592</v>
      </c>
      <c r="P367" t="s">
        <v>613</v>
      </c>
      <c r="Q367" t="s">
        <v>586</v>
      </c>
      <c r="R367" t="s">
        <v>712</v>
      </c>
      <c r="S367" t="s">
        <v>594</v>
      </c>
      <c r="T367">
        <v>71</v>
      </c>
    </row>
    <row r="368" spans="1:20" x14ac:dyDescent="0.25">
      <c r="A368" t="s">
        <v>1383</v>
      </c>
      <c r="B368" t="s">
        <v>186</v>
      </c>
      <c r="C368" t="s">
        <v>607</v>
      </c>
      <c r="D368" t="s">
        <v>608</v>
      </c>
      <c r="E368" t="s">
        <v>1381</v>
      </c>
      <c r="F368">
        <v>3.3472391133600845</v>
      </c>
      <c r="G368">
        <v>33.426049941547035</v>
      </c>
      <c r="H368" t="s">
        <v>761</v>
      </c>
      <c r="I368" t="s">
        <v>1382</v>
      </c>
      <c r="J368">
        <v>3</v>
      </c>
      <c r="K368" t="s">
        <v>1038</v>
      </c>
      <c r="L368">
        <v>305000</v>
      </c>
      <c r="M368">
        <v>2.15</v>
      </c>
      <c r="N368">
        <v>33.426049941547035</v>
      </c>
      <c r="O368" t="s">
        <v>592</v>
      </c>
      <c r="P368" t="s">
        <v>613</v>
      </c>
      <c r="Q368" t="s">
        <v>586</v>
      </c>
      <c r="R368" t="s">
        <v>712</v>
      </c>
      <c r="S368" t="s">
        <v>594</v>
      </c>
      <c r="T368">
        <v>50</v>
      </c>
    </row>
    <row r="369" spans="1:20" x14ac:dyDescent="0.25">
      <c r="A369" t="s">
        <v>1384</v>
      </c>
      <c r="B369" t="s">
        <v>99</v>
      </c>
      <c r="C369" t="s">
        <v>586</v>
      </c>
      <c r="D369" t="s">
        <v>608</v>
      </c>
      <c r="E369" t="s">
        <v>999</v>
      </c>
      <c r="F369">
        <v>0.52773443926957109</v>
      </c>
      <c r="G369">
        <v>23.37483914233114</v>
      </c>
      <c r="H369" t="s">
        <v>1000</v>
      </c>
      <c r="I369" t="s">
        <v>721</v>
      </c>
      <c r="J369">
        <v>2.25</v>
      </c>
      <c r="K369" t="s">
        <v>1005</v>
      </c>
      <c r="L369">
        <v>715000</v>
      </c>
      <c r="M369">
        <v>1.54</v>
      </c>
      <c r="N369">
        <v>23.37483914233114</v>
      </c>
      <c r="O369" t="s">
        <v>592</v>
      </c>
      <c r="P369" t="s">
        <v>621</v>
      </c>
      <c r="Q369" t="s">
        <v>586</v>
      </c>
      <c r="R369" t="s">
        <v>712</v>
      </c>
      <c r="S369" t="s">
        <v>652</v>
      </c>
      <c r="T369">
        <v>86</v>
      </c>
    </row>
    <row r="370" spans="1:20" x14ac:dyDescent="0.25">
      <c r="A370" t="s">
        <v>1385</v>
      </c>
      <c r="B370" t="s">
        <v>186</v>
      </c>
      <c r="C370" t="s">
        <v>607</v>
      </c>
      <c r="D370" t="s">
        <v>608</v>
      </c>
      <c r="E370" t="s">
        <v>1381</v>
      </c>
      <c r="F370">
        <v>2.4483188434089955</v>
      </c>
      <c r="G370">
        <v>32.444637087603191</v>
      </c>
      <c r="H370" t="s">
        <v>761</v>
      </c>
      <c r="I370" t="s">
        <v>1382</v>
      </c>
      <c r="J370">
        <v>3</v>
      </c>
      <c r="K370" t="s">
        <v>959</v>
      </c>
      <c r="L370">
        <v>300000</v>
      </c>
      <c r="M370">
        <v>2</v>
      </c>
      <c r="N370">
        <v>32.444637087603191</v>
      </c>
      <c r="O370" t="s">
        <v>592</v>
      </c>
      <c r="P370" t="s">
        <v>613</v>
      </c>
      <c r="Q370" t="s">
        <v>586</v>
      </c>
      <c r="R370" t="s">
        <v>712</v>
      </c>
      <c r="S370" t="s">
        <v>594</v>
      </c>
      <c r="T370">
        <v>60</v>
      </c>
    </row>
    <row r="371" spans="1:20" x14ac:dyDescent="0.25">
      <c r="A371" t="s">
        <v>1386</v>
      </c>
      <c r="B371" t="s">
        <v>99</v>
      </c>
      <c r="C371" t="s">
        <v>586</v>
      </c>
      <c r="D371" t="s">
        <v>608</v>
      </c>
      <c r="E371" t="s">
        <v>999</v>
      </c>
      <c r="F371">
        <v>3.2008016161172432</v>
      </c>
      <c r="G371">
        <v>27.468221849418462</v>
      </c>
      <c r="H371" t="s">
        <v>1000</v>
      </c>
      <c r="I371" t="s">
        <v>721</v>
      </c>
      <c r="J371">
        <v>5</v>
      </c>
      <c r="K371" t="s">
        <v>1387</v>
      </c>
      <c r="L371">
        <v>820000</v>
      </c>
      <c r="M371">
        <v>2.0100000000000002</v>
      </c>
      <c r="N371">
        <v>27.468221849418462</v>
      </c>
      <c r="O371" t="s">
        <v>592</v>
      </c>
      <c r="P371" t="s">
        <v>621</v>
      </c>
      <c r="Q371" t="s">
        <v>586</v>
      </c>
      <c r="R371" t="s">
        <v>712</v>
      </c>
      <c r="S371" t="s">
        <v>652</v>
      </c>
      <c r="T371">
        <v>71</v>
      </c>
    </row>
    <row r="372" spans="1:20" x14ac:dyDescent="0.25">
      <c r="A372" t="s">
        <v>1388</v>
      </c>
      <c r="B372" t="s">
        <v>115</v>
      </c>
      <c r="C372" t="s">
        <v>607</v>
      </c>
      <c r="D372" t="s">
        <v>1071</v>
      </c>
      <c r="E372" t="s">
        <v>1072</v>
      </c>
      <c r="F372">
        <v>2.3199731649614574</v>
      </c>
      <c r="G372">
        <v>37.979017647905764</v>
      </c>
      <c r="H372" t="s">
        <v>1073</v>
      </c>
      <c r="I372" t="s">
        <v>661</v>
      </c>
      <c r="J372">
        <v>3</v>
      </c>
      <c r="K372" t="s">
        <v>747</v>
      </c>
      <c r="L372">
        <v>100000</v>
      </c>
      <c r="M372">
        <v>2.1</v>
      </c>
      <c r="N372">
        <v>37.979017647905764</v>
      </c>
      <c r="O372" t="s">
        <v>592</v>
      </c>
      <c r="P372" t="s">
        <v>593</v>
      </c>
      <c r="Q372" t="s">
        <v>586</v>
      </c>
      <c r="R372" t="s">
        <v>712</v>
      </c>
      <c r="S372" t="s">
        <v>712</v>
      </c>
      <c r="T372">
        <v>69</v>
      </c>
    </row>
    <row r="373" spans="1:20" x14ac:dyDescent="0.25">
      <c r="A373" t="s">
        <v>1389</v>
      </c>
      <c r="B373" t="s">
        <v>115</v>
      </c>
      <c r="C373" t="s">
        <v>607</v>
      </c>
      <c r="D373" t="s">
        <v>1071</v>
      </c>
      <c r="E373" t="s">
        <v>1072</v>
      </c>
      <c r="F373">
        <v>3.678429382175183</v>
      </c>
      <c r="G373">
        <v>37.05411887707362</v>
      </c>
      <c r="H373" t="s">
        <v>1073</v>
      </c>
      <c r="I373" t="s">
        <v>661</v>
      </c>
      <c r="J373">
        <v>3</v>
      </c>
      <c r="K373" t="s">
        <v>753</v>
      </c>
      <c r="L373">
        <v>105000</v>
      </c>
      <c r="M373">
        <v>2.3000000000000003</v>
      </c>
      <c r="N373">
        <v>37.05411887707362</v>
      </c>
      <c r="O373" t="s">
        <v>592</v>
      </c>
      <c r="P373" t="s">
        <v>593</v>
      </c>
      <c r="Q373" t="s">
        <v>586</v>
      </c>
      <c r="R373" t="s">
        <v>712</v>
      </c>
      <c r="S373" t="s">
        <v>712</v>
      </c>
      <c r="T373">
        <v>52</v>
      </c>
    </row>
    <row r="374" spans="1:20" x14ac:dyDescent="0.25">
      <c r="A374" t="s">
        <v>1390</v>
      </c>
      <c r="B374" t="s">
        <v>115</v>
      </c>
      <c r="C374" t="s">
        <v>607</v>
      </c>
      <c r="D374" t="s">
        <v>1071</v>
      </c>
      <c r="E374" t="s">
        <v>1072</v>
      </c>
      <c r="F374">
        <v>4.5508531742757414</v>
      </c>
      <c r="G374">
        <v>46.309785956828222</v>
      </c>
      <c r="H374" t="s">
        <v>1073</v>
      </c>
      <c r="I374" t="s">
        <v>661</v>
      </c>
      <c r="J374">
        <v>3</v>
      </c>
      <c r="K374" t="s">
        <v>1174</v>
      </c>
      <c r="L374">
        <v>110000</v>
      </c>
      <c r="M374">
        <v>2.5</v>
      </c>
      <c r="N374">
        <v>46.309785956828222</v>
      </c>
      <c r="O374" t="s">
        <v>592</v>
      </c>
      <c r="P374" t="s">
        <v>593</v>
      </c>
      <c r="Q374" t="s">
        <v>586</v>
      </c>
      <c r="R374" t="s">
        <v>712</v>
      </c>
      <c r="S374" t="s">
        <v>712</v>
      </c>
      <c r="T374">
        <v>42</v>
      </c>
    </row>
    <row r="375" spans="1:20" x14ac:dyDescent="0.25">
      <c r="A375" t="s">
        <v>1391</v>
      </c>
      <c r="B375" t="s">
        <v>187</v>
      </c>
      <c r="C375" t="s">
        <v>607</v>
      </c>
      <c r="D375" t="s">
        <v>608</v>
      </c>
      <c r="E375" t="s">
        <v>1392</v>
      </c>
      <c r="F375">
        <v>1.9865258142776234</v>
      </c>
      <c r="G375">
        <v>83.899540348855297</v>
      </c>
      <c r="H375" t="s">
        <v>1393</v>
      </c>
      <c r="I375" t="s">
        <v>611</v>
      </c>
      <c r="J375">
        <v>3</v>
      </c>
      <c r="K375" t="s">
        <v>956</v>
      </c>
      <c r="L375">
        <v>150000</v>
      </c>
      <c r="M375">
        <v>3</v>
      </c>
      <c r="N375">
        <v>83.899540348855297</v>
      </c>
      <c r="O375" t="s">
        <v>592</v>
      </c>
      <c r="P375" t="s">
        <v>613</v>
      </c>
      <c r="Q375" t="s">
        <v>586</v>
      </c>
      <c r="R375" t="s">
        <v>712</v>
      </c>
      <c r="S375" t="s">
        <v>712</v>
      </c>
      <c r="T375">
        <v>71</v>
      </c>
    </row>
    <row r="376" spans="1:20" x14ac:dyDescent="0.25">
      <c r="A376" t="s">
        <v>1394</v>
      </c>
      <c r="B376" t="s">
        <v>185</v>
      </c>
      <c r="C376" t="s">
        <v>586</v>
      </c>
      <c r="D376" t="s">
        <v>608</v>
      </c>
      <c r="E376" t="s">
        <v>671</v>
      </c>
      <c r="F376">
        <v>2.6685724275890914</v>
      </c>
      <c r="G376">
        <v>16.006684982484121</v>
      </c>
      <c r="H376" t="s">
        <v>720</v>
      </c>
      <c r="I376" t="s">
        <v>611</v>
      </c>
      <c r="J376">
        <v>4</v>
      </c>
      <c r="K376" t="s">
        <v>669</v>
      </c>
      <c r="L376">
        <v>2015000</v>
      </c>
      <c r="M376">
        <v>1.79</v>
      </c>
      <c r="N376">
        <v>16.006684982484121</v>
      </c>
      <c r="O376" t="s">
        <v>592</v>
      </c>
      <c r="P376" t="s">
        <v>621</v>
      </c>
      <c r="Q376" t="s">
        <v>586</v>
      </c>
      <c r="R376" t="s">
        <v>712</v>
      </c>
      <c r="S376" t="s">
        <v>652</v>
      </c>
      <c r="T376">
        <v>79</v>
      </c>
    </row>
    <row r="377" spans="1:20" x14ac:dyDescent="0.25">
      <c r="A377" t="s">
        <v>1395</v>
      </c>
      <c r="B377" t="s">
        <v>185</v>
      </c>
      <c r="C377" t="s">
        <v>586</v>
      </c>
      <c r="D377" t="s">
        <v>608</v>
      </c>
      <c r="E377" t="s">
        <v>671</v>
      </c>
      <c r="F377">
        <v>3.5454496762000445</v>
      </c>
      <c r="G377">
        <v>23.182922044660526</v>
      </c>
      <c r="H377" t="s">
        <v>720</v>
      </c>
      <c r="I377" t="s">
        <v>611</v>
      </c>
      <c r="J377">
        <v>4</v>
      </c>
      <c r="K377" t="s">
        <v>1163</v>
      </c>
      <c r="L377">
        <v>2015000</v>
      </c>
      <c r="M377">
        <v>2</v>
      </c>
      <c r="N377">
        <v>23.182922044660526</v>
      </c>
      <c r="O377" t="s">
        <v>592</v>
      </c>
      <c r="P377" t="s">
        <v>621</v>
      </c>
      <c r="Q377" t="s">
        <v>586</v>
      </c>
      <c r="R377">
        <v>30000</v>
      </c>
      <c r="S377" t="s">
        <v>652</v>
      </c>
      <c r="T377">
        <v>72</v>
      </c>
    </row>
    <row r="378" spans="1:20" x14ac:dyDescent="0.25">
      <c r="A378" t="s">
        <v>1396</v>
      </c>
      <c r="B378" t="s">
        <v>86</v>
      </c>
      <c r="C378" t="s">
        <v>586</v>
      </c>
      <c r="D378" t="s">
        <v>587</v>
      </c>
      <c r="E378" t="s">
        <v>756</v>
      </c>
      <c r="F378">
        <v>1.2918548848261862</v>
      </c>
      <c r="G378">
        <v>21.501629775086052</v>
      </c>
      <c r="H378" t="s">
        <v>932</v>
      </c>
      <c r="I378" t="s">
        <v>611</v>
      </c>
      <c r="J378">
        <v>4</v>
      </c>
      <c r="K378" t="s">
        <v>758</v>
      </c>
      <c r="L378">
        <v>210000</v>
      </c>
      <c r="M378">
        <v>1.95</v>
      </c>
      <c r="N378">
        <v>21.501629775086052</v>
      </c>
      <c r="O378" t="s">
        <v>592</v>
      </c>
      <c r="P378" t="s">
        <v>711</v>
      </c>
      <c r="Q378" t="s">
        <v>586</v>
      </c>
      <c r="R378" t="s">
        <v>712</v>
      </c>
      <c r="S378" t="s">
        <v>712</v>
      </c>
      <c r="T378">
        <v>79</v>
      </c>
    </row>
    <row r="379" spans="1:20" x14ac:dyDescent="0.25">
      <c r="A379" t="s">
        <v>1397</v>
      </c>
      <c r="B379" t="s">
        <v>86</v>
      </c>
      <c r="C379" t="s">
        <v>586</v>
      </c>
      <c r="D379" t="s">
        <v>587</v>
      </c>
      <c r="E379" t="s">
        <v>756</v>
      </c>
      <c r="F379">
        <v>3.9059941387526687</v>
      </c>
      <c r="G379">
        <v>25.936899871492038</v>
      </c>
      <c r="H379" t="s">
        <v>932</v>
      </c>
      <c r="I379" t="s">
        <v>611</v>
      </c>
      <c r="J379">
        <v>5</v>
      </c>
      <c r="K379" t="s">
        <v>1085</v>
      </c>
      <c r="L379">
        <v>240000</v>
      </c>
      <c r="M379">
        <v>2.4300000000000002</v>
      </c>
      <c r="N379">
        <v>25.936899871492038</v>
      </c>
      <c r="O379" t="s">
        <v>592</v>
      </c>
      <c r="P379" t="s">
        <v>711</v>
      </c>
      <c r="Q379" t="s">
        <v>586</v>
      </c>
      <c r="R379" t="s">
        <v>712</v>
      </c>
      <c r="S379" t="s">
        <v>712</v>
      </c>
      <c r="T379">
        <v>59</v>
      </c>
    </row>
    <row r="380" spans="1:20" x14ac:dyDescent="0.25">
      <c r="A380" t="s">
        <v>1398</v>
      </c>
      <c r="B380" t="s">
        <v>86</v>
      </c>
      <c r="C380" t="s">
        <v>586</v>
      </c>
      <c r="D380" t="s">
        <v>587</v>
      </c>
      <c r="E380" t="s">
        <v>756</v>
      </c>
      <c r="F380">
        <v>3.070120006660773</v>
      </c>
      <c r="G380">
        <v>24.292050426647769</v>
      </c>
      <c r="H380" t="s">
        <v>932</v>
      </c>
      <c r="I380" t="s">
        <v>611</v>
      </c>
      <c r="J380">
        <v>5</v>
      </c>
      <c r="K380" t="s">
        <v>938</v>
      </c>
      <c r="L380">
        <v>225000</v>
      </c>
      <c r="M380">
        <v>2.29</v>
      </c>
      <c r="N380">
        <v>24.292050426647769</v>
      </c>
      <c r="O380" t="s">
        <v>592</v>
      </c>
      <c r="P380" t="s">
        <v>711</v>
      </c>
      <c r="Q380" t="s">
        <v>586</v>
      </c>
      <c r="R380" t="s">
        <v>712</v>
      </c>
      <c r="S380" t="s">
        <v>712</v>
      </c>
      <c r="T380">
        <v>65</v>
      </c>
    </row>
    <row r="381" spans="1:20" x14ac:dyDescent="0.25">
      <c r="A381" t="s">
        <v>1399</v>
      </c>
      <c r="B381" t="s">
        <v>104</v>
      </c>
      <c r="C381" t="s">
        <v>586</v>
      </c>
      <c r="D381" t="s">
        <v>1028</v>
      </c>
      <c r="E381" t="s">
        <v>1029</v>
      </c>
      <c r="F381">
        <v>0.16346126773408745</v>
      </c>
      <c r="G381">
        <v>7.9302751887523781</v>
      </c>
      <c r="H381" t="s">
        <v>1030</v>
      </c>
      <c r="I381" t="s">
        <v>611</v>
      </c>
      <c r="J381">
        <v>5</v>
      </c>
      <c r="K381" t="s">
        <v>749</v>
      </c>
      <c r="L381">
        <v>4555000</v>
      </c>
      <c r="M381">
        <v>1.84</v>
      </c>
      <c r="N381">
        <v>7.9302751887523781</v>
      </c>
      <c r="O381" t="s">
        <v>592</v>
      </c>
      <c r="P381" t="s">
        <v>593</v>
      </c>
      <c r="Q381" t="s">
        <v>586</v>
      </c>
      <c r="R381">
        <v>75000</v>
      </c>
      <c r="S381" t="s">
        <v>652</v>
      </c>
      <c r="T381">
        <v>99</v>
      </c>
    </row>
    <row r="382" spans="1:20" x14ac:dyDescent="0.25">
      <c r="A382" t="s">
        <v>1400</v>
      </c>
      <c r="B382" t="s">
        <v>104</v>
      </c>
      <c r="C382" t="s">
        <v>586</v>
      </c>
      <c r="D382" t="s">
        <v>1028</v>
      </c>
      <c r="E382" t="s">
        <v>1029</v>
      </c>
      <c r="F382">
        <v>1.1202516894848606</v>
      </c>
      <c r="G382">
        <v>10.252792456441707</v>
      </c>
      <c r="H382" t="s">
        <v>1030</v>
      </c>
      <c r="I382" t="s">
        <v>611</v>
      </c>
      <c r="J382">
        <v>5</v>
      </c>
      <c r="K382" t="s">
        <v>598</v>
      </c>
      <c r="L382">
        <v>4785000</v>
      </c>
      <c r="M382">
        <v>2.0100000000000002</v>
      </c>
      <c r="N382">
        <v>10.252792456441707</v>
      </c>
      <c r="O382" t="s">
        <v>592</v>
      </c>
      <c r="P382" t="s">
        <v>593</v>
      </c>
      <c r="Q382" t="s">
        <v>586</v>
      </c>
      <c r="R382">
        <v>20000</v>
      </c>
      <c r="S382" t="s">
        <v>652</v>
      </c>
      <c r="T382">
        <v>94</v>
      </c>
    </row>
    <row r="383" spans="1:20" x14ac:dyDescent="0.25">
      <c r="A383" t="s">
        <v>1401</v>
      </c>
      <c r="B383" t="s">
        <v>188</v>
      </c>
      <c r="C383" t="s">
        <v>586</v>
      </c>
      <c r="D383" t="s">
        <v>587</v>
      </c>
      <c r="E383" t="s">
        <v>1402</v>
      </c>
      <c r="F383">
        <v>8.049074334330697E-2</v>
      </c>
      <c r="G383">
        <v>74.946457773539166</v>
      </c>
      <c r="H383" t="s">
        <v>589</v>
      </c>
      <c r="I383" t="s">
        <v>721</v>
      </c>
      <c r="J383">
        <v>2</v>
      </c>
      <c r="K383" t="s">
        <v>950</v>
      </c>
      <c r="L383">
        <v>55000</v>
      </c>
      <c r="M383">
        <v>1.9000000000000001</v>
      </c>
      <c r="N383">
        <v>74.946457773539166</v>
      </c>
      <c r="O383" t="s">
        <v>592</v>
      </c>
      <c r="P383" t="s">
        <v>593</v>
      </c>
      <c r="Q383" t="s">
        <v>586</v>
      </c>
      <c r="R383" t="s">
        <v>712</v>
      </c>
      <c r="S383" t="s">
        <v>712</v>
      </c>
      <c r="T383">
        <v>91</v>
      </c>
    </row>
    <row r="384" spans="1:20" x14ac:dyDescent="0.25">
      <c r="A384" t="s">
        <v>1403</v>
      </c>
      <c r="B384" t="s">
        <v>188</v>
      </c>
      <c r="C384" t="s">
        <v>586</v>
      </c>
      <c r="D384" t="s">
        <v>587</v>
      </c>
      <c r="E384" t="s">
        <v>1402</v>
      </c>
      <c r="F384">
        <v>1.057342225846402</v>
      </c>
      <c r="G384">
        <v>84.298717626555543</v>
      </c>
      <c r="H384" t="s">
        <v>589</v>
      </c>
      <c r="I384" t="s">
        <v>721</v>
      </c>
      <c r="J384">
        <v>2</v>
      </c>
      <c r="K384" t="s">
        <v>612</v>
      </c>
      <c r="L384">
        <v>60000</v>
      </c>
      <c r="M384">
        <v>2.14</v>
      </c>
      <c r="N384">
        <v>84.298717626555543</v>
      </c>
      <c r="O384" t="s">
        <v>592</v>
      </c>
      <c r="P384" t="s">
        <v>593</v>
      </c>
      <c r="Q384" t="s">
        <v>586</v>
      </c>
      <c r="R384">
        <v>40000</v>
      </c>
      <c r="S384" t="s">
        <v>712</v>
      </c>
      <c r="T384">
        <v>67</v>
      </c>
    </row>
    <row r="385" spans="1:20" x14ac:dyDescent="0.25">
      <c r="A385" t="s">
        <v>1404</v>
      </c>
      <c r="B385" t="s">
        <v>188</v>
      </c>
      <c r="C385" t="s">
        <v>586</v>
      </c>
      <c r="D385" t="s">
        <v>587</v>
      </c>
      <c r="E385" t="s">
        <v>1402</v>
      </c>
      <c r="F385">
        <v>2.0131000506305092</v>
      </c>
      <c r="G385">
        <v>96.314231463322926</v>
      </c>
      <c r="H385" t="s">
        <v>589</v>
      </c>
      <c r="I385" t="s">
        <v>721</v>
      </c>
      <c r="J385">
        <v>2</v>
      </c>
      <c r="K385" t="s">
        <v>956</v>
      </c>
      <c r="L385">
        <v>65000</v>
      </c>
      <c r="M385">
        <v>2.41</v>
      </c>
      <c r="N385">
        <v>96.314231463322926</v>
      </c>
      <c r="O385" t="s">
        <v>592</v>
      </c>
      <c r="P385" t="s">
        <v>593</v>
      </c>
      <c r="Q385" t="s">
        <v>586</v>
      </c>
      <c r="R385" t="s">
        <v>712</v>
      </c>
      <c r="S385" t="s">
        <v>712</v>
      </c>
      <c r="T385">
        <v>52</v>
      </c>
    </row>
    <row r="386" spans="1:20" x14ac:dyDescent="0.25">
      <c r="A386" t="s">
        <v>1405</v>
      </c>
      <c r="B386" t="s">
        <v>189</v>
      </c>
      <c r="C386" t="s">
        <v>607</v>
      </c>
      <c r="D386" t="s">
        <v>608</v>
      </c>
      <c r="E386" t="s">
        <v>789</v>
      </c>
      <c r="F386">
        <v>8.0449868075707948E-2</v>
      </c>
      <c r="G386">
        <v>60.296549842144657</v>
      </c>
      <c r="H386" t="s">
        <v>720</v>
      </c>
      <c r="I386" t="s">
        <v>1034</v>
      </c>
      <c r="J386">
        <v>4</v>
      </c>
      <c r="K386" t="s">
        <v>950</v>
      </c>
      <c r="L386">
        <v>115000</v>
      </c>
      <c r="M386">
        <v>1.85</v>
      </c>
      <c r="N386">
        <v>60.296549842144657</v>
      </c>
      <c r="O386" t="s">
        <v>592</v>
      </c>
      <c r="P386" t="s">
        <v>613</v>
      </c>
      <c r="Q386" t="s">
        <v>586</v>
      </c>
      <c r="R386" t="s">
        <v>712</v>
      </c>
      <c r="S386" t="s">
        <v>712</v>
      </c>
      <c r="T386">
        <v>86</v>
      </c>
    </row>
    <row r="387" spans="1:20" x14ac:dyDescent="0.25">
      <c r="A387" t="s">
        <v>1406</v>
      </c>
      <c r="B387" t="s">
        <v>189</v>
      </c>
      <c r="C387" t="s">
        <v>607</v>
      </c>
      <c r="D387" t="s">
        <v>608</v>
      </c>
      <c r="E387" t="s">
        <v>789</v>
      </c>
      <c r="F387">
        <v>1.0401497938609556</v>
      </c>
      <c r="G387">
        <v>59.31781718406539</v>
      </c>
      <c r="H387" t="s">
        <v>720</v>
      </c>
      <c r="I387" t="s">
        <v>1034</v>
      </c>
      <c r="J387">
        <v>4</v>
      </c>
      <c r="K387" t="s">
        <v>612</v>
      </c>
      <c r="L387">
        <v>120000</v>
      </c>
      <c r="M387">
        <v>2</v>
      </c>
      <c r="N387">
        <v>59.31781718406539</v>
      </c>
      <c r="O387" t="s">
        <v>592</v>
      </c>
      <c r="P387" t="s">
        <v>613</v>
      </c>
      <c r="Q387" t="s">
        <v>586</v>
      </c>
      <c r="R387" t="s">
        <v>712</v>
      </c>
      <c r="S387" t="s">
        <v>712</v>
      </c>
      <c r="T387">
        <v>73</v>
      </c>
    </row>
    <row r="388" spans="1:20" x14ac:dyDescent="0.25">
      <c r="A388" t="s">
        <v>1407</v>
      </c>
      <c r="B388" t="s">
        <v>189</v>
      </c>
      <c r="C388" t="s">
        <v>607</v>
      </c>
      <c r="D388" t="s">
        <v>608</v>
      </c>
      <c r="E388" t="s">
        <v>789</v>
      </c>
      <c r="F388">
        <v>1.9622632578971353</v>
      </c>
      <c r="G388">
        <v>68.234556137395685</v>
      </c>
      <c r="H388" t="s">
        <v>720</v>
      </c>
      <c r="I388" t="s">
        <v>1034</v>
      </c>
      <c r="J388">
        <v>4</v>
      </c>
      <c r="K388" t="s">
        <v>956</v>
      </c>
      <c r="L388">
        <v>120000</v>
      </c>
      <c r="M388">
        <v>2.25</v>
      </c>
      <c r="N388">
        <v>68.234556137395685</v>
      </c>
      <c r="O388" t="s">
        <v>592</v>
      </c>
      <c r="P388" t="s">
        <v>613</v>
      </c>
      <c r="Q388" t="s">
        <v>586</v>
      </c>
      <c r="R388" t="s">
        <v>712</v>
      </c>
      <c r="S388" t="s">
        <v>712</v>
      </c>
      <c r="T388">
        <v>62</v>
      </c>
    </row>
    <row r="389" spans="1:20" x14ac:dyDescent="0.25">
      <c r="A389" t="s">
        <v>1408</v>
      </c>
      <c r="B389" t="s">
        <v>189</v>
      </c>
      <c r="C389" t="s">
        <v>607</v>
      </c>
      <c r="D389" t="s">
        <v>608</v>
      </c>
      <c r="E389" t="s">
        <v>789</v>
      </c>
      <c r="F389">
        <v>2.8500844567415267</v>
      </c>
      <c r="G389">
        <v>77.689025469542997</v>
      </c>
      <c r="H389" t="s">
        <v>720</v>
      </c>
      <c r="I389" t="s">
        <v>1034</v>
      </c>
      <c r="J389">
        <v>4</v>
      </c>
      <c r="K389" t="s">
        <v>1334</v>
      </c>
      <c r="L389">
        <v>125000</v>
      </c>
      <c r="M389">
        <v>2.5</v>
      </c>
      <c r="N389">
        <v>77.689025469542997</v>
      </c>
      <c r="O389" t="s">
        <v>592</v>
      </c>
      <c r="P389" t="s">
        <v>613</v>
      </c>
      <c r="Q389" t="s">
        <v>586</v>
      </c>
      <c r="R389" t="s">
        <v>712</v>
      </c>
      <c r="S389" t="s">
        <v>712</v>
      </c>
      <c r="T389">
        <v>63</v>
      </c>
    </row>
    <row r="390" spans="1:20" x14ac:dyDescent="0.25">
      <c r="A390" t="s">
        <v>1409</v>
      </c>
      <c r="B390" t="s">
        <v>190</v>
      </c>
      <c r="C390" t="s">
        <v>607</v>
      </c>
      <c r="D390" t="s">
        <v>608</v>
      </c>
      <c r="E390" t="s">
        <v>1392</v>
      </c>
      <c r="F390">
        <v>8.0474342815429242E-2</v>
      </c>
      <c r="G390">
        <v>34.486722489598435</v>
      </c>
      <c r="H390" t="s">
        <v>1041</v>
      </c>
      <c r="I390" t="s">
        <v>885</v>
      </c>
      <c r="J390">
        <v>2.25</v>
      </c>
      <c r="K390" t="s">
        <v>950</v>
      </c>
      <c r="L390">
        <v>65000</v>
      </c>
      <c r="M390">
        <v>2</v>
      </c>
      <c r="N390">
        <v>34.486722489598435</v>
      </c>
      <c r="O390" t="s">
        <v>592</v>
      </c>
      <c r="P390" t="s">
        <v>613</v>
      </c>
      <c r="Q390" t="s">
        <v>586</v>
      </c>
      <c r="R390" t="s">
        <v>712</v>
      </c>
      <c r="S390" t="s">
        <v>614</v>
      </c>
      <c r="T390">
        <v>99</v>
      </c>
    </row>
    <row r="391" spans="1:20" x14ac:dyDescent="0.25">
      <c r="A391" t="s">
        <v>1410</v>
      </c>
      <c r="B391" t="s">
        <v>190</v>
      </c>
      <c r="C391" t="s">
        <v>607</v>
      </c>
      <c r="D391" t="s">
        <v>608</v>
      </c>
      <c r="E391" t="s">
        <v>1392</v>
      </c>
      <c r="F391">
        <v>1.0524661596346232</v>
      </c>
      <c r="G391">
        <v>36.347415178516364</v>
      </c>
      <c r="H391" t="s">
        <v>1041</v>
      </c>
      <c r="I391" t="s">
        <v>885</v>
      </c>
      <c r="J391">
        <v>2.5</v>
      </c>
      <c r="K391" t="s">
        <v>612</v>
      </c>
      <c r="L391">
        <v>70000</v>
      </c>
      <c r="M391">
        <v>2.15</v>
      </c>
      <c r="N391">
        <v>36.347415178516364</v>
      </c>
      <c r="O391" t="s">
        <v>592</v>
      </c>
      <c r="P391" t="s">
        <v>613</v>
      </c>
      <c r="Q391" t="s">
        <v>586</v>
      </c>
      <c r="R391" t="s">
        <v>712</v>
      </c>
      <c r="S391" t="s">
        <v>614</v>
      </c>
      <c r="T391">
        <v>86</v>
      </c>
    </row>
    <row r="392" spans="1:20" x14ac:dyDescent="0.25">
      <c r="A392" t="s">
        <v>1411</v>
      </c>
      <c r="B392" t="s">
        <v>190</v>
      </c>
      <c r="C392" t="s">
        <v>607</v>
      </c>
      <c r="D392" t="s">
        <v>608</v>
      </c>
      <c r="E392" t="s">
        <v>1392</v>
      </c>
      <c r="F392">
        <v>1.9991285041244571</v>
      </c>
      <c r="G392">
        <v>38.242843916712133</v>
      </c>
      <c r="H392" t="s">
        <v>1041</v>
      </c>
      <c r="I392" t="s">
        <v>885</v>
      </c>
      <c r="J392">
        <v>2.5</v>
      </c>
      <c r="K392" t="s">
        <v>956</v>
      </c>
      <c r="L392">
        <v>70000</v>
      </c>
      <c r="M392">
        <v>2.3000000000000003</v>
      </c>
      <c r="N392">
        <v>38.242843916712133</v>
      </c>
      <c r="O392" t="s">
        <v>592</v>
      </c>
      <c r="P392" t="s">
        <v>613</v>
      </c>
      <c r="Q392" t="s">
        <v>586</v>
      </c>
      <c r="R392" t="s">
        <v>712</v>
      </c>
      <c r="S392" t="s">
        <v>614</v>
      </c>
      <c r="T392">
        <v>72</v>
      </c>
    </row>
    <row r="393" spans="1:20" x14ac:dyDescent="0.25">
      <c r="A393" t="s">
        <v>1412</v>
      </c>
      <c r="B393" t="s">
        <v>190</v>
      </c>
      <c r="C393" t="s">
        <v>607</v>
      </c>
      <c r="D393" t="s">
        <v>608</v>
      </c>
      <c r="E393" t="s">
        <v>1392</v>
      </c>
      <c r="F393">
        <v>8.047425156682235E-2</v>
      </c>
      <c r="G393">
        <v>65.053597335557271</v>
      </c>
      <c r="H393" t="s">
        <v>1045</v>
      </c>
      <c r="I393" t="s">
        <v>611</v>
      </c>
      <c r="J393">
        <v>4.5</v>
      </c>
      <c r="K393" t="s">
        <v>950</v>
      </c>
      <c r="L393">
        <v>50000</v>
      </c>
      <c r="M393">
        <v>1.75</v>
      </c>
      <c r="N393">
        <v>65.053597335557271</v>
      </c>
      <c r="O393" t="s">
        <v>592</v>
      </c>
      <c r="P393" t="s">
        <v>613</v>
      </c>
      <c r="Q393" t="s">
        <v>586</v>
      </c>
      <c r="R393" t="s">
        <v>712</v>
      </c>
      <c r="S393" t="s">
        <v>594</v>
      </c>
      <c r="T393">
        <v>96</v>
      </c>
    </row>
    <row r="394" spans="1:20" x14ac:dyDescent="0.25">
      <c r="A394" t="s">
        <v>1413</v>
      </c>
      <c r="B394" t="s">
        <v>190</v>
      </c>
      <c r="C394" t="s">
        <v>607</v>
      </c>
      <c r="D394" t="s">
        <v>608</v>
      </c>
      <c r="E394" t="s">
        <v>1392</v>
      </c>
      <c r="F394">
        <v>1.0388486874226281</v>
      </c>
      <c r="G394">
        <v>65.640104559091441</v>
      </c>
      <c r="H394" t="s">
        <v>1045</v>
      </c>
      <c r="I394" t="s">
        <v>611</v>
      </c>
      <c r="J394">
        <v>4.5</v>
      </c>
      <c r="K394" t="s">
        <v>612</v>
      </c>
      <c r="L394">
        <v>50000</v>
      </c>
      <c r="M394">
        <v>1.9000000000000001</v>
      </c>
      <c r="N394">
        <v>65.640104559091441</v>
      </c>
      <c r="O394" t="s">
        <v>592</v>
      </c>
      <c r="P394" t="s">
        <v>613</v>
      </c>
      <c r="Q394" t="s">
        <v>586</v>
      </c>
      <c r="R394" t="s">
        <v>712</v>
      </c>
      <c r="S394" t="s">
        <v>594</v>
      </c>
      <c r="T394">
        <v>91</v>
      </c>
    </row>
    <row r="395" spans="1:20" x14ac:dyDescent="0.25">
      <c r="A395" t="s">
        <v>1414</v>
      </c>
      <c r="B395" t="s">
        <v>190</v>
      </c>
      <c r="C395" t="s">
        <v>607</v>
      </c>
      <c r="D395" t="s">
        <v>608</v>
      </c>
      <c r="E395" t="s">
        <v>1392</v>
      </c>
      <c r="F395">
        <v>1.9560760419318335</v>
      </c>
      <c r="G395">
        <v>65.760122721281817</v>
      </c>
      <c r="H395" t="s">
        <v>1045</v>
      </c>
      <c r="I395" t="s">
        <v>611</v>
      </c>
      <c r="J395">
        <v>4.5</v>
      </c>
      <c r="K395" t="s">
        <v>956</v>
      </c>
      <c r="L395">
        <v>55000</v>
      </c>
      <c r="M395">
        <v>2.0499999999999998</v>
      </c>
      <c r="N395">
        <v>65.760122721281817</v>
      </c>
      <c r="O395" t="s">
        <v>592</v>
      </c>
      <c r="P395" t="s">
        <v>613</v>
      </c>
      <c r="Q395" t="s">
        <v>586</v>
      </c>
      <c r="R395" t="s">
        <v>712</v>
      </c>
      <c r="S395" t="s">
        <v>594</v>
      </c>
      <c r="T395">
        <v>79</v>
      </c>
    </row>
    <row r="396" spans="1:20" x14ac:dyDescent="0.25">
      <c r="A396" t="s">
        <v>1415</v>
      </c>
      <c r="B396" t="s">
        <v>190</v>
      </c>
      <c r="C396" t="s">
        <v>607</v>
      </c>
      <c r="D396" t="s">
        <v>608</v>
      </c>
      <c r="E396" t="s">
        <v>1392</v>
      </c>
      <c r="F396">
        <v>2.9456683045758987</v>
      </c>
      <c r="G396">
        <v>70.799344390573211</v>
      </c>
      <c r="H396" t="s">
        <v>1045</v>
      </c>
      <c r="I396" t="s">
        <v>611</v>
      </c>
      <c r="J396">
        <v>2</v>
      </c>
      <c r="K396" t="s">
        <v>1334</v>
      </c>
      <c r="L396">
        <v>55000</v>
      </c>
      <c r="M396">
        <v>2.25</v>
      </c>
      <c r="N396">
        <v>70.799344390573211</v>
      </c>
      <c r="O396" t="s">
        <v>592</v>
      </c>
      <c r="P396" t="s">
        <v>613</v>
      </c>
      <c r="Q396" t="s">
        <v>586</v>
      </c>
      <c r="R396" t="s">
        <v>712</v>
      </c>
      <c r="S396" t="s">
        <v>594</v>
      </c>
      <c r="T396">
        <v>56</v>
      </c>
    </row>
    <row r="397" spans="1:20" x14ac:dyDescent="0.25">
      <c r="A397" t="s">
        <v>1416</v>
      </c>
      <c r="B397" t="s">
        <v>96</v>
      </c>
      <c r="C397" t="s">
        <v>586</v>
      </c>
      <c r="D397" t="s">
        <v>961</v>
      </c>
      <c r="E397" t="s">
        <v>962</v>
      </c>
      <c r="F397">
        <v>0.11933392582165904</v>
      </c>
      <c r="G397">
        <v>2.9645583326965763</v>
      </c>
      <c r="H397" t="s">
        <v>986</v>
      </c>
      <c r="I397" t="s">
        <v>703</v>
      </c>
      <c r="J397">
        <v>4</v>
      </c>
      <c r="K397" t="s">
        <v>1105</v>
      </c>
      <c r="L397">
        <v>2515000</v>
      </c>
      <c r="M397">
        <v>1.46</v>
      </c>
      <c r="N397">
        <v>2.9645583326965763</v>
      </c>
      <c r="O397" t="s">
        <v>592</v>
      </c>
      <c r="P397" t="s">
        <v>593</v>
      </c>
      <c r="Q397" t="s">
        <v>586</v>
      </c>
      <c r="R397">
        <v>45000</v>
      </c>
      <c r="S397" t="s">
        <v>599</v>
      </c>
      <c r="T397">
        <v>99</v>
      </c>
    </row>
    <row r="398" spans="1:20" x14ac:dyDescent="0.25">
      <c r="A398" t="s">
        <v>1417</v>
      </c>
      <c r="B398" t="s">
        <v>96</v>
      </c>
      <c r="C398" t="s">
        <v>586</v>
      </c>
      <c r="D398" t="s">
        <v>961</v>
      </c>
      <c r="E398" t="s">
        <v>962</v>
      </c>
      <c r="F398">
        <v>3.7033897514032588</v>
      </c>
      <c r="G398">
        <v>8.8814672273562323</v>
      </c>
      <c r="H398" t="s">
        <v>986</v>
      </c>
      <c r="I398" t="s">
        <v>703</v>
      </c>
      <c r="J398">
        <v>5</v>
      </c>
      <c r="K398" t="s">
        <v>1418</v>
      </c>
      <c r="L398">
        <v>3030000</v>
      </c>
      <c r="M398">
        <v>2.14</v>
      </c>
      <c r="N398">
        <v>8.8814672273562323</v>
      </c>
      <c r="O398" t="s">
        <v>592</v>
      </c>
      <c r="P398" t="s">
        <v>593</v>
      </c>
      <c r="Q398" t="s">
        <v>586</v>
      </c>
      <c r="R398">
        <v>75000</v>
      </c>
      <c r="S398" t="s">
        <v>599</v>
      </c>
      <c r="T398">
        <v>77</v>
      </c>
    </row>
    <row r="399" spans="1:20" x14ac:dyDescent="0.25">
      <c r="A399" t="s">
        <v>1419</v>
      </c>
      <c r="B399" t="s">
        <v>96</v>
      </c>
      <c r="C399" t="s">
        <v>586</v>
      </c>
      <c r="D399" t="s">
        <v>961</v>
      </c>
      <c r="E399" t="s">
        <v>962</v>
      </c>
      <c r="F399">
        <v>4.509108374302282</v>
      </c>
      <c r="G399">
        <v>7.8553663252924455</v>
      </c>
      <c r="H399" t="s">
        <v>986</v>
      </c>
      <c r="I399" t="s">
        <v>703</v>
      </c>
      <c r="J399">
        <v>5</v>
      </c>
      <c r="K399" t="s">
        <v>785</v>
      </c>
      <c r="L399">
        <v>3180000</v>
      </c>
      <c r="M399">
        <v>2.25</v>
      </c>
      <c r="N399">
        <v>7.8553663252924455</v>
      </c>
      <c r="O399" t="s">
        <v>592</v>
      </c>
      <c r="P399" t="s">
        <v>593</v>
      </c>
      <c r="Q399" t="s">
        <v>586</v>
      </c>
      <c r="R399">
        <v>40000</v>
      </c>
      <c r="S399" t="s">
        <v>599</v>
      </c>
      <c r="T399">
        <v>72</v>
      </c>
    </row>
    <row r="400" spans="1:20" x14ac:dyDescent="0.25">
      <c r="A400" t="s">
        <v>1420</v>
      </c>
      <c r="B400" t="s">
        <v>191</v>
      </c>
      <c r="C400" t="s">
        <v>586</v>
      </c>
      <c r="D400" t="s">
        <v>1124</v>
      </c>
      <c r="E400" t="s">
        <v>1421</v>
      </c>
      <c r="F400">
        <v>0.4945831899528218</v>
      </c>
      <c r="G400">
        <v>11.081534246575341</v>
      </c>
      <c r="H400" t="s">
        <v>644</v>
      </c>
      <c r="I400" t="s">
        <v>721</v>
      </c>
      <c r="J400">
        <v>3</v>
      </c>
      <c r="K400" t="s">
        <v>807</v>
      </c>
      <c r="L400">
        <v>85000</v>
      </c>
      <c r="M400">
        <v>1.6500000000000001</v>
      </c>
      <c r="N400">
        <v>11.081534246575341</v>
      </c>
      <c r="O400" t="s">
        <v>592</v>
      </c>
      <c r="P400" t="s">
        <v>711</v>
      </c>
      <c r="Q400" t="s">
        <v>586</v>
      </c>
      <c r="R400" t="s">
        <v>712</v>
      </c>
      <c r="S400" t="s">
        <v>712</v>
      </c>
      <c r="T400">
        <v>93</v>
      </c>
    </row>
    <row r="401" spans="1:20" x14ac:dyDescent="0.25">
      <c r="A401" t="s">
        <v>1422</v>
      </c>
      <c r="B401" t="s">
        <v>191</v>
      </c>
      <c r="C401" t="s">
        <v>586</v>
      </c>
      <c r="D401" t="s">
        <v>1124</v>
      </c>
      <c r="E401" t="s">
        <v>1421</v>
      </c>
      <c r="F401">
        <v>1.4633298402807833</v>
      </c>
      <c r="G401">
        <v>10.337791780821926</v>
      </c>
      <c r="H401" t="s">
        <v>644</v>
      </c>
      <c r="I401" t="s">
        <v>721</v>
      </c>
      <c r="J401">
        <v>3</v>
      </c>
      <c r="K401" t="s">
        <v>780</v>
      </c>
      <c r="L401">
        <v>160000</v>
      </c>
      <c r="M401">
        <v>1.75</v>
      </c>
      <c r="N401">
        <v>10.337791780821926</v>
      </c>
      <c r="O401" t="s">
        <v>592</v>
      </c>
      <c r="P401" t="s">
        <v>711</v>
      </c>
      <c r="Q401" t="s">
        <v>586</v>
      </c>
      <c r="R401" t="s">
        <v>712</v>
      </c>
      <c r="S401" t="s">
        <v>712</v>
      </c>
      <c r="T401">
        <v>83</v>
      </c>
    </row>
    <row r="402" spans="1:20" x14ac:dyDescent="0.25">
      <c r="A402" t="s">
        <v>1423</v>
      </c>
      <c r="B402" t="s">
        <v>191</v>
      </c>
      <c r="C402" t="s">
        <v>586</v>
      </c>
      <c r="D402" t="s">
        <v>1124</v>
      </c>
      <c r="E402" t="s">
        <v>1421</v>
      </c>
      <c r="F402">
        <v>2.4036422862061566</v>
      </c>
      <c r="G402">
        <v>14.80328219178082</v>
      </c>
      <c r="H402" t="s">
        <v>644</v>
      </c>
      <c r="I402" t="s">
        <v>721</v>
      </c>
      <c r="J402">
        <v>3</v>
      </c>
      <c r="K402" t="s">
        <v>1013</v>
      </c>
      <c r="L402">
        <v>105000</v>
      </c>
      <c r="M402">
        <v>1.9000000000000001</v>
      </c>
      <c r="N402">
        <v>14.80328219178082</v>
      </c>
      <c r="O402" t="s">
        <v>592</v>
      </c>
      <c r="P402" t="s">
        <v>711</v>
      </c>
      <c r="Q402" t="s">
        <v>586</v>
      </c>
      <c r="R402" t="s">
        <v>712</v>
      </c>
      <c r="S402" t="s">
        <v>712</v>
      </c>
      <c r="T402">
        <v>73</v>
      </c>
    </row>
    <row r="403" spans="1:20" x14ac:dyDescent="0.25">
      <c r="A403" t="s">
        <v>1424</v>
      </c>
      <c r="B403" t="s">
        <v>191</v>
      </c>
      <c r="C403" t="s">
        <v>586</v>
      </c>
      <c r="D403" t="s">
        <v>1124</v>
      </c>
      <c r="E403" t="s">
        <v>1421</v>
      </c>
      <c r="F403">
        <v>3.3171610165055916</v>
      </c>
      <c r="G403">
        <v>13.841112328767124</v>
      </c>
      <c r="H403" t="s">
        <v>644</v>
      </c>
      <c r="I403" t="s">
        <v>721</v>
      </c>
      <c r="J403">
        <v>3</v>
      </c>
      <c r="K403" t="s">
        <v>824</v>
      </c>
      <c r="L403">
        <v>110000</v>
      </c>
      <c r="M403">
        <v>2</v>
      </c>
      <c r="N403">
        <v>13.841112328767124</v>
      </c>
      <c r="O403" t="s">
        <v>592</v>
      </c>
      <c r="P403" t="s">
        <v>711</v>
      </c>
      <c r="Q403" t="s">
        <v>586</v>
      </c>
      <c r="R403" t="s">
        <v>712</v>
      </c>
      <c r="S403" t="s">
        <v>712</v>
      </c>
      <c r="T403">
        <v>65</v>
      </c>
    </row>
    <row r="404" spans="1:20" x14ac:dyDescent="0.25">
      <c r="A404" t="s">
        <v>1425</v>
      </c>
      <c r="B404" t="s">
        <v>191</v>
      </c>
      <c r="C404" t="s">
        <v>586</v>
      </c>
      <c r="D404" t="s">
        <v>1124</v>
      </c>
      <c r="E404" t="s">
        <v>1421</v>
      </c>
      <c r="F404">
        <v>4.2044988638768714</v>
      </c>
      <c r="G404">
        <v>14.95069589041098</v>
      </c>
      <c r="H404" t="s">
        <v>644</v>
      </c>
      <c r="I404" t="s">
        <v>721</v>
      </c>
      <c r="J404">
        <v>3</v>
      </c>
      <c r="K404" t="s">
        <v>1319</v>
      </c>
      <c r="L404">
        <v>105000</v>
      </c>
      <c r="M404">
        <v>2.1</v>
      </c>
      <c r="N404">
        <v>14.95069589041098</v>
      </c>
      <c r="O404" t="s">
        <v>592</v>
      </c>
      <c r="P404" t="s">
        <v>711</v>
      </c>
      <c r="Q404" t="s">
        <v>586</v>
      </c>
      <c r="R404" t="s">
        <v>712</v>
      </c>
      <c r="S404" t="s">
        <v>712</v>
      </c>
      <c r="T404">
        <v>57</v>
      </c>
    </row>
    <row r="405" spans="1:20" x14ac:dyDescent="0.25">
      <c r="A405" t="s">
        <v>1426</v>
      </c>
      <c r="B405" t="s">
        <v>192</v>
      </c>
      <c r="C405" t="s">
        <v>607</v>
      </c>
      <c r="D405" t="s">
        <v>608</v>
      </c>
      <c r="E405" t="s">
        <v>980</v>
      </c>
      <c r="F405">
        <v>8.0474253014432326E-2</v>
      </c>
      <c r="G405">
        <v>34.729469908067266</v>
      </c>
      <c r="H405" t="s">
        <v>639</v>
      </c>
      <c r="I405" t="s">
        <v>820</v>
      </c>
      <c r="J405">
        <v>2.5</v>
      </c>
      <c r="K405" t="s">
        <v>950</v>
      </c>
      <c r="L405">
        <v>160000</v>
      </c>
      <c r="M405">
        <v>2.0499999999999998</v>
      </c>
      <c r="N405">
        <v>34.729469908067266</v>
      </c>
      <c r="O405" t="s">
        <v>592</v>
      </c>
      <c r="P405" t="s">
        <v>613</v>
      </c>
      <c r="Q405" t="s">
        <v>586</v>
      </c>
      <c r="R405" t="s">
        <v>712</v>
      </c>
      <c r="S405" t="s">
        <v>614</v>
      </c>
      <c r="T405">
        <v>99</v>
      </c>
    </row>
    <row r="406" spans="1:20" x14ac:dyDescent="0.25">
      <c r="A406" t="s">
        <v>1427</v>
      </c>
      <c r="B406" t="s">
        <v>192</v>
      </c>
      <c r="C406" t="s">
        <v>607</v>
      </c>
      <c r="D406" t="s">
        <v>608</v>
      </c>
      <c r="E406" t="s">
        <v>980</v>
      </c>
      <c r="F406">
        <v>1.0524639065976904</v>
      </c>
      <c r="G406">
        <v>28.804518936888201</v>
      </c>
      <c r="H406" t="s">
        <v>639</v>
      </c>
      <c r="I406" t="s">
        <v>820</v>
      </c>
      <c r="J406">
        <v>2.5</v>
      </c>
      <c r="K406" t="s">
        <v>612</v>
      </c>
      <c r="L406">
        <v>165000</v>
      </c>
      <c r="M406">
        <v>2.15</v>
      </c>
      <c r="N406">
        <v>28.804518936888201</v>
      </c>
      <c r="O406" t="s">
        <v>592</v>
      </c>
      <c r="P406" t="s">
        <v>613</v>
      </c>
      <c r="Q406" t="s">
        <v>586</v>
      </c>
      <c r="R406" t="s">
        <v>712</v>
      </c>
      <c r="S406" t="s">
        <v>614</v>
      </c>
      <c r="T406">
        <v>89</v>
      </c>
    </row>
    <row r="407" spans="1:20" x14ac:dyDescent="0.25">
      <c r="A407" t="s">
        <v>1428</v>
      </c>
      <c r="B407" t="s">
        <v>192</v>
      </c>
      <c r="C407" t="s">
        <v>607</v>
      </c>
      <c r="D407" t="s">
        <v>608</v>
      </c>
      <c r="E407" t="s">
        <v>980</v>
      </c>
      <c r="F407">
        <v>1.9879782565072532</v>
      </c>
      <c r="G407">
        <v>33.14939345589152</v>
      </c>
      <c r="H407" t="s">
        <v>639</v>
      </c>
      <c r="I407" t="s">
        <v>820</v>
      </c>
      <c r="J407">
        <v>3</v>
      </c>
      <c r="K407" t="s">
        <v>956</v>
      </c>
      <c r="L407">
        <v>170000</v>
      </c>
      <c r="M407">
        <v>2.35</v>
      </c>
      <c r="N407">
        <v>33.14939345589152</v>
      </c>
      <c r="O407" t="s">
        <v>592</v>
      </c>
      <c r="P407" t="s">
        <v>613</v>
      </c>
      <c r="Q407" t="s">
        <v>586</v>
      </c>
      <c r="R407" t="s">
        <v>712</v>
      </c>
      <c r="S407" t="s">
        <v>614</v>
      </c>
      <c r="T407">
        <v>80</v>
      </c>
    </row>
    <row r="408" spans="1:20" x14ac:dyDescent="0.25">
      <c r="A408" t="s">
        <v>1429</v>
      </c>
      <c r="B408" t="s">
        <v>192</v>
      </c>
      <c r="C408" t="s">
        <v>607</v>
      </c>
      <c r="D408" t="s">
        <v>608</v>
      </c>
      <c r="E408" t="s">
        <v>980</v>
      </c>
      <c r="F408">
        <v>2.8998499470497952</v>
      </c>
      <c r="G408">
        <v>28.748935538314193</v>
      </c>
      <c r="H408" t="s">
        <v>639</v>
      </c>
      <c r="I408" t="s">
        <v>820</v>
      </c>
      <c r="J408">
        <v>3</v>
      </c>
      <c r="K408" t="s">
        <v>1334</v>
      </c>
      <c r="L408">
        <v>180000</v>
      </c>
      <c r="M408">
        <v>2.4500000000000002</v>
      </c>
      <c r="N408">
        <v>28.748935538314193</v>
      </c>
      <c r="O408" t="s">
        <v>592</v>
      </c>
      <c r="P408" t="s">
        <v>613</v>
      </c>
      <c r="Q408" t="s">
        <v>586</v>
      </c>
      <c r="R408" t="s">
        <v>712</v>
      </c>
      <c r="S408" t="s">
        <v>614</v>
      </c>
      <c r="T408">
        <v>70</v>
      </c>
    </row>
    <row r="409" spans="1:20" x14ac:dyDescent="0.25">
      <c r="A409" t="s">
        <v>1430</v>
      </c>
      <c r="B409" t="s">
        <v>114</v>
      </c>
      <c r="C409" t="s">
        <v>607</v>
      </c>
      <c r="D409" t="s">
        <v>608</v>
      </c>
      <c r="E409" t="s">
        <v>1068</v>
      </c>
      <c r="F409">
        <v>0.4938978560679726</v>
      </c>
      <c r="G409">
        <v>20.735784484125496</v>
      </c>
      <c r="H409" t="s">
        <v>1041</v>
      </c>
      <c r="I409" t="s">
        <v>1069</v>
      </c>
      <c r="J409">
        <v>3</v>
      </c>
      <c r="K409" t="s">
        <v>807</v>
      </c>
      <c r="L409">
        <v>195000</v>
      </c>
      <c r="M409">
        <v>2</v>
      </c>
      <c r="N409">
        <v>20.735784484125496</v>
      </c>
      <c r="O409" t="s">
        <v>592</v>
      </c>
      <c r="P409" t="s">
        <v>613</v>
      </c>
      <c r="Q409" t="s">
        <v>586</v>
      </c>
      <c r="R409" t="s">
        <v>712</v>
      </c>
      <c r="S409" t="s">
        <v>878</v>
      </c>
      <c r="T409">
        <v>94</v>
      </c>
    </row>
    <row r="410" spans="1:20" x14ac:dyDescent="0.25">
      <c r="A410" t="s">
        <v>1431</v>
      </c>
      <c r="B410" t="s">
        <v>114</v>
      </c>
      <c r="C410" t="s">
        <v>607</v>
      </c>
      <c r="D410" t="s">
        <v>608</v>
      </c>
      <c r="E410" t="s">
        <v>1068</v>
      </c>
      <c r="F410">
        <v>1.4612537874794398</v>
      </c>
      <c r="G410">
        <v>19.737293327595772</v>
      </c>
      <c r="H410" t="s">
        <v>1041</v>
      </c>
      <c r="I410" t="s">
        <v>1069</v>
      </c>
      <c r="J410">
        <v>3</v>
      </c>
      <c r="K410" t="s">
        <v>780</v>
      </c>
      <c r="L410">
        <v>395000</v>
      </c>
      <c r="M410">
        <v>2.15</v>
      </c>
      <c r="N410">
        <v>19.737293327595772</v>
      </c>
      <c r="O410" t="s">
        <v>592</v>
      </c>
      <c r="P410" t="s">
        <v>613</v>
      </c>
      <c r="Q410" t="s">
        <v>586</v>
      </c>
      <c r="R410" t="s">
        <v>712</v>
      </c>
      <c r="S410" t="s">
        <v>878</v>
      </c>
      <c r="T410">
        <v>80</v>
      </c>
    </row>
    <row r="411" spans="1:20" x14ac:dyDescent="0.25">
      <c r="A411" t="s">
        <v>1432</v>
      </c>
      <c r="B411" t="s">
        <v>114</v>
      </c>
      <c r="C411" t="s">
        <v>607</v>
      </c>
      <c r="D411" t="s">
        <v>608</v>
      </c>
      <c r="E411" t="s">
        <v>1068</v>
      </c>
      <c r="F411">
        <v>2.4000572127142497</v>
      </c>
      <c r="G411">
        <v>19.11444559530122</v>
      </c>
      <c r="H411" t="s">
        <v>1041</v>
      </c>
      <c r="I411" t="s">
        <v>1069</v>
      </c>
      <c r="J411">
        <v>3</v>
      </c>
      <c r="K411" t="s">
        <v>1013</v>
      </c>
      <c r="L411">
        <v>420000</v>
      </c>
      <c r="M411">
        <v>2.3000000000000003</v>
      </c>
      <c r="N411">
        <v>19.11444559530122</v>
      </c>
      <c r="O411" t="s">
        <v>592</v>
      </c>
      <c r="P411" t="s">
        <v>613</v>
      </c>
      <c r="Q411" t="s">
        <v>586</v>
      </c>
      <c r="R411" t="s">
        <v>712</v>
      </c>
      <c r="S411" t="s">
        <v>878</v>
      </c>
      <c r="T411">
        <v>68</v>
      </c>
    </row>
    <row r="412" spans="1:20" x14ac:dyDescent="0.25">
      <c r="A412" t="s">
        <v>1433</v>
      </c>
      <c r="B412" t="s">
        <v>24</v>
      </c>
      <c r="C412" t="s">
        <v>586</v>
      </c>
      <c r="D412" t="s">
        <v>616</v>
      </c>
      <c r="E412" t="s">
        <v>617</v>
      </c>
      <c r="F412">
        <v>5.5552667868544727E-3</v>
      </c>
      <c r="G412">
        <v>-2.1422405359094121</v>
      </c>
      <c r="H412" t="s">
        <v>618</v>
      </c>
      <c r="I412" t="s">
        <v>619</v>
      </c>
      <c r="J412">
        <v>5</v>
      </c>
      <c r="K412" t="s">
        <v>995</v>
      </c>
      <c r="L412">
        <v>1645000</v>
      </c>
      <c r="M412">
        <v>1.19</v>
      </c>
      <c r="N412">
        <v>-2.1422405359094121</v>
      </c>
      <c r="O412" t="s">
        <v>592</v>
      </c>
      <c r="P412" t="s">
        <v>621</v>
      </c>
      <c r="Q412" t="s">
        <v>586</v>
      </c>
      <c r="R412">
        <v>40000</v>
      </c>
      <c r="S412" t="s">
        <v>599</v>
      </c>
      <c r="T412">
        <v>96</v>
      </c>
    </row>
    <row r="413" spans="1:20" x14ac:dyDescent="0.25">
      <c r="A413" t="s">
        <v>1434</v>
      </c>
      <c r="B413" t="s">
        <v>24</v>
      </c>
      <c r="C413" t="s">
        <v>586</v>
      </c>
      <c r="D413" t="s">
        <v>616</v>
      </c>
      <c r="E413" t="s">
        <v>617</v>
      </c>
      <c r="F413">
        <v>4.7200209699588171</v>
      </c>
      <c r="G413">
        <v>22.139394273938294</v>
      </c>
      <c r="H413" t="s">
        <v>618</v>
      </c>
      <c r="I413" t="s">
        <v>619</v>
      </c>
      <c r="J413">
        <v>2.125</v>
      </c>
      <c r="K413" t="s">
        <v>1023</v>
      </c>
      <c r="L413">
        <v>5000</v>
      </c>
      <c r="M413">
        <v>2.125</v>
      </c>
      <c r="N413">
        <v>22.139394273938294</v>
      </c>
      <c r="O413" t="s">
        <v>592</v>
      </c>
      <c r="P413" t="s">
        <v>621</v>
      </c>
      <c r="Q413" t="s">
        <v>586</v>
      </c>
      <c r="R413" t="s">
        <v>712</v>
      </c>
      <c r="S413" t="s">
        <v>599</v>
      </c>
      <c r="T413">
        <v>24</v>
      </c>
    </row>
    <row r="414" spans="1:20" x14ac:dyDescent="0.25">
      <c r="A414" t="s">
        <v>1435</v>
      </c>
      <c r="B414" t="s">
        <v>193</v>
      </c>
      <c r="C414" t="s">
        <v>586</v>
      </c>
      <c r="D414" t="s">
        <v>809</v>
      </c>
      <c r="E414" t="s">
        <v>1436</v>
      </c>
      <c r="F414">
        <v>0.16360463456255497</v>
      </c>
      <c r="G414">
        <v>6.537364028448045</v>
      </c>
      <c r="H414" t="s">
        <v>1030</v>
      </c>
      <c r="I414" t="s">
        <v>611</v>
      </c>
      <c r="J414">
        <v>2</v>
      </c>
      <c r="K414" t="s">
        <v>749</v>
      </c>
      <c r="L414">
        <v>750000</v>
      </c>
      <c r="M414">
        <v>1.74</v>
      </c>
      <c r="N414">
        <v>6.537364028448045</v>
      </c>
      <c r="O414" t="s">
        <v>592</v>
      </c>
      <c r="P414" t="s">
        <v>593</v>
      </c>
      <c r="Q414" t="s">
        <v>586</v>
      </c>
      <c r="R414" t="s">
        <v>712</v>
      </c>
      <c r="S414" t="s">
        <v>712</v>
      </c>
      <c r="T414">
        <v>89</v>
      </c>
    </row>
    <row r="415" spans="1:20" x14ac:dyDescent="0.25">
      <c r="A415" t="s">
        <v>1437</v>
      </c>
      <c r="B415" t="s">
        <v>193</v>
      </c>
      <c r="C415" t="s">
        <v>586</v>
      </c>
      <c r="D415" t="s">
        <v>809</v>
      </c>
      <c r="E415" t="s">
        <v>1436</v>
      </c>
      <c r="F415">
        <v>1.1395902841063432</v>
      </c>
      <c r="G415">
        <v>10.050992407405591</v>
      </c>
      <c r="H415" t="s">
        <v>1030</v>
      </c>
      <c r="I415" t="s">
        <v>611</v>
      </c>
      <c r="J415">
        <v>2</v>
      </c>
      <c r="K415" t="s">
        <v>598</v>
      </c>
      <c r="L415">
        <v>900000</v>
      </c>
      <c r="M415">
        <v>1.93</v>
      </c>
      <c r="N415">
        <v>10.050992407405591</v>
      </c>
      <c r="O415" t="s">
        <v>592</v>
      </c>
      <c r="P415" t="s">
        <v>593</v>
      </c>
      <c r="Q415" t="s">
        <v>586</v>
      </c>
      <c r="R415">
        <v>20000</v>
      </c>
      <c r="S415" t="s">
        <v>712</v>
      </c>
      <c r="T415">
        <v>58</v>
      </c>
    </row>
    <row r="416" spans="1:20" x14ac:dyDescent="0.25">
      <c r="A416" t="s">
        <v>1438</v>
      </c>
      <c r="B416" t="s">
        <v>193</v>
      </c>
      <c r="C416" t="s">
        <v>586</v>
      </c>
      <c r="D416" t="s">
        <v>809</v>
      </c>
      <c r="E416" t="s">
        <v>1436</v>
      </c>
      <c r="F416">
        <v>2.0726405313142129</v>
      </c>
      <c r="G416">
        <v>13.804023154350542</v>
      </c>
      <c r="H416" t="s">
        <v>1030</v>
      </c>
      <c r="I416" t="s">
        <v>611</v>
      </c>
      <c r="J416">
        <v>3</v>
      </c>
      <c r="K416" t="s">
        <v>651</v>
      </c>
      <c r="L416">
        <v>915000</v>
      </c>
      <c r="M416">
        <v>2.12</v>
      </c>
      <c r="N416">
        <v>13.804023154350542</v>
      </c>
      <c r="O416" t="s">
        <v>592</v>
      </c>
      <c r="P416" t="s">
        <v>593</v>
      </c>
      <c r="Q416" t="s">
        <v>586</v>
      </c>
      <c r="R416" t="s">
        <v>712</v>
      </c>
      <c r="S416" t="s">
        <v>712</v>
      </c>
      <c r="T416">
        <v>69</v>
      </c>
    </row>
    <row r="417" spans="1:20" x14ac:dyDescent="0.25">
      <c r="A417" t="s">
        <v>1439</v>
      </c>
      <c r="B417" t="s">
        <v>193</v>
      </c>
      <c r="C417" t="s">
        <v>586</v>
      </c>
      <c r="D417" t="s">
        <v>809</v>
      </c>
      <c r="E417" t="s">
        <v>1436</v>
      </c>
      <c r="F417">
        <v>2.9858884524004061</v>
      </c>
      <c r="G417">
        <v>18.834203530488391</v>
      </c>
      <c r="H417" t="s">
        <v>1030</v>
      </c>
      <c r="I417" t="s">
        <v>611</v>
      </c>
      <c r="J417">
        <v>3</v>
      </c>
      <c r="K417" t="s">
        <v>727</v>
      </c>
      <c r="L417">
        <v>940000</v>
      </c>
      <c r="M417">
        <v>2.31</v>
      </c>
      <c r="N417">
        <v>18.834203530488391</v>
      </c>
      <c r="O417" t="s">
        <v>592</v>
      </c>
      <c r="P417" t="s">
        <v>593</v>
      </c>
      <c r="Q417" t="s">
        <v>586</v>
      </c>
      <c r="R417" t="s">
        <v>712</v>
      </c>
      <c r="S417" t="s">
        <v>712</v>
      </c>
      <c r="T417">
        <v>40</v>
      </c>
    </row>
    <row r="418" spans="1:20" x14ac:dyDescent="0.25">
      <c r="A418" t="s">
        <v>1440</v>
      </c>
      <c r="B418" t="s">
        <v>193</v>
      </c>
      <c r="C418" t="s">
        <v>586</v>
      </c>
      <c r="D418" t="s">
        <v>809</v>
      </c>
      <c r="E418" t="s">
        <v>1436</v>
      </c>
      <c r="F418">
        <v>3.872812683569324</v>
      </c>
      <c r="G418">
        <v>22.405706478078756</v>
      </c>
      <c r="H418" t="s">
        <v>1030</v>
      </c>
      <c r="I418" t="s">
        <v>611</v>
      </c>
      <c r="J418">
        <v>3</v>
      </c>
      <c r="K418" t="s">
        <v>629</v>
      </c>
      <c r="L418">
        <v>965000</v>
      </c>
      <c r="M418">
        <v>2.46</v>
      </c>
      <c r="N418">
        <v>22.405706478078756</v>
      </c>
      <c r="O418" t="s">
        <v>592</v>
      </c>
      <c r="P418" t="s">
        <v>593</v>
      </c>
      <c r="Q418" t="s">
        <v>586</v>
      </c>
      <c r="R418">
        <v>125000</v>
      </c>
      <c r="S418" t="s">
        <v>712</v>
      </c>
      <c r="T418">
        <v>33</v>
      </c>
    </row>
    <row r="419" spans="1:20" x14ac:dyDescent="0.25">
      <c r="A419" t="s">
        <v>1441</v>
      </c>
      <c r="B419" t="s">
        <v>193</v>
      </c>
      <c r="C419" t="s">
        <v>586</v>
      </c>
      <c r="D419" t="s">
        <v>809</v>
      </c>
      <c r="E419" t="s">
        <v>1436</v>
      </c>
      <c r="F419">
        <v>0.1636045649189268</v>
      </c>
      <c r="G419">
        <v>21.496663493282831</v>
      </c>
      <c r="H419" t="s">
        <v>968</v>
      </c>
      <c r="I419" t="s">
        <v>661</v>
      </c>
      <c r="J419">
        <v>4</v>
      </c>
      <c r="K419" t="s">
        <v>749</v>
      </c>
      <c r="L419">
        <v>280000</v>
      </c>
      <c r="M419">
        <v>1.49</v>
      </c>
      <c r="N419">
        <v>21.496663493282831</v>
      </c>
      <c r="O419" t="s">
        <v>592</v>
      </c>
      <c r="P419" t="s">
        <v>593</v>
      </c>
      <c r="Q419" t="s">
        <v>586</v>
      </c>
      <c r="R419" t="s">
        <v>712</v>
      </c>
      <c r="S419" t="s">
        <v>712</v>
      </c>
      <c r="T419">
        <v>92</v>
      </c>
    </row>
    <row r="420" spans="1:20" x14ac:dyDescent="0.25">
      <c r="A420" t="s">
        <v>1442</v>
      </c>
      <c r="B420" t="s">
        <v>193</v>
      </c>
      <c r="C420" t="s">
        <v>586</v>
      </c>
      <c r="D420" t="s">
        <v>809</v>
      </c>
      <c r="E420" t="s">
        <v>1436</v>
      </c>
      <c r="F420">
        <v>1.1325870697770626</v>
      </c>
      <c r="G420">
        <v>23.502772145735683</v>
      </c>
      <c r="H420" t="s">
        <v>968</v>
      </c>
      <c r="I420" t="s">
        <v>661</v>
      </c>
      <c r="J420">
        <v>3</v>
      </c>
      <c r="K420" t="s">
        <v>598</v>
      </c>
      <c r="L420">
        <v>285000</v>
      </c>
      <c r="M420">
        <v>1.67</v>
      </c>
      <c r="N420">
        <v>23.502772145735683</v>
      </c>
      <c r="O420" t="s">
        <v>592</v>
      </c>
      <c r="P420" t="s">
        <v>593</v>
      </c>
      <c r="Q420" t="s">
        <v>586</v>
      </c>
      <c r="R420" t="s">
        <v>712</v>
      </c>
      <c r="S420" t="s">
        <v>712</v>
      </c>
      <c r="T420">
        <v>65</v>
      </c>
    </row>
    <row r="421" spans="1:20" x14ac:dyDescent="0.25">
      <c r="A421" t="s">
        <v>1443</v>
      </c>
      <c r="B421" t="s">
        <v>193</v>
      </c>
      <c r="C421" t="s">
        <v>586</v>
      </c>
      <c r="D421" t="s">
        <v>809</v>
      </c>
      <c r="E421" t="s">
        <v>1436</v>
      </c>
      <c r="F421">
        <v>2.0726405313142129</v>
      </c>
      <c r="G421">
        <v>22.399425735848165</v>
      </c>
      <c r="H421" t="s">
        <v>968</v>
      </c>
      <c r="I421" t="s">
        <v>661</v>
      </c>
      <c r="J421">
        <v>3</v>
      </c>
      <c r="K421" t="s">
        <v>651</v>
      </c>
      <c r="L421">
        <v>295000</v>
      </c>
      <c r="M421">
        <v>1.82</v>
      </c>
      <c r="N421">
        <v>22.399425735848165</v>
      </c>
      <c r="O421" t="s">
        <v>592</v>
      </c>
      <c r="P421" t="s">
        <v>593</v>
      </c>
      <c r="Q421" t="s">
        <v>586</v>
      </c>
      <c r="R421" t="s">
        <v>712</v>
      </c>
      <c r="S421" t="s">
        <v>712</v>
      </c>
      <c r="T421">
        <v>67</v>
      </c>
    </row>
    <row r="422" spans="1:20" x14ac:dyDescent="0.25">
      <c r="A422" t="s">
        <v>1444</v>
      </c>
      <c r="B422" t="s">
        <v>193</v>
      </c>
      <c r="C422" t="s">
        <v>586</v>
      </c>
      <c r="D422" t="s">
        <v>809</v>
      </c>
      <c r="E422" t="s">
        <v>1436</v>
      </c>
      <c r="F422">
        <v>2.9858884524004061</v>
      </c>
      <c r="G422">
        <v>26.913051166752155</v>
      </c>
      <c r="H422" t="s">
        <v>968</v>
      </c>
      <c r="I422" t="s">
        <v>661</v>
      </c>
      <c r="J422">
        <v>3</v>
      </c>
      <c r="K422" t="s">
        <v>727</v>
      </c>
      <c r="L422">
        <v>305000</v>
      </c>
      <c r="M422">
        <v>2.02</v>
      </c>
      <c r="N422">
        <v>26.913051166752155</v>
      </c>
      <c r="O422" t="s">
        <v>592</v>
      </c>
      <c r="P422" t="s">
        <v>593</v>
      </c>
      <c r="Q422" t="s">
        <v>586</v>
      </c>
      <c r="R422" t="s">
        <v>712</v>
      </c>
      <c r="S422" t="s">
        <v>712</v>
      </c>
      <c r="T422">
        <v>37</v>
      </c>
    </row>
    <row r="423" spans="1:20" x14ac:dyDescent="0.25">
      <c r="A423" t="s">
        <v>1445</v>
      </c>
      <c r="B423" t="s">
        <v>193</v>
      </c>
      <c r="C423" t="s">
        <v>586</v>
      </c>
      <c r="D423" t="s">
        <v>809</v>
      </c>
      <c r="E423" t="s">
        <v>1436</v>
      </c>
      <c r="F423">
        <v>3.8030871148916048</v>
      </c>
      <c r="G423">
        <v>31.466370606911553</v>
      </c>
      <c r="H423" t="s">
        <v>968</v>
      </c>
      <c r="I423" t="s">
        <v>661</v>
      </c>
      <c r="J423">
        <v>4</v>
      </c>
      <c r="K423" t="s">
        <v>629</v>
      </c>
      <c r="L423">
        <v>315000</v>
      </c>
      <c r="M423">
        <v>2.2000000000000002</v>
      </c>
      <c r="N423">
        <v>31.466370606911553</v>
      </c>
      <c r="O423" t="s">
        <v>592</v>
      </c>
      <c r="P423" t="s">
        <v>593</v>
      </c>
      <c r="Q423" t="s">
        <v>586</v>
      </c>
      <c r="R423" t="s">
        <v>712</v>
      </c>
      <c r="S423" t="s">
        <v>712</v>
      </c>
      <c r="T423">
        <v>38</v>
      </c>
    </row>
    <row r="424" spans="1:20" x14ac:dyDescent="0.25">
      <c r="A424" t="s">
        <v>1446</v>
      </c>
      <c r="B424" t="s">
        <v>193</v>
      </c>
      <c r="C424" t="s">
        <v>586</v>
      </c>
      <c r="D424" t="s">
        <v>809</v>
      </c>
      <c r="E424" t="s">
        <v>1436</v>
      </c>
      <c r="F424">
        <v>4.632680623291785</v>
      </c>
      <c r="G424">
        <v>31.651619970404532</v>
      </c>
      <c r="H424" t="s">
        <v>968</v>
      </c>
      <c r="I424" t="s">
        <v>661</v>
      </c>
      <c r="J424">
        <v>4</v>
      </c>
      <c r="K424" t="s">
        <v>797</v>
      </c>
      <c r="L424">
        <v>325000</v>
      </c>
      <c r="M424">
        <v>2.3199999999999998</v>
      </c>
      <c r="N424">
        <v>31.651619970404532</v>
      </c>
      <c r="O424" t="s">
        <v>592</v>
      </c>
      <c r="P424" t="s">
        <v>593</v>
      </c>
      <c r="Q424" t="s">
        <v>586</v>
      </c>
      <c r="R424" t="s">
        <v>712</v>
      </c>
      <c r="S424" t="s">
        <v>712</v>
      </c>
      <c r="T424">
        <v>42</v>
      </c>
    </row>
    <row r="425" spans="1:20" x14ac:dyDescent="0.25">
      <c r="A425" t="s">
        <v>1447</v>
      </c>
      <c r="B425" t="s">
        <v>131</v>
      </c>
      <c r="C425" t="s">
        <v>586</v>
      </c>
      <c r="D425" t="s">
        <v>795</v>
      </c>
      <c r="E425" t="s">
        <v>1130</v>
      </c>
      <c r="F425">
        <v>0.90034373788204058</v>
      </c>
      <c r="G425">
        <v>19.604781085686753</v>
      </c>
      <c r="H425" t="s">
        <v>1007</v>
      </c>
      <c r="I425" t="s">
        <v>716</v>
      </c>
      <c r="J425">
        <v>3</v>
      </c>
      <c r="K425" t="s">
        <v>640</v>
      </c>
      <c r="L425">
        <v>545000</v>
      </c>
      <c r="M425">
        <v>2.06</v>
      </c>
      <c r="N425">
        <v>19.604781085686753</v>
      </c>
      <c r="O425" t="s">
        <v>592</v>
      </c>
      <c r="P425" t="s">
        <v>593</v>
      </c>
      <c r="Q425" t="s">
        <v>586</v>
      </c>
      <c r="R425">
        <v>50000</v>
      </c>
      <c r="S425" t="s">
        <v>712</v>
      </c>
      <c r="T425">
        <v>86</v>
      </c>
    </row>
    <row r="426" spans="1:20" x14ac:dyDescent="0.25">
      <c r="A426" t="s">
        <v>1448</v>
      </c>
      <c r="B426" t="s">
        <v>131</v>
      </c>
      <c r="C426" t="s">
        <v>586</v>
      </c>
      <c r="D426" t="s">
        <v>795</v>
      </c>
      <c r="E426" t="s">
        <v>1130</v>
      </c>
      <c r="F426">
        <v>1.8550390659479221</v>
      </c>
      <c r="G426">
        <v>21.403779041711424</v>
      </c>
      <c r="H426" t="s">
        <v>1007</v>
      </c>
      <c r="I426" t="s">
        <v>716</v>
      </c>
      <c r="J426">
        <v>3</v>
      </c>
      <c r="K426" t="s">
        <v>658</v>
      </c>
      <c r="L426">
        <v>560000</v>
      </c>
      <c r="M426">
        <v>2.2400000000000002</v>
      </c>
      <c r="N426">
        <v>21.403779041711424</v>
      </c>
      <c r="O426" t="s">
        <v>592</v>
      </c>
      <c r="P426" t="s">
        <v>593</v>
      </c>
      <c r="Q426" t="s">
        <v>586</v>
      </c>
      <c r="R426" t="s">
        <v>712</v>
      </c>
      <c r="S426" t="s">
        <v>712</v>
      </c>
      <c r="T426">
        <v>74</v>
      </c>
    </row>
    <row r="427" spans="1:20" x14ac:dyDescent="0.25">
      <c r="A427" t="s">
        <v>1449</v>
      </c>
      <c r="B427" t="s">
        <v>194</v>
      </c>
      <c r="C427" t="s">
        <v>586</v>
      </c>
      <c r="D427" t="s">
        <v>1251</v>
      </c>
      <c r="E427" t="s">
        <v>1450</v>
      </c>
      <c r="F427">
        <v>0.65133233957634495</v>
      </c>
      <c r="G427">
        <v>2.6661646525232729</v>
      </c>
      <c r="H427" t="s">
        <v>892</v>
      </c>
      <c r="I427" t="s">
        <v>611</v>
      </c>
      <c r="J427">
        <v>3.25</v>
      </c>
      <c r="K427" t="s">
        <v>787</v>
      </c>
      <c r="L427">
        <v>240000</v>
      </c>
      <c r="M427">
        <v>1.85</v>
      </c>
      <c r="N427">
        <v>2.6661646525232729</v>
      </c>
      <c r="O427" t="s">
        <v>592</v>
      </c>
      <c r="P427" t="s">
        <v>711</v>
      </c>
      <c r="Q427" t="s">
        <v>586</v>
      </c>
      <c r="R427" t="s">
        <v>712</v>
      </c>
      <c r="S427" t="s">
        <v>712</v>
      </c>
      <c r="T427">
        <v>92</v>
      </c>
    </row>
    <row r="428" spans="1:20" x14ac:dyDescent="0.25">
      <c r="A428" t="s">
        <v>1451</v>
      </c>
      <c r="B428" t="s">
        <v>194</v>
      </c>
      <c r="C428" t="s">
        <v>586</v>
      </c>
      <c r="D428" t="s">
        <v>1251</v>
      </c>
      <c r="E428" t="s">
        <v>1450</v>
      </c>
      <c r="F428">
        <v>1.6020293640760401</v>
      </c>
      <c r="G428">
        <v>1.3492083279726064</v>
      </c>
      <c r="H428" t="s">
        <v>892</v>
      </c>
      <c r="I428" t="s">
        <v>611</v>
      </c>
      <c r="J428">
        <v>3.25</v>
      </c>
      <c r="K428" t="s">
        <v>905</v>
      </c>
      <c r="L428">
        <v>250000</v>
      </c>
      <c r="M428">
        <v>2</v>
      </c>
      <c r="N428">
        <v>1.3492083279726064</v>
      </c>
      <c r="O428" t="s">
        <v>592</v>
      </c>
      <c r="P428" t="s">
        <v>711</v>
      </c>
      <c r="Q428" t="s">
        <v>586</v>
      </c>
      <c r="R428" t="s">
        <v>712</v>
      </c>
      <c r="S428" t="s">
        <v>712</v>
      </c>
      <c r="T428">
        <v>81</v>
      </c>
    </row>
    <row r="429" spans="1:20" x14ac:dyDescent="0.25">
      <c r="A429" t="s">
        <v>1452</v>
      </c>
      <c r="B429" t="s">
        <v>194</v>
      </c>
      <c r="C429" t="s">
        <v>586</v>
      </c>
      <c r="D429" t="s">
        <v>1251</v>
      </c>
      <c r="E429" t="s">
        <v>1450</v>
      </c>
      <c r="F429">
        <v>2.5232376649462016</v>
      </c>
      <c r="G429">
        <v>0.59670907230371384</v>
      </c>
      <c r="H429" t="s">
        <v>892</v>
      </c>
      <c r="I429" t="s">
        <v>611</v>
      </c>
      <c r="J429">
        <v>3.25</v>
      </c>
      <c r="K429" t="s">
        <v>734</v>
      </c>
      <c r="L429">
        <v>260000</v>
      </c>
      <c r="M429">
        <v>2.15</v>
      </c>
      <c r="N429">
        <v>0.59670907230371384</v>
      </c>
      <c r="O429" t="s">
        <v>592</v>
      </c>
      <c r="P429" t="s">
        <v>711</v>
      </c>
      <c r="Q429" t="s">
        <v>586</v>
      </c>
      <c r="R429" t="s">
        <v>712</v>
      </c>
      <c r="S429" t="s">
        <v>712</v>
      </c>
      <c r="T429">
        <v>64</v>
      </c>
    </row>
    <row r="430" spans="1:20" x14ac:dyDescent="0.25">
      <c r="A430" t="s">
        <v>1453</v>
      </c>
      <c r="B430" t="s">
        <v>194</v>
      </c>
      <c r="C430" t="s">
        <v>586</v>
      </c>
      <c r="D430" t="s">
        <v>1251</v>
      </c>
      <c r="E430" t="s">
        <v>1450</v>
      </c>
      <c r="F430">
        <v>3.4305786017018609</v>
      </c>
      <c r="G430">
        <v>-3.2188121854817897</v>
      </c>
      <c r="H430" t="s">
        <v>892</v>
      </c>
      <c r="I430" t="s">
        <v>611</v>
      </c>
      <c r="J430">
        <v>3</v>
      </c>
      <c r="K430" t="s">
        <v>838</v>
      </c>
      <c r="L430">
        <v>270000</v>
      </c>
      <c r="M430">
        <v>2.25</v>
      </c>
      <c r="N430">
        <v>-3.2188121854817897</v>
      </c>
      <c r="O430" t="s">
        <v>592</v>
      </c>
      <c r="P430" t="s">
        <v>711</v>
      </c>
      <c r="Q430" t="s">
        <v>586</v>
      </c>
      <c r="R430" t="s">
        <v>712</v>
      </c>
      <c r="S430" t="s">
        <v>712</v>
      </c>
      <c r="T430">
        <v>58</v>
      </c>
    </row>
    <row r="431" spans="1:20" x14ac:dyDescent="0.25">
      <c r="A431" t="s">
        <v>1454</v>
      </c>
      <c r="B431" t="s">
        <v>194</v>
      </c>
      <c r="C431" t="s">
        <v>586</v>
      </c>
      <c r="D431" t="s">
        <v>1251</v>
      </c>
      <c r="E431" t="s">
        <v>1450</v>
      </c>
      <c r="F431">
        <v>4.3039244431703745</v>
      </c>
      <c r="G431">
        <v>-9.1244454615580839</v>
      </c>
      <c r="H431" t="s">
        <v>892</v>
      </c>
      <c r="I431" t="s">
        <v>611</v>
      </c>
      <c r="J431">
        <v>3</v>
      </c>
      <c r="K431" t="s">
        <v>1350</v>
      </c>
      <c r="L431">
        <v>275000</v>
      </c>
      <c r="M431">
        <v>2.3000000000000003</v>
      </c>
      <c r="N431">
        <v>-9.1244454615580839</v>
      </c>
      <c r="O431" t="s">
        <v>592</v>
      </c>
      <c r="P431" t="s">
        <v>711</v>
      </c>
      <c r="Q431" t="s">
        <v>586</v>
      </c>
      <c r="R431" t="s">
        <v>712</v>
      </c>
      <c r="S431" t="s">
        <v>712</v>
      </c>
      <c r="T431">
        <v>50</v>
      </c>
    </row>
    <row r="432" spans="1:20" x14ac:dyDescent="0.25">
      <c r="A432" t="s">
        <v>1455</v>
      </c>
      <c r="B432" t="s">
        <v>194</v>
      </c>
      <c r="C432" t="s">
        <v>586</v>
      </c>
      <c r="D432" t="s">
        <v>1251</v>
      </c>
      <c r="E432" t="s">
        <v>1450</v>
      </c>
      <c r="F432">
        <v>5.1514332607737527</v>
      </c>
      <c r="G432">
        <v>-10.862273713383397</v>
      </c>
      <c r="H432" t="s">
        <v>892</v>
      </c>
      <c r="I432" t="s">
        <v>611</v>
      </c>
      <c r="J432">
        <v>3</v>
      </c>
      <c r="K432" t="s">
        <v>1456</v>
      </c>
      <c r="L432">
        <v>285000</v>
      </c>
      <c r="M432">
        <v>2.4000000000000004</v>
      </c>
      <c r="N432">
        <v>-10.862273713383397</v>
      </c>
      <c r="O432" t="s">
        <v>592</v>
      </c>
      <c r="P432" t="s">
        <v>711</v>
      </c>
      <c r="Q432" t="s">
        <v>586</v>
      </c>
      <c r="R432" t="s">
        <v>712</v>
      </c>
      <c r="S432" t="s">
        <v>712</v>
      </c>
      <c r="T432">
        <v>44</v>
      </c>
    </row>
    <row r="433" spans="1:20" x14ac:dyDescent="0.25">
      <c r="A433" t="s">
        <v>1457</v>
      </c>
      <c r="B433" t="s">
        <v>194</v>
      </c>
      <c r="C433" t="s">
        <v>586</v>
      </c>
      <c r="D433" t="s">
        <v>1251</v>
      </c>
      <c r="E433" t="s">
        <v>1450</v>
      </c>
      <c r="F433">
        <v>5.9712559917442904</v>
      </c>
      <c r="G433">
        <v>-11.021479338030726</v>
      </c>
      <c r="H433" t="s">
        <v>892</v>
      </c>
      <c r="I433" t="s">
        <v>611</v>
      </c>
      <c r="J433">
        <v>3</v>
      </c>
      <c r="K433" t="s">
        <v>1458</v>
      </c>
      <c r="L433">
        <v>300000</v>
      </c>
      <c r="M433">
        <v>2.5</v>
      </c>
      <c r="N433">
        <v>-11.021479338030726</v>
      </c>
      <c r="O433" t="s">
        <v>592</v>
      </c>
      <c r="P433" t="s">
        <v>711</v>
      </c>
      <c r="Q433" t="s">
        <v>586</v>
      </c>
      <c r="R433" t="s">
        <v>712</v>
      </c>
      <c r="S433" t="s">
        <v>712</v>
      </c>
      <c r="T433">
        <v>37</v>
      </c>
    </row>
    <row r="434" spans="1:20" x14ac:dyDescent="0.25">
      <c r="A434" t="s">
        <v>1459</v>
      </c>
      <c r="B434" t="s">
        <v>195</v>
      </c>
      <c r="C434" t="s">
        <v>586</v>
      </c>
      <c r="D434" t="s">
        <v>731</v>
      </c>
      <c r="E434" t="s">
        <v>1460</v>
      </c>
      <c r="F434">
        <v>0.93449618747005203</v>
      </c>
      <c r="G434">
        <v>-2.9364494857753387</v>
      </c>
      <c r="H434" t="s">
        <v>856</v>
      </c>
      <c r="I434" t="s">
        <v>661</v>
      </c>
      <c r="J434">
        <v>5</v>
      </c>
      <c r="K434" t="s">
        <v>1461</v>
      </c>
      <c r="L434">
        <v>1455000</v>
      </c>
      <c r="M434">
        <v>1.49</v>
      </c>
      <c r="N434">
        <v>-2.9364494857753387</v>
      </c>
      <c r="O434" t="s">
        <v>592</v>
      </c>
      <c r="P434" t="s">
        <v>593</v>
      </c>
      <c r="Q434" t="s">
        <v>586</v>
      </c>
      <c r="R434">
        <v>10000</v>
      </c>
      <c r="S434" t="s">
        <v>652</v>
      </c>
      <c r="T434">
        <v>91</v>
      </c>
    </row>
    <row r="435" spans="1:20" x14ac:dyDescent="0.25">
      <c r="A435" t="s">
        <v>1462</v>
      </c>
      <c r="B435" t="s">
        <v>195</v>
      </c>
      <c r="C435" t="s">
        <v>586</v>
      </c>
      <c r="D435" t="s">
        <v>731</v>
      </c>
      <c r="E435" t="s">
        <v>1460</v>
      </c>
      <c r="F435">
        <v>1.8683592054959124</v>
      </c>
      <c r="G435">
        <v>-3.2847959582871011</v>
      </c>
      <c r="H435" t="s">
        <v>856</v>
      </c>
      <c r="I435" t="s">
        <v>661</v>
      </c>
      <c r="J435">
        <v>5</v>
      </c>
      <c r="K435" t="s">
        <v>1463</v>
      </c>
      <c r="L435">
        <v>1455000</v>
      </c>
      <c r="M435">
        <v>1.6500000000000001</v>
      </c>
      <c r="N435">
        <v>-3.2847959582871011</v>
      </c>
      <c r="O435" t="s">
        <v>592</v>
      </c>
      <c r="P435" t="s">
        <v>593</v>
      </c>
      <c r="Q435" t="s">
        <v>586</v>
      </c>
      <c r="R435" t="s">
        <v>712</v>
      </c>
      <c r="S435" t="s">
        <v>652</v>
      </c>
      <c r="T435">
        <v>84</v>
      </c>
    </row>
    <row r="436" spans="1:20" x14ac:dyDescent="0.25">
      <c r="A436" t="s">
        <v>1464</v>
      </c>
      <c r="B436" t="s">
        <v>195</v>
      </c>
      <c r="C436" t="s">
        <v>586</v>
      </c>
      <c r="D436" t="s">
        <v>731</v>
      </c>
      <c r="E436" t="s">
        <v>1460</v>
      </c>
      <c r="F436">
        <v>2.7614972597064478</v>
      </c>
      <c r="G436">
        <v>-2.2460256044363192</v>
      </c>
      <c r="H436" t="s">
        <v>856</v>
      </c>
      <c r="I436" t="s">
        <v>661</v>
      </c>
      <c r="J436">
        <v>5</v>
      </c>
      <c r="K436" t="s">
        <v>1465</v>
      </c>
      <c r="L436">
        <v>1455000</v>
      </c>
      <c r="M436">
        <v>1.82</v>
      </c>
      <c r="N436">
        <v>-2.2460256044363192</v>
      </c>
      <c r="O436" t="s">
        <v>592</v>
      </c>
      <c r="P436" t="s">
        <v>593</v>
      </c>
      <c r="Q436" t="s">
        <v>586</v>
      </c>
      <c r="R436" t="s">
        <v>712</v>
      </c>
      <c r="S436" t="s">
        <v>652</v>
      </c>
      <c r="T436">
        <v>76</v>
      </c>
    </row>
    <row r="437" spans="1:20" x14ac:dyDescent="0.25">
      <c r="A437" t="s">
        <v>1466</v>
      </c>
      <c r="B437" t="s">
        <v>195</v>
      </c>
      <c r="C437" t="s">
        <v>586</v>
      </c>
      <c r="D437" t="s">
        <v>731</v>
      </c>
      <c r="E437" t="s">
        <v>1460</v>
      </c>
      <c r="F437">
        <v>3.6171142316863389</v>
      </c>
      <c r="G437">
        <v>1.6207488911758716</v>
      </c>
      <c r="H437" t="s">
        <v>856</v>
      </c>
      <c r="I437" t="s">
        <v>661</v>
      </c>
      <c r="J437">
        <v>5</v>
      </c>
      <c r="K437" t="s">
        <v>1467</v>
      </c>
      <c r="L437">
        <v>1455000</v>
      </c>
      <c r="M437">
        <v>2</v>
      </c>
      <c r="N437">
        <v>1.6207488911758716</v>
      </c>
      <c r="O437" t="s">
        <v>592</v>
      </c>
      <c r="P437" t="s">
        <v>593</v>
      </c>
      <c r="Q437" t="s">
        <v>586</v>
      </c>
      <c r="R437">
        <v>50000</v>
      </c>
      <c r="S437" t="s">
        <v>652</v>
      </c>
      <c r="T437">
        <v>69</v>
      </c>
    </row>
    <row r="438" spans="1:20" x14ac:dyDescent="0.25">
      <c r="A438" t="s">
        <v>1468</v>
      </c>
      <c r="B438" t="s">
        <v>196</v>
      </c>
      <c r="C438" t="s">
        <v>586</v>
      </c>
      <c r="D438" t="s">
        <v>601</v>
      </c>
      <c r="E438" t="s">
        <v>1469</v>
      </c>
      <c r="F438">
        <v>2.4065395600122237</v>
      </c>
      <c r="G438">
        <v>16.802919443810225</v>
      </c>
      <c r="H438" t="s">
        <v>1279</v>
      </c>
      <c r="I438" t="s">
        <v>1470</v>
      </c>
      <c r="J438">
        <v>3</v>
      </c>
      <c r="K438" t="s">
        <v>1013</v>
      </c>
      <c r="L438">
        <v>455000</v>
      </c>
      <c r="M438">
        <v>1.75</v>
      </c>
      <c r="N438">
        <v>16.802919443810225</v>
      </c>
      <c r="O438" t="s">
        <v>592</v>
      </c>
      <c r="P438" t="s">
        <v>593</v>
      </c>
      <c r="Q438" t="s">
        <v>586</v>
      </c>
      <c r="R438">
        <v>90000</v>
      </c>
      <c r="S438" t="s">
        <v>712</v>
      </c>
      <c r="T438">
        <v>65</v>
      </c>
    </row>
    <row r="439" spans="1:20" x14ac:dyDescent="0.25">
      <c r="A439" t="s">
        <v>1471</v>
      </c>
      <c r="B439" t="s">
        <v>197</v>
      </c>
      <c r="C439" t="s">
        <v>586</v>
      </c>
      <c r="D439" t="s">
        <v>863</v>
      </c>
      <c r="E439" t="s">
        <v>756</v>
      </c>
      <c r="F439">
        <v>0.32917563573480696</v>
      </c>
      <c r="G439">
        <v>117.20775164855226</v>
      </c>
      <c r="H439" t="s">
        <v>1472</v>
      </c>
      <c r="I439" t="s">
        <v>1037</v>
      </c>
      <c r="J439">
        <v>3</v>
      </c>
      <c r="K439" t="s">
        <v>710</v>
      </c>
      <c r="L439">
        <v>70000</v>
      </c>
      <c r="M439">
        <v>2.9990000000000001</v>
      </c>
      <c r="N439">
        <v>117.20775164855226</v>
      </c>
      <c r="O439" t="s">
        <v>592</v>
      </c>
      <c r="P439" t="s">
        <v>711</v>
      </c>
      <c r="Q439" t="s">
        <v>586</v>
      </c>
      <c r="R439" t="s">
        <v>712</v>
      </c>
      <c r="S439" t="s">
        <v>712</v>
      </c>
      <c r="T439">
        <v>98</v>
      </c>
    </row>
    <row r="440" spans="1:20" x14ac:dyDescent="0.25">
      <c r="A440" t="s">
        <v>1473</v>
      </c>
      <c r="B440" t="s">
        <v>198</v>
      </c>
      <c r="C440" t="s">
        <v>586</v>
      </c>
      <c r="D440" t="s">
        <v>608</v>
      </c>
      <c r="E440" t="s">
        <v>1032</v>
      </c>
      <c r="F440">
        <v>0.56844101123993496</v>
      </c>
      <c r="G440">
        <v>107.96850490682075</v>
      </c>
      <c r="H440" t="s">
        <v>720</v>
      </c>
      <c r="I440" t="s">
        <v>611</v>
      </c>
      <c r="J440">
        <v>2.6</v>
      </c>
      <c r="K440" t="s">
        <v>744</v>
      </c>
      <c r="L440">
        <v>75000</v>
      </c>
      <c r="M440">
        <v>2.6</v>
      </c>
      <c r="N440">
        <v>107.96850490682075</v>
      </c>
      <c r="O440" t="s">
        <v>592</v>
      </c>
      <c r="P440" t="s">
        <v>621</v>
      </c>
      <c r="Q440" t="s">
        <v>586</v>
      </c>
      <c r="R440" t="s">
        <v>712</v>
      </c>
      <c r="S440" t="s">
        <v>712</v>
      </c>
      <c r="T440">
        <v>14</v>
      </c>
    </row>
    <row r="441" spans="1:20" x14ac:dyDescent="0.25">
      <c r="A441" t="s">
        <v>1474</v>
      </c>
      <c r="B441" t="s">
        <v>198</v>
      </c>
      <c r="C441" t="s">
        <v>586</v>
      </c>
      <c r="D441" t="s">
        <v>608</v>
      </c>
      <c r="E441" t="s">
        <v>1032</v>
      </c>
      <c r="F441">
        <v>1.5204180993055361</v>
      </c>
      <c r="G441">
        <v>111.6651360731173</v>
      </c>
      <c r="H441" t="s">
        <v>720</v>
      </c>
      <c r="I441" t="s">
        <v>611</v>
      </c>
      <c r="J441">
        <v>2.8</v>
      </c>
      <c r="K441" t="s">
        <v>634</v>
      </c>
      <c r="L441">
        <v>80000</v>
      </c>
      <c r="M441">
        <v>2.8000000000000003</v>
      </c>
      <c r="N441">
        <v>111.6651360731173</v>
      </c>
      <c r="O441" t="s">
        <v>592</v>
      </c>
      <c r="P441" t="s">
        <v>621</v>
      </c>
      <c r="Q441" t="s">
        <v>586</v>
      </c>
      <c r="R441" t="s">
        <v>712</v>
      </c>
      <c r="S441" t="s">
        <v>712</v>
      </c>
      <c r="T441">
        <v>56</v>
      </c>
    </row>
    <row r="442" spans="1:20" x14ac:dyDescent="0.25">
      <c r="A442" t="s">
        <v>1475</v>
      </c>
      <c r="B442" t="s">
        <v>198</v>
      </c>
      <c r="C442" t="s">
        <v>586</v>
      </c>
      <c r="D442" t="s">
        <v>608</v>
      </c>
      <c r="E442" t="s">
        <v>1032</v>
      </c>
      <c r="F442">
        <v>2.4396427657522937</v>
      </c>
      <c r="G442">
        <v>115.42178942765635</v>
      </c>
      <c r="H442" t="s">
        <v>720</v>
      </c>
      <c r="I442" t="s">
        <v>611</v>
      </c>
      <c r="J442">
        <v>3</v>
      </c>
      <c r="K442" t="s">
        <v>959</v>
      </c>
      <c r="L442">
        <v>85000</v>
      </c>
      <c r="M442">
        <v>3</v>
      </c>
      <c r="N442">
        <v>115.42178942765635</v>
      </c>
      <c r="O442" t="s">
        <v>592</v>
      </c>
      <c r="P442" t="s">
        <v>621</v>
      </c>
      <c r="Q442" t="s">
        <v>586</v>
      </c>
      <c r="R442" t="s">
        <v>712</v>
      </c>
      <c r="S442" t="s">
        <v>712</v>
      </c>
      <c r="T442">
        <v>42</v>
      </c>
    </row>
    <row r="443" spans="1:20" x14ac:dyDescent="0.25">
      <c r="A443" t="s">
        <v>1476</v>
      </c>
      <c r="B443" t="s">
        <v>199</v>
      </c>
      <c r="C443" t="s">
        <v>607</v>
      </c>
      <c r="D443" t="s">
        <v>608</v>
      </c>
      <c r="E443" t="s">
        <v>609</v>
      </c>
      <c r="F443">
        <v>8.0455791277088351E-2</v>
      </c>
      <c r="G443">
        <v>62.111519840827526</v>
      </c>
      <c r="H443" t="s">
        <v>1477</v>
      </c>
      <c r="I443" t="s">
        <v>611</v>
      </c>
      <c r="J443">
        <v>4</v>
      </c>
      <c r="K443" t="s">
        <v>950</v>
      </c>
      <c r="L443">
        <v>250000</v>
      </c>
      <c r="M443">
        <v>2</v>
      </c>
      <c r="N443">
        <v>62.111519840827526</v>
      </c>
      <c r="O443" t="s">
        <v>592</v>
      </c>
      <c r="P443" t="s">
        <v>613</v>
      </c>
      <c r="Q443" t="s">
        <v>586</v>
      </c>
      <c r="R443" t="s">
        <v>712</v>
      </c>
      <c r="S443" t="s">
        <v>712</v>
      </c>
      <c r="T443">
        <v>99</v>
      </c>
    </row>
    <row r="444" spans="1:20" x14ac:dyDescent="0.25">
      <c r="A444" t="s">
        <v>1478</v>
      </c>
      <c r="B444" t="s">
        <v>199</v>
      </c>
      <c r="C444" t="s">
        <v>607</v>
      </c>
      <c r="D444" t="s">
        <v>608</v>
      </c>
      <c r="E444" t="s">
        <v>609</v>
      </c>
      <c r="F444">
        <v>1.0544643035597456</v>
      </c>
      <c r="G444">
        <v>55.830441933080508</v>
      </c>
      <c r="H444" t="s">
        <v>1477</v>
      </c>
      <c r="I444" t="s">
        <v>611</v>
      </c>
      <c r="J444">
        <v>2</v>
      </c>
      <c r="K444" t="s">
        <v>612</v>
      </c>
      <c r="L444">
        <v>275000</v>
      </c>
      <c r="M444">
        <v>2.1</v>
      </c>
      <c r="N444">
        <v>55.830441933080508</v>
      </c>
      <c r="O444" t="s">
        <v>592</v>
      </c>
      <c r="P444" t="s">
        <v>613</v>
      </c>
      <c r="Q444" t="s">
        <v>586</v>
      </c>
      <c r="R444" t="s">
        <v>712</v>
      </c>
      <c r="S444" t="s">
        <v>712</v>
      </c>
      <c r="T444">
        <v>85</v>
      </c>
    </row>
    <row r="445" spans="1:20" x14ac:dyDescent="0.25">
      <c r="A445" t="s">
        <v>1479</v>
      </c>
      <c r="B445" t="s">
        <v>200</v>
      </c>
      <c r="C445" t="s">
        <v>586</v>
      </c>
      <c r="D445" t="s">
        <v>608</v>
      </c>
      <c r="E445" t="s">
        <v>609</v>
      </c>
      <c r="F445">
        <v>8.044804233238162E-2</v>
      </c>
      <c r="G445">
        <v>92.585188328070473</v>
      </c>
      <c r="H445" t="s">
        <v>1480</v>
      </c>
      <c r="I445" t="s">
        <v>611</v>
      </c>
      <c r="J445">
        <v>3</v>
      </c>
      <c r="K445" t="s">
        <v>950</v>
      </c>
      <c r="L445">
        <v>75000</v>
      </c>
      <c r="M445">
        <v>2.2000000000000002</v>
      </c>
      <c r="N445">
        <v>92.585188328070473</v>
      </c>
      <c r="O445" t="s">
        <v>592</v>
      </c>
      <c r="P445" t="s">
        <v>613</v>
      </c>
      <c r="Q445" t="s">
        <v>586</v>
      </c>
      <c r="R445" t="s">
        <v>712</v>
      </c>
      <c r="S445" t="s">
        <v>712</v>
      </c>
      <c r="T445">
        <v>97</v>
      </c>
    </row>
    <row r="446" spans="1:20" x14ac:dyDescent="0.25">
      <c r="A446" t="s">
        <v>1481</v>
      </c>
      <c r="B446" t="s">
        <v>200</v>
      </c>
      <c r="C446" t="s">
        <v>586</v>
      </c>
      <c r="D446" t="s">
        <v>608</v>
      </c>
      <c r="E446" t="s">
        <v>609</v>
      </c>
      <c r="F446">
        <v>1.0468044659613953</v>
      </c>
      <c r="G446">
        <v>98.301139442728797</v>
      </c>
      <c r="H446" t="s">
        <v>1480</v>
      </c>
      <c r="I446" t="s">
        <v>611</v>
      </c>
      <c r="J446">
        <v>3</v>
      </c>
      <c r="K446" t="s">
        <v>612</v>
      </c>
      <c r="L446">
        <v>75000</v>
      </c>
      <c r="M446">
        <v>2.4000000000000004</v>
      </c>
      <c r="N446">
        <v>98.301139442728797</v>
      </c>
      <c r="O446" t="s">
        <v>592</v>
      </c>
      <c r="P446" t="s">
        <v>613</v>
      </c>
      <c r="Q446" t="s">
        <v>586</v>
      </c>
      <c r="R446" t="s">
        <v>712</v>
      </c>
      <c r="S446" t="s">
        <v>712</v>
      </c>
      <c r="T446">
        <v>70</v>
      </c>
    </row>
    <row r="447" spans="1:20" x14ac:dyDescent="0.25">
      <c r="A447" t="s">
        <v>1482</v>
      </c>
      <c r="B447" t="s">
        <v>200</v>
      </c>
      <c r="C447" t="s">
        <v>586</v>
      </c>
      <c r="D447" t="s">
        <v>608</v>
      </c>
      <c r="E447" t="s">
        <v>609</v>
      </c>
      <c r="F447">
        <v>1.9833907777180704</v>
      </c>
      <c r="G447">
        <v>103.6340524059719</v>
      </c>
      <c r="H447" t="s">
        <v>1480</v>
      </c>
      <c r="I447" t="s">
        <v>611</v>
      </c>
      <c r="J447">
        <v>3</v>
      </c>
      <c r="K447" t="s">
        <v>956</v>
      </c>
      <c r="L447">
        <v>75000</v>
      </c>
      <c r="M447">
        <v>2.6</v>
      </c>
      <c r="N447">
        <v>103.6340524059719</v>
      </c>
      <c r="O447" t="s">
        <v>592</v>
      </c>
      <c r="P447" t="s">
        <v>613</v>
      </c>
      <c r="Q447" t="s">
        <v>586</v>
      </c>
      <c r="R447" t="s">
        <v>712</v>
      </c>
      <c r="S447" t="s">
        <v>712</v>
      </c>
      <c r="T447">
        <v>54</v>
      </c>
    </row>
    <row r="448" spans="1:20" x14ac:dyDescent="0.25">
      <c r="A448" t="s">
        <v>1483</v>
      </c>
      <c r="B448" t="s">
        <v>201</v>
      </c>
      <c r="C448" t="s">
        <v>586</v>
      </c>
      <c r="D448" t="s">
        <v>608</v>
      </c>
      <c r="E448" t="s">
        <v>1321</v>
      </c>
      <c r="F448">
        <v>0.24631452304733462</v>
      </c>
      <c r="G448">
        <v>91.416558904109607</v>
      </c>
      <c r="H448" t="s">
        <v>1045</v>
      </c>
      <c r="I448" t="s">
        <v>1470</v>
      </c>
      <c r="J448">
        <v>3</v>
      </c>
      <c r="K448" t="s">
        <v>694</v>
      </c>
      <c r="L448">
        <v>185000</v>
      </c>
      <c r="M448">
        <v>2.2000000000000002</v>
      </c>
      <c r="N448">
        <v>91.416558904109607</v>
      </c>
      <c r="O448" t="s">
        <v>592</v>
      </c>
      <c r="P448" t="s">
        <v>613</v>
      </c>
      <c r="Q448" t="s">
        <v>586</v>
      </c>
      <c r="R448" t="s">
        <v>712</v>
      </c>
      <c r="S448" t="s">
        <v>712</v>
      </c>
      <c r="T448">
        <v>96</v>
      </c>
    </row>
    <row r="449" spans="1:20" x14ac:dyDescent="0.25">
      <c r="A449" t="s">
        <v>1484</v>
      </c>
      <c r="B449" t="s">
        <v>201</v>
      </c>
      <c r="C449" t="s">
        <v>586</v>
      </c>
      <c r="D449" t="s">
        <v>608</v>
      </c>
      <c r="E449" t="s">
        <v>1321</v>
      </c>
      <c r="F449">
        <v>1.2124321710295465</v>
      </c>
      <c r="G449">
        <v>97.76932876712327</v>
      </c>
      <c r="H449" t="s">
        <v>1045</v>
      </c>
      <c r="I449" t="s">
        <v>1470</v>
      </c>
      <c r="J449">
        <v>3</v>
      </c>
      <c r="K449" t="s">
        <v>764</v>
      </c>
      <c r="L449">
        <v>195000</v>
      </c>
      <c r="M449">
        <v>2.4000000000000004</v>
      </c>
      <c r="N449">
        <v>97.76932876712327</v>
      </c>
      <c r="O449" t="s">
        <v>592</v>
      </c>
      <c r="P449" t="s">
        <v>613</v>
      </c>
      <c r="Q449" t="s">
        <v>586</v>
      </c>
      <c r="R449" t="s">
        <v>712</v>
      </c>
      <c r="S449" t="s">
        <v>712</v>
      </c>
      <c r="T449">
        <v>77</v>
      </c>
    </row>
    <row r="450" spans="1:20" x14ac:dyDescent="0.25">
      <c r="A450" t="s">
        <v>1485</v>
      </c>
      <c r="B450" t="s">
        <v>201</v>
      </c>
      <c r="C450" t="s">
        <v>586</v>
      </c>
      <c r="D450" t="s">
        <v>608</v>
      </c>
      <c r="E450" t="s">
        <v>1321</v>
      </c>
      <c r="F450">
        <v>2.1497322541994208</v>
      </c>
      <c r="G450">
        <v>103.72859452054794</v>
      </c>
      <c r="H450" t="s">
        <v>1045</v>
      </c>
      <c r="I450" t="s">
        <v>1470</v>
      </c>
      <c r="J450">
        <v>3</v>
      </c>
      <c r="K450" t="s">
        <v>699</v>
      </c>
      <c r="L450">
        <v>200000</v>
      </c>
      <c r="M450">
        <v>2.6</v>
      </c>
      <c r="N450">
        <v>103.72859452054794</v>
      </c>
      <c r="O450" t="s">
        <v>592</v>
      </c>
      <c r="P450" t="s">
        <v>613</v>
      </c>
      <c r="Q450" t="s">
        <v>586</v>
      </c>
      <c r="R450" t="s">
        <v>712</v>
      </c>
      <c r="S450" t="s">
        <v>712</v>
      </c>
      <c r="T450">
        <v>62</v>
      </c>
    </row>
    <row r="451" spans="1:20" x14ac:dyDescent="0.25">
      <c r="A451" t="s">
        <v>1486</v>
      </c>
      <c r="B451" t="s">
        <v>201</v>
      </c>
      <c r="C451" t="s">
        <v>586</v>
      </c>
      <c r="D451" t="s">
        <v>608</v>
      </c>
      <c r="E451" t="s">
        <v>1321</v>
      </c>
      <c r="F451">
        <v>3.0590296154196941</v>
      </c>
      <c r="G451">
        <v>109.82604657534245</v>
      </c>
      <c r="H451" t="s">
        <v>1045</v>
      </c>
      <c r="I451" t="s">
        <v>1470</v>
      </c>
      <c r="J451">
        <v>3</v>
      </c>
      <c r="K451" t="s">
        <v>591</v>
      </c>
      <c r="L451">
        <v>210000</v>
      </c>
      <c r="M451">
        <v>2.8000000000000003</v>
      </c>
      <c r="N451">
        <v>109.82604657534245</v>
      </c>
      <c r="O451" t="s">
        <v>592</v>
      </c>
      <c r="P451" t="s">
        <v>613</v>
      </c>
      <c r="Q451" t="s">
        <v>586</v>
      </c>
      <c r="R451" t="s">
        <v>712</v>
      </c>
      <c r="S451" t="s">
        <v>712</v>
      </c>
      <c r="T451">
        <v>48</v>
      </c>
    </row>
    <row r="452" spans="1:20" x14ac:dyDescent="0.25">
      <c r="A452" t="s">
        <v>1487</v>
      </c>
      <c r="B452" t="s">
        <v>202</v>
      </c>
      <c r="C452" t="s">
        <v>607</v>
      </c>
      <c r="D452" t="s">
        <v>608</v>
      </c>
      <c r="E452" t="s">
        <v>756</v>
      </c>
      <c r="F452">
        <v>8.0490244503560487E-2</v>
      </c>
      <c r="G452">
        <v>58.608975342465762</v>
      </c>
      <c r="H452" t="s">
        <v>1045</v>
      </c>
      <c r="I452" t="s">
        <v>611</v>
      </c>
      <c r="J452">
        <v>4.5</v>
      </c>
      <c r="K452" t="s">
        <v>950</v>
      </c>
      <c r="L452">
        <v>285000</v>
      </c>
      <c r="M452">
        <v>1.85</v>
      </c>
      <c r="N452">
        <v>58.608975342465762</v>
      </c>
      <c r="O452" t="s">
        <v>592</v>
      </c>
      <c r="P452" t="s">
        <v>621</v>
      </c>
      <c r="Q452" t="s">
        <v>586</v>
      </c>
      <c r="R452" t="s">
        <v>712</v>
      </c>
      <c r="S452" t="s">
        <v>712</v>
      </c>
      <c r="T452">
        <v>97</v>
      </c>
    </row>
    <row r="453" spans="1:20" x14ac:dyDescent="0.25">
      <c r="A453" t="s">
        <v>1488</v>
      </c>
      <c r="B453" t="s">
        <v>202</v>
      </c>
      <c r="C453" t="s">
        <v>607</v>
      </c>
      <c r="D453" t="s">
        <v>608</v>
      </c>
      <c r="E453" t="s">
        <v>756</v>
      </c>
      <c r="F453">
        <v>1.0401428370402914</v>
      </c>
      <c r="G453">
        <v>60.08277260273973</v>
      </c>
      <c r="H453" t="s">
        <v>1045</v>
      </c>
      <c r="I453" t="s">
        <v>611</v>
      </c>
      <c r="J453">
        <v>4.5</v>
      </c>
      <c r="K453" t="s">
        <v>612</v>
      </c>
      <c r="L453">
        <v>295000</v>
      </c>
      <c r="M453">
        <v>2</v>
      </c>
      <c r="N453">
        <v>60.08277260273973</v>
      </c>
      <c r="O453" t="s">
        <v>592</v>
      </c>
      <c r="P453" t="s">
        <v>621</v>
      </c>
      <c r="Q453" t="s">
        <v>586</v>
      </c>
      <c r="R453" t="s">
        <v>712</v>
      </c>
      <c r="S453" t="s">
        <v>712</v>
      </c>
      <c r="T453">
        <v>91</v>
      </c>
    </row>
    <row r="454" spans="1:20" x14ac:dyDescent="0.25">
      <c r="A454" t="s">
        <v>1489</v>
      </c>
      <c r="B454" t="s">
        <v>202</v>
      </c>
      <c r="C454" t="s">
        <v>607</v>
      </c>
      <c r="D454" t="s">
        <v>608</v>
      </c>
      <c r="E454" t="s">
        <v>756</v>
      </c>
      <c r="F454">
        <v>1.9584840279257112</v>
      </c>
      <c r="G454">
        <v>56.074876712328781</v>
      </c>
      <c r="H454" t="s">
        <v>1045</v>
      </c>
      <c r="I454" t="s">
        <v>611</v>
      </c>
      <c r="J454">
        <v>4.5</v>
      </c>
      <c r="K454" t="s">
        <v>956</v>
      </c>
      <c r="L454">
        <v>305000</v>
      </c>
      <c r="M454">
        <v>2.1</v>
      </c>
      <c r="N454">
        <v>56.074876712328781</v>
      </c>
      <c r="O454" t="s">
        <v>592</v>
      </c>
      <c r="P454" t="s">
        <v>621</v>
      </c>
      <c r="Q454" t="s">
        <v>586</v>
      </c>
      <c r="R454" t="s">
        <v>712</v>
      </c>
      <c r="S454" t="s">
        <v>712</v>
      </c>
      <c r="T454">
        <v>82</v>
      </c>
    </row>
    <row r="455" spans="1:20" x14ac:dyDescent="0.25">
      <c r="A455" t="s">
        <v>1490</v>
      </c>
      <c r="B455" t="s">
        <v>202</v>
      </c>
      <c r="C455" t="s">
        <v>607</v>
      </c>
      <c r="D455" t="s">
        <v>608</v>
      </c>
      <c r="E455" t="s">
        <v>756</v>
      </c>
      <c r="F455">
        <v>2.9029793324810433</v>
      </c>
      <c r="G455">
        <v>62.013350684931481</v>
      </c>
      <c r="H455" t="s">
        <v>1045</v>
      </c>
      <c r="I455" t="s">
        <v>611</v>
      </c>
      <c r="J455">
        <v>3</v>
      </c>
      <c r="K455" t="s">
        <v>1334</v>
      </c>
      <c r="L455">
        <v>320000</v>
      </c>
      <c r="M455">
        <v>2.3000000000000003</v>
      </c>
      <c r="N455">
        <v>62.013350684931481</v>
      </c>
      <c r="O455" t="s">
        <v>592</v>
      </c>
      <c r="P455" t="s">
        <v>621</v>
      </c>
      <c r="Q455" t="s">
        <v>586</v>
      </c>
      <c r="R455" t="s">
        <v>712</v>
      </c>
      <c r="S455" t="s">
        <v>712</v>
      </c>
      <c r="T455">
        <v>64</v>
      </c>
    </row>
    <row r="456" spans="1:20" x14ac:dyDescent="0.25">
      <c r="A456" t="s">
        <v>1491</v>
      </c>
      <c r="B456" t="s">
        <v>90</v>
      </c>
      <c r="C456" t="s">
        <v>586</v>
      </c>
      <c r="D456" t="s">
        <v>805</v>
      </c>
      <c r="E456" t="s">
        <v>953</v>
      </c>
      <c r="F456">
        <v>0.68662660584692603</v>
      </c>
      <c r="G456">
        <v>12.125187841393847</v>
      </c>
      <c r="H456" t="s">
        <v>954</v>
      </c>
      <c r="I456" t="s">
        <v>611</v>
      </c>
      <c r="J456">
        <v>5</v>
      </c>
      <c r="K456" t="s">
        <v>880</v>
      </c>
      <c r="L456">
        <v>1055000</v>
      </c>
      <c r="M456">
        <v>1.46</v>
      </c>
      <c r="N456">
        <v>12.125187841393847</v>
      </c>
      <c r="O456" t="s">
        <v>592</v>
      </c>
      <c r="P456" t="s">
        <v>593</v>
      </c>
      <c r="Q456" t="s">
        <v>586</v>
      </c>
      <c r="R456">
        <v>130000</v>
      </c>
      <c r="S456" t="s">
        <v>712</v>
      </c>
      <c r="T456">
        <v>94</v>
      </c>
    </row>
    <row r="457" spans="1:20" x14ac:dyDescent="0.25">
      <c r="A457" t="s">
        <v>1492</v>
      </c>
      <c r="B457" t="s">
        <v>90</v>
      </c>
      <c r="C457" t="s">
        <v>586</v>
      </c>
      <c r="D457" t="s">
        <v>805</v>
      </c>
      <c r="E457" t="s">
        <v>953</v>
      </c>
      <c r="F457">
        <v>4.1876025499940113</v>
      </c>
      <c r="G457">
        <v>16.318079398972362</v>
      </c>
      <c r="H457" t="s">
        <v>954</v>
      </c>
      <c r="I457" t="s">
        <v>611</v>
      </c>
      <c r="J457">
        <v>5</v>
      </c>
      <c r="K457" t="s">
        <v>1060</v>
      </c>
      <c r="L457">
        <v>1055000</v>
      </c>
      <c r="M457">
        <v>2.04</v>
      </c>
      <c r="N457">
        <v>16.318079398972362</v>
      </c>
      <c r="O457" t="s">
        <v>592</v>
      </c>
      <c r="P457" t="s">
        <v>593</v>
      </c>
      <c r="Q457" t="s">
        <v>586</v>
      </c>
      <c r="R457">
        <v>20000</v>
      </c>
      <c r="S457" t="s">
        <v>712</v>
      </c>
      <c r="T457">
        <v>73</v>
      </c>
    </row>
    <row r="458" spans="1:20" x14ac:dyDescent="0.25">
      <c r="A458" t="s">
        <v>1493</v>
      </c>
      <c r="B458" t="s">
        <v>203</v>
      </c>
      <c r="C458" t="s">
        <v>607</v>
      </c>
      <c r="D458" t="s">
        <v>608</v>
      </c>
      <c r="E458" t="s">
        <v>1494</v>
      </c>
      <c r="F458">
        <v>0.52529239288677398</v>
      </c>
      <c r="G458">
        <v>58.959821981319969</v>
      </c>
      <c r="H458" t="s">
        <v>1256</v>
      </c>
      <c r="I458" t="s">
        <v>661</v>
      </c>
      <c r="J458">
        <v>3</v>
      </c>
      <c r="K458" t="s">
        <v>1005</v>
      </c>
      <c r="L458">
        <v>40000</v>
      </c>
      <c r="M458">
        <v>2.11</v>
      </c>
      <c r="N458">
        <v>58.959821981319969</v>
      </c>
      <c r="O458" t="s">
        <v>592</v>
      </c>
      <c r="P458" t="s">
        <v>613</v>
      </c>
      <c r="Q458" t="s">
        <v>586</v>
      </c>
      <c r="R458" t="s">
        <v>712</v>
      </c>
      <c r="S458" t="s">
        <v>878</v>
      </c>
      <c r="T458">
        <v>94</v>
      </c>
    </row>
    <row r="459" spans="1:20" x14ac:dyDescent="0.25">
      <c r="A459" t="s">
        <v>1495</v>
      </c>
      <c r="B459" t="s">
        <v>142</v>
      </c>
      <c r="C459" t="s">
        <v>607</v>
      </c>
      <c r="D459" t="s">
        <v>601</v>
      </c>
      <c r="E459" t="s">
        <v>1167</v>
      </c>
      <c r="F459">
        <v>1.7426757728938602</v>
      </c>
      <c r="G459">
        <v>17.654390898979464</v>
      </c>
      <c r="H459" t="s">
        <v>1010</v>
      </c>
      <c r="I459" t="s">
        <v>1137</v>
      </c>
      <c r="J459">
        <v>2</v>
      </c>
      <c r="K459" t="s">
        <v>1496</v>
      </c>
      <c r="L459">
        <v>250000</v>
      </c>
      <c r="M459">
        <v>1.9000000000000001</v>
      </c>
      <c r="N459">
        <v>17.654390898979464</v>
      </c>
      <c r="O459" t="s">
        <v>592</v>
      </c>
      <c r="P459" t="s">
        <v>711</v>
      </c>
      <c r="Q459" t="s">
        <v>586</v>
      </c>
      <c r="R459" t="s">
        <v>712</v>
      </c>
      <c r="S459" t="s">
        <v>712</v>
      </c>
      <c r="T459">
        <v>74</v>
      </c>
    </row>
    <row r="460" spans="1:20" x14ac:dyDescent="0.25">
      <c r="A460" t="s">
        <v>1497</v>
      </c>
      <c r="B460" t="s">
        <v>142</v>
      </c>
      <c r="C460" t="s">
        <v>607</v>
      </c>
      <c r="D460" t="s">
        <v>601</v>
      </c>
      <c r="E460" t="s">
        <v>1167</v>
      </c>
      <c r="F460">
        <v>2.6895705372542862</v>
      </c>
      <c r="G460">
        <v>11.707643842080673</v>
      </c>
      <c r="H460" t="s">
        <v>1010</v>
      </c>
      <c r="I460" t="s">
        <v>1137</v>
      </c>
      <c r="J460">
        <v>2</v>
      </c>
      <c r="K460" t="s">
        <v>1498</v>
      </c>
      <c r="L460">
        <v>255000</v>
      </c>
      <c r="M460">
        <v>2</v>
      </c>
      <c r="N460">
        <v>11.707643842080673</v>
      </c>
      <c r="O460" t="s">
        <v>592</v>
      </c>
      <c r="P460" t="s">
        <v>711</v>
      </c>
      <c r="Q460" t="s">
        <v>586</v>
      </c>
      <c r="R460" t="s">
        <v>712</v>
      </c>
      <c r="S460" t="s">
        <v>712</v>
      </c>
      <c r="T460">
        <v>65</v>
      </c>
    </row>
    <row r="461" spans="1:20" x14ac:dyDescent="0.25">
      <c r="A461" t="s">
        <v>1499</v>
      </c>
      <c r="B461" t="s">
        <v>204</v>
      </c>
      <c r="C461" t="s">
        <v>586</v>
      </c>
      <c r="D461" t="s">
        <v>601</v>
      </c>
      <c r="E461" t="s">
        <v>1500</v>
      </c>
      <c r="F461">
        <v>0.6869920512009009</v>
      </c>
      <c r="G461">
        <v>-1.6385430384500577</v>
      </c>
      <c r="H461" t="s">
        <v>1501</v>
      </c>
      <c r="I461" t="s">
        <v>1502</v>
      </c>
      <c r="J461">
        <v>5</v>
      </c>
      <c r="K461" t="s">
        <v>880</v>
      </c>
      <c r="L461">
        <v>1125000</v>
      </c>
      <c r="M461">
        <v>1.45</v>
      </c>
      <c r="N461">
        <v>-1.6385430384500577</v>
      </c>
      <c r="O461" t="s">
        <v>592</v>
      </c>
      <c r="P461" t="s">
        <v>593</v>
      </c>
      <c r="Q461" t="s">
        <v>586</v>
      </c>
      <c r="R461">
        <v>25000</v>
      </c>
      <c r="S461" t="s">
        <v>635</v>
      </c>
      <c r="T461">
        <v>96</v>
      </c>
    </row>
    <row r="462" spans="1:20" x14ac:dyDescent="0.25">
      <c r="A462" t="s">
        <v>1503</v>
      </c>
      <c r="B462" t="s">
        <v>204</v>
      </c>
      <c r="C462" t="s">
        <v>586</v>
      </c>
      <c r="D462" t="s">
        <v>601</v>
      </c>
      <c r="E462" t="s">
        <v>1500</v>
      </c>
      <c r="F462">
        <v>1.6210876594237591</v>
      </c>
      <c r="G462">
        <v>-6.145934130492936</v>
      </c>
      <c r="H462" t="s">
        <v>1501</v>
      </c>
      <c r="I462" t="s">
        <v>1502</v>
      </c>
      <c r="J462">
        <v>5</v>
      </c>
      <c r="K462" t="s">
        <v>853</v>
      </c>
      <c r="L462">
        <v>1165000</v>
      </c>
      <c r="M462">
        <v>1.55</v>
      </c>
      <c r="N462">
        <v>-6.145934130492936</v>
      </c>
      <c r="O462" t="s">
        <v>592</v>
      </c>
      <c r="P462" t="s">
        <v>593</v>
      </c>
      <c r="Q462" t="s">
        <v>586</v>
      </c>
      <c r="R462">
        <v>20000</v>
      </c>
      <c r="S462" t="s">
        <v>635</v>
      </c>
      <c r="T462">
        <v>86</v>
      </c>
    </row>
    <row r="463" spans="1:20" x14ac:dyDescent="0.25">
      <c r="A463" t="s">
        <v>1504</v>
      </c>
      <c r="B463" t="s">
        <v>204</v>
      </c>
      <c r="C463" t="s">
        <v>586</v>
      </c>
      <c r="D463" t="s">
        <v>601</v>
      </c>
      <c r="E463" t="s">
        <v>1500</v>
      </c>
      <c r="F463">
        <v>2.514476786012362</v>
      </c>
      <c r="G463">
        <v>-7.8254036218604828</v>
      </c>
      <c r="H463" t="s">
        <v>1501</v>
      </c>
      <c r="I463" t="s">
        <v>1502</v>
      </c>
      <c r="J463">
        <v>5</v>
      </c>
      <c r="K463" t="s">
        <v>662</v>
      </c>
      <c r="L463">
        <v>1205000</v>
      </c>
      <c r="M463">
        <v>1.68</v>
      </c>
      <c r="N463">
        <v>-7.8254036218604828</v>
      </c>
      <c r="O463" t="s">
        <v>592</v>
      </c>
      <c r="P463" t="s">
        <v>593</v>
      </c>
      <c r="Q463" t="s">
        <v>586</v>
      </c>
      <c r="R463">
        <v>15000</v>
      </c>
      <c r="S463" t="s">
        <v>635</v>
      </c>
      <c r="T463">
        <v>76</v>
      </c>
    </row>
    <row r="464" spans="1:20" x14ac:dyDescent="0.25">
      <c r="A464" t="s">
        <v>1505</v>
      </c>
      <c r="B464" t="s">
        <v>205</v>
      </c>
      <c r="C464" t="s">
        <v>586</v>
      </c>
      <c r="D464" t="s">
        <v>587</v>
      </c>
      <c r="E464" t="s">
        <v>791</v>
      </c>
      <c r="F464">
        <v>0.8977993699880884</v>
      </c>
      <c r="G464">
        <v>-2.1950958904109585</v>
      </c>
      <c r="H464" t="s">
        <v>757</v>
      </c>
      <c r="I464" t="s">
        <v>661</v>
      </c>
      <c r="J464">
        <v>4</v>
      </c>
      <c r="K464" t="s">
        <v>640</v>
      </c>
      <c r="L464">
        <v>240000</v>
      </c>
      <c r="M464">
        <v>1.51</v>
      </c>
      <c r="N464">
        <v>-2.1950958904109585</v>
      </c>
      <c r="O464" t="s">
        <v>592</v>
      </c>
      <c r="P464" t="s">
        <v>593</v>
      </c>
      <c r="Q464" t="s">
        <v>586</v>
      </c>
      <c r="R464" t="s">
        <v>712</v>
      </c>
      <c r="S464" t="s">
        <v>712</v>
      </c>
      <c r="T464">
        <v>81</v>
      </c>
    </row>
    <row r="465" spans="1:20" x14ac:dyDescent="0.25">
      <c r="A465" t="s">
        <v>1506</v>
      </c>
      <c r="B465" t="s">
        <v>205</v>
      </c>
      <c r="C465" t="s">
        <v>586</v>
      </c>
      <c r="D465" t="s">
        <v>587</v>
      </c>
      <c r="E465" t="s">
        <v>791</v>
      </c>
      <c r="F465">
        <v>2.7222363490157511</v>
      </c>
      <c r="G465">
        <v>-2.1266493150684962</v>
      </c>
      <c r="H465" t="s">
        <v>757</v>
      </c>
      <c r="I465" t="s">
        <v>661</v>
      </c>
      <c r="J465">
        <v>5</v>
      </c>
      <c r="K465" t="s">
        <v>626</v>
      </c>
      <c r="L465">
        <v>260000</v>
      </c>
      <c r="M465">
        <v>1.72</v>
      </c>
      <c r="N465">
        <v>-2.1266493150684962</v>
      </c>
      <c r="O465" t="s">
        <v>592</v>
      </c>
      <c r="P465" t="s">
        <v>593</v>
      </c>
      <c r="Q465" t="s">
        <v>586</v>
      </c>
      <c r="R465" t="s">
        <v>712</v>
      </c>
      <c r="S465" t="s">
        <v>712</v>
      </c>
      <c r="T465">
        <v>61</v>
      </c>
    </row>
    <row r="466" spans="1:20" x14ac:dyDescent="0.25">
      <c r="A466" t="s">
        <v>1507</v>
      </c>
      <c r="B466" t="s">
        <v>205</v>
      </c>
      <c r="C466" t="s">
        <v>586</v>
      </c>
      <c r="D466" t="s">
        <v>587</v>
      </c>
      <c r="E466" t="s">
        <v>791</v>
      </c>
      <c r="F466">
        <v>3.5785152343637221</v>
      </c>
      <c r="G466">
        <v>-1.117101369863005</v>
      </c>
      <c r="H466" t="s">
        <v>757</v>
      </c>
      <c r="I466" t="s">
        <v>661</v>
      </c>
      <c r="J466">
        <v>5</v>
      </c>
      <c r="K466" t="s">
        <v>753</v>
      </c>
      <c r="L466">
        <v>275000</v>
      </c>
      <c r="M466">
        <v>1.83</v>
      </c>
      <c r="N466">
        <v>-1.117101369863005</v>
      </c>
      <c r="O466" t="s">
        <v>592</v>
      </c>
      <c r="P466" t="s">
        <v>593</v>
      </c>
      <c r="Q466" t="s">
        <v>586</v>
      </c>
      <c r="R466" t="s">
        <v>712</v>
      </c>
      <c r="S466" t="s">
        <v>712</v>
      </c>
      <c r="T466">
        <v>62</v>
      </c>
    </row>
    <row r="467" spans="1:20" x14ac:dyDescent="0.25">
      <c r="A467" t="s">
        <v>1508</v>
      </c>
      <c r="B467" t="s">
        <v>206</v>
      </c>
      <c r="C467" t="s">
        <v>607</v>
      </c>
      <c r="D467" t="s">
        <v>601</v>
      </c>
      <c r="E467" t="s">
        <v>1509</v>
      </c>
      <c r="F467">
        <v>1.2192168691008178</v>
      </c>
      <c r="G467">
        <v>36.873890410958921</v>
      </c>
      <c r="H467" t="s">
        <v>1510</v>
      </c>
      <c r="I467" t="s">
        <v>1511</v>
      </c>
      <c r="J467">
        <v>2.25</v>
      </c>
      <c r="K467" t="s">
        <v>764</v>
      </c>
      <c r="L467">
        <v>885000</v>
      </c>
      <c r="M467">
        <v>1.87</v>
      </c>
      <c r="N467">
        <v>36.873890410958921</v>
      </c>
      <c r="O467" t="s">
        <v>592</v>
      </c>
      <c r="P467" t="s">
        <v>711</v>
      </c>
      <c r="Q467" t="s">
        <v>586</v>
      </c>
      <c r="R467" t="s">
        <v>712</v>
      </c>
      <c r="S467" t="s">
        <v>614</v>
      </c>
      <c r="T467">
        <v>78</v>
      </c>
    </row>
    <row r="468" spans="1:20" x14ac:dyDescent="0.25">
      <c r="A468" t="s">
        <v>1512</v>
      </c>
      <c r="B468" t="s">
        <v>207</v>
      </c>
      <c r="C468" t="s">
        <v>586</v>
      </c>
      <c r="D468" t="s">
        <v>608</v>
      </c>
      <c r="E468" t="s">
        <v>1513</v>
      </c>
      <c r="F468">
        <v>0.98123907190319648</v>
      </c>
      <c r="G468">
        <v>28.25118356164382</v>
      </c>
      <c r="H468" t="s">
        <v>1143</v>
      </c>
      <c r="I468" t="s">
        <v>721</v>
      </c>
      <c r="J468">
        <v>3</v>
      </c>
      <c r="K468" t="s">
        <v>646</v>
      </c>
      <c r="L468">
        <v>85000</v>
      </c>
      <c r="M468">
        <v>1.6500000000000001</v>
      </c>
      <c r="N468">
        <v>28.25118356164382</v>
      </c>
      <c r="O468" t="s">
        <v>592</v>
      </c>
      <c r="P468" t="s">
        <v>613</v>
      </c>
      <c r="Q468" t="s">
        <v>586</v>
      </c>
      <c r="R468" t="s">
        <v>712</v>
      </c>
      <c r="S468" t="s">
        <v>712</v>
      </c>
      <c r="T468">
        <v>80</v>
      </c>
    </row>
    <row r="469" spans="1:20" x14ac:dyDescent="0.25">
      <c r="A469" t="s">
        <v>1514</v>
      </c>
      <c r="B469" t="s">
        <v>69</v>
      </c>
      <c r="C469" t="s">
        <v>586</v>
      </c>
      <c r="D469" t="s">
        <v>805</v>
      </c>
      <c r="E469" t="s">
        <v>858</v>
      </c>
      <c r="F469">
        <v>4.2361205057475662</v>
      </c>
      <c r="G469">
        <v>18.675019820474237</v>
      </c>
      <c r="H469" t="s">
        <v>859</v>
      </c>
      <c r="I469" t="s">
        <v>860</v>
      </c>
      <c r="J469">
        <v>5</v>
      </c>
      <c r="K469" t="s">
        <v>701</v>
      </c>
      <c r="L469">
        <v>2810000</v>
      </c>
      <c r="M469">
        <v>2.3000000000000003</v>
      </c>
      <c r="N469">
        <v>18.675019820474237</v>
      </c>
      <c r="O469" t="s">
        <v>592</v>
      </c>
      <c r="P469" t="s">
        <v>593</v>
      </c>
      <c r="Q469" t="s">
        <v>586</v>
      </c>
      <c r="R469">
        <v>110000</v>
      </c>
      <c r="S469" t="s">
        <v>635</v>
      </c>
      <c r="T469">
        <v>74</v>
      </c>
    </row>
    <row r="470" spans="1:20" x14ac:dyDescent="0.25">
      <c r="A470" t="s">
        <v>1515</v>
      </c>
      <c r="B470" t="s">
        <v>208</v>
      </c>
      <c r="C470" t="s">
        <v>586</v>
      </c>
      <c r="D470" t="s">
        <v>863</v>
      </c>
      <c r="E470" t="s">
        <v>1516</v>
      </c>
      <c r="F470">
        <v>0.56611894668859308</v>
      </c>
      <c r="G470">
        <v>80.025694886833378</v>
      </c>
      <c r="H470" t="s">
        <v>1517</v>
      </c>
      <c r="I470" t="s">
        <v>1518</v>
      </c>
      <c r="J470">
        <v>4</v>
      </c>
      <c r="K470" t="s">
        <v>744</v>
      </c>
      <c r="L470">
        <v>475000</v>
      </c>
      <c r="M470">
        <v>2.2600000000000002</v>
      </c>
      <c r="N470">
        <v>80.025694886833378</v>
      </c>
      <c r="O470" t="s">
        <v>592</v>
      </c>
      <c r="P470" t="s">
        <v>593</v>
      </c>
      <c r="Q470" t="s">
        <v>586</v>
      </c>
      <c r="R470">
        <v>20000</v>
      </c>
      <c r="S470" t="s">
        <v>712</v>
      </c>
      <c r="T470">
        <v>98</v>
      </c>
    </row>
    <row r="471" spans="1:20" x14ac:dyDescent="0.25">
      <c r="A471" t="s">
        <v>1519</v>
      </c>
      <c r="B471" t="s">
        <v>208</v>
      </c>
      <c r="C471" t="s">
        <v>586</v>
      </c>
      <c r="D471" t="s">
        <v>863</v>
      </c>
      <c r="E471" t="s">
        <v>1516</v>
      </c>
      <c r="F471">
        <v>3.2854194641971843</v>
      </c>
      <c r="G471">
        <v>89.078921473484527</v>
      </c>
      <c r="H471" t="s">
        <v>1517</v>
      </c>
      <c r="I471" t="s">
        <v>1518</v>
      </c>
      <c r="J471">
        <v>4</v>
      </c>
      <c r="K471" t="s">
        <v>1038</v>
      </c>
      <c r="L471">
        <v>535000</v>
      </c>
      <c r="M471">
        <v>2.82</v>
      </c>
      <c r="N471">
        <v>89.078921473484527</v>
      </c>
      <c r="O471" t="s">
        <v>592</v>
      </c>
      <c r="P471" t="s">
        <v>593</v>
      </c>
      <c r="Q471" t="s">
        <v>586</v>
      </c>
      <c r="R471" t="s">
        <v>712</v>
      </c>
      <c r="S471" t="s">
        <v>712</v>
      </c>
      <c r="T471">
        <v>64</v>
      </c>
    </row>
    <row r="472" spans="1:20" x14ac:dyDescent="0.25">
      <c r="A472" t="s">
        <v>1520</v>
      </c>
      <c r="B472" t="s">
        <v>209</v>
      </c>
      <c r="C472" t="s">
        <v>607</v>
      </c>
      <c r="D472" t="s">
        <v>608</v>
      </c>
      <c r="E472" t="s">
        <v>977</v>
      </c>
      <c r="F472">
        <v>1.9433021929421344</v>
      </c>
      <c r="G472">
        <v>45.928859787950941</v>
      </c>
      <c r="H472" t="s">
        <v>1030</v>
      </c>
      <c r="I472" t="s">
        <v>611</v>
      </c>
      <c r="J472">
        <v>2.25</v>
      </c>
      <c r="K472" t="s">
        <v>729</v>
      </c>
      <c r="L472">
        <v>145000</v>
      </c>
      <c r="M472">
        <v>2.5500000000000003</v>
      </c>
      <c r="N472">
        <v>45.928859787950941</v>
      </c>
      <c r="O472" t="s">
        <v>592</v>
      </c>
      <c r="P472" t="s">
        <v>613</v>
      </c>
      <c r="Q472" t="s">
        <v>586</v>
      </c>
      <c r="R472" t="s">
        <v>712</v>
      </c>
      <c r="S472" t="s">
        <v>712</v>
      </c>
      <c r="T472">
        <v>72</v>
      </c>
    </row>
    <row r="473" spans="1:20" x14ac:dyDescent="0.25">
      <c r="A473" t="s">
        <v>1521</v>
      </c>
      <c r="B473" t="s">
        <v>24</v>
      </c>
      <c r="C473" t="s">
        <v>586</v>
      </c>
      <c r="D473" t="s">
        <v>616</v>
      </c>
      <c r="E473" t="s">
        <v>617</v>
      </c>
      <c r="F473">
        <v>0.97779212651368719</v>
      </c>
      <c r="G473">
        <v>5.4019794444659652E-2</v>
      </c>
      <c r="H473" t="s">
        <v>618</v>
      </c>
      <c r="I473" t="s">
        <v>619</v>
      </c>
      <c r="J473">
        <v>5</v>
      </c>
      <c r="K473" t="s">
        <v>646</v>
      </c>
      <c r="L473">
        <v>3980000</v>
      </c>
      <c r="M473">
        <v>1.36</v>
      </c>
      <c r="N473">
        <v>5.4019794444659652E-2</v>
      </c>
      <c r="O473" t="s">
        <v>592</v>
      </c>
      <c r="P473" t="s">
        <v>621</v>
      </c>
      <c r="Q473" t="s">
        <v>586</v>
      </c>
      <c r="R473">
        <v>30000</v>
      </c>
      <c r="S473" t="s">
        <v>599</v>
      </c>
      <c r="T473">
        <v>85</v>
      </c>
    </row>
    <row r="474" spans="1:20" x14ac:dyDescent="0.25">
      <c r="A474" t="s">
        <v>1522</v>
      </c>
      <c r="B474" t="s">
        <v>210</v>
      </c>
      <c r="C474" t="s">
        <v>586</v>
      </c>
      <c r="D474" t="s">
        <v>1523</v>
      </c>
      <c r="E474" t="s">
        <v>1524</v>
      </c>
      <c r="F474">
        <v>0.97912637094897115</v>
      </c>
      <c r="G474">
        <v>9.6834220701643261</v>
      </c>
      <c r="H474" t="s">
        <v>1501</v>
      </c>
      <c r="I474" t="s">
        <v>812</v>
      </c>
      <c r="J474">
        <v>4</v>
      </c>
      <c r="K474" t="s">
        <v>646</v>
      </c>
      <c r="L474">
        <v>160000</v>
      </c>
      <c r="M474">
        <v>1.55</v>
      </c>
      <c r="N474">
        <v>9.6834220701643261</v>
      </c>
      <c r="O474" t="s">
        <v>592</v>
      </c>
      <c r="P474" t="s">
        <v>711</v>
      </c>
      <c r="Q474" t="s">
        <v>586</v>
      </c>
      <c r="R474" t="s">
        <v>712</v>
      </c>
      <c r="S474" t="s">
        <v>712</v>
      </c>
      <c r="T474">
        <v>81</v>
      </c>
    </row>
    <row r="475" spans="1:20" x14ac:dyDescent="0.25">
      <c r="A475" t="s">
        <v>1525</v>
      </c>
      <c r="B475" t="s">
        <v>73</v>
      </c>
      <c r="C475" t="s">
        <v>586</v>
      </c>
      <c r="D475" t="s">
        <v>875</v>
      </c>
      <c r="E475" t="s">
        <v>876</v>
      </c>
      <c r="F475">
        <v>0.82008154471544292</v>
      </c>
      <c r="G475">
        <v>40.449187102555143</v>
      </c>
      <c r="H475" t="s">
        <v>968</v>
      </c>
      <c r="I475" t="s">
        <v>650</v>
      </c>
      <c r="J475">
        <v>1.9</v>
      </c>
      <c r="K475" t="s">
        <v>984</v>
      </c>
      <c r="L475">
        <v>880000</v>
      </c>
      <c r="M475">
        <v>1.95</v>
      </c>
      <c r="N475">
        <v>40.449187102555143</v>
      </c>
      <c r="O475" t="s">
        <v>592</v>
      </c>
      <c r="P475" t="s">
        <v>593</v>
      </c>
      <c r="Q475" t="s">
        <v>586</v>
      </c>
      <c r="R475" t="s">
        <v>712</v>
      </c>
      <c r="S475" t="s">
        <v>878</v>
      </c>
      <c r="T475">
        <v>71</v>
      </c>
    </row>
    <row r="476" spans="1:20" x14ac:dyDescent="0.25">
      <c r="A476" t="s">
        <v>1526</v>
      </c>
      <c r="B476" t="s">
        <v>73</v>
      </c>
      <c r="C476" t="s">
        <v>586</v>
      </c>
      <c r="D476" t="s">
        <v>875</v>
      </c>
      <c r="E476" t="s">
        <v>876</v>
      </c>
      <c r="F476">
        <v>1.7852893797913734</v>
      </c>
      <c r="G476">
        <v>46.060820085660566</v>
      </c>
      <c r="H476" t="s">
        <v>968</v>
      </c>
      <c r="I476" t="s">
        <v>650</v>
      </c>
      <c r="J476">
        <v>2</v>
      </c>
      <c r="K476" t="s">
        <v>1114</v>
      </c>
      <c r="L476">
        <v>900000</v>
      </c>
      <c r="M476">
        <v>2.17</v>
      </c>
      <c r="N476">
        <v>46.060820085660566</v>
      </c>
      <c r="O476" t="s">
        <v>592</v>
      </c>
      <c r="P476" t="s">
        <v>593</v>
      </c>
      <c r="Q476" t="s">
        <v>586</v>
      </c>
      <c r="R476" t="s">
        <v>712</v>
      </c>
      <c r="S476" t="s">
        <v>878</v>
      </c>
      <c r="T476">
        <v>55</v>
      </c>
    </row>
    <row r="477" spans="1:20" x14ac:dyDescent="0.25">
      <c r="A477" t="s">
        <v>1527</v>
      </c>
      <c r="B477" t="s">
        <v>73</v>
      </c>
      <c r="C477" t="s">
        <v>586</v>
      </c>
      <c r="D477" t="s">
        <v>875</v>
      </c>
      <c r="E477" t="s">
        <v>876</v>
      </c>
      <c r="F477">
        <v>2.6370003209053281</v>
      </c>
      <c r="G477">
        <v>52.855513958723542</v>
      </c>
      <c r="H477" t="s">
        <v>968</v>
      </c>
      <c r="I477" t="s">
        <v>650</v>
      </c>
      <c r="J477">
        <v>5</v>
      </c>
      <c r="K477" t="s">
        <v>669</v>
      </c>
      <c r="L477">
        <v>910000</v>
      </c>
      <c r="M477">
        <v>2.4000000000000004</v>
      </c>
      <c r="N477">
        <v>52.855513958723542</v>
      </c>
      <c r="O477" t="s">
        <v>592</v>
      </c>
      <c r="P477" t="s">
        <v>593</v>
      </c>
      <c r="Q477" t="s">
        <v>586</v>
      </c>
      <c r="R477">
        <v>300000</v>
      </c>
      <c r="S477" t="s">
        <v>878</v>
      </c>
      <c r="T477">
        <v>68</v>
      </c>
    </row>
    <row r="478" spans="1:20" x14ac:dyDescent="0.25">
      <c r="A478" t="s">
        <v>1528</v>
      </c>
      <c r="B478" t="s">
        <v>73</v>
      </c>
      <c r="C478" t="s">
        <v>586</v>
      </c>
      <c r="D478" t="s">
        <v>875</v>
      </c>
      <c r="E478" t="s">
        <v>876</v>
      </c>
      <c r="F478">
        <v>3.4904413813794997</v>
      </c>
      <c r="G478">
        <v>54.319856902479735</v>
      </c>
      <c r="H478" t="s">
        <v>968</v>
      </c>
      <c r="I478" t="s">
        <v>650</v>
      </c>
      <c r="J478">
        <v>5</v>
      </c>
      <c r="K478" t="s">
        <v>1163</v>
      </c>
      <c r="L478">
        <v>955000</v>
      </c>
      <c r="M478">
        <v>2.56</v>
      </c>
      <c r="N478">
        <v>54.319856902479735</v>
      </c>
      <c r="O478" t="s">
        <v>592</v>
      </c>
      <c r="P478" t="s">
        <v>593</v>
      </c>
      <c r="Q478" t="s">
        <v>586</v>
      </c>
      <c r="R478">
        <v>300000</v>
      </c>
      <c r="S478" t="s">
        <v>878</v>
      </c>
      <c r="T478">
        <v>61</v>
      </c>
    </row>
    <row r="479" spans="1:20" x14ac:dyDescent="0.25">
      <c r="A479" t="s">
        <v>1529</v>
      </c>
      <c r="B479" t="s">
        <v>73</v>
      </c>
      <c r="C479" t="s">
        <v>586</v>
      </c>
      <c r="D479" t="s">
        <v>875</v>
      </c>
      <c r="E479" t="s">
        <v>876</v>
      </c>
      <c r="F479">
        <v>4.3087467201484255</v>
      </c>
      <c r="G479">
        <v>53.445713417328953</v>
      </c>
      <c r="H479" t="s">
        <v>968</v>
      </c>
      <c r="I479" t="s">
        <v>650</v>
      </c>
      <c r="J479">
        <v>5</v>
      </c>
      <c r="K479" t="s">
        <v>722</v>
      </c>
      <c r="L479">
        <v>1005000</v>
      </c>
      <c r="M479">
        <v>2.67</v>
      </c>
      <c r="N479">
        <v>53.445713417328953</v>
      </c>
      <c r="O479" t="s">
        <v>592</v>
      </c>
      <c r="P479" t="s">
        <v>593</v>
      </c>
      <c r="Q479" t="s">
        <v>586</v>
      </c>
      <c r="R479" t="s">
        <v>712</v>
      </c>
      <c r="S479" t="s">
        <v>878</v>
      </c>
      <c r="T479">
        <v>52</v>
      </c>
    </row>
    <row r="480" spans="1:20" x14ac:dyDescent="0.25">
      <c r="A480" t="s">
        <v>1530</v>
      </c>
      <c r="B480" t="s">
        <v>73</v>
      </c>
      <c r="C480" t="s">
        <v>586</v>
      </c>
      <c r="D480" t="s">
        <v>875</v>
      </c>
      <c r="E480" t="s">
        <v>876</v>
      </c>
      <c r="F480">
        <v>0.81705357994749761</v>
      </c>
      <c r="G480">
        <v>45.599138249516443</v>
      </c>
      <c r="H480" t="s">
        <v>668</v>
      </c>
      <c r="I480" t="s">
        <v>877</v>
      </c>
      <c r="J480">
        <v>3</v>
      </c>
      <c r="K480" t="s">
        <v>984</v>
      </c>
      <c r="L480">
        <v>190000</v>
      </c>
      <c r="M480">
        <v>1.73</v>
      </c>
      <c r="N480">
        <v>45.599138249516443</v>
      </c>
      <c r="O480" t="s">
        <v>592</v>
      </c>
      <c r="P480" t="s">
        <v>593</v>
      </c>
      <c r="Q480" t="s">
        <v>586</v>
      </c>
      <c r="R480" t="s">
        <v>712</v>
      </c>
      <c r="S480" t="s">
        <v>878</v>
      </c>
      <c r="T480">
        <v>68</v>
      </c>
    </row>
    <row r="481" spans="1:20" x14ac:dyDescent="0.25">
      <c r="A481" t="s">
        <v>1531</v>
      </c>
      <c r="B481" t="s">
        <v>73</v>
      </c>
      <c r="C481" t="s">
        <v>586</v>
      </c>
      <c r="D481" t="s">
        <v>875</v>
      </c>
      <c r="E481" t="s">
        <v>876</v>
      </c>
      <c r="F481">
        <v>1.7706053780783222</v>
      </c>
      <c r="G481">
        <v>49.463698606386352</v>
      </c>
      <c r="H481" t="s">
        <v>668</v>
      </c>
      <c r="I481" t="s">
        <v>877</v>
      </c>
      <c r="J481">
        <v>3</v>
      </c>
      <c r="K481" t="s">
        <v>1114</v>
      </c>
      <c r="L481">
        <v>190000</v>
      </c>
      <c r="M481">
        <v>1.92</v>
      </c>
      <c r="N481">
        <v>49.463698606386352</v>
      </c>
      <c r="O481" t="s">
        <v>592</v>
      </c>
      <c r="P481" t="s">
        <v>593</v>
      </c>
      <c r="Q481" t="s">
        <v>586</v>
      </c>
      <c r="R481" t="s">
        <v>712</v>
      </c>
      <c r="S481" t="s">
        <v>878</v>
      </c>
      <c r="T481">
        <v>46</v>
      </c>
    </row>
    <row r="482" spans="1:20" x14ac:dyDescent="0.25">
      <c r="A482" t="s">
        <v>1532</v>
      </c>
      <c r="B482" t="s">
        <v>73</v>
      </c>
      <c r="C482" t="s">
        <v>586</v>
      </c>
      <c r="D482" t="s">
        <v>875</v>
      </c>
      <c r="E482" t="s">
        <v>876</v>
      </c>
      <c r="F482">
        <v>2.6965216905455849</v>
      </c>
      <c r="G482">
        <v>51.202149838455632</v>
      </c>
      <c r="H482" t="s">
        <v>668</v>
      </c>
      <c r="I482" t="s">
        <v>877</v>
      </c>
      <c r="J482">
        <v>3</v>
      </c>
      <c r="K482" t="s">
        <v>669</v>
      </c>
      <c r="L482">
        <v>200000</v>
      </c>
      <c r="M482">
        <v>2.09</v>
      </c>
      <c r="N482">
        <v>51.202149838455632</v>
      </c>
      <c r="O482" t="s">
        <v>592</v>
      </c>
      <c r="P482" t="s">
        <v>593</v>
      </c>
      <c r="Q482" t="s">
        <v>586</v>
      </c>
      <c r="R482" t="s">
        <v>712</v>
      </c>
      <c r="S482" t="s">
        <v>878</v>
      </c>
      <c r="T482">
        <v>33</v>
      </c>
    </row>
    <row r="483" spans="1:20" x14ac:dyDescent="0.25">
      <c r="A483" t="s">
        <v>1533</v>
      </c>
      <c r="B483" t="s">
        <v>73</v>
      </c>
      <c r="C483" t="s">
        <v>586</v>
      </c>
      <c r="D483" t="s">
        <v>875</v>
      </c>
      <c r="E483" t="s">
        <v>876</v>
      </c>
      <c r="F483">
        <v>3.5398458553850567</v>
      </c>
      <c r="G483">
        <v>50.11176756114488</v>
      </c>
      <c r="H483" t="s">
        <v>668</v>
      </c>
      <c r="I483" t="s">
        <v>877</v>
      </c>
      <c r="J483">
        <v>4</v>
      </c>
      <c r="K483" t="s">
        <v>1163</v>
      </c>
      <c r="L483">
        <v>210000</v>
      </c>
      <c r="M483">
        <v>2.2200000000000002</v>
      </c>
      <c r="N483">
        <v>50.11176756114488</v>
      </c>
      <c r="O483" t="s">
        <v>592</v>
      </c>
      <c r="P483" t="s">
        <v>593</v>
      </c>
      <c r="Q483" t="s">
        <v>586</v>
      </c>
      <c r="R483" t="s">
        <v>712</v>
      </c>
      <c r="S483" t="s">
        <v>878</v>
      </c>
      <c r="T483">
        <v>31</v>
      </c>
    </row>
    <row r="484" spans="1:20" x14ac:dyDescent="0.25">
      <c r="A484" t="s">
        <v>1534</v>
      </c>
      <c r="B484" t="s">
        <v>143</v>
      </c>
      <c r="C484" t="s">
        <v>586</v>
      </c>
      <c r="D484" t="s">
        <v>741</v>
      </c>
      <c r="E484" t="s">
        <v>1052</v>
      </c>
      <c r="F484">
        <v>0.56986786861691274</v>
      </c>
      <c r="G484">
        <v>21.00003850238361</v>
      </c>
      <c r="H484" t="s">
        <v>1092</v>
      </c>
      <c r="I484" t="s">
        <v>721</v>
      </c>
      <c r="J484">
        <v>3</v>
      </c>
      <c r="K484" t="s">
        <v>744</v>
      </c>
      <c r="L484">
        <v>100000</v>
      </c>
      <c r="M484">
        <v>1.7000000000000002</v>
      </c>
      <c r="N484">
        <v>21.00003850238361</v>
      </c>
      <c r="O484" t="s">
        <v>592</v>
      </c>
      <c r="P484" t="s">
        <v>745</v>
      </c>
      <c r="Q484" t="s">
        <v>586</v>
      </c>
      <c r="R484" t="s">
        <v>712</v>
      </c>
      <c r="S484" t="s">
        <v>712</v>
      </c>
      <c r="T484">
        <v>88</v>
      </c>
    </row>
    <row r="485" spans="1:20" x14ac:dyDescent="0.25">
      <c r="A485" t="s">
        <v>1535</v>
      </c>
      <c r="B485" t="s">
        <v>143</v>
      </c>
      <c r="C485" t="s">
        <v>586</v>
      </c>
      <c r="D485" t="s">
        <v>741</v>
      </c>
      <c r="E485" t="s">
        <v>1052</v>
      </c>
      <c r="F485">
        <v>1.5243039398470859</v>
      </c>
      <c r="G485">
        <v>24.585989157542222</v>
      </c>
      <c r="H485" t="s">
        <v>1092</v>
      </c>
      <c r="I485" t="s">
        <v>721</v>
      </c>
      <c r="J485">
        <v>3</v>
      </c>
      <c r="K485" t="s">
        <v>634</v>
      </c>
      <c r="L485">
        <v>100000</v>
      </c>
      <c r="M485">
        <v>1.9000000000000001</v>
      </c>
      <c r="N485">
        <v>24.585989157542222</v>
      </c>
      <c r="O485" t="s">
        <v>592</v>
      </c>
      <c r="P485" t="s">
        <v>745</v>
      </c>
      <c r="Q485" t="s">
        <v>586</v>
      </c>
      <c r="R485">
        <v>100000</v>
      </c>
      <c r="S485" t="s">
        <v>712</v>
      </c>
      <c r="T485">
        <v>86</v>
      </c>
    </row>
    <row r="486" spans="1:20" x14ac:dyDescent="0.25">
      <c r="A486" t="s">
        <v>1536</v>
      </c>
      <c r="B486" t="s">
        <v>143</v>
      </c>
      <c r="C486" t="s">
        <v>586</v>
      </c>
      <c r="D486" t="s">
        <v>741</v>
      </c>
      <c r="E486" t="s">
        <v>1052</v>
      </c>
      <c r="F486">
        <v>2.4511319338537629</v>
      </c>
      <c r="G486">
        <v>23.242328927314993</v>
      </c>
      <c r="H486" t="s">
        <v>1092</v>
      </c>
      <c r="I486" t="s">
        <v>721</v>
      </c>
      <c r="J486">
        <v>3</v>
      </c>
      <c r="K486" t="s">
        <v>959</v>
      </c>
      <c r="L486">
        <v>100000</v>
      </c>
      <c r="M486">
        <v>2.0499999999999998</v>
      </c>
      <c r="N486">
        <v>23.242328927314993</v>
      </c>
      <c r="O486" t="s">
        <v>592</v>
      </c>
      <c r="P486" t="s">
        <v>745</v>
      </c>
      <c r="Q486" t="s">
        <v>586</v>
      </c>
      <c r="R486" t="s">
        <v>712</v>
      </c>
      <c r="S486" t="s">
        <v>712</v>
      </c>
      <c r="T486">
        <v>79</v>
      </c>
    </row>
    <row r="487" spans="1:20" x14ac:dyDescent="0.25">
      <c r="A487" t="s">
        <v>1537</v>
      </c>
      <c r="B487" t="s">
        <v>143</v>
      </c>
      <c r="C487" t="s">
        <v>586</v>
      </c>
      <c r="D487" t="s">
        <v>741</v>
      </c>
      <c r="E487" t="s">
        <v>1052</v>
      </c>
      <c r="F487">
        <v>3.3515763573589377</v>
      </c>
      <c r="G487">
        <v>23.204020283444837</v>
      </c>
      <c r="H487" t="s">
        <v>1092</v>
      </c>
      <c r="I487" t="s">
        <v>721</v>
      </c>
      <c r="J487">
        <v>3</v>
      </c>
      <c r="K487" t="s">
        <v>1038</v>
      </c>
      <c r="L487">
        <v>95000</v>
      </c>
      <c r="M487">
        <v>2.2000000000000002</v>
      </c>
      <c r="N487">
        <v>23.204020283444837</v>
      </c>
      <c r="O487" t="s">
        <v>592</v>
      </c>
      <c r="P487" t="s">
        <v>745</v>
      </c>
      <c r="Q487" t="s">
        <v>586</v>
      </c>
      <c r="R487" t="s">
        <v>712</v>
      </c>
      <c r="S487" t="s">
        <v>712</v>
      </c>
      <c r="T487">
        <v>73</v>
      </c>
    </row>
    <row r="488" spans="1:20" x14ac:dyDescent="0.25">
      <c r="A488" t="s">
        <v>1538</v>
      </c>
      <c r="B488" t="s">
        <v>210</v>
      </c>
      <c r="C488" t="s">
        <v>586</v>
      </c>
      <c r="D488" t="s">
        <v>1523</v>
      </c>
      <c r="E488" t="s">
        <v>1524</v>
      </c>
      <c r="F488">
        <v>5.5543451948938168E-3</v>
      </c>
      <c r="G488">
        <v>9.0016130102317007</v>
      </c>
      <c r="H488" t="s">
        <v>1501</v>
      </c>
      <c r="I488" t="s">
        <v>812</v>
      </c>
      <c r="J488">
        <v>4</v>
      </c>
      <c r="K488" t="s">
        <v>995</v>
      </c>
      <c r="L488">
        <v>155000</v>
      </c>
      <c r="M488">
        <v>1.4000000000000001</v>
      </c>
      <c r="N488">
        <v>9.0016130102317007</v>
      </c>
      <c r="O488" t="s">
        <v>592</v>
      </c>
      <c r="P488" t="s">
        <v>711</v>
      </c>
      <c r="Q488" t="s">
        <v>586</v>
      </c>
      <c r="R488" t="s">
        <v>712</v>
      </c>
      <c r="S488" t="s">
        <v>712</v>
      </c>
      <c r="T488">
        <v>99</v>
      </c>
    </row>
    <row r="489" spans="1:20" x14ac:dyDescent="0.25">
      <c r="A489" t="s">
        <v>1539</v>
      </c>
      <c r="B489" t="s">
        <v>195</v>
      </c>
      <c r="C489" t="s">
        <v>586</v>
      </c>
      <c r="D489" t="s">
        <v>731</v>
      </c>
      <c r="E489" t="s">
        <v>1460</v>
      </c>
      <c r="F489">
        <v>4.4382707091930369</v>
      </c>
      <c r="G489">
        <v>-0.21287930882349926</v>
      </c>
      <c r="H489" t="s">
        <v>856</v>
      </c>
      <c r="I489" t="s">
        <v>661</v>
      </c>
      <c r="J489">
        <v>5</v>
      </c>
      <c r="K489" t="s">
        <v>1540</v>
      </c>
      <c r="L489">
        <v>1455000</v>
      </c>
      <c r="M489">
        <v>2.1</v>
      </c>
      <c r="N489">
        <v>-0.21287930882349926</v>
      </c>
      <c r="O489" t="s">
        <v>592</v>
      </c>
      <c r="P489" t="s">
        <v>593</v>
      </c>
      <c r="Q489" t="s">
        <v>586</v>
      </c>
      <c r="R489">
        <v>20000</v>
      </c>
      <c r="S489" t="s">
        <v>652</v>
      </c>
      <c r="T489">
        <v>63</v>
      </c>
    </row>
    <row r="490" spans="1:20" x14ac:dyDescent="0.25">
      <c r="A490" t="s">
        <v>1541</v>
      </c>
      <c r="B490" t="s">
        <v>211</v>
      </c>
      <c r="C490" t="s">
        <v>586</v>
      </c>
      <c r="D490" t="s">
        <v>809</v>
      </c>
      <c r="E490" t="s">
        <v>1436</v>
      </c>
      <c r="F490">
        <v>0.90108422300497815</v>
      </c>
      <c r="G490">
        <v>5.1856746606288251</v>
      </c>
      <c r="H490" t="s">
        <v>892</v>
      </c>
      <c r="I490" t="s">
        <v>1542</v>
      </c>
      <c r="J490">
        <v>2.5</v>
      </c>
      <c r="K490" t="s">
        <v>640</v>
      </c>
      <c r="L490">
        <v>350000</v>
      </c>
      <c r="M490">
        <v>2</v>
      </c>
      <c r="N490">
        <v>5.1856746606288251</v>
      </c>
      <c r="O490" t="s">
        <v>592</v>
      </c>
      <c r="P490" t="s">
        <v>711</v>
      </c>
      <c r="Q490" t="s">
        <v>586</v>
      </c>
      <c r="R490" t="s">
        <v>712</v>
      </c>
      <c r="S490" t="s">
        <v>712</v>
      </c>
      <c r="T490">
        <v>88</v>
      </c>
    </row>
    <row r="491" spans="1:20" x14ac:dyDescent="0.25">
      <c r="A491" t="s">
        <v>1543</v>
      </c>
      <c r="B491" t="s">
        <v>77</v>
      </c>
      <c r="C491" t="s">
        <v>586</v>
      </c>
      <c r="D491" t="s">
        <v>894</v>
      </c>
      <c r="E491" t="s">
        <v>895</v>
      </c>
      <c r="F491">
        <v>3.6101508883078601E-2</v>
      </c>
      <c r="G491">
        <v>-3.5366585428006969</v>
      </c>
      <c r="H491" t="s">
        <v>896</v>
      </c>
      <c r="I491" t="s">
        <v>897</v>
      </c>
      <c r="J491">
        <v>5</v>
      </c>
      <c r="K491" t="s">
        <v>1008</v>
      </c>
      <c r="L491">
        <v>3580000</v>
      </c>
      <c r="M491">
        <v>1.1000000000000001</v>
      </c>
      <c r="N491">
        <v>-3.5366585428006969</v>
      </c>
      <c r="O491" t="s">
        <v>592</v>
      </c>
      <c r="P491" t="s">
        <v>593</v>
      </c>
      <c r="Q491" t="s">
        <v>586</v>
      </c>
      <c r="R491">
        <v>70000</v>
      </c>
      <c r="S491" t="s">
        <v>652</v>
      </c>
      <c r="T491">
        <v>98</v>
      </c>
    </row>
    <row r="492" spans="1:20" x14ac:dyDescent="0.25">
      <c r="A492" t="s">
        <v>1544</v>
      </c>
      <c r="B492" t="s">
        <v>77</v>
      </c>
      <c r="C492" t="s">
        <v>586</v>
      </c>
      <c r="D492" t="s">
        <v>894</v>
      </c>
      <c r="E492" t="s">
        <v>895</v>
      </c>
      <c r="F492">
        <v>0.99428458196169112</v>
      </c>
      <c r="G492">
        <v>-3.2818677140887376</v>
      </c>
      <c r="H492" t="s">
        <v>896</v>
      </c>
      <c r="I492" t="s">
        <v>897</v>
      </c>
      <c r="J492">
        <v>5</v>
      </c>
      <c r="K492" t="s">
        <v>920</v>
      </c>
      <c r="L492">
        <v>4225000</v>
      </c>
      <c r="M492">
        <v>1.25</v>
      </c>
      <c r="N492">
        <v>-3.2818677140887376</v>
      </c>
      <c r="O492" t="s">
        <v>592</v>
      </c>
      <c r="P492" t="s">
        <v>593</v>
      </c>
      <c r="Q492" t="s">
        <v>586</v>
      </c>
      <c r="R492" t="s">
        <v>712</v>
      </c>
      <c r="S492" t="s">
        <v>652</v>
      </c>
      <c r="T492">
        <v>97</v>
      </c>
    </row>
    <row r="493" spans="1:20" x14ac:dyDescent="0.25">
      <c r="A493" t="s">
        <v>1545</v>
      </c>
      <c r="B493" t="s">
        <v>77</v>
      </c>
      <c r="C493" t="s">
        <v>586</v>
      </c>
      <c r="D493" t="s">
        <v>894</v>
      </c>
      <c r="E493" t="s">
        <v>895</v>
      </c>
      <c r="F493">
        <v>1.9078399207747607</v>
      </c>
      <c r="G493">
        <v>-1.3773470564188761</v>
      </c>
      <c r="H493" t="s">
        <v>896</v>
      </c>
      <c r="I493" t="s">
        <v>897</v>
      </c>
      <c r="J493">
        <v>5</v>
      </c>
      <c r="K493" t="s">
        <v>898</v>
      </c>
      <c r="L493">
        <v>2240000</v>
      </c>
      <c r="M493">
        <v>1.42</v>
      </c>
      <c r="N493">
        <v>-1.3773470564188761</v>
      </c>
      <c r="O493" t="s">
        <v>592</v>
      </c>
      <c r="P493" t="s">
        <v>593</v>
      </c>
      <c r="Q493" t="s">
        <v>586</v>
      </c>
      <c r="R493" t="s">
        <v>712</v>
      </c>
      <c r="S493" t="s">
        <v>652</v>
      </c>
      <c r="T493">
        <v>89</v>
      </c>
    </row>
    <row r="494" spans="1:20" x14ac:dyDescent="0.25">
      <c r="A494" t="s">
        <v>1546</v>
      </c>
      <c r="B494" t="s">
        <v>77</v>
      </c>
      <c r="C494" t="s">
        <v>586</v>
      </c>
      <c r="D494" t="s">
        <v>894</v>
      </c>
      <c r="E494" t="s">
        <v>895</v>
      </c>
      <c r="F494">
        <v>4.4272787851054334</v>
      </c>
      <c r="G494">
        <v>3.7657099038794772</v>
      </c>
      <c r="H494" t="s">
        <v>896</v>
      </c>
      <c r="I494" t="s">
        <v>897</v>
      </c>
      <c r="J494">
        <v>5</v>
      </c>
      <c r="K494" t="s">
        <v>1176</v>
      </c>
      <c r="L494">
        <v>3805000</v>
      </c>
      <c r="M494">
        <v>1.87</v>
      </c>
      <c r="N494">
        <v>3.7657099038794772</v>
      </c>
      <c r="O494" t="s">
        <v>592</v>
      </c>
      <c r="P494" t="s">
        <v>593</v>
      </c>
      <c r="Q494" t="s">
        <v>586</v>
      </c>
      <c r="R494">
        <v>800000</v>
      </c>
      <c r="S494" t="s">
        <v>652</v>
      </c>
      <c r="T494">
        <v>69</v>
      </c>
    </row>
    <row r="495" spans="1:20" x14ac:dyDescent="0.25">
      <c r="A495" t="s">
        <v>1547</v>
      </c>
      <c r="B495" t="s">
        <v>77</v>
      </c>
      <c r="C495" t="s">
        <v>586</v>
      </c>
      <c r="D495" t="s">
        <v>894</v>
      </c>
      <c r="E495" t="s">
        <v>895</v>
      </c>
      <c r="F495">
        <v>1.0076874964580287</v>
      </c>
      <c r="G495">
        <v>2.8106427596405581</v>
      </c>
      <c r="H495" t="s">
        <v>896</v>
      </c>
      <c r="I495" t="s">
        <v>897</v>
      </c>
      <c r="J495">
        <v>3</v>
      </c>
      <c r="K495" t="s">
        <v>920</v>
      </c>
      <c r="L495">
        <v>1080000</v>
      </c>
      <c r="M495">
        <v>1.33</v>
      </c>
      <c r="N495">
        <v>2.8106427596405581</v>
      </c>
      <c r="O495" t="s">
        <v>592</v>
      </c>
      <c r="P495" t="s">
        <v>593</v>
      </c>
      <c r="Q495" t="s">
        <v>586</v>
      </c>
      <c r="R495">
        <v>60000</v>
      </c>
      <c r="S495" t="s">
        <v>652</v>
      </c>
      <c r="T495">
        <v>92</v>
      </c>
    </row>
    <row r="496" spans="1:20" x14ac:dyDescent="0.25">
      <c r="A496" t="s">
        <v>1548</v>
      </c>
      <c r="B496" t="s">
        <v>77</v>
      </c>
      <c r="C496" t="s">
        <v>586</v>
      </c>
      <c r="D496" t="s">
        <v>894</v>
      </c>
      <c r="E496" t="s">
        <v>895</v>
      </c>
      <c r="F496">
        <v>3.7551092319644304</v>
      </c>
      <c r="G496">
        <v>6.8856189282301417</v>
      </c>
      <c r="H496" t="s">
        <v>896</v>
      </c>
      <c r="I496" t="s">
        <v>897</v>
      </c>
      <c r="J496">
        <v>3</v>
      </c>
      <c r="K496" t="s">
        <v>1046</v>
      </c>
      <c r="L496">
        <v>390000</v>
      </c>
      <c r="M496">
        <v>1.81</v>
      </c>
      <c r="N496">
        <v>6.8856189282301417</v>
      </c>
      <c r="O496" t="s">
        <v>592</v>
      </c>
      <c r="P496" t="s">
        <v>593</v>
      </c>
      <c r="Q496" t="s">
        <v>586</v>
      </c>
      <c r="R496" t="s">
        <v>712</v>
      </c>
      <c r="S496" t="s">
        <v>652</v>
      </c>
      <c r="T496">
        <v>64</v>
      </c>
    </row>
    <row r="497" spans="1:20" x14ac:dyDescent="0.25">
      <c r="A497" t="s">
        <v>1549</v>
      </c>
      <c r="B497" t="s">
        <v>212</v>
      </c>
      <c r="C497" t="s">
        <v>586</v>
      </c>
      <c r="D497" t="s">
        <v>741</v>
      </c>
      <c r="E497" t="s">
        <v>1052</v>
      </c>
      <c r="F497">
        <v>1.7853656609891584</v>
      </c>
      <c r="G497">
        <v>19.71193963212643</v>
      </c>
      <c r="H497" t="s">
        <v>633</v>
      </c>
      <c r="I497" t="s">
        <v>1053</v>
      </c>
      <c r="J497">
        <v>2</v>
      </c>
      <c r="K497" t="s">
        <v>1114</v>
      </c>
      <c r="L497">
        <v>345000</v>
      </c>
      <c r="M497">
        <v>1.7000000000000002</v>
      </c>
      <c r="N497">
        <v>19.71193963212643</v>
      </c>
      <c r="O497" t="s">
        <v>592</v>
      </c>
      <c r="P497" t="s">
        <v>745</v>
      </c>
      <c r="Q497" t="s">
        <v>586</v>
      </c>
      <c r="R497" t="s">
        <v>712</v>
      </c>
      <c r="S497" t="s">
        <v>712</v>
      </c>
      <c r="T497">
        <v>72</v>
      </c>
    </row>
    <row r="498" spans="1:20" x14ac:dyDescent="0.25">
      <c r="A498" t="s">
        <v>1550</v>
      </c>
      <c r="B498" t="s">
        <v>213</v>
      </c>
      <c r="C498" t="s">
        <v>586</v>
      </c>
      <c r="D498" t="s">
        <v>714</v>
      </c>
      <c r="E498" t="s">
        <v>1551</v>
      </c>
      <c r="F498">
        <v>5.866706365718902</v>
      </c>
      <c r="G498">
        <v>330.93155342465752</v>
      </c>
      <c r="H498" t="s">
        <v>1552</v>
      </c>
      <c r="I498" t="s">
        <v>1553</v>
      </c>
      <c r="J498">
        <v>5.35</v>
      </c>
      <c r="K498" t="s">
        <v>1554</v>
      </c>
      <c r="L498">
        <v>3980000</v>
      </c>
      <c r="M498">
        <v>5.4649999999999999</v>
      </c>
      <c r="N498">
        <v>330.93155342465752</v>
      </c>
      <c r="O498" t="s">
        <v>592</v>
      </c>
      <c r="P498" t="s">
        <v>593</v>
      </c>
      <c r="Q498" t="s">
        <v>586</v>
      </c>
      <c r="R498" t="s">
        <v>712</v>
      </c>
      <c r="S498" t="s">
        <v>712</v>
      </c>
      <c r="T498">
        <v>15</v>
      </c>
    </row>
    <row r="499" spans="1:20" x14ac:dyDescent="0.25">
      <c r="A499" t="s">
        <v>1555</v>
      </c>
      <c r="B499" t="s">
        <v>214</v>
      </c>
      <c r="C499" t="s">
        <v>607</v>
      </c>
      <c r="D499" t="s">
        <v>608</v>
      </c>
      <c r="E499" t="s">
        <v>1556</v>
      </c>
      <c r="F499">
        <v>3.6093417259187875E-2</v>
      </c>
      <c r="G499">
        <v>21.877455550359915</v>
      </c>
      <c r="H499" t="s">
        <v>1557</v>
      </c>
      <c r="I499" t="s">
        <v>721</v>
      </c>
      <c r="J499">
        <v>3</v>
      </c>
      <c r="K499" t="s">
        <v>1008</v>
      </c>
      <c r="L499">
        <v>105000</v>
      </c>
      <c r="M499">
        <v>1.85</v>
      </c>
      <c r="N499">
        <v>21.877455550359915</v>
      </c>
      <c r="O499" t="s">
        <v>592</v>
      </c>
      <c r="P499" t="s">
        <v>613</v>
      </c>
      <c r="Q499" t="s">
        <v>586</v>
      </c>
      <c r="R499" t="s">
        <v>712</v>
      </c>
      <c r="S499" t="s">
        <v>878</v>
      </c>
      <c r="T499">
        <v>87</v>
      </c>
    </row>
    <row r="500" spans="1:20" x14ac:dyDescent="0.25">
      <c r="A500" t="s">
        <v>1558</v>
      </c>
      <c r="B500" t="s">
        <v>214</v>
      </c>
      <c r="C500" t="s">
        <v>607</v>
      </c>
      <c r="D500" t="s">
        <v>608</v>
      </c>
      <c r="E500" t="s">
        <v>1556</v>
      </c>
      <c r="F500">
        <v>1.0044731724247968</v>
      </c>
      <c r="G500">
        <v>21.696794715934509</v>
      </c>
      <c r="H500" t="s">
        <v>1557</v>
      </c>
      <c r="I500" t="s">
        <v>721</v>
      </c>
      <c r="J500">
        <v>3</v>
      </c>
      <c r="K500" t="s">
        <v>920</v>
      </c>
      <c r="L500">
        <v>110000</v>
      </c>
      <c r="M500">
        <v>2</v>
      </c>
      <c r="N500">
        <v>21.696794715934509</v>
      </c>
      <c r="O500" t="s">
        <v>592</v>
      </c>
      <c r="P500" t="s">
        <v>613</v>
      </c>
      <c r="Q500" t="s">
        <v>586</v>
      </c>
      <c r="R500" t="s">
        <v>712</v>
      </c>
      <c r="S500" t="s">
        <v>878</v>
      </c>
      <c r="T500">
        <v>82</v>
      </c>
    </row>
    <row r="501" spans="1:20" x14ac:dyDescent="0.25">
      <c r="A501" t="s">
        <v>1559</v>
      </c>
      <c r="B501" t="s">
        <v>214</v>
      </c>
      <c r="C501" t="s">
        <v>607</v>
      </c>
      <c r="D501" t="s">
        <v>608</v>
      </c>
      <c r="E501" t="s">
        <v>1556</v>
      </c>
      <c r="F501">
        <v>1.9428911098279402</v>
      </c>
      <c r="G501">
        <v>16.732280183507029</v>
      </c>
      <c r="H501" t="s">
        <v>1557</v>
      </c>
      <c r="I501" t="s">
        <v>721</v>
      </c>
      <c r="J501">
        <v>3</v>
      </c>
      <c r="K501" t="s">
        <v>898</v>
      </c>
      <c r="L501">
        <v>110000</v>
      </c>
      <c r="M501">
        <v>2.1</v>
      </c>
      <c r="N501">
        <v>16.732280183507029</v>
      </c>
      <c r="O501" t="s">
        <v>592</v>
      </c>
      <c r="P501" t="s">
        <v>613</v>
      </c>
      <c r="Q501" t="s">
        <v>586</v>
      </c>
      <c r="R501" t="s">
        <v>712</v>
      </c>
      <c r="S501" t="s">
        <v>878</v>
      </c>
      <c r="T501">
        <v>73</v>
      </c>
    </row>
    <row r="502" spans="1:20" x14ac:dyDescent="0.25">
      <c r="A502" t="s">
        <v>1560</v>
      </c>
      <c r="B502" t="s">
        <v>214</v>
      </c>
      <c r="C502" t="s">
        <v>607</v>
      </c>
      <c r="D502" t="s">
        <v>608</v>
      </c>
      <c r="E502" t="s">
        <v>1556</v>
      </c>
      <c r="F502">
        <v>2.8540777706807328</v>
      </c>
      <c r="G502">
        <v>12.730723044830494</v>
      </c>
      <c r="H502" t="s">
        <v>1557</v>
      </c>
      <c r="I502" t="s">
        <v>721</v>
      </c>
      <c r="J502">
        <v>3</v>
      </c>
      <c r="K502" t="s">
        <v>978</v>
      </c>
      <c r="L502">
        <v>115000</v>
      </c>
      <c r="M502">
        <v>2.2000000000000002</v>
      </c>
      <c r="N502">
        <v>12.730723044830494</v>
      </c>
      <c r="O502" t="s">
        <v>592</v>
      </c>
      <c r="P502" t="s">
        <v>613</v>
      </c>
      <c r="Q502" t="s">
        <v>586</v>
      </c>
      <c r="R502" t="s">
        <v>712</v>
      </c>
      <c r="S502" t="s">
        <v>878</v>
      </c>
      <c r="T502">
        <v>64</v>
      </c>
    </row>
    <row r="503" spans="1:20" x14ac:dyDescent="0.25">
      <c r="A503" t="s">
        <v>1561</v>
      </c>
      <c r="B503" t="s">
        <v>215</v>
      </c>
      <c r="C503" t="s">
        <v>586</v>
      </c>
      <c r="D503" t="s">
        <v>770</v>
      </c>
      <c r="E503" t="s">
        <v>1562</v>
      </c>
      <c r="F503">
        <v>2.3098187693090924</v>
      </c>
      <c r="G503">
        <v>46.834773907499908</v>
      </c>
      <c r="H503" t="s">
        <v>1563</v>
      </c>
      <c r="I503" t="s">
        <v>1564</v>
      </c>
      <c r="J503">
        <v>3.5</v>
      </c>
      <c r="K503" t="s">
        <v>747</v>
      </c>
      <c r="L503">
        <v>220000</v>
      </c>
      <c r="M503">
        <v>2.5</v>
      </c>
      <c r="N503">
        <v>46.834773907499908</v>
      </c>
      <c r="O503" t="s">
        <v>592</v>
      </c>
      <c r="P503" t="s">
        <v>613</v>
      </c>
      <c r="Q503" t="s">
        <v>586</v>
      </c>
      <c r="R503" t="s">
        <v>712</v>
      </c>
      <c r="S503" t="s">
        <v>712</v>
      </c>
      <c r="T503">
        <v>78</v>
      </c>
    </row>
    <row r="504" spans="1:20" x14ac:dyDescent="0.25">
      <c r="A504" t="s">
        <v>1565</v>
      </c>
      <c r="B504" t="s">
        <v>215</v>
      </c>
      <c r="C504" t="s">
        <v>586</v>
      </c>
      <c r="D504" t="s">
        <v>770</v>
      </c>
      <c r="E504" t="s">
        <v>1562</v>
      </c>
      <c r="F504">
        <v>3.2118193361880722</v>
      </c>
      <c r="G504">
        <v>37.101166648601193</v>
      </c>
      <c r="H504" t="s">
        <v>1563</v>
      </c>
      <c r="I504" t="s">
        <v>1564</v>
      </c>
      <c r="J504">
        <v>3.5</v>
      </c>
      <c r="K504" t="s">
        <v>815</v>
      </c>
      <c r="L504">
        <v>185000</v>
      </c>
      <c r="M504">
        <v>2.5500000000000003</v>
      </c>
      <c r="N504">
        <v>37.101166648601193</v>
      </c>
      <c r="O504" t="s">
        <v>592</v>
      </c>
      <c r="P504" t="s">
        <v>613</v>
      </c>
      <c r="Q504" t="s">
        <v>586</v>
      </c>
      <c r="R504" t="s">
        <v>712</v>
      </c>
      <c r="S504" t="s">
        <v>712</v>
      </c>
      <c r="T504">
        <v>70</v>
      </c>
    </row>
    <row r="505" spans="1:20" x14ac:dyDescent="0.25">
      <c r="A505" t="s">
        <v>1566</v>
      </c>
      <c r="B505" t="s">
        <v>196</v>
      </c>
      <c r="C505" t="s">
        <v>586</v>
      </c>
      <c r="D505" t="s">
        <v>601</v>
      </c>
      <c r="E505" t="s">
        <v>1469</v>
      </c>
      <c r="F505">
        <v>0.49507061469505703</v>
      </c>
      <c r="G505">
        <v>7.6716970467414658</v>
      </c>
      <c r="H505" t="s">
        <v>1279</v>
      </c>
      <c r="I505" t="s">
        <v>1470</v>
      </c>
      <c r="J505">
        <v>3</v>
      </c>
      <c r="K505" t="s">
        <v>807</v>
      </c>
      <c r="L505">
        <v>475000</v>
      </c>
      <c r="M505">
        <v>1.37</v>
      </c>
      <c r="N505">
        <v>7.6716970467414658</v>
      </c>
      <c r="O505" t="s">
        <v>592</v>
      </c>
      <c r="P505" t="s">
        <v>593</v>
      </c>
      <c r="Q505" t="s">
        <v>586</v>
      </c>
      <c r="R505" t="s">
        <v>712</v>
      </c>
      <c r="S505" t="s">
        <v>712</v>
      </c>
      <c r="T505">
        <v>93</v>
      </c>
    </row>
    <row r="506" spans="1:20" x14ac:dyDescent="0.25">
      <c r="A506" t="s">
        <v>1567</v>
      </c>
      <c r="B506" t="s">
        <v>196</v>
      </c>
      <c r="C506" t="s">
        <v>586</v>
      </c>
      <c r="D506" t="s">
        <v>601</v>
      </c>
      <c r="E506" t="s">
        <v>1469</v>
      </c>
      <c r="F506">
        <v>1.46489356270241</v>
      </c>
      <c r="G506">
        <v>13.400114885172254</v>
      </c>
      <c r="H506" t="s">
        <v>1279</v>
      </c>
      <c r="I506" t="s">
        <v>1470</v>
      </c>
      <c r="J506">
        <v>3</v>
      </c>
      <c r="K506" t="s">
        <v>780</v>
      </c>
      <c r="L506">
        <v>480000</v>
      </c>
      <c r="M506">
        <v>1.57</v>
      </c>
      <c r="N506">
        <v>13.400114885172254</v>
      </c>
      <c r="O506" t="s">
        <v>592</v>
      </c>
      <c r="P506" t="s">
        <v>593</v>
      </c>
      <c r="Q506" t="s">
        <v>586</v>
      </c>
      <c r="R506" t="s">
        <v>712</v>
      </c>
      <c r="S506" t="s">
        <v>712</v>
      </c>
      <c r="T506">
        <v>79</v>
      </c>
    </row>
    <row r="507" spans="1:20" x14ac:dyDescent="0.25">
      <c r="A507" t="s">
        <v>1568</v>
      </c>
      <c r="B507" t="s">
        <v>65</v>
      </c>
      <c r="C507" t="s">
        <v>586</v>
      </c>
      <c r="D507" t="s">
        <v>731</v>
      </c>
      <c r="E507" t="s">
        <v>845</v>
      </c>
      <c r="F507">
        <v>8.0502249176993779E-2</v>
      </c>
      <c r="G507">
        <v>8.8278136986301483</v>
      </c>
      <c r="H507" t="s">
        <v>846</v>
      </c>
      <c r="I507" t="s">
        <v>721</v>
      </c>
      <c r="J507">
        <v>5</v>
      </c>
      <c r="K507" t="s">
        <v>950</v>
      </c>
      <c r="L507">
        <v>5510000</v>
      </c>
      <c r="M507">
        <v>1.58</v>
      </c>
      <c r="N507">
        <v>8.8278136986301483</v>
      </c>
      <c r="O507" t="s">
        <v>592</v>
      </c>
      <c r="P507" t="s">
        <v>593</v>
      </c>
      <c r="Q507" t="s">
        <v>586</v>
      </c>
      <c r="R507">
        <v>50000</v>
      </c>
      <c r="S507" t="s">
        <v>652</v>
      </c>
      <c r="T507">
        <v>98</v>
      </c>
    </row>
    <row r="508" spans="1:20" x14ac:dyDescent="0.25">
      <c r="A508" t="s">
        <v>1569</v>
      </c>
      <c r="B508" t="s">
        <v>216</v>
      </c>
      <c r="C508" t="s">
        <v>586</v>
      </c>
      <c r="D508" t="s">
        <v>805</v>
      </c>
      <c r="E508" t="s">
        <v>1570</v>
      </c>
      <c r="F508">
        <v>0.69335181663800471</v>
      </c>
      <c r="G508">
        <v>17.261630760699909</v>
      </c>
      <c r="H508" t="s">
        <v>827</v>
      </c>
      <c r="I508" t="s">
        <v>1571</v>
      </c>
      <c r="J508">
        <v>2.25</v>
      </c>
      <c r="K508" t="s">
        <v>880</v>
      </c>
      <c r="L508">
        <v>240000</v>
      </c>
      <c r="M508">
        <v>1.9000000000000001</v>
      </c>
      <c r="N508">
        <v>17.261630760699909</v>
      </c>
      <c r="O508" t="s">
        <v>592</v>
      </c>
      <c r="P508" t="s">
        <v>711</v>
      </c>
      <c r="Q508" t="s">
        <v>586</v>
      </c>
      <c r="R508" t="s">
        <v>712</v>
      </c>
      <c r="S508" t="s">
        <v>712</v>
      </c>
      <c r="T508">
        <v>92</v>
      </c>
    </row>
    <row r="509" spans="1:20" x14ac:dyDescent="0.25">
      <c r="A509" t="s">
        <v>1572</v>
      </c>
      <c r="B509" t="s">
        <v>216</v>
      </c>
      <c r="C509" t="s">
        <v>586</v>
      </c>
      <c r="D509" t="s">
        <v>805</v>
      </c>
      <c r="E509" t="s">
        <v>1570</v>
      </c>
      <c r="F509">
        <v>1.6535128783783806</v>
      </c>
      <c r="G509">
        <v>10.804394409197116</v>
      </c>
      <c r="H509" t="s">
        <v>827</v>
      </c>
      <c r="I509" t="s">
        <v>1571</v>
      </c>
      <c r="J509">
        <v>2.5</v>
      </c>
      <c r="K509" t="s">
        <v>853</v>
      </c>
      <c r="L509">
        <v>240000</v>
      </c>
      <c r="M509">
        <v>2</v>
      </c>
      <c r="N509">
        <v>10.804394409197116</v>
      </c>
      <c r="O509" t="s">
        <v>592</v>
      </c>
      <c r="P509" t="s">
        <v>711</v>
      </c>
      <c r="Q509" t="s">
        <v>586</v>
      </c>
      <c r="R509" t="s">
        <v>712</v>
      </c>
      <c r="S509" t="s">
        <v>712</v>
      </c>
      <c r="T509">
        <v>83</v>
      </c>
    </row>
    <row r="510" spans="1:20" x14ac:dyDescent="0.25">
      <c r="A510" t="s">
        <v>1573</v>
      </c>
      <c r="B510" t="s">
        <v>216</v>
      </c>
      <c r="C510" t="s">
        <v>586</v>
      </c>
      <c r="D510" t="s">
        <v>805</v>
      </c>
      <c r="E510" t="s">
        <v>1570</v>
      </c>
      <c r="F510">
        <v>2.5909550133009156</v>
      </c>
      <c r="G510">
        <v>4.9129562352530964</v>
      </c>
      <c r="H510" t="s">
        <v>827</v>
      </c>
      <c r="I510" t="s">
        <v>1571</v>
      </c>
      <c r="J510">
        <v>2.5</v>
      </c>
      <c r="K510" t="s">
        <v>662</v>
      </c>
      <c r="L510">
        <v>240000</v>
      </c>
      <c r="M510">
        <v>2.1</v>
      </c>
      <c r="N510">
        <v>4.9129562352530964</v>
      </c>
      <c r="O510" t="s">
        <v>592</v>
      </c>
      <c r="P510" t="s">
        <v>711</v>
      </c>
      <c r="Q510" t="s">
        <v>586</v>
      </c>
      <c r="R510" t="s">
        <v>712</v>
      </c>
      <c r="S510" t="s">
        <v>712</v>
      </c>
      <c r="T510">
        <v>73</v>
      </c>
    </row>
    <row r="511" spans="1:20" x14ac:dyDescent="0.25">
      <c r="A511" t="s">
        <v>1574</v>
      </c>
      <c r="B511" t="s">
        <v>217</v>
      </c>
      <c r="C511" t="s">
        <v>586</v>
      </c>
      <c r="D511" t="s">
        <v>623</v>
      </c>
      <c r="E511" t="s">
        <v>1575</v>
      </c>
      <c r="F511">
        <v>0.41169908434926528</v>
      </c>
      <c r="G511">
        <v>38.054753172950818</v>
      </c>
      <c r="H511" t="s">
        <v>1007</v>
      </c>
      <c r="I511" t="s">
        <v>661</v>
      </c>
      <c r="J511">
        <v>3</v>
      </c>
      <c r="K511" t="s">
        <v>686</v>
      </c>
      <c r="L511">
        <v>360000</v>
      </c>
      <c r="M511">
        <v>2.2000000000000002</v>
      </c>
      <c r="N511">
        <v>38.054753172950818</v>
      </c>
      <c r="O511" t="s">
        <v>592</v>
      </c>
      <c r="P511" t="s">
        <v>745</v>
      </c>
      <c r="Q511" t="s">
        <v>586</v>
      </c>
      <c r="R511" t="s">
        <v>712</v>
      </c>
      <c r="S511" t="s">
        <v>712</v>
      </c>
      <c r="T511">
        <v>94</v>
      </c>
    </row>
    <row r="512" spans="1:20" x14ac:dyDescent="0.25">
      <c r="A512" t="s">
        <v>1576</v>
      </c>
      <c r="B512" t="s">
        <v>217</v>
      </c>
      <c r="C512" t="s">
        <v>586</v>
      </c>
      <c r="D512" t="s">
        <v>623</v>
      </c>
      <c r="E512" t="s">
        <v>1575</v>
      </c>
      <c r="F512">
        <v>1.379165943938669</v>
      </c>
      <c r="G512">
        <v>31.606240464133919</v>
      </c>
      <c r="H512" t="s">
        <v>1007</v>
      </c>
      <c r="I512" t="s">
        <v>661</v>
      </c>
      <c r="J512">
        <v>3</v>
      </c>
      <c r="K512" t="s">
        <v>946</v>
      </c>
      <c r="L512">
        <v>370000</v>
      </c>
      <c r="M512">
        <v>2.3000000000000003</v>
      </c>
      <c r="N512">
        <v>31.606240464133919</v>
      </c>
      <c r="O512" t="s">
        <v>592</v>
      </c>
      <c r="P512" t="s">
        <v>745</v>
      </c>
      <c r="Q512" t="s">
        <v>586</v>
      </c>
      <c r="R512" t="s">
        <v>712</v>
      </c>
      <c r="S512" t="s">
        <v>712</v>
      </c>
      <c r="T512">
        <v>81</v>
      </c>
    </row>
    <row r="513" spans="1:20" x14ac:dyDescent="0.25">
      <c r="A513" t="s">
        <v>1577</v>
      </c>
      <c r="B513" t="s">
        <v>217</v>
      </c>
      <c r="C513" t="s">
        <v>586</v>
      </c>
      <c r="D513" t="s">
        <v>623</v>
      </c>
      <c r="E513" t="s">
        <v>1575</v>
      </c>
      <c r="F513">
        <v>2.3185270855557119</v>
      </c>
      <c r="G513">
        <v>30.492206702235734</v>
      </c>
      <c r="H513" t="s">
        <v>1007</v>
      </c>
      <c r="I513" t="s">
        <v>661</v>
      </c>
      <c r="J513">
        <v>3</v>
      </c>
      <c r="K513" t="s">
        <v>747</v>
      </c>
      <c r="L513">
        <v>380000</v>
      </c>
      <c r="M513">
        <v>2.4500000000000002</v>
      </c>
      <c r="N513">
        <v>30.492206702235734</v>
      </c>
      <c r="O513" t="s">
        <v>592</v>
      </c>
      <c r="P513" t="s">
        <v>745</v>
      </c>
      <c r="Q513" t="s">
        <v>586</v>
      </c>
      <c r="R513" t="s">
        <v>712</v>
      </c>
      <c r="S513" t="s">
        <v>712</v>
      </c>
      <c r="T513">
        <v>71</v>
      </c>
    </row>
    <row r="514" spans="1:20" x14ac:dyDescent="0.25">
      <c r="A514" t="s">
        <v>1578</v>
      </c>
      <c r="B514" t="s">
        <v>82</v>
      </c>
      <c r="C514" t="s">
        <v>586</v>
      </c>
      <c r="D514" t="s">
        <v>770</v>
      </c>
      <c r="E514" t="s">
        <v>915</v>
      </c>
      <c r="F514">
        <v>3.0302765779400249</v>
      </c>
      <c r="G514">
        <v>25.615077436143153</v>
      </c>
      <c r="H514" t="s">
        <v>792</v>
      </c>
      <c r="I514" t="s">
        <v>916</v>
      </c>
      <c r="J514">
        <v>4</v>
      </c>
      <c r="K514" t="s">
        <v>591</v>
      </c>
      <c r="L514">
        <v>525000</v>
      </c>
      <c r="M514">
        <v>1.9000000000000001</v>
      </c>
      <c r="N514">
        <v>25.615077436143153</v>
      </c>
      <c r="O514" t="s">
        <v>592</v>
      </c>
      <c r="P514" t="s">
        <v>621</v>
      </c>
      <c r="Q514" t="s">
        <v>586</v>
      </c>
      <c r="R514" t="s">
        <v>712</v>
      </c>
      <c r="S514" t="s">
        <v>712</v>
      </c>
      <c r="T514">
        <v>66</v>
      </c>
    </row>
    <row r="515" spans="1:20" x14ac:dyDescent="0.25">
      <c r="A515" t="s">
        <v>1579</v>
      </c>
      <c r="B515" t="s">
        <v>218</v>
      </c>
      <c r="C515" t="s">
        <v>607</v>
      </c>
      <c r="D515" t="s">
        <v>608</v>
      </c>
      <c r="E515" t="s">
        <v>756</v>
      </c>
      <c r="F515">
        <v>8.0472962967399059E-2</v>
      </c>
      <c r="G515">
        <v>39.068295890410965</v>
      </c>
      <c r="H515" t="s">
        <v>1580</v>
      </c>
      <c r="I515" t="s">
        <v>611</v>
      </c>
      <c r="J515">
        <v>3</v>
      </c>
      <c r="K515" t="s">
        <v>950</v>
      </c>
      <c r="L515">
        <v>100000</v>
      </c>
      <c r="M515">
        <v>1.6500000000000001</v>
      </c>
      <c r="N515">
        <v>39.068295890410965</v>
      </c>
      <c r="O515" t="s">
        <v>592</v>
      </c>
      <c r="P515" t="s">
        <v>613</v>
      </c>
      <c r="Q515" t="s">
        <v>586</v>
      </c>
      <c r="R515" t="s">
        <v>712</v>
      </c>
      <c r="S515" t="s">
        <v>878</v>
      </c>
      <c r="T515">
        <v>99</v>
      </c>
    </row>
    <row r="516" spans="1:20" x14ac:dyDescent="0.25">
      <c r="A516" t="s">
        <v>1581</v>
      </c>
      <c r="B516" t="s">
        <v>218</v>
      </c>
      <c r="C516" t="s">
        <v>607</v>
      </c>
      <c r="D516" t="s">
        <v>608</v>
      </c>
      <c r="E516" t="s">
        <v>756</v>
      </c>
      <c r="F516">
        <v>1.0488762999589556</v>
      </c>
      <c r="G516">
        <v>40.464397260273977</v>
      </c>
      <c r="H516" t="s">
        <v>1580</v>
      </c>
      <c r="I516" t="s">
        <v>611</v>
      </c>
      <c r="J516">
        <v>3</v>
      </c>
      <c r="K516" t="s">
        <v>612</v>
      </c>
      <c r="L516">
        <v>105000</v>
      </c>
      <c r="M516">
        <v>1.8</v>
      </c>
      <c r="N516">
        <v>40.464397260273977</v>
      </c>
      <c r="O516" t="s">
        <v>592</v>
      </c>
      <c r="P516" t="s">
        <v>613</v>
      </c>
      <c r="Q516" t="s">
        <v>586</v>
      </c>
      <c r="R516" t="s">
        <v>712</v>
      </c>
      <c r="S516" t="s">
        <v>878</v>
      </c>
      <c r="T516">
        <v>89</v>
      </c>
    </row>
    <row r="517" spans="1:20" x14ac:dyDescent="0.25">
      <c r="A517" t="s">
        <v>1582</v>
      </c>
      <c r="B517" t="s">
        <v>218</v>
      </c>
      <c r="C517" t="s">
        <v>607</v>
      </c>
      <c r="D517" t="s">
        <v>608</v>
      </c>
      <c r="E517" t="s">
        <v>756</v>
      </c>
      <c r="F517">
        <v>1.9876638841286762</v>
      </c>
      <c r="G517">
        <v>46.393271232876707</v>
      </c>
      <c r="H517" t="s">
        <v>1580</v>
      </c>
      <c r="I517" t="s">
        <v>611</v>
      </c>
      <c r="J517">
        <v>3</v>
      </c>
      <c r="K517" t="s">
        <v>956</v>
      </c>
      <c r="L517">
        <v>110000</v>
      </c>
      <c r="M517">
        <v>2</v>
      </c>
      <c r="N517">
        <v>46.393271232876707</v>
      </c>
      <c r="O517" t="s">
        <v>592</v>
      </c>
      <c r="P517" t="s">
        <v>613</v>
      </c>
      <c r="Q517" t="s">
        <v>586</v>
      </c>
      <c r="R517" t="s">
        <v>712</v>
      </c>
      <c r="S517" t="s">
        <v>878</v>
      </c>
      <c r="T517">
        <v>78</v>
      </c>
    </row>
    <row r="518" spans="1:20" x14ac:dyDescent="0.25">
      <c r="A518" t="s">
        <v>1583</v>
      </c>
      <c r="B518" t="s">
        <v>43</v>
      </c>
      <c r="C518" t="s">
        <v>607</v>
      </c>
      <c r="D518" t="s">
        <v>741</v>
      </c>
      <c r="E518" t="s">
        <v>742</v>
      </c>
      <c r="F518">
        <v>2.4476917051556581</v>
      </c>
      <c r="G518">
        <v>23.236612258265367</v>
      </c>
      <c r="H518" t="s">
        <v>743</v>
      </c>
      <c r="I518" t="s">
        <v>721</v>
      </c>
      <c r="J518">
        <v>3</v>
      </c>
      <c r="K518" t="s">
        <v>959</v>
      </c>
      <c r="L518">
        <v>350000</v>
      </c>
      <c r="M518">
        <v>2.4500000000000002</v>
      </c>
      <c r="N518">
        <v>23.236612258265367</v>
      </c>
      <c r="O518" t="s">
        <v>592</v>
      </c>
      <c r="P518" t="s">
        <v>745</v>
      </c>
      <c r="Q518" t="s">
        <v>586</v>
      </c>
      <c r="R518" t="s">
        <v>712</v>
      </c>
      <c r="S518" t="s">
        <v>594</v>
      </c>
      <c r="T518">
        <v>69</v>
      </c>
    </row>
    <row r="519" spans="1:20" x14ac:dyDescent="0.25">
      <c r="A519" t="s">
        <v>1584</v>
      </c>
      <c r="B519" t="s">
        <v>219</v>
      </c>
      <c r="C519" t="s">
        <v>607</v>
      </c>
      <c r="D519" t="s">
        <v>608</v>
      </c>
      <c r="E519" t="s">
        <v>609</v>
      </c>
      <c r="F519">
        <v>8.0483804398411185E-2</v>
      </c>
      <c r="G519">
        <v>39.165873972602739</v>
      </c>
      <c r="H519" t="s">
        <v>1585</v>
      </c>
      <c r="I519" t="s">
        <v>611</v>
      </c>
      <c r="J519">
        <v>2</v>
      </c>
      <c r="K519" t="s">
        <v>950</v>
      </c>
      <c r="L519">
        <v>555000</v>
      </c>
      <c r="M519">
        <v>1.73</v>
      </c>
      <c r="N519">
        <v>39.165873972602739</v>
      </c>
      <c r="O519" t="s">
        <v>592</v>
      </c>
      <c r="P519" t="s">
        <v>621</v>
      </c>
      <c r="Q519" t="s">
        <v>586</v>
      </c>
      <c r="R519" t="s">
        <v>712</v>
      </c>
      <c r="S519" t="s">
        <v>594</v>
      </c>
      <c r="T519">
        <v>92</v>
      </c>
    </row>
    <row r="520" spans="1:20" x14ac:dyDescent="0.25">
      <c r="A520" t="s">
        <v>1586</v>
      </c>
      <c r="B520" t="s">
        <v>219</v>
      </c>
      <c r="C520" t="s">
        <v>607</v>
      </c>
      <c r="D520" t="s">
        <v>608</v>
      </c>
      <c r="E520" t="s">
        <v>609</v>
      </c>
      <c r="F520">
        <v>1.0567401403001748</v>
      </c>
      <c r="G520">
        <v>38.42919726027398</v>
      </c>
      <c r="H520" t="s">
        <v>1585</v>
      </c>
      <c r="I520" t="s">
        <v>611</v>
      </c>
      <c r="J520">
        <v>2</v>
      </c>
      <c r="K520" t="s">
        <v>612</v>
      </c>
      <c r="L520">
        <v>575000</v>
      </c>
      <c r="M520">
        <v>1.85</v>
      </c>
      <c r="N520">
        <v>38.42919726027398</v>
      </c>
      <c r="O520" t="s">
        <v>592</v>
      </c>
      <c r="P520" t="s">
        <v>621</v>
      </c>
      <c r="Q520" t="s">
        <v>586</v>
      </c>
      <c r="R520" t="s">
        <v>712</v>
      </c>
      <c r="S520" t="s">
        <v>594</v>
      </c>
      <c r="T520">
        <v>68</v>
      </c>
    </row>
    <row r="521" spans="1:20" x14ac:dyDescent="0.25">
      <c r="A521" t="s">
        <v>1587</v>
      </c>
      <c r="B521" t="s">
        <v>220</v>
      </c>
      <c r="C521" t="s">
        <v>607</v>
      </c>
      <c r="D521" t="s">
        <v>608</v>
      </c>
      <c r="E521" t="s">
        <v>609</v>
      </c>
      <c r="F521">
        <v>2.0105393498254562</v>
      </c>
      <c r="G521">
        <v>40.366575889905576</v>
      </c>
      <c r="H521" t="s">
        <v>1143</v>
      </c>
      <c r="I521" t="s">
        <v>611</v>
      </c>
      <c r="J521">
        <v>2</v>
      </c>
      <c r="K521" t="s">
        <v>956</v>
      </c>
      <c r="L521">
        <v>300000</v>
      </c>
      <c r="M521">
        <v>1.85</v>
      </c>
      <c r="N521">
        <v>40.366575889905576</v>
      </c>
      <c r="O521" t="s">
        <v>592</v>
      </c>
      <c r="P521" t="s">
        <v>613</v>
      </c>
      <c r="Q521" t="s">
        <v>586</v>
      </c>
      <c r="R521" t="s">
        <v>712</v>
      </c>
      <c r="S521" t="s">
        <v>712</v>
      </c>
      <c r="T521">
        <v>73</v>
      </c>
    </row>
    <row r="522" spans="1:20" x14ac:dyDescent="0.25">
      <c r="A522" t="s">
        <v>1588</v>
      </c>
      <c r="B522" t="s">
        <v>221</v>
      </c>
      <c r="C522" t="s">
        <v>607</v>
      </c>
      <c r="D522" t="s">
        <v>608</v>
      </c>
      <c r="E522" t="s">
        <v>609</v>
      </c>
      <c r="F522">
        <v>8.0456567050078906E-2</v>
      </c>
      <c r="G522">
        <v>63.110114143978244</v>
      </c>
      <c r="H522" t="s">
        <v>720</v>
      </c>
      <c r="I522" t="s">
        <v>611</v>
      </c>
      <c r="J522">
        <v>2</v>
      </c>
      <c r="K522" t="s">
        <v>950</v>
      </c>
      <c r="L522">
        <v>120000</v>
      </c>
      <c r="M522">
        <v>1.85</v>
      </c>
      <c r="N522">
        <v>63.110114143978244</v>
      </c>
      <c r="O522" t="s">
        <v>592</v>
      </c>
      <c r="P522" t="s">
        <v>613</v>
      </c>
      <c r="Q522" t="s">
        <v>586</v>
      </c>
      <c r="R522">
        <v>300000</v>
      </c>
      <c r="S522" t="s">
        <v>594</v>
      </c>
      <c r="T522">
        <v>100</v>
      </c>
    </row>
    <row r="523" spans="1:20" x14ac:dyDescent="0.25">
      <c r="A523" t="s">
        <v>1589</v>
      </c>
      <c r="B523" t="s">
        <v>221</v>
      </c>
      <c r="C523" t="s">
        <v>607</v>
      </c>
      <c r="D523" t="s">
        <v>608</v>
      </c>
      <c r="E523" t="s">
        <v>609</v>
      </c>
      <c r="F523">
        <v>2.0076487290776495</v>
      </c>
      <c r="G523">
        <v>73.293013389831202</v>
      </c>
      <c r="H523" t="s">
        <v>720</v>
      </c>
      <c r="I523" t="s">
        <v>611</v>
      </c>
      <c r="J523">
        <v>2</v>
      </c>
      <c r="K523" t="s">
        <v>956</v>
      </c>
      <c r="L523">
        <v>95000</v>
      </c>
      <c r="M523">
        <v>2.25</v>
      </c>
      <c r="N523">
        <v>73.293013389831202</v>
      </c>
      <c r="O523" t="s">
        <v>592</v>
      </c>
      <c r="P523" t="s">
        <v>613</v>
      </c>
      <c r="Q523" t="s">
        <v>586</v>
      </c>
      <c r="R523" t="s">
        <v>712</v>
      </c>
      <c r="S523" t="s">
        <v>594</v>
      </c>
      <c r="T523">
        <v>66</v>
      </c>
    </row>
    <row r="524" spans="1:20" x14ac:dyDescent="0.25">
      <c r="A524" t="s">
        <v>1590</v>
      </c>
      <c r="B524" t="s">
        <v>222</v>
      </c>
      <c r="C524" t="s">
        <v>607</v>
      </c>
      <c r="D524" t="s">
        <v>608</v>
      </c>
      <c r="E524" t="s">
        <v>609</v>
      </c>
      <c r="F524">
        <v>8.0476389879512722E-2</v>
      </c>
      <c r="G524">
        <v>50.46149315068493</v>
      </c>
      <c r="H524" t="s">
        <v>610</v>
      </c>
      <c r="I524" t="s">
        <v>1591</v>
      </c>
      <c r="J524">
        <v>3.5</v>
      </c>
      <c r="K524" t="s">
        <v>950</v>
      </c>
      <c r="L524">
        <v>195000</v>
      </c>
      <c r="M524">
        <v>2.2000000000000002</v>
      </c>
      <c r="N524">
        <v>50.46149315068493</v>
      </c>
      <c r="O524" t="s">
        <v>592</v>
      </c>
      <c r="P524" t="s">
        <v>613</v>
      </c>
      <c r="Q524" t="s">
        <v>586</v>
      </c>
      <c r="R524" t="s">
        <v>712</v>
      </c>
      <c r="S524" t="s">
        <v>712</v>
      </c>
      <c r="T524">
        <v>98</v>
      </c>
    </row>
    <row r="525" spans="1:20" x14ac:dyDescent="0.25">
      <c r="A525" t="s">
        <v>1592</v>
      </c>
      <c r="B525" t="s">
        <v>222</v>
      </c>
      <c r="C525" t="s">
        <v>607</v>
      </c>
      <c r="D525" t="s">
        <v>608</v>
      </c>
      <c r="E525" t="s">
        <v>609</v>
      </c>
      <c r="F525">
        <v>1.0457347788938374</v>
      </c>
      <c r="G525">
        <v>59.926328767123273</v>
      </c>
      <c r="H525" t="s">
        <v>610</v>
      </c>
      <c r="I525" t="s">
        <v>1591</v>
      </c>
      <c r="J525">
        <v>3.5</v>
      </c>
      <c r="K525" t="s">
        <v>612</v>
      </c>
      <c r="L525">
        <v>200000</v>
      </c>
      <c r="M525">
        <v>2.4000000000000004</v>
      </c>
      <c r="N525">
        <v>59.926328767123273</v>
      </c>
      <c r="O525" t="s">
        <v>592</v>
      </c>
      <c r="P525" t="s">
        <v>613</v>
      </c>
      <c r="Q525" t="s">
        <v>586</v>
      </c>
      <c r="R525" t="s">
        <v>712</v>
      </c>
      <c r="S525" t="s">
        <v>712</v>
      </c>
      <c r="T525">
        <v>90</v>
      </c>
    </row>
    <row r="526" spans="1:20" x14ac:dyDescent="0.25">
      <c r="A526" t="s">
        <v>1593</v>
      </c>
      <c r="B526" t="s">
        <v>222</v>
      </c>
      <c r="C526" t="s">
        <v>607</v>
      </c>
      <c r="D526" t="s">
        <v>608</v>
      </c>
      <c r="E526" t="s">
        <v>609</v>
      </c>
      <c r="F526">
        <v>2.8786043550758844</v>
      </c>
      <c r="G526">
        <v>79.120408219178046</v>
      </c>
      <c r="H526" t="s">
        <v>610</v>
      </c>
      <c r="I526" t="s">
        <v>1591</v>
      </c>
      <c r="J526">
        <v>3.5</v>
      </c>
      <c r="K526" t="s">
        <v>1334</v>
      </c>
      <c r="L526">
        <v>220000</v>
      </c>
      <c r="M526">
        <v>2.8000000000000003</v>
      </c>
      <c r="N526">
        <v>79.120408219178046</v>
      </c>
      <c r="O526" t="s">
        <v>592</v>
      </c>
      <c r="P526" t="s">
        <v>613</v>
      </c>
      <c r="Q526" t="s">
        <v>586</v>
      </c>
      <c r="R526" t="s">
        <v>712</v>
      </c>
      <c r="S526" t="s">
        <v>712</v>
      </c>
      <c r="T526">
        <v>64</v>
      </c>
    </row>
    <row r="527" spans="1:20" x14ac:dyDescent="0.25">
      <c r="A527" t="s">
        <v>1594</v>
      </c>
      <c r="B527" t="s">
        <v>223</v>
      </c>
      <c r="C527" t="s">
        <v>607</v>
      </c>
      <c r="D527" t="s">
        <v>608</v>
      </c>
      <c r="E527" t="s">
        <v>609</v>
      </c>
      <c r="F527">
        <v>0.24650633649468126</v>
      </c>
      <c r="G527">
        <v>63.209398747114861</v>
      </c>
      <c r="H527" t="s">
        <v>1595</v>
      </c>
      <c r="I527" t="s">
        <v>721</v>
      </c>
      <c r="J527">
        <v>5</v>
      </c>
      <c r="K527" t="s">
        <v>694</v>
      </c>
      <c r="L527">
        <v>190000</v>
      </c>
      <c r="M527">
        <v>1.8</v>
      </c>
      <c r="N527">
        <v>63.209398747114861</v>
      </c>
      <c r="O527" t="s">
        <v>592</v>
      </c>
      <c r="P527" t="s">
        <v>621</v>
      </c>
      <c r="Q527" t="s">
        <v>586</v>
      </c>
      <c r="R527" t="s">
        <v>712</v>
      </c>
      <c r="S527" t="s">
        <v>594</v>
      </c>
      <c r="T527">
        <v>87</v>
      </c>
    </row>
    <row r="528" spans="1:20" x14ac:dyDescent="0.25">
      <c r="A528" t="s">
        <v>1596</v>
      </c>
      <c r="B528" t="s">
        <v>223</v>
      </c>
      <c r="C528" t="s">
        <v>607</v>
      </c>
      <c r="D528" t="s">
        <v>608</v>
      </c>
      <c r="E528" t="s">
        <v>609</v>
      </c>
      <c r="F528">
        <v>1.2075356614447335</v>
      </c>
      <c r="G528">
        <v>58.146587127754337</v>
      </c>
      <c r="H528" t="s">
        <v>1595</v>
      </c>
      <c r="I528" t="s">
        <v>721</v>
      </c>
      <c r="J528">
        <v>4</v>
      </c>
      <c r="K528" t="s">
        <v>764</v>
      </c>
      <c r="L528">
        <v>200000</v>
      </c>
      <c r="M528">
        <v>1.9000000000000001</v>
      </c>
      <c r="N528">
        <v>58.146587127754337</v>
      </c>
      <c r="O528" t="s">
        <v>592</v>
      </c>
      <c r="P528" t="s">
        <v>621</v>
      </c>
      <c r="Q528" t="s">
        <v>586</v>
      </c>
      <c r="R528" t="s">
        <v>712</v>
      </c>
      <c r="S528" t="s">
        <v>594</v>
      </c>
      <c r="T528">
        <v>78</v>
      </c>
    </row>
    <row r="529" spans="1:20" x14ac:dyDescent="0.25">
      <c r="A529" t="s">
        <v>1597</v>
      </c>
      <c r="B529" t="s">
        <v>219</v>
      </c>
      <c r="C529" t="s">
        <v>607</v>
      </c>
      <c r="D529" t="s">
        <v>608</v>
      </c>
      <c r="E529" t="s">
        <v>609</v>
      </c>
      <c r="F529">
        <v>2.011802961627013</v>
      </c>
      <c r="G529">
        <v>44.206073972602745</v>
      </c>
      <c r="H529" t="s">
        <v>1585</v>
      </c>
      <c r="I529" t="s">
        <v>611</v>
      </c>
      <c r="J529">
        <v>2</v>
      </c>
      <c r="K529" t="s">
        <v>956</v>
      </c>
      <c r="L529">
        <v>595000</v>
      </c>
      <c r="M529">
        <v>2.04</v>
      </c>
      <c r="N529">
        <v>44.206073972602745</v>
      </c>
      <c r="O529" t="s">
        <v>592</v>
      </c>
      <c r="P529" t="s">
        <v>621</v>
      </c>
      <c r="Q529" t="s">
        <v>586</v>
      </c>
      <c r="R529" t="s">
        <v>712</v>
      </c>
      <c r="S529" t="s">
        <v>594</v>
      </c>
      <c r="T529">
        <v>55</v>
      </c>
    </row>
    <row r="530" spans="1:20" x14ac:dyDescent="0.25">
      <c r="A530" t="s">
        <v>1598</v>
      </c>
      <c r="B530" t="s">
        <v>224</v>
      </c>
      <c r="C530" t="s">
        <v>607</v>
      </c>
      <c r="D530" t="s">
        <v>608</v>
      </c>
      <c r="E530" t="s">
        <v>609</v>
      </c>
      <c r="F530">
        <v>8.0455794854330479E-2</v>
      </c>
      <c r="G530">
        <v>46.540862300729046</v>
      </c>
      <c r="H530" t="s">
        <v>1599</v>
      </c>
      <c r="I530" t="s">
        <v>611</v>
      </c>
      <c r="J530">
        <v>2.5</v>
      </c>
      <c r="K530" t="s">
        <v>950</v>
      </c>
      <c r="L530">
        <v>110000</v>
      </c>
      <c r="M530">
        <v>2.4500000000000002</v>
      </c>
      <c r="N530">
        <v>46.540862300729046</v>
      </c>
      <c r="O530" t="s">
        <v>592</v>
      </c>
      <c r="P530" t="s">
        <v>613</v>
      </c>
      <c r="Q530" t="s">
        <v>586</v>
      </c>
      <c r="R530" t="s">
        <v>712</v>
      </c>
      <c r="S530" t="s">
        <v>712</v>
      </c>
      <c r="T530">
        <v>100</v>
      </c>
    </row>
    <row r="531" spans="1:20" x14ac:dyDescent="0.25">
      <c r="A531" t="s">
        <v>1600</v>
      </c>
      <c r="B531" t="s">
        <v>224</v>
      </c>
      <c r="C531" t="s">
        <v>607</v>
      </c>
      <c r="D531" t="s">
        <v>608</v>
      </c>
      <c r="E531" t="s">
        <v>609</v>
      </c>
      <c r="F531">
        <v>1.050932070145647</v>
      </c>
      <c r="G531">
        <v>42.816118837987148</v>
      </c>
      <c r="H531" t="s">
        <v>1599</v>
      </c>
      <c r="I531" t="s">
        <v>611</v>
      </c>
      <c r="J531">
        <v>2.5</v>
      </c>
      <c r="K531" t="s">
        <v>612</v>
      </c>
      <c r="L531">
        <v>100000</v>
      </c>
      <c r="M531">
        <v>2.5500000000000003</v>
      </c>
      <c r="N531">
        <v>42.816118837987148</v>
      </c>
      <c r="O531" t="s">
        <v>592</v>
      </c>
      <c r="P531" t="s">
        <v>613</v>
      </c>
      <c r="Q531" t="s">
        <v>586</v>
      </c>
      <c r="R531" t="s">
        <v>712</v>
      </c>
      <c r="S531" t="s">
        <v>712</v>
      </c>
      <c r="T531">
        <v>84</v>
      </c>
    </row>
    <row r="532" spans="1:20" x14ac:dyDescent="0.25">
      <c r="A532" t="s">
        <v>1601</v>
      </c>
      <c r="B532" t="s">
        <v>224</v>
      </c>
      <c r="C532" t="s">
        <v>607</v>
      </c>
      <c r="D532" t="s">
        <v>608</v>
      </c>
      <c r="E532" t="s">
        <v>609</v>
      </c>
      <c r="F532">
        <v>1.9792671279900498</v>
      </c>
      <c r="G532">
        <v>54.316173904941458</v>
      </c>
      <c r="H532" t="s">
        <v>1599</v>
      </c>
      <c r="I532" t="s">
        <v>611</v>
      </c>
      <c r="J532">
        <v>3.25</v>
      </c>
      <c r="K532" t="s">
        <v>956</v>
      </c>
      <c r="L532">
        <v>105000</v>
      </c>
      <c r="M532">
        <v>2.8000000000000003</v>
      </c>
      <c r="N532">
        <v>54.316173904941458</v>
      </c>
      <c r="O532" t="s">
        <v>592</v>
      </c>
      <c r="P532" t="s">
        <v>613</v>
      </c>
      <c r="Q532" t="s">
        <v>586</v>
      </c>
      <c r="R532" t="s">
        <v>712</v>
      </c>
      <c r="S532" t="s">
        <v>712</v>
      </c>
      <c r="T532">
        <v>72</v>
      </c>
    </row>
    <row r="533" spans="1:20" x14ac:dyDescent="0.25">
      <c r="A533" t="s">
        <v>1602</v>
      </c>
      <c r="B533" t="s">
        <v>220</v>
      </c>
      <c r="C533" t="s">
        <v>607</v>
      </c>
      <c r="D533" t="s">
        <v>608</v>
      </c>
      <c r="E533" t="s">
        <v>609</v>
      </c>
      <c r="F533">
        <v>8.04742733213792E-2</v>
      </c>
      <c r="G533">
        <v>45.716553522296223</v>
      </c>
      <c r="H533" t="s">
        <v>1143</v>
      </c>
      <c r="I533" t="s">
        <v>611</v>
      </c>
      <c r="J533">
        <v>2</v>
      </c>
      <c r="K533" t="s">
        <v>950</v>
      </c>
      <c r="L533">
        <v>300000</v>
      </c>
      <c r="M533">
        <v>1.6</v>
      </c>
      <c r="N533">
        <v>45.716553522296223</v>
      </c>
      <c r="O533" t="s">
        <v>592</v>
      </c>
      <c r="P533" t="s">
        <v>613</v>
      </c>
      <c r="Q533" t="s">
        <v>586</v>
      </c>
      <c r="R533">
        <v>90000</v>
      </c>
      <c r="S533" t="s">
        <v>712</v>
      </c>
      <c r="T533">
        <v>100</v>
      </c>
    </row>
    <row r="534" spans="1:20" x14ac:dyDescent="0.25">
      <c r="A534" t="s">
        <v>1603</v>
      </c>
      <c r="B534" t="s">
        <v>220</v>
      </c>
      <c r="C534" t="s">
        <v>607</v>
      </c>
      <c r="D534" t="s">
        <v>608</v>
      </c>
      <c r="E534" t="s">
        <v>609</v>
      </c>
      <c r="F534">
        <v>1.0559926872950101</v>
      </c>
      <c r="G534">
        <v>45.701434413702316</v>
      </c>
      <c r="H534" t="s">
        <v>1143</v>
      </c>
      <c r="I534" t="s">
        <v>611</v>
      </c>
      <c r="J534">
        <v>2</v>
      </c>
      <c r="K534" t="s">
        <v>612</v>
      </c>
      <c r="L534">
        <v>300000</v>
      </c>
      <c r="M534">
        <v>1.75</v>
      </c>
      <c r="N534">
        <v>45.701434413702316</v>
      </c>
      <c r="O534" t="s">
        <v>592</v>
      </c>
      <c r="P534" t="s">
        <v>613</v>
      </c>
      <c r="Q534" t="s">
        <v>586</v>
      </c>
      <c r="R534" t="s">
        <v>712</v>
      </c>
      <c r="S534" t="s">
        <v>712</v>
      </c>
      <c r="T534">
        <v>86</v>
      </c>
    </row>
    <row r="535" spans="1:20" x14ac:dyDescent="0.25">
      <c r="A535" t="s">
        <v>1604</v>
      </c>
      <c r="B535" t="s">
        <v>221</v>
      </c>
      <c r="C535" t="s">
        <v>607</v>
      </c>
      <c r="D535" t="s">
        <v>608</v>
      </c>
      <c r="E535" t="s">
        <v>609</v>
      </c>
      <c r="F535">
        <v>1.0545318891776436</v>
      </c>
      <c r="G535">
        <v>63.301300880457376</v>
      </c>
      <c r="H535" t="s">
        <v>720</v>
      </c>
      <c r="I535" t="s">
        <v>611</v>
      </c>
      <c r="J535">
        <v>2</v>
      </c>
      <c r="K535" t="s">
        <v>612</v>
      </c>
      <c r="L535">
        <v>100000</v>
      </c>
      <c r="M535">
        <v>2</v>
      </c>
      <c r="N535">
        <v>63.301300880457376</v>
      </c>
      <c r="O535" t="s">
        <v>592</v>
      </c>
      <c r="P535" t="s">
        <v>613</v>
      </c>
      <c r="Q535" t="s">
        <v>586</v>
      </c>
      <c r="R535">
        <v>400000</v>
      </c>
      <c r="S535" t="s">
        <v>594</v>
      </c>
      <c r="T535">
        <v>81</v>
      </c>
    </row>
    <row r="536" spans="1:20" x14ac:dyDescent="0.25">
      <c r="A536" t="s">
        <v>1605</v>
      </c>
      <c r="B536" t="s">
        <v>221</v>
      </c>
      <c r="C536" t="s">
        <v>607</v>
      </c>
      <c r="D536" t="s">
        <v>608</v>
      </c>
      <c r="E536" t="s">
        <v>609</v>
      </c>
      <c r="F536">
        <v>2.9293775048091897</v>
      </c>
      <c r="G536">
        <v>73.498400489491189</v>
      </c>
      <c r="H536" t="s">
        <v>720</v>
      </c>
      <c r="I536" t="s">
        <v>611</v>
      </c>
      <c r="J536">
        <v>2.25</v>
      </c>
      <c r="K536" t="s">
        <v>1334</v>
      </c>
      <c r="L536">
        <v>85000</v>
      </c>
      <c r="M536">
        <v>2.4000000000000004</v>
      </c>
      <c r="N536">
        <v>73.498400489491189</v>
      </c>
      <c r="O536" t="s">
        <v>592</v>
      </c>
      <c r="P536" t="s">
        <v>613</v>
      </c>
      <c r="Q536" t="s">
        <v>586</v>
      </c>
      <c r="R536" t="s">
        <v>712</v>
      </c>
      <c r="S536" t="s">
        <v>594</v>
      </c>
      <c r="T536">
        <v>53</v>
      </c>
    </row>
    <row r="537" spans="1:20" x14ac:dyDescent="0.25">
      <c r="A537" t="s">
        <v>1606</v>
      </c>
      <c r="B537" t="s">
        <v>222</v>
      </c>
      <c r="C537" t="s">
        <v>607</v>
      </c>
      <c r="D537" t="s">
        <v>608</v>
      </c>
      <c r="E537" t="s">
        <v>609</v>
      </c>
      <c r="F537">
        <v>1.9773872965286547</v>
      </c>
      <c r="G537">
        <v>69.830860273972633</v>
      </c>
      <c r="H537" t="s">
        <v>610</v>
      </c>
      <c r="I537" t="s">
        <v>1591</v>
      </c>
      <c r="J537">
        <v>3.5</v>
      </c>
      <c r="K537" t="s">
        <v>956</v>
      </c>
      <c r="L537">
        <v>210000</v>
      </c>
      <c r="M537">
        <v>2.6</v>
      </c>
      <c r="N537">
        <v>69.830860273972633</v>
      </c>
      <c r="O537" t="s">
        <v>592</v>
      </c>
      <c r="P537" t="s">
        <v>613</v>
      </c>
      <c r="Q537" t="s">
        <v>586</v>
      </c>
      <c r="R537" t="s">
        <v>712</v>
      </c>
      <c r="S537" t="s">
        <v>712</v>
      </c>
      <c r="T537">
        <v>77</v>
      </c>
    </row>
    <row r="538" spans="1:20" x14ac:dyDescent="0.25">
      <c r="A538" t="s">
        <v>1607</v>
      </c>
      <c r="B538" t="s">
        <v>222</v>
      </c>
      <c r="C538" t="s">
        <v>607</v>
      </c>
      <c r="D538" t="s">
        <v>608</v>
      </c>
      <c r="E538" t="s">
        <v>609</v>
      </c>
      <c r="F538">
        <v>3.7503803885381966</v>
      </c>
      <c r="G538">
        <v>79.451813698630147</v>
      </c>
      <c r="H538" t="s">
        <v>610</v>
      </c>
      <c r="I538" t="s">
        <v>1591</v>
      </c>
      <c r="J538">
        <v>3.5</v>
      </c>
      <c r="K538" t="s">
        <v>1220</v>
      </c>
      <c r="L538">
        <v>230000</v>
      </c>
      <c r="M538">
        <v>2.9000000000000004</v>
      </c>
      <c r="N538">
        <v>79.451813698630147</v>
      </c>
      <c r="O538" t="s">
        <v>592</v>
      </c>
      <c r="P538" t="s">
        <v>613</v>
      </c>
      <c r="Q538" t="s">
        <v>586</v>
      </c>
      <c r="R538" t="s">
        <v>712</v>
      </c>
      <c r="S538" t="s">
        <v>712</v>
      </c>
      <c r="T538">
        <v>55</v>
      </c>
    </row>
    <row r="539" spans="1:20" x14ac:dyDescent="0.25">
      <c r="A539" t="s">
        <v>1608</v>
      </c>
      <c r="B539" t="s">
        <v>222</v>
      </c>
      <c r="C539" t="s">
        <v>607</v>
      </c>
      <c r="D539" t="s">
        <v>608</v>
      </c>
      <c r="E539" t="s">
        <v>609</v>
      </c>
      <c r="F539">
        <v>4.593936292199702</v>
      </c>
      <c r="G539">
        <v>82.759194520547922</v>
      </c>
      <c r="H539" t="s">
        <v>610</v>
      </c>
      <c r="I539" t="s">
        <v>1591</v>
      </c>
      <c r="J539">
        <v>3.5</v>
      </c>
      <c r="K539" t="s">
        <v>717</v>
      </c>
      <c r="L539">
        <v>240000</v>
      </c>
      <c r="M539">
        <v>3</v>
      </c>
      <c r="N539">
        <v>82.759194520547922</v>
      </c>
      <c r="O539" t="s">
        <v>592</v>
      </c>
      <c r="P539" t="s">
        <v>613</v>
      </c>
      <c r="Q539" t="s">
        <v>586</v>
      </c>
      <c r="R539" t="s">
        <v>712</v>
      </c>
      <c r="S539" t="s">
        <v>712</v>
      </c>
      <c r="T539">
        <v>46</v>
      </c>
    </row>
    <row r="540" spans="1:20" x14ac:dyDescent="0.25">
      <c r="A540" t="s">
        <v>1609</v>
      </c>
      <c r="B540" t="s">
        <v>223</v>
      </c>
      <c r="C540" t="s">
        <v>607</v>
      </c>
      <c r="D540" t="s">
        <v>608</v>
      </c>
      <c r="E540" t="s">
        <v>609</v>
      </c>
      <c r="F540">
        <v>2.1531497723575339</v>
      </c>
      <c r="G540">
        <v>52.792158420921595</v>
      </c>
      <c r="H540" t="s">
        <v>1595</v>
      </c>
      <c r="I540" t="s">
        <v>721</v>
      </c>
      <c r="J540">
        <v>3</v>
      </c>
      <c r="K540" t="s">
        <v>699</v>
      </c>
      <c r="L540">
        <v>210000</v>
      </c>
      <c r="M540">
        <v>2</v>
      </c>
      <c r="N540">
        <v>52.792158420921595</v>
      </c>
      <c r="O540" t="s">
        <v>592</v>
      </c>
      <c r="P540" t="s">
        <v>621</v>
      </c>
      <c r="Q540" t="s">
        <v>586</v>
      </c>
      <c r="R540" t="s">
        <v>712</v>
      </c>
      <c r="S540" t="s">
        <v>594</v>
      </c>
      <c r="T540">
        <v>65</v>
      </c>
    </row>
    <row r="541" spans="1:20" x14ac:dyDescent="0.25">
      <c r="A541" t="s">
        <v>1610</v>
      </c>
      <c r="B541" t="s">
        <v>225</v>
      </c>
      <c r="C541" t="s">
        <v>586</v>
      </c>
      <c r="D541" t="s">
        <v>741</v>
      </c>
      <c r="E541" t="s">
        <v>1052</v>
      </c>
      <c r="F541">
        <v>1.606755724122535</v>
      </c>
      <c r="G541">
        <v>21.44577944401853</v>
      </c>
      <c r="H541" t="s">
        <v>1092</v>
      </c>
      <c r="I541" t="s">
        <v>1611</v>
      </c>
      <c r="J541">
        <v>3</v>
      </c>
      <c r="K541" t="s">
        <v>905</v>
      </c>
      <c r="L541">
        <v>780000</v>
      </c>
      <c r="M541">
        <v>1.9000000000000001</v>
      </c>
      <c r="N541">
        <v>21.44577944401853</v>
      </c>
      <c r="O541" t="s">
        <v>592</v>
      </c>
      <c r="P541" t="s">
        <v>745</v>
      </c>
      <c r="Q541" t="s">
        <v>586</v>
      </c>
      <c r="R541" t="s">
        <v>712</v>
      </c>
      <c r="S541" t="s">
        <v>712</v>
      </c>
      <c r="T541">
        <v>82</v>
      </c>
    </row>
    <row r="542" spans="1:20" x14ac:dyDescent="0.25">
      <c r="A542" t="s">
        <v>1612</v>
      </c>
      <c r="B542" t="s">
        <v>225</v>
      </c>
      <c r="C542" t="s">
        <v>586</v>
      </c>
      <c r="D542" t="s">
        <v>741</v>
      </c>
      <c r="E542" t="s">
        <v>1052</v>
      </c>
      <c r="F542">
        <v>0.65364158667146111</v>
      </c>
      <c r="G542">
        <v>12.72504322460588</v>
      </c>
      <c r="H542" t="s">
        <v>1092</v>
      </c>
      <c r="I542" t="s">
        <v>1611</v>
      </c>
      <c r="J542">
        <v>2.5</v>
      </c>
      <c r="K542" t="s">
        <v>787</v>
      </c>
      <c r="L542">
        <v>765000</v>
      </c>
      <c r="M542">
        <v>1.6500000000000001</v>
      </c>
      <c r="N542">
        <v>12.72504322460588</v>
      </c>
      <c r="O542" t="s">
        <v>592</v>
      </c>
      <c r="P542" t="s">
        <v>745</v>
      </c>
      <c r="Q542" t="s">
        <v>586</v>
      </c>
      <c r="R542" t="s">
        <v>712</v>
      </c>
      <c r="S542" t="s">
        <v>712</v>
      </c>
      <c r="T542">
        <v>90</v>
      </c>
    </row>
    <row r="543" spans="1:20" x14ac:dyDescent="0.25">
      <c r="A543" t="s">
        <v>1613</v>
      </c>
      <c r="B543" t="s">
        <v>226</v>
      </c>
      <c r="C543" t="s">
        <v>586</v>
      </c>
      <c r="D543" t="s">
        <v>990</v>
      </c>
      <c r="E543" t="s">
        <v>1614</v>
      </c>
      <c r="F543">
        <v>0.65442335431454346</v>
      </c>
      <c r="G543">
        <v>10.461276478245196</v>
      </c>
      <c r="H543" t="s">
        <v>692</v>
      </c>
      <c r="I543" t="s">
        <v>661</v>
      </c>
      <c r="J543">
        <v>2</v>
      </c>
      <c r="K543" t="s">
        <v>787</v>
      </c>
      <c r="L543">
        <v>1120000</v>
      </c>
      <c r="M543">
        <v>1.8</v>
      </c>
      <c r="N543">
        <v>10.461276478245196</v>
      </c>
      <c r="O543" t="s">
        <v>592</v>
      </c>
      <c r="P543" t="s">
        <v>711</v>
      </c>
      <c r="Q543" t="s">
        <v>586</v>
      </c>
      <c r="R543" t="s">
        <v>712</v>
      </c>
      <c r="S543" t="s">
        <v>594</v>
      </c>
      <c r="T543">
        <v>84</v>
      </c>
    </row>
    <row r="544" spans="1:20" x14ac:dyDescent="0.25">
      <c r="A544" t="s">
        <v>1615</v>
      </c>
      <c r="B544" t="s">
        <v>227</v>
      </c>
      <c r="C544" t="s">
        <v>607</v>
      </c>
      <c r="D544" t="s">
        <v>741</v>
      </c>
      <c r="E544" t="s">
        <v>1616</v>
      </c>
      <c r="F544">
        <v>0.73408855505534776</v>
      </c>
      <c r="G544">
        <v>45.274043835616439</v>
      </c>
      <c r="H544" t="s">
        <v>963</v>
      </c>
      <c r="I544" t="s">
        <v>611</v>
      </c>
      <c r="J544">
        <v>3</v>
      </c>
      <c r="K544" t="s">
        <v>861</v>
      </c>
      <c r="L544">
        <v>185000</v>
      </c>
      <c r="M544">
        <v>1.95</v>
      </c>
      <c r="N544">
        <v>45.274043835616439</v>
      </c>
      <c r="O544" t="s">
        <v>592</v>
      </c>
      <c r="P544" t="s">
        <v>745</v>
      </c>
      <c r="Q544" t="s">
        <v>586</v>
      </c>
      <c r="R544" t="s">
        <v>712</v>
      </c>
      <c r="S544" t="s">
        <v>712</v>
      </c>
      <c r="T544">
        <v>94</v>
      </c>
    </row>
    <row r="545" spans="1:20" x14ac:dyDescent="0.25">
      <c r="A545" t="s">
        <v>1617</v>
      </c>
      <c r="B545" t="s">
        <v>227</v>
      </c>
      <c r="C545" t="s">
        <v>607</v>
      </c>
      <c r="D545" t="s">
        <v>741</v>
      </c>
      <c r="E545" t="s">
        <v>1616</v>
      </c>
      <c r="F545">
        <v>1.6870960849283854</v>
      </c>
      <c r="G545">
        <v>42.593095890410936</v>
      </c>
      <c r="H545" t="s">
        <v>963</v>
      </c>
      <c r="I545" t="s">
        <v>611</v>
      </c>
      <c r="J545">
        <v>3</v>
      </c>
      <c r="K545" t="s">
        <v>682</v>
      </c>
      <c r="L545">
        <v>190000</v>
      </c>
      <c r="M545">
        <v>2.0499999999999998</v>
      </c>
      <c r="N545">
        <v>42.593095890410936</v>
      </c>
      <c r="O545" t="s">
        <v>592</v>
      </c>
      <c r="P545" t="s">
        <v>745</v>
      </c>
      <c r="Q545" t="s">
        <v>586</v>
      </c>
      <c r="R545" t="s">
        <v>712</v>
      </c>
      <c r="S545" t="s">
        <v>712</v>
      </c>
      <c r="T545">
        <v>81</v>
      </c>
    </row>
    <row r="546" spans="1:20" x14ac:dyDescent="0.25">
      <c r="A546" t="s">
        <v>1618</v>
      </c>
      <c r="B546" t="s">
        <v>227</v>
      </c>
      <c r="C546" t="s">
        <v>607</v>
      </c>
      <c r="D546" t="s">
        <v>741</v>
      </c>
      <c r="E546" t="s">
        <v>1616</v>
      </c>
      <c r="F546">
        <v>2.6126642473519297</v>
      </c>
      <c r="G546">
        <v>44.723586301369878</v>
      </c>
      <c r="H546" t="s">
        <v>963</v>
      </c>
      <c r="I546" t="s">
        <v>611</v>
      </c>
      <c r="J546">
        <v>3</v>
      </c>
      <c r="K546" t="s">
        <v>930</v>
      </c>
      <c r="L546">
        <v>200000</v>
      </c>
      <c r="M546">
        <v>2.2000000000000002</v>
      </c>
      <c r="N546">
        <v>44.723586301369878</v>
      </c>
      <c r="O546" t="s">
        <v>592</v>
      </c>
      <c r="P546" t="s">
        <v>745</v>
      </c>
      <c r="Q546" t="s">
        <v>586</v>
      </c>
      <c r="R546" t="s">
        <v>712</v>
      </c>
      <c r="S546" t="s">
        <v>712</v>
      </c>
      <c r="T546">
        <v>67</v>
      </c>
    </row>
    <row r="547" spans="1:20" x14ac:dyDescent="0.25">
      <c r="A547" t="s">
        <v>1619</v>
      </c>
      <c r="B547" t="s">
        <v>227</v>
      </c>
      <c r="C547" t="s">
        <v>607</v>
      </c>
      <c r="D547" t="s">
        <v>741</v>
      </c>
      <c r="E547" t="s">
        <v>1616</v>
      </c>
      <c r="F547">
        <v>3.511797429649532</v>
      </c>
      <c r="G547">
        <v>42.678660273972582</v>
      </c>
      <c r="H547" t="s">
        <v>963</v>
      </c>
      <c r="I547" t="s">
        <v>611</v>
      </c>
      <c r="J547">
        <v>3</v>
      </c>
      <c r="K547" t="s">
        <v>684</v>
      </c>
      <c r="L547">
        <v>200000</v>
      </c>
      <c r="M547">
        <v>2.3000000000000003</v>
      </c>
      <c r="N547">
        <v>42.678660273972582</v>
      </c>
      <c r="O547" t="s">
        <v>592</v>
      </c>
      <c r="P547" t="s">
        <v>745</v>
      </c>
      <c r="Q547" t="s">
        <v>586</v>
      </c>
      <c r="R547" t="s">
        <v>712</v>
      </c>
      <c r="S547" t="s">
        <v>712</v>
      </c>
      <c r="T547">
        <v>57</v>
      </c>
    </row>
    <row r="548" spans="1:20" x14ac:dyDescent="0.25">
      <c r="A548" t="s">
        <v>1620</v>
      </c>
      <c r="B548" t="s">
        <v>227</v>
      </c>
      <c r="C548" t="s">
        <v>607</v>
      </c>
      <c r="D548" t="s">
        <v>741</v>
      </c>
      <c r="E548" t="s">
        <v>1616</v>
      </c>
      <c r="F548">
        <v>4.3852752241138955</v>
      </c>
      <c r="G548">
        <v>47.718030136986322</v>
      </c>
      <c r="H548" t="s">
        <v>963</v>
      </c>
      <c r="I548" t="s">
        <v>611</v>
      </c>
      <c r="J548">
        <v>3</v>
      </c>
      <c r="K548" t="s">
        <v>701</v>
      </c>
      <c r="L548">
        <v>205000</v>
      </c>
      <c r="M548">
        <v>2.4500000000000002</v>
      </c>
      <c r="N548">
        <v>47.718030136986322</v>
      </c>
      <c r="O548" t="s">
        <v>592</v>
      </c>
      <c r="P548" t="s">
        <v>745</v>
      </c>
      <c r="Q548" t="s">
        <v>586</v>
      </c>
      <c r="R548" t="s">
        <v>712</v>
      </c>
      <c r="S548" t="s">
        <v>712</v>
      </c>
      <c r="T548">
        <v>49</v>
      </c>
    </row>
    <row r="549" spans="1:20" x14ac:dyDescent="0.25">
      <c r="A549" t="s">
        <v>1621</v>
      </c>
      <c r="B549" t="s">
        <v>209</v>
      </c>
      <c r="C549" t="s">
        <v>607</v>
      </c>
      <c r="D549" t="s">
        <v>608</v>
      </c>
      <c r="E549" t="s">
        <v>977</v>
      </c>
      <c r="F549">
        <v>5.5551485722751259E-3</v>
      </c>
      <c r="G549">
        <v>39.654915605514951</v>
      </c>
      <c r="H549" t="s">
        <v>1030</v>
      </c>
      <c r="I549" t="s">
        <v>611</v>
      </c>
      <c r="J549">
        <v>4</v>
      </c>
      <c r="K549" t="s">
        <v>995</v>
      </c>
      <c r="L549">
        <v>135000</v>
      </c>
      <c r="M549">
        <v>2.2000000000000002</v>
      </c>
      <c r="N549">
        <v>39.654915605514951</v>
      </c>
      <c r="O549" t="s">
        <v>592</v>
      </c>
      <c r="P549" t="s">
        <v>613</v>
      </c>
      <c r="Q549" t="s">
        <v>586</v>
      </c>
      <c r="R549" t="s">
        <v>712</v>
      </c>
      <c r="S549" t="s">
        <v>712</v>
      </c>
      <c r="T549">
        <v>98</v>
      </c>
    </row>
    <row r="550" spans="1:20" x14ac:dyDescent="0.25">
      <c r="A550" t="s">
        <v>1622</v>
      </c>
      <c r="B550" t="s">
        <v>209</v>
      </c>
      <c r="C550" t="s">
        <v>607</v>
      </c>
      <c r="D550" t="s">
        <v>608</v>
      </c>
      <c r="E550" t="s">
        <v>977</v>
      </c>
      <c r="F550">
        <v>0.98234855504614049</v>
      </c>
      <c r="G550">
        <v>40.159621582023149</v>
      </c>
      <c r="H550" t="s">
        <v>1030</v>
      </c>
      <c r="I550" t="s">
        <v>611</v>
      </c>
      <c r="J550">
        <v>2.25</v>
      </c>
      <c r="K550" t="s">
        <v>646</v>
      </c>
      <c r="L550">
        <v>140000</v>
      </c>
      <c r="M550">
        <v>2.35</v>
      </c>
      <c r="N550">
        <v>40.159621582023149</v>
      </c>
      <c r="O550" t="s">
        <v>592</v>
      </c>
      <c r="P550" t="s">
        <v>613</v>
      </c>
      <c r="Q550" t="s">
        <v>586</v>
      </c>
      <c r="R550" t="s">
        <v>712</v>
      </c>
      <c r="S550" t="s">
        <v>712</v>
      </c>
      <c r="T550">
        <v>85</v>
      </c>
    </row>
    <row r="551" spans="1:20" x14ac:dyDescent="0.25">
      <c r="A551" t="s">
        <v>1623</v>
      </c>
      <c r="B551" t="s">
        <v>228</v>
      </c>
      <c r="C551" t="s">
        <v>586</v>
      </c>
      <c r="D551" t="s">
        <v>587</v>
      </c>
      <c r="E551" t="s">
        <v>1245</v>
      </c>
      <c r="F551">
        <v>5.554049985052472E-3</v>
      </c>
      <c r="G551">
        <v>-2.3638904109589021</v>
      </c>
      <c r="H551" t="s">
        <v>610</v>
      </c>
      <c r="I551" t="s">
        <v>1624</v>
      </c>
      <c r="J551">
        <v>5</v>
      </c>
      <c r="K551" t="s">
        <v>995</v>
      </c>
      <c r="L551">
        <v>100000</v>
      </c>
      <c r="M551">
        <v>1.47</v>
      </c>
      <c r="N551">
        <v>-2.3638904109589021</v>
      </c>
      <c r="O551" t="s">
        <v>592</v>
      </c>
      <c r="P551" t="s">
        <v>593</v>
      </c>
      <c r="Q551" t="s">
        <v>586</v>
      </c>
      <c r="R551">
        <v>30000</v>
      </c>
      <c r="S551" t="s">
        <v>599</v>
      </c>
      <c r="T551">
        <v>98</v>
      </c>
    </row>
    <row r="552" spans="1:20" x14ac:dyDescent="0.25">
      <c r="A552" t="s">
        <v>1625</v>
      </c>
      <c r="B552" t="s">
        <v>228</v>
      </c>
      <c r="C552" t="s">
        <v>586</v>
      </c>
      <c r="D552" t="s">
        <v>587</v>
      </c>
      <c r="E552" t="s">
        <v>1245</v>
      </c>
      <c r="F552">
        <v>1.9119050313953547</v>
      </c>
      <c r="G552">
        <v>-10.508534246575319</v>
      </c>
      <c r="H552" t="s">
        <v>610</v>
      </c>
      <c r="I552" t="s">
        <v>1624</v>
      </c>
      <c r="J552">
        <v>5</v>
      </c>
      <c r="K552" t="s">
        <v>729</v>
      </c>
      <c r="L552">
        <v>2370000</v>
      </c>
      <c r="M552">
        <v>1.6</v>
      </c>
      <c r="N552">
        <v>-10.508534246575319</v>
      </c>
      <c r="O552" t="s">
        <v>592</v>
      </c>
      <c r="P552" t="s">
        <v>593</v>
      </c>
      <c r="Q552" t="s">
        <v>586</v>
      </c>
      <c r="R552">
        <v>135000</v>
      </c>
      <c r="S552" t="s">
        <v>599</v>
      </c>
      <c r="T552">
        <v>73</v>
      </c>
    </row>
    <row r="553" spans="1:20" x14ac:dyDescent="0.25">
      <c r="A553" t="s">
        <v>1626</v>
      </c>
      <c r="B553" t="s">
        <v>228</v>
      </c>
      <c r="C553" t="s">
        <v>586</v>
      </c>
      <c r="D553" t="s">
        <v>587</v>
      </c>
      <c r="E553" t="s">
        <v>1245</v>
      </c>
      <c r="F553">
        <v>3.6596143220637432</v>
      </c>
      <c r="G553">
        <v>-12.133783561643829</v>
      </c>
      <c r="H553" t="s">
        <v>610</v>
      </c>
      <c r="I553" t="s">
        <v>1624</v>
      </c>
      <c r="J553">
        <v>5</v>
      </c>
      <c r="K553" t="s">
        <v>620</v>
      </c>
      <c r="L553">
        <v>2725000</v>
      </c>
      <c r="M553">
        <v>1.79</v>
      </c>
      <c r="N553">
        <v>-12.133783561643829</v>
      </c>
      <c r="O553" t="s">
        <v>592</v>
      </c>
      <c r="P553" t="s">
        <v>593</v>
      </c>
      <c r="Q553" t="s">
        <v>586</v>
      </c>
      <c r="R553">
        <v>80000</v>
      </c>
      <c r="S553" t="s">
        <v>599</v>
      </c>
      <c r="T553">
        <v>62</v>
      </c>
    </row>
    <row r="554" spans="1:20" x14ac:dyDescent="0.25">
      <c r="A554" t="s">
        <v>1627</v>
      </c>
      <c r="B554" t="s">
        <v>229</v>
      </c>
      <c r="C554" t="s">
        <v>586</v>
      </c>
      <c r="D554" t="s">
        <v>1523</v>
      </c>
      <c r="E554" t="s">
        <v>756</v>
      </c>
      <c r="F554">
        <v>1.7852136004605823</v>
      </c>
      <c r="G554">
        <v>4.7944641535030197</v>
      </c>
      <c r="H554" t="s">
        <v>743</v>
      </c>
      <c r="I554" t="s">
        <v>611</v>
      </c>
      <c r="J554">
        <v>2</v>
      </c>
      <c r="K554" t="s">
        <v>1114</v>
      </c>
      <c r="L554">
        <v>180000</v>
      </c>
      <c r="M554">
        <v>2.1</v>
      </c>
      <c r="N554">
        <v>4.7944641535030197</v>
      </c>
      <c r="O554" t="s">
        <v>592</v>
      </c>
      <c r="P554" t="s">
        <v>711</v>
      </c>
      <c r="Q554" t="s">
        <v>586</v>
      </c>
      <c r="R554" t="s">
        <v>712</v>
      </c>
      <c r="S554" t="s">
        <v>712</v>
      </c>
      <c r="T554">
        <v>65</v>
      </c>
    </row>
    <row r="555" spans="1:20" x14ac:dyDescent="0.25">
      <c r="A555" t="s">
        <v>1628</v>
      </c>
      <c r="B555" t="s">
        <v>229</v>
      </c>
      <c r="C555" t="s">
        <v>586</v>
      </c>
      <c r="D555" t="s">
        <v>1523</v>
      </c>
      <c r="E555" t="s">
        <v>756</v>
      </c>
      <c r="F555">
        <v>3.6459433080529275</v>
      </c>
      <c r="G555">
        <v>-4.6091563460245677</v>
      </c>
      <c r="H555" t="s">
        <v>743</v>
      </c>
      <c r="I555" t="s">
        <v>611</v>
      </c>
      <c r="J555">
        <v>2.2000000000000002</v>
      </c>
      <c r="K555" t="s">
        <v>1163</v>
      </c>
      <c r="L555">
        <v>190000</v>
      </c>
      <c r="M555">
        <v>2.3000000000000003</v>
      </c>
      <c r="N555">
        <v>-4.6091563460245677</v>
      </c>
      <c r="O555" t="s">
        <v>592</v>
      </c>
      <c r="P555" t="s">
        <v>711</v>
      </c>
      <c r="Q555" t="s">
        <v>586</v>
      </c>
      <c r="R555" t="s">
        <v>712</v>
      </c>
      <c r="S555" t="s">
        <v>712</v>
      </c>
      <c r="T555">
        <v>39</v>
      </c>
    </row>
    <row r="556" spans="1:20" x14ac:dyDescent="0.25">
      <c r="A556" t="s">
        <v>1629</v>
      </c>
      <c r="B556" t="s">
        <v>230</v>
      </c>
      <c r="C556" t="s">
        <v>586</v>
      </c>
      <c r="D556" t="s">
        <v>616</v>
      </c>
      <c r="E556" t="s">
        <v>1630</v>
      </c>
      <c r="F556">
        <v>0.32896901652207855</v>
      </c>
      <c r="G556">
        <v>35.622249956649867</v>
      </c>
      <c r="H556" t="s">
        <v>709</v>
      </c>
      <c r="I556" t="s">
        <v>661</v>
      </c>
      <c r="J556">
        <v>2</v>
      </c>
      <c r="K556" t="s">
        <v>710</v>
      </c>
      <c r="L556">
        <v>315000</v>
      </c>
      <c r="M556">
        <v>1.6</v>
      </c>
      <c r="N556">
        <v>35.622249956649867</v>
      </c>
      <c r="O556" t="s">
        <v>592</v>
      </c>
      <c r="P556" t="s">
        <v>711</v>
      </c>
      <c r="Q556" t="s">
        <v>586</v>
      </c>
      <c r="R556" t="s">
        <v>712</v>
      </c>
      <c r="S556" t="s">
        <v>712</v>
      </c>
      <c r="T556">
        <v>97</v>
      </c>
    </row>
    <row r="557" spans="1:20" x14ac:dyDescent="0.25">
      <c r="A557" t="s">
        <v>1631</v>
      </c>
      <c r="B557" t="s">
        <v>230</v>
      </c>
      <c r="C557" t="s">
        <v>586</v>
      </c>
      <c r="D557" t="s">
        <v>616</v>
      </c>
      <c r="E557" t="s">
        <v>1630</v>
      </c>
      <c r="F557">
        <v>2.2557372129372975</v>
      </c>
      <c r="G557">
        <v>36.688458490436361</v>
      </c>
      <c r="H557" t="s">
        <v>709</v>
      </c>
      <c r="I557" t="s">
        <v>661</v>
      </c>
      <c r="J557">
        <v>2</v>
      </c>
      <c r="K557" t="s">
        <v>972</v>
      </c>
      <c r="L557">
        <v>325000</v>
      </c>
      <c r="M557">
        <v>1.9000000000000001</v>
      </c>
      <c r="N557">
        <v>36.688458490436361</v>
      </c>
      <c r="O557" t="s">
        <v>592</v>
      </c>
      <c r="P557" t="s">
        <v>711</v>
      </c>
      <c r="Q557" t="s">
        <v>586</v>
      </c>
      <c r="R557" t="s">
        <v>712</v>
      </c>
      <c r="S557" t="s">
        <v>712</v>
      </c>
      <c r="T557">
        <v>71</v>
      </c>
    </row>
    <row r="558" spans="1:20" x14ac:dyDescent="0.25">
      <c r="A558" t="s">
        <v>1632</v>
      </c>
      <c r="B558" t="s">
        <v>231</v>
      </c>
      <c r="C558" t="s">
        <v>586</v>
      </c>
      <c r="D558" t="s">
        <v>990</v>
      </c>
      <c r="E558" t="s">
        <v>1614</v>
      </c>
      <c r="F558">
        <v>2.6710166863091511</v>
      </c>
      <c r="G558">
        <v>15.400477715157844</v>
      </c>
      <c r="H558" t="s">
        <v>1246</v>
      </c>
      <c r="I558" t="s">
        <v>1293</v>
      </c>
      <c r="J558">
        <v>4</v>
      </c>
      <c r="K558" t="s">
        <v>669</v>
      </c>
      <c r="L558">
        <v>365000</v>
      </c>
      <c r="M558">
        <v>1.77</v>
      </c>
      <c r="N558">
        <v>15.400477715157844</v>
      </c>
      <c r="O558" t="s">
        <v>592</v>
      </c>
      <c r="P558" t="s">
        <v>593</v>
      </c>
      <c r="Q558" t="s">
        <v>586</v>
      </c>
      <c r="R558" t="s">
        <v>712</v>
      </c>
      <c r="S558" t="s">
        <v>635</v>
      </c>
      <c r="T558">
        <v>78</v>
      </c>
    </row>
    <row r="559" spans="1:20" x14ac:dyDescent="0.25">
      <c r="A559" t="s">
        <v>1633</v>
      </c>
      <c r="B559" t="s">
        <v>74</v>
      </c>
      <c r="C559" t="s">
        <v>586</v>
      </c>
      <c r="D559" t="s">
        <v>805</v>
      </c>
      <c r="E559" t="s">
        <v>883</v>
      </c>
      <c r="F559">
        <v>4.4342711767532306</v>
      </c>
      <c r="G559">
        <v>-2.8661151065230595</v>
      </c>
      <c r="H559" t="s">
        <v>884</v>
      </c>
      <c r="I559" t="s">
        <v>885</v>
      </c>
      <c r="J559">
        <v>4</v>
      </c>
      <c r="K559" t="s">
        <v>678</v>
      </c>
      <c r="L559">
        <v>445000</v>
      </c>
      <c r="M559">
        <v>1.86</v>
      </c>
      <c r="N559">
        <v>-2.8661151065230595</v>
      </c>
      <c r="O559" t="s">
        <v>592</v>
      </c>
      <c r="P559" t="s">
        <v>711</v>
      </c>
      <c r="Q559" t="s">
        <v>586</v>
      </c>
      <c r="R559">
        <v>50000</v>
      </c>
      <c r="S559" t="s">
        <v>712</v>
      </c>
      <c r="T559">
        <v>67</v>
      </c>
    </row>
    <row r="560" spans="1:20" x14ac:dyDescent="0.25">
      <c r="A560" t="s">
        <v>1634</v>
      </c>
      <c r="B560" t="s">
        <v>74</v>
      </c>
      <c r="C560" t="s">
        <v>586</v>
      </c>
      <c r="D560" t="s">
        <v>805</v>
      </c>
      <c r="E560" t="s">
        <v>883</v>
      </c>
      <c r="F560">
        <v>0.85445208727983102</v>
      </c>
      <c r="G560">
        <v>4.7324598610901214</v>
      </c>
      <c r="H560" t="s">
        <v>884</v>
      </c>
      <c r="I560" t="s">
        <v>885</v>
      </c>
      <c r="J560">
        <v>4</v>
      </c>
      <c r="K560" t="s">
        <v>821</v>
      </c>
      <c r="L560">
        <v>715000</v>
      </c>
      <c r="M560">
        <v>1.4000000000000001</v>
      </c>
      <c r="N560">
        <v>4.7324598610901214</v>
      </c>
      <c r="O560" t="s">
        <v>592</v>
      </c>
      <c r="P560" t="s">
        <v>711</v>
      </c>
      <c r="Q560" t="s">
        <v>586</v>
      </c>
      <c r="R560">
        <v>110000</v>
      </c>
      <c r="S560" t="s">
        <v>712</v>
      </c>
      <c r="T560">
        <v>95</v>
      </c>
    </row>
    <row r="561" spans="1:20" x14ac:dyDescent="0.25">
      <c r="A561" t="s">
        <v>1635</v>
      </c>
      <c r="B561" t="s">
        <v>157</v>
      </c>
      <c r="C561" t="s">
        <v>607</v>
      </c>
      <c r="D561" t="s">
        <v>608</v>
      </c>
      <c r="E561" t="s">
        <v>1223</v>
      </c>
      <c r="F561">
        <v>1.5930347547518264</v>
      </c>
      <c r="G561">
        <v>59.890236935136507</v>
      </c>
      <c r="H561" t="s">
        <v>720</v>
      </c>
      <c r="I561" t="s">
        <v>611</v>
      </c>
      <c r="J561">
        <v>4</v>
      </c>
      <c r="K561" t="s">
        <v>905</v>
      </c>
      <c r="L561">
        <v>350000</v>
      </c>
      <c r="M561">
        <v>2.08</v>
      </c>
      <c r="N561">
        <v>59.890236935136507</v>
      </c>
      <c r="O561" t="s">
        <v>592</v>
      </c>
      <c r="P561" t="s">
        <v>621</v>
      </c>
      <c r="Q561" t="s">
        <v>586</v>
      </c>
      <c r="R561" t="s">
        <v>712</v>
      </c>
      <c r="S561" t="s">
        <v>712</v>
      </c>
      <c r="T561">
        <v>76</v>
      </c>
    </row>
    <row r="562" spans="1:20" x14ac:dyDescent="0.25">
      <c r="A562" t="s">
        <v>1636</v>
      </c>
      <c r="B562" t="s">
        <v>157</v>
      </c>
      <c r="C562" t="s">
        <v>607</v>
      </c>
      <c r="D562" t="s">
        <v>608</v>
      </c>
      <c r="E562" t="s">
        <v>1223</v>
      </c>
      <c r="F562">
        <v>2.4714140152171979</v>
      </c>
      <c r="G562">
        <v>64.058981787767451</v>
      </c>
      <c r="H562" t="s">
        <v>720</v>
      </c>
      <c r="I562" t="s">
        <v>611</v>
      </c>
      <c r="J562">
        <v>5</v>
      </c>
      <c r="K562" t="s">
        <v>734</v>
      </c>
      <c r="L562">
        <v>360000</v>
      </c>
      <c r="M562">
        <v>2.2800000000000002</v>
      </c>
      <c r="N562">
        <v>64.058981787767451</v>
      </c>
      <c r="O562" t="s">
        <v>592</v>
      </c>
      <c r="P562" t="s">
        <v>621</v>
      </c>
      <c r="Q562" t="s">
        <v>586</v>
      </c>
      <c r="R562" t="s">
        <v>712</v>
      </c>
      <c r="S562" t="s">
        <v>712</v>
      </c>
      <c r="T562">
        <v>64</v>
      </c>
    </row>
    <row r="563" spans="1:20" x14ac:dyDescent="0.25">
      <c r="A563" t="s">
        <v>1637</v>
      </c>
      <c r="B563" t="s">
        <v>157</v>
      </c>
      <c r="C563" t="s">
        <v>607</v>
      </c>
      <c r="D563" t="s">
        <v>608</v>
      </c>
      <c r="E563" t="s">
        <v>1223</v>
      </c>
      <c r="F563">
        <v>3.3245492146564204</v>
      </c>
      <c r="G563">
        <v>74.529153579789508</v>
      </c>
      <c r="H563" t="s">
        <v>720</v>
      </c>
      <c r="I563" t="s">
        <v>611</v>
      </c>
      <c r="J563">
        <v>5</v>
      </c>
      <c r="K563" t="s">
        <v>838</v>
      </c>
      <c r="L563">
        <v>380000</v>
      </c>
      <c r="M563">
        <v>2.5300000000000002</v>
      </c>
      <c r="N563">
        <v>74.529153579789508</v>
      </c>
      <c r="O563" t="s">
        <v>592</v>
      </c>
      <c r="P563" t="s">
        <v>621</v>
      </c>
      <c r="Q563" t="s">
        <v>586</v>
      </c>
      <c r="R563" t="s">
        <v>712</v>
      </c>
      <c r="S563" t="s">
        <v>712</v>
      </c>
      <c r="T563">
        <v>55</v>
      </c>
    </row>
    <row r="564" spans="1:20" x14ac:dyDescent="0.25">
      <c r="A564" t="s">
        <v>1638</v>
      </c>
      <c r="B564" t="s">
        <v>90</v>
      </c>
      <c r="C564" t="s">
        <v>586</v>
      </c>
      <c r="D564" t="s">
        <v>805</v>
      </c>
      <c r="E564" t="s">
        <v>953</v>
      </c>
      <c r="F564">
        <v>3.367559193692292</v>
      </c>
      <c r="G564">
        <v>14.517565925508592</v>
      </c>
      <c r="H564" t="s">
        <v>954</v>
      </c>
      <c r="I564" t="s">
        <v>611</v>
      </c>
      <c r="J564">
        <v>5</v>
      </c>
      <c r="K564" t="s">
        <v>688</v>
      </c>
      <c r="L564">
        <v>1055000</v>
      </c>
      <c r="M564">
        <v>1.9100000000000001</v>
      </c>
      <c r="N564">
        <v>14.517565925508592</v>
      </c>
      <c r="O564" t="s">
        <v>592</v>
      </c>
      <c r="P564" t="s">
        <v>593</v>
      </c>
      <c r="Q564" t="s">
        <v>586</v>
      </c>
      <c r="R564" t="s">
        <v>712</v>
      </c>
      <c r="S564" t="s">
        <v>712</v>
      </c>
      <c r="T564">
        <v>78</v>
      </c>
    </row>
    <row r="565" spans="1:20" x14ac:dyDescent="0.25">
      <c r="A565" t="s">
        <v>1639</v>
      </c>
      <c r="B565" t="s">
        <v>203</v>
      </c>
      <c r="C565" t="s">
        <v>607</v>
      </c>
      <c r="D565" t="s">
        <v>608</v>
      </c>
      <c r="E565" t="s">
        <v>1494</v>
      </c>
      <c r="F565">
        <v>1.4789101183559741</v>
      </c>
      <c r="G565">
        <v>56.836291002598131</v>
      </c>
      <c r="H565" t="s">
        <v>1256</v>
      </c>
      <c r="I565" t="s">
        <v>661</v>
      </c>
      <c r="J565">
        <v>3</v>
      </c>
      <c r="K565" t="s">
        <v>1001</v>
      </c>
      <c r="L565">
        <v>40000</v>
      </c>
      <c r="M565">
        <v>2.25</v>
      </c>
      <c r="N565">
        <v>56.836291002598131</v>
      </c>
      <c r="O565" t="s">
        <v>592</v>
      </c>
      <c r="P565" t="s">
        <v>613</v>
      </c>
      <c r="Q565" t="s">
        <v>586</v>
      </c>
      <c r="R565" t="s">
        <v>712</v>
      </c>
      <c r="S565" t="s">
        <v>878</v>
      </c>
      <c r="T565">
        <v>82</v>
      </c>
    </row>
    <row r="566" spans="1:20" x14ac:dyDescent="0.25">
      <c r="A566" t="s">
        <v>1640</v>
      </c>
      <c r="B566" t="s">
        <v>208</v>
      </c>
      <c r="C566" t="s">
        <v>586</v>
      </c>
      <c r="D566" t="s">
        <v>863</v>
      </c>
      <c r="E566" t="s">
        <v>1516</v>
      </c>
      <c r="F566">
        <v>1.5071164165750359</v>
      </c>
      <c r="G566">
        <v>82.732612512341589</v>
      </c>
      <c r="H566" t="s">
        <v>1517</v>
      </c>
      <c r="I566" t="s">
        <v>1518</v>
      </c>
      <c r="J566">
        <v>4</v>
      </c>
      <c r="K566" t="s">
        <v>634</v>
      </c>
      <c r="L566">
        <v>495000</v>
      </c>
      <c r="M566">
        <v>2.4500000000000002</v>
      </c>
      <c r="N566">
        <v>82.732612512341589</v>
      </c>
      <c r="O566" t="s">
        <v>592</v>
      </c>
      <c r="P566" t="s">
        <v>593</v>
      </c>
      <c r="Q566" t="s">
        <v>586</v>
      </c>
      <c r="R566" t="s">
        <v>712</v>
      </c>
      <c r="S566" t="s">
        <v>712</v>
      </c>
      <c r="T566">
        <v>85</v>
      </c>
    </row>
    <row r="567" spans="1:20" x14ac:dyDescent="0.25">
      <c r="A567" t="s">
        <v>1641</v>
      </c>
      <c r="B567" t="s">
        <v>208</v>
      </c>
      <c r="C567" t="s">
        <v>586</v>
      </c>
      <c r="D567" t="s">
        <v>863</v>
      </c>
      <c r="E567" t="s">
        <v>1516</v>
      </c>
      <c r="F567">
        <v>2.4127900347580531</v>
      </c>
      <c r="G567">
        <v>86.652339600808844</v>
      </c>
      <c r="H567" t="s">
        <v>1517</v>
      </c>
      <c r="I567" t="s">
        <v>1518</v>
      </c>
      <c r="J567">
        <v>4</v>
      </c>
      <c r="K567" t="s">
        <v>959</v>
      </c>
      <c r="L567">
        <v>510000</v>
      </c>
      <c r="M567">
        <v>2.65</v>
      </c>
      <c r="N567">
        <v>86.652339600808844</v>
      </c>
      <c r="O567" t="s">
        <v>592</v>
      </c>
      <c r="P567" t="s">
        <v>593</v>
      </c>
      <c r="Q567" t="s">
        <v>586</v>
      </c>
      <c r="R567" t="s">
        <v>712</v>
      </c>
      <c r="S567" t="s">
        <v>712</v>
      </c>
      <c r="T567">
        <v>73</v>
      </c>
    </row>
    <row r="568" spans="1:20" x14ac:dyDescent="0.25">
      <c r="A568" t="s">
        <v>1642</v>
      </c>
      <c r="B568" t="s">
        <v>208</v>
      </c>
      <c r="C568" t="s">
        <v>586</v>
      </c>
      <c r="D568" t="s">
        <v>863</v>
      </c>
      <c r="E568" t="s">
        <v>1516</v>
      </c>
      <c r="F568">
        <v>4.2122433355389708</v>
      </c>
      <c r="G568">
        <v>86.239307020155834</v>
      </c>
      <c r="H568" t="s">
        <v>1517</v>
      </c>
      <c r="I568" t="s">
        <v>1518</v>
      </c>
      <c r="J568">
        <v>3</v>
      </c>
      <c r="K568" t="s">
        <v>1133</v>
      </c>
      <c r="L568">
        <v>555000</v>
      </c>
      <c r="M568">
        <v>2.91</v>
      </c>
      <c r="N568">
        <v>86.239307020155834</v>
      </c>
      <c r="O568" t="s">
        <v>592</v>
      </c>
      <c r="P568" t="s">
        <v>593</v>
      </c>
      <c r="Q568" t="s">
        <v>586</v>
      </c>
      <c r="R568" t="s">
        <v>712</v>
      </c>
      <c r="S568" t="s">
        <v>712</v>
      </c>
      <c r="T568">
        <v>45</v>
      </c>
    </row>
    <row r="569" spans="1:20" x14ac:dyDescent="0.25">
      <c r="A569" t="s">
        <v>1643</v>
      </c>
      <c r="B569" t="s">
        <v>228</v>
      </c>
      <c r="C569" t="s">
        <v>586</v>
      </c>
      <c r="D569" t="s">
        <v>587</v>
      </c>
      <c r="E569" t="s">
        <v>1245</v>
      </c>
      <c r="F569">
        <v>0.9782963357805321</v>
      </c>
      <c r="G569">
        <v>-7.3145342465753327</v>
      </c>
      <c r="H569" t="s">
        <v>610</v>
      </c>
      <c r="I569" t="s">
        <v>1624</v>
      </c>
      <c r="J569">
        <v>5</v>
      </c>
      <c r="K569" t="s">
        <v>646</v>
      </c>
      <c r="L569">
        <v>1825000</v>
      </c>
      <c r="M569">
        <v>1.53</v>
      </c>
      <c r="N569">
        <v>-7.3145342465753327</v>
      </c>
      <c r="O569" t="s">
        <v>592</v>
      </c>
      <c r="P569" t="s">
        <v>593</v>
      </c>
      <c r="Q569" t="s">
        <v>586</v>
      </c>
      <c r="R569">
        <v>240000</v>
      </c>
      <c r="S569" t="s">
        <v>599</v>
      </c>
      <c r="T569">
        <v>83</v>
      </c>
    </row>
    <row r="570" spans="1:20" x14ac:dyDescent="0.25">
      <c r="A570" t="s">
        <v>1644</v>
      </c>
      <c r="B570" t="s">
        <v>228</v>
      </c>
      <c r="C570" t="s">
        <v>586</v>
      </c>
      <c r="D570" t="s">
        <v>587</v>
      </c>
      <c r="E570" t="s">
        <v>1245</v>
      </c>
      <c r="F570">
        <v>2.8045875244023506</v>
      </c>
      <c r="G570">
        <v>-12.263657534246587</v>
      </c>
      <c r="H570" t="s">
        <v>610</v>
      </c>
      <c r="I570" t="s">
        <v>1624</v>
      </c>
      <c r="J570">
        <v>5</v>
      </c>
      <c r="K570" t="s">
        <v>817</v>
      </c>
      <c r="L570">
        <v>2530000</v>
      </c>
      <c r="M570">
        <v>1.69</v>
      </c>
      <c r="N570">
        <v>-12.263657534246587</v>
      </c>
      <c r="O570" t="s">
        <v>592</v>
      </c>
      <c r="P570" t="s">
        <v>593</v>
      </c>
      <c r="Q570" t="s">
        <v>586</v>
      </c>
      <c r="R570">
        <v>25000</v>
      </c>
      <c r="S570" t="s">
        <v>599</v>
      </c>
      <c r="T570">
        <v>65</v>
      </c>
    </row>
    <row r="571" spans="1:20" x14ac:dyDescent="0.25">
      <c r="A571" t="s">
        <v>1645</v>
      </c>
      <c r="B571" t="s">
        <v>228</v>
      </c>
      <c r="C571" t="s">
        <v>586</v>
      </c>
      <c r="D571" t="s">
        <v>587</v>
      </c>
      <c r="E571" t="s">
        <v>1245</v>
      </c>
      <c r="F571">
        <v>4.4802581489771658</v>
      </c>
      <c r="G571">
        <v>-9.0420602739726075</v>
      </c>
      <c r="H571" t="s">
        <v>610</v>
      </c>
      <c r="I571" t="s">
        <v>1624</v>
      </c>
      <c r="J571">
        <v>5</v>
      </c>
      <c r="K571" t="s">
        <v>1023</v>
      </c>
      <c r="L571">
        <v>3035000</v>
      </c>
      <c r="M571">
        <v>1.8900000000000001</v>
      </c>
      <c r="N571">
        <v>-9.0420602739726075</v>
      </c>
      <c r="O571" t="s">
        <v>592</v>
      </c>
      <c r="P571" t="s">
        <v>593</v>
      </c>
      <c r="Q571" t="s">
        <v>586</v>
      </c>
      <c r="R571">
        <v>15000</v>
      </c>
      <c r="S571" t="s">
        <v>599</v>
      </c>
      <c r="T571">
        <v>60</v>
      </c>
    </row>
    <row r="572" spans="1:20" x14ac:dyDescent="0.25">
      <c r="A572" t="s">
        <v>1646</v>
      </c>
      <c r="B572" t="s">
        <v>229</v>
      </c>
      <c r="C572" t="s">
        <v>586</v>
      </c>
      <c r="D572" t="s">
        <v>1523</v>
      </c>
      <c r="E572" t="s">
        <v>756</v>
      </c>
      <c r="F572">
        <v>0.82000520401511889</v>
      </c>
      <c r="G572">
        <v>11.40413393886719</v>
      </c>
      <c r="H572" t="s">
        <v>743</v>
      </c>
      <c r="I572" t="s">
        <v>611</v>
      </c>
      <c r="J572">
        <v>1.9</v>
      </c>
      <c r="K572" t="s">
        <v>984</v>
      </c>
      <c r="L572">
        <v>180000</v>
      </c>
      <c r="M572">
        <v>2</v>
      </c>
      <c r="N572">
        <v>11.40413393886719</v>
      </c>
      <c r="O572" t="s">
        <v>592</v>
      </c>
      <c r="P572" t="s">
        <v>711</v>
      </c>
      <c r="Q572" t="s">
        <v>586</v>
      </c>
      <c r="R572" t="s">
        <v>712</v>
      </c>
      <c r="S572" t="s">
        <v>712</v>
      </c>
      <c r="T572">
        <v>82</v>
      </c>
    </row>
    <row r="573" spans="1:20" x14ac:dyDescent="0.25">
      <c r="A573" t="s">
        <v>1647</v>
      </c>
      <c r="B573" t="s">
        <v>229</v>
      </c>
      <c r="C573" t="s">
        <v>586</v>
      </c>
      <c r="D573" t="s">
        <v>1523</v>
      </c>
      <c r="E573" t="s">
        <v>756</v>
      </c>
      <c r="F573">
        <v>2.7279753393734754</v>
      </c>
      <c r="G573">
        <v>-1.0047390402578404</v>
      </c>
      <c r="H573" t="s">
        <v>743</v>
      </c>
      <c r="I573" t="s">
        <v>611</v>
      </c>
      <c r="J573">
        <v>2.1</v>
      </c>
      <c r="K573" t="s">
        <v>669</v>
      </c>
      <c r="L573">
        <v>185000</v>
      </c>
      <c r="M573">
        <v>2.2000000000000002</v>
      </c>
      <c r="N573">
        <v>-1.0047390402578404</v>
      </c>
      <c r="O573" t="s">
        <v>592</v>
      </c>
      <c r="P573" t="s">
        <v>711</v>
      </c>
      <c r="Q573" t="s">
        <v>586</v>
      </c>
      <c r="R573" t="s">
        <v>712</v>
      </c>
      <c r="S573" t="s">
        <v>712</v>
      </c>
      <c r="T573">
        <v>49</v>
      </c>
    </row>
    <row r="574" spans="1:20" x14ac:dyDescent="0.25">
      <c r="A574" t="s">
        <v>1648</v>
      </c>
      <c r="B574" t="s">
        <v>230</v>
      </c>
      <c r="C574" t="s">
        <v>586</v>
      </c>
      <c r="D574" t="s">
        <v>616</v>
      </c>
      <c r="E574" t="s">
        <v>1630</v>
      </c>
      <c r="F574">
        <v>1.3022441321490459</v>
      </c>
      <c r="G574">
        <v>36.34507487995635</v>
      </c>
      <c r="H574" t="s">
        <v>709</v>
      </c>
      <c r="I574" t="s">
        <v>661</v>
      </c>
      <c r="J574">
        <v>2</v>
      </c>
      <c r="K574" t="s">
        <v>758</v>
      </c>
      <c r="L574">
        <v>320000</v>
      </c>
      <c r="M574">
        <v>1.75</v>
      </c>
      <c r="N574">
        <v>36.34507487995635</v>
      </c>
      <c r="O574" t="s">
        <v>592</v>
      </c>
      <c r="P574" t="s">
        <v>711</v>
      </c>
      <c r="Q574" t="s">
        <v>586</v>
      </c>
      <c r="R574" t="s">
        <v>712</v>
      </c>
      <c r="S574" t="s">
        <v>712</v>
      </c>
      <c r="T574">
        <v>81</v>
      </c>
    </row>
    <row r="575" spans="1:20" x14ac:dyDescent="0.25">
      <c r="A575" t="s">
        <v>1649</v>
      </c>
      <c r="B575" t="s">
        <v>230</v>
      </c>
      <c r="C575" t="s">
        <v>586</v>
      </c>
      <c r="D575" t="s">
        <v>616</v>
      </c>
      <c r="E575" t="s">
        <v>1630</v>
      </c>
      <c r="F575">
        <v>3.1439067616720067</v>
      </c>
      <c r="G575">
        <v>42.321146427454103</v>
      </c>
      <c r="H575" t="s">
        <v>709</v>
      </c>
      <c r="I575" t="s">
        <v>661</v>
      </c>
      <c r="J575">
        <v>3</v>
      </c>
      <c r="K575" t="s">
        <v>938</v>
      </c>
      <c r="L575">
        <v>335000</v>
      </c>
      <c r="M575">
        <v>2.1</v>
      </c>
      <c r="N575">
        <v>42.321146427454103</v>
      </c>
      <c r="O575" t="s">
        <v>592</v>
      </c>
      <c r="P575" t="s">
        <v>711</v>
      </c>
      <c r="Q575" t="s">
        <v>586</v>
      </c>
      <c r="R575" t="s">
        <v>712</v>
      </c>
      <c r="S575" t="s">
        <v>712</v>
      </c>
      <c r="T575">
        <v>68</v>
      </c>
    </row>
    <row r="576" spans="1:20" x14ac:dyDescent="0.25">
      <c r="A576" t="s">
        <v>1650</v>
      </c>
      <c r="B576" t="s">
        <v>231</v>
      </c>
      <c r="C576" t="s">
        <v>586</v>
      </c>
      <c r="D576" t="s">
        <v>990</v>
      </c>
      <c r="E576" t="s">
        <v>1614</v>
      </c>
      <c r="F576">
        <v>0.81605145267245294</v>
      </c>
      <c r="G576">
        <v>11.238282132461652</v>
      </c>
      <c r="H576" t="s">
        <v>1246</v>
      </c>
      <c r="I576" t="s">
        <v>1293</v>
      </c>
      <c r="J576">
        <v>4</v>
      </c>
      <c r="K576" t="s">
        <v>984</v>
      </c>
      <c r="L576">
        <v>340000</v>
      </c>
      <c r="M576">
        <v>1.44</v>
      </c>
      <c r="N576">
        <v>11.238282132461652</v>
      </c>
      <c r="O576" t="s">
        <v>592</v>
      </c>
      <c r="P576" t="s">
        <v>593</v>
      </c>
      <c r="Q576" t="s">
        <v>586</v>
      </c>
      <c r="R576" t="s">
        <v>712</v>
      </c>
      <c r="S576" t="s">
        <v>635</v>
      </c>
      <c r="T576">
        <v>90</v>
      </c>
    </row>
    <row r="577" spans="1:20" x14ac:dyDescent="0.25">
      <c r="A577" t="s">
        <v>1651</v>
      </c>
      <c r="B577" t="s">
        <v>231</v>
      </c>
      <c r="C577" t="s">
        <v>586</v>
      </c>
      <c r="D577" t="s">
        <v>990</v>
      </c>
      <c r="E577" t="s">
        <v>1614</v>
      </c>
      <c r="F577">
        <v>1.7606625563782208</v>
      </c>
      <c r="G577">
        <v>12.885623676931468</v>
      </c>
      <c r="H577" t="s">
        <v>1246</v>
      </c>
      <c r="I577" t="s">
        <v>1293</v>
      </c>
      <c r="J577">
        <v>4</v>
      </c>
      <c r="K577" t="s">
        <v>1114</v>
      </c>
      <c r="L577">
        <v>350000</v>
      </c>
      <c r="M577">
        <v>1.6</v>
      </c>
      <c r="N577">
        <v>12.885623676931468</v>
      </c>
      <c r="O577" t="s">
        <v>592</v>
      </c>
      <c r="P577" t="s">
        <v>593</v>
      </c>
      <c r="Q577" t="s">
        <v>586</v>
      </c>
      <c r="R577" t="s">
        <v>712</v>
      </c>
      <c r="S577" t="s">
        <v>635</v>
      </c>
      <c r="T577">
        <v>81</v>
      </c>
    </row>
    <row r="578" spans="1:20" x14ac:dyDescent="0.25">
      <c r="A578" t="s">
        <v>1652</v>
      </c>
      <c r="B578" t="s">
        <v>231</v>
      </c>
      <c r="C578" t="s">
        <v>586</v>
      </c>
      <c r="D578" t="s">
        <v>990</v>
      </c>
      <c r="E578" t="s">
        <v>1614</v>
      </c>
      <c r="F578">
        <v>3.5490345604905666</v>
      </c>
      <c r="G578">
        <v>19.101685837958993</v>
      </c>
      <c r="H578" t="s">
        <v>1246</v>
      </c>
      <c r="I578" t="s">
        <v>1293</v>
      </c>
      <c r="J578">
        <v>4</v>
      </c>
      <c r="K578" t="s">
        <v>1163</v>
      </c>
      <c r="L578">
        <v>380000</v>
      </c>
      <c r="M578">
        <v>1.94</v>
      </c>
      <c r="N578">
        <v>19.101685837958993</v>
      </c>
      <c r="O578" t="s">
        <v>592</v>
      </c>
      <c r="P578" t="s">
        <v>593</v>
      </c>
      <c r="Q578" t="s">
        <v>586</v>
      </c>
      <c r="R578" t="s">
        <v>712</v>
      </c>
      <c r="S578" t="s">
        <v>635</v>
      </c>
      <c r="T578">
        <v>76</v>
      </c>
    </row>
    <row r="579" spans="1:20" x14ac:dyDescent="0.25">
      <c r="A579" t="s">
        <v>1653</v>
      </c>
      <c r="B579" t="s">
        <v>231</v>
      </c>
      <c r="C579" t="s">
        <v>586</v>
      </c>
      <c r="D579" t="s">
        <v>990</v>
      </c>
      <c r="E579" t="s">
        <v>1614</v>
      </c>
      <c r="F579">
        <v>4.3964261247610503</v>
      </c>
      <c r="G579">
        <v>23.366415343970502</v>
      </c>
      <c r="H579" t="s">
        <v>1246</v>
      </c>
      <c r="I579" t="s">
        <v>1293</v>
      </c>
      <c r="J579">
        <v>4</v>
      </c>
      <c r="K579" t="s">
        <v>722</v>
      </c>
      <c r="L579">
        <v>395000</v>
      </c>
      <c r="M579">
        <v>2.09</v>
      </c>
      <c r="N579">
        <v>23.366415343970502</v>
      </c>
      <c r="O579" t="s">
        <v>592</v>
      </c>
      <c r="P579" t="s">
        <v>593</v>
      </c>
      <c r="Q579" t="s">
        <v>586</v>
      </c>
      <c r="R579" t="s">
        <v>712</v>
      </c>
      <c r="S579" t="s">
        <v>635</v>
      </c>
      <c r="T579">
        <v>72</v>
      </c>
    </row>
    <row r="580" spans="1:20" x14ac:dyDescent="0.25">
      <c r="A580" t="s">
        <v>1654</v>
      </c>
      <c r="B580" t="s">
        <v>74</v>
      </c>
      <c r="C580" t="s">
        <v>586</v>
      </c>
      <c r="D580" t="s">
        <v>805</v>
      </c>
      <c r="E580" t="s">
        <v>883</v>
      </c>
      <c r="F580">
        <v>3.5871947911821045</v>
      </c>
      <c r="G580">
        <v>-1.9564738269440385</v>
      </c>
      <c r="H580" t="s">
        <v>884</v>
      </c>
      <c r="I580" t="s">
        <v>885</v>
      </c>
      <c r="J580">
        <v>4</v>
      </c>
      <c r="K580" t="s">
        <v>704</v>
      </c>
      <c r="L580">
        <v>445000</v>
      </c>
      <c r="M580">
        <v>1.76</v>
      </c>
      <c r="N580">
        <v>-1.9564738269440385</v>
      </c>
      <c r="O580" t="s">
        <v>592</v>
      </c>
      <c r="P580" t="s">
        <v>711</v>
      </c>
      <c r="Q580" t="s">
        <v>586</v>
      </c>
      <c r="R580" t="s">
        <v>712</v>
      </c>
      <c r="S580" t="s">
        <v>712</v>
      </c>
      <c r="T580">
        <v>73</v>
      </c>
    </row>
    <row r="581" spans="1:20" x14ac:dyDescent="0.25">
      <c r="A581" t="s">
        <v>1655</v>
      </c>
      <c r="B581" t="s">
        <v>207</v>
      </c>
      <c r="C581" t="s">
        <v>586</v>
      </c>
      <c r="D581" t="s">
        <v>608</v>
      </c>
      <c r="E581" t="s">
        <v>1513</v>
      </c>
      <c r="F581">
        <v>3.703111451925567</v>
      </c>
      <c r="G581">
        <v>31.341334246575347</v>
      </c>
      <c r="H581" t="s">
        <v>1143</v>
      </c>
      <c r="I581" t="s">
        <v>721</v>
      </c>
      <c r="J581">
        <v>4</v>
      </c>
      <c r="K581" t="s">
        <v>620</v>
      </c>
      <c r="L581">
        <v>90000</v>
      </c>
      <c r="M581">
        <v>2.1</v>
      </c>
      <c r="N581">
        <v>31.341334246575347</v>
      </c>
      <c r="O581" t="s">
        <v>592</v>
      </c>
      <c r="P581" t="s">
        <v>613</v>
      </c>
      <c r="Q581" t="s">
        <v>586</v>
      </c>
      <c r="R581" t="s">
        <v>712</v>
      </c>
      <c r="S581" t="s">
        <v>712</v>
      </c>
      <c r="T581">
        <v>61</v>
      </c>
    </row>
    <row r="582" spans="1:20" x14ac:dyDescent="0.25">
      <c r="A582" t="s">
        <v>1656</v>
      </c>
      <c r="B582" t="s">
        <v>207</v>
      </c>
      <c r="C582" t="s">
        <v>586</v>
      </c>
      <c r="D582" t="s">
        <v>608</v>
      </c>
      <c r="E582" t="s">
        <v>1513</v>
      </c>
      <c r="F582">
        <v>4.5465834341033151</v>
      </c>
      <c r="G582">
        <v>30.780553424657555</v>
      </c>
      <c r="H582" t="s">
        <v>1143</v>
      </c>
      <c r="I582" t="s">
        <v>721</v>
      </c>
      <c r="J582">
        <v>4</v>
      </c>
      <c r="K582" t="s">
        <v>1023</v>
      </c>
      <c r="L582">
        <v>95000</v>
      </c>
      <c r="M582">
        <v>2.2000000000000002</v>
      </c>
      <c r="N582">
        <v>30.780553424657555</v>
      </c>
      <c r="O582" t="s">
        <v>592</v>
      </c>
      <c r="P582" t="s">
        <v>613</v>
      </c>
      <c r="Q582" t="s">
        <v>586</v>
      </c>
      <c r="R582" t="s">
        <v>712</v>
      </c>
      <c r="S582" t="s">
        <v>712</v>
      </c>
      <c r="T582">
        <v>54</v>
      </c>
    </row>
    <row r="583" spans="1:20" x14ac:dyDescent="0.25">
      <c r="A583" t="s">
        <v>1657</v>
      </c>
      <c r="B583" t="s">
        <v>69</v>
      </c>
      <c r="C583" t="s">
        <v>586</v>
      </c>
      <c r="D583" t="s">
        <v>805</v>
      </c>
      <c r="E583" t="s">
        <v>858</v>
      </c>
      <c r="F583">
        <v>1.6649014451259743</v>
      </c>
      <c r="G583">
        <v>15.228518856148131</v>
      </c>
      <c r="H583" t="s">
        <v>859</v>
      </c>
      <c r="I583" t="s">
        <v>860</v>
      </c>
      <c r="J583">
        <v>5</v>
      </c>
      <c r="K583" t="s">
        <v>682</v>
      </c>
      <c r="L583">
        <v>2860000</v>
      </c>
      <c r="M583">
        <v>1.84</v>
      </c>
      <c r="N583">
        <v>15.228518856148131</v>
      </c>
      <c r="O583" t="s">
        <v>592</v>
      </c>
      <c r="P583" t="s">
        <v>593</v>
      </c>
      <c r="Q583" t="s">
        <v>586</v>
      </c>
      <c r="R583">
        <v>40000</v>
      </c>
      <c r="S583" t="s">
        <v>635</v>
      </c>
      <c r="T583">
        <v>85</v>
      </c>
    </row>
    <row r="584" spans="1:20" x14ac:dyDescent="0.25">
      <c r="A584" t="s">
        <v>1658</v>
      </c>
      <c r="B584" t="s">
        <v>232</v>
      </c>
      <c r="C584" t="s">
        <v>586</v>
      </c>
      <c r="D584" t="s">
        <v>830</v>
      </c>
      <c r="E584" t="s">
        <v>831</v>
      </c>
      <c r="F584">
        <v>1.8654949694805376</v>
      </c>
      <c r="G584">
        <v>48.721983596249665</v>
      </c>
      <c r="H584" t="s">
        <v>1136</v>
      </c>
      <c r="I584" t="s">
        <v>860</v>
      </c>
      <c r="J584">
        <v>2</v>
      </c>
      <c r="K584" t="s">
        <v>658</v>
      </c>
      <c r="L584">
        <v>305000</v>
      </c>
      <c r="M584">
        <v>2</v>
      </c>
      <c r="N584">
        <v>48.721983596249665</v>
      </c>
      <c r="O584" t="s">
        <v>592</v>
      </c>
      <c r="P584" t="s">
        <v>711</v>
      </c>
      <c r="Q584" t="s">
        <v>586</v>
      </c>
      <c r="R584" t="s">
        <v>712</v>
      </c>
      <c r="S584" t="s">
        <v>712</v>
      </c>
      <c r="T584">
        <v>74</v>
      </c>
    </row>
    <row r="585" spans="1:20" x14ac:dyDescent="0.25">
      <c r="A585" t="s">
        <v>1659</v>
      </c>
      <c r="B585" t="s">
        <v>206</v>
      </c>
      <c r="C585" t="s">
        <v>607</v>
      </c>
      <c r="D585" t="s">
        <v>601</v>
      </c>
      <c r="E585" t="s">
        <v>1509</v>
      </c>
      <c r="F585">
        <v>3.0645840152384851</v>
      </c>
      <c r="G585">
        <v>36.409268493150712</v>
      </c>
      <c r="H585" t="s">
        <v>1510</v>
      </c>
      <c r="I585" t="s">
        <v>1511</v>
      </c>
      <c r="J585">
        <v>3</v>
      </c>
      <c r="K585" t="s">
        <v>591</v>
      </c>
      <c r="L585">
        <v>900000</v>
      </c>
      <c r="M585">
        <v>2.12</v>
      </c>
      <c r="N585">
        <v>36.409268493150712</v>
      </c>
      <c r="O585" t="s">
        <v>592</v>
      </c>
      <c r="P585" t="s">
        <v>711</v>
      </c>
      <c r="Q585" t="s">
        <v>586</v>
      </c>
      <c r="R585" t="s">
        <v>712</v>
      </c>
      <c r="S585" t="s">
        <v>614</v>
      </c>
      <c r="T585">
        <v>60</v>
      </c>
    </row>
    <row r="586" spans="1:20" x14ac:dyDescent="0.25">
      <c r="A586" t="s">
        <v>1660</v>
      </c>
      <c r="B586" t="s">
        <v>207</v>
      </c>
      <c r="C586" t="s">
        <v>586</v>
      </c>
      <c r="D586" t="s">
        <v>608</v>
      </c>
      <c r="E586" t="s">
        <v>1513</v>
      </c>
      <c r="F586">
        <v>5.5551933954145882E-3</v>
      </c>
      <c r="G586">
        <v>27.129838356164381</v>
      </c>
      <c r="H586" t="s">
        <v>1143</v>
      </c>
      <c r="I586" t="s">
        <v>721</v>
      </c>
      <c r="J586">
        <v>3</v>
      </c>
      <c r="K586" t="s">
        <v>995</v>
      </c>
      <c r="L586">
        <v>80000</v>
      </c>
      <c r="M586">
        <v>1.5</v>
      </c>
      <c r="N586">
        <v>27.129838356164381</v>
      </c>
      <c r="O586" t="s">
        <v>592</v>
      </c>
      <c r="P586" t="s">
        <v>613</v>
      </c>
      <c r="Q586" t="s">
        <v>586</v>
      </c>
      <c r="R586" t="s">
        <v>712</v>
      </c>
      <c r="S586" t="s">
        <v>712</v>
      </c>
      <c r="T586">
        <v>98</v>
      </c>
    </row>
    <row r="587" spans="1:20" x14ac:dyDescent="0.25">
      <c r="A587" t="s">
        <v>1661</v>
      </c>
      <c r="B587" t="s">
        <v>207</v>
      </c>
      <c r="C587" t="s">
        <v>586</v>
      </c>
      <c r="D587" t="s">
        <v>608</v>
      </c>
      <c r="E587" t="s">
        <v>1513</v>
      </c>
      <c r="F587">
        <v>1.9343328036805636</v>
      </c>
      <c r="G587">
        <v>28.878726027397271</v>
      </c>
      <c r="H587" t="s">
        <v>1143</v>
      </c>
      <c r="I587" t="s">
        <v>721</v>
      </c>
      <c r="J587">
        <v>3</v>
      </c>
      <c r="K587" t="s">
        <v>729</v>
      </c>
      <c r="L587">
        <v>85000</v>
      </c>
      <c r="M587">
        <v>1.8</v>
      </c>
      <c r="N587">
        <v>28.878726027397271</v>
      </c>
      <c r="O587" t="s">
        <v>592</v>
      </c>
      <c r="P587" t="s">
        <v>613</v>
      </c>
      <c r="Q587" t="s">
        <v>586</v>
      </c>
      <c r="R587" t="s">
        <v>712</v>
      </c>
      <c r="S587" t="s">
        <v>712</v>
      </c>
      <c r="T587">
        <v>70</v>
      </c>
    </row>
    <row r="588" spans="1:20" x14ac:dyDescent="0.25">
      <c r="A588" t="s">
        <v>1662</v>
      </c>
      <c r="B588" t="s">
        <v>207</v>
      </c>
      <c r="C588" t="s">
        <v>586</v>
      </c>
      <c r="D588" t="s">
        <v>608</v>
      </c>
      <c r="E588" t="s">
        <v>1513</v>
      </c>
      <c r="F588">
        <v>2.8599492556798709</v>
      </c>
      <c r="G588">
        <v>34.432063013698631</v>
      </c>
      <c r="H588" t="s">
        <v>1143</v>
      </c>
      <c r="I588" t="s">
        <v>721</v>
      </c>
      <c r="J588">
        <v>3</v>
      </c>
      <c r="K588" t="s">
        <v>817</v>
      </c>
      <c r="L588">
        <v>90000</v>
      </c>
      <c r="M588">
        <v>2</v>
      </c>
      <c r="N588">
        <v>34.432063013698631</v>
      </c>
      <c r="O588" t="s">
        <v>592</v>
      </c>
      <c r="P588" t="s">
        <v>613</v>
      </c>
      <c r="Q588" t="s">
        <v>586</v>
      </c>
      <c r="R588" t="s">
        <v>712</v>
      </c>
      <c r="S588" t="s">
        <v>712</v>
      </c>
      <c r="T588">
        <v>58</v>
      </c>
    </row>
    <row r="589" spans="1:20" x14ac:dyDescent="0.25">
      <c r="A589" t="s">
        <v>1663</v>
      </c>
      <c r="B589" t="s">
        <v>206</v>
      </c>
      <c r="C589" t="s">
        <v>607</v>
      </c>
      <c r="D589" t="s">
        <v>601</v>
      </c>
      <c r="E589" t="s">
        <v>1509</v>
      </c>
      <c r="F589">
        <v>0.24646460391441094</v>
      </c>
      <c r="G589">
        <v>37.200575342465768</v>
      </c>
      <c r="H589" t="s">
        <v>1510</v>
      </c>
      <c r="I589" t="s">
        <v>1511</v>
      </c>
      <c r="J589">
        <v>2.25</v>
      </c>
      <c r="K589" t="s">
        <v>694</v>
      </c>
      <c r="L589">
        <v>850000</v>
      </c>
      <c r="M589">
        <v>1.75</v>
      </c>
      <c r="N589">
        <v>37.200575342465768</v>
      </c>
      <c r="O589" t="s">
        <v>592</v>
      </c>
      <c r="P589" t="s">
        <v>711</v>
      </c>
      <c r="Q589" t="s">
        <v>586</v>
      </c>
      <c r="R589" t="s">
        <v>712</v>
      </c>
      <c r="S589" t="s">
        <v>614</v>
      </c>
      <c r="T589">
        <v>92</v>
      </c>
    </row>
    <row r="590" spans="1:20" x14ac:dyDescent="0.25">
      <c r="A590" t="s">
        <v>1664</v>
      </c>
      <c r="B590" t="s">
        <v>206</v>
      </c>
      <c r="C590" t="s">
        <v>607</v>
      </c>
      <c r="D590" t="s">
        <v>601</v>
      </c>
      <c r="E590" t="s">
        <v>1509</v>
      </c>
      <c r="F590">
        <v>2.1528632919886843</v>
      </c>
      <c r="G590">
        <v>37.131090410958898</v>
      </c>
      <c r="H590" t="s">
        <v>1510</v>
      </c>
      <c r="I590" t="s">
        <v>1511</v>
      </c>
      <c r="J590">
        <v>3</v>
      </c>
      <c r="K590" t="s">
        <v>699</v>
      </c>
      <c r="L590">
        <v>875000</v>
      </c>
      <c r="M590">
        <v>2</v>
      </c>
      <c r="N590">
        <v>37.131090410958898</v>
      </c>
      <c r="O590" t="s">
        <v>592</v>
      </c>
      <c r="P590" t="s">
        <v>711</v>
      </c>
      <c r="Q590" t="s">
        <v>586</v>
      </c>
      <c r="R590" t="s">
        <v>712</v>
      </c>
      <c r="S590" t="s">
        <v>614</v>
      </c>
      <c r="T590">
        <v>71</v>
      </c>
    </row>
    <row r="591" spans="1:20" x14ac:dyDescent="0.25">
      <c r="A591" t="s">
        <v>1665</v>
      </c>
      <c r="B591" t="s">
        <v>233</v>
      </c>
      <c r="C591" t="s">
        <v>586</v>
      </c>
      <c r="D591" t="s">
        <v>741</v>
      </c>
      <c r="E591" t="s">
        <v>1666</v>
      </c>
      <c r="F591">
        <v>0.57137200921665232</v>
      </c>
      <c r="G591">
        <v>14.726999774920401</v>
      </c>
      <c r="H591" t="s">
        <v>596</v>
      </c>
      <c r="I591" t="s">
        <v>721</v>
      </c>
      <c r="J591">
        <v>2.25</v>
      </c>
      <c r="K591" t="s">
        <v>744</v>
      </c>
      <c r="L591">
        <v>125000</v>
      </c>
      <c r="M591">
        <v>1.85</v>
      </c>
      <c r="N591">
        <v>14.726999774920401</v>
      </c>
      <c r="O591" t="s">
        <v>592</v>
      </c>
      <c r="P591" t="s">
        <v>745</v>
      </c>
      <c r="Q591" t="s">
        <v>586</v>
      </c>
      <c r="R591" t="s">
        <v>712</v>
      </c>
      <c r="S591" t="s">
        <v>712</v>
      </c>
      <c r="T591">
        <v>88</v>
      </c>
    </row>
    <row r="592" spans="1:20" x14ac:dyDescent="0.25">
      <c r="A592" t="s">
        <v>1667</v>
      </c>
      <c r="B592" t="s">
        <v>82</v>
      </c>
      <c r="C592" t="s">
        <v>586</v>
      </c>
      <c r="D592" t="s">
        <v>770</v>
      </c>
      <c r="E592" t="s">
        <v>915</v>
      </c>
      <c r="F592">
        <v>0.24671202715353693</v>
      </c>
      <c r="G592">
        <v>23.797751327037563</v>
      </c>
      <c r="H592" t="s">
        <v>792</v>
      </c>
      <c r="I592" t="s">
        <v>916</v>
      </c>
      <c r="J592">
        <v>3</v>
      </c>
      <c r="K592" t="s">
        <v>694</v>
      </c>
      <c r="L592">
        <v>265000</v>
      </c>
      <c r="M592">
        <v>1.43</v>
      </c>
      <c r="N592">
        <v>23.797751327037563</v>
      </c>
      <c r="O592" t="s">
        <v>592</v>
      </c>
      <c r="P592" t="s">
        <v>621</v>
      </c>
      <c r="Q592" t="s">
        <v>586</v>
      </c>
      <c r="R592" t="s">
        <v>712</v>
      </c>
      <c r="S592" t="s">
        <v>712</v>
      </c>
      <c r="T592">
        <v>95</v>
      </c>
    </row>
    <row r="593" spans="1:20" x14ac:dyDescent="0.25">
      <c r="A593" t="s">
        <v>1668</v>
      </c>
      <c r="B593" t="s">
        <v>82</v>
      </c>
      <c r="C593" t="s">
        <v>586</v>
      </c>
      <c r="D593" t="s">
        <v>770</v>
      </c>
      <c r="E593" t="s">
        <v>915</v>
      </c>
      <c r="F593">
        <v>1.209754369041482</v>
      </c>
      <c r="G593">
        <v>23.610136617689868</v>
      </c>
      <c r="H593" t="s">
        <v>792</v>
      </c>
      <c r="I593" t="s">
        <v>916</v>
      </c>
      <c r="J593">
        <v>4</v>
      </c>
      <c r="K593" t="s">
        <v>764</v>
      </c>
      <c r="L593">
        <v>280000</v>
      </c>
      <c r="M593">
        <v>1.58</v>
      </c>
      <c r="N593">
        <v>23.610136617689868</v>
      </c>
      <c r="O593" t="s">
        <v>592</v>
      </c>
      <c r="P593" t="s">
        <v>621</v>
      </c>
      <c r="Q593" t="s">
        <v>586</v>
      </c>
      <c r="R593" t="s">
        <v>712</v>
      </c>
      <c r="S593" t="s">
        <v>712</v>
      </c>
      <c r="T593">
        <v>83</v>
      </c>
    </row>
    <row r="594" spans="1:20" x14ac:dyDescent="0.25">
      <c r="A594" t="s">
        <v>1669</v>
      </c>
      <c r="B594" t="s">
        <v>82</v>
      </c>
      <c r="C594" t="s">
        <v>586</v>
      </c>
      <c r="D594" t="s">
        <v>770</v>
      </c>
      <c r="E594" t="s">
        <v>915</v>
      </c>
      <c r="F594">
        <v>2.1365548479800305</v>
      </c>
      <c r="G594">
        <v>22.324761971873762</v>
      </c>
      <c r="H594" t="s">
        <v>792</v>
      </c>
      <c r="I594" t="s">
        <v>916</v>
      </c>
      <c r="J594">
        <v>4</v>
      </c>
      <c r="K594" t="s">
        <v>699</v>
      </c>
      <c r="L594">
        <v>510000</v>
      </c>
      <c r="M594">
        <v>1.72</v>
      </c>
      <c r="N594">
        <v>22.324761971873762</v>
      </c>
      <c r="O594" t="s">
        <v>592</v>
      </c>
      <c r="P594" t="s">
        <v>621</v>
      </c>
      <c r="Q594" t="s">
        <v>586</v>
      </c>
      <c r="R594" t="s">
        <v>712</v>
      </c>
      <c r="S594" t="s">
        <v>712</v>
      </c>
      <c r="T594">
        <v>74</v>
      </c>
    </row>
    <row r="595" spans="1:20" x14ac:dyDescent="0.25">
      <c r="A595" t="s">
        <v>1670</v>
      </c>
      <c r="B595" t="s">
        <v>234</v>
      </c>
      <c r="C595" t="s">
        <v>586</v>
      </c>
      <c r="D595" t="s">
        <v>608</v>
      </c>
      <c r="E595" t="s">
        <v>1032</v>
      </c>
      <c r="F595">
        <v>0.56928532678794286</v>
      </c>
      <c r="G595">
        <v>17.052890410958899</v>
      </c>
      <c r="H595" t="s">
        <v>610</v>
      </c>
      <c r="I595" t="s">
        <v>611</v>
      </c>
      <c r="J595">
        <v>3</v>
      </c>
      <c r="K595" t="s">
        <v>744</v>
      </c>
      <c r="L595">
        <v>255000</v>
      </c>
      <c r="M595">
        <v>1.7000000000000002</v>
      </c>
      <c r="N595">
        <v>17.052890410958899</v>
      </c>
      <c r="O595" t="s">
        <v>592</v>
      </c>
      <c r="P595" t="s">
        <v>613</v>
      </c>
      <c r="Q595" t="s">
        <v>586</v>
      </c>
      <c r="R595" t="s">
        <v>712</v>
      </c>
      <c r="S595" t="s">
        <v>712</v>
      </c>
      <c r="T595">
        <v>89</v>
      </c>
    </row>
    <row r="596" spans="1:20" x14ac:dyDescent="0.25">
      <c r="A596" t="s">
        <v>1671</v>
      </c>
      <c r="B596" t="s">
        <v>234</v>
      </c>
      <c r="C596" t="s">
        <v>586</v>
      </c>
      <c r="D596" t="s">
        <v>608</v>
      </c>
      <c r="E596" t="s">
        <v>1032</v>
      </c>
      <c r="F596">
        <v>1.5226554693695156</v>
      </c>
      <c r="G596">
        <v>26.393024657534237</v>
      </c>
      <c r="H596" t="s">
        <v>610</v>
      </c>
      <c r="I596" t="s">
        <v>611</v>
      </c>
      <c r="J596">
        <v>3</v>
      </c>
      <c r="K596" t="s">
        <v>634</v>
      </c>
      <c r="L596">
        <v>265000</v>
      </c>
      <c r="M596">
        <v>1.9000000000000001</v>
      </c>
      <c r="N596">
        <v>26.393024657534237</v>
      </c>
      <c r="O596" t="s">
        <v>592</v>
      </c>
      <c r="P596" t="s">
        <v>613</v>
      </c>
      <c r="Q596" t="s">
        <v>586</v>
      </c>
      <c r="R596" t="s">
        <v>712</v>
      </c>
      <c r="S596" t="s">
        <v>712</v>
      </c>
      <c r="T596">
        <v>79</v>
      </c>
    </row>
    <row r="597" spans="1:20" x14ac:dyDescent="0.25">
      <c r="A597" t="s">
        <v>1672</v>
      </c>
      <c r="B597" t="s">
        <v>234</v>
      </c>
      <c r="C597" t="s">
        <v>586</v>
      </c>
      <c r="D597" t="s">
        <v>608</v>
      </c>
      <c r="E597" t="s">
        <v>1032</v>
      </c>
      <c r="F597">
        <v>2.4482265430462875</v>
      </c>
      <c r="G597">
        <v>25.854764383561644</v>
      </c>
      <c r="H597" t="s">
        <v>610</v>
      </c>
      <c r="I597" t="s">
        <v>611</v>
      </c>
      <c r="J597">
        <v>3</v>
      </c>
      <c r="K597" t="s">
        <v>959</v>
      </c>
      <c r="L597">
        <v>275000</v>
      </c>
      <c r="M597">
        <v>2</v>
      </c>
      <c r="N597">
        <v>25.854764383561644</v>
      </c>
      <c r="O597" t="s">
        <v>592</v>
      </c>
      <c r="P597" t="s">
        <v>613</v>
      </c>
      <c r="Q597" t="s">
        <v>586</v>
      </c>
      <c r="R597" t="s">
        <v>712</v>
      </c>
      <c r="S597" t="s">
        <v>712</v>
      </c>
      <c r="T597">
        <v>70</v>
      </c>
    </row>
    <row r="598" spans="1:20" x14ac:dyDescent="0.25">
      <c r="A598" t="s">
        <v>1673</v>
      </c>
      <c r="B598" t="s">
        <v>234</v>
      </c>
      <c r="C598" t="s">
        <v>586</v>
      </c>
      <c r="D598" t="s">
        <v>608</v>
      </c>
      <c r="E598" t="s">
        <v>1032</v>
      </c>
      <c r="F598">
        <v>3.347379090718833</v>
      </c>
      <c r="G598">
        <v>25.093230136986321</v>
      </c>
      <c r="H598" t="s">
        <v>610</v>
      </c>
      <c r="I598" t="s">
        <v>611</v>
      </c>
      <c r="J598">
        <v>3</v>
      </c>
      <c r="K598" t="s">
        <v>1038</v>
      </c>
      <c r="L598">
        <v>280000</v>
      </c>
      <c r="M598">
        <v>2.1</v>
      </c>
      <c r="N598">
        <v>25.093230136986321</v>
      </c>
      <c r="O598" t="s">
        <v>592</v>
      </c>
      <c r="P598" t="s">
        <v>613</v>
      </c>
      <c r="Q598" t="s">
        <v>586</v>
      </c>
      <c r="R598">
        <v>70000</v>
      </c>
      <c r="S598" t="s">
        <v>712</v>
      </c>
      <c r="T598">
        <v>62</v>
      </c>
    </row>
    <row r="599" spans="1:20" x14ac:dyDescent="0.25">
      <c r="A599" t="s">
        <v>1674</v>
      </c>
      <c r="B599" t="s">
        <v>112</v>
      </c>
      <c r="C599" t="s">
        <v>607</v>
      </c>
      <c r="D599" t="s">
        <v>623</v>
      </c>
      <c r="E599" t="s">
        <v>624</v>
      </c>
      <c r="F599">
        <v>0.32857733574658071</v>
      </c>
      <c r="G599">
        <v>107.62224995664984</v>
      </c>
      <c r="H599" t="s">
        <v>709</v>
      </c>
      <c r="I599" t="s">
        <v>716</v>
      </c>
      <c r="J599">
        <v>4</v>
      </c>
      <c r="K599" t="s">
        <v>710</v>
      </c>
      <c r="L599">
        <v>235000</v>
      </c>
      <c r="M599">
        <v>2.3199999999999998</v>
      </c>
      <c r="N599">
        <v>107.62224995664984</v>
      </c>
      <c r="O599" t="s">
        <v>592</v>
      </c>
      <c r="P599" t="s">
        <v>745</v>
      </c>
      <c r="Q599" t="s">
        <v>586</v>
      </c>
      <c r="R599" t="s">
        <v>712</v>
      </c>
      <c r="S599" t="s">
        <v>712</v>
      </c>
      <c r="T599">
        <v>96</v>
      </c>
    </row>
    <row r="600" spans="1:20" x14ac:dyDescent="0.25">
      <c r="A600" t="s">
        <v>1675</v>
      </c>
      <c r="B600" t="s">
        <v>26</v>
      </c>
      <c r="C600" t="s">
        <v>586</v>
      </c>
      <c r="D600" t="s">
        <v>631</v>
      </c>
      <c r="E600" t="s">
        <v>632</v>
      </c>
      <c r="F600">
        <v>3.2444485209911904</v>
      </c>
      <c r="G600">
        <v>20.506770800032914</v>
      </c>
      <c r="H600" t="s">
        <v>633</v>
      </c>
      <c r="I600" t="s">
        <v>611</v>
      </c>
      <c r="J600">
        <v>5</v>
      </c>
      <c r="K600" t="s">
        <v>1038</v>
      </c>
      <c r="L600">
        <v>3655000</v>
      </c>
      <c r="M600">
        <v>1.94</v>
      </c>
      <c r="N600">
        <v>20.506770800032914</v>
      </c>
      <c r="O600" t="s">
        <v>592</v>
      </c>
      <c r="P600" t="s">
        <v>593</v>
      </c>
      <c r="Q600" t="s">
        <v>586</v>
      </c>
      <c r="R600">
        <v>95000</v>
      </c>
      <c r="S600" t="s">
        <v>635</v>
      </c>
      <c r="T600">
        <v>72</v>
      </c>
    </row>
    <row r="601" spans="1:20" x14ac:dyDescent="0.25">
      <c r="A601" t="s">
        <v>1676</v>
      </c>
      <c r="B601" t="s">
        <v>235</v>
      </c>
      <c r="C601" t="s">
        <v>607</v>
      </c>
      <c r="D601" t="s">
        <v>608</v>
      </c>
      <c r="E601" t="s">
        <v>1142</v>
      </c>
      <c r="F601">
        <v>1.0340938968823667</v>
      </c>
      <c r="G601">
        <v>57.085336667261302</v>
      </c>
      <c r="H601" t="s">
        <v>672</v>
      </c>
      <c r="I601" t="s">
        <v>721</v>
      </c>
      <c r="J601">
        <v>5</v>
      </c>
      <c r="K601" t="s">
        <v>612</v>
      </c>
      <c r="L601">
        <v>95000</v>
      </c>
      <c r="M601">
        <v>2.15</v>
      </c>
      <c r="N601">
        <v>57.085336667261302</v>
      </c>
      <c r="O601" t="s">
        <v>592</v>
      </c>
      <c r="P601" t="s">
        <v>613</v>
      </c>
      <c r="Q601" t="s">
        <v>586</v>
      </c>
      <c r="R601" t="s">
        <v>712</v>
      </c>
      <c r="S601" t="s">
        <v>594</v>
      </c>
      <c r="T601">
        <v>88</v>
      </c>
    </row>
    <row r="602" spans="1:20" x14ac:dyDescent="0.25">
      <c r="A602" t="s">
        <v>1677</v>
      </c>
      <c r="B602" t="s">
        <v>34</v>
      </c>
      <c r="C602" t="s">
        <v>586</v>
      </c>
      <c r="D602" t="s">
        <v>587</v>
      </c>
      <c r="E602" t="s">
        <v>675</v>
      </c>
      <c r="F602">
        <v>2.02942326796768</v>
      </c>
      <c r="G602">
        <v>1.7692823799361213</v>
      </c>
      <c r="H602" t="s">
        <v>676</v>
      </c>
      <c r="I602" t="s">
        <v>650</v>
      </c>
      <c r="J602">
        <v>5</v>
      </c>
      <c r="K602" t="s">
        <v>651</v>
      </c>
      <c r="L602">
        <v>1775000</v>
      </c>
      <c r="M602">
        <v>1.56</v>
      </c>
      <c r="N602">
        <v>1.7692823799361213</v>
      </c>
      <c r="O602" t="s">
        <v>592</v>
      </c>
      <c r="P602" t="s">
        <v>593</v>
      </c>
      <c r="Q602" t="s">
        <v>586</v>
      </c>
      <c r="R602">
        <v>15000</v>
      </c>
      <c r="S602" t="s">
        <v>652</v>
      </c>
      <c r="T602">
        <v>62</v>
      </c>
    </row>
    <row r="603" spans="1:20" x14ac:dyDescent="0.25">
      <c r="A603" t="s">
        <v>1678</v>
      </c>
      <c r="B603" t="s">
        <v>34</v>
      </c>
      <c r="C603" t="s">
        <v>586</v>
      </c>
      <c r="D603" t="s">
        <v>587</v>
      </c>
      <c r="E603" t="s">
        <v>675</v>
      </c>
      <c r="F603">
        <v>2.9071727540724615</v>
      </c>
      <c r="G603">
        <v>3.4947954309279661</v>
      </c>
      <c r="H603" t="s">
        <v>676</v>
      </c>
      <c r="I603" t="s">
        <v>650</v>
      </c>
      <c r="J603">
        <v>5</v>
      </c>
      <c r="K603" t="s">
        <v>727</v>
      </c>
      <c r="L603">
        <v>1870000</v>
      </c>
      <c r="M603">
        <v>1.73</v>
      </c>
      <c r="N603">
        <v>3.4947954309279661</v>
      </c>
      <c r="O603" t="s">
        <v>592</v>
      </c>
      <c r="P603" t="s">
        <v>593</v>
      </c>
      <c r="Q603" t="s">
        <v>586</v>
      </c>
      <c r="R603">
        <v>90000</v>
      </c>
      <c r="S603" t="s">
        <v>652</v>
      </c>
      <c r="T603">
        <v>59</v>
      </c>
    </row>
    <row r="604" spans="1:20" x14ac:dyDescent="0.25">
      <c r="A604" t="s">
        <v>1679</v>
      </c>
      <c r="B604" t="s">
        <v>34</v>
      </c>
      <c r="C604" t="s">
        <v>586</v>
      </c>
      <c r="D604" t="s">
        <v>587</v>
      </c>
      <c r="E604" t="s">
        <v>675</v>
      </c>
      <c r="F604">
        <v>4.5529255487022633</v>
      </c>
      <c r="G604">
        <v>22.356656273243768</v>
      </c>
      <c r="H604" t="s">
        <v>676</v>
      </c>
      <c r="I604" t="s">
        <v>650</v>
      </c>
      <c r="J604">
        <v>5</v>
      </c>
      <c r="K604" t="s">
        <v>797</v>
      </c>
      <c r="L604">
        <v>2065000</v>
      </c>
      <c r="M604">
        <v>2.17</v>
      </c>
      <c r="N604">
        <v>22.356656273243768</v>
      </c>
      <c r="O604" t="s">
        <v>592</v>
      </c>
      <c r="P604" t="s">
        <v>593</v>
      </c>
      <c r="Q604" t="s">
        <v>586</v>
      </c>
      <c r="R604" t="s">
        <v>712</v>
      </c>
      <c r="S604" t="s">
        <v>652</v>
      </c>
      <c r="T604">
        <v>59</v>
      </c>
    </row>
    <row r="605" spans="1:20" x14ac:dyDescent="0.25">
      <c r="A605" t="s">
        <v>1680</v>
      </c>
      <c r="B605" t="s">
        <v>236</v>
      </c>
      <c r="C605" t="s">
        <v>586</v>
      </c>
      <c r="D605" t="s">
        <v>608</v>
      </c>
      <c r="E605" t="s">
        <v>943</v>
      </c>
      <c r="F605">
        <v>3.6091104725966022E-2</v>
      </c>
      <c r="G605">
        <v>123.82196200459177</v>
      </c>
      <c r="H605" t="s">
        <v>1393</v>
      </c>
      <c r="I605" t="s">
        <v>885</v>
      </c>
      <c r="J605">
        <v>3</v>
      </c>
      <c r="K605" t="s">
        <v>1008</v>
      </c>
      <c r="L605">
        <v>60000</v>
      </c>
      <c r="M605">
        <v>3</v>
      </c>
      <c r="N605">
        <v>123.82196200459177</v>
      </c>
      <c r="O605" t="s">
        <v>592</v>
      </c>
      <c r="P605" t="s">
        <v>613</v>
      </c>
      <c r="Q605" t="s">
        <v>586</v>
      </c>
      <c r="R605" t="s">
        <v>712</v>
      </c>
      <c r="S605" t="s">
        <v>712</v>
      </c>
      <c r="T605">
        <v>99</v>
      </c>
    </row>
    <row r="606" spans="1:20" x14ac:dyDescent="0.25">
      <c r="A606" t="s">
        <v>1681</v>
      </c>
      <c r="B606" t="s">
        <v>236</v>
      </c>
      <c r="C606" t="s">
        <v>586</v>
      </c>
      <c r="D606" t="s">
        <v>608</v>
      </c>
      <c r="E606" t="s">
        <v>943</v>
      </c>
      <c r="F606">
        <v>1.9343197232359743</v>
      </c>
      <c r="G606">
        <v>128.08168131713677</v>
      </c>
      <c r="H606" t="s">
        <v>1393</v>
      </c>
      <c r="I606" t="s">
        <v>885</v>
      </c>
      <c r="J606">
        <v>3.3</v>
      </c>
      <c r="K606" t="s">
        <v>898</v>
      </c>
      <c r="L606">
        <v>65000</v>
      </c>
      <c r="M606">
        <v>3.3000000000000003</v>
      </c>
      <c r="N606">
        <v>128.08168131713677</v>
      </c>
      <c r="O606" t="s">
        <v>592</v>
      </c>
      <c r="P606" t="s">
        <v>613</v>
      </c>
      <c r="Q606" t="s">
        <v>586</v>
      </c>
      <c r="R606" t="s">
        <v>712</v>
      </c>
      <c r="S606" t="s">
        <v>712</v>
      </c>
      <c r="T606">
        <v>71</v>
      </c>
    </row>
    <row r="607" spans="1:20" x14ac:dyDescent="0.25">
      <c r="A607" t="s">
        <v>1682</v>
      </c>
      <c r="B607" t="s">
        <v>236</v>
      </c>
      <c r="C607" t="s">
        <v>586</v>
      </c>
      <c r="D607" t="s">
        <v>608</v>
      </c>
      <c r="E607" t="s">
        <v>943</v>
      </c>
      <c r="F607">
        <v>1.0035358550135671</v>
      </c>
      <c r="G607">
        <v>101.39000547945204</v>
      </c>
      <c r="H607" t="s">
        <v>1683</v>
      </c>
      <c r="I607" t="s">
        <v>611</v>
      </c>
      <c r="J607">
        <v>3</v>
      </c>
      <c r="K607" t="s">
        <v>920</v>
      </c>
      <c r="L607">
        <v>80000</v>
      </c>
      <c r="M607">
        <v>2.4000000000000004</v>
      </c>
      <c r="N607">
        <v>101.39000547945204</v>
      </c>
      <c r="O607" t="s">
        <v>592</v>
      </c>
      <c r="P607" t="s">
        <v>613</v>
      </c>
      <c r="Q607" t="s">
        <v>586</v>
      </c>
      <c r="R607" t="s">
        <v>712</v>
      </c>
      <c r="S607" t="s">
        <v>712</v>
      </c>
      <c r="T607">
        <v>84</v>
      </c>
    </row>
    <row r="608" spans="1:20" x14ac:dyDescent="0.25">
      <c r="A608" t="s">
        <v>1684</v>
      </c>
      <c r="B608" t="s">
        <v>236</v>
      </c>
      <c r="C608" t="s">
        <v>586</v>
      </c>
      <c r="D608" t="s">
        <v>608</v>
      </c>
      <c r="E608" t="s">
        <v>943</v>
      </c>
      <c r="F608">
        <v>1.9408977518962571</v>
      </c>
      <c r="G608">
        <v>107.20146301369864</v>
      </c>
      <c r="H608" t="s">
        <v>1683</v>
      </c>
      <c r="I608" t="s">
        <v>611</v>
      </c>
      <c r="J608">
        <v>3</v>
      </c>
      <c r="K608" t="s">
        <v>898</v>
      </c>
      <c r="L608">
        <v>85000</v>
      </c>
      <c r="M608">
        <v>2.6</v>
      </c>
      <c r="N608">
        <v>107.20146301369864</v>
      </c>
      <c r="O608" t="s">
        <v>592</v>
      </c>
      <c r="P608" t="s">
        <v>613</v>
      </c>
      <c r="Q608" t="s">
        <v>586</v>
      </c>
      <c r="R608" t="s">
        <v>712</v>
      </c>
      <c r="S608" t="s">
        <v>712</v>
      </c>
      <c r="T608">
        <v>69</v>
      </c>
    </row>
    <row r="609" spans="1:20" x14ac:dyDescent="0.25">
      <c r="A609" t="s">
        <v>1685</v>
      </c>
      <c r="B609" t="s">
        <v>132</v>
      </c>
      <c r="C609" t="s">
        <v>586</v>
      </c>
      <c r="D609" t="s">
        <v>1124</v>
      </c>
      <c r="E609" t="s">
        <v>1135</v>
      </c>
      <c r="F609">
        <v>1.4631804601865444</v>
      </c>
      <c r="G609">
        <v>22.279087257068774</v>
      </c>
      <c r="H609" t="s">
        <v>1136</v>
      </c>
      <c r="I609" t="s">
        <v>1137</v>
      </c>
      <c r="J609">
        <v>3</v>
      </c>
      <c r="K609" t="s">
        <v>780</v>
      </c>
      <c r="L609">
        <v>310000</v>
      </c>
      <c r="M609">
        <v>1.6500000000000001</v>
      </c>
      <c r="N609">
        <v>22.279087257068774</v>
      </c>
      <c r="O609" t="s">
        <v>592</v>
      </c>
      <c r="P609" t="s">
        <v>711</v>
      </c>
      <c r="Q609" t="s">
        <v>586</v>
      </c>
      <c r="R609" t="s">
        <v>712</v>
      </c>
      <c r="S609" t="s">
        <v>712</v>
      </c>
      <c r="T609">
        <v>74</v>
      </c>
    </row>
    <row r="610" spans="1:20" x14ac:dyDescent="0.25">
      <c r="A610" t="s">
        <v>1686</v>
      </c>
      <c r="B610" t="s">
        <v>132</v>
      </c>
      <c r="C610" t="s">
        <v>586</v>
      </c>
      <c r="D610" t="s">
        <v>1124</v>
      </c>
      <c r="E610" t="s">
        <v>1135</v>
      </c>
      <c r="F610">
        <v>3.317537993992282</v>
      </c>
      <c r="G610">
        <v>18.832691137232494</v>
      </c>
      <c r="H610" t="s">
        <v>1136</v>
      </c>
      <c r="I610" t="s">
        <v>1137</v>
      </c>
      <c r="J610">
        <v>3</v>
      </c>
      <c r="K610" t="s">
        <v>824</v>
      </c>
      <c r="L610">
        <v>320000</v>
      </c>
      <c r="M610">
        <v>1.9000000000000001</v>
      </c>
      <c r="N610">
        <v>18.832691137232494</v>
      </c>
      <c r="O610" t="s">
        <v>592</v>
      </c>
      <c r="P610" t="s">
        <v>711</v>
      </c>
      <c r="Q610" t="s">
        <v>586</v>
      </c>
      <c r="R610">
        <v>20000</v>
      </c>
      <c r="S610" t="s">
        <v>712</v>
      </c>
      <c r="T610">
        <v>54</v>
      </c>
    </row>
    <row r="611" spans="1:20" x14ac:dyDescent="0.25">
      <c r="A611" t="s">
        <v>1687</v>
      </c>
      <c r="B611" t="s">
        <v>237</v>
      </c>
      <c r="C611" t="s">
        <v>586</v>
      </c>
      <c r="D611" t="s">
        <v>830</v>
      </c>
      <c r="E611" t="s">
        <v>1688</v>
      </c>
      <c r="F611">
        <v>0.11930756953710998</v>
      </c>
      <c r="G611">
        <v>19.533512182924937</v>
      </c>
      <c r="H611" t="s">
        <v>774</v>
      </c>
      <c r="I611" t="s">
        <v>1689</v>
      </c>
      <c r="J611">
        <v>2</v>
      </c>
      <c r="K611" t="s">
        <v>1105</v>
      </c>
      <c r="L611">
        <v>750000</v>
      </c>
      <c r="M611">
        <v>1.3</v>
      </c>
      <c r="N611">
        <v>19.533512182924937</v>
      </c>
      <c r="O611" t="s">
        <v>592</v>
      </c>
      <c r="P611" t="s">
        <v>711</v>
      </c>
      <c r="Q611" t="s">
        <v>586</v>
      </c>
      <c r="R611" t="s">
        <v>712</v>
      </c>
      <c r="S611" t="s">
        <v>712</v>
      </c>
      <c r="T611">
        <v>94</v>
      </c>
    </row>
    <row r="612" spans="1:20" x14ac:dyDescent="0.25">
      <c r="A612" t="s">
        <v>1690</v>
      </c>
      <c r="B612" t="s">
        <v>237</v>
      </c>
      <c r="C612" t="s">
        <v>586</v>
      </c>
      <c r="D612" t="s">
        <v>830</v>
      </c>
      <c r="E612" t="s">
        <v>1688</v>
      </c>
      <c r="F612">
        <v>2.0520698690786565</v>
      </c>
      <c r="G612">
        <v>20.188689043214314</v>
      </c>
      <c r="H612" t="s">
        <v>774</v>
      </c>
      <c r="I612" t="s">
        <v>1689</v>
      </c>
      <c r="J612">
        <v>2</v>
      </c>
      <c r="K612" t="s">
        <v>776</v>
      </c>
      <c r="L612">
        <v>750000</v>
      </c>
      <c r="M612">
        <v>1.6</v>
      </c>
      <c r="N612">
        <v>20.188689043214314</v>
      </c>
      <c r="O612" t="s">
        <v>592</v>
      </c>
      <c r="P612" t="s">
        <v>711</v>
      </c>
      <c r="Q612" t="s">
        <v>586</v>
      </c>
      <c r="R612" t="s">
        <v>712</v>
      </c>
      <c r="S612" t="s">
        <v>712</v>
      </c>
      <c r="T612">
        <v>61</v>
      </c>
    </row>
    <row r="613" spans="1:20" x14ac:dyDescent="0.25">
      <c r="A613" t="s">
        <v>1691</v>
      </c>
      <c r="B613" t="s">
        <v>238</v>
      </c>
      <c r="C613" t="s">
        <v>607</v>
      </c>
      <c r="D613" t="s">
        <v>608</v>
      </c>
      <c r="E613" t="s">
        <v>943</v>
      </c>
      <c r="F613">
        <v>1.0513492303242422</v>
      </c>
      <c r="G613">
        <v>33.038940974255993</v>
      </c>
      <c r="H613" t="s">
        <v>649</v>
      </c>
      <c r="I613" t="s">
        <v>611</v>
      </c>
      <c r="J613">
        <v>2.5</v>
      </c>
      <c r="K613" t="s">
        <v>612</v>
      </c>
      <c r="L613">
        <v>70000</v>
      </c>
      <c r="M613">
        <v>2</v>
      </c>
      <c r="N613">
        <v>33.038940974255993</v>
      </c>
      <c r="O613" t="s">
        <v>592</v>
      </c>
      <c r="P613" t="s">
        <v>613</v>
      </c>
      <c r="Q613" t="s">
        <v>586</v>
      </c>
      <c r="R613" t="s">
        <v>712</v>
      </c>
      <c r="S613" t="s">
        <v>712</v>
      </c>
      <c r="T613">
        <v>65</v>
      </c>
    </row>
    <row r="614" spans="1:20" x14ac:dyDescent="0.25">
      <c r="A614" t="s">
        <v>1692</v>
      </c>
      <c r="B614" t="s">
        <v>144</v>
      </c>
      <c r="C614" t="s">
        <v>586</v>
      </c>
      <c r="D614" t="s">
        <v>654</v>
      </c>
      <c r="E614" t="s">
        <v>766</v>
      </c>
      <c r="F614">
        <v>2.720137957426485</v>
      </c>
      <c r="G614">
        <v>11.423242891068286</v>
      </c>
      <c r="H614" t="s">
        <v>767</v>
      </c>
      <c r="I614" t="s">
        <v>611</v>
      </c>
      <c r="J614">
        <v>5</v>
      </c>
      <c r="K614" t="s">
        <v>626</v>
      </c>
      <c r="L614">
        <v>1740000</v>
      </c>
      <c r="M614">
        <v>2</v>
      </c>
      <c r="N614">
        <v>11.423242891068286</v>
      </c>
      <c r="O614" t="s">
        <v>592</v>
      </c>
      <c r="P614" t="s">
        <v>593</v>
      </c>
      <c r="Q614" t="s">
        <v>586</v>
      </c>
      <c r="R614">
        <v>50000</v>
      </c>
      <c r="S614" t="s">
        <v>652</v>
      </c>
      <c r="T614">
        <v>76</v>
      </c>
    </row>
    <row r="615" spans="1:20" x14ac:dyDescent="0.25">
      <c r="A615" t="s">
        <v>1693</v>
      </c>
      <c r="B615" t="s">
        <v>236</v>
      </c>
      <c r="C615" t="s">
        <v>586</v>
      </c>
      <c r="D615" t="s">
        <v>608</v>
      </c>
      <c r="E615" t="s">
        <v>943</v>
      </c>
      <c r="F615">
        <v>1.00250162034823</v>
      </c>
      <c r="G615">
        <v>125.93114896207472</v>
      </c>
      <c r="H615" t="s">
        <v>1393</v>
      </c>
      <c r="I615" t="s">
        <v>885</v>
      </c>
      <c r="J615">
        <v>3.15</v>
      </c>
      <c r="K615" t="s">
        <v>920</v>
      </c>
      <c r="L615">
        <v>65000</v>
      </c>
      <c r="M615">
        <v>3.15</v>
      </c>
      <c r="N615">
        <v>125.93114896207472</v>
      </c>
      <c r="O615" t="s">
        <v>592</v>
      </c>
      <c r="P615" t="s">
        <v>613</v>
      </c>
      <c r="Q615" t="s">
        <v>586</v>
      </c>
      <c r="R615" t="s">
        <v>712</v>
      </c>
      <c r="S615" t="s">
        <v>712</v>
      </c>
      <c r="T615">
        <v>84</v>
      </c>
    </row>
    <row r="616" spans="1:20" x14ac:dyDescent="0.25">
      <c r="A616" t="s">
        <v>1694</v>
      </c>
      <c r="B616" t="s">
        <v>236</v>
      </c>
      <c r="C616" t="s">
        <v>586</v>
      </c>
      <c r="D616" t="s">
        <v>608</v>
      </c>
      <c r="E616" t="s">
        <v>943</v>
      </c>
      <c r="F616">
        <v>3.6091104725966022E-2</v>
      </c>
      <c r="G616">
        <v>95.125013698630156</v>
      </c>
      <c r="H616" t="s">
        <v>1683</v>
      </c>
      <c r="I616" t="s">
        <v>611</v>
      </c>
      <c r="J616">
        <v>3</v>
      </c>
      <c r="K616" t="s">
        <v>1008</v>
      </c>
      <c r="L616">
        <v>75000</v>
      </c>
      <c r="M616">
        <v>2.2000000000000002</v>
      </c>
      <c r="N616">
        <v>95.125013698630156</v>
      </c>
      <c r="O616" t="s">
        <v>592</v>
      </c>
      <c r="P616" t="s">
        <v>613</v>
      </c>
      <c r="Q616" t="s">
        <v>586</v>
      </c>
      <c r="R616" t="s">
        <v>712</v>
      </c>
      <c r="S616" t="s">
        <v>712</v>
      </c>
      <c r="T616">
        <v>99</v>
      </c>
    </row>
    <row r="617" spans="1:20" x14ac:dyDescent="0.25">
      <c r="A617" t="s">
        <v>1695</v>
      </c>
      <c r="B617" t="s">
        <v>132</v>
      </c>
      <c r="C617" t="s">
        <v>586</v>
      </c>
      <c r="D617" t="s">
        <v>1124</v>
      </c>
      <c r="E617" t="s">
        <v>1135</v>
      </c>
      <c r="F617">
        <v>2.4036365390303041</v>
      </c>
      <c r="G617">
        <v>17.693446058269281</v>
      </c>
      <c r="H617" t="s">
        <v>1136</v>
      </c>
      <c r="I617" t="s">
        <v>1137</v>
      </c>
      <c r="J617">
        <v>3</v>
      </c>
      <c r="K617" t="s">
        <v>1013</v>
      </c>
      <c r="L617">
        <v>315000</v>
      </c>
      <c r="M617">
        <v>1.75</v>
      </c>
      <c r="N617">
        <v>17.693446058269281</v>
      </c>
      <c r="O617" t="s">
        <v>592</v>
      </c>
      <c r="P617" t="s">
        <v>711</v>
      </c>
      <c r="Q617" t="s">
        <v>586</v>
      </c>
      <c r="R617" t="s">
        <v>712</v>
      </c>
      <c r="S617" t="s">
        <v>712</v>
      </c>
      <c r="T617">
        <v>64</v>
      </c>
    </row>
    <row r="618" spans="1:20" x14ac:dyDescent="0.25">
      <c r="A618" t="s">
        <v>1696</v>
      </c>
      <c r="B618" t="s">
        <v>237</v>
      </c>
      <c r="C618" t="s">
        <v>586</v>
      </c>
      <c r="D618" t="s">
        <v>830</v>
      </c>
      <c r="E618" t="s">
        <v>1688</v>
      </c>
      <c r="F618">
        <v>1.0960930600341661</v>
      </c>
      <c r="G618">
        <v>20.080449603840258</v>
      </c>
      <c r="H618" t="s">
        <v>774</v>
      </c>
      <c r="I618" t="s">
        <v>1689</v>
      </c>
      <c r="J618">
        <v>2</v>
      </c>
      <c r="K618" t="s">
        <v>987</v>
      </c>
      <c r="L618">
        <v>750000</v>
      </c>
      <c r="M618">
        <v>1.45</v>
      </c>
      <c r="N618">
        <v>20.080449603840258</v>
      </c>
      <c r="O618" t="s">
        <v>592</v>
      </c>
      <c r="P618" t="s">
        <v>711</v>
      </c>
      <c r="Q618" t="s">
        <v>586</v>
      </c>
      <c r="R618" t="s">
        <v>712</v>
      </c>
      <c r="S618" t="s">
        <v>712</v>
      </c>
      <c r="T618">
        <v>72</v>
      </c>
    </row>
    <row r="619" spans="1:20" x14ac:dyDescent="0.25">
      <c r="A619" t="s">
        <v>1697</v>
      </c>
      <c r="B619" t="s">
        <v>237</v>
      </c>
      <c r="C619" t="s">
        <v>586</v>
      </c>
      <c r="D619" t="s">
        <v>830</v>
      </c>
      <c r="E619" t="s">
        <v>1688</v>
      </c>
      <c r="F619">
        <v>2.9889763768249518</v>
      </c>
      <c r="G619">
        <v>25.250926084237424</v>
      </c>
      <c r="H619" t="s">
        <v>774</v>
      </c>
      <c r="I619" t="s">
        <v>1689</v>
      </c>
      <c r="J619">
        <v>2</v>
      </c>
      <c r="K619" t="s">
        <v>1066</v>
      </c>
      <c r="L619">
        <v>750000</v>
      </c>
      <c r="M619">
        <v>1.8</v>
      </c>
      <c r="N619">
        <v>25.250926084237424</v>
      </c>
      <c r="O619" t="s">
        <v>592</v>
      </c>
      <c r="P619" t="s">
        <v>711</v>
      </c>
      <c r="Q619" t="s">
        <v>586</v>
      </c>
      <c r="R619" t="s">
        <v>712</v>
      </c>
      <c r="S619" t="s">
        <v>712</v>
      </c>
      <c r="T619">
        <v>48</v>
      </c>
    </row>
    <row r="620" spans="1:20" x14ac:dyDescent="0.25">
      <c r="A620" t="s">
        <v>1698</v>
      </c>
      <c r="B620" t="s">
        <v>238</v>
      </c>
      <c r="C620" t="s">
        <v>607</v>
      </c>
      <c r="D620" t="s">
        <v>608</v>
      </c>
      <c r="E620" t="s">
        <v>943</v>
      </c>
      <c r="F620">
        <v>8.046076741843064E-2</v>
      </c>
      <c r="G620">
        <v>34.917286884838596</v>
      </c>
      <c r="H620" t="s">
        <v>649</v>
      </c>
      <c r="I620" t="s">
        <v>611</v>
      </c>
      <c r="J620">
        <v>2.5</v>
      </c>
      <c r="K620" t="s">
        <v>950</v>
      </c>
      <c r="L620">
        <v>65000</v>
      </c>
      <c r="M620">
        <v>1.85</v>
      </c>
      <c r="N620">
        <v>34.917286884838596</v>
      </c>
      <c r="O620" t="s">
        <v>592</v>
      </c>
      <c r="P620" t="s">
        <v>613</v>
      </c>
      <c r="Q620" t="s">
        <v>586</v>
      </c>
      <c r="R620" t="s">
        <v>712</v>
      </c>
      <c r="S620" t="s">
        <v>712</v>
      </c>
      <c r="T620">
        <v>92</v>
      </c>
    </row>
    <row r="621" spans="1:20" x14ac:dyDescent="0.25">
      <c r="A621" t="s">
        <v>1699</v>
      </c>
      <c r="B621" t="s">
        <v>238</v>
      </c>
      <c r="C621" t="s">
        <v>607</v>
      </c>
      <c r="D621" t="s">
        <v>608</v>
      </c>
      <c r="E621" t="s">
        <v>943</v>
      </c>
      <c r="F621">
        <v>1.9967707745367644</v>
      </c>
      <c r="G621">
        <v>36.405707062074086</v>
      </c>
      <c r="H621" t="s">
        <v>649</v>
      </c>
      <c r="I621" t="s">
        <v>611</v>
      </c>
      <c r="J621">
        <v>2.5</v>
      </c>
      <c r="K621" t="s">
        <v>956</v>
      </c>
      <c r="L621">
        <v>70000</v>
      </c>
      <c r="M621">
        <v>2.2000000000000002</v>
      </c>
      <c r="N621">
        <v>36.405707062074086</v>
      </c>
      <c r="O621" t="s">
        <v>592</v>
      </c>
      <c r="P621" t="s">
        <v>613</v>
      </c>
      <c r="Q621" t="s">
        <v>586</v>
      </c>
      <c r="R621" t="s">
        <v>712</v>
      </c>
      <c r="S621" t="s">
        <v>712</v>
      </c>
      <c r="T621">
        <v>48</v>
      </c>
    </row>
    <row r="622" spans="1:20" x14ac:dyDescent="0.25">
      <c r="A622" t="s">
        <v>1700</v>
      </c>
      <c r="B622" t="s">
        <v>26</v>
      </c>
      <c r="C622" t="s">
        <v>586</v>
      </c>
      <c r="D622" t="s">
        <v>631</v>
      </c>
      <c r="E622" t="s">
        <v>632</v>
      </c>
      <c r="F622">
        <v>0.56517662689591941</v>
      </c>
      <c r="G622">
        <v>22.138743673863548</v>
      </c>
      <c r="H622" t="s">
        <v>633</v>
      </c>
      <c r="I622" t="s">
        <v>611</v>
      </c>
      <c r="J622">
        <v>5</v>
      </c>
      <c r="K622" t="s">
        <v>744</v>
      </c>
      <c r="L622">
        <v>3140000</v>
      </c>
      <c r="M622">
        <v>1.53</v>
      </c>
      <c r="N622">
        <v>22.138743673863548</v>
      </c>
      <c r="O622" t="s">
        <v>592</v>
      </c>
      <c r="P622" t="s">
        <v>593</v>
      </c>
      <c r="Q622" t="s">
        <v>586</v>
      </c>
      <c r="R622">
        <v>150000</v>
      </c>
      <c r="S622" t="s">
        <v>635</v>
      </c>
      <c r="T622">
        <v>90</v>
      </c>
    </row>
    <row r="623" spans="1:20" x14ac:dyDescent="0.25">
      <c r="A623" t="s">
        <v>1701</v>
      </c>
      <c r="B623" t="s">
        <v>235</v>
      </c>
      <c r="C623" t="s">
        <v>607</v>
      </c>
      <c r="D623" t="s">
        <v>608</v>
      </c>
      <c r="E623" t="s">
        <v>1142</v>
      </c>
      <c r="F623">
        <v>8.0456627225147972E-2</v>
      </c>
      <c r="G623">
        <v>58.406840260122905</v>
      </c>
      <c r="H623" t="s">
        <v>672</v>
      </c>
      <c r="I623" t="s">
        <v>721</v>
      </c>
      <c r="J623">
        <v>5</v>
      </c>
      <c r="K623" t="s">
        <v>950</v>
      </c>
      <c r="L623">
        <v>95000</v>
      </c>
      <c r="M623">
        <v>2</v>
      </c>
      <c r="N623">
        <v>58.406840260122905</v>
      </c>
      <c r="O623" t="s">
        <v>592</v>
      </c>
      <c r="P623" t="s">
        <v>613</v>
      </c>
      <c r="Q623" t="s">
        <v>586</v>
      </c>
      <c r="R623" t="s">
        <v>712</v>
      </c>
      <c r="S623" t="s">
        <v>594</v>
      </c>
      <c r="T623">
        <v>95</v>
      </c>
    </row>
    <row r="624" spans="1:20" x14ac:dyDescent="0.25">
      <c r="A624" t="s">
        <v>1702</v>
      </c>
      <c r="B624" t="s">
        <v>235</v>
      </c>
      <c r="C624" t="s">
        <v>607</v>
      </c>
      <c r="D624" t="s">
        <v>608</v>
      </c>
      <c r="E624" t="s">
        <v>1142</v>
      </c>
      <c r="F624">
        <v>1.9428970109302235</v>
      </c>
      <c r="G624">
        <v>50.754016460982918</v>
      </c>
      <c r="H624" t="s">
        <v>672</v>
      </c>
      <c r="I624" t="s">
        <v>721</v>
      </c>
      <c r="J624">
        <v>5</v>
      </c>
      <c r="K624" t="s">
        <v>956</v>
      </c>
      <c r="L624">
        <v>100000</v>
      </c>
      <c r="M624">
        <v>2.25</v>
      </c>
      <c r="N624">
        <v>50.754016460982918</v>
      </c>
      <c r="O624" t="s">
        <v>592</v>
      </c>
      <c r="P624" t="s">
        <v>613</v>
      </c>
      <c r="Q624" t="s">
        <v>586</v>
      </c>
      <c r="R624" t="s">
        <v>712</v>
      </c>
      <c r="S624" t="s">
        <v>594</v>
      </c>
      <c r="T624">
        <v>76</v>
      </c>
    </row>
    <row r="625" spans="1:20" x14ac:dyDescent="0.25">
      <c r="A625" t="s">
        <v>1703</v>
      </c>
      <c r="B625" t="s">
        <v>144</v>
      </c>
      <c r="C625" t="s">
        <v>586</v>
      </c>
      <c r="D625" t="s">
        <v>654</v>
      </c>
      <c r="E625" t="s">
        <v>766</v>
      </c>
      <c r="F625">
        <v>0.8953059603739485</v>
      </c>
      <c r="G625">
        <v>6.6869538069388668</v>
      </c>
      <c r="H625" t="s">
        <v>767</v>
      </c>
      <c r="I625" t="s">
        <v>611</v>
      </c>
      <c r="J625">
        <v>5</v>
      </c>
      <c r="K625" t="s">
        <v>640</v>
      </c>
      <c r="L625">
        <v>1580000</v>
      </c>
      <c r="M625">
        <v>1.6300000000000001</v>
      </c>
      <c r="N625">
        <v>6.6869538069388668</v>
      </c>
      <c r="O625" t="s">
        <v>592</v>
      </c>
      <c r="P625" t="s">
        <v>593</v>
      </c>
      <c r="Q625" t="s">
        <v>586</v>
      </c>
      <c r="R625" t="s">
        <v>712</v>
      </c>
      <c r="S625" t="s">
        <v>652</v>
      </c>
      <c r="T625">
        <v>88</v>
      </c>
    </row>
    <row r="626" spans="1:20" x14ac:dyDescent="0.25">
      <c r="A626" t="s">
        <v>1704</v>
      </c>
      <c r="B626" t="s">
        <v>144</v>
      </c>
      <c r="C626" t="s">
        <v>586</v>
      </c>
      <c r="D626" t="s">
        <v>654</v>
      </c>
      <c r="E626" t="s">
        <v>766</v>
      </c>
      <c r="F626">
        <v>1.8282472826585545</v>
      </c>
      <c r="G626">
        <v>8.400082687275523</v>
      </c>
      <c r="H626" t="s">
        <v>767</v>
      </c>
      <c r="I626" t="s">
        <v>611</v>
      </c>
      <c r="J626">
        <v>5</v>
      </c>
      <c r="K626" t="s">
        <v>658</v>
      </c>
      <c r="L626">
        <v>1655000</v>
      </c>
      <c r="M626">
        <v>1.81</v>
      </c>
      <c r="N626">
        <v>8.400082687275523</v>
      </c>
      <c r="O626" t="s">
        <v>592</v>
      </c>
      <c r="P626" t="s">
        <v>593</v>
      </c>
      <c r="Q626" t="s">
        <v>586</v>
      </c>
      <c r="R626">
        <v>665000</v>
      </c>
      <c r="S626" t="s">
        <v>652</v>
      </c>
      <c r="T626">
        <v>81</v>
      </c>
    </row>
    <row r="627" spans="1:20" x14ac:dyDescent="0.25">
      <c r="A627" t="s">
        <v>1705</v>
      </c>
      <c r="B627" t="s">
        <v>144</v>
      </c>
      <c r="C627" t="s">
        <v>586</v>
      </c>
      <c r="D627" t="s">
        <v>654</v>
      </c>
      <c r="E627" t="s">
        <v>766</v>
      </c>
      <c r="F627">
        <v>3.5742770109111066</v>
      </c>
      <c r="G627">
        <v>15.199841933811431</v>
      </c>
      <c r="H627" t="s">
        <v>767</v>
      </c>
      <c r="I627" t="s">
        <v>611</v>
      </c>
      <c r="J627">
        <v>5</v>
      </c>
      <c r="K627" t="s">
        <v>753</v>
      </c>
      <c r="L627">
        <v>1825000</v>
      </c>
      <c r="M627">
        <v>2.1800000000000002</v>
      </c>
      <c r="N627">
        <v>15.199841933811431</v>
      </c>
      <c r="O627" t="s">
        <v>592</v>
      </c>
      <c r="P627" t="s">
        <v>593</v>
      </c>
      <c r="Q627" t="s">
        <v>586</v>
      </c>
      <c r="R627">
        <v>50000</v>
      </c>
      <c r="S627" t="s">
        <v>652</v>
      </c>
      <c r="T627">
        <v>71</v>
      </c>
    </row>
    <row r="628" spans="1:20" x14ac:dyDescent="0.25">
      <c r="A628" t="s">
        <v>1706</v>
      </c>
      <c r="B628" t="s">
        <v>232</v>
      </c>
      <c r="C628" t="s">
        <v>586</v>
      </c>
      <c r="D628" t="s">
        <v>830</v>
      </c>
      <c r="E628" t="s">
        <v>831</v>
      </c>
      <c r="F628">
        <v>0.9011380811035935</v>
      </c>
      <c r="G628">
        <v>43.155131189875242</v>
      </c>
      <c r="H628" t="s">
        <v>1136</v>
      </c>
      <c r="I628" t="s">
        <v>860</v>
      </c>
      <c r="J628">
        <v>2</v>
      </c>
      <c r="K628" t="s">
        <v>640</v>
      </c>
      <c r="L628">
        <v>305000</v>
      </c>
      <c r="M628">
        <v>1.8</v>
      </c>
      <c r="N628">
        <v>43.155131189875242</v>
      </c>
      <c r="O628" t="s">
        <v>592</v>
      </c>
      <c r="P628" t="s">
        <v>711</v>
      </c>
      <c r="Q628" t="s">
        <v>586</v>
      </c>
      <c r="R628" t="s">
        <v>712</v>
      </c>
      <c r="S628" t="s">
        <v>712</v>
      </c>
      <c r="T628">
        <v>84</v>
      </c>
    </row>
    <row r="629" spans="1:20" x14ac:dyDescent="0.25">
      <c r="A629" t="s">
        <v>1707</v>
      </c>
      <c r="B629" t="s">
        <v>232</v>
      </c>
      <c r="C629" t="s">
        <v>586</v>
      </c>
      <c r="D629" t="s">
        <v>830</v>
      </c>
      <c r="E629" t="s">
        <v>831</v>
      </c>
      <c r="F629">
        <v>2.8027287305146853</v>
      </c>
      <c r="G629">
        <v>49.074325310941312</v>
      </c>
      <c r="H629" t="s">
        <v>1136</v>
      </c>
      <c r="I629" t="s">
        <v>860</v>
      </c>
      <c r="J629">
        <v>2.25</v>
      </c>
      <c r="K629" t="s">
        <v>626</v>
      </c>
      <c r="L629">
        <v>315000</v>
      </c>
      <c r="M629">
        <v>2.15</v>
      </c>
      <c r="N629">
        <v>49.074325310941312</v>
      </c>
      <c r="O629" t="s">
        <v>592</v>
      </c>
      <c r="P629" t="s">
        <v>711</v>
      </c>
      <c r="Q629" t="s">
        <v>586</v>
      </c>
      <c r="R629">
        <v>45000</v>
      </c>
      <c r="S629" t="s">
        <v>712</v>
      </c>
      <c r="T629">
        <v>69</v>
      </c>
    </row>
    <row r="630" spans="1:20" x14ac:dyDescent="0.25">
      <c r="A630" t="s">
        <v>1708</v>
      </c>
      <c r="B630" t="s">
        <v>239</v>
      </c>
      <c r="C630" t="s">
        <v>586</v>
      </c>
      <c r="D630" t="s">
        <v>608</v>
      </c>
      <c r="E630" t="s">
        <v>609</v>
      </c>
      <c r="F630">
        <v>0.97831064795450096</v>
      </c>
      <c r="G630">
        <v>20.519093150684942</v>
      </c>
      <c r="H630" t="s">
        <v>610</v>
      </c>
      <c r="I630" t="s">
        <v>1709</v>
      </c>
      <c r="J630">
        <v>5</v>
      </c>
      <c r="K630" t="s">
        <v>646</v>
      </c>
      <c r="L630">
        <v>365000</v>
      </c>
      <c r="M630">
        <v>1.81</v>
      </c>
      <c r="N630">
        <v>20.519093150684942</v>
      </c>
      <c r="O630" t="s">
        <v>592</v>
      </c>
      <c r="P630" t="s">
        <v>621</v>
      </c>
      <c r="Q630" t="s">
        <v>586</v>
      </c>
      <c r="R630">
        <v>20000</v>
      </c>
      <c r="S630" t="s">
        <v>635</v>
      </c>
      <c r="T630">
        <v>89</v>
      </c>
    </row>
    <row r="631" spans="1:20" x14ac:dyDescent="0.25">
      <c r="A631" t="s">
        <v>1710</v>
      </c>
      <c r="B631" t="s">
        <v>239</v>
      </c>
      <c r="C631" t="s">
        <v>586</v>
      </c>
      <c r="D631" t="s">
        <v>608</v>
      </c>
      <c r="E631" t="s">
        <v>609</v>
      </c>
      <c r="F631">
        <v>0.98293401096670563</v>
      </c>
      <c r="G631">
        <v>20.519093150684942</v>
      </c>
      <c r="H631" t="s">
        <v>610</v>
      </c>
      <c r="I631" t="s">
        <v>1053</v>
      </c>
      <c r="J631">
        <v>3</v>
      </c>
      <c r="K631" t="s">
        <v>646</v>
      </c>
      <c r="L631">
        <v>40000</v>
      </c>
      <c r="M631">
        <v>1.81</v>
      </c>
      <c r="N631">
        <v>20.519093150684942</v>
      </c>
      <c r="O631" t="s">
        <v>592</v>
      </c>
      <c r="P631" t="s">
        <v>621</v>
      </c>
      <c r="Q631" t="s">
        <v>586</v>
      </c>
      <c r="R631" t="s">
        <v>712</v>
      </c>
      <c r="S631" t="s">
        <v>635</v>
      </c>
      <c r="T631">
        <v>81</v>
      </c>
    </row>
    <row r="632" spans="1:20" x14ac:dyDescent="0.25">
      <c r="A632" t="s">
        <v>1711</v>
      </c>
      <c r="B632" t="s">
        <v>239</v>
      </c>
      <c r="C632" t="s">
        <v>586</v>
      </c>
      <c r="D632" t="s">
        <v>608</v>
      </c>
      <c r="E632" t="s">
        <v>609</v>
      </c>
      <c r="F632">
        <v>2.8654035596666541</v>
      </c>
      <c r="G632">
        <v>21.113098630136975</v>
      </c>
      <c r="H632" t="s">
        <v>610</v>
      </c>
      <c r="I632" t="s">
        <v>1053</v>
      </c>
      <c r="J632">
        <v>3</v>
      </c>
      <c r="K632" t="s">
        <v>817</v>
      </c>
      <c r="L632">
        <v>70000</v>
      </c>
      <c r="M632">
        <v>2.0300000000000002</v>
      </c>
      <c r="N632">
        <v>21.113098630136975</v>
      </c>
      <c r="O632" t="s">
        <v>592</v>
      </c>
      <c r="P632" t="s">
        <v>621</v>
      </c>
      <c r="Q632" t="s">
        <v>586</v>
      </c>
      <c r="R632" t="s">
        <v>712</v>
      </c>
      <c r="S632" t="s">
        <v>635</v>
      </c>
      <c r="T632">
        <v>60</v>
      </c>
    </row>
    <row r="633" spans="1:20" x14ac:dyDescent="0.25">
      <c r="A633" t="s">
        <v>1712</v>
      </c>
      <c r="B633" t="s">
        <v>239</v>
      </c>
      <c r="C633" t="s">
        <v>586</v>
      </c>
      <c r="D633" t="s">
        <v>608</v>
      </c>
      <c r="E633" t="s">
        <v>609</v>
      </c>
      <c r="F633">
        <v>4.5569508109891865</v>
      </c>
      <c r="G633">
        <v>27.893786301369872</v>
      </c>
      <c r="H633" t="s">
        <v>610</v>
      </c>
      <c r="I633" t="s">
        <v>1053</v>
      </c>
      <c r="J633">
        <v>4</v>
      </c>
      <c r="K633" t="s">
        <v>1023</v>
      </c>
      <c r="L633">
        <v>65000</v>
      </c>
      <c r="M633">
        <v>2.27</v>
      </c>
      <c r="N633">
        <v>27.893786301369872</v>
      </c>
      <c r="O633" t="s">
        <v>592</v>
      </c>
      <c r="P633" t="s">
        <v>621</v>
      </c>
      <c r="Q633" t="s">
        <v>586</v>
      </c>
      <c r="R633" t="s">
        <v>712</v>
      </c>
      <c r="S633" t="s">
        <v>635</v>
      </c>
      <c r="T633">
        <v>54</v>
      </c>
    </row>
    <row r="634" spans="1:20" x14ac:dyDescent="0.25">
      <c r="A634" t="s">
        <v>1713</v>
      </c>
      <c r="B634" t="s">
        <v>240</v>
      </c>
      <c r="C634" t="s">
        <v>586</v>
      </c>
      <c r="D634" t="s">
        <v>1523</v>
      </c>
      <c r="E634" t="s">
        <v>1714</v>
      </c>
      <c r="F634">
        <v>0.56260197531715761</v>
      </c>
      <c r="G634">
        <v>67.332912968536249</v>
      </c>
      <c r="H634" t="s">
        <v>1715</v>
      </c>
      <c r="I634" t="s">
        <v>721</v>
      </c>
      <c r="J634">
        <v>4</v>
      </c>
      <c r="K634" t="s">
        <v>744</v>
      </c>
      <c r="L634">
        <v>75000</v>
      </c>
      <c r="M634">
        <v>2.5</v>
      </c>
      <c r="N634">
        <v>67.332912968536249</v>
      </c>
      <c r="O634" t="s">
        <v>592</v>
      </c>
      <c r="P634" t="s">
        <v>723</v>
      </c>
      <c r="Q634" t="s">
        <v>607</v>
      </c>
      <c r="R634" t="s">
        <v>712</v>
      </c>
      <c r="S634" t="s">
        <v>594</v>
      </c>
      <c r="T634">
        <v>88</v>
      </c>
    </row>
    <row r="635" spans="1:20" x14ac:dyDescent="0.25">
      <c r="A635" t="s">
        <v>1716</v>
      </c>
      <c r="B635" t="s">
        <v>241</v>
      </c>
      <c r="C635" t="s">
        <v>586</v>
      </c>
      <c r="D635" t="s">
        <v>707</v>
      </c>
      <c r="E635" t="s">
        <v>1717</v>
      </c>
      <c r="F635">
        <v>1.1203103467559414</v>
      </c>
      <c r="G635">
        <v>10.957945205479458</v>
      </c>
      <c r="H635" t="s">
        <v>1718</v>
      </c>
      <c r="I635" t="s">
        <v>733</v>
      </c>
      <c r="J635">
        <v>5</v>
      </c>
      <c r="K635" t="s">
        <v>598</v>
      </c>
      <c r="L635">
        <v>705000</v>
      </c>
      <c r="M635">
        <v>1.52</v>
      </c>
      <c r="N635">
        <v>10.957945205479458</v>
      </c>
      <c r="O635" t="s">
        <v>592</v>
      </c>
      <c r="P635" t="s">
        <v>593</v>
      </c>
      <c r="Q635" t="s">
        <v>586</v>
      </c>
      <c r="R635" t="s">
        <v>712</v>
      </c>
      <c r="S635" t="s">
        <v>712</v>
      </c>
      <c r="T635">
        <v>84</v>
      </c>
    </row>
    <row r="636" spans="1:20" x14ac:dyDescent="0.25">
      <c r="A636" t="s">
        <v>1719</v>
      </c>
      <c r="B636" t="s">
        <v>37</v>
      </c>
      <c r="C636" t="s">
        <v>586</v>
      </c>
      <c r="D636" t="s">
        <v>587</v>
      </c>
      <c r="E636" t="s">
        <v>696</v>
      </c>
      <c r="F636">
        <v>0.24673932836467258</v>
      </c>
      <c r="G636">
        <v>-6.7639863013698509</v>
      </c>
      <c r="H636" t="s">
        <v>697</v>
      </c>
      <c r="I636" t="s">
        <v>1011</v>
      </c>
      <c r="J636">
        <v>5</v>
      </c>
      <c r="K636" t="s">
        <v>694</v>
      </c>
      <c r="L636">
        <v>1355000</v>
      </c>
      <c r="M636">
        <v>1.71</v>
      </c>
      <c r="N636">
        <v>-6.7639863013698509</v>
      </c>
      <c r="O636" t="s">
        <v>592</v>
      </c>
      <c r="P636" t="s">
        <v>593</v>
      </c>
      <c r="Q636" t="s">
        <v>586</v>
      </c>
      <c r="R636">
        <v>50000</v>
      </c>
      <c r="S636" t="s">
        <v>594</v>
      </c>
      <c r="T636">
        <v>96</v>
      </c>
    </row>
    <row r="637" spans="1:20" x14ac:dyDescent="0.25">
      <c r="A637" t="s">
        <v>1720</v>
      </c>
      <c r="B637" t="s">
        <v>37</v>
      </c>
      <c r="C637" t="s">
        <v>586</v>
      </c>
      <c r="D637" t="s">
        <v>587</v>
      </c>
      <c r="E637" t="s">
        <v>696</v>
      </c>
      <c r="F637">
        <v>1.2033886544718126</v>
      </c>
      <c r="G637">
        <v>-6.976958904109587</v>
      </c>
      <c r="H637" t="s">
        <v>697</v>
      </c>
      <c r="I637" t="s">
        <v>698</v>
      </c>
      <c r="J637">
        <v>5</v>
      </c>
      <c r="K637" t="s">
        <v>764</v>
      </c>
      <c r="L637">
        <v>2445000</v>
      </c>
      <c r="M637">
        <v>1.8</v>
      </c>
      <c r="N637">
        <v>-6.976958904109587</v>
      </c>
      <c r="O637" t="s">
        <v>592</v>
      </c>
      <c r="P637" t="s">
        <v>593</v>
      </c>
      <c r="Q637" t="s">
        <v>586</v>
      </c>
      <c r="R637" t="s">
        <v>712</v>
      </c>
      <c r="S637" t="s">
        <v>594</v>
      </c>
      <c r="T637">
        <v>90</v>
      </c>
    </row>
    <row r="638" spans="1:20" x14ac:dyDescent="0.25">
      <c r="A638" t="s">
        <v>1721</v>
      </c>
      <c r="B638" t="s">
        <v>37</v>
      </c>
      <c r="C638" t="s">
        <v>586</v>
      </c>
      <c r="D638" t="s">
        <v>587</v>
      </c>
      <c r="E638" t="s">
        <v>696</v>
      </c>
      <c r="F638">
        <v>0.24673932836467258</v>
      </c>
      <c r="G638">
        <v>-5.76398630136985</v>
      </c>
      <c r="H638" t="s">
        <v>697</v>
      </c>
      <c r="I638" t="s">
        <v>698</v>
      </c>
      <c r="J638">
        <v>5</v>
      </c>
      <c r="K638" t="s">
        <v>694</v>
      </c>
      <c r="L638">
        <v>2325000</v>
      </c>
      <c r="M638">
        <v>1.72</v>
      </c>
      <c r="N638">
        <v>-5.76398630136985</v>
      </c>
      <c r="O638" t="s">
        <v>592</v>
      </c>
      <c r="P638" t="s">
        <v>593</v>
      </c>
      <c r="Q638" t="s">
        <v>586</v>
      </c>
      <c r="R638">
        <v>10000</v>
      </c>
      <c r="S638" t="s">
        <v>594</v>
      </c>
      <c r="T638">
        <v>97</v>
      </c>
    </row>
    <row r="639" spans="1:20" x14ac:dyDescent="0.25">
      <c r="A639" t="s">
        <v>1722</v>
      </c>
      <c r="B639" t="s">
        <v>37</v>
      </c>
      <c r="C639" t="s">
        <v>586</v>
      </c>
      <c r="D639" t="s">
        <v>587</v>
      </c>
      <c r="E639" t="s">
        <v>696</v>
      </c>
      <c r="F639">
        <v>1.2033886544718126</v>
      </c>
      <c r="G639">
        <v>-7.9769589041095879</v>
      </c>
      <c r="H639" t="s">
        <v>697</v>
      </c>
      <c r="I639" t="s">
        <v>661</v>
      </c>
      <c r="J639">
        <v>5</v>
      </c>
      <c r="K639" t="s">
        <v>764</v>
      </c>
      <c r="L639">
        <v>2985000</v>
      </c>
      <c r="M639">
        <v>1.79</v>
      </c>
      <c r="N639">
        <v>-7.9769589041095879</v>
      </c>
      <c r="O639" t="s">
        <v>592</v>
      </c>
      <c r="P639" t="s">
        <v>593</v>
      </c>
      <c r="Q639" t="s">
        <v>586</v>
      </c>
      <c r="R639">
        <v>150000</v>
      </c>
      <c r="S639" t="s">
        <v>594</v>
      </c>
      <c r="T639">
        <v>90</v>
      </c>
    </row>
    <row r="640" spans="1:20" x14ac:dyDescent="0.25">
      <c r="A640" t="s">
        <v>1723</v>
      </c>
      <c r="B640" t="s">
        <v>37</v>
      </c>
      <c r="C640" t="s">
        <v>586</v>
      </c>
      <c r="D640" t="s">
        <v>587</v>
      </c>
      <c r="E640" t="s">
        <v>696</v>
      </c>
      <c r="F640">
        <v>1.2033886544718126</v>
      </c>
      <c r="G640">
        <v>-7.9769589041095879</v>
      </c>
      <c r="H640" t="s">
        <v>697</v>
      </c>
      <c r="I640" t="s">
        <v>1011</v>
      </c>
      <c r="J640">
        <v>5</v>
      </c>
      <c r="K640" t="s">
        <v>764</v>
      </c>
      <c r="L640">
        <v>1425000</v>
      </c>
      <c r="M640">
        <v>1.79</v>
      </c>
      <c r="N640">
        <v>-7.9769589041095879</v>
      </c>
      <c r="O640" t="s">
        <v>592</v>
      </c>
      <c r="P640" t="s">
        <v>593</v>
      </c>
      <c r="Q640" t="s">
        <v>586</v>
      </c>
      <c r="R640" t="s">
        <v>712</v>
      </c>
      <c r="S640" t="s">
        <v>594</v>
      </c>
      <c r="T640">
        <v>89</v>
      </c>
    </row>
    <row r="641" spans="1:20" x14ac:dyDescent="0.25">
      <c r="A641" t="s">
        <v>1724</v>
      </c>
      <c r="B641" t="s">
        <v>37</v>
      </c>
      <c r="C641" t="s">
        <v>586</v>
      </c>
      <c r="D641" t="s">
        <v>587</v>
      </c>
      <c r="E641" t="s">
        <v>696</v>
      </c>
      <c r="F641">
        <v>2.1163468953311835</v>
      </c>
      <c r="G641">
        <v>-8.8150027397260402</v>
      </c>
      <c r="H641" t="s">
        <v>697</v>
      </c>
      <c r="I641" t="s">
        <v>661</v>
      </c>
      <c r="J641">
        <v>5</v>
      </c>
      <c r="K641" t="s">
        <v>699</v>
      </c>
      <c r="L641">
        <v>3135000</v>
      </c>
      <c r="M641">
        <v>1.8800000000000001</v>
      </c>
      <c r="N641">
        <v>-8.8150027397260402</v>
      </c>
      <c r="O641" t="s">
        <v>592</v>
      </c>
      <c r="P641" t="s">
        <v>593</v>
      </c>
      <c r="Q641" t="s">
        <v>586</v>
      </c>
      <c r="R641" t="s">
        <v>712</v>
      </c>
      <c r="S641" t="s">
        <v>594</v>
      </c>
      <c r="T641">
        <v>82</v>
      </c>
    </row>
    <row r="642" spans="1:20" x14ac:dyDescent="0.25">
      <c r="A642" t="s">
        <v>1725</v>
      </c>
      <c r="B642" t="s">
        <v>37</v>
      </c>
      <c r="C642" t="s">
        <v>586</v>
      </c>
      <c r="D642" t="s">
        <v>587</v>
      </c>
      <c r="E642" t="s">
        <v>696</v>
      </c>
      <c r="F642">
        <v>2.1163468953311835</v>
      </c>
      <c r="G642">
        <v>-8.8150027397260402</v>
      </c>
      <c r="H642" t="s">
        <v>697</v>
      </c>
      <c r="I642" t="s">
        <v>1011</v>
      </c>
      <c r="J642">
        <v>5</v>
      </c>
      <c r="K642" t="s">
        <v>699</v>
      </c>
      <c r="L642">
        <v>1500000</v>
      </c>
      <c r="M642">
        <v>1.8800000000000001</v>
      </c>
      <c r="N642">
        <v>-8.8150027397260402</v>
      </c>
      <c r="O642" t="s">
        <v>592</v>
      </c>
      <c r="P642" t="s">
        <v>593</v>
      </c>
      <c r="Q642" t="s">
        <v>586</v>
      </c>
      <c r="R642">
        <v>20000</v>
      </c>
      <c r="S642" t="s">
        <v>594</v>
      </c>
      <c r="T642">
        <v>81</v>
      </c>
    </row>
    <row r="643" spans="1:20" x14ac:dyDescent="0.25">
      <c r="A643" t="s">
        <v>1726</v>
      </c>
      <c r="B643" t="s">
        <v>205</v>
      </c>
      <c r="C643" t="s">
        <v>586</v>
      </c>
      <c r="D643" t="s">
        <v>587</v>
      </c>
      <c r="E643" t="s">
        <v>791</v>
      </c>
      <c r="F643">
        <v>1.8290501740912872</v>
      </c>
      <c r="G643">
        <v>-1.4378136986301193</v>
      </c>
      <c r="H643" t="s">
        <v>757</v>
      </c>
      <c r="I643" t="s">
        <v>661</v>
      </c>
      <c r="J643">
        <v>5</v>
      </c>
      <c r="K643" t="s">
        <v>658</v>
      </c>
      <c r="L643">
        <v>250000</v>
      </c>
      <c r="M643">
        <v>1.62</v>
      </c>
      <c r="N643">
        <v>-1.4378136986301193</v>
      </c>
      <c r="O643" t="s">
        <v>592</v>
      </c>
      <c r="P643" t="s">
        <v>593</v>
      </c>
      <c r="Q643" t="s">
        <v>586</v>
      </c>
      <c r="R643" t="s">
        <v>712</v>
      </c>
      <c r="S643" t="s">
        <v>712</v>
      </c>
      <c r="T643">
        <v>67</v>
      </c>
    </row>
    <row r="644" spans="1:20" x14ac:dyDescent="0.25">
      <c r="A644" t="s">
        <v>1727</v>
      </c>
      <c r="B644" t="s">
        <v>205</v>
      </c>
      <c r="C644" t="s">
        <v>586</v>
      </c>
      <c r="D644" t="s">
        <v>587</v>
      </c>
      <c r="E644" t="s">
        <v>791</v>
      </c>
      <c r="F644">
        <v>4.4010105908639909</v>
      </c>
      <c r="G644">
        <v>1.730334246575338</v>
      </c>
      <c r="H644" t="s">
        <v>757</v>
      </c>
      <c r="I644" t="s">
        <v>661</v>
      </c>
      <c r="J644">
        <v>5</v>
      </c>
      <c r="K644" t="s">
        <v>1174</v>
      </c>
      <c r="L644">
        <v>290000</v>
      </c>
      <c r="M644">
        <v>1.93</v>
      </c>
      <c r="N644">
        <v>1.730334246575338</v>
      </c>
      <c r="O644" t="s">
        <v>592</v>
      </c>
      <c r="P644" t="s">
        <v>593</v>
      </c>
      <c r="Q644" t="s">
        <v>586</v>
      </c>
      <c r="R644">
        <v>45000</v>
      </c>
      <c r="S644" t="s">
        <v>712</v>
      </c>
      <c r="T644">
        <v>62</v>
      </c>
    </row>
    <row r="645" spans="1:20" x14ac:dyDescent="0.25">
      <c r="A645" t="s">
        <v>1728</v>
      </c>
      <c r="B645" t="s">
        <v>242</v>
      </c>
      <c r="C645" t="s">
        <v>607</v>
      </c>
      <c r="D645" t="s">
        <v>830</v>
      </c>
      <c r="E645" t="s">
        <v>1729</v>
      </c>
      <c r="F645">
        <v>0.24650776710644462</v>
      </c>
      <c r="G645">
        <v>26.248084931506831</v>
      </c>
      <c r="H645" t="s">
        <v>1190</v>
      </c>
      <c r="I645" t="s">
        <v>1165</v>
      </c>
      <c r="J645">
        <v>2.5</v>
      </c>
      <c r="K645" t="s">
        <v>694</v>
      </c>
      <c r="L645">
        <v>150000</v>
      </c>
      <c r="M645">
        <v>1.6500000000000001</v>
      </c>
      <c r="N645">
        <v>26.248084931506831</v>
      </c>
      <c r="O645" t="s">
        <v>592</v>
      </c>
      <c r="P645" t="s">
        <v>711</v>
      </c>
      <c r="Q645" t="s">
        <v>586</v>
      </c>
      <c r="R645" t="s">
        <v>712</v>
      </c>
      <c r="S645" t="s">
        <v>594</v>
      </c>
      <c r="T645">
        <v>99</v>
      </c>
    </row>
    <row r="646" spans="1:20" x14ac:dyDescent="0.25">
      <c r="A646" t="s">
        <v>1730</v>
      </c>
      <c r="B646" t="s">
        <v>242</v>
      </c>
      <c r="C646" t="s">
        <v>607</v>
      </c>
      <c r="D646" t="s">
        <v>830</v>
      </c>
      <c r="E646" t="s">
        <v>1729</v>
      </c>
      <c r="F646">
        <v>1.2179065068819404</v>
      </c>
      <c r="G646">
        <v>28.872468493150684</v>
      </c>
      <c r="H646" t="s">
        <v>1190</v>
      </c>
      <c r="I646" t="s">
        <v>1165</v>
      </c>
      <c r="J646">
        <v>2.5</v>
      </c>
      <c r="K646" t="s">
        <v>764</v>
      </c>
      <c r="L646">
        <v>150000</v>
      </c>
      <c r="M646">
        <v>1.8</v>
      </c>
      <c r="N646">
        <v>28.872468493150684</v>
      </c>
      <c r="O646" t="s">
        <v>592</v>
      </c>
      <c r="P646" t="s">
        <v>711</v>
      </c>
      <c r="Q646" t="s">
        <v>586</v>
      </c>
      <c r="R646" t="s">
        <v>712</v>
      </c>
      <c r="S646" t="s">
        <v>594</v>
      </c>
      <c r="T646">
        <v>80</v>
      </c>
    </row>
    <row r="647" spans="1:20" x14ac:dyDescent="0.25">
      <c r="A647" t="s">
        <v>1731</v>
      </c>
      <c r="B647" t="s">
        <v>242</v>
      </c>
      <c r="C647" t="s">
        <v>607</v>
      </c>
      <c r="D647" t="s">
        <v>830</v>
      </c>
      <c r="E647" t="s">
        <v>1729</v>
      </c>
      <c r="F647">
        <v>2.1648538463382931</v>
      </c>
      <c r="G647">
        <v>36.079712328767123</v>
      </c>
      <c r="H647" t="s">
        <v>1190</v>
      </c>
      <c r="I647" t="s">
        <v>1165</v>
      </c>
      <c r="J647">
        <v>2.5</v>
      </c>
      <c r="K647" t="s">
        <v>699</v>
      </c>
      <c r="L647">
        <v>150000</v>
      </c>
      <c r="M647">
        <v>2</v>
      </c>
      <c r="N647">
        <v>36.079712328767123</v>
      </c>
      <c r="O647" t="s">
        <v>592</v>
      </c>
      <c r="P647" t="s">
        <v>711</v>
      </c>
      <c r="Q647" t="s">
        <v>586</v>
      </c>
      <c r="R647" t="s">
        <v>712</v>
      </c>
      <c r="S647" t="s">
        <v>594</v>
      </c>
      <c r="T647">
        <v>67</v>
      </c>
    </row>
    <row r="648" spans="1:20" x14ac:dyDescent="0.25">
      <c r="A648" t="s">
        <v>1732</v>
      </c>
      <c r="B648" t="s">
        <v>242</v>
      </c>
      <c r="C648" t="s">
        <v>607</v>
      </c>
      <c r="D648" t="s">
        <v>830</v>
      </c>
      <c r="E648" t="s">
        <v>1729</v>
      </c>
      <c r="F648">
        <v>3.088443489924134</v>
      </c>
      <c r="G648">
        <v>43.303328767123304</v>
      </c>
      <c r="H648" t="s">
        <v>1190</v>
      </c>
      <c r="I648" t="s">
        <v>1165</v>
      </c>
      <c r="J648">
        <v>2.5</v>
      </c>
      <c r="K648" t="s">
        <v>591</v>
      </c>
      <c r="L648">
        <v>160000</v>
      </c>
      <c r="M648">
        <v>2.2000000000000002</v>
      </c>
      <c r="N648">
        <v>43.303328767123304</v>
      </c>
      <c r="O648" t="s">
        <v>592</v>
      </c>
      <c r="P648" t="s">
        <v>711</v>
      </c>
      <c r="Q648" t="s">
        <v>586</v>
      </c>
      <c r="R648" t="s">
        <v>712</v>
      </c>
      <c r="S648" t="s">
        <v>594</v>
      </c>
      <c r="T648">
        <v>55</v>
      </c>
    </row>
    <row r="649" spans="1:20" x14ac:dyDescent="0.25">
      <c r="A649" t="s">
        <v>1733</v>
      </c>
      <c r="B649" t="s">
        <v>242</v>
      </c>
      <c r="C649" t="s">
        <v>607</v>
      </c>
      <c r="D649" t="s">
        <v>830</v>
      </c>
      <c r="E649" t="s">
        <v>1729</v>
      </c>
      <c r="F649">
        <v>3.9699438333750217</v>
      </c>
      <c r="G649">
        <v>52.214219178082175</v>
      </c>
      <c r="H649" t="s">
        <v>1190</v>
      </c>
      <c r="I649" t="s">
        <v>1165</v>
      </c>
      <c r="J649">
        <v>2.75</v>
      </c>
      <c r="K649" t="s">
        <v>725</v>
      </c>
      <c r="L649">
        <v>160000</v>
      </c>
      <c r="M649">
        <v>2.4000000000000004</v>
      </c>
      <c r="N649">
        <v>52.214219178082175</v>
      </c>
      <c r="O649" t="s">
        <v>592</v>
      </c>
      <c r="P649" t="s">
        <v>711</v>
      </c>
      <c r="Q649" t="s">
        <v>586</v>
      </c>
      <c r="R649" t="s">
        <v>712</v>
      </c>
      <c r="S649" t="s">
        <v>594</v>
      </c>
      <c r="T649">
        <v>50</v>
      </c>
    </row>
    <row r="650" spans="1:20" x14ac:dyDescent="0.25">
      <c r="A650" t="s">
        <v>1734</v>
      </c>
      <c r="B650" t="s">
        <v>242</v>
      </c>
      <c r="C650" t="s">
        <v>607</v>
      </c>
      <c r="D650" t="s">
        <v>830</v>
      </c>
      <c r="E650" t="s">
        <v>1729</v>
      </c>
      <c r="F650">
        <v>4.8112145682063527</v>
      </c>
      <c r="G650">
        <v>53.483575342465748</v>
      </c>
      <c r="H650" t="s">
        <v>1190</v>
      </c>
      <c r="I650" t="s">
        <v>1165</v>
      </c>
      <c r="J650">
        <v>3</v>
      </c>
      <c r="K650" t="s">
        <v>834</v>
      </c>
      <c r="L650">
        <v>60000</v>
      </c>
      <c r="M650">
        <v>2.5</v>
      </c>
      <c r="N650">
        <v>53.483575342465748</v>
      </c>
      <c r="O650" t="s">
        <v>592</v>
      </c>
      <c r="P650" t="s">
        <v>711</v>
      </c>
      <c r="Q650" t="s">
        <v>586</v>
      </c>
      <c r="R650" t="s">
        <v>712</v>
      </c>
      <c r="S650" t="s">
        <v>594</v>
      </c>
      <c r="T650">
        <v>44</v>
      </c>
    </row>
    <row r="651" spans="1:20" x14ac:dyDescent="0.25">
      <c r="A651" t="s">
        <v>1735</v>
      </c>
      <c r="B651" t="s">
        <v>242</v>
      </c>
      <c r="C651" t="s">
        <v>607</v>
      </c>
      <c r="D651" t="s">
        <v>830</v>
      </c>
      <c r="E651" t="s">
        <v>1729</v>
      </c>
      <c r="F651">
        <v>5.644255214039049</v>
      </c>
      <c r="G651">
        <v>52.93327671232877</v>
      </c>
      <c r="H651" t="s">
        <v>1190</v>
      </c>
      <c r="I651" t="s">
        <v>1165</v>
      </c>
      <c r="J651">
        <v>3</v>
      </c>
      <c r="K651" t="s">
        <v>1736</v>
      </c>
      <c r="L651">
        <v>65000</v>
      </c>
      <c r="M651">
        <v>2.6</v>
      </c>
      <c r="N651">
        <v>52.93327671232877</v>
      </c>
      <c r="O651" t="s">
        <v>592</v>
      </c>
      <c r="P651" t="s">
        <v>711</v>
      </c>
      <c r="Q651" t="s">
        <v>586</v>
      </c>
      <c r="R651" t="s">
        <v>712</v>
      </c>
      <c r="S651" t="s">
        <v>594</v>
      </c>
      <c r="T651">
        <v>38</v>
      </c>
    </row>
    <row r="652" spans="1:20" x14ac:dyDescent="0.25">
      <c r="A652" t="s">
        <v>1737</v>
      </c>
      <c r="B652" t="s">
        <v>242</v>
      </c>
      <c r="C652" t="s">
        <v>607</v>
      </c>
      <c r="D652" t="s">
        <v>830</v>
      </c>
      <c r="E652" t="s">
        <v>1729</v>
      </c>
      <c r="F652">
        <v>6.4447267010065818</v>
      </c>
      <c r="G652">
        <v>53.831260273972603</v>
      </c>
      <c r="H652" t="s">
        <v>1190</v>
      </c>
      <c r="I652" t="s">
        <v>1165</v>
      </c>
      <c r="J652">
        <v>3</v>
      </c>
      <c r="K652" t="s">
        <v>1554</v>
      </c>
      <c r="L652">
        <v>65000</v>
      </c>
      <c r="M652">
        <v>2.7</v>
      </c>
      <c r="N652">
        <v>53.831260273972603</v>
      </c>
      <c r="O652" t="s">
        <v>592</v>
      </c>
      <c r="P652" t="s">
        <v>711</v>
      </c>
      <c r="Q652" t="s">
        <v>586</v>
      </c>
      <c r="R652">
        <v>50000</v>
      </c>
      <c r="S652" t="s">
        <v>594</v>
      </c>
      <c r="T652">
        <v>33</v>
      </c>
    </row>
    <row r="653" spans="1:20" x14ac:dyDescent="0.25">
      <c r="A653" t="s">
        <v>1738</v>
      </c>
      <c r="B653" t="s">
        <v>242</v>
      </c>
      <c r="C653" t="s">
        <v>607</v>
      </c>
      <c r="D653" t="s">
        <v>830</v>
      </c>
      <c r="E653" t="s">
        <v>1729</v>
      </c>
      <c r="F653">
        <v>7.2309086943599405</v>
      </c>
      <c r="G653">
        <v>51.276399999999981</v>
      </c>
      <c r="H653" t="s">
        <v>1190</v>
      </c>
      <c r="I653" t="s">
        <v>1165</v>
      </c>
      <c r="J653">
        <v>3</v>
      </c>
      <c r="K653" t="s">
        <v>1739</v>
      </c>
      <c r="L653">
        <v>65000</v>
      </c>
      <c r="M653">
        <v>2.75</v>
      </c>
      <c r="N653">
        <v>51.276399999999981</v>
      </c>
      <c r="O653" t="s">
        <v>592</v>
      </c>
      <c r="P653" t="s">
        <v>711</v>
      </c>
      <c r="Q653" t="s">
        <v>586</v>
      </c>
      <c r="R653" t="s">
        <v>712</v>
      </c>
      <c r="S653" t="s">
        <v>594</v>
      </c>
      <c r="T653">
        <v>29</v>
      </c>
    </row>
    <row r="654" spans="1:20" x14ac:dyDescent="0.25">
      <c r="A654" t="s">
        <v>1740</v>
      </c>
      <c r="B654" t="s">
        <v>242</v>
      </c>
      <c r="C654" t="s">
        <v>607</v>
      </c>
      <c r="D654" t="s">
        <v>830</v>
      </c>
      <c r="E654" t="s">
        <v>1729</v>
      </c>
      <c r="F654">
        <v>7.9873349124843847</v>
      </c>
      <c r="G654">
        <v>54.878498630136988</v>
      </c>
      <c r="H654" t="s">
        <v>1190</v>
      </c>
      <c r="I654" t="s">
        <v>1165</v>
      </c>
      <c r="J654">
        <v>3</v>
      </c>
      <c r="K654" t="s">
        <v>1741</v>
      </c>
      <c r="L654">
        <v>70000</v>
      </c>
      <c r="M654">
        <v>2.85</v>
      </c>
      <c r="N654">
        <v>54.878498630136988</v>
      </c>
      <c r="O654" t="s">
        <v>592</v>
      </c>
      <c r="P654" t="s">
        <v>711</v>
      </c>
      <c r="Q654" t="s">
        <v>586</v>
      </c>
      <c r="R654" t="s">
        <v>712</v>
      </c>
      <c r="S654" t="s">
        <v>594</v>
      </c>
      <c r="T654">
        <v>26</v>
      </c>
    </row>
    <row r="655" spans="1:20" x14ac:dyDescent="0.25">
      <c r="A655" t="s">
        <v>1742</v>
      </c>
      <c r="B655" t="s">
        <v>242</v>
      </c>
      <c r="C655" t="s">
        <v>607</v>
      </c>
      <c r="D655" t="s">
        <v>830</v>
      </c>
      <c r="E655" t="s">
        <v>1729</v>
      </c>
      <c r="F655">
        <v>8.7179937132643666</v>
      </c>
      <c r="G655">
        <v>54.266410958904117</v>
      </c>
      <c r="H655" t="s">
        <v>1190</v>
      </c>
      <c r="I655" t="s">
        <v>1165</v>
      </c>
      <c r="J655">
        <v>3</v>
      </c>
      <c r="K655" t="s">
        <v>1743</v>
      </c>
      <c r="L655">
        <v>70000</v>
      </c>
      <c r="M655">
        <v>2.9000000000000004</v>
      </c>
      <c r="N655">
        <v>54.266410958904117</v>
      </c>
      <c r="O655" t="s">
        <v>592</v>
      </c>
      <c r="P655" t="s">
        <v>711</v>
      </c>
      <c r="Q655" t="s">
        <v>586</v>
      </c>
      <c r="R655" t="s">
        <v>712</v>
      </c>
      <c r="S655" t="s">
        <v>594</v>
      </c>
      <c r="T655">
        <v>24</v>
      </c>
    </row>
    <row r="656" spans="1:20" x14ac:dyDescent="0.25">
      <c r="A656" t="s">
        <v>1744</v>
      </c>
      <c r="B656" t="s">
        <v>243</v>
      </c>
      <c r="C656" t="s">
        <v>586</v>
      </c>
      <c r="D656" t="s">
        <v>900</v>
      </c>
      <c r="E656" t="s">
        <v>1745</v>
      </c>
      <c r="F656">
        <v>0.65436792299999824</v>
      </c>
      <c r="G656">
        <v>35.850267741241204</v>
      </c>
      <c r="H656" t="s">
        <v>986</v>
      </c>
      <c r="I656" t="s">
        <v>721</v>
      </c>
      <c r="J656">
        <v>2</v>
      </c>
      <c r="K656" t="s">
        <v>787</v>
      </c>
      <c r="L656">
        <v>55000</v>
      </c>
      <c r="M656">
        <v>1.9000000000000001</v>
      </c>
      <c r="N656">
        <v>35.850267741241204</v>
      </c>
      <c r="O656" t="s">
        <v>592</v>
      </c>
      <c r="P656" t="s">
        <v>711</v>
      </c>
      <c r="Q656" t="s">
        <v>586</v>
      </c>
      <c r="R656" t="s">
        <v>712</v>
      </c>
      <c r="S656" t="s">
        <v>712</v>
      </c>
      <c r="T656">
        <v>88</v>
      </c>
    </row>
    <row r="657" spans="1:20" x14ac:dyDescent="0.25">
      <c r="A657" t="s">
        <v>1746</v>
      </c>
      <c r="B657" t="s">
        <v>243</v>
      </c>
      <c r="C657" t="s">
        <v>586</v>
      </c>
      <c r="D657" t="s">
        <v>900</v>
      </c>
      <c r="E657" t="s">
        <v>1745</v>
      </c>
      <c r="F657">
        <v>1.6056777484273563</v>
      </c>
      <c r="G657">
        <v>39.639249760276641</v>
      </c>
      <c r="H657" t="s">
        <v>986</v>
      </c>
      <c r="I657" t="s">
        <v>721</v>
      </c>
      <c r="J657">
        <v>3</v>
      </c>
      <c r="K657" t="s">
        <v>905</v>
      </c>
      <c r="L657">
        <v>45000</v>
      </c>
      <c r="M657">
        <v>2.1</v>
      </c>
      <c r="N657">
        <v>39.639249760276641</v>
      </c>
      <c r="O657" t="s">
        <v>592</v>
      </c>
      <c r="P657" t="s">
        <v>711</v>
      </c>
      <c r="Q657" t="s">
        <v>586</v>
      </c>
      <c r="R657" t="s">
        <v>712</v>
      </c>
      <c r="S657" t="s">
        <v>712</v>
      </c>
      <c r="T657">
        <v>84</v>
      </c>
    </row>
    <row r="658" spans="1:20" x14ac:dyDescent="0.25">
      <c r="A658" t="s">
        <v>1747</v>
      </c>
      <c r="B658" t="s">
        <v>243</v>
      </c>
      <c r="C658" t="s">
        <v>586</v>
      </c>
      <c r="D658" t="s">
        <v>900</v>
      </c>
      <c r="E658" t="s">
        <v>1745</v>
      </c>
      <c r="F658">
        <v>2.5317867201334066</v>
      </c>
      <c r="G658">
        <v>43.455722206517947</v>
      </c>
      <c r="H658" t="s">
        <v>986</v>
      </c>
      <c r="I658" t="s">
        <v>721</v>
      </c>
      <c r="J658">
        <v>3</v>
      </c>
      <c r="K658" t="s">
        <v>734</v>
      </c>
      <c r="L658">
        <v>45000</v>
      </c>
      <c r="M658">
        <v>2.3000000000000003</v>
      </c>
      <c r="N658">
        <v>43.455722206517947</v>
      </c>
      <c r="O658" t="s">
        <v>592</v>
      </c>
      <c r="P658" t="s">
        <v>711</v>
      </c>
      <c r="Q658" t="s">
        <v>586</v>
      </c>
      <c r="R658" t="s">
        <v>712</v>
      </c>
      <c r="S658" t="s">
        <v>712</v>
      </c>
      <c r="T658">
        <v>73</v>
      </c>
    </row>
    <row r="659" spans="1:20" x14ac:dyDescent="0.25">
      <c r="A659" t="s">
        <v>1748</v>
      </c>
      <c r="B659" t="s">
        <v>243</v>
      </c>
      <c r="C659" t="s">
        <v>586</v>
      </c>
      <c r="D659" t="s">
        <v>900</v>
      </c>
      <c r="E659" t="s">
        <v>1745</v>
      </c>
      <c r="F659">
        <v>3.4309478228883075</v>
      </c>
      <c r="G659">
        <v>43.719773227146597</v>
      </c>
      <c r="H659" t="s">
        <v>986</v>
      </c>
      <c r="I659" t="s">
        <v>721</v>
      </c>
      <c r="J659">
        <v>3</v>
      </c>
      <c r="K659" t="s">
        <v>838</v>
      </c>
      <c r="L659">
        <v>40000</v>
      </c>
      <c r="M659">
        <v>2.4500000000000002</v>
      </c>
      <c r="N659">
        <v>43.719773227146597</v>
      </c>
      <c r="O659" t="s">
        <v>592</v>
      </c>
      <c r="P659" t="s">
        <v>711</v>
      </c>
      <c r="Q659" t="s">
        <v>586</v>
      </c>
      <c r="R659" t="s">
        <v>712</v>
      </c>
      <c r="S659" t="s">
        <v>712</v>
      </c>
      <c r="T659">
        <v>63</v>
      </c>
    </row>
    <row r="660" spans="1:20" x14ac:dyDescent="0.25">
      <c r="A660" t="s">
        <v>1749</v>
      </c>
      <c r="B660" t="s">
        <v>243</v>
      </c>
      <c r="C660" t="s">
        <v>586</v>
      </c>
      <c r="D660" t="s">
        <v>900</v>
      </c>
      <c r="E660" t="s">
        <v>1745</v>
      </c>
      <c r="F660">
        <v>4.3032631572709441</v>
      </c>
      <c r="G660">
        <v>46.751478413349055</v>
      </c>
      <c r="H660" t="s">
        <v>986</v>
      </c>
      <c r="I660" t="s">
        <v>721</v>
      </c>
      <c r="J660">
        <v>3</v>
      </c>
      <c r="K660" t="s">
        <v>1350</v>
      </c>
      <c r="L660">
        <v>35000</v>
      </c>
      <c r="M660">
        <v>2.6</v>
      </c>
      <c r="N660">
        <v>46.751478413349055</v>
      </c>
      <c r="O660" t="s">
        <v>592</v>
      </c>
      <c r="P660" t="s">
        <v>711</v>
      </c>
      <c r="Q660" t="s">
        <v>586</v>
      </c>
      <c r="R660" t="s">
        <v>712</v>
      </c>
      <c r="S660" t="s">
        <v>712</v>
      </c>
      <c r="T660">
        <v>54</v>
      </c>
    </row>
    <row r="661" spans="1:20" x14ac:dyDescent="0.25">
      <c r="A661" t="s">
        <v>1750</v>
      </c>
      <c r="B661" t="s">
        <v>244</v>
      </c>
      <c r="C661" t="s">
        <v>607</v>
      </c>
      <c r="D661" t="s">
        <v>608</v>
      </c>
      <c r="E661" t="s">
        <v>1321</v>
      </c>
      <c r="F661">
        <v>0.56894874822678365</v>
      </c>
      <c r="G661">
        <v>36.098092021238749</v>
      </c>
      <c r="H661" t="s">
        <v>639</v>
      </c>
      <c r="I661" t="s">
        <v>611</v>
      </c>
      <c r="J661">
        <v>3</v>
      </c>
      <c r="K661" t="s">
        <v>744</v>
      </c>
      <c r="L661">
        <v>125000</v>
      </c>
      <c r="M661">
        <v>2.1</v>
      </c>
      <c r="N661">
        <v>36.098092021238749</v>
      </c>
      <c r="O661" t="s">
        <v>592</v>
      </c>
      <c r="P661" t="s">
        <v>613</v>
      </c>
      <c r="Q661" t="s">
        <v>586</v>
      </c>
      <c r="R661" t="s">
        <v>712</v>
      </c>
      <c r="S661" t="s">
        <v>878</v>
      </c>
      <c r="T661">
        <v>98</v>
      </c>
    </row>
    <row r="662" spans="1:20" x14ac:dyDescent="0.25">
      <c r="A662" t="s">
        <v>1751</v>
      </c>
      <c r="B662" t="s">
        <v>244</v>
      </c>
      <c r="C662" t="s">
        <v>607</v>
      </c>
      <c r="D662" t="s">
        <v>608</v>
      </c>
      <c r="E662" t="s">
        <v>1321</v>
      </c>
      <c r="F662">
        <v>1.5217195674238355</v>
      </c>
      <c r="G662">
        <v>35.587205618494465</v>
      </c>
      <c r="H662" t="s">
        <v>639</v>
      </c>
      <c r="I662" t="s">
        <v>611</v>
      </c>
      <c r="J662">
        <v>3</v>
      </c>
      <c r="K662" t="s">
        <v>634</v>
      </c>
      <c r="L662">
        <v>130000</v>
      </c>
      <c r="M662">
        <v>2.25</v>
      </c>
      <c r="N662">
        <v>35.587205618494465</v>
      </c>
      <c r="O662" t="s">
        <v>592</v>
      </c>
      <c r="P662" t="s">
        <v>613</v>
      </c>
      <c r="Q662" t="s">
        <v>586</v>
      </c>
      <c r="R662" t="s">
        <v>712</v>
      </c>
      <c r="S662" t="s">
        <v>878</v>
      </c>
      <c r="T662">
        <v>86</v>
      </c>
    </row>
    <row r="663" spans="1:20" x14ac:dyDescent="0.25">
      <c r="A663" t="s">
        <v>1752</v>
      </c>
      <c r="B663" t="s">
        <v>66</v>
      </c>
      <c r="C663" t="s">
        <v>586</v>
      </c>
      <c r="D663" t="s">
        <v>654</v>
      </c>
      <c r="E663" t="s">
        <v>766</v>
      </c>
      <c r="F663">
        <v>1.8298383041645743</v>
      </c>
      <c r="G663">
        <v>1.0083726027397377</v>
      </c>
      <c r="H663" t="s">
        <v>848</v>
      </c>
      <c r="I663" t="s">
        <v>611</v>
      </c>
      <c r="J663">
        <v>5</v>
      </c>
      <c r="K663" t="s">
        <v>658</v>
      </c>
      <c r="L663">
        <v>1245000</v>
      </c>
      <c r="M663">
        <v>1.84</v>
      </c>
      <c r="N663">
        <v>1.0083726027397377</v>
      </c>
      <c r="O663" t="s">
        <v>592</v>
      </c>
      <c r="P663" t="s">
        <v>593</v>
      </c>
      <c r="Q663" t="s">
        <v>586</v>
      </c>
      <c r="R663" t="s">
        <v>712</v>
      </c>
      <c r="S663" t="s">
        <v>652</v>
      </c>
      <c r="T663">
        <v>86</v>
      </c>
    </row>
    <row r="664" spans="1:20" x14ac:dyDescent="0.25">
      <c r="A664" t="s">
        <v>1753</v>
      </c>
      <c r="B664" t="s">
        <v>66</v>
      </c>
      <c r="C664" t="s">
        <v>586</v>
      </c>
      <c r="D664" t="s">
        <v>654</v>
      </c>
      <c r="E664" t="s">
        <v>766</v>
      </c>
      <c r="F664">
        <v>2.7227670846427778</v>
      </c>
      <c r="G664">
        <v>-1.6964356164383521</v>
      </c>
      <c r="H664" t="s">
        <v>848</v>
      </c>
      <c r="I664" t="s">
        <v>611</v>
      </c>
      <c r="J664">
        <v>5</v>
      </c>
      <c r="K664" t="s">
        <v>626</v>
      </c>
      <c r="L664">
        <v>1305000</v>
      </c>
      <c r="M664">
        <v>1.9000000000000001</v>
      </c>
      <c r="N664">
        <v>-1.6964356164383521</v>
      </c>
      <c r="O664" t="s">
        <v>592</v>
      </c>
      <c r="P664" t="s">
        <v>593</v>
      </c>
      <c r="Q664" t="s">
        <v>586</v>
      </c>
      <c r="R664">
        <v>400000</v>
      </c>
      <c r="S664" t="s">
        <v>652</v>
      </c>
      <c r="T664">
        <v>80</v>
      </c>
    </row>
    <row r="665" spans="1:20" x14ac:dyDescent="0.25">
      <c r="A665" t="s">
        <v>1754</v>
      </c>
      <c r="B665" t="s">
        <v>66</v>
      </c>
      <c r="C665" t="s">
        <v>586</v>
      </c>
      <c r="D665" t="s">
        <v>654</v>
      </c>
      <c r="E665" t="s">
        <v>766</v>
      </c>
      <c r="F665">
        <v>3.5779596083614513</v>
      </c>
      <c r="G665">
        <v>-3.2152109589041133</v>
      </c>
      <c r="H665" t="s">
        <v>848</v>
      </c>
      <c r="I665" t="s">
        <v>611</v>
      </c>
      <c r="J665">
        <v>5</v>
      </c>
      <c r="K665" t="s">
        <v>753</v>
      </c>
      <c r="L665">
        <v>1300000</v>
      </c>
      <c r="M665">
        <v>1.97</v>
      </c>
      <c r="N665">
        <v>-3.2152109589041133</v>
      </c>
      <c r="O665" t="s">
        <v>592</v>
      </c>
      <c r="P665" t="s">
        <v>593</v>
      </c>
      <c r="Q665" t="s">
        <v>586</v>
      </c>
      <c r="R665" t="s">
        <v>712</v>
      </c>
      <c r="S665" t="s">
        <v>652</v>
      </c>
      <c r="T665">
        <v>77</v>
      </c>
    </row>
    <row r="666" spans="1:20" x14ac:dyDescent="0.25">
      <c r="A666" t="s">
        <v>1755</v>
      </c>
      <c r="B666" t="s">
        <v>66</v>
      </c>
      <c r="C666" t="s">
        <v>586</v>
      </c>
      <c r="D666" t="s">
        <v>654</v>
      </c>
      <c r="E666" t="s">
        <v>766</v>
      </c>
      <c r="F666">
        <v>4.3923371108237683</v>
      </c>
      <c r="G666">
        <v>-2.0689479452054904</v>
      </c>
      <c r="H666" t="s">
        <v>848</v>
      </c>
      <c r="I666" t="s">
        <v>611</v>
      </c>
      <c r="J666">
        <v>5</v>
      </c>
      <c r="K666" t="s">
        <v>1174</v>
      </c>
      <c r="L666">
        <v>4045000</v>
      </c>
      <c r="M666">
        <v>2.0499999999999998</v>
      </c>
      <c r="N666">
        <v>-2.0689479452054904</v>
      </c>
      <c r="O666" t="s">
        <v>592</v>
      </c>
      <c r="P666" t="s">
        <v>593</v>
      </c>
      <c r="Q666" t="s">
        <v>586</v>
      </c>
      <c r="R666">
        <v>20000</v>
      </c>
      <c r="S666" t="s">
        <v>652</v>
      </c>
      <c r="T666">
        <v>74</v>
      </c>
    </row>
    <row r="667" spans="1:20" x14ac:dyDescent="0.25">
      <c r="A667" t="s">
        <v>1756</v>
      </c>
      <c r="B667" t="s">
        <v>245</v>
      </c>
      <c r="C667" t="s">
        <v>607</v>
      </c>
      <c r="D667" t="s">
        <v>608</v>
      </c>
      <c r="E667" t="s">
        <v>1068</v>
      </c>
      <c r="F667">
        <v>0.20229234317729505</v>
      </c>
      <c r="G667">
        <v>47.031898363978478</v>
      </c>
      <c r="H667" t="s">
        <v>1757</v>
      </c>
      <c r="I667" t="s">
        <v>721</v>
      </c>
      <c r="J667">
        <v>3</v>
      </c>
      <c r="K667" t="s">
        <v>866</v>
      </c>
      <c r="L667">
        <v>65000</v>
      </c>
      <c r="M667">
        <v>2.3000000000000003</v>
      </c>
      <c r="N667">
        <v>47.031898363978478</v>
      </c>
      <c r="O667" t="s">
        <v>592</v>
      </c>
      <c r="P667" t="s">
        <v>613</v>
      </c>
      <c r="Q667" t="s">
        <v>586</v>
      </c>
      <c r="R667" t="s">
        <v>712</v>
      </c>
      <c r="S667" t="s">
        <v>712</v>
      </c>
      <c r="T667">
        <v>92</v>
      </c>
    </row>
    <row r="668" spans="1:20" x14ac:dyDescent="0.25">
      <c r="A668" t="s">
        <v>1758</v>
      </c>
      <c r="B668" t="s">
        <v>245</v>
      </c>
      <c r="C668" t="s">
        <v>607</v>
      </c>
      <c r="D668" t="s">
        <v>608</v>
      </c>
      <c r="E668" t="s">
        <v>1068</v>
      </c>
      <c r="F668">
        <v>1.1703571449775452</v>
      </c>
      <c r="G668">
        <v>60.436743010568406</v>
      </c>
      <c r="H668" t="s">
        <v>1757</v>
      </c>
      <c r="I668" t="s">
        <v>721</v>
      </c>
      <c r="J668">
        <v>3</v>
      </c>
      <c r="K668" t="s">
        <v>1759</v>
      </c>
      <c r="L668">
        <v>65000</v>
      </c>
      <c r="M668">
        <v>2.6</v>
      </c>
      <c r="N668">
        <v>60.436743010568406</v>
      </c>
      <c r="O668" t="s">
        <v>592</v>
      </c>
      <c r="P668" t="s">
        <v>613</v>
      </c>
      <c r="Q668" t="s">
        <v>586</v>
      </c>
      <c r="R668" t="s">
        <v>712</v>
      </c>
      <c r="S668" t="s">
        <v>712</v>
      </c>
      <c r="T668">
        <v>74</v>
      </c>
    </row>
    <row r="669" spans="1:20" x14ac:dyDescent="0.25">
      <c r="A669" t="s">
        <v>1760</v>
      </c>
      <c r="B669" t="s">
        <v>246</v>
      </c>
      <c r="C669" t="s">
        <v>586</v>
      </c>
      <c r="D669" t="s">
        <v>805</v>
      </c>
      <c r="E669" t="s">
        <v>883</v>
      </c>
      <c r="F669">
        <v>0.52630882961453995</v>
      </c>
      <c r="G669">
        <v>-1.3812618217231121</v>
      </c>
      <c r="H669" t="s">
        <v>1030</v>
      </c>
      <c r="I669" t="s">
        <v>1247</v>
      </c>
      <c r="J669">
        <v>3</v>
      </c>
      <c r="K669" t="s">
        <v>1005</v>
      </c>
      <c r="L669">
        <v>380000</v>
      </c>
      <c r="M669">
        <v>1.75</v>
      </c>
      <c r="N669">
        <v>-1.3812618217231121</v>
      </c>
      <c r="O669" t="s">
        <v>592</v>
      </c>
      <c r="P669" t="s">
        <v>711</v>
      </c>
      <c r="Q669" t="s">
        <v>586</v>
      </c>
      <c r="R669" t="s">
        <v>712</v>
      </c>
      <c r="S669" t="s">
        <v>712</v>
      </c>
      <c r="T669">
        <v>96</v>
      </c>
    </row>
    <row r="670" spans="1:20" x14ac:dyDescent="0.25">
      <c r="A670" t="s">
        <v>1761</v>
      </c>
      <c r="B670" t="s">
        <v>246</v>
      </c>
      <c r="C670" t="s">
        <v>586</v>
      </c>
      <c r="D670" t="s">
        <v>805</v>
      </c>
      <c r="E670" t="s">
        <v>883</v>
      </c>
      <c r="F670">
        <v>1.4819376315962449</v>
      </c>
      <c r="G670">
        <v>-1.6270178253099399</v>
      </c>
      <c r="H670" t="s">
        <v>1030</v>
      </c>
      <c r="I670" t="s">
        <v>1247</v>
      </c>
      <c r="J670">
        <v>3</v>
      </c>
      <c r="K670" t="s">
        <v>1001</v>
      </c>
      <c r="L670">
        <v>380000</v>
      </c>
      <c r="M670">
        <v>1.9000000000000001</v>
      </c>
      <c r="N670">
        <v>-1.6270178253099399</v>
      </c>
      <c r="O670" t="s">
        <v>592</v>
      </c>
      <c r="P670" t="s">
        <v>711</v>
      </c>
      <c r="Q670" t="s">
        <v>586</v>
      </c>
      <c r="R670" t="s">
        <v>712</v>
      </c>
      <c r="S670" t="s">
        <v>712</v>
      </c>
      <c r="T670">
        <v>86</v>
      </c>
    </row>
    <row r="671" spans="1:20" x14ac:dyDescent="0.25">
      <c r="A671" t="s">
        <v>1762</v>
      </c>
      <c r="B671" t="s">
        <v>246</v>
      </c>
      <c r="C671" t="s">
        <v>586</v>
      </c>
      <c r="D671" t="s">
        <v>805</v>
      </c>
      <c r="E671" t="s">
        <v>883</v>
      </c>
      <c r="F671">
        <v>2.410182607103458</v>
      </c>
      <c r="G671">
        <v>-6.5402330168059741</v>
      </c>
      <c r="H671" t="s">
        <v>1030</v>
      </c>
      <c r="I671" t="s">
        <v>1247</v>
      </c>
      <c r="J671">
        <v>3</v>
      </c>
      <c r="K671" t="s">
        <v>803</v>
      </c>
      <c r="L671">
        <v>380000</v>
      </c>
      <c r="M671">
        <v>2</v>
      </c>
      <c r="N671">
        <v>-6.5402330168059741</v>
      </c>
      <c r="O671" t="s">
        <v>592</v>
      </c>
      <c r="P671" t="s">
        <v>711</v>
      </c>
      <c r="Q671" t="s">
        <v>586</v>
      </c>
      <c r="R671" t="s">
        <v>712</v>
      </c>
      <c r="S671" t="s">
        <v>712</v>
      </c>
      <c r="T671">
        <v>76</v>
      </c>
    </row>
    <row r="672" spans="1:20" x14ac:dyDescent="0.25">
      <c r="A672" t="s">
        <v>1763</v>
      </c>
      <c r="B672" t="s">
        <v>246</v>
      </c>
      <c r="C672" t="s">
        <v>586</v>
      </c>
      <c r="D672" t="s">
        <v>805</v>
      </c>
      <c r="E672" t="s">
        <v>883</v>
      </c>
      <c r="F672">
        <v>3.3126049294359903</v>
      </c>
      <c r="G672">
        <v>-12.69045862485334</v>
      </c>
      <c r="H672" t="s">
        <v>1030</v>
      </c>
      <c r="I672" t="s">
        <v>1247</v>
      </c>
      <c r="J672">
        <v>3</v>
      </c>
      <c r="K672" t="s">
        <v>1387</v>
      </c>
      <c r="L672">
        <v>380000</v>
      </c>
      <c r="M672">
        <v>2.0699999999999998</v>
      </c>
      <c r="N672">
        <v>-12.69045862485334</v>
      </c>
      <c r="O672" t="s">
        <v>592</v>
      </c>
      <c r="P672" t="s">
        <v>711</v>
      </c>
      <c r="Q672" t="s">
        <v>586</v>
      </c>
      <c r="R672" t="s">
        <v>712</v>
      </c>
      <c r="S672" t="s">
        <v>712</v>
      </c>
      <c r="T672">
        <v>65</v>
      </c>
    </row>
    <row r="673" spans="1:20" x14ac:dyDescent="0.25">
      <c r="A673" t="s">
        <v>1764</v>
      </c>
      <c r="B673" t="s">
        <v>246</v>
      </c>
      <c r="C673" t="s">
        <v>586</v>
      </c>
      <c r="D673" t="s">
        <v>805</v>
      </c>
      <c r="E673" t="s">
        <v>883</v>
      </c>
      <c r="F673">
        <v>4.2345644982668942</v>
      </c>
      <c r="G673">
        <v>-4.0208648523598178</v>
      </c>
      <c r="H673" t="s">
        <v>1030</v>
      </c>
      <c r="I673" t="s">
        <v>1247</v>
      </c>
      <c r="J673">
        <v>2.5</v>
      </c>
      <c r="K673" t="s">
        <v>1765</v>
      </c>
      <c r="L673">
        <v>380000</v>
      </c>
      <c r="M673">
        <v>2.2600000000000002</v>
      </c>
      <c r="N673">
        <v>-4.0208648523598178</v>
      </c>
      <c r="O673" t="s">
        <v>592</v>
      </c>
      <c r="P673" t="s">
        <v>711</v>
      </c>
      <c r="Q673" t="s">
        <v>586</v>
      </c>
      <c r="R673" t="s">
        <v>712</v>
      </c>
      <c r="S673" t="s">
        <v>712</v>
      </c>
      <c r="T673">
        <v>47</v>
      </c>
    </row>
    <row r="674" spans="1:20" x14ac:dyDescent="0.25">
      <c r="A674" t="s">
        <v>1766</v>
      </c>
      <c r="B674" t="s">
        <v>247</v>
      </c>
      <c r="C674" t="s">
        <v>586</v>
      </c>
      <c r="D674" t="s">
        <v>608</v>
      </c>
      <c r="E674" t="s">
        <v>1321</v>
      </c>
      <c r="F674">
        <v>0.52148127279565315</v>
      </c>
      <c r="G674">
        <v>20.582761855656063</v>
      </c>
      <c r="H674" t="s">
        <v>1041</v>
      </c>
      <c r="I674" t="s">
        <v>721</v>
      </c>
      <c r="J674">
        <v>5</v>
      </c>
      <c r="K674" t="s">
        <v>1005</v>
      </c>
      <c r="L674">
        <v>980000</v>
      </c>
      <c r="M674">
        <v>2.0499999999999998</v>
      </c>
      <c r="N674">
        <v>20.582761855656063</v>
      </c>
      <c r="O674" t="s">
        <v>592</v>
      </c>
      <c r="P674" t="s">
        <v>621</v>
      </c>
      <c r="Q674" t="s">
        <v>586</v>
      </c>
      <c r="R674" t="s">
        <v>712</v>
      </c>
      <c r="S674" t="s">
        <v>712</v>
      </c>
      <c r="T674">
        <v>85</v>
      </c>
    </row>
    <row r="675" spans="1:20" x14ac:dyDescent="0.25">
      <c r="A675" t="s">
        <v>1767</v>
      </c>
      <c r="B675" t="s">
        <v>247</v>
      </c>
      <c r="C675" t="s">
        <v>586</v>
      </c>
      <c r="D675" t="s">
        <v>608</v>
      </c>
      <c r="E675" t="s">
        <v>1321</v>
      </c>
      <c r="F675">
        <v>1.4555166707441221</v>
      </c>
      <c r="G675">
        <v>26.983765937470984</v>
      </c>
      <c r="H675" t="s">
        <v>1041</v>
      </c>
      <c r="I675" t="s">
        <v>721</v>
      </c>
      <c r="J675">
        <v>5</v>
      </c>
      <c r="K675" t="s">
        <v>1001</v>
      </c>
      <c r="L675">
        <v>1030000</v>
      </c>
      <c r="M675">
        <v>2.25</v>
      </c>
      <c r="N675">
        <v>26.983765937470984</v>
      </c>
      <c r="O675" t="s">
        <v>592</v>
      </c>
      <c r="P675" t="s">
        <v>621</v>
      </c>
      <c r="Q675" t="s">
        <v>586</v>
      </c>
      <c r="R675">
        <v>15000</v>
      </c>
      <c r="S675" t="s">
        <v>712</v>
      </c>
      <c r="T675">
        <v>71</v>
      </c>
    </row>
    <row r="676" spans="1:20" x14ac:dyDescent="0.25">
      <c r="A676" t="s">
        <v>1768</v>
      </c>
      <c r="B676" t="s">
        <v>247</v>
      </c>
      <c r="C676" t="s">
        <v>586</v>
      </c>
      <c r="D676" t="s">
        <v>608</v>
      </c>
      <c r="E676" t="s">
        <v>1321</v>
      </c>
      <c r="F676">
        <v>2.3484015155827649</v>
      </c>
      <c r="G676">
        <v>25.605344531797503</v>
      </c>
      <c r="H676" t="s">
        <v>1041</v>
      </c>
      <c r="I676" t="s">
        <v>721</v>
      </c>
      <c r="J676">
        <v>5</v>
      </c>
      <c r="K676" t="s">
        <v>803</v>
      </c>
      <c r="L676">
        <v>1085000</v>
      </c>
      <c r="M676">
        <v>2.37</v>
      </c>
      <c r="N676">
        <v>25.605344531797503</v>
      </c>
      <c r="O676" t="s">
        <v>592</v>
      </c>
      <c r="P676" t="s">
        <v>621</v>
      </c>
      <c r="Q676" t="s">
        <v>586</v>
      </c>
      <c r="R676">
        <v>100000</v>
      </c>
      <c r="S676" t="s">
        <v>712</v>
      </c>
      <c r="T676">
        <v>59</v>
      </c>
    </row>
    <row r="677" spans="1:20" x14ac:dyDescent="0.25">
      <c r="A677" t="s">
        <v>1769</v>
      </c>
      <c r="B677" t="s">
        <v>247</v>
      </c>
      <c r="C677" t="s">
        <v>586</v>
      </c>
      <c r="D677" t="s">
        <v>608</v>
      </c>
      <c r="E677" t="s">
        <v>1321</v>
      </c>
      <c r="F677">
        <v>3.20393765663494</v>
      </c>
      <c r="G677">
        <v>26.763767312808984</v>
      </c>
      <c r="H677" t="s">
        <v>1041</v>
      </c>
      <c r="I677" t="s">
        <v>721</v>
      </c>
      <c r="J677">
        <v>5</v>
      </c>
      <c r="K677" t="s">
        <v>1387</v>
      </c>
      <c r="L677">
        <v>1140000</v>
      </c>
      <c r="M677">
        <v>2.5</v>
      </c>
      <c r="N677">
        <v>26.763767312808984</v>
      </c>
      <c r="O677" t="s">
        <v>592</v>
      </c>
      <c r="P677" t="s">
        <v>621</v>
      </c>
      <c r="Q677" t="s">
        <v>586</v>
      </c>
      <c r="R677" t="s">
        <v>712</v>
      </c>
      <c r="S677" t="s">
        <v>712</v>
      </c>
      <c r="T677">
        <v>49</v>
      </c>
    </row>
    <row r="678" spans="1:20" x14ac:dyDescent="0.25">
      <c r="A678" t="s">
        <v>1770</v>
      </c>
      <c r="B678" t="s">
        <v>247</v>
      </c>
      <c r="C678" t="s">
        <v>586</v>
      </c>
      <c r="D678" t="s">
        <v>608</v>
      </c>
      <c r="E678" t="s">
        <v>1321</v>
      </c>
      <c r="F678">
        <v>0.52377064093767012</v>
      </c>
      <c r="G678">
        <v>10.404775204743189</v>
      </c>
      <c r="H678" t="s">
        <v>1143</v>
      </c>
      <c r="I678" t="s">
        <v>721</v>
      </c>
      <c r="J678">
        <v>4</v>
      </c>
      <c r="K678" t="s">
        <v>1005</v>
      </c>
      <c r="L678">
        <v>370000</v>
      </c>
      <c r="M678">
        <v>1.35</v>
      </c>
      <c r="N678">
        <v>10.404775204743189</v>
      </c>
      <c r="O678" t="s">
        <v>592</v>
      </c>
      <c r="P678" t="s">
        <v>621</v>
      </c>
      <c r="Q678" t="s">
        <v>586</v>
      </c>
      <c r="R678">
        <v>700000</v>
      </c>
      <c r="S678" t="s">
        <v>712</v>
      </c>
      <c r="T678">
        <v>82</v>
      </c>
    </row>
    <row r="679" spans="1:20" x14ac:dyDescent="0.25">
      <c r="A679" t="s">
        <v>1771</v>
      </c>
      <c r="B679" t="s">
        <v>247</v>
      </c>
      <c r="C679" t="s">
        <v>586</v>
      </c>
      <c r="D679" t="s">
        <v>608</v>
      </c>
      <c r="E679" t="s">
        <v>1321</v>
      </c>
      <c r="F679">
        <v>1.4682505717813958</v>
      </c>
      <c r="G679">
        <v>10.631827512445957</v>
      </c>
      <c r="H679" t="s">
        <v>1143</v>
      </c>
      <c r="I679" t="s">
        <v>721</v>
      </c>
      <c r="J679">
        <v>4</v>
      </c>
      <c r="K679" t="s">
        <v>1001</v>
      </c>
      <c r="L679">
        <v>385000</v>
      </c>
      <c r="M679">
        <v>1.5</v>
      </c>
      <c r="N679">
        <v>10.631827512445957</v>
      </c>
      <c r="O679" t="s">
        <v>592</v>
      </c>
      <c r="P679" t="s">
        <v>621</v>
      </c>
      <c r="Q679" t="s">
        <v>586</v>
      </c>
      <c r="R679" t="s">
        <v>712</v>
      </c>
      <c r="S679" t="s">
        <v>712</v>
      </c>
      <c r="T679">
        <v>65</v>
      </c>
    </row>
    <row r="680" spans="1:20" x14ac:dyDescent="0.25">
      <c r="A680" t="s">
        <v>1772</v>
      </c>
      <c r="B680" t="s">
        <v>247</v>
      </c>
      <c r="C680" t="s">
        <v>586</v>
      </c>
      <c r="D680" t="s">
        <v>608</v>
      </c>
      <c r="E680" t="s">
        <v>1321</v>
      </c>
      <c r="F680">
        <v>2.378035029798343</v>
      </c>
      <c r="G680">
        <v>10.549500456261196</v>
      </c>
      <c r="H680" t="s">
        <v>1143</v>
      </c>
      <c r="I680" t="s">
        <v>721</v>
      </c>
      <c r="J680">
        <v>4</v>
      </c>
      <c r="K680" t="s">
        <v>803</v>
      </c>
      <c r="L680">
        <v>405000</v>
      </c>
      <c r="M680">
        <v>1.6500000000000001</v>
      </c>
      <c r="N680">
        <v>10.549500456261196</v>
      </c>
      <c r="O680" t="s">
        <v>592</v>
      </c>
      <c r="P680" t="s">
        <v>621</v>
      </c>
      <c r="Q680" t="s">
        <v>586</v>
      </c>
      <c r="R680" t="s">
        <v>712</v>
      </c>
      <c r="S680" t="s">
        <v>712</v>
      </c>
      <c r="T680">
        <v>52</v>
      </c>
    </row>
    <row r="681" spans="1:20" x14ac:dyDescent="0.25">
      <c r="A681" t="s">
        <v>1773</v>
      </c>
      <c r="B681" t="s">
        <v>247</v>
      </c>
      <c r="C681" t="s">
        <v>586</v>
      </c>
      <c r="D681" t="s">
        <v>608</v>
      </c>
      <c r="E681" t="s">
        <v>1321</v>
      </c>
      <c r="F681">
        <v>3.2555629286417078</v>
      </c>
      <c r="G681">
        <v>11.192643081841425</v>
      </c>
      <c r="H681" t="s">
        <v>1143</v>
      </c>
      <c r="I681" t="s">
        <v>721</v>
      </c>
      <c r="J681">
        <v>4</v>
      </c>
      <c r="K681" t="s">
        <v>1387</v>
      </c>
      <c r="L681">
        <v>420000</v>
      </c>
      <c r="M681">
        <v>1.8</v>
      </c>
      <c r="N681">
        <v>11.192643081841425</v>
      </c>
      <c r="O681" t="s">
        <v>592</v>
      </c>
      <c r="P681" t="s">
        <v>621</v>
      </c>
      <c r="Q681" t="s">
        <v>586</v>
      </c>
      <c r="R681" t="s">
        <v>712</v>
      </c>
      <c r="S681" t="s">
        <v>712</v>
      </c>
      <c r="T681">
        <v>41</v>
      </c>
    </row>
    <row r="682" spans="1:20" x14ac:dyDescent="0.25">
      <c r="A682" t="s">
        <v>1774</v>
      </c>
      <c r="B682" t="s">
        <v>248</v>
      </c>
      <c r="C682" t="s">
        <v>586</v>
      </c>
      <c r="D682" t="s">
        <v>642</v>
      </c>
      <c r="E682" t="s">
        <v>1288</v>
      </c>
      <c r="F682">
        <v>0.81263920979079352</v>
      </c>
      <c r="G682">
        <v>17.022354646530189</v>
      </c>
      <c r="H682" t="s">
        <v>676</v>
      </c>
      <c r="I682" t="s">
        <v>1037</v>
      </c>
      <c r="J682">
        <v>5</v>
      </c>
      <c r="K682" t="s">
        <v>984</v>
      </c>
      <c r="L682">
        <v>675000</v>
      </c>
      <c r="M682">
        <v>1.72</v>
      </c>
      <c r="N682">
        <v>17.022354646530189</v>
      </c>
      <c r="O682" t="s">
        <v>592</v>
      </c>
      <c r="P682" t="s">
        <v>627</v>
      </c>
      <c r="Q682" t="s">
        <v>586</v>
      </c>
      <c r="R682">
        <v>100000</v>
      </c>
      <c r="S682" t="s">
        <v>712</v>
      </c>
      <c r="T682">
        <v>94</v>
      </c>
    </row>
    <row r="683" spans="1:20" x14ac:dyDescent="0.25">
      <c r="A683" t="s">
        <v>1775</v>
      </c>
      <c r="B683" t="s">
        <v>248</v>
      </c>
      <c r="C683" t="s">
        <v>586</v>
      </c>
      <c r="D683" t="s">
        <v>642</v>
      </c>
      <c r="E683" t="s">
        <v>1288</v>
      </c>
      <c r="F683">
        <v>1.7452714054222707</v>
      </c>
      <c r="G683">
        <v>16.732794710786123</v>
      </c>
      <c r="H683" t="s">
        <v>676</v>
      </c>
      <c r="I683" t="s">
        <v>1037</v>
      </c>
      <c r="J683">
        <v>5</v>
      </c>
      <c r="K683" t="s">
        <v>1114</v>
      </c>
      <c r="L683">
        <v>715000</v>
      </c>
      <c r="M683">
        <v>1.8800000000000001</v>
      </c>
      <c r="N683">
        <v>16.732794710786123</v>
      </c>
      <c r="O683" t="s">
        <v>592</v>
      </c>
      <c r="P683" t="s">
        <v>627</v>
      </c>
      <c r="Q683" t="s">
        <v>586</v>
      </c>
      <c r="R683" t="s">
        <v>712</v>
      </c>
      <c r="S683" t="s">
        <v>712</v>
      </c>
      <c r="T683">
        <v>88</v>
      </c>
    </row>
    <row r="684" spans="1:20" x14ac:dyDescent="0.25">
      <c r="A684" t="s">
        <v>1776</v>
      </c>
      <c r="B684" t="s">
        <v>248</v>
      </c>
      <c r="C684" t="s">
        <v>586</v>
      </c>
      <c r="D684" t="s">
        <v>642</v>
      </c>
      <c r="E684" t="s">
        <v>1288</v>
      </c>
      <c r="F684">
        <v>2.6367812709606473</v>
      </c>
      <c r="G684">
        <v>24.628549652165411</v>
      </c>
      <c r="H684" t="s">
        <v>676</v>
      </c>
      <c r="I684" t="s">
        <v>1037</v>
      </c>
      <c r="J684">
        <v>5</v>
      </c>
      <c r="K684" t="s">
        <v>669</v>
      </c>
      <c r="L684">
        <v>755000</v>
      </c>
      <c r="M684">
        <v>2.12</v>
      </c>
      <c r="N684">
        <v>24.628549652165411</v>
      </c>
      <c r="O684" t="s">
        <v>592</v>
      </c>
      <c r="P684" t="s">
        <v>627</v>
      </c>
      <c r="Q684" t="s">
        <v>586</v>
      </c>
      <c r="R684">
        <v>100000</v>
      </c>
      <c r="S684" t="s">
        <v>712</v>
      </c>
      <c r="T684">
        <v>80</v>
      </c>
    </row>
    <row r="685" spans="1:20" x14ac:dyDescent="0.25">
      <c r="A685" t="s">
        <v>1777</v>
      </c>
      <c r="B685" t="s">
        <v>158</v>
      </c>
      <c r="C685" t="s">
        <v>607</v>
      </c>
      <c r="D685" t="s">
        <v>608</v>
      </c>
      <c r="E685" t="s">
        <v>789</v>
      </c>
      <c r="F685">
        <v>2.4157137074382469</v>
      </c>
      <c r="G685">
        <v>63.331235508619763</v>
      </c>
      <c r="H685" t="s">
        <v>1143</v>
      </c>
      <c r="I685" t="s">
        <v>820</v>
      </c>
      <c r="J685">
        <v>4</v>
      </c>
      <c r="K685" t="s">
        <v>959</v>
      </c>
      <c r="L685">
        <v>185000</v>
      </c>
      <c r="M685">
        <v>2.15</v>
      </c>
      <c r="N685">
        <v>63.331235508619763</v>
      </c>
      <c r="O685" t="s">
        <v>592</v>
      </c>
      <c r="P685" t="s">
        <v>621</v>
      </c>
      <c r="Q685" t="s">
        <v>586</v>
      </c>
      <c r="R685" t="s">
        <v>712</v>
      </c>
      <c r="S685" t="s">
        <v>878</v>
      </c>
      <c r="T685">
        <v>63</v>
      </c>
    </row>
    <row r="686" spans="1:20" x14ac:dyDescent="0.25">
      <c r="A686" t="s">
        <v>1778</v>
      </c>
      <c r="B686" t="s">
        <v>249</v>
      </c>
      <c r="C686" t="s">
        <v>586</v>
      </c>
      <c r="D686" t="s">
        <v>587</v>
      </c>
      <c r="E686" t="s">
        <v>756</v>
      </c>
      <c r="F686">
        <v>1.7553658034425585</v>
      </c>
      <c r="G686">
        <v>96.313815371428561</v>
      </c>
      <c r="H686" t="s">
        <v>1113</v>
      </c>
      <c r="I686" t="s">
        <v>703</v>
      </c>
      <c r="J686">
        <v>3.1760000000000002</v>
      </c>
      <c r="K686" t="s">
        <v>1114</v>
      </c>
      <c r="L686">
        <v>695000</v>
      </c>
      <c r="M686">
        <v>3.1760000000000002</v>
      </c>
      <c r="N686">
        <v>96.313815371428561</v>
      </c>
      <c r="O686" t="s">
        <v>592</v>
      </c>
      <c r="P686" t="s">
        <v>723</v>
      </c>
      <c r="Q686" t="s">
        <v>607</v>
      </c>
      <c r="R686" t="s">
        <v>712</v>
      </c>
      <c r="S686" t="s">
        <v>594</v>
      </c>
      <c r="T686">
        <v>71</v>
      </c>
    </row>
    <row r="687" spans="1:20" x14ac:dyDescent="0.25">
      <c r="A687" t="s">
        <v>1779</v>
      </c>
      <c r="B687" t="s">
        <v>249</v>
      </c>
      <c r="C687" t="s">
        <v>586</v>
      </c>
      <c r="D687" t="s">
        <v>587</v>
      </c>
      <c r="E687" t="s">
        <v>756</v>
      </c>
      <c r="F687">
        <v>2.6665204179249478</v>
      </c>
      <c r="G687">
        <v>103.79565579999999</v>
      </c>
      <c r="H687" t="s">
        <v>1113</v>
      </c>
      <c r="I687" t="s">
        <v>703</v>
      </c>
      <c r="J687">
        <v>3.3159999999999998</v>
      </c>
      <c r="K687" t="s">
        <v>669</v>
      </c>
      <c r="L687">
        <v>715000</v>
      </c>
      <c r="M687">
        <v>3.3160000000000003</v>
      </c>
      <c r="N687">
        <v>103.79565579999999</v>
      </c>
      <c r="O687" t="s">
        <v>592</v>
      </c>
      <c r="P687" t="s">
        <v>723</v>
      </c>
      <c r="Q687" t="s">
        <v>607</v>
      </c>
      <c r="R687" t="s">
        <v>712</v>
      </c>
      <c r="S687" t="s">
        <v>594</v>
      </c>
      <c r="T687">
        <v>60</v>
      </c>
    </row>
    <row r="688" spans="1:20" x14ac:dyDescent="0.25">
      <c r="A688" t="s">
        <v>1780</v>
      </c>
      <c r="B688" t="s">
        <v>119</v>
      </c>
      <c r="C688" t="s">
        <v>586</v>
      </c>
      <c r="D688" t="s">
        <v>1090</v>
      </c>
      <c r="E688" t="s">
        <v>1091</v>
      </c>
      <c r="F688">
        <v>3.6747657229528294</v>
      </c>
      <c r="G688">
        <v>44.993310567567548</v>
      </c>
      <c r="H688" t="s">
        <v>1092</v>
      </c>
      <c r="I688" t="s">
        <v>625</v>
      </c>
      <c r="J688">
        <v>2.65</v>
      </c>
      <c r="K688" t="s">
        <v>753</v>
      </c>
      <c r="L688">
        <v>2160000</v>
      </c>
      <c r="M688">
        <v>2.65</v>
      </c>
      <c r="N688">
        <v>44.993310567567548</v>
      </c>
      <c r="O688" t="s">
        <v>592</v>
      </c>
      <c r="P688" t="s">
        <v>723</v>
      </c>
      <c r="Q688" t="s">
        <v>607</v>
      </c>
      <c r="R688" t="s">
        <v>712</v>
      </c>
      <c r="S688" t="s">
        <v>635</v>
      </c>
      <c r="T688">
        <v>59</v>
      </c>
    </row>
    <row r="689" spans="1:20" x14ac:dyDescent="0.25">
      <c r="A689" t="s">
        <v>1781</v>
      </c>
      <c r="B689" t="s">
        <v>250</v>
      </c>
      <c r="C689" t="s">
        <v>586</v>
      </c>
      <c r="D689" t="s">
        <v>900</v>
      </c>
      <c r="E689" t="s">
        <v>1782</v>
      </c>
      <c r="F689">
        <v>0.57183283669432194</v>
      </c>
      <c r="G689">
        <v>39.544840136754168</v>
      </c>
      <c r="H689" t="s">
        <v>672</v>
      </c>
      <c r="I689" t="s">
        <v>661</v>
      </c>
      <c r="J689">
        <v>2</v>
      </c>
      <c r="K689" t="s">
        <v>744</v>
      </c>
      <c r="L689">
        <v>175000</v>
      </c>
      <c r="M689">
        <v>1.9000000000000001</v>
      </c>
      <c r="N689">
        <v>39.544840136754168</v>
      </c>
      <c r="O689" t="s">
        <v>592</v>
      </c>
      <c r="P689" t="s">
        <v>711</v>
      </c>
      <c r="Q689" t="s">
        <v>586</v>
      </c>
      <c r="R689" t="s">
        <v>712</v>
      </c>
      <c r="S689" t="s">
        <v>712</v>
      </c>
      <c r="T689">
        <v>90</v>
      </c>
    </row>
    <row r="690" spans="1:20" x14ac:dyDescent="0.25">
      <c r="A690" t="s">
        <v>1783</v>
      </c>
      <c r="B690" t="s">
        <v>250</v>
      </c>
      <c r="C690" t="s">
        <v>586</v>
      </c>
      <c r="D690" t="s">
        <v>900</v>
      </c>
      <c r="E690" t="s">
        <v>1782</v>
      </c>
      <c r="F690">
        <v>1.53702450643265</v>
      </c>
      <c r="G690">
        <v>33.178502560406727</v>
      </c>
      <c r="H690" t="s">
        <v>672</v>
      </c>
      <c r="I690" t="s">
        <v>661</v>
      </c>
      <c r="J690">
        <v>2</v>
      </c>
      <c r="K690" t="s">
        <v>634</v>
      </c>
      <c r="L690">
        <v>180000</v>
      </c>
      <c r="M690">
        <v>2</v>
      </c>
      <c r="N690">
        <v>33.178502560406727</v>
      </c>
      <c r="O690" t="s">
        <v>592</v>
      </c>
      <c r="P690" t="s">
        <v>711</v>
      </c>
      <c r="Q690" t="s">
        <v>586</v>
      </c>
      <c r="R690" t="s">
        <v>712</v>
      </c>
      <c r="S690" t="s">
        <v>712</v>
      </c>
      <c r="T690">
        <v>78</v>
      </c>
    </row>
    <row r="691" spans="1:20" x14ac:dyDescent="0.25">
      <c r="A691" t="s">
        <v>1784</v>
      </c>
      <c r="B691" t="s">
        <v>250</v>
      </c>
      <c r="C691" t="s">
        <v>586</v>
      </c>
      <c r="D691" t="s">
        <v>900</v>
      </c>
      <c r="E691" t="s">
        <v>1782</v>
      </c>
      <c r="F691">
        <v>2.4657677846777433</v>
      </c>
      <c r="G691">
        <v>26.862234830867713</v>
      </c>
      <c r="H691" t="s">
        <v>672</v>
      </c>
      <c r="I691" t="s">
        <v>661</v>
      </c>
      <c r="J691">
        <v>2.5</v>
      </c>
      <c r="K691" t="s">
        <v>959</v>
      </c>
      <c r="L691">
        <v>185000</v>
      </c>
      <c r="M691">
        <v>2.1</v>
      </c>
      <c r="N691">
        <v>26.862234830867713</v>
      </c>
      <c r="O691" t="s">
        <v>592</v>
      </c>
      <c r="P691" t="s">
        <v>711</v>
      </c>
      <c r="Q691" t="s">
        <v>586</v>
      </c>
      <c r="R691" t="s">
        <v>712</v>
      </c>
      <c r="S691" t="s">
        <v>712</v>
      </c>
      <c r="T691">
        <v>71</v>
      </c>
    </row>
    <row r="692" spans="1:20" x14ac:dyDescent="0.25">
      <c r="A692" t="s">
        <v>1785</v>
      </c>
      <c r="B692" t="s">
        <v>250</v>
      </c>
      <c r="C692" t="s">
        <v>586</v>
      </c>
      <c r="D692" t="s">
        <v>900</v>
      </c>
      <c r="E692" t="s">
        <v>1782</v>
      </c>
      <c r="F692">
        <v>3.3780915063915207</v>
      </c>
      <c r="G692">
        <v>21.841722259996878</v>
      </c>
      <c r="H692" t="s">
        <v>672</v>
      </c>
      <c r="I692" t="s">
        <v>661</v>
      </c>
      <c r="J692">
        <v>2.5</v>
      </c>
      <c r="K692" t="s">
        <v>1038</v>
      </c>
      <c r="L692">
        <v>190000</v>
      </c>
      <c r="M692">
        <v>2.2000000000000002</v>
      </c>
      <c r="N692">
        <v>21.841722259996878</v>
      </c>
      <c r="O692" t="s">
        <v>592</v>
      </c>
      <c r="P692" t="s">
        <v>711</v>
      </c>
      <c r="Q692" t="s">
        <v>586</v>
      </c>
      <c r="R692" t="s">
        <v>712</v>
      </c>
      <c r="S692" t="s">
        <v>712</v>
      </c>
      <c r="T692">
        <v>59</v>
      </c>
    </row>
    <row r="693" spans="1:20" x14ac:dyDescent="0.25">
      <c r="A693" t="s">
        <v>1786</v>
      </c>
      <c r="B693" t="s">
        <v>250</v>
      </c>
      <c r="C693" t="s">
        <v>586</v>
      </c>
      <c r="D693" t="s">
        <v>900</v>
      </c>
      <c r="E693" t="s">
        <v>1782</v>
      </c>
      <c r="F693">
        <v>4.2667145846726688</v>
      </c>
      <c r="G693">
        <v>29.464381607114511</v>
      </c>
      <c r="H693" t="s">
        <v>672</v>
      </c>
      <c r="I693" t="s">
        <v>661</v>
      </c>
      <c r="J693">
        <v>2.5</v>
      </c>
      <c r="K693" t="s">
        <v>1133</v>
      </c>
      <c r="L693">
        <v>195000</v>
      </c>
      <c r="M693">
        <v>2.4000000000000004</v>
      </c>
      <c r="N693">
        <v>29.464381607114511</v>
      </c>
      <c r="O693" t="s">
        <v>592</v>
      </c>
      <c r="P693" t="s">
        <v>711</v>
      </c>
      <c r="Q693" t="s">
        <v>586</v>
      </c>
      <c r="R693" t="s">
        <v>712</v>
      </c>
      <c r="S693" t="s">
        <v>712</v>
      </c>
      <c r="T693">
        <v>50</v>
      </c>
    </row>
    <row r="694" spans="1:20" x14ac:dyDescent="0.25">
      <c r="A694" t="s">
        <v>1787</v>
      </c>
      <c r="B694" t="s">
        <v>115</v>
      </c>
      <c r="C694" t="s">
        <v>607</v>
      </c>
      <c r="D694" t="s">
        <v>1071</v>
      </c>
      <c r="E694" t="s">
        <v>1072</v>
      </c>
      <c r="F694">
        <v>0.90206085973554273</v>
      </c>
      <c r="G694">
        <v>35.21307892910486</v>
      </c>
      <c r="H694" t="s">
        <v>1073</v>
      </c>
      <c r="I694" t="s">
        <v>661</v>
      </c>
      <c r="J694">
        <v>2</v>
      </c>
      <c r="K694" t="s">
        <v>640</v>
      </c>
      <c r="L694">
        <v>95000</v>
      </c>
      <c r="M694">
        <v>1.85</v>
      </c>
      <c r="N694">
        <v>35.21307892910486</v>
      </c>
      <c r="O694" t="s">
        <v>592</v>
      </c>
      <c r="P694" t="s">
        <v>593</v>
      </c>
      <c r="Q694" t="s">
        <v>586</v>
      </c>
      <c r="R694" t="s">
        <v>712</v>
      </c>
      <c r="S694" t="s">
        <v>712</v>
      </c>
      <c r="T694">
        <v>83</v>
      </c>
    </row>
    <row r="695" spans="1:20" x14ac:dyDescent="0.25">
      <c r="A695" t="s">
        <v>1788</v>
      </c>
      <c r="B695" t="s">
        <v>115</v>
      </c>
      <c r="C695" t="s">
        <v>607</v>
      </c>
      <c r="D695" t="s">
        <v>1071</v>
      </c>
      <c r="E695" t="s">
        <v>1072</v>
      </c>
      <c r="F695">
        <v>1.8672614297604746</v>
      </c>
      <c r="G695">
        <v>35.472814772243908</v>
      </c>
      <c r="H695" t="s">
        <v>1073</v>
      </c>
      <c r="I695" t="s">
        <v>661</v>
      </c>
      <c r="J695">
        <v>2</v>
      </c>
      <c r="K695" t="s">
        <v>658</v>
      </c>
      <c r="L695">
        <v>95000</v>
      </c>
      <c r="M695">
        <v>2</v>
      </c>
      <c r="N695">
        <v>35.472814772243908</v>
      </c>
      <c r="O695" t="s">
        <v>592</v>
      </c>
      <c r="P695" t="s">
        <v>593</v>
      </c>
      <c r="Q695" t="s">
        <v>586</v>
      </c>
      <c r="R695" t="s">
        <v>712</v>
      </c>
      <c r="S695" t="s">
        <v>712</v>
      </c>
      <c r="T695">
        <v>68</v>
      </c>
    </row>
    <row r="696" spans="1:20" x14ac:dyDescent="0.25">
      <c r="A696" t="s">
        <v>1789</v>
      </c>
      <c r="B696" t="s">
        <v>115</v>
      </c>
      <c r="C696" t="s">
        <v>607</v>
      </c>
      <c r="D696" t="s">
        <v>1071</v>
      </c>
      <c r="E696" t="s">
        <v>1072</v>
      </c>
      <c r="F696">
        <v>3.2323649082949157</v>
      </c>
      <c r="G696">
        <v>38.756466784009433</v>
      </c>
      <c r="H696" t="s">
        <v>1073</v>
      </c>
      <c r="I696" t="s">
        <v>661</v>
      </c>
      <c r="J696">
        <v>3</v>
      </c>
      <c r="K696" t="s">
        <v>815</v>
      </c>
      <c r="L696">
        <v>100000</v>
      </c>
      <c r="M696">
        <v>2.25</v>
      </c>
      <c r="N696">
        <v>38.756466784009433</v>
      </c>
      <c r="O696" t="s">
        <v>592</v>
      </c>
      <c r="P696" t="s">
        <v>593</v>
      </c>
      <c r="Q696" t="s">
        <v>586</v>
      </c>
      <c r="R696" t="s">
        <v>712</v>
      </c>
      <c r="S696" t="s">
        <v>712</v>
      </c>
      <c r="T696">
        <v>57</v>
      </c>
    </row>
    <row r="697" spans="1:20" x14ac:dyDescent="0.25">
      <c r="A697" t="s">
        <v>1790</v>
      </c>
      <c r="B697" t="s">
        <v>251</v>
      </c>
      <c r="C697" t="s">
        <v>586</v>
      </c>
      <c r="D697" t="s">
        <v>830</v>
      </c>
      <c r="E697" t="s">
        <v>1791</v>
      </c>
      <c r="F697">
        <v>0.20238313431166563</v>
      </c>
      <c r="G697">
        <v>12.989876712328762</v>
      </c>
      <c r="H697" t="s">
        <v>1792</v>
      </c>
      <c r="I697" t="s">
        <v>885</v>
      </c>
      <c r="J697">
        <v>4</v>
      </c>
      <c r="K697" t="s">
        <v>866</v>
      </c>
      <c r="L697">
        <v>680000</v>
      </c>
      <c r="M697">
        <v>1.51</v>
      </c>
      <c r="N697">
        <v>12.989876712328762</v>
      </c>
      <c r="O697" t="s">
        <v>592</v>
      </c>
      <c r="P697" t="s">
        <v>711</v>
      </c>
      <c r="Q697" t="s">
        <v>586</v>
      </c>
      <c r="R697">
        <v>100000</v>
      </c>
      <c r="S697" t="s">
        <v>712</v>
      </c>
      <c r="T697">
        <v>98</v>
      </c>
    </row>
    <row r="698" spans="1:20" x14ac:dyDescent="0.25">
      <c r="A698" t="s">
        <v>1793</v>
      </c>
      <c r="B698" t="s">
        <v>251</v>
      </c>
      <c r="C698" t="s">
        <v>586</v>
      </c>
      <c r="D698" t="s">
        <v>830</v>
      </c>
      <c r="E698" t="s">
        <v>1791</v>
      </c>
      <c r="F698">
        <v>2.1345652812678191</v>
      </c>
      <c r="G698">
        <v>17.894534246575368</v>
      </c>
      <c r="H698" t="s">
        <v>1792</v>
      </c>
      <c r="I698" t="s">
        <v>885</v>
      </c>
      <c r="J698">
        <v>2</v>
      </c>
      <c r="K698" t="s">
        <v>1794</v>
      </c>
      <c r="L698">
        <v>740000</v>
      </c>
      <c r="M698">
        <v>1.83</v>
      </c>
      <c r="N698">
        <v>17.894534246575368</v>
      </c>
      <c r="O698" t="s">
        <v>592</v>
      </c>
      <c r="P698" t="s">
        <v>711</v>
      </c>
      <c r="Q698" t="s">
        <v>586</v>
      </c>
      <c r="R698">
        <v>100000</v>
      </c>
      <c r="S698" t="s">
        <v>712</v>
      </c>
      <c r="T698">
        <v>72</v>
      </c>
    </row>
    <row r="699" spans="1:20" x14ac:dyDescent="0.25">
      <c r="A699" t="s">
        <v>1795</v>
      </c>
      <c r="B699" t="s">
        <v>252</v>
      </c>
      <c r="C699" t="s">
        <v>586</v>
      </c>
      <c r="D699" t="s">
        <v>608</v>
      </c>
      <c r="E699" t="s">
        <v>1796</v>
      </c>
      <c r="F699">
        <v>3.6095712750481936E-2</v>
      </c>
      <c r="G699">
        <v>15.741972602739729</v>
      </c>
      <c r="H699" t="s">
        <v>1797</v>
      </c>
      <c r="I699" t="s">
        <v>885</v>
      </c>
      <c r="J699">
        <v>4</v>
      </c>
      <c r="K699" t="s">
        <v>1008</v>
      </c>
      <c r="L699">
        <v>155000</v>
      </c>
      <c r="M699">
        <v>1.75</v>
      </c>
      <c r="N699">
        <v>15.741972602739729</v>
      </c>
      <c r="O699" t="s">
        <v>592</v>
      </c>
      <c r="P699" t="s">
        <v>613</v>
      </c>
      <c r="Q699" t="s">
        <v>586</v>
      </c>
      <c r="R699" t="s">
        <v>712</v>
      </c>
      <c r="S699" t="s">
        <v>712</v>
      </c>
      <c r="T699">
        <v>99</v>
      </c>
    </row>
    <row r="700" spans="1:20" x14ac:dyDescent="0.25">
      <c r="A700" t="s">
        <v>1798</v>
      </c>
      <c r="B700" t="s">
        <v>158</v>
      </c>
      <c r="C700" t="s">
        <v>607</v>
      </c>
      <c r="D700" t="s">
        <v>608</v>
      </c>
      <c r="E700" t="s">
        <v>789</v>
      </c>
      <c r="F700">
        <v>1.5088107242056206</v>
      </c>
      <c r="G700">
        <v>63.701946770319836</v>
      </c>
      <c r="H700" t="s">
        <v>1143</v>
      </c>
      <c r="I700" t="s">
        <v>820</v>
      </c>
      <c r="J700">
        <v>4</v>
      </c>
      <c r="K700" t="s">
        <v>634</v>
      </c>
      <c r="L700">
        <v>175000</v>
      </c>
      <c r="M700">
        <v>2</v>
      </c>
      <c r="N700">
        <v>63.701946770319836</v>
      </c>
      <c r="O700" t="s">
        <v>592</v>
      </c>
      <c r="P700" t="s">
        <v>621</v>
      </c>
      <c r="Q700" t="s">
        <v>586</v>
      </c>
      <c r="R700" t="s">
        <v>712</v>
      </c>
      <c r="S700" t="s">
        <v>878</v>
      </c>
      <c r="T700">
        <v>73</v>
      </c>
    </row>
    <row r="701" spans="1:20" x14ac:dyDescent="0.25">
      <c r="A701" t="s">
        <v>1799</v>
      </c>
      <c r="B701" t="s">
        <v>249</v>
      </c>
      <c r="C701" t="s">
        <v>586</v>
      </c>
      <c r="D701" t="s">
        <v>587</v>
      </c>
      <c r="E701" t="s">
        <v>756</v>
      </c>
      <c r="F701">
        <v>0.81028011052482651</v>
      </c>
      <c r="G701">
        <v>87.818087342465745</v>
      </c>
      <c r="H701" t="s">
        <v>1113</v>
      </c>
      <c r="I701" t="s">
        <v>703</v>
      </c>
      <c r="J701">
        <v>2.976</v>
      </c>
      <c r="K701" t="s">
        <v>984</v>
      </c>
      <c r="L701">
        <v>675000</v>
      </c>
      <c r="M701">
        <v>2.976</v>
      </c>
      <c r="N701">
        <v>87.818087342465745</v>
      </c>
      <c r="O701" t="s">
        <v>592</v>
      </c>
      <c r="P701" t="s">
        <v>723</v>
      </c>
      <c r="Q701" t="s">
        <v>607</v>
      </c>
      <c r="R701" t="s">
        <v>712</v>
      </c>
      <c r="S701" t="s">
        <v>594</v>
      </c>
      <c r="T701">
        <v>84</v>
      </c>
    </row>
    <row r="702" spans="1:20" x14ac:dyDescent="0.25">
      <c r="A702" t="s">
        <v>1800</v>
      </c>
      <c r="B702" t="s">
        <v>249</v>
      </c>
      <c r="C702" t="s">
        <v>586</v>
      </c>
      <c r="D702" t="s">
        <v>587</v>
      </c>
      <c r="E702" t="s">
        <v>756</v>
      </c>
      <c r="F702">
        <v>3.5404563584571158</v>
      </c>
      <c r="G702">
        <v>112.27749622857144</v>
      </c>
      <c r="H702" t="s">
        <v>1113</v>
      </c>
      <c r="I702" t="s">
        <v>703</v>
      </c>
      <c r="J702">
        <v>3.4660000000000002</v>
      </c>
      <c r="K702" t="s">
        <v>1163</v>
      </c>
      <c r="L702">
        <v>740000</v>
      </c>
      <c r="M702">
        <v>3.4660000000000002</v>
      </c>
      <c r="N702">
        <v>112.27749622857144</v>
      </c>
      <c r="O702" t="s">
        <v>592</v>
      </c>
      <c r="P702" t="s">
        <v>723</v>
      </c>
      <c r="Q702" t="s">
        <v>607</v>
      </c>
      <c r="R702">
        <v>10000</v>
      </c>
      <c r="S702" t="s">
        <v>594</v>
      </c>
      <c r="T702">
        <v>52</v>
      </c>
    </row>
    <row r="703" spans="1:20" x14ac:dyDescent="0.25">
      <c r="A703" t="s">
        <v>1801</v>
      </c>
      <c r="B703" t="s">
        <v>253</v>
      </c>
      <c r="C703" t="s">
        <v>586</v>
      </c>
      <c r="D703" t="s">
        <v>805</v>
      </c>
      <c r="E703" t="s">
        <v>1802</v>
      </c>
      <c r="F703">
        <v>1.7159927473036369</v>
      </c>
      <c r="G703">
        <v>-0.57156779089535537</v>
      </c>
      <c r="H703" t="s">
        <v>1258</v>
      </c>
      <c r="I703" t="s">
        <v>1571</v>
      </c>
      <c r="J703">
        <v>4</v>
      </c>
      <c r="K703" t="s">
        <v>1496</v>
      </c>
      <c r="L703">
        <v>435000</v>
      </c>
      <c r="M703">
        <v>1.6500000000000001</v>
      </c>
      <c r="N703">
        <v>-0.57156779089535537</v>
      </c>
      <c r="O703" t="s">
        <v>592</v>
      </c>
      <c r="P703" t="s">
        <v>711</v>
      </c>
      <c r="Q703" t="s">
        <v>586</v>
      </c>
      <c r="R703">
        <v>60000</v>
      </c>
      <c r="S703" t="s">
        <v>712</v>
      </c>
      <c r="T703">
        <v>87</v>
      </c>
    </row>
    <row r="704" spans="1:20" x14ac:dyDescent="0.25">
      <c r="A704" t="s">
        <v>1803</v>
      </c>
      <c r="B704" t="s">
        <v>253</v>
      </c>
      <c r="C704" t="s">
        <v>586</v>
      </c>
      <c r="D704" t="s">
        <v>805</v>
      </c>
      <c r="E704" t="s">
        <v>1802</v>
      </c>
      <c r="F704">
        <v>3.5035755101583774</v>
      </c>
      <c r="G704">
        <v>3.5820434093571718</v>
      </c>
      <c r="H704" t="s">
        <v>1258</v>
      </c>
      <c r="I704" t="s">
        <v>1571</v>
      </c>
      <c r="J704">
        <v>4</v>
      </c>
      <c r="K704" t="s">
        <v>1804</v>
      </c>
      <c r="L704">
        <v>425000</v>
      </c>
      <c r="M704">
        <v>2</v>
      </c>
      <c r="N704">
        <v>3.5820434093571718</v>
      </c>
      <c r="O704" t="s">
        <v>592</v>
      </c>
      <c r="P704" t="s">
        <v>711</v>
      </c>
      <c r="Q704" t="s">
        <v>586</v>
      </c>
      <c r="R704">
        <v>20000</v>
      </c>
      <c r="S704" t="s">
        <v>712</v>
      </c>
      <c r="T704">
        <v>69</v>
      </c>
    </row>
    <row r="705" spans="1:20" x14ac:dyDescent="0.25">
      <c r="A705" t="s">
        <v>1805</v>
      </c>
      <c r="B705" t="s">
        <v>254</v>
      </c>
      <c r="C705" t="s">
        <v>607</v>
      </c>
      <c r="D705" t="s">
        <v>608</v>
      </c>
      <c r="E705" t="s">
        <v>1321</v>
      </c>
      <c r="F705">
        <v>1.0559939414974253</v>
      </c>
      <c r="G705">
        <v>37.118186301369846</v>
      </c>
      <c r="H705" t="s">
        <v>610</v>
      </c>
      <c r="I705" t="s">
        <v>611</v>
      </c>
      <c r="J705">
        <v>2</v>
      </c>
      <c r="K705" t="s">
        <v>612</v>
      </c>
      <c r="L705">
        <v>240000</v>
      </c>
      <c r="M705">
        <v>1.9000000000000001</v>
      </c>
      <c r="N705">
        <v>37.118186301369846</v>
      </c>
      <c r="O705" t="s">
        <v>592</v>
      </c>
      <c r="P705" t="s">
        <v>613</v>
      </c>
      <c r="Q705" t="s">
        <v>586</v>
      </c>
      <c r="R705" t="s">
        <v>712</v>
      </c>
      <c r="S705" t="s">
        <v>594</v>
      </c>
      <c r="T705">
        <v>87</v>
      </c>
    </row>
    <row r="706" spans="1:20" x14ac:dyDescent="0.25">
      <c r="A706" t="s">
        <v>1806</v>
      </c>
      <c r="B706" t="s">
        <v>254</v>
      </c>
      <c r="C706" t="s">
        <v>607</v>
      </c>
      <c r="D706" t="s">
        <v>608</v>
      </c>
      <c r="E706" t="s">
        <v>1321</v>
      </c>
      <c r="F706">
        <v>2.0105419804928699</v>
      </c>
      <c r="G706">
        <v>36.847726027397258</v>
      </c>
      <c r="H706" t="s">
        <v>610</v>
      </c>
      <c r="I706" t="s">
        <v>611</v>
      </c>
      <c r="J706">
        <v>2</v>
      </c>
      <c r="K706" t="s">
        <v>956</v>
      </c>
      <c r="L706">
        <v>245000</v>
      </c>
      <c r="M706">
        <v>2</v>
      </c>
      <c r="N706">
        <v>36.847726027397258</v>
      </c>
      <c r="O706" t="s">
        <v>592</v>
      </c>
      <c r="P706" t="s">
        <v>613</v>
      </c>
      <c r="Q706" t="s">
        <v>586</v>
      </c>
      <c r="R706" t="s">
        <v>712</v>
      </c>
      <c r="S706" t="s">
        <v>594</v>
      </c>
      <c r="T706">
        <v>75</v>
      </c>
    </row>
    <row r="707" spans="1:20" x14ac:dyDescent="0.25">
      <c r="A707" t="s">
        <v>1807</v>
      </c>
      <c r="B707" t="s">
        <v>255</v>
      </c>
      <c r="C707" t="s">
        <v>607</v>
      </c>
      <c r="D707" t="s">
        <v>608</v>
      </c>
      <c r="E707" t="s">
        <v>980</v>
      </c>
      <c r="F707">
        <v>1.5374257568187584</v>
      </c>
      <c r="G707">
        <v>63.701946770319836</v>
      </c>
      <c r="H707" t="s">
        <v>1143</v>
      </c>
      <c r="I707" t="s">
        <v>611</v>
      </c>
      <c r="J707">
        <v>2</v>
      </c>
      <c r="K707" t="s">
        <v>634</v>
      </c>
      <c r="L707">
        <v>225000</v>
      </c>
      <c r="M707">
        <v>2</v>
      </c>
      <c r="N707">
        <v>63.701946770319836</v>
      </c>
      <c r="O707" t="s">
        <v>592</v>
      </c>
      <c r="P707" t="s">
        <v>621</v>
      </c>
      <c r="Q707" t="s">
        <v>586</v>
      </c>
      <c r="R707">
        <v>160000</v>
      </c>
      <c r="S707" t="s">
        <v>878</v>
      </c>
      <c r="T707">
        <v>76</v>
      </c>
    </row>
    <row r="708" spans="1:20" x14ac:dyDescent="0.25">
      <c r="A708" t="s">
        <v>1808</v>
      </c>
      <c r="B708" t="s">
        <v>256</v>
      </c>
      <c r="C708" t="s">
        <v>586</v>
      </c>
      <c r="D708" t="s">
        <v>608</v>
      </c>
      <c r="E708" t="s">
        <v>980</v>
      </c>
      <c r="F708">
        <v>1.0477482866223664</v>
      </c>
      <c r="G708">
        <v>103.66061459052365</v>
      </c>
      <c r="H708" t="s">
        <v>761</v>
      </c>
      <c r="I708" t="s">
        <v>1034</v>
      </c>
      <c r="J708">
        <v>3</v>
      </c>
      <c r="K708" t="s">
        <v>612</v>
      </c>
      <c r="L708">
        <v>60000</v>
      </c>
      <c r="M708">
        <v>2.4000000000000004</v>
      </c>
      <c r="N708">
        <v>103.66061459052365</v>
      </c>
      <c r="O708" t="s">
        <v>592</v>
      </c>
      <c r="P708" t="s">
        <v>613</v>
      </c>
      <c r="Q708" t="s">
        <v>586</v>
      </c>
      <c r="R708" t="s">
        <v>712</v>
      </c>
      <c r="S708" t="s">
        <v>712</v>
      </c>
      <c r="T708">
        <v>80</v>
      </c>
    </row>
    <row r="709" spans="1:20" x14ac:dyDescent="0.25">
      <c r="A709" t="s">
        <v>1809</v>
      </c>
      <c r="B709" t="s">
        <v>256</v>
      </c>
      <c r="C709" t="s">
        <v>586</v>
      </c>
      <c r="D709" t="s">
        <v>608</v>
      </c>
      <c r="E709" t="s">
        <v>980</v>
      </c>
      <c r="F709">
        <v>2.8948372110435909</v>
      </c>
      <c r="G709">
        <v>114.90173672920821</v>
      </c>
      <c r="H709" t="s">
        <v>761</v>
      </c>
      <c r="I709" t="s">
        <v>1034</v>
      </c>
      <c r="J709">
        <v>3</v>
      </c>
      <c r="K709" t="s">
        <v>1334</v>
      </c>
      <c r="L709">
        <v>65000</v>
      </c>
      <c r="M709">
        <v>2.8000000000000003</v>
      </c>
      <c r="N709">
        <v>114.90173672920821</v>
      </c>
      <c r="O709" t="s">
        <v>592</v>
      </c>
      <c r="P709" t="s">
        <v>613</v>
      </c>
      <c r="Q709" t="s">
        <v>586</v>
      </c>
      <c r="R709" t="s">
        <v>712</v>
      </c>
      <c r="S709" t="s">
        <v>712</v>
      </c>
      <c r="T709">
        <v>50</v>
      </c>
    </row>
    <row r="710" spans="1:20" x14ac:dyDescent="0.25">
      <c r="A710" t="s">
        <v>1810</v>
      </c>
      <c r="B710" t="s">
        <v>257</v>
      </c>
      <c r="C710" t="s">
        <v>586</v>
      </c>
      <c r="D710" t="s">
        <v>608</v>
      </c>
      <c r="E710" t="s">
        <v>1321</v>
      </c>
      <c r="F710">
        <v>1.9933929434925106</v>
      </c>
      <c r="G710">
        <v>114.30467669777182</v>
      </c>
      <c r="H710" t="s">
        <v>1143</v>
      </c>
      <c r="I710" t="s">
        <v>1591</v>
      </c>
      <c r="J710">
        <v>2.65</v>
      </c>
      <c r="K710" t="s">
        <v>956</v>
      </c>
      <c r="L710">
        <v>160000</v>
      </c>
      <c r="M710">
        <v>2.6</v>
      </c>
      <c r="N710">
        <v>114.30467669777182</v>
      </c>
      <c r="O710" t="s">
        <v>592</v>
      </c>
      <c r="P710" t="s">
        <v>613</v>
      </c>
      <c r="Q710" t="s">
        <v>586</v>
      </c>
      <c r="R710" t="s">
        <v>712</v>
      </c>
      <c r="S710" t="s">
        <v>712</v>
      </c>
      <c r="T710">
        <v>48</v>
      </c>
    </row>
    <row r="711" spans="1:20" x14ac:dyDescent="0.25">
      <c r="A711" t="s">
        <v>1811</v>
      </c>
      <c r="B711" t="s">
        <v>115</v>
      </c>
      <c r="C711" t="s">
        <v>607</v>
      </c>
      <c r="D711" t="s">
        <v>1071</v>
      </c>
      <c r="E711" t="s">
        <v>1072</v>
      </c>
      <c r="F711">
        <v>0.41200250787965415</v>
      </c>
      <c r="G711">
        <v>37.36525580890504</v>
      </c>
      <c r="H711" t="s">
        <v>1073</v>
      </c>
      <c r="I711" t="s">
        <v>661</v>
      </c>
      <c r="J711">
        <v>2</v>
      </c>
      <c r="K711" t="s">
        <v>686</v>
      </c>
      <c r="L711">
        <v>95000</v>
      </c>
      <c r="M711">
        <v>1.8</v>
      </c>
      <c r="N711">
        <v>37.36525580890504</v>
      </c>
      <c r="O711" t="s">
        <v>592</v>
      </c>
      <c r="P711" t="s">
        <v>593</v>
      </c>
      <c r="Q711" t="s">
        <v>586</v>
      </c>
      <c r="R711" t="s">
        <v>712</v>
      </c>
      <c r="S711" t="s">
        <v>712</v>
      </c>
      <c r="T711">
        <v>95</v>
      </c>
    </row>
    <row r="712" spans="1:20" x14ac:dyDescent="0.25">
      <c r="A712" t="s">
        <v>1812</v>
      </c>
      <c r="B712" t="s">
        <v>115</v>
      </c>
      <c r="C712" t="s">
        <v>607</v>
      </c>
      <c r="D712" t="s">
        <v>1071</v>
      </c>
      <c r="E712" t="s">
        <v>1072</v>
      </c>
      <c r="F712">
        <v>1.3872659235127831</v>
      </c>
      <c r="G712">
        <v>37.806553985324754</v>
      </c>
      <c r="H712" t="s">
        <v>1073</v>
      </c>
      <c r="I712" t="s">
        <v>661</v>
      </c>
      <c r="J712">
        <v>2</v>
      </c>
      <c r="K712" t="s">
        <v>946</v>
      </c>
      <c r="L712">
        <v>95000</v>
      </c>
      <c r="M712">
        <v>1.95</v>
      </c>
      <c r="N712">
        <v>37.806553985324754</v>
      </c>
      <c r="O712" t="s">
        <v>592</v>
      </c>
      <c r="P712" t="s">
        <v>593</v>
      </c>
      <c r="Q712" t="s">
        <v>586</v>
      </c>
      <c r="R712" t="s">
        <v>712</v>
      </c>
      <c r="S712" t="s">
        <v>712</v>
      </c>
      <c r="T712">
        <v>76</v>
      </c>
    </row>
    <row r="713" spans="1:20" x14ac:dyDescent="0.25">
      <c r="A713" t="s">
        <v>1813</v>
      </c>
      <c r="B713" t="s">
        <v>115</v>
      </c>
      <c r="C713" t="s">
        <v>607</v>
      </c>
      <c r="D713" t="s">
        <v>1071</v>
      </c>
      <c r="E713" t="s">
        <v>1072</v>
      </c>
      <c r="F713">
        <v>2.7795771896261781</v>
      </c>
      <c r="G713">
        <v>35.603381739213802</v>
      </c>
      <c r="H713" t="s">
        <v>1073</v>
      </c>
      <c r="I713" t="s">
        <v>661</v>
      </c>
      <c r="J713">
        <v>3</v>
      </c>
      <c r="K713" t="s">
        <v>626</v>
      </c>
      <c r="L713">
        <v>100000</v>
      </c>
      <c r="M713">
        <v>2.15</v>
      </c>
      <c r="N713">
        <v>35.603381739213802</v>
      </c>
      <c r="O713" t="s">
        <v>592</v>
      </c>
      <c r="P713" t="s">
        <v>593</v>
      </c>
      <c r="Q713" t="s">
        <v>586</v>
      </c>
      <c r="R713" t="s">
        <v>712</v>
      </c>
      <c r="S713" t="s">
        <v>712</v>
      </c>
      <c r="T713">
        <v>61</v>
      </c>
    </row>
    <row r="714" spans="1:20" x14ac:dyDescent="0.25">
      <c r="A714" t="s">
        <v>1814</v>
      </c>
      <c r="B714" t="s">
        <v>251</v>
      </c>
      <c r="C714" t="s">
        <v>586</v>
      </c>
      <c r="D714" t="s">
        <v>830</v>
      </c>
      <c r="E714" t="s">
        <v>1791</v>
      </c>
      <c r="F714">
        <v>1.1648488526278391</v>
      </c>
      <c r="G714">
        <v>17.653465753424658</v>
      </c>
      <c r="H714" t="s">
        <v>1792</v>
      </c>
      <c r="I714" t="s">
        <v>885</v>
      </c>
      <c r="J714">
        <v>4</v>
      </c>
      <c r="K714" t="s">
        <v>1759</v>
      </c>
      <c r="L714">
        <v>690000</v>
      </c>
      <c r="M714">
        <v>1.69</v>
      </c>
      <c r="N714">
        <v>17.653465753424658</v>
      </c>
      <c r="O714" t="s">
        <v>592</v>
      </c>
      <c r="P714" t="s">
        <v>711</v>
      </c>
      <c r="Q714" t="s">
        <v>586</v>
      </c>
      <c r="R714" t="s">
        <v>712</v>
      </c>
      <c r="S714" t="s">
        <v>712</v>
      </c>
      <c r="T714">
        <v>89</v>
      </c>
    </row>
    <row r="715" spans="1:20" x14ac:dyDescent="0.25">
      <c r="A715" t="s">
        <v>1815</v>
      </c>
      <c r="B715" t="s">
        <v>251</v>
      </c>
      <c r="C715" t="s">
        <v>586</v>
      </c>
      <c r="D715" t="s">
        <v>830</v>
      </c>
      <c r="E715" t="s">
        <v>1791</v>
      </c>
      <c r="F715">
        <v>3.0713970134016204</v>
      </c>
      <c r="G715">
        <v>21.136561643835616</v>
      </c>
      <c r="H715" t="s">
        <v>1792</v>
      </c>
      <c r="I715" t="s">
        <v>885</v>
      </c>
      <c r="J715">
        <v>2</v>
      </c>
      <c r="K715" t="s">
        <v>1207</v>
      </c>
      <c r="L715">
        <v>780000</v>
      </c>
      <c r="M715">
        <v>2</v>
      </c>
      <c r="N715">
        <v>21.136561643835616</v>
      </c>
      <c r="O715" t="s">
        <v>592</v>
      </c>
      <c r="P715" t="s">
        <v>711</v>
      </c>
      <c r="Q715" t="s">
        <v>586</v>
      </c>
      <c r="R715" t="s">
        <v>712</v>
      </c>
      <c r="S715" t="s">
        <v>712</v>
      </c>
      <c r="T715">
        <v>63</v>
      </c>
    </row>
    <row r="716" spans="1:20" x14ac:dyDescent="0.25">
      <c r="A716" t="s">
        <v>1816</v>
      </c>
      <c r="B716" t="s">
        <v>256</v>
      </c>
      <c r="C716" t="s">
        <v>586</v>
      </c>
      <c r="D716" t="s">
        <v>608</v>
      </c>
      <c r="E716" t="s">
        <v>980</v>
      </c>
      <c r="F716">
        <v>8.0459470903986502E-2</v>
      </c>
      <c r="G716">
        <v>97.762832012839169</v>
      </c>
      <c r="H716" t="s">
        <v>761</v>
      </c>
      <c r="I716" t="s">
        <v>1034</v>
      </c>
      <c r="J716">
        <v>3</v>
      </c>
      <c r="K716" t="s">
        <v>950</v>
      </c>
      <c r="L716">
        <v>60000</v>
      </c>
      <c r="M716">
        <v>2.2000000000000002</v>
      </c>
      <c r="N716">
        <v>97.762832012839169</v>
      </c>
      <c r="O716" t="s">
        <v>592</v>
      </c>
      <c r="P716" t="s">
        <v>613</v>
      </c>
      <c r="Q716" t="s">
        <v>586</v>
      </c>
      <c r="R716" t="s">
        <v>712</v>
      </c>
      <c r="S716" t="s">
        <v>712</v>
      </c>
      <c r="T716">
        <v>97</v>
      </c>
    </row>
    <row r="717" spans="1:20" x14ac:dyDescent="0.25">
      <c r="A717" t="s">
        <v>1817</v>
      </c>
      <c r="B717" t="s">
        <v>257</v>
      </c>
      <c r="C717" t="s">
        <v>586</v>
      </c>
      <c r="D717" t="s">
        <v>608</v>
      </c>
      <c r="E717" t="s">
        <v>1321</v>
      </c>
      <c r="F717">
        <v>1.0516997137507991</v>
      </c>
      <c r="G717">
        <v>109.47187973787578</v>
      </c>
      <c r="H717" t="s">
        <v>1143</v>
      </c>
      <c r="I717" t="s">
        <v>1591</v>
      </c>
      <c r="J717">
        <v>2.4500000000000002</v>
      </c>
      <c r="K717" t="s">
        <v>612</v>
      </c>
      <c r="L717">
        <v>155000</v>
      </c>
      <c r="M717">
        <v>2.4000000000000004</v>
      </c>
      <c r="N717">
        <v>109.47187973787578</v>
      </c>
      <c r="O717" t="s">
        <v>592</v>
      </c>
      <c r="P717" t="s">
        <v>613</v>
      </c>
      <c r="Q717" t="s">
        <v>586</v>
      </c>
      <c r="R717" t="s">
        <v>712</v>
      </c>
      <c r="S717" t="s">
        <v>712</v>
      </c>
      <c r="T717">
        <v>64</v>
      </c>
    </row>
    <row r="718" spans="1:20" x14ac:dyDescent="0.25">
      <c r="A718" t="s">
        <v>1818</v>
      </c>
      <c r="B718" t="s">
        <v>258</v>
      </c>
      <c r="C718" t="s">
        <v>586</v>
      </c>
      <c r="D718" t="s">
        <v>608</v>
      </c>
      <c r="E718" t="s">
        <v>980</v>
      </c>
      <c r="F718">
        <v>8.0491540922899021E-2</v>
      </c>
      <c r="G718">
        <v>40.994861426825913</v>
      </c>
      <c r="H718" t="s">
        <v>720</v>
      </c>
      <c r="I718" t="s">
        <v>721</v>
      </c>
      <c r="J718">
        <v>2</v>
      </c>
      <c r="K718" t="s">
        <v>950</v>
      </c>
      <c r="L718">
        <v>2500000</v>
      </c>
      <c r="M718">
        <v>1.85</v>
      </c>
      <c r="N718">
        <v>40.994861426825913</v>
      </c>
      <c r="O718" t="s">
        <v>592</v>
      </c>
      <c r="P718" t="s">
        <v>621</v>
      </c>
      <c r="Q718" t="s">
        <v>586</v>
      </c>
      <c r="R718">
        <v>75000</v>
      </c>
      <c r="S718" t="s">
        <v>712</v>
      </c>
      <c r="T718">
        <v>98</v>
      </c>
    </row>
    <row r="719" spans="1:20" x14ac:dyDescent="0.25">
      <c r="A719" t="s">
        <v>1819</v>
      </c>
      <c r="B719" t="s">
        <v>259</v>
      </c>
      <c r="C719" t="s">
        <v>586</v>
      </c>
      <c r="D719" t="s">
        <v>1251</v>
      </c>
      <c r="E719" t="s">
        <v>1820</v>
      </c>
      <c r="F719">
        <v>2.4521615148753866</v>
      </c>
      <c r="G719">
        <v>34.204179510530878</v>
      </c>
      <c r="H719" t="s">
        <v>639</v>
      </c>
      <c r="I719" t="s">
        <v>1137</v>
      </c>
      <c r="J719">
        <v>3</v>
      </c>
      <c r="K719" t="s">
        <v>959</v>
      </c>
      <c r="L719">
        <v>460000</v>
      </c>
      <c r="M719">
        <v>2.4000000000000004</v>
      </c>
      <c r="N719">
        <v>34.204179510530878</v>
      </c>
      <c r="O719" t="s">
        <v>592</v>
      </c>
      <c r="P719" t="s">
        <v>593</v>
      </c>
      <c r="Q719" t="s">
        <v>586</v>
      </c>
      <c r="R719" t="s">
        <v>712</v>
      </c>
      <c r="S719" t="s">
        <v>712</v>
      </c>
      <c r="T719">
        <v>70</v>
      </c>
    </row>
    <row r="720" spans="1:20" x14ac:dyDescent="0.25">
      <c r="A720" t="s">
        <v>1821</v>
      </c>
      <c r="B720" t="s">
        <v>252</v>
      </c>
      <c r="C720" t="s">
        <v>586</v>
      </c>
      <c r="D720" t="s">
        <v>608</v>
      </c>
      <c r="E720" t="s">
        <v>1796</v>
      </c>
      <c r="F720">
        <v>0.99856416877133269</v>
      </c>
      <c r="G720">
        <v>15.119273972602754</v>
      </c>
      <c r="H720" t="s">
        <v>1797</v>
      </c>
      <c r="I720" t="s">
        <v>885</v>
      </c>
      <c r="J720">
        <v>4</v>
      </c>
      <c r="K720" t="s">
        <v>920</v>
      </c>
      <c r="L720">
        <v>160000</v>
      </c>
      <c r="M720">
        <v>1.8</v>
      </c>
      <c r="N720">
        <v>15.119273972602754</v>
      </c>
      <c r="O720" t="s">
        <v>592</v>
      </c>
      <c r="P720" t="s">
        <v>613</v>
      </c>
      <c r="Q720" t="s">
        <v>586</v>
      </c>
      <c r="R720" t="s">
        <v>712</v>
      </c>
      <c r="S720" t="s">
        <v>712</v>
      </c>
      <c r="T720">
        <v>91</v>
      </c>
    </row>
    <row r="721" spans="1:20" x14ac:dyDescent="0.25">
      <c r="A721" t="s">
        <v>1822</v>
      </c>
      <c r="B721" t="s">
        <v>252</v>
      </c>
      <c r="C721" t="s">
        <v>586</v>
      </c>
      <c r="D721" t="s">
        <v>608</v>
      </c>
      <c r="E721" t="s">
        <v>1796</v>
      </c>
      <c r="F721">
        <v>1.923194769464545</v>
      </c>
      <c r="G721">
        <v>19.218873972602736</v>
      </c>
      <c r="H721" t="s">
        <v>1797</v>
      </c>
      <c r="I721" t="s">
        <v>885</v>
      </c>
      <c r="J721">
        <v>4</v>
      </c>
      <c r="K721" t="s">
        <v>898</v>
      </c>
      <c r="L721">
        <v>170000</v>
      </c>
      <c r="M721">
        <v>1.9000000000000001</v>
      </c>
      <c r="N721">
        <v>19.218873972602736</v>
      </c>
      <c r="O721" t="s">
        <v>592</v>
      </c>
      <c r="P721" t="s">
        <v>613</v>
      </c>
      <c r="Q721" t="s">
        <v>586</v>
      </c>
      <c r="R721" t="s">
        <v>712</v>
      </c>
      <c r="S721" t="s">
        <v>712</v>
      </c>
      <c r="T721">
        <v>85</v>
      </c>
    </row>
    <row r="722" spans="1:20" x14ac:dyDescent="0.25">
      <c r="A722" t="s">
        <v>1823</v>
      </c>
      <c r="B722" t="s">
        <v>252</v>
      </c>
      <c r="C722" t="s">
        <v>586</v>
      </c>
      <c r="D722" t="s">
        <v>608</v>
      </c>
      <c r="E722" t="s">
        <v>1796</v>
      </c>
      <c r="F722">
        <v>2.8142434417334057</v>
      </c>
      <c r="G722">
        <v>16.896504109589028</v>
      </c>
      <c r="H722" t="s">
        <v>1797</v>
      </c>
      <c r="I722" t="s">
        <v>885</v>
      </c>
      <c r="J722">
        <v>4</v>
      </c>
      <c r="K722" t="s">
        <v>978</v>
      </c>
      <c r="L722">
        <v>175000</v>
      </c>
      <c r="M722">
        <v>1.95</v>
      </c>
      <c r="N722">
        <v>16.896504109589028</v>
      </c>
      <c r="O722" t="s">
        <v>592</v>
      </c>
      <c r="P722" t="s">
        <v>613</v>
      </c>
      <c r="Q722" t="s">
        <v>586</v>
      </c>
      <c r="R722">
        <v>10000</v>
      </c>
      <c r="S722" t="s">
        <v>712</v>
      </c>
      <c r="T722">
        <v>79</v>
      </c>
    </row>
    <row r="723" spans="1:20" x14ac:dyDescent="0.25">
      <c r="A723" t="s">
        <v>1824</v>
      </c>
      <c r="B723" t="s">
        <v>252</v>
      </c>
      <c r="C723" t="s">
        <v>586</v>
      </c>
      <c r="D723" t="s">
        <v>608</v>
      </c>
      <c r="E723" t="s">
        <v>1796</v>
      </c>
      <c r="F723">
        <v>3.6734472594847496</v>
      </c>
      <c r="G723">
        <v>15.174895890410966</v>
      </c>
      <c r="H723" t="s">
        <v>1797</v>
      </c>
      <c r="I723" t="s">
        <v>885</v>
      </c>
      <c r="J723">
        <v>4</v>
      </c>
      <c r="K723" t="s">
        <v>1046</v>
      </c>
      <c r="L723">
        <v>180000</v>
      </c>
      <c r="M723">
        <v>2</v>
      </c>
      <c r="N723">
        <v>15.174895890410966</v>
      </c>
      <c r="O723" t="s">
        <v>592</v>
      </c>
      <c r="P723" t="s">
        <v>613</v>
      </c>
      <c r="Q723" t="s">
        <v>586</v>
      </c>
      <c r="R723" t="s">
        <v>712</v>
      </c>
      <c r="S723" t="s">
        <v>712</v>
      </c>
      <c r="T723">
        <v>73</v>
      </c>
    </row>
    <row r="724" spans="1:20" x14ac:dyDescent="0.25">
      <c r="A724" t="s">
        <v>1825</v>
      </c>
      <c r="B724" t="s">
        <v>253</v>
      </c>
      <c r="C724" t="s">
        <v>586</v>
      </c>
      <c r="D724" t="s">
        <v>805</v>
      </c>
      <c r="E724" t="s">
        <v>1802</v>
      </c>
      <c r="F724">
        <v>0.77181327229256969</v>
      </c>
      <c r="G724">
        <v>0.79061955516193105</v>
      </c>
      <c r="H724" t="s">
        <v>1258</v>
      </c>
      <c r="I724" t="s">
        <v>1571</v>
      </c>
      <c r="J724">
        <v>4</v>
      </c>
      <c r="K724" t="s">
        <v>1168</v>
      </c>
      <c r="L724">
        <v>440000</v>
      </c>
      <c r="M724">
        <v>1.5</v>
      </c>
      <c r="N724">
        <v>0.79061955516193105</v>
      </c>
      <c r="O724" t="s">
        <v>592</v>
      </c>
      <c r="P724" t="s">
        <v>711</v>
      </c>
      <c r="Q724" t="s">
        <v>586</v>
      </c>
      <c r="R724" t="s">
        <v>712</v>
      </c>
      <c r="S724" t="s">
        <v>712</v>
      </c>
      <c r="T724">
        <v>95</v>
      </c>
    </row>
    <row r="725" spans="1:20" x14ac:dyDescent="0.25">
      <c r="A725" t="s">
        <v>1826</v>
      </c>
      <c r="B725" t="s">
        <v>253</v>
      </c>
      <c r="C725" t="s">
        <v>586</v>
      </c>
      <c r="D725" t="s">
        <v>805</v>
      </c>
      <c r="E725" t="s">
        <v>1802</v>
      </c>
      <c r="F725">
        <v>2.6258592723156964</v>
      </c>
      <c r="G725">
        <v>3.1979562293604546</v>
      </c>
      <c r="H725" t="s">
        <v>1258</v>
      </c>
      <c r="I725" t="s">
        <v>1571</v>
      </c>
      <c r="J725">
        <v>4</v>
      </c>
      <c r="K725" t="s">
        <v>1498</v>
      </c>
      <c r="L725">
        <v>425000</v>
      </c>
      <c r="M725">
        <v>1.85</v>
      </c>
      <c r="N725">
        <v>3.1979562293604546</v>
      </c>
      <c r="O725" t="s">
        <v>592</v>
      </c>
      <c r="P725" t="s">
        <v>711</v>
      </c>
      <c r="Q725" t="s">
        <v>586</v>
      </c>
      <c r="R725" t="s">
        <v>712</v>
      </c>
      <c r="S725" t="s">
        <v>712</v>
      </c>
      <c r="T725">
        <v>78</v>
      </c>
    </row>
    <row r="726" spans="1:20" x14ac:dyDescent="0.25">
      <c r="A726" t="s">
        <v>1827</v>
      </c>
      <c r="B726" t="s">
        <v>253</v>
      </c>
      <c r="C726" t="s">
        <v>586</v>
      </c>
      <c r="D726" t="s">
        <v>805</v>
      </c>
      <c r="E726" t="s">
        <v>1802</v>
      </c>
      <c r="F726">
        <v>4.3507769122003674</v>
      </c>
      <c r="G726">
        <v>1.8448478071608765</v>
      </c>
      <c r="H726" t="s">
        <v>1258</v>
      </c>
      <c r="I726" t="s">
        <v>1571</v>
      </c>
      <c r="J726">
        <v>4</v>
      </c>
      <c r="K726" t="s">
        <v>1828</v>
      </c>
      <c r="L726">
        <v>420000</v>
      </c>
      <c r="M726">
        <v>2.1</v>
      </c>
      <c r="N726">
        <v>1.8448478071608765</v>
      </c>
      <c r="O726" t="s">
        <v>592</v>
      </c>
      <c r="P726" t="s">
        <v>711</v>
      </c>
      <c r="Q726" t="s">
        <v>586</v>
      </c>
      <c r="R726" t="s">
        <v>712</v>
      </c>
      <c r="S726" t="s">
        <v>712</v>
      </c>
      <c r="T726">
        <v>59</v>
      </c>
    </row>
    <row r="727" spans="1:20" x14ac:dyDescent="0.25">
      <c r="A727" t="s">
        <v>1829</v>
      </c>
      <c r="B727" t="s">
        <v>260</v>
      </c>
      <c r="C727" t="s">
        <v>607</v>
      </c>
      <c r="D727" t="s">
        <v>608</v>
      </c>
      <c r="E727" t="s">
        <v>980</v>
      </c>
      <c r="F727">
        <v>8.0456694408011079E-2</v>
      </c>
      <c r="G727">
        <v>52.4075911745431</v>
      </c>
      <c r="H727" t="s">
        <v>672</v>
      </c>
      <c r="I727" t="s">
        <v>820</v>
      </c>
      <c r="J727">
        <v>4.75</v>
      </c>
      <c r="K727" t="s">
        <v>950</v>
      </c>
      <c r="L727">
        <v>150000</v>
      </c>
      <c r="M727">
        <v>1.95</v>
      </c>
      <c r="N727">
        <v>52.4075911745431</v>
      </c>
      <c r="O727" t="s">
        <v>592</v>
      </c>
      <c r="P727" t="s">
        <v>613</v>
      </c>
      <c r="Q727" t="s">
        <v>586</v>
      </c>
      <c r="R727" t="s">
        <v>712</v>
      </c>
      <c r="S727" t="s">
        <v>712</v>
      </c>
      <c r="T727">
        <v>95</v>
      </c>
    </row>
    <row r="728" spans="1:20" x14ac:dyDescent="0.25">
      <c r="A728" t="s">
        <v>1830</v>
      </c>
      <c r="B728" t="s">
        <v>260</v>
      </c>
      <c r="C728" t="s">
        <v>607</v>
      </c>
      <c r="D728" t="s">
        <v>608</v>
      </c>
      <c r="E728" t="s">
        <v>980</v>
      </c>
      <c r="F728">
        <v>1.0357336100936443</v>
      </c>
      <c r="G728">
        <v>55.992577034513722</v>
      </c>
      <c r="H728" t="s">
        <v>672</v>
      </c>
      <c r="I728" t="s">
        <v>820</v>
      </c>
      <c r="J728">
        <v>4.75</v>
      </c>
      <c r="K728" t="s">
        <v>612</v>
      </c>
      <c r="L728">
        <v>155000</v>
      </c>
      <c r="M728">
        <v>2.15</v>
      </c>
      <c r="N728">
        <v>55.992577034513722</v>
      </c>
      <c r="O728" t="s">
        <v>592</v>
      </c>
      <c r="P728" t="s">
        <v>613</v>
      </c>
      <c r="Q728" t="s">
        <v>586</v>
      </c>
      <c r="R728" t="s">
        <v>712</v>
      </c>
      <c r="S728" t="s">
        <v>712</v>
      </c>
      <c r="T728">
        <v>87</v>
      </c>
    </row>
    <row r="729" spans="1:20" x14ac:dyDescent="0.25">
      <c r="A729" t="s">
        <v>1831</v>
      </c>
      <c r="B729" t="s">
        <v>260</v>
      </c>
      <c r="C729" t="s">
        <v>607</v>
      </c>
      <c r="D729" t="s">
        <v>608</v>
      </c>
      <c r="E729" t="s">
        <v>980</v>
      </c>
      <c r="F729">
        <v>2.0019138891419503</v>
      </c>
      <c r="G729">
        <v>59.739828696939099</v>
      </c>
      <c r="H729" t="s">
        <v>672</v>
      </c>
      <c r="I729" t="s">
        <v>820</v>
      </c>
      <c r="J729">
        <v>2.25</v>
      </c>
      <c r="K729" t="s">
        <v>956</v>
      </c>
      <c r="L729">
        <v>160000</v>
      </c>
      <c r="M729">
        <v>2.35</v>
      </c>
      <c r="N729">
        <v>59.739828696939099</v>
      </c>
      <c r="O729" t="s">
        <v>592</v>
      </c>
      <c r="P729" t="s">
        <v>613</v>
      </c>
      <c r="Q729" t="s">
        <v>586</v>
      </c>
      <c r="R729" t="s">
        <v>712</v>
      </c>
      <c r="S729" t="s">
        <v>712</v>
      </c>
      <c r="T729">
        <v>68</v>
      </c>
    </row>
    <row r="730" spans="1:20" x14ac:dyDescent="0.25">
      <c r="A730" t="s">
        <v>1832</v>
      </c>
      <c r="B730" t="s">
        <v>260</v>
      </c>
      <c r="C730" t="s">
        <v>607</v>
      </c>
      <c r="D730" t="s">
        <v>608</v>
      </c>
      <c r="E730" t="s">
        <v>980</v>
      </c>
      <c r="F730">
        <v>2.9178221053855595</v>
      </c>
      <c r="G730">
        <v>74.344340973043586</v>
      </c>
      <c r="H730" t="s">
        <v>672</v>
      </c>
      <c r="I730" t="s">
        <v>820</v>
      </c>
      <c r="J730">
        <v>2.5</v>
      </c>
      <c r="K730" t="s">
        <v>1334</v>
      </c>
      <c r="L730">
        <v>170000</v>
      </c>
      <c r="M730">
        <v>2.65</v>
      </c>
      <c r="N730">
        <v>74.344340973043586</v>
      </c>
      <c r="O730" t="s">
        <v>592</v>
      </c>
      <c r="P730" t="s">
        <v>613</v>
      </c>
      <c r="Q730" t="s">
        <v>586</v>
      </c>
      <c r="R730" t="s">
        <v>712</v>
      </c>
      <c r="S730" t="s">
        <v>712</v>
      </c>
      <c r="T730">
        <v>56</v>
      </c>
    </row>
    <row r="731" spans="1:20" x14ac:dyDescent="0.25">
      <c r="A731" t="s">
        <v>1833</v>
      </c>
      <c r="B731" t="s">
        <v>261</v>
      </c>
      <c r="C731" t="s">
        <v>607</v>
      </c>
      <c r="D731" t="s">
        <v>608</v>
      </c>
      <c r="E731" t="s">
        <v>980</v>
      </c>
      <c r="F731">
        <v>8.044804233238162E-2</v>
      </c>
      <c r="G731">
        <v>79.331750068278041</v>
      </c>
      <c r="H731" t="s">
        <v>1393</v>
      </c>
      <c r="I731" t="s">
        <v>885</v>
      </c>
      <c r="J731">
        <v>3</v>
      </c>
      <c r="K731" t="s">
        <v>950</v>
      </c>
      <c r="L731">
        <v>125000</v>
      </c>
      <c r="M731">
        <v>2.75</v>
      </c>
      <c r="N731">
        <v>79.331750068278041</v>
      </c>
      <c r="O731" t="s">
        <v>592</v>
      </c>
      <c r="P731" t="s">
        <v>613</v>
      </c>
      <c r="Q731" t="s">
        <v>586</v>
      </c>
      <c r="R731" t="s">
        <v>712</v>
      </c>
      <c r="S731" t="s">
        <v>712</v>
      </c>
      <c r="T731">
        <v>99</v>
      </c>
    </row>
    <row r="732" spans="1:20" x14ac:dyDescent="0.25">
      <c r="A732" t="s">
        <v>1834</v>
      </c>
      <c r="B732" t="s">
        <v>159</v>
      </c>
      <c r="C732" t="s">
        <v>607</v>
      </c>
      <c r="D732" t="s">
        <v>608</v>
      </c>
      <c r="E732" t="s">
        <v>980</v>
      </c>
      <c r="F732">
        <v>8.0490264554993959E-2</v>
      </c>
      <c r="G732">
        <v>52.755756968035669</v>
      </c>
      <c r="H732" t="s">
        <v>1000</v>
      </c>
      <c r="I732" t="s">
        <v>1227</v>
      </c>
      <c r="J732">
        <v>3</v>
      </c>
      <c r="K732" t="s">
        <v>950</v>
      </c>
      <c r="L732">
        <v>900000</v>
      </c>
      <c r="M732">
        <v>1.82</v>
      </c>
      <c r="N732">
        <v>52.755756968035669</v>
      </c>
      <c r="O732" t="s">
        <v>592</v>
      </c>
      <c r="P732" t="s">
        <v>621</v>
      </c>
      <c r="Q732" t="s">
        <v>586</v>
      </c>
      <c r="R732" t="s">
        <v>712</v>
      </c>
      <c r="S732" t="s">
        <v>594</v>
      </c>
      <c r="T732">
        <v>93</v>
      </c>
    </row>
    <row r="733" spans="1:20" x14ac:dyDescent="0.25">
      <c r="A733" t="s">
        <v>1835</v>
      </c>
      <c r="B733" t="s">
        <v>159</v>
      </c>
      <c r="C733" t="s">
        <v>607</v>
      </c>
      <c r="D733" t="s">
        <v>608</v>
      </c>
      <c r="E733" t="s">
        <v>980</v>
      </c>
      <c r="F733">
        <v>1.9903342018637848</v>
      </c>
      <c r="G733">
        <v>57.474228207684817</v>
      </c>
      <c r="H733" t="s">
        <v>1000</v>
      </c>
      <c r="I733" t="s">
        <v>1227</v>
      </c>
      <c r="J733">
        <v>3</v>
      </c>
      <c r="K733" t="s">
        <v>956</v>
      </c>
      <c r="L733">
        <v>950000</v>
      </c>
      <c r="M733">
        <v>2.15</v>
      </c>
      <c r="N733">
        <v>57.474228207684817</v>
      </c>
      <c r="O733" t="s">
        <v>592</v>
      </c>
      <c r="P733" t="s">
        <v>621</v>
      </c>
      <c r="Q733" t="s">
        <v>586</v>
      </c>
      <c r="R733">
        <v>200000</v>
      </c>
      <c r="S733" t="s">
        <v>594</v>
      </c>
      <c r="T733">
        <v>81</v>
      </c>
    </row>
    <row r="734" spans="1:20" x14ac:dyDescent="0.25">
      <c r="A734" t="s">
        <v>1836</v>
      </c>
      <c r="B734" t="s">
        <v>254</v>
      </c>
      <c r="C734" t="s">
        <v>607</v>
      </c>
      <c r="D734" t="s">
        <v>608</v>
      </c>
      <c r="E734" t="s">
        <v>1321</v>
      </c>
      <c r="F734">
        <v>8.04742733213792E-2</v>
      </c>
      <c r="G734">
        <v>33.063002739726024</v>
      </c>
      <c r="H734" t="s">
        <v>610</v>
      </c>
      <c r="I734" t="s">
        <v>611</v>
      </c>
      <c r="J734">
        <v>2</v>
      </c>
      <c r="K734" t="s">
        <v>950</v>
      </c>
      <c r="L734">
        <v>250000</v>
      </c>
      <c r="M734">
        <v>1.75</v>
      </c>
      <c r="N734">
        <v>33.063002739726024</v>
      </c>
      <c r="O734" t="s">
        <v>592</v>
      </c>
      <c r="P734" t="s">
        <v>613</v>
      </c>
      <c r="Q734" t="s">
        <v>586</v>
      </c>
      <c r="R734" t="s">
        <v>712</v>
      </c>
      <c r="S734" t="s">
        <v>594</v>
      </c>
      <c r="T734">
        <v>98</v>
      </c>
    </row>
    <row r="735" spans="1:20" x14ac:dyDescent="0.25">
      <c r="A735" t="s">
        <v>1837</v>
      </c>
      <c r="B735" t="s">
        <v>255</v>
      </c>
      <c r="C735" t="s">
        <v>607</v>
      </c>
      <c r="D735" t="s">
        <v>608</v>
      </c>
      <c r="E735" t="s">
        <v>980</v>
      </c>
      <c r="F735">
        <v>0.57201988536937687</v>
      </c>
      <c r="G735">
        <v>57.912911263959963</v>
      </c>
      <c r="H735" t="s">
        <v>1143</v>
      </c>
      <c r="I735" t="s">
        <v>611</v>
      </c>
      <c r="J735">
        <v>2</v>
      </c>
      <c r="K735" t="s">
        <v>744</v>
      </c>
      <c r="L735">
        <v>215000</v>
      </c>
      <c r="M735">
        <v>1.79</v>
      </c>
      <c r="N735">
        <v>57.912911263959963</v>
      </c>
      <c r="O735" t="s">
        <v>592</v>
      </c>
      <c r="P735" t="s">
        <v>621</v>
      </c>
      <c r="Q735" t="s">
        <v>586</v>
      </c>
      <c r="R735" t="s">
        <v>712</v>
      </c>
      <c r="S735" t="s">
        <v>878</v>
      </c>
      <c r="T735">
        <v>90</v>
      </c>
    </row>
    <row r="736" spans="1:20" x14ac:dyDescent="0.25">
      <c r="A736" t="s">
        <v>1838</v>
      </c>
      <c r="B736" t="s">
        <v>256</v>
      </c>
      <c r="C736" t="s">
        <v>586</v>
      </c>
      <c r="D736" t="s">
        <v>608</v>
      </c>
      <c r="E736" t="s">
        <v>980</v>
      </c>
      <c r="F736">
        <v>1.985277408980713</v>
      </c>
      <c r="G736">
        <v>109.25056011953096</v>
      </c>
      <c r="H736" t="s">
        <v>761</v>
      </c>
      <c r="I736" t="s">
        <v>1034</v>
      </c>
      <c r="J736">
        <v>3</v>
      </c>
      <c r="K736" t="s">
        <v>956</v>
      </c>
      <c r="L736">
        <v>65000</v>
      </c>
      <c r="M736">
        <v>2.6</v>
      </c>
      <c r="N736">
        <v>109.25056011953096</v>
      </c>
      <c r="O736" t="s">
        <v>592</v>
      </c>
      <c r="P736" t="s">
        <v>613</v>
      </c>
      <c r="Q736" t="s">
        <v>586</v>
      </c>
      <c r="R736" t="s">
        <v>712</v>
      </c>
      <c r="S736" t="s">
        <v>712</v>
      </c>
      <c r="T736">
        <v>65</v>
      </c>
    </row>
    <row r="737" spans="1:20" x14ac:dyDescent="0.25">
      <c r="A737" t="s">
        <v>1839</v>
      </c>
      <c r="B737" t="s">
        <v>257</v>
      </c>
      <c r="C737" t="s">
        <v>586</v>
      </c>
      <c r="D737" t="s">
        <v>608</v>
      </c>
      <c r="E737" t="s">
        <v>1321</v>
      </c>
      <c r="F737">
        <v>8.0460762196249536E-2</v>
      </c>
      <c r="G737">
        <v>104.28069814340736</v>
      </c>
      <c r="H737" t="s">
        <v>1143</v>
      </c>
      <c r="I737" t="s">
        <v>1591</v>
      </c>
      <c r="J737">
        <v>2.2999999999999998</v>
      </c>
      <c r="K737" t="s">
        <v>950</v>
      </c>
      <c r="L737">
        <v>150000</v>
      </c>
      <c r="M737">
        <v>2.2000000000000002</v>
      </c>
      <c r="N737">
        <v>104.28069814340736</v>
      </c>
      <c r="O737" t="s">
        <v>592</v>
      </c>
      <c r="P737" t="s">
        <v>613</v>
      </c>
      <c r="Q737" t="s">
        <v>586</v>
      </c>
      <c r="R737" t="s">
        <v>712</v>
      </c>
      <c r="S737" t="s">
        <v>712</v>
      </c>
      <c r="T737">
        <v>83</v>
      </c>
    </row>
    <row r="738" spans="1:20" x14ac:dyDescent="0.25">
      <c r="A738" t="s">
        <v>1840</v>
      </c>
      <c r="B738" t="s">
        <v>257</v>
      </c>
      <c r="C738" t="s">
        <v>586</v>
      </c>
      <c r="D738" t="s">
        <v>608</v>
      </c>
      <c r="E738" t="s">
        <v>1321</v>
      </c>
      <c r="F738">
        <v>2.9046694100601536</v>
      </c>
      <c r="G738">
        <v>114.12662783455841</v>
      </c>
      <c r="H738" t="s">
        <v>1143</v>
      </c>
      <c r="I738" t="s">
        <v>1591</v>
      </c>
      <c r="J738">
        <v>2.8</v>
      </c>
      <c r="K738" t="s">
        <v>1334</v>
      </c>
      <c r="L738">
        <v>170000</v>
      </c>
      <c r="M738">
        <v>2.75</v>
      </c>
      <c r="N738">
        <v>114.12662783455841</v>
      </c>
      <c r="O738" t="s">
        <v>592</v>
      </c>
      <c r="P738" t="s">
        <v>613</v>
      </c>
      <c r="Q738" t="s">
        <v>586</v>
      </c>
      <c r="R738" t="s">
        <v>712</v>
      </c>
      <c r="S738" t="s">
        <v>712</v>
      </c>
      <c r="T738">
        <v>38</v>
      </c>
    </row>
    <row r="739" spans="1:20" x14ac:dyDescent="0.25">
      <c r="A739" t="s">
        <v>1841</v>
      </c>
      <c r="B739" t="s">
        <v>258</v>
      </c>
      <c r="C739" t="s">
        <v>586</v>
      </c>
      <c r="D739" t="s">
        <v>608</v>
      </c>
      <c r="E739" t="s">
        <v>980</v>
      </c>
      <c r="F739">
        <v>1.0574241272508882</v>
      </c>
      <c r="G739">
        <v>34.779707335623122</v>
      </c>
      <c r="H739" t="s">
        <v>720</v>
      </c>
      <c r="I739" t="s">
        <v>721</v>
      </c>
      <c r="J739">
        <v>2</v>
      </c>
      <c r="K739" t="s">
        <v>612</v>
      </c>
      <c r="L739">
        <v>3200000</v>
      </c>
      <c r="M739">
        <v>1.95</v>
      </c>
      <c r="N739">
        <v>34.779707335623122</v>
      </c>
      <c r="O739" t="s">
        <v>592</v>
      </c>
      <c r="P739" t="s">
        <v>621</v>
      </c>
      <c r="Q739" t="s">
        <v>586</v>
      </c>
      <c r="R739" t="s">
        <v>712</v>
      </c>
      <c r="S739" t="s">
        <v>712</v>
      </c>
      <c r="T739">
        <v>77</v>
      </c>
    </row>
    <row r="740" spans="1:20" x14ac:dyDescent="0.25">
      <c r="A740" t="s">
        <v>1842</v>
      </c>
      <c r="B740" t="s">
        <v>259</v>
      </c>
      <c r="C740" t="s">
        <v>586</v>
      </c>
      <c r="D740" t="s">
        <v>1251</v>
      </c>
      <c r="E740" t="s">
        <v>1820</v>
      </c>
      <c r="F740">
        <v>0.57005948676560914</v>
      </c>
      <c r="G740">
        <v>21.935884791678607</v>
      </c>
      <c r="H740" t="s">
        <v>639</v>
      </c>
      <c r="I740" t="s">
        <v>1137</v>
      </c>
      <c r="J740">
        <v>3</v>
      </c>
      <c r="K740" t="s">
        <v>744</v>
      </c>
      <c r="L740">
        <v>430000</v>
      </c>
      <c r="M740">
        <v>1.97</v>
      </c>
      <c r="N740">
        <v>21.935884791678607</v>
      </c>
      <c r="O740" t="s">
        <v>592</v>
      </c>
      <c r="P740" t="s">
        <v>593</v>
      </c>
      <c r="Q740" t="s">
        <v>586</v>
      </c>
      <c r="R740" t="s">
        <v>712</v>
      </c>
      <c r="S740" t="s">
        <v>712</v>
      </c>
      <c r="T740">
        <v>88</v>
      </c>
    </row>
    <row r="741" spans="1:20" x14ac:dyDescent="0.25">
      <c r="A741" t="s">
        <v>1843</v>
      </c>
      <c r="B741" t="s">
        <v>259</v>
      </c>
      <c r="C741" t="s">
        <v>586</v>
      </c>
      <c r="D741" t="s">
        <v>1251</v>
      </c>
      <c r="E741" t="s">
        <v>1820</v>
      </c>
      <c r="F741">
        <v>1.5248864397764028</v>
      </c>
      <c r="G741">
        <v>29.320116160446563</v>
      </c>
      <c r="H741" t="s">
        <v>639</v>
      </c>
      <c r="I741" t="s">
        <v>1137</v>
      </c>
      <c r="J741">
        <v>3</v>
      </c>
      <c r="K741" t="s">
        <v>634</v>
      </c>
      <c r="L741">
        <v>445000</v>
      </c>
      <c r="M741">
        <v>2.2000000000000002</v>
      </c>
      <c r="N741">
        <v>29.320116160446563</v>
      </c>
      <c r="O741" t="s">
        <v>592</v>
      </c>
      <c r="P741" t="s">
        <v>593</v>
      </c>
      <c r="Q741" t="s">
        <v>586</v>
      </c>
      <c r="R741">
        <v>50000</v>
      </c>
      <c r="S741" t="s">
        <v>712</v>
      </c>
      <c r="T741">
        <v>78</v>
      </c>
    </row>
    <row r="742" spans="1:20" x14ac:dyDescent="0.25">
      <c r="A742" t="s">
        <v>1844</v>
      </c>
      <c r="B742" t="s">
        <v>94</v>
      </c>
      <c r="C742" t="s">
        <v>586</v>
      </c>
      <c r="D742" t="s">
        <v>608</v>
      </c>
      <c r="E742" t="s">
        <v>977</v>
      </c>
      <c r="F742">
        <v>3.609906037366882E-2</v>
      </c>
      <c r="G742">
        <v>6.5819287671232907</v>
      </c>
      <c r="H742" t="s">
        <v>757</v>
      </c>
      <c r="I742" t="s">
        <v>611</v>
      </c>
      <c r="J742">
        <v>5</v>
      </c>
      <c r="K742" t="s">
        <v>1008</v>
      </c>
      <c r="L742">
        <v>785000</v>
      </c>
      <c r="M742">
        <v>1.48</v>
      </c>
      <c r="N742">
        <v>6.5819287671232907</v>
      </c>
      <c r="O742" t="s">
        <v>592</v>
      </c>
      <c r="P742" t="s">
        <v>621</v>
      </c>
      <c r="Q742" t="s">
        <v>586</v>
      </c>
      <c r="R742" t="s">
        <v>712</v>
      </c>
      <c r="S742" t="s">
        <v>712</v>
      </c>
      <c r="T742">
        <v>92</v>
      </c>
    </row>
    <row r="743" spans="1:20" x14ac:dyDescent="0.25">
      <c r="A743" t="s">
        <v>1845</v>
      </c>
      <c r="B743" t="s">
        <v>94</v>
      </c>
      <c r="C743" t="s">
        <v>586</v>
      </c>
      <c r="D743" t="s">
        <v>608</v>
      </c>
      <c r="E743" t="s">
        <v>977</v>
      </c>
      <c r="F743">
        <v>0.99331057730394035</v>
      </c>
      <c r="G743">
        <v>9.5891561643835601</v>
      </c>
      <c r="H743" t="s">
        <v>757</v>
      </c>
      <c r="I743" t="s">
        <v>611</v>
      </c>
      <c r="J743">
        <v>5</v>
      </c>
      <c r="K743" t="s">
        <v>920</v>
      </c>
      <c r="L743">
        <v>830000</v>
      </c>
      <c r="M743">
        <v>1.62</v>
      </c>
      <c r="N743">
        <v>9.5891561643835601</v>
      </c>
      <c r="O743" t="s">
        <v>592</v>
      </c>
      <c r="P743" t="s">
        <v>621</v>
      </c>
      <c r="Q743" t="s">
        <v>586</v>
      </c>
      <c r="R743">
        <v>3320000</v>
      </c>
      <c r="S743" t="s">
        <v>712</v>
      </c>
      <c r="T743">
        <v>90</v>
      </c>
    </row>
    <row r="744" spans="1:20" x14ac:dyDescent="0.25">
      <c r="A744" t="s">
        <v>1846</v>
      </c>
      <c r="B744" t="s">
        <v>94</v>
      </c>
      <c r="C744" t="s">
        <v>586</v>
      </c>
      <c r="D744" t="s">
        <v>608</v>
      </c>
      <c r="E744" t="s">
        <v>977</v>
      </c>
      <c r="F744">
        <v>1.9056311177942953</v>
      </c>
      <c r="G744">
        <v>10.516438356164382</v>
      </c>
      <c r="H744" t="s">
        <v>757</v>
      </c>
      <c r="I744" t="s">
        <v>611</v>
      </c>
      <c r="J744">
        <v>5</v>
      </c>
      <c r="K744" t="s">
        <v>898</v>
      </c>
      <c r="L744">
        <v>865000</v>
      </c>
      <c r="M744">
        <v>1.74</v>
      </c>
      <c r="N744">
        <v>10.516438356164382</v>
      </c>
      <c r="O744" t="s">
        <v>592</v>
      </c>
      <c r="P744" t="s">
        <v>621</v>
      </c>
      <c r="Q744" t="s">
        <v>586</v>
      </c>
      <c r="R744">
        <v>50000</v>
      </c>
      <c r="S744" t="s">
        <v>712</v>
      </c>
      <c r="T744">
        <v>83</v>
      </c>
    </row>
    <row r="745" spans="1:20" x14ac:dyDescent="0.25">
      <c r="A745" t="s">
        <v>1847</v>
      </c>
      <c r="B745" t="s">
        <v>94</v>
      </c>
      <c r="C745" t="s">
        <v>586</v>
      </c>
      <c r="D745" t="s">
        <v>608</v>
      </c>
      <c r="E745" t="s">
        <v>977</v>
      </c>
      <c r="F745">
        <v>3.6150036176422931</v>
      </c>
      <c r="G745">
        <v>15.422109589041089</v>
      </c>
      <c r="H745" t="s">
        <v>757</v>
      </c>
      <c r="I745" t="s">
        <v>611</v>
      </c>
      <c r="J745">
        <v>5</v>
      </c>
      <c r="K745" t="s">
        <v>1046</v>
      </c>
      <c r="L745">
        <v>955000</v>
      </c>
      <c r="M745">
        <v>2</v>
      </c>
      <c r="N745">
        <v>15.422109589041089</v>
      </c>
      <c r="O745" t="s">
        <v>592</v>
      </c>
      <c r="P745" t="s">
        <v>621</v>
      </c>
      <c r="Q745" t="s">
        <v>586</v>
      </c>
      <c r="R745" t="s">
        <v>712</v>
      </c>
      <c r="S745" t="s">
        <v>712</v>
      </c>
      <c r="T745">
        <v>68</v>
      </c>
    </row>
    <row r="746" spans="1:20" x14ac:dyDescent="0.25">
      <c r="A746" t="s">
        <v>1848</v>
      </c>
      <c r="B746" t="s">
        <v>262</v>
      </c>
      <c r="C746" t="s">
        <v>586</v>
      </c>
      <c r="D746" t="s">
        <v>1124</v>
      </c>
      <c r="E746" t="s">
        <v>1849</v>
      </c>
      <c r="F746">
        <v>0.65481528965661184</v>
      </c>
      <c r="G746">
        <v>8.4609186242560419</v>
      </c>
      <c r="H746" t="s">
        <v>660</v>
      </c>
      <c r="I746" t="s">
        <v>611</v>
      </c>
      <c r="J746">
        <v>2</v>
      </c>
      <c r="K746" t="s">
        <v>787</v>
      </c>
      <c r="L746">
        <v>200000</v>
      </c>
      <c r="M746">
        <v>1.35</v>
      </c>
      <c r="N746">
        <v>8.4609186242560419</v>
      </c>
      <c r="O746" t="s">
        <v>592</v>
      </c>
      <c r="P746" t="s">
        <v>711</v>
      </c>
      <c r="Q746" t="s">
        <v>586</v>
      </c>
      <c r="R746" t="s">
        <v>712</v>
      </c>
      <c r="S746" t="s">
        <v>712</v>
      </c>
      <c r="T746">
        <v>86</v>
      </c>
    </row>
    <row r="747" spans="1:20" x14ac:dyDescent="0.25">
      <c r="A747" t="s">
        <v>1850</v>
      </c>
      <c r="B747" t="s">
        <v>262</v>
      </c>
      <c r="C747" t="s">
        <v>586</v>
      </c>
      <c r="D747" t="s">
        <v>1124</v>
      </c>
      <c r="E747" t="s">
        <v>1849</v>
      </c>
      <c r="F747">
        <v>1.6206229670085697</v>
      </c>
      <c r="G747">
        <v>8.7887230936710239</v>
      </c>
      <c r="H747" t="s">
        <v>660</v>
      </c>
      <c r="I747" t="s">
        <v>611</v>
      </c>
      <c r="J747">
        <v>2</v>
      </c>
      <c r="K747" t="s">
        <v>905</v>
      </c>
      <c r="L747">
        <v>205000</v>
      </c>
      <c r="M747">
        <v>1.5</v>
      </c>
      <c r="N747">
        <v>8.7887230936710239</v>
      </c>
      <c r="O747" t="s">
        <v>592</v>
      </c>
      <c r="P747" t="s">
        <v>711</v>
      </c>
      <c r="Q747" t="s">
        <v>586</v>
      </c>
      <c r="R747" t="s">
        <v>712</v>
      </c>
      <c r="S747" t="s">
        <v>712</v>
      </c>
      <c r="T747">
        <v>73</v>
      </c>
    </row>
    <row r="748" spans="1:20" x14ac:dyDescent="0.25">
      <c r="A748" t="s">
        <v>1851</v>
      </c>
      <c r="B748" t="s">
        <v>262</v>
      </c>
      <c r="C748" t="s">
        <v>586</v>
      </c>
      <c r="D748" t="s">
        <v>1124</v>
      </c>
      <c r="E748" t="s">
        <v>1849</v>
      </c>
      <c r="F748">
        <v>2.5672890508869228</v>
      </c>
      <c r="G748">
        <v>8.9284656959022648</v>
      </c>
      <c r="H748" t="s">
        <v>660</v>
      </c>
      <c r="I748" t="s">
        <v>611</v>
      </c>
      <c r="J748">
        <v>2</v>
      </c>
      <c r="K748" t="s">
        <v>734</v>
      </c>
      <c r="L748">
        <v>205000</v>
      </c>
      <c r="M748">
        <v>1.6500000000000001</v>
      </c>
      <c r="N748">
        <v>8.9284656959022648</v>
      </c>
      <c r="O748" t="s">
        <v>592</v>
      </c>
      <c r="P748" t="s">
        <v>711</v>
      </c>
      <c r="Q748" t="s">
        <v>586</v>
      </c>
      <c r="R748" t="s">
        <v>712</v>
      </c>
      <c r="S748" t="s">
        <v>712</v>
      </c>
      <c r="T748">
        <v>62</v>
      </c>
    </row>
    <row r="749" spans="1:20" x14ac:dyDescent="0.25">
      <c r="A749" t="s">
        <v>1852</v>
      </c>
      <c r="B749" t="s">
        <v>262</v>
      </c>
      <c r="C749" t="s">
        <v>586</v>
      </c>
      <c r="D749" t="s">
        <v>1124</v>
      </c>
      <c r="E749" t="s">
        <v>1849</v>
      </c>
      <c r="F749">
        <v>3.4949684733889446</v>
      </c>
      <c r="G749">
        <v>14.930269127405316</v>
      </c>
      <c r="H749" t="s">
        <v>660</v>
      </c>
      <c r="I749" t="s">
        <v>611</v>
      </c>
      <c r="J749">
        <v>2</v>
      </c>
      <c r="K749" t="s">
        <v>838</v>
      </c>
      <c r="L749">
        <v>210000</v>
      </c>
      <c r="M749">
        <v>1.85</v>
      </c>
      <c r="N749">
        <v>14.930269127405316</v>
      </c>
      <c r="O749" t="s">
        <v>592</v>
      </c>
      <c r="P749" t="s">
        <v>711</v>
      </c>
      <c r="Q749" t="s">
        <v>586</v>
      </c>
      <c r="R749" t="s">
        <v>712</v>
      </c>
      <c r="S749" t="s">
        <v>712</v>
      </c>
      <c r="T749">
        <v>54</v>
      </c>
    </row>
    <row r="750" spans="1:20" x14ac:dyDescent="0.25">
      <c r="A750" t="s">
        <v>1853</v>
      </c>
      <c r="B750" t="s">
        <v>263</v>
      </c>
      <c r="C750" t="s">
        <v>586</v>
      </c>
      <c r="D750" t="s">
        <v>608</v>
      </c>
      <c r="E750" t="s">
        <v>1854</v>
      </c>
      <c r="F750">
        <v>0.5698688525631781</v>
      </c>
      <c r="G750">
        <v>19.69524735669992</v>
      </c>
      <c r="H750" t="s">
        <v>1480</v>
      </c>
      <c r="I750" t="s">
        <v>885</v>
      </c>
      <c r="J750">
        <v>3</v>
      </c>
      <c r="K750" t="s">
        <v>744</v>
      </c>
      <c r="L750">
        <v>430000</v>
      </c>
      <c r="M750">
        <v>1.59</v>
      </c>
      <c r="N750">
        <v>19.69524735669992</v>
      </c>
      <c r="O750" t="s">
        <v>592</v>
      </c>
      <c r="P750" t="s">
        <v>621</v>
      </c>
      <c r="Q750" t="s">
        <v>586</v>
      </c>
      <c r="R750" t="s">
        <v>712</v>
      </c>
      <c r="S750" t="s">
        <v>594</v>
      </c>
      <c r="T750">
        <v>93</v>
      </c>
    </row>
    <row r="751" spans="1:20" x14ac:dyDescent="0.25">
      <c r="A751" t="s">
        <v>1855</v>
      </c>
      <c r="B751" t="s">
        <v>263</v>
      </c>
      <c r="C751" t="s">
        <v>586</v>
      </c>
      <c r="D751" t="s">
        <v>608</v>
      </c>
      <c r="E751" t="s">
        <v>1854</v>
      </c>
      <c r="F751">
        <v>1.5110378703871821</v>
      </c>
      <c r="G751">
        <v>20.145762150676582</v>
      </c>
      <c r="H751" t="s">
        <v>1480</v>
      </c>
      <c r="I751" t="s">
        <v>885</v>
      </c>
      <c r="J751">
        <v>4</v>
      </c>
      <c r="K751" t="s">
        <v>634</v>
      </c>
      <c r="L751">
        <v>440000</v>
      </c>
      <c r="M751">
        <v>1.74</v>
      </c>
      <c r="N751">
        <v>20.145762150676582</v>
      </c>
      <c r="O751" t="s">
        <v>592</v>
      </c>
      <c r="P751" t="s">
        <v>621</v>
      </c>
      <c r="Q751" t="s">
        <v>586</v>
      </c>
      <c r="R751">
        <v>150000</v>
      </c>
      <c r="S751" t="s">
        <v>594</v>
      </c>
      <c r="T751">
        <v>84</v>
      </c>
    </row>
    <row r="752" spans="1:20" x14ac:dyDescent="0.25">
      <c r="A752" t="s">
        <v>1856</v>
      </c>
      <c r="B752" t="s">
        <v>263</v>
      </c>
      <c r="C752" t="s">
        <v>586</v>
      </c>
      <c r="D752" t="s">
        <v>608</v>
      </c>
      <c r="E752" t="s">
        <v>1854</v>
      </c>
      <c r="F752">
        <v>2.4137689533816378</v>
      </c>
      <c r="G752">
        <v>21.384376853807495</v>
      </c>
      <c r="H752" t="s">
        <v>1480</v>
      </c>
      <c r="I752" t="s">
        <v>885</v>
      </c>
      <c r="J752">
        <v>4</v>
      </c>
      <c r="K752" t="s">
        <v>959</v>
      </c>
      <c r="L752">
        <v>455000</v>
      </c>
      <c r="M752">
        <v>1.9000000000000001</v>
      </c>
      <c r="N752">
        <v>21.384376853807495</v>
      </c>
      <c r="O752" t="s">
        <v>592</v>
      </c>
      <c r="P752" t="s">
        <v>621</v>
      </c>
      <c r="Q752" t="s">
        <v>586</v>
      </c>
      <c r="R752">
        <v>20000</v>
      </c>
      <c r="S752" t="s">
        <v>594</v>
      </c>
      <c r="T752">
        <v>74</v>
      </c>
    </row>
    <row r="753" spans="1:20" x14ac:dyDescent="0.25">
      <c r="A753" t="s">
        <v>1857</v>
      </c>
      <c r="B753" t="s">
        <v>263</v>
      </c>
      <c r="C753" t="s">
        <v>586</v>
      </c>
      <c r="D753" t="s">
        <v>608</v>
      </c>
      <c r="E753" t="s">
        <v>1854</v>
      </c>
      <c r="F753">
        <v>3.2952350851700634</v>
      </c>
      <c r="G753">
        <v>25.38552205789739</v>
      </c>
      <c r="H753" t="s">
        <v>1480</v>
      </c>
      <c r="I753" t="s">
        <v>885</v>
      </c>
      <c r="J753">
        <v>4</v>
      </c>
      <c r="K753" t="s">
        <v>1038</v>
      </c>
      <c r="L753">
        <v>480000</v>
      </c>
      <c r="M753">
        <v>2.08</v>
      </c>
      <c r="N753">
        <v>25.38552205789739</v>
      </c>
      <c r="O753" t="s">
        <v>592</v>
      </c>
      <c r="P753" t="s">
        <v>621</v>
      </c>
      <c r="Q753" t="s">
        <v>586</v>
      </c>
      <c r="R753" t="s">
        <v>712</v>
      </c>
      <c r="S753" t="s">
        <v>594</v>
      </c>
      <c r="T753">
        <v>65</v>
      </c>
    </row>
    <row r="754" spans="1:20" x14ac:dyDescent="0.25">
      <c r="A754" t="s">
        <v>1858</v>
      </c>
      <c r="B754" t="s">
        <v>263</v>
      </c>
      <c r="C754" t="s">
        <v>586</v>
      </c>
      <c r="D754" t="s">
        <v>608</v>
      </c>
      <c r="E754" t="s">
        <v>1854</v>
      </c>
      <c r="F754">
        <v>4.1396753065461933</v>
      </c>
      <c r="G754">
        <v>33.661889069979289</v>
      </c>
      <c r="H754" t="s">
        <v>1480</v>
      </c>
      <c r="I754" t="s">
        <v>885</v>
      </c>
      <c r="J754">
        <v>4</v>
      </c>
      <c r="K754" t="s">
        <v>1133</v>
      </c>
      <c r="L754">
        <v>500000</v>
      </c>
      <c r="M754">
        <v>2.2800000000000002</v>
      </c>
      <c r="N754">
        <v>33.661889069979289</v>
      </c>
      <c r="O754" t="s">
        <v>592</v>
      </c>
      <c r="P754" t="s">
        <v>621</v>
      </c>
      <c r="Q754" t="s">
        <v>586</v>
      </c>
      <c r="R754" t="s">
        <v>712</v>
      </c>
      <c r="S754" t="s">
        <v>594</v>
      </c>
      <c r="T754">
        <v>57</v>
      </c>
    </row>
    <row r="755" spans="1:20" x14ac:dyDescent="0.25">
      <c r="A755" t="s">
        <v>1859</v>
      </c>
      <c r="B755" t="s">
        <v>92</v>
      </c>
      <c r="C755" t="s">
        <v>586</v>
      </c>
      <c r="D755" t="s">
        <v>894</v>
      </c>
      <c r="E755" t="s">
        <v>967</v>
      </c>
      <c r="F755">
        <v>0.24672198786459434</v>
      </c>
      <c r="G755">
        <v>38.927832973346455</v>
      </c>
      <c r="H755" t="s">
        <v>968</v>
      </c>
      <c r="I755" t="s">
        <v>661</v>
      </c>
      <c r="J755">
        <v>4</v>
      </c>
      <c r="K755" t="s">
        <v>694</v>
      </c>
      <c r="L755">
        <v>130000</v>
      </c>
      <c r="M755">
        <v>1.7000000000000002</v>
      </c>
      <c r="N755">
        <v>38.927832973346455</v>
      </c>
      <c r="O755" t="s">
        <v>592</v>
      </c>
      <c r="P755" t="s">
        <v>593</v>
      </c>
      <c r="Q755" t="s">
        <v>586</v>
      </c>
      <c r="R755" t="s">
        <v>712</v>
      </c>
      <c r="S755" t="s">
        <v>712</v>
      </c>
      <c r="T755">
        <v>94</v>
      </c>
    </row>
    <row r="756" spans="1:20" x14ac:dyDescent="0.25">
      <c r="A756" t="s">
        <v>1860</v>
      </c>
      <c r="B756" t="s">
        <v>92</v>
      </c>
      <c r="C756" t="s">
        <v>586</v>
      </c>
      <c r="D756" t="s">
        <v>894</v>
      </c>
      <c r="E756" t="s">
        <v>967</v>
      </c>
      <c r="F756">
        <v>1.2098176884254994</v>
      </c>
      <c r="G756">
        <v>41.958266296503787</v>
      </c>
      <c r="H756" t="s">
        <v>968</v>
      </c>
      <c r="I756" t="s">
        <v>661</v>
      </c>
      <c r="J756">
        <v>4</v>
      </c>
      <c r="K756" t="s">
        <v>764</v>
      </c>
      <c r="L756">
        <v>135000</v>
      </c>
      <c r="M756">
        <v>1.8900000000000001</v>
      </c>
      <c r="N756">
        <v>41.958266296503787</v>
      </c>
      <c r="O756" t="s">
        <v>592</v>
      </c>
      <c r="P756" t="s">
        <v>593</v>
      </c>
      <c r="Q756" t="s">
        <v>586</v>
      </c>
      <c r="R756">
        <v>85000</v>
      </c>
      <c r="S756" t="s">
        <v>712</v>
      </c>
      <c r="T756">
        <v>78</v>
      </c>
    </row>
    <row r="757" spans="1:20" x14ac:dyDescent="0.25">
      <c r="A757" t="s">
        <v>1861</v>
      </c>
      <c r="B757" t="s">
        <v>92</v>
      </c>
      <c r="C757" t="s">
        <v>586</v>
      </c>
      <c r="D757" t="s">
        <v>894</v>
      </c>
      <c r="E757" t="s">
        <v>967</v>
      </c>
      <c r="F757">
        <v>2.9896638304112808</v>
      </c>
      <c r="G757">
        <v>44.711359359165655</v>
      </c>
      <c r="H757" t="s">
        <v>968</v>
      </c>
      <c r="I757" t="s">
        <v>661</v>
      </c>
      <c r="J757">
        <v>5</v>
      </c>
      <c r="K757" t="s">
        <v>591</v>
      </c>
      <c r="L757">
        <v>150000</v>
      </c>
      <c r="M757">
        <v>2.23</v>
      </c>
      <c r="N757">
        <v>44.711359359165655</v>
      </c>
      <c r="O757" t="s">
        <v>592</v>
      </c>
      <c r="P757" t="s">
        <v>593</v>
      </c>
      <c r="Q757" t="s">
        <v>586</v>
      </c>
      <c r="R757" t="s">
        <v>712</v>
      </c>
      <c r="S757" t="s">
        <v>712</v>
      </c>
      <c r="T757">
        <v>69</v>
      </c>
    </row>
    <row r="758" spans="1:20" x14ac:dyDescent="0.25">
      <c r="A758" t="s">
        <v>1862</v>
      </c>
      <c r="B758" t="s">
        <v>92</v>
      </c>
      <c r="C758" t="s">
        <v>586</v>
      </c>
      <c r="D758" t="s">
        <v>894</v>
      </c>
      <c r="E758" t="s">
        <v>967</v>
      </c>
      <c r="F758">
        <v>3.8269669627385343</v>
      </c>
      <c r="G758">
        <v>46.648314623595198</v>
      </c>
      <c r="H758" t="s">
        <v>968</v>
      </c>
      <c r="I758" t="s">
        <v>661</v>
      </c>
      <c r="J758">
        <v>5</v>
      </c>
      <c r="K758" t="s">
        <v>725</v>
      </c>
      <c r="L758">
        <v>155000</v>
      </c>
      <c r="M758">
        <v>2.38</v>
      </c>
      <c r="N758">
        <v>46.648314623595198</v>
      </c>
      <c r="O758" t="s">
        <v>592</v>
      </c>
      <c r="P758" t="s">
        <v>593</v>
      </c>
      <c r="Q758" t="s">
        <v>586</v>
      </c>
      <c r="R758" t="s">
        <v>712</v>
      </c>
      <c r="S758" t="s">
        <v>712</v>
      </c>
      <c r="T758">
        <v>63</v>
      </c>
    </row>
    <row r="759" spans="1:20" x14ac:dyDescent="0.25">
      <c r="A759" t="s">
        <v>1863</v>
      </c>
      <c r="B759" t="s">
        <v>264</v>
      </c>
      <c r="C759" t="s">
        <v>586</v>
      </c>
      <c r="D759" t="s">
        <v>795</v>
      </c>
      <c r="E759" t="s">
        <v>1864</v>
      </c>
      <c r="F759">
        <v>0.16359489858916088</v>
      </c>
      <c r="G759">
        <v>34.525972602739728</v>
      </c>
      <c r="H759" t="s">
        <v>644</v>
      </c>
      <c r="I759" t="s">
        <v>885</v>
      </c>
      <c r="J759">
        <v>2</v>
      </c>
      <c r="K759" t="s">
        <v>749</v>
      </c>
      <c r="L759">
        <v>145000</v>
      </c>
      <c r="M759">
        <v>2</v>
      </c>
      <c r="N759">
        <v>34.525972602739728</v>
      </c>
      <c r="O759" t="s">
        <v>592</v>
      </c>
      <c r="P759" t="s">
        <v>711</v>
      </c>
      <c r="Q759" t="s">
        <v>586</v>
      </c>
      <c r="R759" t="s">
        <v>712</v>
      </c>
      <c r="S759" t="s">
        <v>712</v>
      </c>
      <c r="T759">
        <v>94</v>
      </c>
    </row>
    <row r="760" spans="1:20" x14ac:dyDescent="0.25">
      <c r="A760" t="s">
        <v>1865</v>
      </c>
      <c r="B760" t="s">
        <v>264</v>
      </c>
      <c r="C760" t="s">
        <v>586</v>
      </c>
      <c r="D760" t="s">
        <v>795</v>
      </c>
      <c r="E760" t="s">
        <v>1864</v>
      </c>
      <c r="F760">
        <v>1.1390044584816366</v>
      </c>
      <c r="G760">
        <v>29.044315068493141</v>
      </c>
      <c r="H760" t="s">
        <v>644</v>
      </c>
      <c r="I760" t="s">
        <v>885</v>
      </c>
      <c r="J760">
        <v>2.0499999999999998</v>
      </c>
      <c r="K760" t="s">
        <v>598</v>
      </c>
      <c r="L760">
        <v>150000</v>
      </c>
      <c r="M760">
        <v>2.0499999999999998</v>
      </c>
      <c r="N760">
        <v>29.044315068493141</v>
      </c>
      <c r="O760" t="s">
        <v>592</v>
      </c>
      <c r="P760" t="s">
        <v>711</v>
      </c>
      <c r="Q760" t="s">
        <v>586</v>
      </c>
      <c r="R760" t="s">
        <v>712</v>
      </c>
      <c r="S760" t="s">
        <v>712</v>
      </c>
      <c r="T760">
        <v>76</v>
      </c>
    </row>
    <row r="761" spans="1:20" x14ac:dyDescent="0.25">
      <c r="A761" t="s">
        <v>1866</v>
      </c>
      <c r="B761" t="s">
        <v>71</v>
      </c>
      <c r="C761" t="s">
        <v>586</v>
      </c>
      <c r="D761" t="s">
        <v>731</v>
      </c>
      <c r="E761" t="s">
        <v>868</v>
      </c>
      <c r="F761">
        <v>0.36815221037400248</v>
      </c>
      <c r="G761">
        <v>8.9794260872411158E-2</v>
      </c>
      <c r="H761" t="s">
        <v>869</v>
      </c>
      <c r="I761" t="s">
        <v>870</v>
      </c>
      <c r="J761">
        <v>5</v>
      </c>
      <c r="K761" t="s">
        <v>1867</v>
      </c>
      <c r="L761">
        <v>700000</v>
      </c>
      <c r="M761">
        <v>1.28</v>
      </c>
      <c r="N761">
        <v>8.9794260872411158E-2</v>
      </c>
      <c r="O761" t="s">
        <v>592</v>
      </c>
      <c r="P761" t="s">
        <v>593</v>
      </c>
      <c r="Q761" t="s">
        <v>586</v>
      </c>
      <c r="R761" t="s">
        <v>712</v>
      </c>
      <c r="S761" t="s">
        <v>599</v>
      </c>
      <c r="T761">
        <v>95</v>
      </c>
    </row>
    <row r="762" spans="1:20" x14ac:dyDescent="0.25">
      <c r="A762" t="s">
        <v>1868</v>
      </c>
      <c r="B762" t="s">
        <v>71</v>
      </c>
      <c r="C762" t="s">
        <v>586</v>
      </c>
      <c r="D762" t="s">
        <v>731</v>
      </c>
      <c r="E762" t="s">
        <v>868</v>
      </c>
      <c r="F762">
        <v>1.3241475372508109</v>
      </c>
      <c r="G762">
        <v>-4.1919691875595966</v>
      </c>
      <c r="H762" t="s">
        <v>869</v>
      </c>
      <c r="I762" t="s">
        <v>870</v>
      </c>
      <c r="J762">
        <v>5</v>
      </c>
      <c r="K762" t="s">
        <v>1869</v>
      </c>
      <c r="L762">
        <v>695000</v>
      </c>
      <c r="M762">
        <v>1.3800000000000001</v>
      </c>
      <c r="N762">
        <v>-4.1919691875595966</v>
      </c>
      <c r="O762" t="s">
        <v>592</v>
      </c>
      <c r="P762" t="s">
        <v>593</v>
      </c>
      <c r="Q762" t="s">
        <v>586</v>
      </c>
      <c r="R762">
        <v>75000</v>
      </c>
      <c r="S762" t="s">
        <v>599</v>
      </c>
      <c r="T762">
        <v>89</v>
      </c>
    </row>
    <row r="763" spans="1:20" x14ac:dyDescent="0.25">
      <c r="A763" t="s">
        <v>1870</v>
      </c>
      <c r="B763" t="s">
        <v>71</v>
      </c>
      <c r="C763" t="s">
        <v>586</v>
      </c>
      <c r="D763" t="s">
        <v>731</v>
      </c>
      <c r="E763" t="s">
        <v>868</v>
      </c>
      <c r="F763">
        <v>2.2374012755516519</v>
      </c>
      <c r="G763">
        <v>-6.7487855519139606</v>
      </c>
      <c r="H763" t="s">
        <v>869</v>
      </c>
      <c r="I763" t="s">
        <v>870</v>
      </c>
      <c r="J763">
        <v>5</v>
      </c>
      <c r="K763" t="s">
        <v>1871</v>
      </c>
      <c r="L763">
        <v>695000</v>
      </c>
      <c r="M763">
        <v>1.5</v>
      </c>
      <c r="N763">
        <v>-6.7487855519139606</v>
      </c>
      <c r="O763" t="s">
        <v>592</v>
      </c>
      <c r="P763" t="s">
        <v>593</v>
      </c>
      <c r="Q763" t="s">
        <v>586</v>
      </c>
      <c r="R763" t="s">
        <v>712</v>
      </c>
      <c r="S763" t="s">
        <v>599</v>
      </c>
      <c r="T763">
        <v>86</v>
      </c>
    </row>
    <row r="764" spans="1:20" x14ac:dyDescent="0.25">
      <c r="A764" t="s">
        <v>1872</v>
      </c>
      <c r="B764" t="s">
        <v>71</v>
      </c>
      <c r="C764" t="s">
        <v>586</v>
      </c>
      <c r="D764" t="s">
        <v>731</v>
      </c>
      <c r="E764" t="s">
        <v>868</v>
      </c>
      <c r="F764">
        <v>3.9511957780051281</v>
      </c>
      <c r="G764">
        <v>-4.8060262455598801</v>
      </c>
      <c r="H764" t="s">
        <v>869</v>
      </c>
      <c r="I764" t="s">
        <v>870</v>
      </c>
      <c r="J764">
        <v>5</v>
      </c>
      <c r="K764" t="s">
        <v>1873</v>
      </c>
      <c r="L764">
        <v>690000</v>
      </c>
      <c r="M764">
        <v>1.78</v>
      </c>
      <c r="N764">
        <v>-4.8060262455598801</v>
      </c>
      <c r="O764" t="s">
        <v>592</v>
      </c>
      <c r="P764" t="s">
        <v>593</v>
      </c>
      <c r="Q764" t="s">
        <v>586</v>
      </c>
      <c r="R764" t="s">
        <v>712</v>
      </c>
      <c r="S764" t="s">
        <v>599</v>
      </c>
      <c r="T764">
        <v>69</v>
      </c>
    </row>
    <row r="765" spans="1:20" x14ac:dyDescent="0.25">
      <c r="A765" t="s">
        <v>1874</v>
      </c>
      <c r="B765" t="s">
        <v>71</v>
      </c>
      <c r="C765" t="s">
        <v>586</v>
      </c>
      <c r="D765" t="s">
        <v>731</v>
      </c>
      <c r="E765" t="s">
        <v>868</v>
      </c>
      <c r="F765">
        <v>4.7567138128463</v>
      </c>
      <c r="G765">
        <v>-5.9414767775493926</v>
      </c>
      <c r="H765" t="s">
        <v>869</v>
      </c>
      <c r="I765" t="s">
        <v>870</v>
      </c>
      <c r="J765">
        <v>5</v>
      </c>
      <c r="K765" t="s">
        <v>1875</v>
      </c>
      <c r="L765">
        <v>685000</v>
      </c>
      <c r="M765">
        <v>1.8800000000000001</v>
      </c>
      <c r="N765">
        <v>-5.9414767775493926</v>
      </c>
      <c r="O765" t="s">
        <v>592</v>
      </c>
      <c r="P765" t="s">
        <v>593</v>
      </c>
      <c r="Q765" t="s">
        <v>586</v>
      </c>
      <c r="R765" t="s">
        <v>712</v>
      </c>
      <c r="S765" t="s">
        <v>599</v>
      </c>
      <c r="T765">
        <v>61</v>
      </c>
    </row>
    <row r="766" spans="1:20" x14ac:dyDescent="0.25">
      <c r="A766" t="s">
        <v>1876</v>
      </c>
      <c r="B766" t="s">
        <v>265</v>
      </c>
      <c r="C766" t="s">
        <v>586</v>
      </c>
      <c r="D766" t="s">
        <v>1124</v>
      </c>
      <c r="E766" t="s">
        <v>1877</v>
      </c>
      <c r="F766">
        <v>0.49482458823369996</v>
      </c>
      <c r="G766">
        <v>3.7594876712328862</v>
      </c>
      <c r="H766" t="s">
        <v>1274</v>
      </c>
      <c r="I766" t="s">
        <v>721</v>
      </c>
      <c r="J766">
        <v>5</v>
      </c>
      <c r="K766" t="s">
        <v>807</v>
      </c>
      <c r="L766">
        <v>430000</v>
      </c>
      <c r="M766">
        <v>1.52</v>
      </c>
      <c r="N766">
        <v>3.7594876712328862</v>
      </c>
      <c r="O766" t="s">
        <v>592</v>
      </c>
      <c r="P766" t="s">
        <v>593</v>
      </c>
      <c r="Q766" t="s">
        <v>586</v>
      </c>
      <c r="R766" t="s">
        <v>712</v>
      </c>
      <c r="S766" t="s">
        <v>712</v>
      </c>
      <c r="T766">
        <v>96</v>
      </c>
    </row>
    <row r="767" spans="1:20" x14ac:dyDescent="0.25">
      <c r="A767" t="s">
        <v>1878</v>
      </c>
      <c r="B767" t="s">
        <v>265</v>
      </c>
      <c r="C767" t="s">
        <v>586</v>
      </c>
      <c r="D767" t="s">
        <v>1124</v>
      </c>
      <c r="E767" t="s">
        <v>1877</v>
      </c>
      <c r="F767">
        <v>1.450767563844561</v>
      </c>
      <c r="G767">
        <v>5.0010027397260126</v>
      </c>
      <c r="H767" t="s">
        <v>1274</v>
      </c>
      <c r="I767" t="s">
        <v>721</v>
      </c>
      <c r="J767">
        <v>5</v>
      </c>
      <c r="K767" t="s">
        <v>780</v>
      </c>
      <c r="L767">
        <v>715000</v>
      </c>
      <c r="M767">
        <v>1.6500000000000001</v>
      </c>
      <c r="N767">
        <v>5.0010027397260126</v>
      </c>
      <c r="O767" t="s">
        <v>592</v>
      </c>
      <c r="P767" t="s">
        <v>593</v>
      </c>
      <c r="Q767" t="s">
        <v>586</v>
      </c>
      <c r="R767">
        <v>90000</v>
      </c>
      <c r="S767" t="s">
        <v>712</v>
      </c>
      <c r="T767">
        <v>87</v>
      </c>
    </row>
    <row r="768" spans="1:20" x14ac:dyDescent="0.25">
      <c r="A768" t="s">
        <v>1879</v>
      </c>
      <c r="B768" t="s">
        <v>265</v>
      </c>
      <c r="C768" t="s">
        <v>586</v>
      </c>
      <c r="D768" t="s">
        <v>1124</v>
      </c>
      <c r="E768" t="s">
        <v>1877</v>
      </c>
      <c r="F768">
        <v>2.3632919819637732</v>
      </c>
      <c r="G768">
        <v>5.9013479452054929</v>
      </c>
      <c r="H768" t="s">
        <v>1274</v>
      </c>
      <c r="I768" t="s">
        <v>721</v>
      </c>
      <c r="J768">
        <v>5</v>
      </c>
      <c r="K768" t="s">
        <v>1013</v>
      </c>
      <c r="L768">
        <v>750000</v>
      </c>
      <c r="M768">
        <v>1.78</v>
      </c>
      <c r="N768">
        <v>5.9013479452054929</v>
      </c>
      <c r="O768" t="s">
        <v>592</v>
      </c>
      <c r="P768" t="s">
        <v>593</v>
      </c>
      <c r="Q768" t="s">
        <v>586</v>
      </c>
      <c r="R768" t="s">
        <v>712</v>
      </c>
      <c r="S768" t="s">
        <v>712</v>
      </c>
      <c r="T768">
        <v>80</v>
      </c>
    </row>
    <row r="769" spans="1:20" x14ac:dyDescent="0.25">
      <c r="A769" t="s">
        <v>1880</v>
      </c>
      <c r="B769" t="s">
        <v>265</v>
      </c>
      <c r="C769" t="s">
        <v>586</v>
      </c>
      <c r="D769" t="s">
        <v>1124</v>
      </c>
      <c r="E769" t="s">
        <v>1877</v>
      </c>
      <c r="F769">
        <v>3.2365800258073474</v>
      </c>
      <c r="G769">
        <v>6.2022712328766882</v>
      </c>
      <c r="H769" t="s">
        <v>1274</v>
      </c>
      <c r="I769" t="s">
        <v>721</v>
      </c>
      <c r="J769">
        <v>5</v>
      </c>
      <c r="K769" t="s">
        <v>824</v>
      </c>
      <c r="L769">
        <v>795000</v>
      </c>
      <c r="M769">
        <v>1.9000000000000001</v>
      </c>
      <c r="N769">
        <v>6.2022712328766882</v>
      </c>
      <c r="O769" t="s">
        <v>592</v>
      </c>
      <c r="P769" t="s">
        <v>593</v>
      </c>
      <c r="Q769" t="s">
        <v>586</v>
      </c>
      <c r="R769">
        <v>70000</v>
      </c>
      <c r="S769" t="s">
        <v>712</v>
      </c>
      <c r="T769">
        <v>73</v>
      </c>
    </row>
    <row r="770" spans="1:20" x14ac:dyDescent="0.25">
      <c r="A770" t="s">
        <v>1881</v>
      </c>
      <c r="B770" t="s">
        <v>265</v>
      </c>
      <c r="C770" t="s">
        <v>586</v>
      </c>
      <c r="D770" t="s">
        <v>1124</v>
      </c>
      <c r="E770" t="s">
        <v>1877</v>
      </c>
      <c r="F770">
        <v>4.0734133444214455</v>
      </c>
      <c r="G770">
        <v>8.3738630136986245</v>
      </c>
      <c r="H770" t="s">
        <v>1274</v>
      </c>
      <c r="I770" t="s">
        <v>721</v>
      </c>
      <c r="J770">
        <v>5</v>
      </c>
      <c r="K770" t="s">
        <v>1319</v>
      </c>
      <c r="L770">
        <v>830000</v>
      </c>
      <c r="M770">
        <v>2.02</v>
      </c>
      <c r="N770">
        <v>8.3738630136986245</v>
      </c>
      <c r="O770" t="s">
        <v>592</v>
      </c>
      <c r="P770" t="s">
        <v>593</v>
      </c>
      <c r="Q770" t="s">
        <v>586</v>
      </c>
      <c r="R770" t="s">
        <v>712</v>
      </c>
      <c r="S770" t="s">
        <v>712</v>
      </c>
      <c r="T770">
        <v>66</v>
      </c>
    </row>
    <row r="771" spans="1:20" x14ac:dyDescent="0.25">
      <c r="A771" t="s">
        <v>1882</v>
      </c>
      <c r="B771" t="s">
        <v>266</v>
      </c>
      <c r="C771" t="s">
        <v>586</v>
      </c>
      <c r="D771" t="s">
        <v>830</v>
      </c>
      <c r="E771" t="s">
        <v>1883</v>
      </c>
      <c r="F771">
        <v>0.65539068378171339</v>
      </c>
      <c r="G771">
        <v>11.325927425119907</v>
      </c>
      <c r="H771" t="s">
        <v>892</v>
      </c>
      <c r="I771" t="s">
        <v>1165</v>
      </c>
      <c r="J771">
        <v>2</v>
      </c>
      <c r="K771" t="s">
        <v>787</v>
      </c>
      <c r="L771">
        <v>615000</v>
      </c>
      <c r="M771">
        <v>1.8</v>
      </c>
      <c r="N771">
        <v>11.325927425119907</v>
      </c>
      <c r="O771" t="s">
        <v>592</v>
      </c>
      <c r="P771" t="s">
        <v>711</v>
      </c>
      <c r="Q771" t="s">
        <v>586</v>
      </c>
      <c r="R771">
        <v>30000</v>
      </c>
      <c r="S771" t="s">
        <v>712</v>
      </c>
      <c r="T771">
        <v>95</v>
      </c>
    </row>
    <row r="772" spans="1:20" x14ac:dyDescent="0.25">
      <c r="A772" t="s">
        <v>1884</v>
      </c>
      <c r="B772" t="s">
        <v>266</v>
      </c>
      <c r="C772" t="s">
        <v>586</v>
      </c>
      <c r="D772" t="s">
        <v>830</v>
      </c>
      <c r="E772" t="s">
        <v>1883</v>
      </c>
      <c r="F772">
        <v>1.6220056790322717</v>
      </c>
      <c r="G772">
        <v>4.6622477793890615</v>
      </c>
      <c r="H772" t="s">
        <v>892</v>
      </c>
      <c r="I772" t="s">
        <v>1165</v>
      </c>
      <c r="J772">
        <v>2</v>
      </c>
      <c r="K772" t="s">
        <v>905</v>
      </c>
      <c r="L772">
        <v>540000</v>
      </c>
      <c r="M772">
        <v>1.9000000000000001</v>
      </c>
      <c r="N772">
        <v>4.6622477793890615</v>
      </c>
      <c r="O772" t="s">
        <v>592</v>
      </c>
      <c r="P772" t="s">
        <v>711</v>
      </c>
      <c r="Q772" t="s">
        <v>586</v>
      </c>
      <c r="R772" t="s">
        <v>712</v>
      </c>
      <c r="S772" t="s">
        <v>712</v>
      </c>
      <c r="T772">
        <v>85</v>
      </c>
    </row>
    <row r="773" spans="1:20" x14ac:dyDescent="0.25">
      <c r="A773" t="s">
        <v>1885</v>
      </c>
      <c r="B773" t="s">
        <v>266</v>
      </c>
      <c r="C773" t="s">
        <v>586</v>
      </c>
      <c r="D773" t="s">
        <v>830</v>
      </c>
      <c r="E773" t="s">
        <v>1883</v>
      </c>
      <c r="F773">
        <v>2.5695633815648633</v>
      </c>
      <c r="G773">
        <v>-1.5510903870984194</v>
      </c>
      <c r="H773" t="s">
        <v>892</v>
      </c>
      <c r="I773" t="s">
        <v>1165</v>
      </c>
      <c r="J773">
        <v>2</v>
      </c>
      <c r="K773" t="s">
        <v>734</v>
      </c>
      <c r="L773">
        <v>555000</v>
      </c>
      <c r="M773">
        <v>2</v>
      </c>
      <c r="N773">
        <v>-1.5510903870984194</v>
      </c>
      <c r="O773" t="s">
        <v>592</v>
      </c>
      <c r="P773" t="s">
        <v>711</v>
      </c>
      <c r="Q773" t="s">
        <v>586</v>
      </c>
      <c r="R773" t="s">
        <v>712</v>
      </c>
      <c r="S773" t="s">
        <v>712</v>
      </c>
      <c r="T773">
        <v>75</v>
      </c>
    </row>
    <row r="774" spans="1:20" x14ac:dyDescent="0.25">
      <c r="A774" t="s">
        <v>1886</v>
      </c>
      <c r="B774" t="s">
        <v>266</v>
      </c>
      <c r="C774" t="s">
        <v>586</v>
      </c>
      <c r="D774" t="s">
        <v>830</v>
      </c>
      <c r="E774" t="s">
        <v>1883</v>
      </c>
      <c r="F774">
        <v>3.4908647925473035</v>
      </c>
      <c r="G774">
        <v>-3.3265508581638681</v>
      </c>
      <c r="H774" t="s">
        <v>892</v>
      </c>
      <c r="I774" t="s">
        <v>1165</v>
      </c>
      <c r="J774">
        <v>2.125</v>
      </c>
      <c r="K774" t="s">
        <v>838</v>
      </c>
      <c r="L774">
        <v>580000</v>
      </c>
      <c r="M774">
        <v>2.125</v>
      </c>
      <c r="N774">
        <v>-3.3265508581638681</v>
      </c>
      <c r="O774" t="s">
        <v>592</v>
      </c>
      <c r="P774" t="s">
        <v>711</v>
      </c>
      <c r="Q774" t="s">
        <v>586</v>
      </c>
      <c r="R774" t="s">
        <v>712</v>
      </c>
      <c r="S774" t="s">
        <v>712</v>
      </c>
      <c r="T774">
        <v>67</v>
      </c>
    </row>
    <row r="775" spans="1:20" x14ac:dyDescent="0.25">
      <c r="A775" t="s">
        <v>1887</v>
      </c>
      <c r="B775" t="s">
        <v>266</v>
      </c>
      <c r="C775" t="s">
        <v>586</v>
      </c>
      <c r="D775" t="s">
        <v>830</v>
      </c>
      <c r="E775" t="s">
        <v>1883</v>
      </c>
      <c r="F775">
        <v>4.3846994764374365</v>
      </c>
      <c r="G775">
        <v>-2.0429708690566706</v>
      </c>
      <c r="H775" t="s">
        <v>892</v>
      </c>
      <c r="I775" t="s">
        <v>1165</v>
      </c>
      <c r="J775">
        <v>2.25</v>
      </c>
      <c r="K775" t="s">
        <v>1350</v>
      </c>
      <c r="L775">
        <v>610000</v>
      </c>
      <c r="M775">
        <v>2.25</v>
      </c>
      <c r="N775">
        <v>-2.0429708690566706</v>
      </c>
      <c r="O775" t="s">
        <v>592</v>
      </c>
      <c r="P775" t="s">
        <v>711</v>
      </c>
      <c r="Q775" t="s">
        <v>586</v>
      </c>
      <c r="R775" t="s">
        <v>712</v>
      </c>
      <c r="S775" t="s">
        <v>712</v>
      </c>
      <c r="T775">
        <v>60</v>
      </c>
    </row>
    <row r="776" spans="1:20" x14ac:dyDescent="0.25">
      <c r="A776" t="s">
        <v>1888</v>
      </c>
      <c r="B776" t="s">
        <v>266</v>
      </c>
      <c r="C776" t="s">
        <v>586</v>
      </c>
      <c r="D776" t="s">
        <v>830</v>
      </c>
      <c r="E776" t="s">
        <v>1883</v>
      </c>
      <c r="F776">
        <v>5.2648659769510102</v>
      </c>
      <c r="G776">
        <v>-9.1178377380613185</v>
      </c>
      <c r="H776" t="s">
        <v>892</v>
      </c>
      <c r="I776" t="s">
        <v>1165</v>
      </c>
      <c r="J776">
        <v>2.25</v>
      </c>
      <c r="K776" t="s">
        <v>1456</v>
      </c>
      <c r="L776">
        <v>625000</v>
      </c>
      <c r="M776">
        <v>2.3000000000000003</v>
      </c>
      <c r="N776">
        <v>-9.1178377380613185</v>
      </c>
      <c r="O776" t="s">
        <v>592</v>
      </c>
      <c r="P776" t="s">
        <v>711</v>
      </c>
      <c r="Q776" t="s">
        <v>586</v>
      </c>
      <c r="R776" t="s">
        <v>712</v>
      </c>
      <c r="S776" t="s">
        <v>712</v>
      </c>
      <c r="T776">
        <v>44</v>
      </c>
    </row>
    <row r="777" spans="1:20" x14ac:dyDescent="0.25">
      <c r="A777" t="s">
        <v>1889</v>
      </c>
      <c r="B777" t="s">
        <v>266</v>
      </c>
      <c r="C777" t="s">
        <v>586</v>
      </c>
      <c r="D777" t="s">
        <v>830</v>
      </c>
      <c r="E777" t="s">
        <v>1883</v>
      </c>
      <c r="F777">
        <v>5.9918612717570774</v>
      </c>
      <c r="G777">
        <v>-9.579663658635118</v>
      </c>
      <c r="H777" t="s">
        <v>892</v>
      </c>
      <c r="I777" t="s">
        <v>1165</v>
      </c>
      <c r="J777">
        <v>3</v>
      </c>
      <c r="K777" t="s">
        <v>1458</v>
      </c>
      <c r="L777">
        <v>640000</v>
      </c>
      <c r="M777">
        <v>2.4000000000000004</v>
      </c>
      <c r="N777">
        <v>-9.579663658635118</v>
      </c>
      <c r="O777" t="s">
        <v>592</v>
      </c>
      <c r="P777" t="s">
        <v>711</v>
      </c>
      <c r="Q777" t="s">
        <v>586</v>
      </c>
      <c r="R777" t="s">
        <v>712</v>
      </c>
      <c r="S777" t="s">
        <v>712</v>
      </c>
      <c r="T777">
        <v>51</v>
      </c>
    </row>
    <row r="778" spans="1:20" x14ac:dyDescent="0.25">
      <c r="A778" t="s">
        <v>1890</v>
      </c>
      <c r="B778" t="s">
        <v>267</v>
      </c>
      <c r="C778" t="s">
        <v>586</v>
      </c>
      <c r="D778" t="s">
        <v>623</v>
      </c>
      <c r="E778" t="s">
        <v>1891</v>
      </c>
      <c r="F778">
        <v>0.32867074638674915</v>
      </c>
      <c r="G778">
        <v>130.27934305165721</v>
      </c>
      <c r="H778" t="s">
        <v>1113</v>
      </c>
      <c r="I778" t="s">
        <v>661</v>
      </c>
      <c r="J778">
        <v>4.25</v>
      </c>
      <c r="K778" t="s">
        <v>710</v>
      </c>
      <c r="L778">
        <v>65000</v>
      </c>
      <c r="M778">
        <v>3</v>
      </c>
      <c r="N778">
        <v>130.27934305165721</v>
      </c>
      <c r="O778" t="s">
        <v>592</v>
      </c>
      <c r="P778" t="s">
        <v>745</v>
      </c>
      <c r="Q778" t="s">
        <v>586</v>
      </c>
      <c r="R778" t="s">
        <v>712</v>
      </c>
      <c r="S778" t="s">
        <v>712</v>
      </c>
      <c r="T778">
        <v>98</v>
      </c>
    </row>
    <row r="779" spans="1:20" x14ac:dyDescent="0.25">
      <c r="A779" t="s">
        <v>1892</v>
      </c>
      <c r="B779" t="s">
        <v>267</v>
      </c>
      <c r="C779" t="s">
        <v>586</v>
      </c>
      <c r="D779" t="s">
        <v>623</v>
      </c>
      <c r="E779" t="s">
        <v>1891</v>
      </c>
      <c r="F779">
        <v>1.2849225950180923</v>
      </c>
      <c r="G779">
        <v>132.28536331677608</v>
      </c>
      <c r="H779" t="s">
        <v>1113</v>
      </c>
      <c r="I779" t="s">
        <v>661</v>
      </c>
      <c r="J779">
        <v>4.25</v>
      </c>
      <c r="K779" t="s">
        <v>758</v>
      </c>
      <c r="L779">
        <v>70000</v>
      </c>
      <c r="M779">
        <v>3.15</v>
      </c>
      <c r="N779">
        <v>132.28536331677608</v>
      </c>
      <c r="O779" t="s">
        <v>592</v>
      </c>
      <c r="P779" t="s">
        <v>745</v>
      </c>
      <c r="Q779" t="s">
        <v>586</v>
      </c>
      <c r="R779" t="s">
        <v>712</v>
      </c>
      <c r="S779" t="s">
        <v>712</v>
      </c>
      <c r="T779">
        <v>85</v>
      </c>
    </row>
    <row r="780" spans="1:20" x14ac:dyDescent="0.25">
      <c r="A780" t="s">
        <v>1893</v>
      </c>
      <c r="B780" t="s">
        <v>87</v>
      </c>
      <c r="C780" t="s">
        <v>586</v>
      </c>
      <c r="D780" t="s">
        <v>741</v>
      </c>
      <c r="E780" t="s">
        <v>935</v>
      </c>
      <c r="F780">
        <v>0.32933655502736264</v>
      </c>
      <c r="G780">
        <v>7.6177336931812389</v>
      </c>
      <c r="H780" t="s">
        <v>936</v>
      </c>
      <c r="I780" t="s">
        <v>937</v>
      </c>
      <c r="J780">
        <v>2</v>
      </c>
      <c r="K780" t="s">
        <v>710</v>
      </c>
      <c r="L780">
        <v>325000</v>
      </c>
      <c r="M780">
        <v>1.4000000000000001</v>
      </c>
      <c r="N780">
        <v>7.6177336931812389</v>
      </c>
      <c r="O780" t="s">
        <v>592</v>
      </c>
      <c r="P780" t="s">
        <v>745</v>
      </c>
      <c r="Q780" t="s">
        <v>586</v>
      </c>
      <c r="R780" t="s">
        <v>712</v>
      </c>
      <c r="S780" t="s">
        <v>712</v>
      </c>
      <c r="T780">
        <v>96</v>
      </c>
    </row>
    <row r="781" spans="1:20" x14ac:dyDescent="0.25">
      <c r="A781" t="s">
        <v>1894</v>
      </c>
      <c r="B781" t="s">
        <v>87</v>
      </c>
      <c r="C781" t="s">
        <v>586</v>
      </c>
      <c r="D781" t="s">
        <v>741</v>
      </c>
      <c r="E781" t="s">
        <v>935</v>
      </c>
      <c r="F781">
        <v>1.3045816740636635</v>
      </c>
      <c r="G781">
        <v>6.6426745587472746</v>
      </c>
      <c r="H781" t="s">
        <v>936</v>
      </c>
      <c r="I781" t="s">
        <v>937</v>
      </c>
      <c r="J781">
        <v>2</v>
      </c>
      <c r="K781" t="s">
        <v>758</v>
      </c>
      <c r="L781">
        <v>325000</v>
      </c>
      <c r="M781">
        <v>1.55</v>
      </c>
      <c r="N781">
        <v>6.6426745587472746</v>
      </c>
      <c r="O781" t="s">
        <v>592</v>
      </c>
      <c r="P781" t="s">
        <v>745</v>
      </c>
      <c r="Q781" t="s">
        <v>586</v>
      </c>
      <c r="R781" t="s">
        <v>712</v>
      </c>
      <c r="S781" t="s">
        <v>712</v>
      </c>
      <c r="T781">
        <v>81</v>
      </c>
    </row>
    <row r="782" spans="1:20" x14ac:dyDescent="0.25">
      <c r="A782" t="s">
        <v>1895</v>
      </c>
      <c r="B782" t="s">
        <v>87</v>
      </c>
      <c r="C782" t="s">
        <v>586</v>
      </c>
      <c r="D782" t="s">
        <v>741</v>
      </c>
      <c r="E782" t="s">
        <v>935</v>
      </c>
      <c r="F782">
        <v>2.2603210108529135</v>
      </c>
      <c r="G782">
        <v>5.6262538439751264</v>
      </c>
      <c r="H782" t="s">
        <v>936</v>
      </c>
      <c r="I782" t="s">
        <v>937</v>
      </c>
      <c r="J782">
        <v>2</v>
      </c>
      <c r="K782" t="s">
        <v>972</v>
      </c>
      <c r="L782">
        <v>325000</v>
      </c>
      <c r="M782">
        <v>1.7000000000000002</v>
      </c>
      <c r="N782">
        <v>5.6262538439751264</v>
      </c>
      <c r="O782" t="s">
        <v>592</v>
      </c>
      <c r="P782" t="s">
        <v>745</v>
      </c>
      <c r="Q782" t="s">
        <v>586</v>
      </c>
      <c r="R782">
        <v>75000</v>
      </c>
      <c r="S782" t="s">
        <v>712</v>
      </c>
      <c r="T782">
        <v>70</v>
      </c>
    </row>
    <row r="783" spans="1:20" x14ac:dyDescent="0.25">
      <c r="A783" t="s">
        <v>1896</v>
      </c>
      <c r="B783" t="s">
        <v>87</v>
      </c>
      <c r="C783" t="s">
        <v>586</v>
      </c>
      <c r="D783" t="s">
        <v>741</v>
      </c>
      <c r="E783" t="s">
        <v>935</v>
      </c>
      <c r="F783">
        <v>4.1144718096568633</v>
      </c>
      <c r="G783">
        <v>7.7033731530325111</v>
      </c>
      <c r="H783" t="s">
        <v>936</v>
      </c>
      <c r="I783" t="s">
        <v>937</v>
      </c>
      <c r="J783">
        <v>2</v>
      </c>
      <c r="K783" t="s">
        <v>1085</v>
      </c>
      <c r="L783">
        <v>345000</v>
      </c>
      <c r="M783">
        <v>2</v>
      </c>
      <c r="N783">
        <v>7.7033731530325111</v>
      </c>
      <c r="O783" t="s">
        <v>592</v>
      </c>
      <c r="P783" t="s">
        <v>745</v>
      </c>
      <c r="Q783" t="s">
        <v>586</v>
      </c>
      <c r="R783" t="s">
        <v>712</v>
      </c>
      <c r="S783" t="s">
        <v>712</v>
      </c>
      <c r="T783">
        <v>51</v>
      </c>
    </row>
    <row r="784" spans="1:20" x14ac:dyDescent="0.25">
      <c r="A784" t="s">
        <v>1897</v>
      </c>
      <c r="B784" t="s">
        <v>87</v>
      </c>
      <c r="C784" t="s">
        <v>586</v>
      </c>
      <c r="D784" t="s">
        <v>741</v>
      </c>
      <c r="E784" t="s">
        <v>935</v>
      </c>
      <c r="F784">
        <v>4.8999649476525375</v>
      </c>
      <c r="G784">
        <v>5.9111653663251662</v>
      </c>
      <c r="H784" t="s">
        <v>936</v>
      </c>
      <c r="I784" t="s">
        <v>937</v>
      </c>
      <c r="J784">
        <v>3</v>
      </c>
      <c r="K784" t="s">
        <v>933</v>
      </c>
      <c r="L784">
        <v>350000</v>
      </c>
      <c r="M784">
        <v>2.1</v>
      </c>
      <c r="N784">
        <v>5.9111653663251662</v>
      </c>
      <c r="O784" t="s">
        <v>592</v>
      </c>
      <c r="P784" t="s">
        <v>745</v>
      </c>
      <c r="Q784" t="s">
        <v>586</v>
      </c>
      <c r="R784" t="s">
        <v>712</v>
      </c>
      <c r="S784" t="s">
        <v>712</v>
      </c>
      <c r="T784">
        <v>57</v>
      </c>
    </row>
    <row r="785" spans="1:20" x14ac:dyDescent="0.25">
      <c r="A785" t="s">
        <v>1898</v>
      </c>
      <c r="B785" t="s">
        <v>268</v>
      </c>
      <c r="C785" t="s">
        <v>586</v>
      </c>
      <c r="D785" t="s">
        <v>1124</v>
      </c>
      <c r="E785" t="s">
        <v>1314</v>
      </c>
      <c r="F785">
        <v>0.4945831899528218</v>
      </c>
      <c r="G785">
        <v>8.4261587701415444</v>
      </c>
      <c r="H785" t="s">
        <v>1092</v>
      </c>
      <c r="I785" t="s">
        <v>721</v>
      </c>
      <c r="J785">
        <v>3</v>
      </c>
      <c r="K785" t="s">
        <v>807</v>
      </c>
      <c r="L785">
        <v>820000</v>
      </c>
      <c r="M785">
        <v>1.6</v>
      </c>
      <c r="N785">
        <v>8.4261587701415444</v>
      </c>
      <c r="O785" t="s">
        <v>592</v>
      </c>
      <c r="P785" t="s">
        <v>711</v>
      </c>
      <c r="Q785" t="s">
        <v>586</v>
      </c>
      <c r="R785" t="s">
        <v>712</v>
      </c>
      <c r="S785" t="s">
        <v>712</v>
      </c>
      <c r="T785">
        <v>90</v>
      </c>
    </row>
    <row r="786" spans="1:20" x14ac:dyDescent="0.25">
      <c r="A786" t="s">
        <v>1899</v>
      </c>
      <c r="B786" t="s">
        <v>268</v>
      </c>
      <c r="C786" t="s">
        <v>586</v>
      </c>
      <c r="D786" t="s">
        <v>1124</v>
      </c>
      <c r="E786" t="s">
        <v>1314</v>
      </c>
      <c r="F786">
        <v>1.4633298402807833</v>
      </c>
      <c r="G786">
        <v>12.159921537039974</v>
      </c>
      <c r="H786" t="s">
        <v>1092</v>
      </c>
      <c r="I786" t="s">
        <v>721</v>
      </c>
      <c r="J786">
        <v>3</v>
      </c>
      <c r="K786" t="s">
        <v>780</v>
      </c>
      <c r="L786">
        <v>845000</v>
      </c>
      <c r="M786">
        <v>1.8</v>
      </c>
      <c r="N786">
        <v>12.159921537039974</v>
      </c>
      <c r="O786" t="s">
        <v>592</v>
      </c>
      <c r="P786" t="s">
        <v>711</v>
      </c>
      <c r="Q786" t="s">
        <v>586</v>
      </c>
      <c r="R786" t="s">
        <v>712</v>
      </c>
      <c r="S786" t="s">
        <v>712</v>
      </c>
      <c r="T786">
        <v>78</v>
      </c>
    </row>
    <row r="787" spans="1:20" x14ac:dyDescent="0.25">
      <c r="A787" t="s">
        <v>1900</v>
      </c>
      <c r="B787" t="s">
        <v>268</v>
      </c>
      <c r="C787" t="s">
        <v>586</v>
      </c>
      <c r="D787" t="s">
        <v>1124</v>
      </c>
      <c r="E787" t="s">
        <v>1314</v>
      </c>
      <c r="F787">
        <v>2.4036422862061566</v>
      </c>
      <c r="G787">
        <v>15.847075376453468</v>
      </c>
      <c r="H787" t="s">
        <v>1092</v>
      </c>
      <c r="I787" t="s">
        <v>721</v>
      </c>
      <c r="J787">
        <v>3</v>
      </c>
      <c r="K787" t="s">
        <v>1013</v>
      </c>
      <c r="L787">
        <v>870000</v>
      </c>
      <c r="M787">
        <v>2</v>
      </c>
      <c r="N787">
        <v>15.847075376453468</v>
      </c>
      <c r="O787" t="s">
        <v>592</v>
      </c>
      <c r="P787" t="s">
        <v>711</v>
      </c>
      <c r="Q787" t="s">
        <v>586</v>
      </c>
      <c r="R787" t="s">
        <v>712</v>
      </c>
      <c r="S787" t="s">
        <v>712</v>
      </c>
      <c r="T787">
        <v>67</v>
      </c>
    </row>
    <row r="788" spans="1:20" x14ac:dyDescent="0.25">
      <c r="A788" t="s">
        <v>1901</v>
      </c>
      <c r="B788" t="s">
        <v>268</v>
      </c>
      <c r="C788" t="s">
        <v>586</v>
      </c>
      <c r="D788" t="s">
        <v>1124</v>
      </c>
      <c r="E788" t="s">
        <v>1314</v>
      </c>
      <c r="F788">
        <v>3.3171610165055916</v>
      </c>
      <c r="G788">
        <v>10.765862769605249</v>
      </c>
      <c r="H788" t="s">
        <v>1092</v>
      </c>
      <c r="I788" t="s">
        <v>721</v>
      </c>
      <c r="J788">
        <v>3</v>
      </c>
      <c r="K788" t="s">
        <v>824</v>
      </c>
      <c r="L788">
        <v>890000</v>
      </c>
      <c r="M788">
        <v>2.1</v>
      </c>
      <c r="N788">
        <v>10.765862769605249</v>
      </c>
      <c r="O788" t="s">
        <v>592</v>
      </c>
      <c r="P788" t="s">
        <v>711</v>
      </c>
      <c r="Q788" t="s">
        <v>586</v>
      </c>
      <c r="R788" t="s">
        <v>712</v>
      </c>
      <c r="S788" t="s">
        <v>712</v>
      </c>
      <c r="T788">
        <v>57</v>
      </c>
    </row>
    <row r="789" spans="1:20" x14ac:dyDescent="0.25">
      <c r="A789" t="s">
        <v>1902</v>
      </c>
      <c r="B789" t="s">
        <v>269</v>
      </c>
      <c r="C789" t="s">
        <v>586</v>
      </c>
      <c r="D789" t="s">
        <v>1124</v>
      </c>
      <c r="E789" t="s">
        <v>1877</v>
      </c>
      <c r="F789">
        <v>0.4945831899528218</v>
      </c>
      <c r="G789">
        <v>26.792314518487114</v>
      </c>
      <c r="H789" t="s">
        <v>1903</v>
      </c>
      <c r="I789" t="s">
        <v>721</v>
      </c>
      <c r="J789">
        <v>3</v>
      </c>
      <c r="K789" t="s">
        <v>807</v>
      </c>
      <c r="L789">
        <v>145000</v>
      </c>
      <c r="M789">
        <v>1.6500000000000001</v>
      </c>
      <c r="N789">
        <v>26.792314518487114</v>
      </c>
      <c r="O789" t="s">
        <v>592</v>
      </c>
      <c r="P789" t="s">
        <v>711</v>
      </c>
      <c r="Q789" t="s">
        <v>586</v>
      </c>
      <c r="R789" t="s">
        <v>712</v>
      </c>
      <c r="S789" t="s">
        <v>712</v>
      </c>
      <c r="T789">
        <v>92</v>
      </c>
    </row>
    <row r="790" spans="1:20" x14ac:dyDescent="0.25">
      <c r="A790" t="s">
        <v>1904</v>
      </c>
      <c r="B790" t="s">
        <v>269</v>
      </c>
      <c r="C790" t="s">
        <v>586</v>
      </c>
      <c r="D790" t="s">
        <v>1124</v>
      </c>
      <c r="E790" t="s">
        <v>1877</v>
      </c>
      <c r="F790">
        <v>1.4633298402807833</v>
      </c>
      <c r="G790">
        <v>22.308166552860364</v>
      </c>
      <c r="H790" t="s">
        <v>1903</v>
      </c>
      <c r="I790" t="s">
        <v>721</v>
      </c>
      <c r="J790">
        <v>3</v>
      </c>
      <c r="K790" t="s">
        <v>780</v>
      </c>
      <c r="L790">
        <v>150000</v>
      </c>
      <c r="M790">
        <v>1.75</v>
      </c>
      <c r="N790">
        <v>22.308166552860364</v>
      </c>
      <c r="O790" t="s">
        <v>592</v>
      </c>
      <c r="P790" t="s">
        <v>711</v>
      </c>
      <c r="Q790" t="s">
        <v>586</v>
      </c>
      <c r="R790" t="s">
        <v>712</v>
      </c>
      <c r="S790" t="s">
        <v>712</v>
      </c>
      <c r="T790">
        <v>81</v>
      </c>
    </row>
    <row r="791" spans="1:20" x14ac:dyDescent="0.25">
      <c r="A791" t="s">
        <v>1905</v>
      </c>
      <c r="B791" t="s">
        <v>269</v>
      </c>
      <c r="C791" t="s">
        <v>586</v>
      </c>
      <c r="D791" t="s">
        <v>1124</v>
      </c>
      <c r="E791" t="s">
        <v>1877</v>
      </c>
      <c r="F791">
        <v>2.4036422862061566</v>
      </c>
      <c r="G791">
        <v>22.522523534444417</v>
      </c>
      <c r="H791" t="s">
        <v>1903</v>
      </c>
      <c r="I791" t="s">
        <v>721</v>
      </c>
      <c r="J791">
        <v>3</v>
      </c>
      <c r="K791" t="s">
        <v>1013</v>
      </c>
      <c r="L791">
        <v>155000</v>
      </c>
      <c r="M791">
        <v>1.9000000000000001</v>
      </c>
      <c r="N791">
        <v>22.522523534444417</v>
      </c>
      <c r="O791" t="s">
        <v>592</v>
      </c>
      <c r="P791" t="s">
        <v>711</v>
      </c>
      <c r="Q791" t="s">
        <v>586</v>
      </c>
      <c r="R791" t="s">
        <v>712</v>
      </c>
      <c r="S791" t="s">
        <v>712</v>
      </c>
      <c r="T791">
        <v>71</v>
      </c>
    </row>
    <row r="792" spans="1:20" x14ac:dyDescent="0.25">
      <c r="A792" t="s">
        <v>1906</v>
      </c>
      <c r="B792" t="s">
        <v>269</v>
      </c>
      <c r="C792" t="s">
        <v>586</v>
      </c>
      <c r="D792" t="s">
        <v>1124</v>
      </c>
      <c r="E792" t="s">
        <v>1877</v>
      </c>
      <c r="F792">
        <v>3.3171610165055916</v>
      </c>
      <c r="G792">
        <v>18.422566996521404</v>
      </c>
      <c r="H792" t="s">
        <v>1903</v>
      </c>
      <c r="I792" t="s">
        <v>721</v>
      </c>
      <c r="J792">
        <v>3</v>
      </c>
      <c r="K792" t="s">
        <v>824</v>
      </c>
      <c r="L792">
        <v>160000</v>
      </c>
      <c r="M792">
        <v>2</v>
      </c>
      <c r="N792">
        <v>18.422566996521404</v>
      </c>
      <c r="O792" t="s">
        <v>592</v>
      </c>
      <c r="P792" t="s">
        <v>711</v>
      </c>
      <c r="Q792" t="s">
        <v>586</v>
      </c>
      <c r="R792" t="s">
        <v>712</v>
      </c>
      <c r="S792" t="s">
        <v>712</v>
      </c>
      <c r="T792">
        <v>61</v>
      </c>
    </row>
    <row r="793" spans="1:20" x14ac:dyDescent="0.25">
      <c r="A793" t="s">
        <v>1907</v>
      </c>
      <c r="B793" t="s">
        <v>269</v>
      </c>
      <c r="C793" t="s">
        <v>586</v>
      </c>
      <c r="D793" t="s">
        <v>1124</v>
      </c>
      <c r="E793" t="s">
        <v>1877</v>
      </c>
      <c r="F793">
        <v>4.2044988638768714</v>
      </c>
      <c r="G793">
        <v>16.482297461465144</v>
      </c>
      <c r="H793" t="s">
        <v>1903</v>
      </c>
      <c r="I793" t="s">
        <v>721</v>
      </c>
      <c r="J793">
        <v>3</v>
      </c>
      <c r="K793" t="s">
        <v>1319</v>
      </c>
      <c r="L793">
        <v>160000</v>
      </c>
      <c r="M793">
        <v>2.1</v>
      </c>
      <c r="N793">
        <v>16.482297461465144</v>
      </c>
      <c r="O793" t="s">
        <v>592</v>
      </c>
      <c r="P793" t="s">
        <v>711</v>
      </c>
      <c r="Q793" t="s">
        <v>586</v>
      </c>
      <c r="R793" t="s">
        <v>712</v>
      </c>
      <c r="S793" t="s">
        <v>712</v>
      </c>
      <c r="T793">
        <v>53</v>
      </c>
    </row>
    <row r="794" spans="1:20" x14ac:dyDescent="0.25">
      <c r="A794" t="s">
        <v>1908</v>
      </c>
      <c r="B794" t="s">
        <v>93</v>
      </c>
      <c r="C794" t="s">
        <v>586</v>
      </c>
      <c r="D794" t="s">
        <v>666</v>
      </c>
      <c r="E794" t="s">
        <v>970</v>
      </c>
      <c r="F794">
        <v>0.32971891890866106</v>
      </c>
      <c r="G794">
        <v>3.9139398488130528</v>
      </c>
      <c r="H794" t="s">
        <v>971</v>
      </c>
      <c r="I794" t="s">
        <v>611</v>
      </c>
      <c r="J794">
        <v>5</v>
      </c>
      <c r="K794" t="s">
        <v>710</v>
      </c>
      <c r="L794">
        <v>900000</v>
      </c>
      <c r="M794">
        <v>1.71</v>
      </c>
      <c r="N794">
        <v>3.9139398488130528</v>
      </c>
      <c r="O794" t="s">
        <v>592</v>
      </c>
      <c r="P794" t="s">
        <v>593</v>
      </c>
      <c r="Q794" t="s">
        <v>586</v>
      </c>
      <c r="R794">
        <v>25000</v>
      </c>
      <c r="S794" t="s">
        <v>599</v>
      </c>
      <c r="T794">
        <v>96</v>
      </c>
    </row>
    <row r="795" spans="1:20" x14ac:dyDescent="0.25">
      <c r="A795" t="s">
        <v>1909</v>
      </c>
      <c r="B795" t="s">
        <v>93</v>
      </c>
      <c r="C795" t="s">
        <v>586</v>
      </c>
      <c r="D795" t="s">
        <v>666</v>
      </c>
      <c r="E795" t="s">
        <v>970</v>
      </c>
      <c r="F795">
        <v>1.2864179937003584</v>
      </c>
      <c r="G795">
        <v>10.761915519174647</v>
      </c>
      <c r="H795" t="s">
        <v>971</v>
      </c>
      <c r="I795" t="s">
        <v>611</v>
      </c>
      <c r="J795">
        <v>5</v>
      </c>
      <c r="K795" t="s">
        <v>758</v>
      </c>
      <c r="L795">
        <v>945000</v>
      </c>
      <c r="M795">
        <v>1.94</v>
      </c>
      <c r="N795">
        <v>10.761915519174647</v>
      </c>
      <c r="O795" t="s">
        <v>592</v>
      </c>
      <c r="P795" t="s">
        <v>593</v>
      </c>
      <c r="Q795" t="s">
        <v>586</v>
      </c>
      <c r="R795">
        <v>50000</v>
      </c>
      <c r="S795" t="s">
        <v>599</v>
      </c>
      <c r="T795">
        <v>91</v>
      </c>
    </row>
    <row r="796" spans="1:20" x14ac:dyDescent="0.25">
      <c r="A796" t="s">
        <v>1910</v>
      </c>
      <c r="B796" t="s">
        <v>93</v>
      </c>
      <c r="C796" t="s">
        <v>586</v>
      </c>
      <c r="D796" t="s">
        <v>666</v>
      </c>
      <c r="E796" t="s">
        <v>970</v>
      </c>
      <c r="F796">
        <v>3.0740759309745962</v>
      </c>
      <c r="G796">
        <v>14.700971694186205</v>
      </c>
      <c r="H796" t="s">
        <v>971</v>
      </c>
      <c r="I796" t="s">
        <v>611</v>
      </c>
      <c r="J796">
        <v>5</v>
      </c>
      <c r="K796" t="s">
        <v>938</v>
      </c>
      <c r="L796">
        <v>1045000</v>
      </c>
      <c r="M796">
        <v>2.2800000000000002</v>
      </c>
      <c r="N796">
        <v>14.700971694186205</v>
      </c>
      <c r="O796" t="s">
        <v>592</v>
      </c>
      <c r="P796" t="s">
        <v>593</v>
      </c>
      <c r="Q796" t="s">
        <v>586</v>
      </c>
      <c r="R796">
        <v>45000</v>
      </c>
      <c r="S796" t="s">
        <v>599</v>
      </c>
      <c r="T796">
        <v>74</v>
      </c>
    </row>
    <row r="797" spans="1:20" x14ac:dyDescent="0.25">
      <c r="A797" t="s">
        <v>1911</v>
      </c>
      <c r="B797" t="s">
        <v>93</v>
      </c>
      <c r="C797" t="s">
        <v>586</v>
      </c>
      <c r="D797" t="s">
        <v>666</v>
      </c>
      <c r="E797" t="s">
        <v>970</v>
      </c>
      <c r="F797">
        <v>3.9125342993741095</v>
      </c>
      <c r="G797">
        <v>13.205859696407529</v>
      </c>
      <c r="H797" t="s">
        <v>971</v>
      </c>
      <c r="I797" t="s">
        <v>611</v>
      </c>
      <c r="J797">
        <v>5</v>
      </c>
      <c r="K797" t="s">
        <v>1085</v>
      </c>
      <c r="L797">
        <v>1100000</v>
      </c>
      <c r="M797">
        <v>2.38</v>
      </c>
      <c r="N797">
        <v>13.205859696407529</v>
      </c>
      <c r="O797" t="s">
        <v>592</v>
      </c>
      <c r="P797" t="s">
        <v>593</v>
      </c>
      <c r="Q797" t="s">
        <v>586</v>
      </c>
      <c r="R797">
        <v>20000</v>
      </c>
      <c r="S797" t="s">
        <v>599</v>
      </c>
      <c r="T797">
        <v>68</v>
      </c>
    </row>
    <row r="798" spans="1:20" x14ac:dyDescent="0.25">
      <c r="A798" t="s">
        <v>1912</v>
      </c>
      <c r="B798" t="s">
        <v>88</v>
      </c>
      <c r="C798" t="s">
        <v>586</v>
      </c>
      <c r="D798" t="s">
        <v>690</v>
      </c>
      <c r="E798" t="s">
        <v>940</v>
      </c>
      <c r="F798">
        <v>0.89449412885786539</v>
      </c>
      <c r="G798">
        <v>26.376065079385924</v>
      </c>
      <c r="H798" t="s">
        <v>941</v>
      </c>
      <c r="I798" t="s">
        <v>661</v>
      </c>
      <c r="J798">
        <v>5</v>
      </c>
      <c r="K798" t="s">
        <v>640</v>
      </c>
      <c r="L798">
        <v>3225000</v>
      </c>
      <c r="M798">
        <v>2.2000000000000002</v>
      </c>
      <c r="N798">
        <v>26.376065079385924</v>
      </c>
      <c r="O798" t="s">
        <v>592</v>
      </c>
      <c r="P798" t="s">
        <v>593</v>
      </c>
      <c r="Q798" t="s">
        <v>586</v>
      </c>
      <c r="R798">
        <v>70000</v>
      </c>
      <c r="S798" t="s">
        <v>878</v>
      </c>
      <c r="T798">
        <v>88</v>
      </c>
    </row>
    <row r="799" spans="1:20" x14ac:dyDescent="0.25">
      <c r="A799" t="s">
        <v>1913</v>
      </c>
      <c r="B799" t="s">
        <v>88</v>
      </c>
      <c r="C799" t="s">
        <v>586</v>
      </c>
      <c r="D799" t="s">
        <v>690</v>
      </c>
      <c r="E799" t="s">
        <v>940</v>
      </c>
      <c r="F799">
        <v>1.8264355812881645</v>
      </c>
      <c r="G799">
        <v>31.123796912728885</v>
      </c>
      <c r="H799" t="s">
        <v>941</v>
      </c>
      <c r="I799" t="s">
        <v>661</v>
      </c>
      <c r="J799">
        <v>5</v>
      </c>
      <c r="K799" t="s">
        <v>658</v>
      </c>
      <c r="L799">
        <v>3385000</v>
      </c>
      <c r="M799">
        <v>2.39</v>
      </c>
      <c r="N799">
        <v>31.123796912728885</v>
      </c>
      <c r="O799" t="s">
        <v>592</v>
      </c>
      <c r="P799" t="s">
        <v>593</v>
      </c>
      <c r="Q799" t="s">
        <v>586</v>
      </c>
      <c r="R799">
        <v>100000</v>
      </c>
      <c r="S799" t="s">
        <v>878</v>
      </c>
      <c r="T799">
        <v>80</v>
      </c>
    </row>
    <row r="800" spans="1:20" x14ac:dyDescent="0.25">
      <c r="A800" t="s">
        <v>1914</v>
      </c>
      <c r="B800" t="s">
        <v>270</v>
      </c>
      <c r="C800" t="s">
        <v>607</v>
      </c>
      <c r="D800" t="s">
        <v>601</v>
      </c>
      <c r="E800" t="s">
        <v>1915</v>
      </c>
      <c r="F800">
        <v>0.73677218940566369</v>
      </c>
      <c r="G800">
        <v>14.64448791438735</v>
      </c>
      <c r="H800" t="s">
        <v>649</v>
      </c>
      <c r="I800" t="s">
        <v>1916</v>
      </c>
      <c r="J800">
        <v>2.125</v>
      </c>
      <c r="K800" t="s">
        <v>861</v>
      </c>
      <c r="L800">
        <v>195000</v>
      </c>
      <c r="M800">
        <v>1.7000000000000002</v>
      </c>
      <c r="N800">
        <v>14.64448791438735</v>
      </c>
      <c r="O800" t="s">
        <v>592</v>
      </c>
      <c r="P800" t="s">
        <v>711</v>
      </c>
      <c r="Q800" t="s">
        <v>586</v>
      </c>
      <c r="R800" t="s">
        <v>712</v>
      </c>
      <c r="S800" t="s">
        <v>594</v>
      </c>
      <c r="T800">
        <v>86</v>
      </c>
    </row>
    <row r="801" spans="1:20" x14ac:dyDescent="0.25">
      <c r="A801" t="s">
        <v>1917</v>
      </c>
      <c r="B801" t="s">
        <v>270</v>
      </c>
      <c r="C801" t="s">
        <v>607</v>
      </c>
      <c r="D801" t="s">
        <v>601</v>
      </c>
      <c r="E801" t="s">
        <v>1915</v>
      </c>
      <c r="F801">
        <v>1.6987587624359799</v>
      </c>
      <c r="G801">
        <v>15.480212174290632</v>
      </c>
      <c r="H801" t="s">
        <v>649</v>
      </c>
      <c r="I801" t="s">
        <v>1916</v>
      </c>
      <c r="J801">
        <v>2.25</v>
      </c>
      <c r="K801" t="s">
        <v>682</v>
      </c>
      <c r="L801">
        <v>195000</v>
      </c>
      <c r="M801">
        <v>1.87</v>
      </c>
      <c r="N801">
        <v>15.480212174290632</v>
      </c>
      <c r="O801" t="s">
        <v>592</v>
      </c>
      <c r="P801" t="s">
        <v>711</v>
      </c>
      <c r="Q801" t="s">
        <v>586</v>
      </c>
      <c r="R801" t="s">
        <v>712</v>
      </c>
      <c r="S801" t="s">
        <v>594</v>
      </c>
      <c r="T801">
        <v>74</v>
      </c>
    </row>
    <row r="802" spans="1:20" x14ac:dyDescent="0.25">
      <c r="A802" t="s">
        <v>1918</v>
      </c>
      <c r="B802" t="s">
        <v>270</v>
      </c>
      <c r="C802" t="s">
        <v>607</v>
      </c>
      <c r="D802" t="s">
        <v>601</v>
      </c>
      <c r="E802" t="s">
        <v>1915</v>
      </c>
      <c r="F802">
        <v>2.6394953311012683</v>
      </c>
      <c r="G802">
        <v>12.418759682005497</v>
      </c>
      <c r="H802" t="s">
        <v>649</v>
      </c>
      <c r="I802" t="s">
        <v>1916</v>
      </c>
      <c r="J802">
        <v>2.25</v>
      </c>
      <c r="K802" t="s">
        <v>930</v>
      </c>
      <c r="L802">
        <v>200000</v>
      </c>
      <c r="M802">
        <v>2</v>
      </c>
      <c r="N802">
        <v>12.418759682005497</v>
      </c>
      <c r="O802" t="s">
        <v>592</v>
      </c>
      <c r="P802" t="s">
        <v>711</v>
      </c>
      <c r="Q802" t="s">
        <v>586</v>
      </c>
      <c r="R802" t="s">
        <v>712</v>
      </c>
      <c r="S802" t="s">
        <v>594</v>
      </c>
      <c r="T802">
        <v>63</v>
      </c>
    </row>
    <row r="803" spans="1:20" x14ac:dyDescent="0.25">
      <c r="A803" t="s">
        <v>1919</v>
      </c>
      <c r="B803" t="s">
        <v>270</v>
      </c>
      <c r="C803" t="s">
        <v>607</v>
      </c>
      <c r="D803" t="s">
        <v>601</v>
      </c>
      <c r="E803" t="s">
        <v>1915</v>
      </c>
      <c r="F803">
        <v>0.16360324116571803</v>
      </c>
      <c r="G803">
        <v>13.010835616438365</v>
      </c>
      <c r="H803" t="s">
        <v>1920</v>
      </c>
      <c r="I803" t="s">
        <v>611</v>
      </c>
      <c r="J803">
        <v>2.5</v>
      </c>
      <c r="K803" t="s">
        <v>749</v>
      </c>
      <c r="L803">
        <v>60000</v>
      </c>
      <c r="M803">
        <v>1.4000000000000001</v>
      </c>
      <c r="N803">
        <v>13.010835616438365</v>
      </c>
      <c r="O803" t="s">
        <v>592</v>
      </c>
      <c r="P803" t="s">
        <v>711</v>
      </c>
      <c r="Q803" t="s">
        <v>586</v>
      </c>
      <c r="R803" t="s">
        <v>712</v>
      </c>
      <c r="S803" t="s">
        <v>594</v>
      </c>
      <c r="T803">
        <v>99</v>
      </c>
    </row>
    <row r="804" spans="1:20" x14ac:dyDescent="0.25">
      <c r="A804" t="s">
        <v>1921</v>
      </c>
      <c r="B804" t="s">
        <v>270</v>
      </c>
      <c r="C804" t="s">
        <v>607</v>
      </c>
      <c r="D804" t="s">
        <v>601</v>
      </c>
      <c r="E804" t="s">
        <v>1915</v>
      </c>
      <c r="F804">
        <v>1.1360289202073384</v>
      </c>
      <c r="G804">
        <v>14.333413698630149</v>
      </c>
      <c r="H804" t="s">
        <v>1920</v>
      </c>
      <c r="I804" t="s">
        <v>611</v>
      </c>
      <c r="J804">
        <v>2.5</v>
      </c>
      <c r="K804" t="s">
        <v>598</v>
      </c>
      <c r="L804">
        <v>60000</v>
      </c>
      <c r="M804">
        <v>1.55</v>
      </c>
      <c r="N804">
        <v>14.333413698630149</v>
      </c>
      <c r="O804" t="s">
        <v>592</v>
      </c>
      <c r="P804" t="s">
        <v>711</v>
      </c>
      <c r="Q804" t="s">
        <v>586</v>
      </c>
      <c r="R804" t="s">
        <v>712</v>
      </c>
      <c r="S804" t="s">
        <v>594</v>
      </c>
      <c r="T804">
        <v>83</v>
      </c>
    </row>
    <row r="805" spans="1:20" x14ac:dyDescent="0.25">
      <c r="A805" t="s">
        <v>1922</v>
      </c>
      <c r="B805" t="s">
        <v>270</v>
      </c>
      <c r="C805" t="s">
        <v>607</v>
      </c>
      <c r="D805" t="s">
        <v>601</v>
      </c>
      <c r="E805" t="s">
        <v>1915</v>
      </c>
      <c r="F805">
        <v>2.0836103615501935</v>
      </c>
      <c r="G805">
        <v>15.236345205479452</v>
      </c>
      <c r="H805" t="s">
        <v>1920</v>
      </c>
      <c r="I805" t="s">
        <v>611</v>
      </c>
      <c r="J805">
        <v>2.5</v>
      </c>
      <c r="K805" t="s">
        <v>651</v>
      </c>
      <c r="L805">
        <v>60000</v>
      </c>
      <c r="M805">
        <v>1.7000000000000002</v>
      </c>
      <c r="N805">
        <v>15.236345205479452</v>
      </c>
      <c r="O805" t="s">
        <v>592</v>
      </c>
      <c r="P805" t="s">
        <v>711</v>
      </c>
      <c r="Q805" t="s">
        <v>586</v>
      </c>
      <c r="R805" t="s">
        <v>712</v>
      </c>
      <c r="S805" t="s">
        <v>594</v>
      </c>
      <c r="T805">
        <v>72</v>
      </c>
    </row>
    <row r="806" spans="1:20" x14ac:dyDescent="0.25">
      <c r="A806" t="s">
        <v>1923</v>
      </c>
      <c r="B806" t="s">
        <v>270</v>
      </c>
      <c r="C806" t="s">
        <v>607</v>
      </c>
      <c r="D806" t="s">
        <v>601</v>
      </c>
      <c r="E806" t="s">
        <v>1915</v>
      </c>
      <c r="F806">
        <v>3.0022967577244528</v>
      </c>
      <c r="G806">
        <v>16.142756164383563</v>
      </c>
      <c r="H806" t="s">
        <v>1920</v>
      </c>
      <c r="I806" t="s">
        <v>611</v>
      </c>
      <c r="J806">
        <v>2.625</v>
      </c>
      <c r="K806" t="s">
        <v>727</v>
      </c>
      <c r="L806">
        <v>65000</v>
      </c>
      <c r="M806">
        <v>1.85</v>
      </c>
      <c r="N806">
        <v>16.142756164383563</v>
      </c>
      <c r="O806" t="s">
        <v>592</v>
      </c>
      <c r="P806" t="s">
        <v>711</v>
      </c>
      <c r="Q806" t="s">
        <v>586</v>
      </c>
      <c r="R806" t="s">
        <v>712</v>
      </c>
      <c r="S806" t="s">
        <v>594</v>
      </c>
      <c r="T806">
        <v>63</v>
      </c>
    </row>
    <row r="807" spans="1:20" x14ac:dyDescent="0.25">
      <c r="A807" t="s">
        <v>1924</v>
      </c>
      <c r="B807" t="s">
        <v>271</v>
      </c>
      <c r="C807" t="s">
        <v>586</v>
      </c>
      <c r="D807" t="s">
        <v>1124</v>
      </c>
      <c r="E807" t="s">
        <v>1925</v>
      </c>
      <c r="F807">
        <v>0.49418209982065958</v>
      </c>
      <c r="G807">
        <v>42.117565604269089</v>
      </c>
      <c r="H807" t="s">
        <v>1926</v>
      </c>
      <c r="I807" t="s">
        <v>716</v>
      </c>
      <c r="J807">
        <v>2.25</v>
      </c>
      <c r="K807" t="s">
        <v>807</v>
      </c>
      <c r="L807">
        <v>115000</v>
      </c>
      <c r="M807">
        <v>1.7000000000000002</v>
      </c>
      <c r="N807">
        <v>42.117565604269089</v>
      </c>
      <c r="O807" t="s">
        <v>592</v>
      </c>
      <c r="P807" t="s">
        <v>711</v>
      </c>
      <c r="Q807" t="s">
        <v>586</v>
      </c>
      <c r="R807" t="s">
        <v>712</v>
      </c>
      <c r="S807" t="s">
        <v>712</v>
      </c>
      <c r="T807">
        <v>87</v>
      </c>
    </row>
    <row r="808" spans="1:20" x14ac:dyDescent="0.25">
      <c r="A808" t="s">
        <v>1927</v>
      </c>
      <c r="B808" t="s">
        <v>271</v>
      </c>
      <c r="C808" t="s">
        <v>586</v>
      </c>
      <c r="D808" t="s">
        <v>1124</v>
      </c>
      <c r="E808" t="s">
        <v>1925</v>
      </c>
      <c r="F808">
        <v>1.4673703507094935</v>
      </c>
      <c r="G808">
        <v>42.010276793984971</v>
      </c>
      <c r="H808" t="s">
        <v>1926</v>
      </c>
      <c r="I808" t="s">
        <v>716</v>
      </c>
      <c r="J808">
        <v>2.25</v>
      </c>
      <c r="K808" t="s">
        <v>780</v>
      </c>
      <c r="L808">
        <v>125000</v>
      </c>
      <c r="M808">
        <v>1.85</v>
      </c>
      <c r="N808">
        <v>42.010276793984971</v>
      </c>
      <c r="O808" t="s">
        <v>592</v>
      </c>
      <c r="P808" t="s">
        <v>711</v>
      </c>
      <c r="Q808" t="s">
        <v>586</v>
      </c>
      <c r="R808" t="s">
        <v>712</v>
      </c>
      <c r="S808" t="s">
        <v>712</v>
      </c>
      <c r="T808">
        <v>71</v>
      </c>
    </row>
    <row r="809" spans="1:20" x14ac:dyDescent="0.25">
      <c r="A809" t="s">
        <v>1928</v>
      </c>
      <c r="B809" t="s">
        <v>272</v>
      </c>
      <c r="C809" t="s">
        <v>586</v>
      </c>
      <c r="D809" t="s">
        <v>608</v>
      </c>
      <c r="E809" t="s">
        <v>1321</v>
      </c>
      <c r="F809">
        <v>8.046078042745991E-2</v>
      </c>
      <c r="G809">
        <v>113.33185735392588</v>
      </c>
      <c r="H809" t="s">
        <v>1000</v>
      </c>
      <c r="I809" t="s">
        <v>611</v>
      </c>
      <c r="J809">
        <v>3</v>
      </c>
      <c r="K809" t="s">
        <v>950</v>
      </c>
      <c r="L809">
        <v>20000</v>
      </c>
      <c r="M809">
        <v>2.3000000000000003</v>
      </c>
      <c r="N809">
        <v>113.33185735392588</v>
      </c>
      <c r="O809" t="s">
        <v>592</v>
      </c>
      <c r="P809" t="s">
        <v>613</v>
      </c>
      <c r="Q809" t="s">
        <v>586</v>
      </c>
      <c r="R809" t="s">
        <v>712</v>
      </c>
      <c r="S809" t="s">
        <v>712</v>
      </c>
      <c r="T809">
        <v>94</v>
      </c>
    </row>
    <row r="810" spans="1:20" x14ac:dyDescent="0.25">
      <c r="A810" t="s">
        <v>1929</v>
      </c>
      <c r="B810" t="s">
        <v>272</v>
      </c>
      <c r="C810" t="s">
        <v>586</v>
      </c>
      <c r="D810" t="s">
        <v>608</v>
      </c>
      <c r="E810" t="s">
        <v>1321</v>
      </c>
      <c r="F810">
        <v>1.0478688538644696</v>
      </c>
      <c r="G810">
        <v>113.15434938414555</v>
      </c>
      <c r="H810" t="s">
        <v>1000</v>
      </c>
      <c r="I810" t="s">
        <v>611</v>
      </c>
      <c r="J810">
        <v>3</v>
      </c>
      <c r="K810" t="s">
        <v>612</v>
      </c>
      <c r="L810">
        <v>15000</v>
      </c>
      <c r="M810">
        <v>2.4500000000000002</v>
      </c>
      <c r="N810">
        <v>113.15434938414555</v>
      </c>
      <c r="O810" t="s">
        <v>592</v>
      </c>
      <c r="P810" t="s">
        <v>613</v>
      </c>
      <c r="Q810" t="s">
        <v>586</v>
      </c>
      <c r="R810" t="s">
        <v>712</v>
      </c>
      <c r="S810" t="s">
        <v>712</v>
      </c>
      <c r="T810">
        <v>70</v>
      </c>
    </row>
    <row r="811" spans="1:20" x14ac:dyDescent="0.25">
      <c r="A811" t="s">
        <v>1930</v>
      </c>
      <c r="B811" t="s">
        <v>272</v>
      </c>
      <c r="C811" t="s">
        <v>586</v>
      </c>
      <c r="D811" t="s">
        <v>608</v>
      </c>
      <c r="E811" t="s">
        <v>1321</v>
      </c>
      <c r="F811">
        <v>1.9856048657182324</v>
      </c>
      <c r="G811">
        <v>112.87720279787312</v>
      </c>
      <c r="H811" t="s">
        <v>1000</v>
      </c>
      <c r="I811" t="s">
        <v>611</v>
      </c>
      <c r="J811">
        <v>3</v>
      </c>
      <c r="K811" t="s">
        <v>956</v>
      </c>
      <c r="L811">
        <v>15000</v>
      </c>
      <c r="M811">
        <v>2.6</v>
      </c>
      <c r="N811">
        <v>112.87720279787312</v>
      </c>
      <c r="O811" t="s">
        <v>592</v>
      </c>
      <c r="P811" t="s">
        <v>613</v>
      </c>
      <c r="Q811" t="s">
        <v>586</v>
      </c>
      <c r="R811" t="s">
        <v>712</v>
      </c>
      <c r="S811" t="s">
        <v>712</v>
      </c>
      <c r="T811">
        <v>55</v>
      </c>
    </row>
    <row r="812" spans="1:20" x14ac:dyDescent="0.25">
      <c r="A812" t="s">
        <v>1931</v>
      </c>
      <c r="B812" t="s">
        <v>272</v>
      </c>
      <c r="C812" t="s">
        <v>586</v>
      </c>
      <c r="D812" t="s">
        <v>608</v>
      </c>
      <c r="E812" t="s">
        <v>1321</v>
      </c>
      <c r="F812">
        <v>2.8957190849825012</v>
      </c>
      <c r="G812">
        <v>112.93698037751034</v>
      </c>
      <c r="H812" t="s">
        <v>1000</v>
      </c>
      <c r="I812" t="s">
        <v>611</v>
      </c>
      <c r="J812">
        <v>3</v>
      </c>
      <c r="K812" t="s">
        <v>1334</v>
      </c>
      <c r="L812">
        <v>15000</v>
      </c>
      <c r="M812">
        <v>2.75</v>
      </c>
      <c r="N812">
        <v>112.93698037751034</v>
      </c>
      <c r="O812" t="s">
        <v>592</v>
      </c>
      <c r="P812" t="s">
        <v>613</v>
      </c>
      <c r="Q812" t="s">
        <v>586</v>
      </c>
      <c r="R812" t="s">
        <v>712</v>
      </c>
      <c r="S812" t="s">
        <v>712</v>
      </c>
      <c r="T812">
        <v>45</v>
      </c>
    </row>
    <row r="813" spans="1:20" x14ac:dyDescent="0.25">
      <c r="A813" t="s">
        <v>1932</v>
      </c>
      <c r="B813" t="s">
        <v>272</v>
      </c>
      <c r="C813" t="s">
        <v>586</v>
      </c>
      <c r="D813" t="s">
        <v>608</v>
      </c>
      <c r="E813" t="s">
        <v>1321</v>
      </c>
      <c r="F813">
        <v>3.7782983628188487</v>
      </c>
      <c r="G813">
        <v>114.67150520279947</v>
      </c>
      <c r="H813" t="s">
        <v>1000</v>
      </c>
      <c r="I813" t="s">
        <v>611</v>
      </c>
      <c r="J813">
        <v>3</v>
      </c>
      <c r="K813" t="s">
        <v>1220</v>
      </c>
      <c r="L813">
        <v>15000</v>
      </c>
      <c r="M813">
        <v>2.9000000000000004</v>
      </c>
      <c r="N813">
        <v>114.67150520279947</v>
      </c>
      <c r="O813" t="s">
        <v>592</v>
      </c>
      <c r="P813" t="s">
        <v>613</v>
      </c>
      <c r="Q813" t="s">
        <v>586</v>
      </c>
      <c r="R813" t="s">
        <v>712</v>
      </c>
      <c r="S813" t="s">
        <v>712</v>
      </c>
      <c r="T813">
        <v>38</v>
      </c>
    </row>
    <row r="814" spans="1:20" x14ac:dyDescent="0.25">
      <c r="A814" t="s">
        <v>1933</v>
      </c>
      <c r="B814" t="s">
        <v>273</v>
      </c>
      <c r="C814" t="s">
        <v>607</v>
      </c>
      <c r="D814" t="s">
        <v>608</v>
      </c>
      <c r="E814" t="s">
        <v>850</v>
      </c>
      <c r="F814">
        <v>8.0474312174032572E-2</v>
      </c>
      <c r="G814">
        <v>56.053849315068518</v>
      </c>
      <c r="H814" t="s">
        <v>981</v>
      </c>
      <c r="I814" t="s">
        <v>885</v>
      </c>
      <c r="J814">
        <v>3</v>
      </c>
      <c r="K814" t="s">
        <v>950</v>
      </c>
      <c r="L814">
        <v>100000</v>
      </c>
      <c r="M814">
        <v>2.2000000000000002</v>
      </c>
      <c r="N814">
        <v>56.053849315068518</v>
      </c>
      <c r="O814" t="s">
        <v>592</v>
      </c>
      <c r="P814" t="s">
        <v>613</v>
      </c>
      <c r="Q814" t="s">
        <v>586</v>
      </c>
      <c r="R814" t="s">
        <v>712</v>
      </c>
      <c r="S814" t="s">
        <v>878</v>
      </c>
      <c r="T814">
        <v>99</v>
      </c>
    </row>
    <row r="815" spans="1:20" x14ac:dyDescent="0.25">
      <c r="A815" t="s">
        <v>1934</v>
      </c>
      <c r="B815" t="s">
        <v>273</v>
      </c>
      <c r="C815" t="s">
        <v>607</v>
      </c>
      <c r="D815" t="s">
        <v>608</v>
      </c>
      <c r="E815" t="s">
        <v>850</v>
      </c>
      <c r="F815">
        <v>1.0489864773367461</v>
      </c>
      <c r="G815">
        <v>58.639178082191769</v>
      </c>
      <c r="H815" t="s">
        <v>981</v>
      </c>
      <c r="I815" t="s">
        <v>885</v>
      </c>
      <c r="J815">
        <v>3</v>
      </c>
      <c r="K815" t="s">
        <v>612</v>
      </c>
      <c r="L815">
        <v>100000</v>
      </c>
      <c r="M815">
        <v>2.3000000000000003</v>
      </c>
      <c r="N815">
        <v>58.639178082191769</v>
      </c>
      <c r="O815" t="s">
        <v>592</v>
      </c>
      <c r="P815" t="s">
        <v>613</v>
      </c>
      <c r="Q815" t="s">
        <v>586</v>
      </c>
      <c r="R815" t="s">
        <v>712</v>
      </c>
      <c r="S815" t="s">
        <v>878</v>
      </c>
      <c r="T815">
        <v>90</v>
      </c>
    </row>
    <row r="816" spans="1:20" x14ac:dyDescent="0.25">
      <c r="A816" t="s">
        <v>1935</v>
      </c>
      <c r="B816" t="s">
        <v>273</v>
      </c>
      <c r="C816" t="s">
        <v>607</v>
      </c>
      <c r="D816" t="s">
        <v>608</v>
      </c>
      <c r="E816" t="s">
        <v>850</v>
      </c>
      <c r="F816">
        <v>1.9879801084261959</v>
      </c>
      <c r="G816">
        <v>60.720082191780818</v>
      </c>
      <c r="H816" t="s">
        <v>981</v>
      </c>
      <c r="I816" t="s">
        <v>885</v>
      </c>
      <c r="J816">
        <v>3</v>
      </c>
      <c r="K816" t="s">
        <v>956</v>
      </c>
      <c r="L816">
        <v>100000</v>
      </c>
      <c r="M816">
        <v>2.4000000000000004</v>
      </c>
      <c r="N816">
        <v>60.720082191780818</v>
      </c>
      <c r="O816" t="s">
        <v>592</v>
      </c>
      <c r="P816" t="s">
        <v>613</v>
      </c>
      <c r="Q816" t="s">
        <v>586</v>
      </c>
      <c r="R816" t="s">
        <v>712</v>
      </c>
      <c r="S816" t="s">
        <v>878</v>
      </c>
      <c r="T816">
        <v>78</v>
      </c>
    </row>
    <row r="817" spans="1:20" x14ac:dyDescent="0.25">
      <c r="A817" t="s">
        <v>1936</v>
      </c>
      <c r="B817" t="s">
        <v>274</v>
      </c>
      <c r="C817" t="s">
        <v>586</v>
      </c>
      <c r="D817" t="s">
        <v>608</v>
      </c>
      <c r="E817" t="s">
        <v>850</v>
      </c>
      <c r="F817">
        <v>8.0455799914296397E-2</v>
      </c>
      <c r="G817">
        <v>89.216079091325412</v>
      </c>
      <c r="H817" t="s">
        <v>892</v>
      </c>
      <c r="I817" t="s">
        <v>1591</v>
      </c>
      <c r="J817">
        <v>2.6</v>
      </c>
      <c r="K817" t="s">
        <v>950</v>
      </c>
      <c r="L817">
        <v>115000</v>
      </c>
      <c r="M817">
        <v>2.6</v>
      </c>
      <c r="N817">
        <v>89.216079091325412</v>
      </c>
      <c r="O817" t="s">
        <v>592</v>
      </c>
      <c r="P817" t="s">
        <v>613</v>
      </c>
      <c r="Q817" t="s">
        <v>586</v>
      </c>
      <c r="R817" t="s">
        <v>712</v>
      </c>
      <c r="S817" t="s">
        <v>712</v>
      </c>
      <c r="T817">
        <v>99</v>
      </c>
    </row>
    <row r="818" spans="1:20" x14ac:dyDescent="0.25">
      <c r="A818" t="s">
        <v>1937</v>
      </c>
      <c r="B818" t="s">
        <v>274</v>
      </c>
      <c r="C818" t="s">
        <v>586</v>
      </c>
      <c r="D818" t="s">
        <v>608</v>
      </c>
      <c r="E818" t="s">
        <v>850</v>
      </c>
      <c r="F818">
        <v>1.0488371352298673</v>
      </c>
      <c r="G818">
        <v>92.550458216026783</v>
      </c>
      <c r="H818" t="s">
        <v>892</v>
      </c>
      <c r="I818" t="s">
        <v>1591</v>
      </c>
      <c r="J818">
        <v>2.8</v>
      </c>
      <c r="K818" t="s">
        <v>612</v>
      </c>
      <c r="L818">
        <v>120000</v>
      </c>
      <c r="M818">
        <v>2.8000000000000003</v>
      </c>
      <c r="N818">
        <v>92.550458216026783</v>
      </c>
      <c r="O818" t="s">
        <v>592</v>
      </c>
      <c r="P818" t="s">
        <v>613</v>
      </c>
      <c r="Q818" t="s">
        <v>586</v>
      </c>
      <c r="R818" t="s">
        <v>712</v>
      </c>
      <c r="S818" t="s">
        <v>712</v>
      </c>
      <c r="T818">
        <v>85</v>
      </c>
    </row>
    <row r="819" spans="1:20" x14ac:dyDescent="0.25">
      <c r="A819" t="s">
        <v>1938</v>
      </c>
      <c r="B819" t="s">
        <v>274</v>
      </c>
      <c r="C819" t="s">
        <v>586</v>
      </c>
      <c r="D819" t="s">
        <v>608</v>
      </c>
      <c r="E819" t="s">
        <v>850</v>
      </c>
      <c r="F819">
        <v>1.9847554800179781</v>
      </c>
      <c r="G819">
        <v>96.206214376100618</v>
      </c>
      <c r="H819" t="s">
        <v>892</v>
      </c>
      <c r="I819" t="s">
        <v>1591</v>
      </c>
      <c r="J819">
        <v>3</v>
      </c>
      <c r="K819" t="s">
        <v>956</v>
      </c>
      <c r="L819">
        <v>125000</v>
      </c>
      <c r="M819">
        <v>3</v>
      </c>
      <c r="N819">
        <v>96.206214376100618</v>
      </c>
      <c r="O819" t="s">
        <v>592</v>
      </c>
      <c r="P819" t="s">
        <v>613</v>
      </c>
      <c r="Q819" t="s">
        <v>586</v>
      </c>
      <c r="R819" t="s">
        <v>712</v>
      </c>
      <c r="S819" t="s">
        <v>712</v>
      </c>
      <c r="T819">
        <v>72</v>
      </c>
    </row>
    <row r="820" spans="1:20" x14ac:dyDescent="0.25">
      <c r="A820" t="s">
        <v>1939</v>
      </c>
      <c r="B820" t="s">
        <v>274</v>
      </c>
      <c r="C820" t="s">
        <v>586</v>
      </c>
      <c r="D820" t="s">
        <v>608</v>
      </c>
      <c r="E820" t="s">
        <v>850</v>
      </c>
      <c r="F820">
        <v>2.8899550030678562</v>
      </c>
      <c r="G820">
        <v>101.04557847196047</v>
      </c>
      <c r="H820" t="s">
        <v>892</v>
      </c>
      <c r="I820" t="s">
        <v>1591</v>
      </c>
      <c r="J820">
        <v>3.1</v>
      </c>
      <c r="K820" t="s">
        <v>1334</v>
      </c>
      <c r="L820">
        <v>135000</v>
      </c>
      <c r="M820">
        <v>3.2</v>
      </c>
      <c r="N820">
        <v>101.04557847196047</v>
      </c>
      <c r="O820" t="s">
        <v>592</v>
      </c>
      <c r="P820" t="s">
        <v>613</v>
      </c>
      <c r="Q820" t="s">
        <v>586</v>
      </c>
      <c r="R820" t="s">
        <v>712</v>
      </c>
      <c r="S820" t="s">
        <v>712</v>
      </c>
      <c r="T820">
        <v>56</v>
      </c>
    </row>
    <row r="821" spans="1:20" x14ac:dyDescent="0.25">
      <c r="A821" t="s">
        <v>1940</v>
      </c>
      <c r="B821" t="s">
        <v>275</v>
      </c>
      <c r="C821" t="s">
        <v>607</v>
      </c>
      <c r="D821" t="s">
        <v>608</v>
      </c>
      <c r="E821" t="s">
        <v>850</v>
      </c>
      <c r="F821">
        <v>0.65361252024510774</v>
      </c>
      <c r="G821">
        <v>43.229816438356174</v>
      </c>
      <c r="H821" t="s">
        <v>610</v>
      </c>
      <c r="I821" t="s">
        <v>611</v>
      </c>
      <c r="J821">
        <v>2</v>
      </c>
      <c r="K821" t="s">
        <v>787</v>
      </c>
      <c r="L821">
        <v>45000</v>
      </c>
      <c r="M821">
        <v>2</v>
      </c>
      <c r="N821">
        <v>43.229816438356174</v>
      </c>
      <c r="O821" t="s">
        <v>592</v>
      </c>
      <c r="P821" t="s">
        <v>613</v>
      </c>
      <c r="Q821" t="s">
        <v>586</v>
      </c>
      <c r="R821" t="s">
        <v>712</v>
      </c>
      <c r="S821" t="s">
        <v>712</v>
      </c>
      <c r="T821">
        <v>82</v>
      </c>
    </row>
    <row r="822" spans="1:20" x14ac:dyDescent="0.25">
      <c r="A822" t="s">
        <v>1941</v>
      </c>
      <c r="B822" t="s">
        <v>275</v>
      </c>
      <c r="C822" t="s">
        <v>607</v>
      </c>
      <c r="D822" t="s">
        <v>608</v>
      </c>
      <c r="E822" t="s">
        <v>850</v>
      </c>
      <c r="F822">
        <v>1.6036167585770702</v>
      </c>
      <c r="G822">
        <v>47.83058904109587</v>
      </c>
      <c r="H822" t="s">
        <v>610</v>
      </c>
      <c r="I822" t="s">
        <v>611</v>
      </c>
      <c r="J822">
        <v>3</v>
      </c>
      <c r="K822" t="s">
        <v>905</v>
      </c>
      <c r="L822">
        <v>50000</v>
      </c>
      <c r="M822">
        <v>2.15</v>
      </c>
      <c r="N822">
        <v>47.83058904109587</v>
      </c>
      <c r="O822" t="s">
        <v>592</v>
      </c>
      <c r="P822" t="s">
        <v>613</v>
      </c>
      <c r="Q822" t="s">
        <v>586</v>
      </c>
      <c r="R822" t="s">
        <v>712</v>
      </c>
      <c r="S822" t="s">
        <v>712</v>
      </c>
      <c r="T822">
        <v>73</v>
      </c>
    </row>
    <row r="823" spans="1:20" x14ac:dyDescent="0.25">
      <c r="A823" t="s">
        <v>1942</v>
      </c>
      <c r="B823" t="s">
        <v>67</v>
      </c>
      <c r="C823" t="s">
        <v>586</v>
      </c>
      <c r="D823" t="s">
        <v>608</v>
      </c>
      <c r="E823" t="s">
        <v>850</v>
      </c>
      <c r="F823">
        <v>0.73262689417443116</v>
      </c>
      <c r="G823">
        <v>40.245833148750343</v>
      </c>
      <c r="H823" t="s">
        <v>851</v>
      </c>
      <c r="I823" t="s">
        <v>611</v>
      </c>
      <c r="J823">
        <v>4</v>
      </c>
      <c r="K823" t="s">
        <v>861</v>
      </c>
      <c r="L823">
        <v>720000</v>
      </c>
      <c r="M823">
        <v>2.27</v>
      </c>
      <c r="N823">
        <v>40.245833148750343</v>
      </c>
      <c r="O823" t="s">
        <v>592</v>
      </c>
      <c r="P823" t="s">
        <v>621</v>
      </c>
      <c r="Q823" t="s">
        <v>586</v>
      </c>
      <c r="R823">
        <v>245000</v>
      </c>
      <c r="S823" t="s">
        <v>594</v>
      </c>
      <c r="T823">
        <v>94</v>
      </c>
    </row>
    <row r="824" spans="1:20" x14ac:dyDescent="0.25">
      <c r="A824" t="s">
        <v>1943</v>
      </c>
      <c r="B824" t="s">
        <v>67</v>
      </c>
      <c r="C824" t="s">
        <v>586</v>
      </c>
      <c r="D824" t="s">
        <v>608</v>
      </c>
      <c r="E824" t="s">
        <v>850</v>
      </c>
      <c r="F824">
        <v>1.6758154540160672</v>
      </c>
      <c r="G824">
        <v>43.69572666939554</v>
      </c>
      <c r="H824" t="s">
        <v>851</v>
      </c>
      <c r="I824" t="s">
        <v>611</v>
      </c>
      <c r="J824">
        <v>4</v>
      </c>
      <c r="K824" t="s">
        <v>682</v>
      </c>
      <c r="L824">
        <v>750000</v>
      </c>
      <c r="M824">
        <v>2.44</v>
      </c>
      <c r="N824">
        <v>43.69572666939554</v>
      </c>
      <c r="O824" t="s">
        <v>592</v>
      </c>
      <c r="P824" t="s">
        <v>621</v>
      </c>
      <c r="Q824" t="s">
        <v>586</v>
      </c>
      <c r="R824" t="s">
        <v>712</v>
      </c>
      <c r="S824" t="s">
        <v>594</v>
      </c>
      <c r="T824">
        <v>85</v>
      </c>
    </row>
    <row r="825" spans="1:20" x14ac:dyDescent="0.25">
      <c r="A825" t="s">
        <v>1944</v>
      </c>
      <c r="B825" t="s">
        <v>67</v>
      </c>
      <c r="C825" t="s">
        <v>586</v>
      </c>
      <c r="D825" t="s">
        <v>608</v>
      </c>
      <c r="E825" t="s">
        <v>850</v>
      </c>
      <c r="F825">
        <v>2.5841594576249345</v>
      </c>
      <c r="G825">
        <v>44.729636414339069</v>
      </c>
      <c r="H825" t="s">
        <v>851</v>
      </c>
      <c r="I825" t="s">
        <v>611</v>
      </c>
      <c r="J825">
        <v>4</v>
      </c>
      <c r="K825" t="s">
        <v>930</v>
      </c>
      <c r="L825">
        <v>780000</v>
      </c>
      <c r="M825">
        <v>2.58</v>
      </c>
      <c r="N825">
        <v>44.729636414339069</v>
      </c>
      <c r="O825" t="s">
        <v>592</v>
      </c>
      <c r="P825" t="s">
        <v>621</v>
      </c>
      <c r="Q825" t="s">
        <v>586</v>
      </c>
      <c r="R825" t="s">
        <v>712</v>
      </c>
      <c r="S825" t="s">
        <v>594</v>
      </c>
      <c r="T825">
        <v>75</v>
      </c>
    </row>
    <row r="826" spans="1:20" x14ac:dyDescent="0.25">
      <c r="A826" t="s">
        <v>1945</v>
      </c>
      <c r="B826" t="s">
        <v>67</v>
      </c>
      <c r="C826" t="s">
        <v>586</v>
      </c>
      <c r="D826" t="s">
        <v>608</v>
      </c>
      <c r="E826" t="s">
        <v>850</v>
      </c>
      <c r="F826">
        <v>3.4596252442410713</v>
      </c>
      <c r="G826">
        <v>46.598742823747585</v>
      </c>
      <c r="H826" t="s">
        <v>851</v>
      </c>
      <c r="I826" t="s">
        <v>611</v>
      </c>
      <c r="J826">
        <v>4</v>
      </c>
      <c r="K826" t="s">
        <v>684</v>
      </c>
      <c r="L826">
        <v>810000</v>
      </c>
      <c r="M826">
        <v>2.71</v>
      </c>
      <c r="N826">
        <v>46.598742823747585</v>
      </c>
      <c r="O826" t="s">
        <v>592</v>
      </c>
      <c r="P826" t="s">
        <v>621</v>
      </c>
      <c r="Q826" t="s">
        <v>586</v>
      </c>
      <c r="R826" t="s">
        <v>712</v>
      </c>
      <c r="S826" t="s">
        <v>594</v>
      </c>
      <c r="T826">
        <v>67</v>
      </c>
    </row>
    <row r="827" spans="1:20" x14ac:dyDescent="0.25">
      <c r="A827" t="s">
        <v>1946</v>
      </c>
      <c r="B827" t="s">
        <v>276</v>
      </c>
      <c r="C827" t="s">
        <v>586</v>
      </c>
      <c r="D827" t="s">
        <v>795</v>
      </c>
      <c r="E827" t="s">
        <v>1947</v>
      </c>
      <c r="F827">
        <v>0.24655069719138234</v>
      </c>
      <c r="G827">
        <v>10.435123287671244</v>
      </c>
      <c r="H827" t="s">
        <v>981</v>
      </c>
      <c r="I827" t="s">
        <v>1126</v>
      </c>
      <c r="J827">
        <v>2</v>
      </c>
      <c r="K827" t="s">
        <v>694</v>
      </c>
      <c r="L827">
        <v>225000</v>
      </c>
      <c r="M827">
        <v>1.8</v>
      </c>
      <c r="N827">
        <v>10.435123287671244</v>
      </c>
      <c r="O827" t="s">
        <v>592</v>
      </c>
      <c r="P827" t="s">
        <v>711</v>
      </c>
      <c r="Q827" t="s">
        <v>586</v>
      </c>
      <c r="R827" t="s">
        <v>712</v>
      </c>
      <c r="S827" t="s">
        <v>712</v>
      </c>
      <c r="T827">
        <v>94</v>
      </c>
    </row>
    <row r="828" spans="1:20" x14ac:dyDescent="0.25">
      <c r="A828" t="s">
        <v>1948</v>
      </c>
      <c r="B828" t="s">
        <v>276</v>
      </c>
      <c r="C828" t="s">
        <v>586</v>
      </c>
      <c r="D828" t="s">
        <v>795</v>
      </c>
      <c r="E828" t="s">
        <v>1947</v>
      </c>
      <c r="F828">
        <v>1.2218558258349912</v>
      </c>
      <c r="G828">
        <v>12.898452054794518</v>
      </c>
      <c r="H828" t="s">
        <v>981</v>
      </c>
      <c r="I828" t="s">
        <v>1126</v>
      </c>
      <c r="J828">
        <v>2</v>
      </c>
      <c r="K828" t="s">
        <v>764</v>
      </c>
      <c r="L828">
        <v>230000</v>
      </c>
      <c r="M828">
        <v>1.9000000000000001</v>
      </c>
      <c r="N828">
        <v>12.898452054794518</v>
      </c>
      <c r="O828" t="s">
        <v>592</v>
      </c>
      <c r="P828" t="s">
        <v>711</v>
      </c>
      <c r="Q828" t="s">
        <v>586</v>
      </c>
      <c r="R828" t="s">
        <v>712</v>
      </c>
      <c r="S828" t="s">
        <v>712</v>
      </c>
      <c r="T828">
        <v>76</v>
      </c>
    </row>
    <row r="829" spans="1:20" x14ac:dyDescent="0.25">
      <c r="A829" t="s">
        <v>1949</v>
      </c>
      <c r="B829" t="s">
        <v>276</v>
      </c>
      <c r="C829" t="s">
        <v>586</v>
      </c>
      <c r="D829" t="s">
        <v>795</v>
      </c>
      <c r="E829" t="s">
        <v>1947</v>
      </c>
      <c r="F829">
        <v>2.1771216192220142</v>
      </c>
      <c r="G829">
        <v>13.952243835616439</v>
      </c>
      <c r="H829" t="s">
        <v>981</v>
      </c>
      <c r="I829" t="s">
        <v>1126</v>
      </c>
      <c r="J829">
        <v>2</v>
      </c>
      <c r="K829" t="s">
        <v>699</v>
      </c>
      <c r="L829">
        <v>235000</v>
      </c>
      <c r="M829">
        <v>2</v>
      </c>
      <c r="N829">
        <v>13.952243835616439</v>
      </c>
      <c r="O829" t="s">
        <v>592</v>
      </c>
      <c r="P829" t="s">
        <v>711</v>
      </c>
      <c r="Q829" t="s">
        <v>586</v>
      </c>
      <c r="R829" t="s">
        <v>712</v>
      </c>
      <c r="S829" t="s">
        <v>712</v>
      </c>
      <c r="T829">
        <v>62</v>
      </c>
    </row>
    <row r="830" spans="1:20" x14ac:dyDescent="0.25">
      <c r="A830" t="s">
        <v>1950</v>
      </c>
      <c r="B830" t="s">
        <v>41</v>
      </c>
      <c r="C830" t="s">
        <v>586</v>
      </c>
      <c r="D830" t="s">
        <v>731</v>
      </c>
      <c r="E830" t="s">
        <v>732</v>
      </c>
      <c r="F830">
        <v>4.1513426303433052</v>
      </c>
      <c r="G830">
        <v>-2.9319589340530694</v>
      </c>
      <c r="H830" t="s">
        <v>639</v>
      </c>
      <c r="I830" t="s">
        <v>733</v>
      </c>
      <c r="J830">
        <v>5</v>
      </c>
      <c r="K830" t="s">
        <v>1350</v>
      </c>
      <c r="L830">
        <v>10780000</v>
      </c>
      <c r="M830">
        <v>2.2600000000000002</v>
      </c>
      <c r="N830">
        <v>-2.9319589340530694</v>
      </c>
      <c r="O830" t="s">
        <v>592</v>
      </c>
      <c r="P830" t="s">
        <v>593</v>
      </c>
      <c r="Q830" t="s">
        <v>586</v>
      </c>
      <c r="R830">
        <v>85000</v>
      </c>
      <c r="S830" t="s">
        <v>599</v>
      </c>
      <c r="T830">
        <v>71</v>
      </c>
    </row>
    <row r="831" spans="1:20" x14ac:dyDescent="0.25">
      <c r="A831" t="s">
        <v>1951</v>
      </c>
      <c r="B831" t="s">
        <v>277</v>
      </c>
      <c r="C831" t="s">
        <v>607</v>
      </c>
      <c r="D831" t="s">
        <v>608</v>
      </c>
      <c r="E831" t="s">
        <v>1321</v>
      </c>
      <c r="F831">
        <v>0.65393852642522987</v>
      </c>
      <c r="G831">
        <v>56.798073990058008</v>
      </c>
      <c r="H831" t="s">
        <v>1000</v>
      </c>
      <c r="I831" t="s">
        <v>611</v>
      </c>
      <c r="J831">
        <v>2</v>
      </c>
      <c r="K831" t="s">
        <v>787</v>
      </c>
      <c r="L831">
        <v>200000</v>
      </c>
      <c r="M831">
        <v>1.9000000000000001</v>
      </c>
      <c r="N831">
        <v>56.798073990058008</v>
      </c>
      <c r="O831" t="s">
        <v>592</v>
      </c>
      <c r="P831" t="s">
        <v>613</v>
      </c>
      <c r="Q831" t="s">
        <v>586</v>
      </c>
      <c r="R831" t="s">
        <v>712</v>
      </c>
      <c r="S831" t="s">
        <v>712</v>
      </c>
      <c r="T831">
        <v>93</v>
      </c>
    </row>
    <row r="832" spans="1:20" x14ac:dyDescent="0.25">
      <c r="A832" t="s">
        <v>1952</v>
      </c>
      <c r="B832" t="s">
        <v>277</v>
      </c>
      <c r="C832" t="s">
        <v>607</v>
      </c>
      <c r="D832" t="s">
        <v>608</v>
      </c>
      <c r="E832" t="s">
        <v>1321</v>
      </c>
      <c r="F832">
        <v>1.6182576050313369</v>
      </c>
      <c r="G832">
        <v>62.163054036177165</v>
      </c>
      <c r="H832" t="s">
        <v>1000</v>
      </c>
      <c r="I832" t="s">
        <v>611</v>
      </c>
      <c r="J832">
        <v>2</v>
      </c>
      <c r="K832" t="s">
        <v>905</v>
      </c>
      <c r="L832">
        <v>200000</v>
      </c>
      <c r="M832">
        <v>2.1</v>
      </c>
      <c r="N832">
        <v>62.163054036177165</v>
      </c>
      <c r="O832" t="s">
        <v>592</v>
      </c>
      <c r="P832" t="s">
        <v>613</v>
      </c>
      <c r="Q832" t="s">
        <v>586</v>
      </c>
      <c r="R832" t="s">
        <v>712</v>
      </c>
      <c r="S832" t="s">
        <v>712</v>
      </c>
      <c r="T832">
        <v>77</v>
      </c>
    </row>
    <row r="833" spans="1:20" x14ac:dyDescent="0.25">
      <c r="A833" t="s">
        <v>1953</v>
      </c>
      <c r="B833" t="s">
        <v>278</v>
      </c>
      <c r="C833" t="s">
        <v>586</v>
      </c>
      <c r="D833" t="s">
        <v>608</v>
      </c>
      <c r="E833" t="s">
        <v>1321</v>
      </c>
      <c r="F833">
        <v>8.0455782177245402E-2</v>
      </c>
      <c r="G833">
        <v>102.78999057865646</v>
      </c>
      <c r="H833" t="s">
        <v>761</v>
      </c>
      <c r="I833" t="s">
        <v>885</v>
      </c>
      <c r="J833">
        <v>2.25</v>
      </c>
      <c r="K833" t="s">
        <v>950</v>
      </c>
      <c r="L833">
        <v>60000</v>
      </c>
      <c r="M833">
        <v>2.25</v>
      </c>
      <c r="N833">
        <v>102.78999057865646</v>
      </c>
      <c r="O833" t="s">
        <v>592</v>
      </c>
      <c r="P833" t="s">
        <v>613</v>
      </c>
      <c r="Q833" t="s">
        <v>586</v>
      </c>
      <c r="R833" t="s">
        <v>712</v>
      </c>
      <c r="S833" t="s">
        <v>712</v>
      </c>
      <c r="T833">
        <v>99</v>
      </c>
    </row>
    <row r="834" spans="1:20" x14ac:dyDescent="0.25">
      <c r="A834" t="s">
        <v>1954</v>
      </c>
      <c r="B834" t="s">
        <v>278</v>
      </c>
      <c r="C834" t="s">
        <v>586</v>
      </c>
      <c r="D834" t="s">
        <v>608</v>
      </c>
      <c r="E834" t="s">
        <v>1321</v>
      </c>
      <c r="F834">
        <v>1.050932070145647</v>
      </c>
      <c r="G834">
        <v>112.84032322898834</v>
      </c>
      <c r="H834" t="s">
        <v>761</v>
      </c>
      <c r="I834" t="s">
        <v>885</v>
      </c>
      <c r="J834">
        <v>2.5</v>
      </c>
      <c r="K834" t="s">
        <v>612</v>
      </c>
      <c r="L834">
        <v>65000</v>
      </c>
      <c r="M834">
        <v>2.5</v>
      </c>
      <c r="N834">
        <v>112.84032322898834</v>
      </c>
      <c r="O834" t="s">
        <v>592</v>
      </c>
      <c r="P834" t="s">
        <v>613</v>
      </c>
      <c r="Q834" t="s">
        <v>586</v>
      </c>
      <c r="R834" t="s">
        <v>712</v>
      </c>
      <c r="S834" t="s">
        <v>712</v>
      </c>
      <c r="T834">
        <v>80</v>
      </c>
    </row>
    <row r="835" spans="1:20" x14ac:dyDescent="0.25">
      <c r="A835" t="s">
        <v>1955</v>
      </c>
      <c r="B835" t="s">
        <v>278</v>
      </c>
      <c r="C835" t="s">
        <v>586</v>
      </c>
      <c r="D835" t="s">
        <v>608</v>
      </c>
      <c r="E835" t="s">
        <v>1321</v>
      </c>
      <c r="F835">
        <v>1.9914281683505384</v>
      </c>
      <c r="G835">
        <v>117.70741900774804</v>
      </c>
      <c r="H835" t="s">
        <v>761</v>
      </c>
      <c r="I835" t="s">
        <v>885</v>
      </c>
      <c r="J835">
        <v>2.7</v>
      </c>
      <c r="K835" t="s">
        <v>956</v>
      </c>
      <c r="L835">
        <v>65000</v>
      </c>
      <c r="M835">
        <v>2.7</v>
      </c>
      <c r="N835">
        <v>117.70741900774804</v>
      </c>
      <c r="O835" t="s">
        <v>592</v>
      </c>
      <c r="P835" t="s">
        <v>613</v>
      </c>
      <c r="Q835" t="s">
        <v>586</v>
      </c>
      <c r="R835" t="s">
        <v>712</v>
      </c>
      <c r="S835" t="s">
        <v>712</v>
      </c>
      <c r="T835">
        <v>64</v>
      </c>
    </row>
    <row r="836" spans="1:20" x14ac:dyDescent="0.25">
      <c r="A836" t="s">
        <v>1956</v>
      </c>
      <c r="B836" t="s">
        <v>278</v>
      </c>
      <c r="C836" t="s">
        <v>586</v>
      </c>
      <c r="D836" t="s">
        <v>608</v>
      </c>
      <c r="E836" t="s">
        <v>1321</v>
      </c>
      <c r="F836">
        <v>2.9011005980867379</v>
      </c>
      <c r="G836">
        <v>117.70059414887876</v>
      </c>
      <c r="H836" t="s">
        <v>761</v>
      </c>
      <c r="I836" t="s">
        <v>885</v>
      </c>
      <c r="J836">
        <v>2.85</v>
      </c>
      <c r="K836" t="s">
        <v>1334</v>
      </c>
      <c r="L836">
        <v>60000</v>
      </c>
      <c r="M836">
        <v>2.85</v>
      </c>
      <c r="N836">
        <v>117.70059414887876</v>
      </c>
      <c r="O836" t="s">
        <v>592</v>
      </c>
      <c r="P836" t="s">
        <v>613</v>
      </c>
      <c r="Q836" t="s">
        <v>586</v>
      </c>
      <c r="R836" t="s">
        <v>712</v>
      </c>
      <c r="S836" t="s">
        <v>712</v>
      </c>
      <c r="T836">
        <v>48</v>
      </c>
    </row>
    <row r="837" spans="1:20" x14ac:dyDescent="0.25">
      <c r="A837" t="s">
        <v>1957</v>
      </c>
      <c r="B837" t="s">
        <v>279</v>
      </c>
      <c r="C837" t="s">
        <v>607</v>
      </c>
      <c r="D837" t="s">
        <v>608</v>
      </c>
      <c r="E837" t="s">
        <v>1321</v>
      </c>
      <c r="F837">
        <v>0.16357445304456419</v>
      </c>
      <c r="G837">
        <v>29.486443075120604</v>
      </c>
      <c r="H837" t="s">
        <v>1041</v>
      </c>
      <c r="I837" t="s">
        <v>1137</v>
      </c>
      <c r="J837">
        <v>2</v>
      </c>
      <c r="K837" t="s">
        <v>749</v>
      </c>
      <c r="L837">
        <v>430000</v>
      </c>
      <c r="M837">
        <v>1.97</v>
      </c>
      <c r="N837">
        <v>29.486443075120604</v>
      </c>
      <c r="O837" t="s">
        <v>592</v>
      </c>
      <c r="P837" t="s">
        <v>621</v>
      </c>
      <c r="Q837" t="s">
        <v>586</v>
      </c>
      <c r="R837" t="s">
        <v>712</v>
      </c>
      <c r="S837" t="s">
        <v>712</v>
      </c>
      <c r="T837">
        <v>99</v>
      </c>
    </row>
    <row r="838" spans="1:20" x14ac:dyDescent="0.25">
      <c r="A838" t="s">
        <v>1958</v>
      </c>
      <c r="B838" t="s">
        <v>279</v>
      </c>
      <c r="C838" t="s">
        <v>607</v>
      </c>
      <c r="D838" t="s">
        <v>608</v>
      </c>
      <c r="E838" t="s">
        <v>1321</v>
      </c>
      <c r="F838">
        <v>1.1389263900101758</v>
      </c>
      <c r="G838">
        <v>34.452343387495233</v>
      </c>
      <c r="H838" t="s">
        <v>1041</v>
      </c>
      <c r="I838" t="s">
        <v>1137</v>
      </c>
      <c r="J838">
        <v>2</v>
      </c>
      <c r="K838" t="s">
        <v>598</v>
      </c>
      <c r="L838">
        <v>440000</v>
      </c>
      <c r="M838">
        <v>2.15</v>
      </c>
      <c r="N838">
        <v>34.452343387495233</v>
      </c>
      <c r="O838" t="s">
        <v>592</v>
      </c>
      <c r="P838" t="s">
        <v>621</v>
      </c>
      <c r="Q838" t="s">
        <v>586</v>
      </c>
      <c r="R838" t="s">
        <v>712</v>
      </c>
      <c r="S838" t="s">
        <v>712</v>
      </c>
      <c r="T838">
        <v>82</v>
      </c>
    </row>
    <row r="839" spans="1:20" x14ac:dyDescent="0.25">
      <c r="A839" t="s">
        <v>1959</v>
      </c>
      <c r="B839" t="s">
        <v>279</v>
      </c>
      <c r="C839" t="s">
        <v>607</v>
      </c>
      <c r="D839" t="s">
        <v>608</v>
      </c>
      <c r="E839" t="s">
        <v>1321</v>
      </c>
      <c r="F839">
        <v>2.0713036508545724</v>
      </c>
      <c r="G839">
        <v>40.572025676084934</v>
      </c>
      <c r="H839" t="s">
        <v>1041</v>
      </c>
      <c r="I839" t="s">
        <v>1137</v>
      </c>
      <c r="J839">
        <v>3</v>
      </c>
      <c r="K839" t="s">
        <v>651</v>
      </c>
      <c r="L839">
        <v>460000</v>
      </c>
      <c r="M839">
        <v>2.34</v>
      </c>
      <c r="N839">
        <v>40.572025676084934</v>
      </c>
      <c r="O839" t="s">
        <v>592</v>
      </c>
      <c r="P839" t="s">
        <v>621</v>
      </c>
      <c r="Q839" t="s">
        <v>586</v>
      </c>
      <c r="R839" t="s">
        <v>712</v>
      </c>
      <c r="S839" t="s">
        <v>712</v>
      </c>
      <c r="T839">
        <v>74</v>
      </c>
    </row>
    <row r="840" spans="1:20" x14ac:dyDescent="0.25">
      <c r="A840" t="s">
        <v>1960</v>
      </c>
      <c r="B840" t="s">
        <v>280</v>
      </c>
      <c r="C840" t="s">
        <v>607</v>
      </c>
      <c r="D840" t="s">
        <v>608</v>
      </c>
      <c r="E840" t="s">
        <v>1321</v>
      </c>
      <c r="F840">
        <v>0.16349657822198502</v>
      </c>
      <c r="G840">
        <v>32.468113412707481</v>
      </c>
      <c r="H840" t="s">
        <v>639</v>
      </c>
      <c r="I840" t="s">
        <v>721</v>
      </c>
      <c r="J840">
        <v>3</v>
      </c>
      <c r="K840" t="s">
        <v>749</v>
      </c>
      <c r="L840">
        <v>50000</v>
      </c>
      <c r="M840">
        <v>2</v>
      </c>
      <c r="N840">
        <v>32.468113412707481</v>
      </c>
      <c r="O840" t="s">
        <v>592</v>
      </c>
      <c r="P840" t="s">
        <v>613</v>
      </c>
      <c r="Q840" t="s">
        <v>586</v>
      </c>
      <c r="R840" t="s">
        <v>712</v>
      </c>
      <c r="S840" t="s">
        <v>712</v>
      </c>
      <c r="T840">
        <v>84</v>
      </c>
    </row>
    <row r="841" spans="1:20" x14ac:dyDescent="0.25">
      <c r="A841" t="s">
        <v>1961</v>
      </c>
      <c r="B841" t="s">
        <v>280</v>
      </c>
      <c r="C841" t="s">
        <v>607</v>
      </c>
      <c r="D841" t="s">
        <v>608</v>
      </c>
      <c r="E841" t="s">
        <v>1321</v>
      </c>
      <c r="F841">
        <v>1.1302320879328109</v>
      </c>
      <c r="G841">
        <v>31.421816305971497</v>
      </c>
      <c r="H841" t="s">
        <v>639</v>
      </c>
      <c r="I841" t="s">
        <v>721</v>
      </c>
      <c r="J841">
        <v>3</v>
      </c>
      <c r="K841" t="s">
        <v>598</v>
      </c>
      <c r="L841">
        <v>50000</v>
      </c>
      <c r="M841">
        <v>2.15</v>
      </c>
      <c r="N841">
        <v>31.421816305971497</v>
      </c>
      <c r="O841" t="s">
        <v>592</v>
      </c>
      <c r="P841" t="s">
        <v>613</v>
      </c>
      <c r="Q841" t="s">
        <v>586</v>
      </c>
      <c r="R841" t="s">
        <v>712</v>
      </c>
      <c r="S841" t="s">
        <v>712</v>
      </c>
      <c r="T841">
        <v>72</v>
      </c>
    </row>
    <row r="842" spans="1:20" x14ac:dyDescent="0.25">
      <c r="A842" t="s">
        <v>1962</v>
      </c>
      <c r="B842" t="s">
        <v>280</v>
      </c>
      <c r="C842" t="s">
        <v>607</v>
      </c>
      <c r="D842" t="s">
        <v>608</v>
      </c>
      <c r="E842" t="s">
        <v>1321</v>
      </c>
      <c r="F842">
        <v>2.0678724782357469</v>
      </c>
      <c r="G842">
        <v>40.687720035409789</v>
      </c>
      <c r="H842" t="s">
        <v>639</v>
      </c>
      <c r="I842" t="s">
        <v>721</v>
      </c>
      <c r="J842">
        <v>3</v>
      </c>
      <c r="K842" t="s">
        <v>651</v>
      </c>
      <c r="L842">
        <v>50000</v>
      </c>
      <c r="M842">
        <v>2.4000000000000004</v>
      </c>
      <c r="N842">
        <v>40.687720035409789</v>
      </c>
      <c r="O842" t="s">
        <v>592</v>
      </c>
      <c r="P842" t="s">
        <v>613</v>
      </c>
      <c r="Q842" t="s">
        <v>586</v>
      </c>
      <c r="R842">
        <v>100000</v>
      </c>
      <c r="S842" t="s">
        <v>712</v>
      </c>
      <c r="T842">
        <v>59</v>
      </c>
    </row>
    <row r="843" spans="1:20" x14ac:dyDescent="0.25">
      <c r="A843" t="s">
        <v>1963</v>
      </c>
      <c r="B843" t="s">
        <v>281</v>
      </c>
      <c r="C843" t="s">
        <v>607</v>
      </c>
      <c r="D843" t="s">
        <v>608</v>
      </c>
      <c r="E843" t="s">
        <v>1321</v>
      </c>
      <c r="F843">
        <v>0.65236014096753603</v>
      </c>
      <c r="G843">
        <v>52.652067050824236</v>
      </c>
      <c r="H843" t="s">
        <v>1000</v>
      </c>
      <c r="I843" t="s">
        <v>611</v>
      </c>
      <c r="J843">
        <v>3</v>
      </c>
      <c r="K843" t="s">
        <v>787</v>
      </c>
      <c r="L843">
        <v>350000</v>
      </c>
      <c r="M843">
        <v>1.83</v>
      </c>
      <c r="N843">
        <v>52.652067050824236</v>
      </c>
      <c r="O843" t="s">
        <v>592</v>
      </c>
      <c r="P843" t="s">
        <v>621</v>
      </c>
      <c r="Q843" t="s">
        <v>586</v>
      </c>
      <c r="R843">
        <v>250000</v>
      </c>
      <c r="S843" t="s">
        <v>712</v>
      </c>
      <c r="T843">
        <v>94</v>
      </c>
    </row>
    <row r="844" spans="1:20" x14ac:dyDescent="0.25">
      <c r="A844" t="s">
        <v>1964</v>
      </c>
      <c r="B844" t="s">
        <v>281</v>
      </c>
      <c r="C844" t="s">
        <v>607</v>
      </c>
      <c r="D844" t="s">
        <v>608</v>
      </c>
      <c r="E844" t="s">
        <v>1321</v>
      </c>
      <c r="F844">
        <v>1.6064015947479275</v>
      </c>
      <c r="G844">
        <v>54.704202946444603</v>
      </c>
      <c r="H844" t="s">
        <v>1000</v>
      </c>
      <c r="I844" t="s">
        <v>611</v>
      </c>
      <c r="J844">
        <v>3</v>
      </c>
      <c r="K844" t="s">
        <v>905</v>
      </c>
      <c r="L844">
        <v>350000</v>
      </c>
      <c r="M844">
        <v>2.0100000000000002</v>
      </c>
      <c r="N844">
        <v>54.704202946444603</v>
      </c>
      <c r="O844" t="s">
        <v>592</v>
      </c>
      <c r="P844" t="s">
        <v>621</v>
      </c>
      <c r="Q844" t="s">
        <v>586</v>
      </c>
      <c r="R844" t="s">
        <v>712</v>
      </c>
      <c r="S844" t="s">
        <v>712</v>
      </c>
      <c r="T844">
        <v>83</v>
      </c>
    </row>
    <row r="845" spans="1:20" x14ac:dyDescent="0.25">
      <c r="A845" t="s">
        <v>1965</v>
      </c>
      <c r="B845" t="s">
        <v>282</v>
      </c>
      <c r="C845" t="s">
        <v>607</v>
      </c>
      <c r="D845" t="s">
        <v>608</v>
      </c>
      <c r="E845" t="s">
        <v>1321</v>
      </c>
      <c r="F845">
        <v>0.56917928822338015</v>
      </c>
      <c r="G845">
        <v>43.522275679109981</v>
      </c>
      <c r="H845" t="s">
        <v>1143</v>
      </c>
      <c r="I845" t="s">
        <v>885</v>
      </c>
      <c r="J845">
        <v>3</v>
      </c>
      <c r="K845" t="s">
        <v>744</v>
      </c>
      <c r="L845">
        <v>375000</v>
      </c>
      <c r="M845">
        <v>1.6500000000000001</v>
      </c>
      <c r="N845">
        <v>43.522275679109981</v>
      </c>
      <c r="O845" t="s">
        <v>592</v>
      </c>
      <c r="P845" t="s">
        <v>613</v>
      </c>
      <c r="Q845" t="s">
        <v>586</v>
      </c>
      <c r="R845" t="s">
        <v>712</v>
      </c>
      <c r="S845" t="s">
        <v>878</v>
      </c>
      <c r="T845">
        <v>98</v>
      </c>
    </row>
    <row r="846" spans="1:20" x14ac:dyDescent="0.25">
      <c r="A846" t="s">
        <v>1966</v>
      </c>
      <c r="B846" t="s">
        <v>282</v>
      </c>
      <c r="C846" t="s">
        <v>607</v>
      </c>
      <c r="D846" t="s">
        <v>608</v>
      </c>
      <c r="E846" t="s">
        <v>1321</v>
      </c>
      <c r="F846">
        <v>1.5361399511928833</v>
      </c>
      <c r="G846">
        <v>48.57115220683761</v>
      </c>
      <c r="H846" t="s">
        <v>1143</v>
      </c>
      <c r="I846" t="s">
        <v>885</v>
      </c>
      <c r="J846">
        <v>2</v>
      </c>
      <c r="K846" t="s">
        <v>634</v>
      </c>
      <c r="L846">
        <v>375000</v>
      </c>
      <c r="M846">
        <v>1.85</v>
      </c>
      <c r="N846">
        <v>48.57115220683761</v>
      </c>
      <c r="O846" t="s">
        <v>592</v>
      </c>
      <c r="P846" t="s">
        <v>613</v>
      </c>
      <c r="Q846" t="s">
        <v>586</v>
      </c>
      <c r="R846" t="s">
        <v>712</v>
      </c>
      <c r="S846" t="s">
        <v>878</v>
      </c>
      <c r="T846">
        <v>78</v>
      </c>
    </row>
    <row r="847" spans="1:20" x14ac:dyDescent="0.25">
      <c r="A847" t="s">
        <v>1967</v>
      </c>
      <c r="B847" t="s">
        <v>283</v>
      </c>
      <c r="C847" t="s">
        <v>607</v>
      </c>
      <c r="D847" t="s">
        <v>608</v>
      </c>
      <c r="E847" t="s">
        <v>1032</v>
      </c>
      <c r="F847">
        <v>8.0476386907179912E-2</v>
      </c>
      <c r="G847">
        <v>43.11011414397823</v>
      </c>
      <c r="H847" t="s">
        <v>1000</v>
      </c>
      <c r="I847" t="s">
        <v>885</v>
      </c>
      <c r="J847">
        <v>2</v>
      </c>
      <c r="K847" t="s">
        <v>950</v>
      </c>
      <c r="L847">
        <v>615000</v>
      </c>
      <c r="M847">
        <v>1.6500000000000001</v>
      </c>
      <c r="N847">
        <v>43.11011414397823</v>
      </c>
      <c r="O847" t="s">
        <v>592</v>
      </c>
      <c r="P847" t="s">
        <v>613</v>
      </c>
      <c r="Q847" t="s">
        <v>586</v>
      </c>
      <c r="R847" t="s">
        <v>712</v>
      </c>
      <c r="S847" t="s">
        <v>712</v>
      </c>
      <c r="T847">
        <v>99</v>
      </c>
    </row>
    <row r="848" spans="1:20" x14ac:dyDescent="0.25">
      <c r="A848" t="s">
        <v>1968</v>
      </c>
      <c r="B848" t="s">
        <v>283</v>
      </c>
      <c r="C848" t="s">
        <v>607</v>
      </c>
      <c r="D848" t="s">
        <v>608</v>
      </c>
      <c r="E848" t="s">
        <v>1032</v>
      </c>
      <c r="F848">
        <v>1.0561690113898559</v>
      </c>
      <c r="G848">
        <v>48.30130088045739</v>
      </c>
      <c r="H848" t="s">
        <v>1000</v>
      </c>
      <c r="I848" t="s">
        <v>885</v>
      </c>
      <c r="J848">
        <v>2</v>
      </c>
      <c r="K848" t="s">
        <v>612</v>
      </c>
      <c r="L848">
        <v>610000</v>
      </c>
      <c r="M848">
        <v>1.85</v>
      </c>
      <c r="N848">
        <v>48.30130088045739</v>
      </c>
      <c r="O848" t="s">
        <v>592</v>
      </c>
      <c r="P848" t="s">
        <v>613</v>
      </c>
      <c r="Q848" t="s">
        <v>586</v>
      </c>
      <c r="R848">
        <v>210000</v>
      </c>
      <c r="S848" t="s">
        <v>712</v>
      </c>
      <c r="T848">
        <v>85</v>
      </c>
    </row>
    <row r="849" spans="1:20" x14ac:dyDescent="0.25">
      <c r="A849" t="s">
        <v>1969</v>
      </c>
      <c r="B849" t="s">
        <v>283</v>
      </c>
      <c r="C849" t="s">
        <v>607</v>
      </c>
      <c r="D849" t="s">
        <v>608</v>
      </c>
      <c r="E849" t="s">
        <v>1032</v>
      </c>
      <c r="F849">
        <v>2.01082366400215</v>
      </c>
      <c r="G849">
        <v>48.293013389831209</v>
      </c>
      <c r="H849" t="s">
        <v>1000</v>
      </c>
      <c r="I849" t="s">
        <v>885</v>
      </c>
      <c r="J849">
        <v>2</v>
      </c>
      <c r="K849" t="s">
        <v>956</v>
      </c>
      <c r="L849">
        <v>935000</v>
      </c>
      <c r="M849">
        <v>2</v>
      </c>
      <c r="N849">
        <v>48.293013389831209</v>
      </c>
      <c r="O849" t="s">
        <v>592</v>
      </c>
      <c r="P849" t="s">
        <v>613</v>
      </c>
      <c r="Q849" t="s">
        <v>586</v>
      </c>
      <c r="R849" t="s">
        <v>712</v>
      </c>
      <c r="S849" t="s">
        <v>712</v>
      </c>
      <c r="T849">
        <v>71</v>
      </c>
    </row>
    <row r="850" spans="1:20" x14ac:dyDescent="0.25">
      <c r="A850" t="s">
        <v>1970</v>
      </c>
      <c r="B850" t="s">
        <v>284</v>
      </c>
      <c r="C850" t="s">
        <v>586</v>
      </c>
      <c r="D850" t="s">
        <v>601</v>
      </c>
      <c r="E850" t="s">
        <v>924</v>
      </c>
      <c r="F850">
        <v>0.36836474507128397</v>
      </c>
      <c r="G850">
        <v>2.5062488129677929</v>
      </c>
      <c r="H850" t="s">
        <v>1113</v>
      </c>
      <c r="I850" t="s">
        <v>1971</v>
      </c>
      <c r="J850">
        <v>3</v>
      </c>
      <c r="K850" t="s">
        <v>1867</v>
      </c>
      <c r="L850">
        <v>430000</v>
      </c>
      <c r="M850">
        <v>1.7000000000000002</v>
      </c>
      <c r="N850">
        <v>2.5062488129677929</v>
      </c>
      <c r="O850" t="s">
        <v>592</v>
      </c>
      <c r="P850" t="s">
        <v>593</v>
      </c>
      <c r="Q850" t="s">
        <v>586</v>
      </c>
      <c r="R850" t="s">
        <v>712</v>
      </c>
      <c r="S850" t="s">
        <v>712</v>
      </c>
      <c r="T850">
        <v>55</v>
      </c>
    </row>
    <row r="851" spans="1:20" x14ac:dyDescent="0.25">
      <c r="A851" t="s">
        <v>1972</v>
      </c>
      <c r="B851" t="s">
        <v>284</v>
      </c>
      <c r="C851" t="s">
        <v>586</v>
      </c>
      <c r="D851" t="s">
        <v>601</v>
      </c>
      <c r="E851" t="s">
        <v>924</v>
      </c>
      <c r="F851">
        <v>1.3384279027117325</v>
      </c>
      <c r="G851">
        <v>4.5928869978526299</v>
      </c>
      <c r="H851" t="s">
        <v>1113</v>
      </c>
      <c r="I851" t="s">
        <v>1971</v>
      </c>
      <c r="J851">
        <v>3</v>
      </c>
      <c r="K851" t="s">
        <v>1869</v>
      </c>
      <c r="L851">
        <v>440000</v>
      </c>
      <c r="M851">
        <v>1.85</v>
      </c>
      <c r="N851">
        <v>4.5928869978526299</v>
      </c>
      <c r="O851" t="s">
        <v>592</v>
      </c>
      <c r="P851" t="s">
        <v>593</v>
      </c>
      <c r="Q851" t="s">
        <v>586</v>
      </c>
      <c r="R851">
        <v>50000</v>
      </c>
      <c r="S851" t="s">
        <v>712</v>
      </c>
      <c r="T851">
        <v>79</v>
      </c>
    </row>
    <row r="852" spans="1:20" x14ac:dyDescent="0.25">
      <c r="A852" t="s">
        <v>1973</v>
      </c>
      <c r="B852" t="s">
        <v>284</v>
      </c>
      <c r="C852" t="s">
        <v>586</v>
      </c>
      <c r="D852" t="s">
        <v>601</v>
      </c>
      <c r="E852" t="s">
        <v>924</v>
      </c>
      <c r="F852">
        <v>2.2803563122059098</v>
      </c>
      <c r="G852">
        <v>6.6127441610217996</v>
      </c>
      <c r="H852" t="s">
        <v>1113</v>
      </c>
      <c r="I852" t="s">
        <v>1971</v>
      </c>
      <c r="J852">
        <v>3</v>
      </c>
      <c r="K852" t="s">
        <v>1871</v>
      </c>
      <c r="L852">
        <v>450000</v>
      </c>
      <c r="M852">
        <v>2</v>
      </c>
      <c r="N852">
        <v>6.6127441610217996</v>
      </c>
      <c r="O852" t="s">
        <v>592</v>
      </c>
      <c r="P852" t="s">
        <v>593</v>
      </c>
      <c r="Q852" t="s">
        <v>586</v>
      </c>
      <c r="R852" t="s">
        <v>712</v>
      </c>
      <c r="S852" t="s">
        <v>712</v>
      </c>
      <c r="T852">
        <v>73</v>
      </c>
    </row>
    <row r="853" spans="1:20" x14ac:dyDescent="0.25">
      <c r="A853" t="s">
        <v>1974</v>
      </c>
      <c r="B853" t="s">
        <v>285</v>
      </c>
      <c r="C853" t="s">
        <v>586</v>
      </c>
      <c r="D853" t="s">
        <v>830</v>
      </c>
      <c r="E853" t="s">
        <v>1975</v>
      </c>
      <c r="F853">
        <v>0.89502910633948285</v>
      </c>
      <c r="G853">
        <v>9.8684222969718682</v>
      </c>
      <c r="H853" t="s">
        <v>1976</v>
      </c>
      <c r="I853" t="s">
        <v>1977</v>
      </c>
      <c r="J853">
        <v>5</v>
      </c>
      <c r="K853" t="s">
        <v>640</v>
      </c>
      <c r="L853">
        <v>195000</v>
      </c>
      <c r="M853">
        <v>1.45</v>
      </c>
      <c r="N853">
        <v>9.8684222969718682</v>
      </c>
      <c r="O853" t="s">
        <v>592</v>
      </c>
      <c r="P853" t="s">
        <v>593</v>
      </c>
      <c r="Q853" t="s">
        <v>586</v>
      </c>
      <c r="R853" t="s">
        <v>712</v>
      </c>
      <c r="S853" t="s">
        <v>712</v>
      </c>
      <c r="T853">
        <v>93</v>
      </c>
    </row>
    <row r="854" spans="1:20" x14ac:dyDescent="0.25">
      <c r="A854" t="s">
        <v>1978</v>
      </c>
      <c r="B854" t="s">
        <v>285</v>
      </c>
      <c r="C854" t="s">
        <v>586</v>
      </c>
      <c r="D854" t="s">
        <v>830</v>
      </c>
      <c r="E854" t="s">
        <v>1975</v>
      </c>
      <c r="F854">
        <v>1.8276167555808303</v>
      </c>
      <c r="G854">
        <v>5.4415172799512357</v>
      </c>
      <c r="H854" t="s">
        <v>1976</v>
      </c>
      <c r="I854" t="s">
        <v>1977</v>
      </c>
      <c r="J854">
        <v>5</v>
      </c>
      <c r="K854" t="s">
        <v>658</v>
      </c>
      <c r="L854">
        <v>200000</v>
      </c>
      <c r="M854">
        <v>1.55</v>
      </c>
      <c r="N854">
        <v>5.4415172799512357</v>
      </c>
      <c r="O854" t="s">
        <v>592</v>
      </c>
      <c r="P854" t="s">
        <v>593</v>
      </c>
      <c r="Q854" t="s">
        <v>586</v>
      </c>
      <c r="R854" t="s">
        <v>712</v>
      </c>
      <c r="S854" t="s">
        <v>712</v>
      </c>
      <c r="T854">
        <v>85</v>
      </c>
    </row>
    <row r="855" spans="1:20" x14ac:dyDescent="0.25">
      <c r="A855" t="s">
        <v>1979</v>
      </c>
      <c r="B855" t="s">
        <v>285</v>
      </c>
      <c r="C855" t="s">
        <v>586</v>
      </c>
      <c r="D855" t="s">
        <v>830</v>
      </c>
      <c r="E855" t="s">
        <v>1975</v>
      </c>
      <c r="F855">
        <v>2.7189758974233382</v>
      </c>
      <c r="G855">
        <v>6.8225376605913324</v>
      </c>
      <c r="H855" t="s">
        <v>1976</v>
      </c>
      <c r="I855" t="s">
        <v>1977</v>
      </c>
      <c r="J855">
        <v>5</v>
      </c>
      <c r="K855" t="s">
        <v>626</v>
      </c>
      <c r="L855">
        <v>205000</v>
      </c>
      <c r="M855">
        <v>1.71</v>
      </c>
      <c r="N855">
        <v>6.8225376605913324</v>
      </c>
      <c r="O855" t="s">
        <v>592</v>
      </c>
      <c r="P855" t="s">
        <v>593</v>
      </c>
      <c r="Q855" t="s">
        <v>586</v>
      </c>
      <c r="R855">
        <v>50000</v>
      </c>
      <c r="S855" t="s">
        <v>712</v>
      </c>
      <c r="T855">
        <v>75</v>
      </c>
    </row>
    <row r="856" spans="1:20" x14ac:dyDescent="0.25">
      <c r="A856" t="s">
        <v>1980</v>
      </c>
      <c r="B856" t="s">
        <v>285</v>
      </c>
      <c r="C856" t="s">
        <v>586</v>
      </c>
      <c r="D856" t="s">
        <v>830</v>
      </c>
      <c r="E856" t="s">
        <v>1975</v>
      </c>
      <c r="F856">
        <v>4.3902769957839203</v>
      </c>
      <c r="G856">
        <v>13.593144325283424</v>
      </c>
      <c r="H856" t="s">
        <v>1976</v>
      </c>
      <c r="I856" t="s">
        <v>1977</v>
      </c>
      <c r="J856">
        <v>5</v>
      </c>
      <c r="K856" t="s">
        <v>1174</v>
      </c>
      <c r="L856">
        <v>215000</v>
      </c>
      <c r="M856">
        <v>2.02</v>
      </c>
      <c r="N856">
        <v>13.593144325283424</v>
      </c>
      <c r="O856" t="s">
        <v>592</v>
      </c>
      <c r="P856" t="s">
        <v>593</v>
      </c>
      <c r="Q856" t="s">
        <v>586</v>
      </c>
      <c r="R856" t="s">
        <v>712</v>
      </c>
      <c r="S856" t="s">
        <v>712</v>
      </c>
      <c r="T856">
        <v>60</v>
      </c>
    </row>
    <row r="857" spans="1:20" x14ac:dyDescent="0.25">
      <c r="A857" t="s">
        <v>1981</v>
      </c>
      <c r="B857" t="s">
        <v>286</v>
      </c>
      <c r="C857" t="s">
        <v>586</v>
      </c>
      <c r="D857" t="s">
        <v>805</v>
      </c>
      <c r="E857" t="s">
        <v>883</v>
      </c>
      <c r="F857">
        <v>1.7732048530924318</v>
      </c>
      <c r="G857">
        <v>6.04605968548515</v>
      </c>
      <c r="H857" t="s">
        <v>676</v>
      </c>
      <c r="I857" t="s">
        <v>721</v>
      </c>
      <c r="J857">
        <v>3</v>
      </c>
      <c r="K857" t="s">
        <v>1114</v>
      </c>
      <c r="L857">
        <v>255000</v>
      </c>
      <c r="M857">
        <v>1.55</v>
      </c>
      <c r="N857">
        <v>6.04605968548515</v>
      </c>
      <c r="O857" t="s">
        <v>592</v>
      </c>
      <c r="P857" t="s">
        <v>711</v>
      </c>
      <c r="Q857" t="s">
        <v>586</v>
      </c>
      <c r="R857" t="s">
        <v>712</v>
      </c>
      <c r="S857" t="s">
        <v>712</v>
      </c>
      <c r="T857">
        <v>81</v>
      </c>
    </row>
    <row r="858" spans="1:20" x14ac:dyDescent="0.25">
      <c r="A858" t="s">
        <v>1982</v>
      </c>
      <c r="B858" t="s">
        <v>286</v>
      </c>
      <c r="C858" t="s">
        <v>586</v>
      </c>
      <c r="D858" t="s">
        <v>805</v>
      </c>
      <c r="E858" t="s">
        <v>883</v>
      </c>
      <c r="F858">
        <v>2.7011629561773378</v>
      </c>
      <c r="G858">
        <v>5.2712822665057946</v>
      </c>
      <c r="H858" t="s">
        <v>676</v>
      </c>
      <c r="I858" t="s">
        <v>721</v>
      </c>
      <c r="J858">
        <v>3</v>
      </c>
      <c r="K858" t="s">
        <v>669</v>
      </c>
      <c r="L858">
        <v>255000</v>
      </c>
      <c r="M858">
        <v>1.7000000000000002</v>
      </c>
      <c r="N858">
        <v>5.2712822665057946</v>
      </c>
      <c r="O858" t="s">
        <v>592</v>
      </c>
      <c r="P858" t="s">
        <v>711</v>
      </c>
      <c r="Q858" t="s">
        <v>586</v>
      </c>
      <c r="R858" t="s">
        <v>712</v>
      </c>
      <c r="S858" t="s">
        <v>712</v>
      </c>
      <c r="T858">
        <v>70</v>
      </c>
    </row>
    <row r="859" spans="1:20" x14ac:dyDescent="0.25">
      <c r="A859" t="s">
        <v>1983</v>
      </c>
      <c r="B859" t="s">
        <v>287</v>
      </c>
      <c r="C859" t="s">
        <v>586</v>
      </c>
      <c r="D859" t="s">
        <v>741</v>
      </c>
      <c r="E859" t="s">
        <v>1984</v>
      </c>
      <c r="F859">
        <v>0.49425693379239649</v>
      </c>
      <c r="G859">
        <v>11.765238353506424</v>
      </c>
      <c r="H859" t="s">
        <v>1985</v>
      </c>
      <c r="I859" t="s">
        <v>721</v>
      </c>
      <c r="J859">
        <v>3</v>
      </c>
      <c r="K859" t="s">
        <v>807</v>
      </c>
      <c r="L859">
        <v>190000</v>
      </c>
      <c r="M859">
        <v>1.9000000000000001</v>
      </c>
      <c r="N859">
        <v>11.765238353506424</v>
      </c>
      <c r="O859" t="s">
        <v>592</v>
      </c>
      <c r="P859" t="s">
        <v>745</v>
      </c>
      <c r="Q859" t="s">
        <v>586</v>
      </c>
      <c r="R859" t="s">
        <v>712</v>
      </c>
      <c r="S859" t="s">
        <v>712</v>
      </c>
      <c r="T859">
        <v>90</v>
      </c>
    </row>
    <row r="860" spans="1:20" x14ac:dyDescent="0.25">
      <c r="A860" t="s">
        <v>1986</v>
      </c>
      <c r="B860" t="s">
        <v>287</v>
      </c>
      <c r="C860" t="s">
        <v>586</v>
      </c>
      <c r="D860" t="s">
        <v>741</v>
      </c>
      <c r="E860" t="s">
        <v>1984</v>
      </c>
      <c r="F860">
        <v>1.4623807723817035</v>
      </c>
      <c r="G860">
        <v>6.9610732638480499</v>
      </c>
      <c r="H860" t="s">
        <v>1985</v>
      </c>
      <c r="I860" t="s">
        <v>721</v>
      </c>
      <c r="J860">
        <v>3</v>
      </c>
      <c r="K860" t="s">
        <v>780</v>
      </c>
      <c r="L860">
        <v>195000</v>
      </c>
      <c r="M860">
        <v>2</v>
      </c>
      <c r="N860">
        <v>6.9610732638480499</v>
      </c>
      <c r="O860" t="s">
        <v>592</v>
      </c>
      <c r="P860" t="s">
        <v>745</v>
      </c>
      <c r="Q860" t="s">
        <v>586</v>
      </c>
      <c r="R860" t="s">
        <v>712</v>
      </c>
      <c r="S860" t="s">
        <v>712</v>
      </c>
      <c r="T860">
        <v>79</v>
      </c>
    </row>
    <row r="861" spans="1:20" x14ac:dyDescent="0.25">
      <c r="A861" t="s">
        <v>1987</v>
      </c>
      <c r="B861" t="s">
        <v>287</v>
      </c>
      <c r="C861" t="s">
        <v>586</v>
      </c>
      <c r="D861" t="s">
        <v>741</v>
      </c>
      <c r="E861" t="s">
        <v>1984</v>
      </c>
      <c r="F861">
        <v>2.4021507210972648</v>
      </c>
      <c r="G861">
        <v>7.4011626634674865</v>
      </c>
      <c r="H861" t="s">
        <v>1985</v>
      </c>
      <c r="I861" t="s">
        <v>721</v>
      </c>
      <c r="J861">
        <v>3</v>
      </c>
      <c r="K861" t="s">
        <v>1013</v>
      </c>
      <c r="L861">
        <v>200000</v>
      </c>
      <c r="M861">
        <v>2.15</v>
      </c>
      <c r="N861">
        <v>7.4011626634674865</v>
      </c>
      <c r="O861" t="s">
        <v>592</v>
      </c>
      <c r="P861" t="s">
        <v>745</v>
      </c>
      <c r="Q861" t="s">
        <v>586</v>
      </c>
      <c r="R861">
        <v>75000</v>
      </c>
      <c r="S861" t="s">
        <v>712</v>
      </c>
      <c r="T861">
        <v>70</v>
      </c>
    </row>
    <row r="862" spans="1:20" x14ac:dyDescent="0.25">
      <c r="A862" t="s">
        <v>1988</v>
      </c>
      <c r="B862" t="s">
        <v>287</v>
      </c>
      <c r="C862" t="s">
        <v>586</v>
      </c>
      <c r="D862" t="s">
        <v>741</v>
      </c>
      <c r="E862" t="s">
        <v>1984</v>
      </c>
      <c r="F862">
        <v>3.3152494625667313</v>
      </c>
      <c r="G862">
        <v>4.5359500271001441</v>
      </c>
      <c r="H862" t="s">
        <v>1985</v>
      </c>
      <c r="I862" t="s">
        <v>721</v>
      </c>
      <c r="J862">
        <v>3</v>
      </c>
      <c r="K862" t="s">
        <v>824</v>
      </c>
      <c r="L862">
        <v>200000</v>
      </c>
      <c r="M862">
        <v>2.25</v>
      </c>
      <c r="N862">
        <v>4.5359500271001441</v>
      </c>
      <c r="O862" t="s">
        <v>592</v>
      </c>
      <c r="P862" t="s">
        <v>745</v>
      </c>
      <c r="Q862" t="s">
        <v>586</v>
      </c>
      <c r="R862" t="s">
        <v>712</v>
      </c>
      <c r="S862" t="s">
        <v>712</v>
      </c>
      <c r="T862">
        <v>63</v>
      </c>
    </row>
    <row r="863" spans="1:20" x14ac:dyDescent="0.25">
      <c r="A863" t="s">
        <v>1989</v>
      </c>
      <c r="B863" t="s">
        <v>287</v>
      </c>
      <c r="C863" t="s">
        <v>586</v>
      </c>
      <c r="D863" t="s">
        <v>741</v>
      </c>
      <c r="E863" t="s">
        <v>1984</v>
      </c>
      <c r="F863">
        <v>4.2022657297455286</v>
      </c>
      <c r="G863">
        <v>4.618857959312539</v>
      </c>
      <c r="H863" t="s">
        <v>1985</v>
      </c>
      <c r="I863" t="s">
        <v>721</v>
      </c>
      <c r="J863">
        <v>3</v>
      </c>
      <c r="K863" t="s">
        <v>1319</v>
      </c>
      <c r="L863">
        <v>215000</v>
      </c>
      <c r="M863">
        <v>2.35</v>
      </c>
      <c r="N863">
        <v>4.618857959312539</v>
      </c>
      <c r="O863" t="s">
        <v>592</v>
      </c>
      <c r="P863" t="s">
        <v>745</v>
      </c>
      <c r="Q863" t="s">
        <v>586</v>
      </c>
      <c r="R863" t="s">
        <v>712</v>
      </c>
      <c r="S863" t="s">
        <v>712</v>
      </c>
      <c r="T863">
        <v>54</v>
      </c>
    </row>
    <row r="864" spans="1:20" x14ac:dyDescent="0.25">
      <c r="A864" t="s">
        <v>1990</v>
      </c>
      <c r="B864" t="s">
        <v>288</v>
      </c>
      <c r="C864" t="s">
        <v>586</v>
      </c>
      <c r="D864" t="s">
        <v>608</v>
      </c>
      <c r="E864" t="s">
        <v>1321</v>
      </c>
      <c r="F864">
        <v>8.0455820111311083E-2</v>
      </c>
      <c r="G864">
        <v>116.20390207610738</v>
      </c>
      <c r="H864" t="s">
        <v>1041</v>
      </c>
      <c r="I864" t="s">
        <v>1034</v>
      </c>
      <c r="J864">
        <v>3</v>
      </c>
      <c r="K864" t="s">
        <v>950</v>
      </c>
      <c r="L864">
        <v>25000</v>
      </c>
      <c r="M864">
        <v>3</v>
      </c>
      <c r="N864">
        <v>116.20390207610738</v>
      </c>
      <c r="O864" t="s">
        <v>592</v>
      </c>
      <c r="P864" t="s">
        <v>613</v>
      </c>
      <c r="Q864" t="s">
        <v>586</v>
      </c>
      <c r="R864" t="s">
        <v>712</v>
      </c>
      <c r="S864" t="s">
        <v>712</v>
      </c>
      <c r="T864">
        <v>98</v>
      </c>
    </row>
    <row r="865" spans="1:20" x14ac:dyDescent="0.25">
      <c r="A865" t="s">
        <v>1991</v>
      </c>
      <c r="B865" t="s">
        <v>288</v>
      </c>
      <c r="C865" t="s">
        <v>586</v>
      </c>
      <c r="D865" t="s">
        <v>608</v>
      </c>
      <c r="E865" t="s">
        <v>1321</v>
      </c>
      <c r="F865">
        <v>1.0460724888278392</v>
      </c>
      <c r="G865">
        <v>123.52381628223166</v>
      </c>
      <c r="H865" t="s">
        <v>1041</v>
      </c>
      <c r="I865" t="s">
        <v>1034</v>
      </c>
      <c r="J865">
        <v>3.2</v>
      </c>
      <c r="K865" t="s">
        <v>612</v>
      </c>
      <c r="L865">
        <v>25000</v>
      </c>
      <c r="M865">
        <v>3.2</v>
      </c>
      <c r="N865">
        <v>123.52381628223166</v>
      </c>
      <c r="O865" t="s">
        <v>592</v>
      </c>
      <c r="P865" t="s">
        <v>613</v>
      </c>
      <c r="Q865" t="s">
        <v>586</v>
      </c>
      <c r="R865" t="s">
        <v>712</v>
      </c>
      <c r="S865" t="s">
        <v>712</v>
      </c>
      <c r="T865">
        <v>82</v>
      </c>
    </row>
    <row r="866" spans="1:20" x14ac:dyDescent="0.25">
      <c r="A866" t="s">
        <v>1992</v>
      </c>
      <c r="B866" t="s">
        <v>288</v>
      </c>
      <c r="C866" t="s">
        <v>586</v>
      </c>
      <c r="D866" t="s">
        <v>608</v>
      </c>
      <c r="E866" t="s">
        <v>1321</v>
      </c>
      <c r="F866">
        <v>1.9781775489480764</v>
      </c>
      <c r="G866">
        <v>120.86212713878166</v>
      </c>
      <c r="H866" t="s">
        <v>1041</v>
      </c>
      <c r="I866" t="s">
        <v>1034</v>
      </c>
      <c r="J866">
        <v>3.3</v>
      </c>
      <c r="K866" t="s">
        <v>956</v>
      </c>
      <c r="L866">
        <v>25000</v>
      </c>
      <c r="M866">
        <v>3.3000000000000003</v>
      </c>
      <c r="N866">
        <v>120.86212713878166</v>
      </c>
      <c r="O866" t="s">
        <v>592</v>
      </c>
      <c r="P866" t="s">
        <v>613</v>
      </c>
      <c r="Q866" t="s">
        <v>586</v>
      </c>
      <c r="R866" t="s">
        <v>712</v>
      </c>
      <c r="S866" t="s">
        <v>712</v>
      </c>
      <c r="T866">
        <v>66</v>
      </c>
    </row>
    <row r="867" spans="1:20" x14ac:dyDescent="0.25">
      <c r="A867" t="s">
        <v>1993</v>
      </c>
      <c r="B867" t="s">
        <v>289</v>
      </c>
      <c r="C867" t="s">
        <v>586</v>
      </c>
      <c r="D867" t="s">
        <v>795</v>
      </c>
      <c r="E867" t="s">
        <v>1994</v>
      </c>
      <c r="F867">
        <v>0.24668605747809089</v>
      </c>
      <c r="G867">
        <v>17.757675514888362</v>
      </c>
      <c r="H867" t="s">
        <v>936</v>
      </c>
      <c r="I867" t="s">
        <v>721</v>
      </c>
      <c r="J867">
        <v>2</v>
      </c>
      <c r="K867" t="s">
        <v>694</v>
      </c>
      <c r="L867">
        <v>55000</v>
      </c>
      <c r="M867">
        <v>1.6</v>
      </c>
      <c r="N867">
        <v>17.757675514888362</v>
      </c>
      <c r="O867" t="s">
        <v>592</v>
      </c>
      <c r="P867" t="s">
        <v>593</v>
      </c>
      <c r="Q867" t="s">
        <v>586</v>
      </c>
      <c r="R867" t="s">
        <v>712</v>
      </c>
      <c r="S867" t="s">
        <v>594</v>
      </c>
      <c r="T867">
        <v>99</v>
      </c>
    </row>
    <row r="868" spans="1:20" x14ac:dyDescent="0.25">
      <c r="A868" t="s">
        <v>1995</v>
      </c>
      <c r="B868" t="s">
        <v>289</v>
      </c>
      <c r="C868" t="s">
        <v>586</v>
      </c>
      <c r="D868" t="s">
        <v>795</v>
      </c>
      <c r="E868" t="s">
        <v>1994</v>
      </c>
      <c r="F868">
        <v>1.223244948263368</v>
      </c>
      <c r="G868">
        <v>16.459159061380511</v>
      </c>
      <c r="H868" t="s">
        <v>936</v>
      </c>
      <c r="I868" t="s">
        <v>721</v>
      </c>
      <c r="J868">
        <v>2</v>
      </c>
      <c r="K868" t="s">
        <v>764</v>
      </c>
      <c r="L868">
        <v>55000</v>
      </c>
      <c r="M868">
        <v>1.75</v>
      </c>
      <c r="N868">
        <v>16.459159061380511</v>
      </c>
      <c r="O868" t="s">
        <v>592</v>
      </c>
      <c r="P868" t="s">
        <v>593</v>
      </c>
      <c r="Q868" t="s">
        <v>586</v>
      </c>
      <c r="R868">
        <v>20000</v>
      </c>
      <c r="S868" t="s">
        <v>594</v>
      </c>
      <c r="T868">
        <v>82</v>
      </c>
    </row>
    <row r="869" spans="1:20" x14ac:dyDescent="0.25">
      <c r="A869" t="s">
        <v>1996</v>
      </c>
      <c r="B869" t="s">
        <v>289</v>
      </c>
      <c r="C869" t="s">
        <v>586</v>
      </c>
      <c r="D869" t="s">
        <v>795</v>
      </c>
      <c r="E869" t="s">
        <v>1994</v>
      </c>
      <c r="F869">
        <v>2.1796384328588596</v>
      </c>
      <c r="G869">
        <v>15.09253878664607</v>
      </c>
      <c r="H869" t="s">
        <v>936</v>
      </c>
      <c r="I869" t="s">
        <v>721</v>
      </c>
      <c r="J869">
        <v>2</v>
      </c>
      <c r="K869" t="s">
        <v>699</v>
      </c>
      <c r="L869">
        <v>55000</v>
      </c>
      <c r="M869">
        <v>1.9000000000000001</v>
      </c>
      <c r="N869">
        <v>15.09253878664607</v>
      </c>
      <c r="O869" t="s">
        <v>592</v>
      </c>
      <c r="P869" t="s">
        <v>593</v>
      </c>
      <c r="Q869" t="s">
        <v>586</v>
      </c>
      <c r="R869" t="s">
        <v>712</v>
      </c>
      <c r="S869" t="s">
        <v>594</v>
      </c>
      <c r="T869">
        <v>68</v>
      </c>
    </row>
    <row r="870" spans="1:20" x14ac:dyDescent="0.25">
      <c r="A870" t="s">
        <v>1997</v>
      </c>
      <c r="B870" t="s">
        <v>289</v>
      </c>
      <c r="C870" t="s">
        <v>586</v>
      </c>
      <c r="D870" t="s">
        <v>795</v>
      </c>
      <c r="E870" t="s">
        <v>1994</v>
      </c>
      <c r="F870">
        <v>3.0713845348066906</v>
      </c>
      <c r="G870">
        <v>14.573286675661468</v>
      </c>
      <c r="H870" t="s">
        <v>936</v>
      </c>
      <c r="I870" t="s">
        <v>721</v>
      </c>
      <c r="J870">
        <v>3</v>
      </c>
      <c r="K870" t="s">
        <v>591</v>
      </c>
      <c r="L870">
        <v>55000</v>
      </c>
      <c r="M870">
        <v>2.0499999999999998</v>
      </c>
      <c r="N870">
        <v>14.573286675661468</v>
      </c>
      <c r="O870" t="s">
        <v>592</v>
      </c>
      <c r="P870" t="s">
        <v>593</v>
      </c>
      <c r="Q870" t="s">
        <v>586</v>
      </c>
      <c r="R870" t="s">
        <v>712</v>
      </c>
      <c r="S870" t="s">
        <v>594</v>
      </c>
      <c r="T870">
        <v>64</v>
      </c>
    </row>
    <row r="871" spans="1:20" x14ac:dyDescent="0.25">
      <c r="A871" t="s">
        <v>1998</v>
      </c>
      <c r="B871" t="s">
        <v>289</v>
      </c>
      <c r="C871" t="s">
        <v>586</v>
      </c>
      <c r="D871" t="s">
        <v>795</v>
      </c>
      <c r="E871" t="s">
        <v>1994</v>
      </c>
      <c r="F871">
        <v>3.9592756185188582</v>
      </c>
      <c r="G871">
        <v>16.263672033956045</v>
      </c>
      <c r="H871" t="s">
        <v>936</v>
      </c>
      <c r="I871" t="s">
        <v>721</v>
      </c>
      <c r="J871">
        <v>3</v>
      </c>
      <c r="K871" t="s">
        <v>725</v>
      </c>
      <c r="L871">
        <v>55000</v>
      </c>
      <c r="M871">
        <v>2.2000000000000002</v>
      </c>
      <c r="N871">
        <v>16.263672033956045</v>
      </c>
      <c r="O871" t="s">
        <v>592</v>
      </c>
      <c r="P871" t="s">
        <v>593</v>
      </c>
      <c r="Q871" t="s">
        <v>586</v>
      </c>
      <c r="R871">
        <v>40000</v>
      </c>
      <c r="S871" t="s">
        <v>594</v>
      </c>
      <c r="T871">
        <v>55</v>
      </c>
    </row>
    <row r="872" spans="1:20" x14ac:dyDescent="0.25">
      <c r="A872" t="s">
        <v>1999</v>
      </c>
      <c r="B872" t="s">
        <v>289</v>
      </c>
      <c r="C872" t="s">
        <v>586</v>
      </c>
      <c r="D872" t="s">
        <v>795</v>
      </c>
      <c r="E872" t="s">
        <v>1994</v>
      </c>
      <c r="F872">
        <v>4.8210481285074094</v>
      </c>
      <c r="G872">
        <v>14.210856049624088</v>
      </c>
      <c r="H872" t="s">
        <v>936</v>
      </c>
      <c r="I872" t="s">
        <v>721</v>
      </c>
      <c r="J872">
        <v>3</v>
      </c>
      <c r="K872" t="s">
        <v>834</v>
      </c>
      <c r="L872">
        <v>60000</v>
      </c>
      <c r="M872">
        <v>2.3000000000000003</v>
      </c>
      <c r="N872">
        <v>14.210856049624088</v>
      </c>
      <c r="O872" t="s">
        <v>592</v>
      </c>
      <c r="P872" t="s">
        <v>593</v>
      </c>
      <c r="Q872" t="s">
        <v>586</v>
      </c>
      <c r="R872" t="s">
        <v>712</v>
      </c>
      <c r="S872" t="s">
        <v>594</v>
      </c>
      <c r="T872">
        <v>46</v>
      </c>
    </row>
    <row r="873" spans="1:20" x14ac:dyDescent="0.25">
      <c r="A873" t="s">
        <v>2000</v>
      </c>
      <c r="B873" t="s">
        <v>290</v>
      </c>
      <c r="C873" t="s">
        <v>607</v>
      </c>
      <c r="D873" t="s">
        <v>900</v>
      </c>
      <c r="E873" t="s">
        <v>2001</v>
      </c>
      <c r="F873">
        <v>0.32899814531204019</v>
      </c>
      <c r="G873">
        <v>58.740430136986291</v>
      </c>
      <c r="H873" t="s">
        <v>846</v>
      </c>
      <c r="I873" t="s">
        <v>812</v>
      </c>
      <c r="J873">
        <v>3</v>
      </c>
      <c r="K873" t="s">
        <v>710</v>
      </c>
      <c r="L873">
        <v>70000</v>
      </c>
      <c r="M873">
        <v>2.0499999999999998</v>
      </c>
      <c r="N873">
        <v>58.740430136986291</v>
      </c>
      <c r="O873" t="s">
        <v>592</v>
      </c>
      <c r="P873" t="s">
        <v>711</v>
      </c>
      <c r="Q873" t="s">
        <v>586</v>
      </c>
      <c r="R873" t="s">
        <v>712</v>
      </c>
      <c r="S873" t="s">
        <v>712</v>
      </c>
      <c r="T873">
        <v>99</v>
      </c>
    </row>
    <row r="874" spans="1:20" x14ac:dyDescent="0.25">
      <c r="A874" t="s">
        <v>2002</v>
      </c>
      <c r="B874" t="s">
        <v>95</v>
      </c>
      <c r="C874" t="s">
        <v>586</v>
      </c>
      <c r="D874" t="s">
        <v>608</v>
      </c>
      <c r="E874" t="s">
        <v>980</v>
      </c>
      <c r="F874">
        <v>0.52329477770805255</v>
      </c>
      <c r="G874">
        <v>16.467109589041073</v>
      </c>
      <c r="H874" t="s">
        <v>981</v>
      </c>
      <c r="I874" t="s">
        <v>611</v>
      </c>
      <c r="J874">
        <v>4</v>
      </c>
      <c r="K874" t="s">
        <v>1005</v>
      </c>
      <c r="L874">
        <v>145000</v>
      </c>
      <c r="M874">
        <v>1.9000000000000001</v>
      </c>
      <c r="N874">
        <v>16.467109589041073</v>
      </c>
      <c r="O874" t="s">
        <v>592</v>
      </c>
      <c r="P874" t="s">
        <v>613</v>
      </c>
      <c r="Q874" t="s">
        <v>586</v>
      </c>
      <c r="R874" t="s">
        <v>712</v>
      </c>
      <c r="S874" t="s">
        <v>712</v>
      </c>
      <c r="T874">
        <v>94</v>
      </c>
    </row>
    <row r="875" spans="1:20" x14ac:dyDescent="0.25">
      <c r="A875" t="s">
        <v>2003</v>
      </c>
      <c r="B875" t="s">
        <v>95</v>
      </c>
      <c r="C875" t="s">
        <v>586</v>
      </c>
      <c r="D875" t="s">
        <v>608</v>
      </c>
      <c r="E875" t="s">
        <v>980</v>
      </c>
      <c r="F875">
        <v>1.4667472810437603</v>
      </c>
      <c r="G875">
        <v>17.937813698630144</v>
      </c>
      <c r="H875" t="s">
        <v>981</v>
      </c>
      <c r="I875" t="s">
        <v>611</v>
      </c>
      <c r="J875">
        <v>4</v>
      </c>
      <c r="K875" t="s">
        <v>1001</v>
      </c>
      <c r="L875">
        <v>150000</v>
      </c>
      <c r="M875">
        <v>2</v>
      </c>
      <c r="N875">
        <v>17.937813698630144</v>
      </c>
      <c r="O875" t="s">
        <v>592</v>
      </c>
      <c r="P875" t="s">
        <v>613</v>
      </c>
      <c r="Q875" t="s">
        <v>586</v>
      </c>
      <c r="R875" t="s">
        <v>712</v>
      </c>
      <c r="S875" t="s">
        <v>712</v>
      </c>
      <c r="T875">
        <v>84</v>
      </c>
    </row>
    <row r="876" spans="1:20" x14ac:dyDescent="0.25">
      <c r="A876" t="s">
        <v>2004</v>
      </c>
      <c r="B876" t="s">
        <v>95</v>
      </c>
      <c r="C876" t="s">
        <v>586</v>
      </c>
      <c r="D876" t="s">
        <v>608</v>
      </c>
      <c r="E876" t="s">
        <v>980</v>
      </c>
      <c r="F876">
        <v>3.306877367134327</v>
      </c>
      <c r="G876">
        <v>19.51010684931509</v>
      </c>
      <c r="H876" t="s">
        <v>981</v>
      </c>
      <c r="I876" t="s">
        <v>611</v>
      </c>
      <c r="J876">
        <v>3</v>
      </c>
      <c r="K876" t="s">
        <v>1387</v>
      </c>
      <c r="L876">
        <v>160000</v>
      </c>
      <c r="M876">
        <v>2.2000000000000002</v>
      </c>
      <c r="N876">
        <v>19.51010684931509</v>
      </c>
      <c r="O876" t="s">
        <v>592</v>
      </c>
      <c r="P876" t="s">
        <v>613</v>
      </c>
      <c r="Q876" t="s">
        <v>586</v>
      </c>
      <c r="R876" t="s">
        <v>712</v>
      </c>
      <c r="S876" t="s">
        <v>712</v>
      </c>
      <c r="T876">
        <v>53</v>
      </c>
    </row>
    <row r="877" spans="1:20" x14ac:dyDescent="0.25">
      <c r="A877" t="s">
        <v>2005</v>
      </c>
      <c r="B877" t="s">
        <v>95</v>
      </c>
      <c r="C877" t="s">
        <v>586</v>
      </c>
      <c r="D877" t="s">
        <v>608</v>
      </c>
      <c r="E877" t="s">
        <v>980</v>
      </c>
      <c r="F877">
        <v>4.1806865662923229</v>
      </c>
      <c r="G877">
        <v>21.570142465753417</v>
      </c>
      <c r="H877" t="s">
        <v>981</v>
      </c>
      <c r="I877" t="s">
        <v>611</v>
      </c>
      <c r="J877">
        <v>3</v>
      </c>
      <c r="K877" t="s">
        <v>1765</v>
      </c>
      <c r="L877">
        <v>165000</v>
      </c>
      <c r="M877">
        <v>2.3000000000000003</v>
      </c>
      <c r="N877">
        <v>21.570142465753417</v>
      </c>
      <c r="O877" t="s">
        <v>592</v>
      </c>
      <c r="P877" t="s">
        <v>613</v>
      </c>
      <c r="Q877" t="s">
        <v>586</v>
      </c>
      <c r="R877" t="s">
        <v>712</v>
      </c>
      <c r="S877" t="s">
        <v>712</v>
      </c>
      <c r="T877">
        <v>45</v>
      </c>
    </row>
    <row r="878" spans="1:20" x14ac:dyDescent="0.25">
      <c r="A878" t="s">
        <v>2006</v>
      </c>
      <c r="B878" t="s">
        <v>291</v>
      </c>
      <c r="C878" t="s">
        <v>586</v>
      </c>
      <c r="D878" t="s">
        <v>623</v>
      </c>
      <c r="E878" t="s">
        <v>2007</v>
      </c>
      <c r="F878">
        <v>1.3431115071039272</v>
      </c>
      <c r="G878">
        <v>23.044237944517821</v>
      </c>
      <c r="H878" t="s">
        <v>936</v>
      </c>
      <c r="I878" t="s">
        <v>661</v>
      </c>
      <c r="J878">
        <v>2</v>
      </c>
      <c r="K878" t="s">
        <v>1869</v>
      </c>
      <c r="L878">
        <v>515000</v>
      </c>
      <c r="M878">
        <v>1.85</v>
      </c>
      <c r="N878">
        <v>23.044237944517821</v>
      </c>
      <c r="O878" t="s">
        <v>592</v>
      </c>
      <c r="P878" t="s">
        <v>745</v>
      </c>
      <c r="Q878" t="s">
        <v>586</v>
      </c>
      <c r="R878" t="s">
        <v>712</v>
      </c>
      <c r="S878" t="s">
        <v>712</v>
      </c>
      <c r="T878">
        <v>82</v>
      </c>
    </row>
    <row r="879" spans="1:20" x14ac:dyDescent="0.25">
      <c r="A879" t="s">
        <v>2008</v>
      </c>
      <c r="B879" t="s">
        <v>291</v>
      </c>
      <c r="C879" t="s">
        <v>586</v>
      </c>
      <c r="D879" t="s">
        <v>623</v>
      </c>
      <c r="E879" t="s">
        <v>2007</v>
      </c>
      <c r="F879">
        <v>2.287311425313487</v>
      </c>
      <c r="G879">
        <v>21.642954774578051</v>
      </c>
      <c r="H879" t="s">
        <v>936</v>
      </c>
      <c r="I879" t="s">
        <v>661</v>
      </c>
      <c r="J879">
        <v>2.5</v>
      </c>
      <c r="K879" t="s">
        <v>1871</v>
      </c>
      <c r="L879">
        <v>525000</v>
      </c>
      <c r="M879">
        <v>2</v>
      </c>
      <c r="N879">
        <v>21.642954774578051</v>
      </c>
      <c r="O879" t="s">
        <v>592</v>
      </c>
      <c r="P879" t="s">
        <v>745</v>
      </c>
      <c r="Q879" t="s">
        <v>586</v>
      </c>
      <c r="R879" t="s">
        <v>712</v>
      </c>
      <c r="S879" t="s">
        <v>712</v>
      </c>
      <c r="T879">
        <v>77</v>
      </c>
    </row>
    <row r="880" spans="1:20" x14ac:dyDescent="0.25">
      <c r="A880" t="s">
        <v>2009</v>
      </c>
      <c r="B880" t="s">
        <v>291</v>
      </c>
      <c r="C880" t="s">
        <v>586</v>
      </c>
      <c r="D880" t="s">
        <v>623</v>
      </c>
      <c r="E880" t="s">
        <v>2007</v>
      </c>
      <c r="F880">
        <v>3.2122351515329957</v>
      </c>
      <c r="G880">
        <v>16.271368241498131</v>
      </c>
      <c r="H880" t="s">
        <v>936</v>
      </c>
      <c r="I880" t="s">
        <v>661</v>
      </c>
      <c r="J880">
        <v>2.5</v>
      </c>
      <c r="K880" t="s">
        <v>871</v>
      </c>
      <c r="L880">
        <v>535000</v>
      </c>
      <c r="M880">
        <v>2.1</v>
      </c>
      <c r="N880">
        <v>16.271368241498131</v>
      </c>
      <c r="O880" t="s">
        <v>592</v>
      </c>
      <c r="P880" t="s">
        <v>745</v>
      </c>
      <c r="Q880" t="s">
        <v>586</v>
      </c>
      <c r="R880" t="s">
        <v>712</v>
      </c>
      <c r="S880" t="s">
        <v>712</v>
      </c>
      <c r="T880">
        <v>67</v>
      </c>
    </row>
    <row r="881" spans="1:20" x14ac:dyDescent="0.25">
      <c r="A881" t="s">
        <v>2010</v>
      </c>
      <c r="B881" t="s">
        <v>292</v>
      </c>
      <c r="C881" t="s">
        <v>586</v>
      </c>
      <c r="D881" t="s">
        <v>608</v>
      </c>
      <c r="E881" t="s">
        <v>980</v>
      </c>
      <c r="F881">
        <v>0.68863402392658024</v>
      </c>
      <c r="G881">
        <v>28.224342465753427</v>
      </c>
      <c r="H881" t="s">
        <v>1033</v>
      </c>
      <c r="I881" t="s">
        <v>611</v>
      </c>
      <c r="J881">
        <v>4</v>
      </c>
      <c r="K881" t="s">
        <v>880</v>
      </c>
      <c r="L881">
        <v>275000</v>
      </c>
      <c r="M881">
        <v>1.7000000000000002</v>
      </c>
      <c r="N881">
        <v>28.224342465753427</v>
      </c>
      <c r="O881" t="s">
        <v>592</v>
      </c>
      <c r="P881" t="s">
        <v>613</v>
      </c>
      <c r="Q881" t="s">
        <v>586</v>
      </c>
      <c r="R881">
        <v>300000</v>
      </c>
      <c r="S881" t="s">
        <v>594</v>
      </c>
      <c r="T881">
        <v>97</v>
      </c>
    </row>
    <row r="882" spans="1:20" x14ac:dyDescent="0.25">
      <c r="A882" t="s">
        <v>2011</v>
      </c>
      <c r="B882" t="s">
        <v>292</v>
      </c>
      <c r="C882" t="s">
        <v>586</v>
      </c>
      <c r="D882" t="s">
        <v>608</v>
      </c>
      <c r="E882" t="s">
        <v>980</v>
      </c>
      <c r="F882">
        <v>1.6319317870914898</v>
      </c>
      <c r="G882">
        <v>30.118830136986308</v>
      </c>
      <c r="H882" t="s">
        <v>1033</v>
      </c>
      <c r="I882" t="s">
        <v>611</v>
      </c>
      <c r="J882">
        <v>4</v>
      </c>
      <c r="K882" t="s">
        <v>853</v>
      </c>
      <c r="L882">
        <v>275000</v>
      </c>
      <c r="M882">
        <v>1.85</v>
      </c>
      <c r="N882">
        <v>30.118830136986308</v>
      </c>
      <c r="O882" t="s">
        <v>592</v>
      </c>
      <c r="P882" t="s">
        <v>613</v>
      </c>
      <c r="Q882" t="s">
        <v>586</v>
      </c>
      <c r="R882" t="s">
        <v>712</v>
      </c>
      <c r="S882" t="s">
        <v>594</v>
      </c>
      <c r="T882">
        <v>89</v>
      </c>
    </row>
    <row r="883" spans="1:20" x14ac:dyDescent="0.25">
      <c r="A883" t="s">
        <v>2012</v>
      </c>
      <c r="B883" t="s">
        <v>292</v>
      </c>
      <c r="C883" t="s">
        <v>586</v>
      </c>
      <c r="D883" t="s">
        <v>608</v>
      </c>
      <c r="E883" t="s">
        <v>980</v>
      </c>
      <c r="F883">
        <v>2.5402820649306297</v>
      </c>
      <c r="G883">
        <v>31.821668493150689</v>
      </c>
      <c r="H883" t="s">
        <v>1033</v>
      </c>
      <c r="I883" t="s">
        <v>611</v>
      </c>
      <c r="J883">
        <v>4</v>
      </c>
      <c r="K883" t="s">
        <v>662</v>
      </c>
      <c r="L883">
        <v>275000</v>
      </c>
      <c r="M883">
        <v>2</v>
      </c>
      <c r="N883">
        <v>31.821668493150689</v>
      </c>
      <c r="O883" t="s">
        <v>592</v>
      </c>
      <c r="P883" t="s">
        <v>613</v>
      </c>
      <c r="Q883" t="s">
        <v>586</v>
      </c>
      <c r="R883" t="s">
        <v>712</v>
      </c>
      <c r="S883" t="s">
        <v>594</v>
      </c>
      <c r="T883">
        <v>80</v>
      </c>
    </row>
    <row r="884" spans="1:20" x14ac:dyDescent="0.25">
      <c r="A884" t="s">
        <v>2013</v>
      </c>
      <c r="B884" t="s">
        <v>292</v>
      </c>
      <c r="C884" t="s">
        <v>586</v>
      </c>
      <c r="D884" t="s">
        <v>608</v>
      </c>
      <c r="E884" t="s">
        <v>980</v>
      </c>
      <c r="F884">
        <v>3.4154128232682339</v>
      </c>
      <c r="G884">
        <v>34.341172602739725</v>
      </c>
      <c r="H884" t="s">
        <v>1033</v>
      </c>
      <c r="I884" t="s">
        <v>611</v>
      </c>
      <c r="J884">
        <v>4</v>
      </c>
      <c r="K884" t="s">
        <v>688</v>
      </c>
      <c r="L884">
        <v>275000</v>
      </c>
      <c r="M884">
        <v>2.15</v>
      </c>
      <c r="N884">
        <v>34.341172602739725</v>
      </c>
      <c r="O884" t="s">
        <v>592</v>
      </c>
      <c r="P884" t="s">
        <v>613</v>
      </c>
      <c r="Q884" t="s">
        <v>586</v>
      </c>
      <c r="R884" t="s">
        <v>712</v>
      </c>
      <c r="S884" t="s">
        <v>594</v>
      </c>
      <c r="T884">
        <v>75</v>
      </c>
    </row>
    <row r="885" spans="1:20" x14ac:dyDescent="0.25">
      <c r="A885" t="s">
        <v>2014</v>
      </c>
      <c r="B885" t="s">
        <v>293</v>
      </c>
      <c r="C885" t="s">
        <v>586</v>
      </c>
      <c r="D885" t="s">
        <v>741</v>
      </c>
      <c r="E885" t="s">
        <v>2015</v>
      </c>
      <c r="F885">
        <v>0.73432889454380834</v>
      </c>
      <c r="G885">
        <v>36.327246993126636</v>
      </c>
      <c r="H885" t="s">
        <v>1253</v>
      </c>
      <c r="I885" t="s">
        <v>1233</v>
      </c>
      <c r="J885">
        <v>3</v>
      </c>
      <c r="K885" t="s">
        <v>861</v>
      </c>
      <c r="L885">
        <v>50000</v>
      </c>
      <c r="M885">
        <v>2.2000000000000002</v>
      </c>
      <c r="N885">
        <v>36.327246993126636</v>
      </c>
      <c r="O885" t="s">
        <v>592</v>
      </c>
      <c r="P885" t="s">
        <v>745</v>
      </c>
      <c r="Q885" t="s">
        <v>586</v>
      </c>
      <c r="R885" t="s">
        <v>712</v>
      </c>
      <c r="S885" t="s">
        <v>712</v>
      </c>
      <c r="T885">
        <v>88</v>
      </c>
    </row>
    <row r="886" spans="1:20" x14ac:dyDescent="0.25">
      <c r="A886" t="s">
        <v>2016</v>
      </c>
      <c r="B886" t="s">
        <v>293</v>
      </c>
      <c r="C886" t="s">
        <v>586</v>
      </c>
      <c r="D886" t="s">
        <v>741</v>
      </c>
      <c r="E886" t="s">
        <v>2015</v>
      </c>
      <c r="F886">
        <v>1.6875438688769009</v>
      </c>
      <c r="G886">
        <v>40.048517354479898</v>
      </c>
      <c r="H886" t="s">
        <v>1253</v>
      </c>
      <c r="I886" t="s">
        <v>1233</v>
      </c>
      <c r="J886">
        <v>3</v>
      </c>
      <c r="K886" t="s">
        <v>682</v>
      </c>
      <c r="L886">
        <v>50000</v>
      </c>
      <c r="M886">
        <v>2.4000000000000004</v>
      </c>
      <c r="N886">
        <v>40.048517354479898</v>
      </c>
      <c r="O886" t="s">
        <v>592</v>
      </c>
      <c r="P886" t="s">
        <v>745</v>
      </c>
      <c r="Q886" t="s">
        <v>586</v>
      </c>
      <c r="R886" t="s">
        <v>712</v>
      </c>
      <c r="S886" t="s">
        <v>712</v>
      </c>
      <c r="T886">
        <v>74</v>
      </c>
    </row>
    <row r="887" spans="1:20" x14ac:dyDescent="0.25">
      <c r="A887" t="s">
        <v>2017</v>
      </c>
      <c r="B887" t="s">
        <v>293</v>
      </c>
      <c r="C887" t="s">
        <v>586</v>
      </c>
      <c r="D887" t="s">
        <v>741</v>
      </c>
      <c r="E887" t="s">
        <v>2015</v>
      </c>
      <c r="F887">
        <v>2.6130488476891331</v>
      </c>
      <c r="G887">
        <v>44.451534359866194</v>
      </c>
      <c r="H887" t="s">
        <v>1253</v>
      </c>
      <c r="I887" t="s">
        <v>1233</v>
      </c>
      <c r="J887">
        <v>3</v>
      </c>
      <c r="K887" t="s">
        <v>930</v>
      </c>
      <c r="L887">
        <v>55000</v>
      </c>
      <c r="M887">
        <v>2.6</v>
      </c>
      <c r="N887">
        <v>44.451534359866194</v>
      </c>
      <c r="O887" t="s">
        <v>592</v>
      </c>
      <c r="P887" t="s">
        <v>745</v>
      </c>
      <c r="Q887" t="s">
        <v>586</v>
      </c>
      <c r="R887" t="s">
        <v>712</v>
      </c>
      <c r="S887" t="s">
        <v>712</v>
      </c>
      <c r="T887">
        <v>64</v>
      </c>
    </row>
    <row r="888" spans="1:20" x14ac:dyDescent="0.25">
      <c r="A888" t="s">
        <v>2018</v>
      </c>
      <c r="B888" t="s">
        <v>294</v>
      </c>
      <c r="C888" t="s">
        <v>586</v>
      </c>
      <c r="D888" t="s">
        <v>608</v>
      </c>
      <c r="E888" t="s">
        <v>756</v>
      </c>
      <c r="F888">
        <v>0.52020173806070424</v>
      </c>
      <c r="G888">
        <v>113.35963835616441</v>
      </c>
      <c r="H888" t="s">
        <v>1033</v>
      </c>
      <c r="I888" t="s">
        <v>721</v>
      </c>
      <c r="J888">
        <v>3</v>
      </c>
      <c r="K888" t="s">
        <v>1005</v>
      </c>
      <c r="L888">
        <v>125000</v>
      </c>
      <c r="M888">
        <v>2.6</v>
      </c>
      <c r="N888">
        <v>113.35963835616441</v>
      </c>
      <c r="O888" t="s">
        <v>592</v>
      </c>
      <c r="P888" t="s">
        <v>613</v>
      </c>
      <c r="Q888" t="s">
        <v>586</v>
      </c>
      <c r="R888" t="s">
        <v>712</v>
      </c>
      <c r="S888" t="s">
        <v>712</v>
      </c>
      <c r="T888">
        <v>91</v>
      </c>
    </row>
    <row r="889" spans="1:20" x14ac:dyDescent="0.25">
      <c r="A889" t="s">
        <v>2019</v>
      </c>
      <c r="B889" t="s">
        <v>294</v>
      </c>
      <c r="C889" t="s">
        <v>586</v>
      </c>
      <c r="D889" t="s">
        <v>608</v>
      </c>
      <c r="E889" t="s">
        <v>756</v>
      </c>
      <c r="F889">
        <v>1.4661195970101779</v>
      </c>
      <c r="G889">
        <v>120.80576986301368</v>
      </c>
      <c r="H889" t="s">
        <v>1033</v>
      </c>
      <c r="I889" t="s">
        <v>721</v>
      </c>
      <c r="J889">
        <v>3</v>
      </c>
      <c r="K889" t="s">
        <v>1001</v>
      </c>
      <c r="L889">
        <v>125000</v>
      </c>
      <c r="M889">
        <v>2.8000000000000003</v>
      </c>
      <c r="N889">
        <v>120.80576986301368</v>
      </c>
      <c r="O889" t="s">
        <v>592</v>
      </c>
      <c r="P889" t="s">
        <v>613</v>
      </c>
      <c r="Q889" t="s">
        <v>586</v>
      </c>
      <c r="R889" t="s">
        <v>712</v>
      </c>
      <c r="S889" t="s">
        <v>712</v>
      </c>
      <c r="T889">
        <v>77</v>
      </c>
    </row>
    <row r="890" spans="1:20" x14ac:dyDescent="0.25">
      <c r="A890" t="s">
        <v>2020</v>
      </c>
      <c r="B890" t="s">
        <v>294</v>
      </c>
      <c r="C890" t="s">
        <v>586</v>
      </c>
      <c r="D890" t="s">
        <v>608</v>
      </c>
      <c r="E890" t="s">
        <v>756</v>
      </c>
      <c r="F890">
        <v>2.3819227512632155</v>
      </c>
      <c r="G890">
        <v>117.92413698630138</v>
      </c>
      <c r="H890" t="s">
        <v>1033</v>
      </c>
      <c r="I890" t="s">
        <v>721</v>
      </c>
      <c r="J890">
        <v>3</v>
      </c>
      <c r="K890" t="s">
        <v>803</v>
      </c>
      <c r="L890">
        <v>130000</v>
      </c>
      <c r="M890">
        <v>2.9000000000000004</v>
      </c>
      <c r="N890">
        <v>117.92413698630138</v>
      </c>
      <c r="O890" t="s">
        <v>592</v>
      </c>
      <c r="P890" t="s">
        <v>613</v>
      </c>
      <c r="Q890" t="s">
        <v>586</v>
      </c>
      <c r="R890" t="s">
        <v>712</v>
      </c>
      <c r="S890" t="s">
        <v>712</v>
      </c>
      <c r="T890">
        <v>67</v>
      </c>
    </row>
    <row r="891" spans="1:20" x14ac:dyDescent="0.25">
      <c r="A891" t="s">
        <v>2021</v>
      </c>
      <c r="B891" t="s">
        <v>23</v>
      </c>
      <c r="C891" t="s">
        <v>607</v>
      </c>
      <c r="D891" t="s">
        <v>608</v>
      </c>
      <c r="E891" t="s">
        <v>609</v>
      </c>
      <c r="F891">
        <v>8.0470264554355089E-2</v>
      </c>
      <c r="G891">
        <v>39.043452054794514</v>
      </c>
      <c r="H891" t="s">
        <v>610</v>
      </c>
      <c r="I891" t="s">
        <v>611</v>
      </c>
      <c r="J891">
        <v>3</v>
      </c>
      <c r="K891" t="s">
        <v>950</v>
      </c>
      <c r="L891">
        <v>300000</v>
      </c>
      <c r="M891">
        <v>2.15</v>
      </c>
      <c r="N891">
        <v>39.043452054794514</v>
      </c>
      <c r="O891" t="s">
        <v>592</v>
      </c>
      <c r="P891" t="s">
        <v>613</v>
      </c>
      <c r="Q891" t="s">
        <v>586</v>
      </c>
      <c r="R891" t="s">
        <v>712</v>
      </c>
      <c r="S891" t="s">
        <v>614</v>
      </c>
      <c r="T891">
        <v>87</v>
      </c>
    </row>
    <row r="892" spans="1:20" x14ac:dyDescent="0.25">
      <c r="A892" t="s">
        <v>2022</v>
      </c>
      <c r="B892" t="s">
        <v>23</v>
      </c>
      <c r="C892" t="s">
        <v>607</v>
      </c>
      <c r="D892" t="s">
        <v>608</v>
      </c>
      <c r="E892" t="s">
        <v>609</v>
      </c>
      <c r="F892">
        <v>1.9872619685876403</v>
      </c>
      <c r="G892">
        <v>44.834336986301373</v>
      </c>
      <c r="H892" t="s">
        <v>610</v>
      </c>
      <c r="I892" t="s">
        <v>611</v>
      </c>
      <c r="J892">
        <v>3</v>
      </c>
      <c r="K892" t="s">
        <v>956</v>
      </c>
      <c r="L892">
        <v>300000</v>
      </c>
      <c r="M892">
        <v>2.4000000000000004</v>
      </c>
      <c r="N892">
        <v>44.834336986301373</v>
      </c>
      <c r="O892" t="s">
        <v>592</v>
      </c>
      <c r="P892" t="s">
        <v>613</v>
      </c>
      <c r="Q892" t="s">
        <v>586</v>
      </c>
      <c r="R892" t="s">
        <v>712</v>
      </c>
      <c r="S892" t="s">
        <v>614</v>
      </c>
      <c r="T892">
        <v>78</v>
      </c>
    </row>
    <row r="893" spans="1:20" x14ac:dyDescent="0.25">
      <c r="A893" t="s">
        <v>2023</v>
      </c>
      <c r="B893" t="s">
        <v>295</v>
      </c>
      <c r="C893" t="s">
        <v>607</v>
      </c>
      <c r="D893" t="s">
        <v>608</v>
      </c>
      <c r="E893" t="s">
        <v>2024</v>
      </c>
      <c r="F893">
        <v>0.1192827727769132</v>
      </c>
      <c r="G893">
        <v>18.247061693353707</v>
      </c>
      <c r="H893" t="s">
        <v>1557</v>
      </c>
      <c r="I893" t="s">
        <v>611</v>
      </c>
      <c r="J893">
        <v>3</v>
      </c>
      <c r="K893" t="s">
        <v>1105</v>
      </c>
      <c r="L893">
        <v>70000</v>
      </c>
      <c r="M893">
        <v>1.85</v>
      </c>
      <c r="N893">
        <v>18.247061693353707</v>
      </c>
      <c r="O893" t="s">
        <v>592</v>
      </c>
      <c r="P893" t="s">
        <v>613</v>
      </c>
      <c r="Q893" t="s">
        <v>586</v>
      </c>
      <c r="R893" t="s">
        <v>712</v>
      </c>
      <c r="S893" t="s">
        <v>712</v>
      </c>
      <c r="T893">
        <v>77</v>
      </c>
    </row>
    <row r="894" spans="1:20" x14ac:dyDescent="0.25">
      <c r="A894" t="s">
        <v>2025</v>
      </c>
      <c r="B894" t="s">
        <v>295</v>
      </c>
      <c r="C894" t="s">
        <v>607</v>
      </c>
      <c r="D894" t="s">
        <v>608</v>
      </c>
      <c r="E894" t="s">
        <v>2024</v>
      </c>
      <c r="F894">
        <v>1.0881504867432314</v>
      </c>
      <c r="G894">
        <v>17.696759662897254</v>
      </c>
      <c r="H894" t="s">
        <v>1557</v>
      </c>
      <c r="I894" t="s">
        <v>611</v>
      </c>
      <c r="J894">
        <v>3</v>
      </c>
      <c r="K894" t="s">
        <v>987</v>
      </c>
      <c r="L894">
        <v>75000</v>
      </c>
      <c r="M894">
        <v>2</v>
      </c>
      <c r="N894">
        <v>17.696759662897254</v>
      </c>
      <c r="O894" t="s">
        <v>592</v>
      </c>
      <c r="P894" t="s">
        <v>613</v>
      </c>
      <c r="Q894" t="s">
        <v>586</v>
      </c>
      <c r="R894" t="s">
        <v>712</v>
      </c>
      <c r="S894" t="s">
        <v>712</v>
      </c>
      <c r="T894">
        <v>15</v>
      </c>
    </row>
    <row r="895" spans="1:20" x14ac:dyDescent="0.25">
      <c r="A895" t="s">
        <v>2026</v>
      </c>
      <c r="B895" t="s">
        <v>295</v>
      </c>
      <c r="C895" t="s">
        <v>607</v>
      </c>
      <c r="D895" t="s">
        <v>608</v>
      </c>
      <c r="E895" t="s">
        <v>2024</v>
      </c>
      <c r="F895">
        <v>2.0277350478673526</v>
      </c>
      <c r="G895">
        <v>12.363593993944043</v>
      </c>
      <c r="H895" t="s">
        <v>1557</v>
      </c>
      <c r="I895" t="s">
        <v>611</v>
      </c>
      <c r="J895">
        <v>3</v>
      </c>
      <c r="K895" t="s">
        <v>776</v>
      </c>
      <c r="L895">
        <v>75000</v>
      </c>
      <c r="M895">
        <v>2.1</v>
      </c>
      <c r="N895">
        <v>12.363593993944043</v>
      </c>
      <c r="O895" t="s">
        <v>592</v>
      </c>
      <c r="P895" t="s">
        <v>613</v>
      </c>
      <c r="Q895" t="s">
        <v>586</v>
      </c>
      <c r="R895" t="s">
        <v>712</v>
      </c>
      <c r="S895" t="s">
        <v>712</v>
      </c>
      <c r="T895">
        <v>4</v>
      </c>
    </row>
    <row r="896" spans="1:20" x14ac:dyDescent="0.25">
      <c r="A896" t="s">
        <v>2027</v>
      </c>
      <c r="B896" t="s">
        <v>295</v>
      </c>
      <c r="C896" t="s">
        <v>607</v>
      </c>
      <c r="D896" t="s">
        <v>608</v>
      </c>
      <c r="E896" t="s">
        <v>2024</v>
      </c>
      <c r="F896">
        <v>2.9403373797125125</v>
      </c>
      <c r="G896">
        <v>8.2828114933818142</v>
      </c>
      <c r="H896" t="s">
        <v>1557</v>
      </c>
      <c r="I896" t="s">
        <v>611</v>
      </c>
      <c r="J896">
        <v>3</v>
      </c>
      <c r="K896" t="s">
        <v>1066</v>
      </c>
      <c r="L896">
        <v>80000</v>
      </c>
      <c r="M896">
        <v>2.2000000000000002</v>
      </c>
      <c r="N896">
        <v>8.2828114933818142</v>
      </c>
      <c r="O896" t="s">
        <v>592</v>
      </c>
      <c r="P896" t="s">
        <v>613</v>
      </c>
      <c r="Q896" t="s">
        <v>586</v>
      </c>
      <c r="R896" t="s">
        <v>712</v>
      </c>
      <c r="S896" t="s">
        <v>712</v>
      </c>
      <c r="T896">
        <v>2</v>
      </c>
    </row>
    <row r="897" spans="1:20" x14ac:dyDescent="0.25">
      <c r="A897" t="s">
        <v>2028</v>
      </c>
      <c r="B897" t="s">
        <v>295</v>
      </c>
      <c r="C897" t="s">
        <v>607</v>
      </c>
      <c r="D897" t="s">
        <v>608</v>
      </c>
      <c r="E897" t="s">
        <v>2024</v>
      </c>
      <c r="F897">
        <v>3.8264047816881246</v>
      </c>
      <c r="G897">
        <v>11.738908930555603</v>
      </c>
      <c r="H897" t="s">
        <v>1557</v>
      </c>
      <c r="I897" t="s">
        <v>611</v>
      </c>
      <c r="J897">
        <v>3</v>
      </c>
      <c r="K897" t="s">
        <v>1418</v>
      </c>
      <c r="L897">
        <v>80000</v>
      </c>
      <c r="M897">
        <v>2.35</v>
      </c>
      <c r="N897">
        <v>11.738908930555603</v>
      </c>
      <c r="O897" t="s">
        <v>592</v>
      </c>
      <c r="P897" t="s">
        <v>613</v>
      </c>
      <c r="Q897" t="s">
        <v>586</v>
      </c>
      <c r="R897" t="s">
        <v>712</v>
      </c>
      <c r="S897" t="s">
        <v>712</v>
      </c>
      <c r="T897">
        <v>1</v>
      </c>
    </row>
    <row r="898" spans="1:20" x14ac:dyDescent="0.25">
      <c r="A898" t="s">
        <v>2029</v>
      </c>
      <c r="B898" t="s">
        <v>296</v>
      </c>
      <c r="C898" t="s">
        <v>586</v>
      </c>
      <c r="D898" t="s">
        <v>875</v>
      </c>
      <c r="E898" t="s">
        <v>2030</v>
      </c>
      <c r="F898">
        <v>0.73780480740731036</v>
      </c>
      <c r="G898">
        <v>53.229028282848169</v>
      </c>
      <c r="H898" t="s">
        <v>832</v>
      </c>
      <c r="I898" t="s">
        <v>721</v>
      </c>
      <c r="J898">
        <v>1.85</v>
      </c>
      <c r="K898" t="s">
        <v>861</v>
      </c>
      <c r="L898">
        <v>580000</v>
      </c>
      <c r="M898">
        <v>1.9000000000000001</v>
      </c>
      <c r="N898">
        <v>53.229028282848169</v>
      </c>
      <c r="O898" t="s">
        <v>592</v>
      </c>
      <c r="P898" t="s">
        <v>593</v>
      </c>
      <c r="Q898" t="s">
        <v>586</v>
      </c>
      <c r="R898">
        <v>185000</v>
      </c>
      <c r="S898" t="s">
        <v>712</v>
      </c>
      <c r="T898">
        <v>82</v>
      </c>
    </row>
    <row r="899" spans="1:20" x14ac:dyDescent="0.25">
      <c r="A899" t="s">
        <v>2031</v>
      </c>
      <c r="B899" t="s">
        <v>296</v>
      </c>
      <c r="C899" t="s">
        <v>586</v>
      </c>
      <c r="D899" t="s">
        <v>875</v>
      </c>
      <c r="E899" t="s">
        <v>2030</v>
      </c>
      <c r="F899">
        <v>1.6761783114615338</v>
      </c>
      <c r="G899">
        <v>53.130391863032081</v>
      </c>
      <c r="H899" t="s">
        <v>832</v>
      </c>
      <c r="I899" t="s">
        <v>721</v>
      </c>
      <c r="J899">
        <v>4</v>
      </c>
      <c r="K899" t="s">
        <v>682</v>
      </c>
      <c r="L899">
        <v>595000</v>
      </c>
      <c r="M899">
        <v>2.06</v>
      </c>
      <c r="N899">
        <v>53.130391863032081</v>
      </c>
      <c r="O899" t="s">
        <v>592</v>
      </c>
      <c r="P899" t="s">
        <v>593</v>
      </c>
      <c r="Q899" t="s">
        <v>586</v>
      </c>
      <c r="R899" t="s">
        <v>712</v>
      </c>
      <c r="S899" t="s">
        <v>712</v>
      </c>
      <c r="T899">
        <v>81</v>
      </c>
    </row>
    <row r="900" spans="1:20" x14ac:dyDescent="0.25">
      <c r="A900" t="s">
        <v>2032</v>
      </c>
      <c r="B900" t="s">
        <v>296</v>
      </c>
      <c r="C900" t="s">
        <v>586</v>
      </c>
      <c r="D900" t="s">
        <v>875</v>
      </c>
      <c r="E900" t="s">
        <v>2030</v>
      </c>
      <c r="F900">
        <v>2.6496381360005556</v>
      </c>
      <c r="G900">
        <v>56.073130630463083</v>
      </c>
      <c r="H900" t="s">
        <v>832</v>
      </c>
      <c r="I900" t="s">
        <v>721</v>
      </c>
      <c r="J900">
        <v>2</v>
      </c>
      <c r="K900" t="s">
        <v>930</v>
      </c>
      <c r="L900">
        <v>635000</v>
      </c>
      <c r="M900">
        <v>2.25</v>
      </c>
      <c r="N900">
        <v>56.073130630463083</v>
      </c>
      <c r="O900" t="s">
        <v>592</v>
      </c>
      <c r="P900" t="s">
        <v>593</v>
      </c>
      <c r="Q900" t="s">
        <v>586</v>
      </c>
      <c r="R900">
        <v>75000</v>
      </c>
      <c r="S900" t="s">
        <v>712</v>
      </c>
      <c r="T900">
        <v>44</v>
      </c>
    </row>
    <row r="901" spans="1:20" x14ac:dyDescent="0.25">
      <c r="A901" t="s">
        <v>2033</v>
      </c>
      <c r="B901" t="s">
        <v>296</v>
      </c>
      <c r="C901" t="s">
        <v>586</v>
      </c>
      <c r="D901" t="s">
        <v>875</v>
      </c>
      <c r="E901" t="s">
        <v>2030</v>
      </c>
      <c r="F901">
        <v>3.4617132284805252</v>
      </c>
      <c r="G901">
        <v>62.496427526158051</v>
      </c>
      <c r="H901" t="s">
        <v>832</v>
      </c>
      <c r="I901" t="s">
        <v>721</v>
      </c>
      <c r="J901">
        <v>4</v>
      </c>
      <c r="K901" t="s">
        <v>684</v>
      </c>
      <c r="L901">
        <v>635000</v>
      </c>
      <c r="M901">
        <v>2.46</v>
      </c>
      <c r="N901">
        <v>62.496427526158051</v>
      </c>
      <c r="O901" t="s">
        <v>592</v>
      </c>
      <c r="P901" t="s">
        <v>593</v>
      </c>
      <c r="Q901" t="s">
        <v>586</v>
      </c>
      <c r="R901" t="s">
        <v>712</v>
      </c>
      <c r="S901" t="s">
        <v>712</v>
      </c>
      <c r="T901">
        <v>53</v>
      </c>
    </row>
    <row r="902" spans="1:20" x14ac:dyDescent="0.25">
      <c r="A902" t="s">
        <v>2034</v>
      </c>
      <c r="B902" t="s">
        <v>296</v>
      </c>
      <c r="C902" t="s">
        <v>586</v>
      </c>
      <c r="D902" t="s">
        <v>875</v>
      </c>
      <c r="E902" t="s">
        <v>2030</v>
      </c>
      <c r="F902">
        <v>4.3077425714526356</v>
      </c>
      <c r="G902">
        <v>64.714193207901175</v>
      </c>
      <c r="H902" t="s">
        <v>832</v>
      </c>
      <c r="I902" t="s">
        <v>721</v>
      </c>
      <c r="J902">
        <v>4</v>
      </c>
      <c r="K902" t="s">
        <v>701</v>
      </c>
      <c r="L902">
        <v>700000</v>
      </c>
      <c r="M902">
        <v>2.6</v>
      </c>
      <c r="N902">
        <v>64.714193207901175</v>
      </c>
      <c r="O902" t="s">
        <v>592</v>
      </c>
      <c r="P902" t="s">
        <v>593</v>
      </c>
      <c r="Q902" t="s">
        <v>586</v>
      </c>
      <c r="R902" t="s">
        <v>712</v>
      </c>
      <c r="S902" t="s">
        <v>712</v>
      </c>
      <c r="T902">
        <v>44</v>
      </c>
    </row>
    <row r="903" spans="1:20" x14ac:dyDescent="0.25">
      <c r="A903" t="s">
        <v>2035</v>
      </c>
      <c r="B903" t="s">
        <v>297</v>
      </c>
      <c r="C903" t="s">
        <v>586</v>
      </c>
      <c r="D903" t="s">
        <v>2036</v>
      </c>
      <c r="E903" t="s">
        <v>2037</v>
      </c>
      <c r="F903">
        <v>0.73646219345687003</v>
      </c>
      <c r="G903">
        <v>61.550860179207632</v>
      </c>
      <c r="H903" t="s">
        <v>2038</v>
      </c>
      <c r="I903" t="s">
        <v>885</v>
      </c>
      <c r="J903">
        <v>2</v>
      </c>
      <c r="K903" t="s">
        <v>861</v>
      </c>
      <c r="L903">
        <v>195000</v>
      </c>
      <c r="M903">
        <v>2</v>
      </c>
      <c r="N903">
        <v>61.550860179207632</v>
      </c>
      <c r="O903" t="s">
        <v>592</v>
      </c>
      <c r="P903" t="s">
        <v>711</v>
      </c>
      <c r="Q903" t="s">
        <v>586</v>
      </c>
      <c r="R903" t="s">
        <v>712</v>
      </c>
      <c r="S903" t="s">
        <v>712</v>
      </c>
      <c r="T903">
        <v>83</v>
      </c>
    </row>
    <row r="904" spans="1:20" x14ac:dyDescent="0.25">
      <c r="A904" t="s">
        <v>2039</v>
      </c>
      <c r="B904" t="s">
        <v>297</v>
      </c>
      <c r="C904" t="s">
        <v>586</v>
      </c>
      <c r="D904" t="s">
        <v>2036</v>
      </c>
      <c r="E904" t="s">
        <v>2037</v>
      </c>
      <c r="F904">
        <v>1.6979750307567141</v>
      </c>
      <c r="G904">
        <v>67.32059922648348</v>
      </c>
      <c r="H904" t="s">
        <v>2038</v>
      </c>
      <c r="I904" t="s">
        <v>885</v>
      </c>
      <c r="J904">
        <v>2.2000000000000002</v>
      </c>
      <c r="K904" t="s">
        <v>682</v>
      </c>
      <c r="L904">
        <v>200000</v>
      </c>
      <c r="M904">
        <v>2.2000000000000002</v>
      </c>
      <c r="N904">
        <v>67.32059922648348</v>
      </c>
      <c r="O904" t="s">
        <v>592</v>
      </c>
      <c r="P904" t="s">
        <v>711</v>
      </c>
      <c r="Q904" t="s">
        <v>586</v>
      </c>
      <c r="R904" t="s">
        <v>712</v>
      </c>
      <c r="S904" t="s">
        <v>712</v>
      </c>
      <c r="T904">
        <v>72</v>
      </c>
    </row>
    <row r="905" spans="1:20" x14ac:dyDescent="0.25">
      <c r="A905" t="s">
        <v>2040</v>
      </c>
      <c r="B905" t="s">
        <v>297</v>
      </c>
      <c r="C905" t="s">
        <v>586</v>
      </c>
      <c r="D905" t="s">
        <v>2036</v>
      </c>
      <c r="E905" t="s">
        <v>2037</v>
      </c>
      <c r="F905">
        <v>2.6320940977996901</v>
      </c>
      <c r="G905">
        <v>72.865211825404685</v>
      </c>
      <c r="H905" t="s">
        <v>2038</v>
      </c>
      <c r="I905" t="s">
        <v>885</v>
      </c>
      <c r="J905">
        <v>2.4</v>
      </c>
      <c r="K905" t="s">
        <v>930</v>
      </c>
      <c r="L905">
        <v>205000</v>
      </c>
      <c r="M905">
        <v>2.4000000000000004</v>
      </c>
      <c r="N905">
        <v>72.865211825404685</v>
      </c>
      <c r="O905" t="s">
        <v>592</v>
      </c>
      <c r="P905" t="s">
        <v>711</v>
      </c>
      <c r="Q905" t="s">
        <v>586</v>
      </c>
      <c r="R905" t="s">
        <v>712</v>
      </c>
      <c r="S905" t="s">
        <v>712</v>
      </c>
      <c r="T905">
        <v>62</v>
      </c>
    </row>
    <row r="906" spans="1:20" x14ac:dyDescent="0.25">
      <c r="A906" t="s">
        <v>2041</v>
      </c>
      <c r="B906" t="s">
        <v>298</v>
      </c>
      <c r="C906" t="s">
        <v>607</v>
      </c>
      <c r="D906" t="s">
        <v>608</v>
      </c>
      <c r="E906" t="s">
        <v>1199</v>
      </c>
      <c r="F906">
        <v>0.49331513441064523</v>
      </c>
      <c r="G906">
        <v>32.995531114392463</v>
      </c>
      <c r="H906" t="s">
        <v>639</v>
      </c>
      <c r="I906" t="s">
        <v>611</v>
      </c>
      <c r="J906">
        <v>2.5</v>
      </c>
      <c r="K906" t="s">
        <v>807</v>
      </c>
      <c r="L906">
        <v>155000</v>
      </c>
      <c r="M906">
        <v>2.1</v>
      </c>
      <c r="N906">
        <v>32.995531114392463</v>
      </c>
      <c r="O906" t="s">
        <v>592</v>
      </c>
      <c r="P906" t="s">
        <v>613</v>
      </c>
      <c r="Q906" t="s">
        <v>586</v>
      </c>
      <c r="R906" t="s">
        <v>712</v>
      </c>
      <c r="S906" t="s">
        <v>712</v>
      </c>
      <c r="T906">
        <v>81</v>
      </c>
    </row>
    <row r="907" spans="1:20" x14ac:dyDescent="0.25">
      <c r="A907" t="s">
        <v>2042</v>
      </c>
      <c r="B907" t="s">
        <v>298</v>
      </c>
      <c r="C907" t="s">
        <v>607</v>
      </c>
      <c r="D907" t="s">
        <v>608</v>
      </c>
      <c r="E907" t="s">
        <v>1199</v>
      </c>
      <c r="F907">
        <v>1.4595008355227761</v>
      </c>
      <c r="G907">
        <v>37.181883065613988</v>
      </c>
      <c r="H907" t="s">
        <v>639</v>
      </c>
      <c r="I907" t="s">
        <v>611</v>
      </c>
      <c r="J907">
        <v>3</v>
      </c>
      <c r="K907" t="s">
        <v>780</v>
      </c>
      <c r="L907">
        <v>155000</v>
      </c>
      <c r="M907">
        <v>2.3000000000000003</v>
      </c>
      <c r="N907">
        <v>37.181883065613988</v>
      </c>
      <c r="O907" t="s">
        <v>592</v>
      </c>
      <c r="P907" t="s">
        <v>613</v>
      </c>
      <c r="Q907" t="s">
        <v>586</v>
      </c>
      <c r="R907" t="s">
        <v>712</v>
      </c>
      <c r="S907" t="s">
        <v>712</v>
      </c>
      <c r="T907">
        <v>63</v>
      </c>
    </row>
    <row r="908" spans="1:20" x14ac:dyDescent="0.25">
      <c r="A908" t="s">
        <v>2043</v>
      </c>
      <c r="B908" t="s">
        <v>299</v>
      </c>
      <c r="C908" t="s">
        <v>607</v>
      </c>
      <c r="D908" t="s">
        <v>608</v>
      </c>
      <c r="E908" t="s">
        <v>1032</v>
      </c>
      <c r="F908">
        <v>8.0447972650813021E-2</v>
      </c>
      <c r="G908">
        <v>63.86814941150196</v>
      </c>
      <c r="H908" t="s">
        <v>1000</v>
      </c>
      <c r="I908" t="s">
        <v>611</v>
      </c>
      <c r="J908">
        <v>4</v>
      </c>
      <c r="K908" t="s">
        <v>950</v>
      </c>
      <c r="L908">
        <v>115000</v>
      </c>
      <c r="M908">
        <v>1.85</v>
      </c>
      <c r="N908">
        <v>63.86814941150196</v>
      </c>
      <c r="O908" t="s">
        <v>592</v>
      </c>
      <c r="P908" t="s">
        <v>613</v>
      </c>
      <c r="Q908" t="s">
        <v>586</v>
      </c>
      <c r="R908" t="s">
        <v>712</v>
      </c>
      <c r="S908" t="s">
        <v>712</v>
      </c>
      <c r="T908">
        <v>98</v>
      </c>
    </row>
    <row r="909" spans="1:20" x14ac:dyDescent="0.25">
      <c r="A909" t="s">
        <v>2044</v>
      </c>
      <c r="B909" t="s">
        <v>299</v>
      </c>
      <c r="C909" t="s">
        <v>607</v>
      </c>
      <c r="D909" t="s">
        <v>608</v>
      </c>
      <c r="E909" t="s">
        <v>1032</v>
      </c>
      <c r="F909">
        <v>1.0399889858669824</v>
      </c>
      <c r="G909">
        <v>62.989484190233092</v>
      </c>
      <c r="H909" t="s">
        <v>1000</v>
      </c>
      <c r="I909" t="s">
        <v>611</v>
      </c>
      <c r="J909">
        <v>4</v>
      </c>
      <c r="K909" t="s">
        <v>612</v>
      </c>
      <c r="L909">
        <v>115000</v>
      </c>
      <c r="M909">
        <v>2</v>
      </c>
      <c r="N909">
        <v>62.989484190233092</v>
      </c>
      <c r="O909" t="s">
        <v>592</v>
      </c>
      <c r="P909" t="s">
        <v>613</v>
      </c>
      <c r="Q909" t="s">
        <v>586</v>
      </c>
      <c r="R909" t="s">
        <v>712</v>
      </c>
      <c r="S909" t="s">
        <v>712</v>
      </c>
      <c r="T909">
        <v>82</v>
      </c>
    </row>
    <row r="910" spans="1:20" x14ac:dyDescent="0.25">
      <c r="A910" t="s">
        <v>2045</v>
      </c>
      <c r="B910" t="s">
        <v>299</v>
      </c>
      <c r="C910" t="s">
        <v>607</v>
      </c>
      <c r="D910" t="s">
        <v>608</v>
      </c>
      <c r="E910" t="s">
        <v>1032</v>
      </c>
      <c r="F910">
        <v>1.9617972849625209</v>
      </c>
      <c r="G910">
        <v>67.066850569825249</v>
      </c>
      <c r="H910" t="s">
        <v>1000</v>
      </c>
      <c r="I910" t="s">
        <v>611</v>
      </c>
      <c r="J910">
        <v>4</v>
      </c>
      <c r="K910" t="s">
        <v>956</v>
      </c>
      <c r="L910">
        <v>120000</v>
      </c>
      <c r="M910">
        <v>2.2000000000000002</v>
      </c>
      <c r="N910">
        <v>67.066850569825249</v>
      </c>
      <c r="O910" t="s">
        <v>592</v>
      </c>
      <c r="P910" t="s">
        <v>613</v>
      </c>
      <c r="Q910" t="s">
        <v>586</v>
      </c>
      <c r="R910" t="s">
        <v>712</v>
      </c>
      <c r="S910" t="s">
        <v>712</v>
      </c>
      <c r="T910">
        <v>71</v>
      </c>
    </row>
    <row r="911" spans="1:20" x14ac:dyDescent="0.25">
      <c r="A911" t="s">
        <v>2046</v>
      </c>
      <c r="B911" t="s">
        <v>105</v>
      </c>
      <c r="C911" t="s">
        <v>607</v>
      </c>
      <c r="D911" t="s">
        <v>608</v>
      </c>
      <c r="E911" t="s">
        <v>1032</v>
      </c>
      <c r="F911">
        <v>1.0497358842680184</v>
      </c>
      <c r="G911">
        <v>42.568821917808222</v>
      </c>
      <c r="H911" t="s">
        <v>1033</v>
      </c>
      <c r="I911" t="s">
        <v>1034</v>
      </c>
      <c r="J911">
        <v>3</v>
      </c>
      <c r="K911" t="s">
        <v>612</v>
      </c>
      <c r="L911">
        <v>750000</v>
      </c>
      <c r="M911">
        <v>1.93</v>
      </c>
      <c r="N911">
        <v>42.568821917808222</v>
      </c>
      <c r="O911" t="s">
        <v>592</v>
      </c>
      <c r="P911" t="s">
        <v>621</v>
      </c>
      <c r="Q911" t="s">
        <v>586</v>
      </c>
      <c r="R911">
        <v>75000</v>
      </c>
      <c r="S911" t="s">
        <v>594</v>
      </c>
      <c r="T911">
        <v>75</v>
      </c>
    </row>
    <row r="912" spans="1:20" x14ac:dyDescent="0.25">
      <c r="A912" t="s">
        <v>2047</v>
      </c>
      <c r="B912" t="s">
        <v>105</v>
      </c>
      <c r="C912" t="s">
        <v>607</v>
      </c>
      <c r="D912" t="s">
        <v>608</v>
      </c>
      <c r="E912" t="s">
        <v>1032</v>
      </c>
      <c r="F912">
        <v>1.9892662051279337</v>
      </c>
      <c r="G912">
        <v>47.793320547945207</v>
      </c>
      <c r="H912" t="s">
        <v>1033</v>
      </c>
      <c r="I912" t="s">
        <v>1034</v>
      </c>
      <c r="J912">
        <v>3</v>
      </c>
      <c r="K912" t="s">
        <v>956</v>
      </c>
      <c r="L912">
        <v>750000</v>
      </c>
      <c r="M912">
        <v>2.12</v>
      </c>
      <c r="N912">
        <v>47.793320547945207</v>
      </c>
      <c r="O912" t="s">
        <v>592</v>
      </c>
      <c r="P912" t="s">
        <v>621</v>
      </c>
      <c r="Q912" t="s">
        <v>586</v>
      </c>
      <c r="R912">
        <v>75000</v>
      </c>
      <c r="S912" t="s">
        <v>594</v>
      </c>
      <c r="T912">
        <v>64</v>
      </c>
    </row>
    <row r="913" spans="1:20" x14ac:dyDescent="0.25">
      <c r="A913" t="s">
        <v>2048</v>
      </c>
      <c r="B913" t="s">
        <v>300</v>
      </c>
      <c r="C913" t="s">
        <v>607</v>
      </c>
      <c r="D913" t="s">
        <v>608</v>
      </c>
      <c r="E913" t="s">
        <v>1032</v>
      </c>
      <c r="F913">
        <v>8.0476386907179912E-2</v>
      </c>
      <c r="G913">
        <v>46.66712506677537</v>
      </c>
      <c r="H913" t="s">
        <v>761</v>
      </c>
      <c r="I913" t="s">
        <v>1591</v>
      </c>
      <c r="J913">
        <v>2</v>
      </c>
      <c r="K913" t="s">
        <v>950</v>
      </c>
      <c r="L913">
        <v>165000</v>
      </c>
      <c r="M913">
        <v>1.85</v>
      </c>
      <c r="N913">
        <v>46.66712506677537</v>
      </c>
      <c r="O913" t="s">
        <v>592</v>
      </c>
      <c r="P913" t="s">
        <v>613</v>
      </c>
      <c r="Q913" t="s">
        <v>586</v>
      </c>
      <c r="R913" t="s">
        <v>712</v>
      </c>
      <c r="S913" t="s">
        <v>878</v>
      </c>
      <c r="T913">
        <v>99</v>
      </c>
    </row>
    <row r="914" spans="1:20" x14ac:dyDescent="0.25">
      <c r="A914" t="s">
        <v>2049</v>
      </c>
      <c r="B914" t="s">
        <v>300</v>
      </c>
      <c r="C914" t="s">
        <v>607</v>
      </c>
      <c r="D914" t="s">
        <v>608</v>
      </c>
      <c r="E914" t="s">
        <v>1032</v>
      </c>
      <c r="F914">
        <v>1.0561690113898559</v>
      </c>
      <c r="G914">
        <v>52.448569420552737</v>
      </c>
      <c r="H914" t="s">
        <v>761</v>
      </c>
      <c r="I914" t="s">
        <v>1591</v>
      </c>
      <c r="J914">
        <v>2</v>
      </c>
      <c r="K914" t="s">
        <v>612</v>
      </c>
      <c r="L914">
        <v>165000</v>
      </c>
      <c r="M914">
        <v>2.0499999999999998</v>
      </c>
      <c r="N914">
        <v>52.448569420552737</v>
      </c>
      <c r="O914" t="s">
        <v>592</v>
      </c>
      <c r="P914" t="s">
        <v>613</v>
      </c>
      <c r="Q914" t="s">
        <v>586</v>
      </c>
      <c r="R914" t="s">
        <v>712</v>
      </c>
      <c r="S914" t="s">
        <v>878</v>
      </c>
      <c r="T914">
        <v>83</v>
      </c>
    </row>
    <row r="915" spans="1:20" x14ac:dyDescent="0.25">
      <c r="A915" t="s">
        <v>2050</v>
      </c>
      <c r="B915" t="s">
        <v>300</v>
      </c>
      <c r="C915" t="s">
        <v>607</v>
      </c>
      <c r="D915" t="s">
        <v>608</v>
      </c>
      <c r="E915" t="s">
        <v>1032</v>
      </c>
      <c r="F915">
        <v>2.0079445499674238</v>
      </c>
      <c r="G915">
        <v>47.928662962766566</v>
      </c>
      <c r="H915" t="s">
        <v>761</v>
      </c>
      <c r="I915" t="s">
        <v>1591</v>
      </c>
      <c r="J915">
        <v>2.125</v>
      </c>
      <c r="K915" t="s">
        <v>956</v>
      </c>
      <c r="L915">
        <v>165000</v>
      </c>
      <c r="M915">
        <v>2.15</v>
      </c>
      <c r="N915">
        <v>47.928662962766566</v>
      </c>
      <c r="O915" t="s">
        <v>592</v>
      </c>
      <c r="P915" t="s">
        <v>613</v>
      </c>
      <c r="Q915" t="s">
        <v>586</v>
      </c>
      <c r="R915" t="s">
        <v>712</v>
      </c>
      <c r="S915" t="s">
        <v>878</v>
      </c>
      <c r="T915">
        <v>68</v>
      </c>
    </row>
    <row r="916" spans="1:20" x14ac:dyDescent="0.25">
      <c r="A916" t="s">
        <v>2051</v>
      </c>
      <c r="B916" t="s">
        <v>301</v>
      </c>
      <c r="C916" t="s">
        <v>607</v>
      </c>
      <c r="D916" t="s">
        <v>608</v>
      </c>
      <c r="E916" t="s">
        <v>1032</v>
      </c>
      <c r="F916">
        <v>8.0486845383377456E-2</v>
      </c>
      <c r="G916">
        <v>66.68246476557313</v>
      </c>
      <c r="H916" t="s">
        <v>761</v>
      </c>
      <c r="I916" t="s">
        <v>721</v>
      </c>
      <c r="J916">
        <v>5</v>
      </c>
      <c r="K916" t="s">
        <v>950</v>
      </c>
      <c r="L916">
        <v>50000</v>
      </c>
      <c r="M916">
        <v>1.9000000000000001</v>
      </c>
      <c r="N916">
        <v>66.68246476557313</v>
      </c>
      <c r="O916" t="s">
        <v>592</v>
      </c>
      <c r="P916" t="s">
        <v>621</v>
      </c>
      <c r="Q916" t="s">
        <v>586</v>
      </c>
      <c r="R916" t="s">
        <v>712</v>
      </c>
      <c r="S916" t="s">
        <v>878</v>
      </c>
      <c r="T916">
        <v>95</v>
      </c>
    </row>
    <row r="917" spans="1:20" x14ac:dyDescent="0.25">
      <c r="A917" t="s">
        <v>2052</v>
      </c>
      <c r="B917" t="s">
        <v>301</v>
      </c>
      <c r="C917" t="s">
        <v>607</v>
      </c>
      <c r="D917" t="s">
        <v>608</v>
      </c>
      <c r="E917" t="s">
        <v>1032</v>
      </c>
      <c r="F917">
        <v>1.0366140287206551</v>
      </c>
      <c r="G917">
        <v>67.117276252507025</v>
      </c>
      <c r="H917" t="s">
        <v>761</v>
      </c>
      <c r="I917" t="s">
        <v>721</v>
      </c>
      <c r="J917">
        <v>5</v>
      </c>
      <c r="K917" t="s">
        <v>612</v>
      </c>
      <c r="L917">
        <v>50000</v>
      </c>
      <c r="M917">
        <v>2.0499999999999998</v>
      </c>
      <c r="N917">
        <v>67.117276252507025</v>
      </c>
      <c r="O917" t="s">
        <v>592</v>
      </c>
      <c r="P917" t="s">
        <v>621</v>
      </c>
      <c r="Q917" t="s">
        <v>586</v>
      </c>
      <c r="R917" t="s">
        <v>712</v>
      </c>
      <c r="S917" t="s">
        <v>878</v>
      </c>
      <c r="T917">
        <v>93</v>
      </c>
    </row>
    <row r="918" spans="1:20" x14ac:dyDescent="0.25">
      <c r="A918" t="s">
        <v>2053</v>
      </c>
      <c r="B918" t="s">
        <v>301</v>
      </c>
      <c r="C918" t="s">
        <v>607</v>
      </c>
      <c r="D918" t="s">
        <v>608</v>
      </c>
      <c r="E918" t="s">
        <v>1032</v>
      </c>
      <c r="F918">
        <v>1.9480586848820798</v>
      </c>
      <c r="G918">
        <v>62.249842014571712</v>
      </c>
      <c r="H918" t="s">
        <v>761</v>
      </c>
      <c r="I918" t="s">
        <v>721</v>
      </c>
      <c r="J918">
        <v>5</v>
      </c>
      <c r="K918" t="s">
        <v>956</v>
      </c>
      <c r="L918">
        <v>50000</v>
      </c>
      <c r="M918">
        <v>2.15</v>
      </c>
      <c r="N918">
        <v>62.249842014571712</v>
      </c>
      <c r="O918" t="s">
        <v>592</v>
      </c>
      <c r="P918" t="s">
        <v>621</v>
      </c>
      <c r="Q918" t="s">
        <v>586</v>
      </c>
      <c r="R918" t="s">
        <v>712</v>
      </c>
      <c r="S918" t="s">
        <v>878</v>
      </c>
      <c r="T918">
        <v>84</v>
      </c>
    </row>
    <row r="919" spans="1:20" x14ac:dyDescent="0.25">
      <c r="A919" t="s">
        <v>2054</v>
      </c>
      <c r="B919" t="s">
        <v>302</v>
      </c>
      <c r="C919" t="s">
        <v>586</v>
      </c>
      <c r="D919" t="s">
        <v>608</v>
      </c>
      <c r="E919" t="s">
        <v>1032</v>
      </c>
      <c r="F919">
        <v>8.0455779640880895E-2</v>
      </c>
      <c r="G919">
        <v>84.028405479452076</v>
      </c>
      <c r="H919" t="s">
        <v>1033</v>
      </c>
      <c r="I919" t="s">
        <v>885</v>
      </c>
      <c r="J919">
        <v>2.2000000000000002</v>
      </c>
      <c r="K919" t="s">
        <v>950</v>
      </c>
      <c r="L919">
        <v>45000</v>
      </c>
      <c r="M919">
        <v>2.2000000000000002</v>
      </c>
      <c r="N919">
        <v>84.028405479452076</v>
      </c>
      <c r="O919" t="s">
        <v>592</v>
      </c>
      <c r="P919" t="s">
        <v>613</v>
      </c>
      <c r="Q919" t="s">
        <v>586</v>
      </c>
      <c r="R919" t="s">
        <v>712</v>
      </c>
      <c r="S919" t="s">
        <v>712</v>
      </c>
      <c r="T919">
        <v>96</v>
      </c>
    </row>
    <row r="920" spans="1:20" x14ac:dyDescent="0.25">
      <c r="A920" t="s">
        <v>2055</v>
      </c>
      <c r="B920" t="s">
        <v>302</v>
      </c>
      <c r="C920" t="s">
        <v>586</v>
      </c>
      <c r="D920" t="s">
        <v>608</v>
      </c>
      <c r="E920" t="s">
        <v>1032</v>
      </c>
      <c r="F920">
        <v>1.0516343835240998</v>
      </c>
      <c r="G920">
        <v>90.778095890410953</v>
      </c>
      <c r="H920" t="s">
        <v>1033</v>
      </c>
      <c r="I920" t="s">
        <v>885</v>
      </c>
      <c r="J920">
        <v>2.4</v>
      </c>
      <c r="K920" t="s">
        <v>612</v>
      </c>
      <c r="L920">
        <v>50000</v>
      </c>
      <c r="M920">
        <v>2.4000000000000004</v>
      </c>
      <c r="N920">
        <v>90.778095890410953</v>
      </c>
      <c r="O920" t="s">
        <v>592</v>
      </c>
      <c r="P920" t="s">
        <v>613</v>
      </c>
      <c r="Q920" t="s">
        <v>586</v>
      </c>
      <c r="R920" t="s">
        <v>712</v>
      </c>
      <c r="S920" t="s">
        <v>712</v>
      </c>
      <c r="T920">
        <v>80</v>
      </c>
    </row>
    <row r="921" spans="1:20" x14ac:dyDescent="0.25">
      <c r="A921" t="s">
        <v>2056</v>
      </c>
      <c r="B921" t="s">
        <v>302</v>
      </c>
      <c r="C921" t="s">
        <v>586</v>
      </c>
      <c r="D921" t="s">
        <v>608</v>
      </c>
      <c r="E921" t="s">
        <v>1032</v>
      </c>
      <c r="F921">
        <v>1.9936739253987332</v>
      </c>
      <c r="G921">
        <v>97.051515068493146</v>
      </c>
      <c r="H921" t="s">
        <v>1033</v>
      </c>
      <c r="I921" t="s">
        <v>885</v>
      </c>
      <c r="J921">
        <v>2.6</v>
      </c>
      <c r="K921" t="s">
        <v>956</v>
      </c>
      <c r="L921">
        <v>50000</v>
      </c>
      <c r="M921">
        <v>2.6</v>
      </c>
      <c r="N921">
        <v>97.051515068493146</v>
      </c>
      <c r="O921" t="s">
        <v>592</v>
      </c>
      <c r="P921" t="s">
        <v>613</v>
      </c>
      <c r="Q921" t="s">
        <v>586</v>
      </c>
      <c r="R921" t="s">
        <v>712</v>
      </c>
      <c r="S921" t="s">
        <v>712</v>
      </c>
      <c r="T921">
        <v>64</v>
      </c>
    </row>
    <row r="922" spans="1:20" x14ac:dyDescent="0.25">
      <c r="A922" t="s">
        <v>2057</v>
      </c>
      <c r="B922" t="s">
        <v>302</v>
      </c>
      <c r="C922" t="s">
        <v>586</v>
      </c>
      <c r="D922" t="s">
        <v>608</v>
      </c>
      <c r="E922" t="s">
        <v>1032</v>
      </c>
      <c r="F922">
        <v>2.9033515386821267</v>
      </c>
      <c r="G922">
        <v>103.26354520547942</v>
      </c>
      <c r="H922" t="s">
        <v>1033</v>
      </c>
      <c r="I922" t="s">
        <v>885</v>
      </c>
      <c r="J922">
        <v>2.8</v>
      </c>
      <c r="K922" t="s">
        <v>1334</v>
      </c>
      <c r="L922">
        <v>55000</v>
      </c>
      <c r="M922">
        <v>2.8000000000000003</v>
      </c>
      <c r="N922">
        <v>103.26354520547942</v>
      </c>
      <c r="O922" t="s">
        <v>592</v>
      </c>
      <c r="P922" t="s">
        <v>613</v>
      </c>
      <c r="Q922" t="s">
        <v>586</v>
      </c>
      <c r="R922" t="s">
        <v>712</v>
      </c>
      <c r="S922" t="s">
        <v>712</v>
      </c>
      <c r="T922">
        <v>48</v>
      </c>
    </row>
    <row r="923" spans="1:20" x14ac:dyDescent="0.25">
      <c r="A923" t="s">
        <v>2058</v>
      </c>
      <c r="B923" t="s">
        <v>303</v>
      </c>
      <c r="C923" t="s">
        <v>607</v>
      </c>
      <c r="D923" t="s">
        <v>608</v>
      </c>
      <c r="E923" t="s">
        <v>1032</v>
      </c>
      <c r="F923">
        <v>8.0474312174032572E-2</v>
      </c>
      <c r="G923">
        <v>62.585188328070451</v>
      </c>
      <c r="H923" t="s">
        <v>761</v>
      </c>
      <c r="I923" t="s">
        <v>611</v>
      </c>
      <c r="J923">
        <v>3</v>
      </c>
      <c r="K923" t="s">
        <v>950</v>
      </c>
      <c r="L923">
        <v>135000</v>
      </c>
      <c r="M923">
        <v>1.9000000000000001</v>
      </c>
      <c r="N923">
        <v>62.585188328070451</v>
      </c>
      <c r="O923" t="s">
        <v>592</v>
      </c>
      <c r="P923" t="s">
        <v>613</v>
      </c>
      <c r="Q923" t="s">
        <v>586</v>
      </c>
      <c r="R923" t="s">
        <v>712</v>
      </c>
      <c r="S923" t="s">
        <v>594</v>
      </c>
      <c r="T923">
        <v>99</v>
      </c>
    </row>
    <row r="924" spans="1:20" x14ac:dyDescent="0.25">
      <c r="A924" t="s">
        <v>2059</v>
      </c>
      <c r="B924" t="s">
        <v>303</v>
      </c>
      <c r="C924" t="s">
        <v>607</v>
      </c>
      <c r="D924" t="s">
        <v>608</v>
      </c>
      <c r="E924" t="s">
        <v>1032</v>
      </c>
      <c r="F924">
        <v>1.048988226079828</v>
      </c>
      <c r="G924">
        <v>58.301139442728811</v>
      </c>
      <c r="H924" t="s">
        <v>761</v>
      </c>
      <c r="I924" t="s">
        <v>611</v>
      </c>
      <c r="J924">
        <v>3</v>
      </c>
      <c r="K924" t="s">
        <v>612</v>
      </c>
      <c r="L924">
        <v>140000</v>
      </c>
      <c r="M924">
        <v>2</v>
      </c>
      <c r="N924">
        <v>58.301139442728811</v>
      </c>
      <c r="O924" t="s">
        <v>592</v>
      </c>
      <c r="P924" t="s">
        <v>613</v>
      </c>
      <c r="Q924" t="s">
        <v>586</v>
      </c>
      <c r="R924" t="s">
        <v>712</v>
      </c>
      <c r="S924" t="s">
        <v>594</v>
      </c>
      <c r="T924">
        <v>91</v>
      </c>
    </row>
    <row r="925" spans="1:20" x14ac:dyDescent="0.25">
      <c r="A925" t="s">
        <v>2060</v>
      </c>
      <c r="B925" t="s">
        <v>303</v>
      </c>
      <c r="C925" t="s">
        <v>607</v>
      </c>
      <c r="D925" t="s">
        <v>608</v>
      </c>
      <c r="E925" t="s">
        <v>1032</v>
      </c>
      <c r="F925">
        <v>2.0105459264725201</v>
      </c>
      <c r="G925">
        <v>63.634052405971907</v>
      </c>
      <c r="H925" t="s">
        <v>761</v>
      </c>
      <c r="I925" t="s">
        <v>611</v>
      </c>
      <c r="J925">
        <v>2</v>
      </c>
      <c r="K925" t="s">
        <v>956</v>
      </c>
      <c r="L925">
        <v>145000</v>
      </c>
      <c r="M925">
        <v>2.2000000000000002</v>
      </c>
      <c r="N925">
        <v>63.634052405971907</v>
      </c>
      <c r="O925" t="s">
        <v>592</v>
      </c>
      <c r="P925" t="s">
        <v>613</v>
      </c>
      <c r="Q925" t="s">
        <v>586</v>
      </c>
      <c r="R925" t="s">
        <v>712</v>
      </c>
      <c r="S925" t="s">
        <v>594</v>
      </c>
      <c r="T925">
        <v>72</v>
      </c>
    </row>
    <row r="926" spans="1:20" x14ac:dyDescent="0.25">
      <c r="A926" t="s">
        <v>2061</v>
      </c>
      <c r="B926" t="s">
        <v>303</v>
      </c>
      <c r="C926" t="s">
        <v>607</v>
      </c>
      <c r="D926" t="s">
        <v>608</v>
      </c>
      <c r="E926" t="s">
        <v>1032</v>
      </c>
      <c r="F926">
        <v>2.9339296341692189</v>
      </c>
      <c r="G926">
        <v>68.979252480276415</v>
      </c>
      <c r="H926" t="s">
        <v>761</v>
      </c>
      <c r="I926" t="s">
        <v>611</v>
      </c>
      <c r="J926">
        <v>2.25</v>
      </c>
      <c r="K926" t="s">
        <v>1334</v>
      </c>
      <c r="L926">
        <v>155000</v>
      </c>
      <c r="M926">
        <v>2.4000000000000004</v>
      </c>
      <c r="N926">
        <v>68.979252480276415</v>
      </c>
      <c r="O926" t="s">
        <v>592</v>
      </c>
      <c r="P926" t="s">
        <v>613</v>
      </c>
      <c r="Q926" t="s">
        <v>586</v>
      </c>
      <c r="R926" t="s">
        <v>712</v>
      </c>
      <c r="S926" t="s">
        <v>594</v>
      </c>
      <c r="T926">
        <v>59</v>
      </c>
    </row>
    <row r="927" spans="1:20" x14ac:dyDescent="0.25">
      <c r="A927" t="s">
        <v>2062</v>
      </c>
      <c r="B927" t="s">
        <v>304</v>
      </c>
      <c r="C927" t="s">
        <v>607</v>
      </c>
      <c r="D927" t="s">
        <v>608</v>
      </c>
      <c r="E927" t="s">
        <v>850</v>
      </c>
      <c r="F927">
        <v>0.32927805910592195</v>
      </c>
      <c r="G927">
        <v>78.223141742273498</v>
      </c>
      <c r="H927" t="s">
        <v>1000</v>
      </c>
      <c r="I927" t="s">
        <v>611</v>
      </c>
      <c r="J927">
        <v>3</v>
      </c>
      <c r="K927" t="s">
        <v>710</v>
      </c>
      <c r="L927">
        <v>900000</v>
      </c>
      <c r="M927">
        <v>2</v>
      </c>
      <c r="N927">
        <v>78.223141742273498</v>
      </c>
      <c r="O927" t="s">
        <v>592</v>
      </c>
      <c r="P927" t="s">
        <v>621</v>
      </c>
      <c r="Q927" t="s">
        <v>586</v>
      </c>
      <c r="R927" t="s">
        <v>712</v>
      </c>
      <c r="S927" t="s">
        <v>712</v>
      </c>
      <c r="T927">
        <v>93</v>
      </c>
    </row>
    <row r="928" spans="1:20" x14ac:dyDescent="0.25">
      <c r="A928" t="s">
        <v>2063</v>
      </c>
      <c r="B928" t="s">
        <v>304</v>
      </c>
      <c r="C928" t="s">
        <v>607</v>
      </c>
      <c r="D928" t="s">
        <v>608</v>
      </c>
      <c r="E928" t="s">
        <v>850</v>
      </c>
      <c r="F928">
        <v>1.2970294245627365</v>
      </c>
      <c r="G928">
        <v>77.727416024911335</v>
      </c>
      <c r="H928" t="s">
        <v>1000</v>
      </c>
      <c r="I928" t="s">
        <v>611</v>
      </c>
      <c r="J928">
        <v>3</v>
      </c>
      <c r="K928" t="s">
        <v>758</v>
      </c>
      <c r="L928">
        <v>540000</v>
      </c>
      <c r="M928">
        <v>2.15</v>
      </c>
      <c r="N928">
        <v>77.727416024911335</v>
      </c>
      <c r="O928" t="s">
        <v>592</v>
      </c>
      <c r="P928" t="s">
        <v>621</v>
      </c>
      <c r="Q928" t="s">
        <v>586</v>
      </c>
      <c r="R928" t="s">
        <v>712</v>
      </c>
      <c r="S928" t="s">
        <v>712</v>
      </c>
      <c r="T928">
        <v>76</v>
      </c>
    </row>
    <row r="929" spans="1:20" x14ac:dyDescent="0.25">
      <c r="A929" t="s">
        <v>2064</v>
      </c>
      <c r="B929" t="s">
        <v>304</v>
      </c>
      <c r="C929" t="s">
        <v>607</v>
      </c>
      <c r="D929" t="s">
        <v>608</v>
      </c>
      <c r="E929" t="s">
        <v>850</v>
      </c>
      <c r="F929">
        <v>2.2358629230299174</v>
      </c>
      <c r="G929">
        <v>77.156154797726614</v>
      </c>
      <c r="H929" t="s">
        <v>1000</v>
      </c>
      <c r="I929" t="s">
        <v>611</v>
      </c>
      <c r="J929">
        <v>3</v>
      </c>
      <c r="K929" t="s">
        <v>972</v>
      </c>
      <c r="L929">
        <v>540000</v>
      </c>
      <c r="M929">
        <v>2.3000000000000003</v>
      </c>
      <c r="N929">
        <v>77.156154797726614</v>
      </c>
      <c r="O929" t="s">
        <v>592</v>
      </c>
      <c r="P929" t="s">
        <v>621</v>
      </c>
      <c r="Q929" t="s">
        <v>586</v>
      </c>
      <c r="R929">
        <v>45000</v>
      </c>
      <c r="S929" t="s">
        <v>712</v>
      </c>
      <c r="T929">
        <v>65</v>
      </c>
    </row>
    <row r="930" spans="1:20" x14ac:dyDescent="0.25">
      <c r="A930" t="s">
        <v>2065</v>
      </c>
      <c r="B930" t="s">
        <v>79</v>
      </c>
      <c r="C930" t="s">
        <v>607</v>
      </c>
      <c r="D930" t="s">
        <v>875</v>
      </c>
      <c r="E930" t="s">
        <v>904</v>
      </c>
      <c r="F930">
        <v>2.4995942464695773</v>
      </c>
      <c r="G930">
        <v>40.429038150858787</v>
      </c>
      <c r="H930" t="s">
        <v>743</v>
      </c>
      <c r="I930" t="s">
        <v>611</v>
      </c>
      <c r="J930">
        <v>4</v>
      </c>
      <c r="K930" t="s">
        <v>734</v>
      </c>
      <c r="L930">
        <v>330000</v>
      </c>
      <c r="M930">
        <v>2.44</v>
      </c>
      <c r="N930">
        <v>40.429038150858787</v>
      </c>
      <c r="O930" t="s">
        <v>592</v>
      </c>
      <c r="P930" t="s">
        <v>711</v>
      </c>
      <c r="Q930" t="s">
        <v>586</v>
      </c>
      <c r="R930" t="s">
        <v>712</v>
      </c>
      <c r="S930" t="s">
        <v>712</v>
      </c>
      <c r="T930">
        <v>81</v>
      </c>
    </row>
    <row r="931" spans="1:20" x14ac:dyDescent="0.25">
      <c r="A931" t="s">
        <v>2066</v>
      </c>
      <c r="B931" t="s">
        <v>79</v>
      </c>
      <c r="C931" t="s">
        <v>607</v>
      </c>
      <c r="D931" t="s">
        <v>875</v>
      </c>
      <c r="E931" t="s">
        <v>904</v>
      </c>
      <c r="F931">
        <v>3.3744304095333688</v>
      </c>
      <c r="G931">
        <v>38.798996074342853</v>
      </c>
      <c r="H931" t="s">
        <v>743</v>
      </c>
      <c r="I931" t="s">
        <v>611</v>
      </c>
      <c r="J931">
        <v>4</v>
      </c>
      <c r="K931" t="s">
        <v>838</v>
      </c>
      <c r="L931">
        <v>345000</v>
      </c>
      <c r="M931">
        <v>2.56</v>
      </c>
      <c r="N931">
        <v>38.798996074342853</v>
      </c>
      <c r="O931" t="s">
        <v>592</v>
      </c>
      <c r="P931" t="s">
        <v>711</v>
      </c>
      <c r="Q931" t="s">
        <v>586</v>
      </c>
      <c r="R931" t="s">
        <v>712</v>
      </c>
      <c r="S931" t="s">
        <v>712</v>
      </c>
      <c r="T931">
        <v>76</v>
      </c>
    </row>
    <row r="932" spans="1:20" x14ac:dyDescent="0.25">
      <c r="A932" t="s">
        <v>2067</v>
      </c>
      <c r="B932" t="s">
        <v>305</v>
      </c>
      <c r="C932" t="s">
        <v>586</v>
      </c>
      <c r="D932" t="s">
        <v>642</v>
      </c>
      <c r="E932" t="s">
        <v>2068</v>
      </c>
      <c r="F932">
        <v>0.81924130404834361</v>
      </c>
      <c r="G932">
        <v>36.528069437864929</v>
      </c>
      <c r="H932" t="s">
        <v>2069</v>
      </c>
      <c r="I932" t="s">
        <v>721</v>
      </c>
      <c r="J932">
        <v>2</v>
      </c>
      <c r="K932" t="s">
        <v>984</v>
      </c>
      <c r="L932">
        <v>135000</v>
      </c>
      <c r="M932">
        <v>1.7000000000000002</v>
      </c>
      <c r="N932">
        <v>36.528069437864929</v>
      </c>
      <c r="O932" t="s">
        <v>592</v>
      </c>
      <c r="P932" t="s">
        <v>745</v>
      </c>
      <c r="Q932" t="s">
        <v>586</v>
      </c>
      <c r="R932" t="s">
        <v>712</v>
      </c>
      <c r="S932" t="s">
        <v>712</v>
      </c>
      <c r="T932">
        <v>78</v>
      </c>
    </row>
    <row r="933" spans="1:20" x14ac:dyDescent="0.25">
      <c r="A933" t="s">
        <v>2070</v>
      </c>
      <c r="B933" t="s">
        <v>305</v>
      </c>
      <c r="C933" t="s">
        <v>586</v>
      </c>
      <c r="D933" t="s">
        <v>642</v>
      </c>
      <c r="E933" t="s">
        <v>2068</v>
      </c>
      <c r="F933">
        <v>1.7840255550897504</v>
      </c>
      <c r="G933">
        <v>31.531354559871417</v>
      </c>
      <c r="H933" t="s">
        <v>2069</v>
      </c>
      <c r="I933" t="s">
        <v>721</v>
      </c>
      <c r="J933">
        <v>2</v>
      </c>
      <c r="K933" t="s">
        <v>1114</v>
      </c>
      <c r="L933">
        <v>135000</v>
      </c>
      <c r="M933">
        <v>1.8</v>
      </c>
      <c r="N933">
        <v>31.531354559871417</v>
      </c>
      <c r="O933" t="s">
        <v>592</v>
      </c>
      <c r="P933" t="s">
        <v>745</v>
      </c>
      <c r="Q933" t="s">
        <v>586</v>
      </c>
      <c r="R933" t="s">
        <v>712</v>
      </c>
      <c r="S933" t="s">
        <v>712</v>
      </c>
      <c r="T933">
        <v>63</v>
      </c>
    </row>
    <row r="934" spans="1:20" x14ac:dyDescent="0.25">
      <c r="A934" t="s">
        <v>2071</v>
      </c>
      <c r="B934" t="s">
        <v>306</v>
      </c>
      <c r="C934" t="s">
        <v>586</v>
      </c>
      <c r="D934" t="s">
        <v>623</v>
      </c>
      <c r="E934" t="s">
        <v>624</v>
      </c>
      <c r="F934">
        <v>0.32867844685813868</v>
      </c>
      <c r="G934">
        <v>42.235375342465751</v>
      </c>
      <c r="H934" t="s">
        <v>2072</v>
      </c>
      <c r="I934" t="s">
        <v>2073</v>
      </c>
      <c r="J934">
        <v>4</v>
      </c>
      <c r="K934" t="s">
        <v>710</v>
      </c>
      <c r="L934">
        <v>600000</v>
      </c>
      <c r="M934">
        <v>1.77</v>
      </c>
      <c r="N934">
        <v>42.235375342465751</v>
      </c>
      <c r="O934" t="s">
        <v>592</v>
      </c>
      <c r="P934" t="s">
        <v>627</v>
      </c>
      <c r="Q934" t="s">
        <v>586</v>
      </c>
      <c r="R934">
        <v>150000</v>
      </c>
      <c r="S934" t="s">
        <v>635</v>
      </c>
      <c r="T934">
        <v>98</v>
      </c>
    </row>
    <row r="935" spans="1:20" x14ac:dyDescent="0.25">
      <c r="A935" t="s">
        <v>2074</v>
      </c>
      <c r="B935" t="s">
        <v>306</v>
      </c>
      <c r="C935" t="s">
        <v>586</v>
      </c>
      <c r="D935" t="s">
        <v>623</v>
      </c>
      <c r="E935" t="s">
        <v>624</v>
      </c>
      <c r="F935">
        <v>1.2901499121226481</v>
      </c>
      <c r="G935">
        <v>43.557397260273966</v>
      </c>
      <c r="H935" t="s">
        <v>2072</v>
      </c>
      <c r="I935" t="s">
        <v>2073</v>
      </c>
      <c r="J935">
        <v>4</v>
      </c>
      <c r="K935" t="s">
        <v>758</v>
      </c>
      <c r="L935">
        <v>625000</v>
      </c>
      <c r="M935">
        <v>1.92</v>
      </c>
      <c r="N935">
        <v>43.557397260273966</v>
      </c>
      <c r="O935" t="s">
        <v>592</v>
      </c>
      <c r="P935" t="s">
        <v>627</v>
      </c>
      <c r="Q935" t="s">
        <v>586</v>
      </c>
      <c r="R935" t="s">
        <v>712</v>
      </c>
      <c r="S935" t="s">
        <v>635</v>
      </c>
      <c r="T935">
        <v>90</v>
      </c>
    </row>
    <row r="936" spans="1:20" x14ac:dyDescent="0.25">
      <c r="A936" t="s">
        <v>2075</v>
      </c>
      <c r="B936" t="s">
        <v>306</v>
      </c>
      <c r="C936" t="s">
        <v>586</v>
      </c>
      <c r="D936" t="s">
        <v>623</v>
      </c>
      <c r="E936" t="s">
        <v>624</v>
      </c>
      <c r="F936">
        <v>2.2149265566685736</v>
      </c>
      <c r="G936">
        <v>47.511021917808229</v>
      </c>
      <c r="H936" t="s">
        <v>2072</v>
      </c>
      <c r="I936" t="s">
        <v>2073</v>
      </c>
      <c r="J936">
        <v>4</v>
      </c>
      <c r="K936" t="s">
        <v>972</v>
      </c>
      <c r="L936">
        <v>645000</v>
      </c>
      <c r="M936">
        <v>2.1</v>
      </c>
      <c r="N936">
        <v>47.511021917808229</v>
      </c>
      <c r="O936" t="s">
        <v>592</v>
      </c>
      <c r="P936" t="s">
        <v>627</v>
      </c>
      <c r="Q936" t="s">
        <v>586</v>
      </c>
      <c r="R936" t="s">
        <v>712</v>
      </c>
      <c r="S936" t="s">
        <v>635</v>
      </c>
      <c r="T936">
        <v>82</v>
      </c>
    </row>
    <row r="937" spans="1:20" x14ac:dyDescent="0.25">
      <c r="A937" t="s">
        <v>2076</v>
      </c>
      <c r="B937" t="s">
        <v>306</v>
      </c>
      <c r="C937" t="s">
        <v>586</v>
      </c>
      <c r="D937" t="s">
        <v>623</v>
      </c>
      <c r="E937" t="s">
        <v>624</v>
      </c>
      <c r="F937">
        <v>3.1061745690174978</v>
      </c>
      <c r="G937">
        <v>48.7515698630137</v>
      </c>
      <c r="H937" t="s">
        <v>2072</v>
      </c>
      <c r="I937" t="s">
        <v>2073</v>
      </c>
      <c r="J937">
        <v>4</v>
      </c>
      <c r="K937" t="s">
        <v>938</v>
      </c>
      <c r="L937">
        <v>670000</v>
      </c>
      <c r="M937">
        <v>2.25</v>
      </c>
      <c r="N937">
        <v>48.7515698630137</v>
      </c>
      <c r="O937" t="s">
        <v>592</v>
      </c>
      <c r="P937" t="s">
        <v>627</v>
      </c>
      <c r="Q937" t="s">
        <v>586</v>
      </c>
      <c r="R937">
        <v>15000</v>
      </c>
      <c r="S937" t="s">
        <v>635</v>
      </c>
      <c r="T937">
        <v>73</v>
      </c>
    </row>
    <row r="938" spans="1:20" x14ac:dyDescent="0.25">
      <c r="A938" t="s">
        <v>2077</v>
      </c>
      <c r="B938" t="s">
        <v>306</v>
      </c>
      <c r="C938" t="s">
        <v>586</v>
      </c>
      <c r="D938" t="s">
        <v>623</v>
      </c>
      <c r="E938" t="s">
        <v>624</v>
      </c>
      <c r="F938">
        <v>3.9653385760266584</v>
      </c>
      <c r="G938">
        <v>49.81043561643834</v>
      </c>
      <c r="H938" t="s">
        <v>2072</v>
      </c>
      <c r="I938" t="s">
        <v>2073</v>
      </c>
      <c r="J938">
        <v>4</v>
      </c>
      <c r="K938" t="s">
        <v>1085</v>
      </c>
      <c r="L938">
        <v>695000</v>
      </c>
      <c r="M938">
        <v>2.38</v>
      </c>
      <c r="N938">
        <v>49.81043561643834</v>
      </c>
      <c r="O938" t="s">
        <v>592</v>
      </c>
      <c r="P938" t="s">
        <v>627</v>
      </c>
      <c r="Q938" t="s">
        <v>586</v>
      </c>
      <c r="R938" t="s">
        <v>712</v>
      </c>
      <c r="S938" t="s">
        <v>635</v>
      </c>
      <c r="T938">
        <v>66</v>
      </c>
    </row>
    <row r="939" spans="1:20" x14ac:dyDescent="0.25">
      <c r="A939" t="s">
        <v>2078</v>
      </c>
      <c r="B939" t="s">
        <v>306</v>
      </c>
      <c r="C939" t="s">
        <v>586</v>
      </c>
      <c r="D939" t="s">
        <v>623</v>
      </c>
      <c r="E939" t="s">
        <v>624</v>
      </c>
      <c r="F939">
        <v>4.7938824727065406</v>
      </c>
      <c r="G939">
        <v>51.715665753424659</v>
      </c>
      <c r="H939" t="s">
        <v>2072</v>
      </c>
      <c r="I939" t="s">
        <v>2073</v>
      </c>
      <c r="J939">
        <v>4</v>
      </c>
      <c r="K939" t="s">
        <v>933</v>
      </c>
      <c r="L939">
        <v>720000</v>
      </c>
      <c r="M939">
        <v>2.5</v>
      </c>
      <c r="N939">
        <v>51.715665753424659</v>
      </c>
      <c r="O939" t="s">
        <v>592</v>
      </c>
      <c r="P939" t="s">
        <v>627</v>
      </c>
      <c r="Q939" t="s">
        <v>586</v>
      </c>
      <c r="R939" t="s">
        <v>712</v>
      </c>
      <c r="S939" t="s">
        <v>635</v>
      </c>
      <c r="T939">
        <v>59</v>
      </c>
    </row>
    <row r="940" spans="1:20" x14ac:dyDescent="0.25">
      <c r="A940" t="s">
        <v>2079</v>
      </c>
      <c r="B940" t="s">
        <v>307</v>
      </c>
      <c r="C940" t="s">
        <v>586</v>
      </c>
      <c r="D940" t="s">
        <v>1124</v>
      </c>
      <c r="E940" t="s">
        <v>1314</v>
      </c>
      <c r="F940">
        <v>0.4945831899528218</v>
      </c>
      <c r="G940">
        <v>12.248173751525716</v>
      </c>
      <c r="H940" t="s">
        <v>2080</v>
      </c>
      <c r="I940" t="s">
        <v>721</v>
      </c>
      <c r="J940">
        <v>3</v>
      </c>
      <c r="K940" t="s">
        <v>807</v>
      </c>
      <c r="L940">
        <v>245000</v>
      </c>
      <c r="M940">
        <v>1.6</v>
      </c>
      <c r="N940">
        <v>12.248173751525716</v>
      </c>
      <c r="O940" t="s">
        <v>592</v>
      </c>
      <c r="P940" t="s">
        <v>711</v>
      </c>
      <c r="Q940" t="s">
        <v>586</v>
      </c>
      <c r="R940" t="s">
        <v>712</v>
      </c>
      <c r="S940" t="s">
        <v>712</v>
      </c>
      <c r="T940">
        <v>93</v>
      </c>
    </row>
    <row r="941" spans="1:20" x14ac:dyDescent="0.25">
      <c r="A941" t="s">
        <v>2081</v>
      </c>
      <c r="B941" t="s">
        <v>307</v>
      </c>
      <c r="C941" t="s">
        <v>586</v>
      </c>
      <c r="D941" t="s">
        <v>1124</v>
      </c>
      <c r="E941" t="s">
        <v>1314</v>
      </c>
      <c r="F941">
        <v>1.4633298402807833</v>
      </c>
      <c r="G941">
        <v>10.888446492896664</v>
      </c>
      <c r="H941" t="s">
        <v>2080</v>
      </c>
      <c r="I941" t="s">
        <v>721</v>
      </c>
      <c r="J941">
        <v>3</v>
      </c>
      <c r="K941" t="s">
        <v>780</v>
      </c>
      <c r="L941">
        <v>250000</v>
      </c>
      <c r="M941">
        <v>1.75</v>
      </c>
      <c r="N941">
        <v>10.888446492896664</v>
      </c>
      <c r="O941" t="s">
        <v>592</v>
      </c>
      <c r="P941" t="s">
        <v>711</v>
      </c>
      <c r="Q941" t="s">
        <v>586</v>
      </c>
      <c r="R941" t="s">
        <v>712</v>
      </c>
      <c r="S941" t="s">
        <v>712</v>
      </c>
      <c r="T941">
        <v>83</v>
      </c>
    </row>
    <row r="942" spans="1:20" x14ac:dyDescent="0.25">
      <c r="A942" t="s">
        <v>2082</v>
      </c>
      <c r="B942" t="s">
        <v>307</v>
      </c>
      <c r="C942" t="s">
        <v>586</v>
      </c>
      <c r="D942" t="s">
        <v>1124</v>
      </c>
      <c r="E942" t="s">
        <v>1314</v>
      </c>
      <c r="F942">
        <v>2.4036422862061566</v>
      </c>
      <c r="G942">
        <v>9.4951910815697982</v>
      </c>
      <c r="H942" t="s">
        <v>2080</v>
      </c>
      <c r="I942" t="s">
        <v>721</v>
      </c>
      <c r="J942">
        <v>3</v>
      </c>
      <c r="K942" t="s">
        <v>1013</v>
      </c>
      <c r="L942">
        <v>260000</v>
      </c>
      <c r="M942">
        <v>1.9000000000000001</v>
      </c>
      <c r="N942">
        <v>9.4951910815697982</v>
      </c>
      <c r="O942" t="s">
        <v>592</v>
      </c>
      <c r="P942" t="s">
        <v>711</v>
      </c>
      <c r="Q942" t="s">
        <v>586</v>
      </c>
      <c r="R942" t="s">
        <v>712</v>
      </c>
      <c r="S942" t="s">
        <v>712</v>
      </c>
      <c r="T942">
        <v>74</v>
      </c>
    </row>
    <row r="943" spans="1:20" x14ac:dyDescent="0.25">
      <c r="A943" t="s">
        <v>2083</v>
      </c>
      <c r="B943" t="s">
        <v>307</v>
      </c>
      <c r="C943" t="s">
        <v>586</v>
      </c>
      <c r="D943" t="s">
        <v>1124</v>
      </c>
      <c r="E943" t="s">
        <v>1314</v>
      </c>
      <c r="F943">
        <v>3.3171610165055916</v>
      </c>
      <c r="G943">
        <v>4.3340958469381352</v>
      </c>
      <c r="H943" t="s">
        <v>2080</v>
      </c>
      <c r="I943" t="s">
        <v>721</v>
      </c>
      <c r="J943">
        <v>3</v>
      </c>
      <c r="K943" t="s">
        <v>824</v>
      </c>
      <c r="L943">
        <v>260000</v>
      </c>
      <c r="M943">
        <v>2</v>
      </c>
      <c r="N943">
        <v>4.3340958469381352</v>
      </c>
      <c r="O943" t="s">
        <v>592</v>
      </c>
      <c r="P943" t="s">
        <v>711</v>
      </c>
      <c r="Q943" t="s">
        <v>586</v>
      </c>
      <c r="R943" t="s">
        <v>712</v>
      </c>
      <c r="S943" t="s">
        <v>712</v>
      </c>
      <c r="T943">
        <v>66</v>
      </c>
    </row>
    <row r="944" spans="1:20" x14ac:dyDescent="0.25">
      <c r="A944" t="s">
        <v>2084</v>
      </c>
      <c r="B944" t="s">
        <v>308</v>
      </c>
      <c r="C944" t="s">
        <v>586</v>
      </c>
      <c r="D944" t="s">
        <v>608</v>
      </c>
      <c r="E944" t="s">
        <v>789</v>
      </c>
      <c r="F944">
        <v>0.52836263489288526</v>
      </c>
      <c r="G944">
        <v>31.313802235464138</v>
      </c>
      <c r="H944" t="s">
        <v>720</v>
      </c>
      <c r="I944" t="s">
        <v>721</v>
      </c>
      <c r="J944">
        <v>2</v>
      </c>
      <c r="K944" t="s">
        <v>1005</v>
      </c>
      <c r="L944">
        <v>200000</v>
      </c>
      <c r="M944">
        <v>1.56</v>
      </c>
      <c r="N944">
        <v>31.313802235464138</v>
      </c>
      <c r="O944" t="s">
        <v>592</v>
      </c>
      <c r="P944" t="s">
        <v>621</v>
      </c>
      <c r="Q944" t="s">
        <v>586</v>
      </c>
      <c r="R944" t="s">
        <v>712</v>
      </c>
      <c r="S944" t="s">
        <v>712</v>
      </c>
      <c r="T944">
        <v>75</v>
      </c>
    </row>
    <row r="945" spans="1:20" x14ac:dyDescent="0.25">
      <c r="A945" t="s">
        <v>2085</v>
      </c>
      <c r="B945" t="s">
        <v>308</v>
      </c>
      <c r="C945" t="s">
        <v>586</v>
      </c>
      <c r="D945" t="s">
        <v>608</v>
      </c>
      <c r="E945" t="s">
        <v>789</v>
      </c>
      <c r="F945">
        <v>2.4079813949168938</v>
      </c>
      <c r="G945">
        <v>31.977628438005667</v>
      </c>
      <c r="H945" t="s">
        <v>720</v>
      </c>
      <c r="I945" t="s">
        <v>721</v>
      </c>
      <c r="J945">
        <v>3</v>
      </c>
      <c r="K945" t="s">
        <v>803</v>
      </c>
      <c r="L945">
        <v>205000</v>
      </c>
      <c r="M945">
        <v>1.8800000000000001</v>
      </c>
      <c r="N945">
        <v>31.977628438005667</v>
      </c>
      <c r="O945" t="s">
        <v>592</v>
      </c>
      <c r="P945" t="s">
        <v>621</v>
      </c>
      <c r="Q945" t="s">
        <v>586</v>
      </c>
      <c r="R945">
        <v>160000</v>
      </c>
      <c r="S945" t="s">
        <v>712</v>
      </c>
      <c r="T945">
        <v>69</v>
      </c>
    </row>
    <row r="946" spans="1:20" x14ac:dyDescent="0.25">
      <c r="A946" t="s">
        <v>2086</v>
      </c>
      <c r="B946" t="s">
        <v>308</v>
      </c>
      <c r="C946" t="s">
        <v>586</v>
      </c>
      <c r="D946" t="s">
        <v>608</v>
      </c>
      <c r="E946" t="s">
        <v>789</v>
      </c>
      <c r="F946">
        <v>4.1820018129041916</v>
      </c>
      <c r="G946">
        <v>40.080005557021472</v>
      </c>
      <c r="H946" t="s">
        <v>720</v>
      </c>
      <c r="I946" t="s">
        <v>721</v>
      </c>
      <c r="J946">
        <v>3</v>
      </c>
      <c r="K946" t="s">
        <v>1765</v>
      </c>
      <c r="L946">
        <v>225000</v>
      </c>
      <c r="M946">
        <v>2.23</v>
      </c>
      <c r="N946">
        <v>40.080005557021472</v>
      </c>
      <c r="O946" t="s">
        <v>592</v>
      </c>
      <c r="P946" t="s">
        <v>621</v>
      </c>
      <c r="Q946" t="s">
        <v>586</v>
      </c>
      <c r="R946" t="s">
        <v>712</v>
      </c>
      <c r="S946" t="s">
        <v>712</v>
      </c>
      <c r="T946">
        <v>53</v>
      </c>
    </row>
    <row r="947" spans="1:20" x14ac:dyDescent="0.25">
      <c r="A947" t="s">
        <v>2087</v>
      </c>
      <c r="B947" t="s">
        <v>70</v>
      </c>
      <c r="C947" t="s">
        <v>586</v>
      </c>
      <c r="D947" t="s">
        <v>863</v>
      </c>
      <c r="E947" t="s">
        <v>864</v>
      </c>
      <c r="F947">
        <v>1.1705332483166184</v>
      </c>
      <c r="G947">
        <v>50.650432661373571</v>
      </c>
      <c r="H947" t="s">
        <v>709</v>
      </c>
      <c r="I947" t="s">
        <v>865</v>
      </c>
      <c r="J947">
        <v>3</v>
      </c>
      <c r="K947" t="s">
        <v>1759</v>
      </c>
      <c r="L947">
        <v>415000</v>
      </c>
      <c r="M947">
        <v>1.85</v>
      </c>
      <c r="N947">
        <v>50.650432661373571</v>
      </c>
      <c r="O947" t="s">
        <v>592</v>
      </c>
      <c r="P947" t="s">
        <v>711</v>
      </c>
      <c r="Q947" t="s">
        <v>586</v>
      </c>
      <c r="R947">
        <v>60000</v>
      </c>
      <c r="S947" t="s">
        <v>712</v>
      </c>
      <c r="T947">
        <v>88</v>
      </c>
    </row>
    <row r="948" spans="1:20" x14ac:dyDescent="0.25">
      <c r="A948" t="s">
        <v>2088</v>
      </c>
      <c r="B948" t="s">
        <v>70</v>
      </c>
      <c r="C948" t="s">
        <v>586</v>
      </c>
      <c r="D948" t="s">
        <v>863</v>
      </c>
      <c r="E948" t="s">
        <v>864</v>
      </c>
      <c r="F948">
        <v>2.1099077084253399</v>
      </c>
      <c r="G948">
        <v>55.783668027876708</v>
      </c>
      <c r="H948" t="s">
        <v>709</v>
      </c>
      <c r="I948" t="s">
        <v>865</v>
      </c>
      <c r="J948">
        <v>3</v>
      </c>
      <c r="K948" t="s">
        <v>1794</v>
      </c>
      <c r="L948">
        <v>435000</v>
      </c>
      <c r="M948">
        <v>2.0499999999999998</v>
      </c>
      <c r="N948">
        <v>55.783668027876708</v>
      </c>
      <c r="O948" t="s">
        <v>592</v>
      </c>
      <c r="P948" t="s">
        <v>711</v>
      </c>
      <c r="Q948" t="s">
        <v>586</v>
      </c>
      <c r="R948" t="s">
        <v>712</v>
      </c>
      <c r="S948" t="s">
        <v>712</v>
      </c>
      <c r="T948">
        <v>76</v>
      </c>
    </row>
    <row r="949" spans="1:20" x14ac:dyDescent="0.25">
      <c r="A949" t="s">
        <v>2089</v>
      </c>
      <c r="B949" t="s">
        <v>70</v>
      </c>
      <c r="C949" t="s">
        <v>586</v>
      </c>
      <c r="D949" t="s">
        <v>863</v>
      </c>
      <c r="E949" t="s">
        <v>864</v>
      </c>
      <c r="F949">
        <v>3.022295015118531</v>
      </c>
      <c r="G949">
        <v>61.033212321063843</v>
      </c>
      <c r="H949" t="s">
        <v>709</v>
      </c>
      <c r="I949" t="s">
        <v>865</v>
      </c>
      <c r="J949">
        <v>3</v>
      </c>
      <c r="K949" t="s">
        <v>1207</v>
      </c>
      <c r="L949">
        <v>440000</v>
      </c>
      <c r="M949">
        <v>2.25</v>
      </c>
      <c r="N949">
        <v>61.033212321063843</v>
      </c>
      <c r="O949" t="s">
        <v>592</v>
      </c>
      <c r="P949" t="s">
        <v>711</v>
      </c>
      <c r="Q949" t="s">
        <v>586</v>
      </c>
      <c r="R949" t="s">
        <v>712</v>
      </c>
      <c r="S949" t="s">
        <v>712</v>
      </c>
      <c r="T949">
        <v>65</v>
      </c>
    </row>
    <row r="950" spans="1:20" x14ac:dyDescent="0.25">
      <c r="A950" t="s">
        <v>2090</v>
      </c>
      <c r="B950" t="s">
        <v>70</v>
      </c>
      <c r="C950" t="s">
        <v>586</v>
      </c>
      <c r="D950" t="s">
        <v>863</v>
      </c>
      <c r="E950" t="s">
        <v>864</v>
      </c>
      <c r="F950">
        <v>3.9081266275316868</v>
      </c>
      <c r="G950">
        <v>68.005486091703844</v>
      </c>
      <c r="H950" t="s">
        <v>709</v>
      </c>
      <c r="I950" t="s">
        <v>865</v>
      </c>
      <c r="J950">
        <v>3</v>
      </c>
      <c r="K950" t="s">
        <v>2091</v>
      </c>
      <c r="L950">
        <v>460000</v>
      </c>
      <c r="M950">
        <v>2.4500000000000002</v>
      </c>
      <c r="N950">
        <v>68.005486091703844</v>
      </c>
      <c r="O950" t="s">
        <v>592</v>
      </c>
      <c r="P950" t="s">
        <v>711</v>
      </c>
      <c r="Q950" t="s">
        <v>586</v>
      </c>
      <c r="R950" t="s">
        <v>712</v>
      </c>
      <c r="S950" t="s">
        <v>712</v>
      </c>
      <c r="T950">
        <v>58</v>
      </c>
    </row>
    <row r="951" spans="1:20" x14ac:dyDescent="0.25">
      <c r="A951" t="s">
        <v>2092</v>
      </c>
      <c r="B951" t="s">
        <v>70</v>
      </c>
      <c r="C951" t="s">
        <v>586</v>
      </c>
      <c r="D951" t="s">
        <v>863</v>
      </c>
      <c r="E951" t="s">
        <v>864</v>
      </c>
      <c r="F951">
        <v>4.7680507920909294</v>
      </c>
      <c r="G951">
        <v>72.329473248911881</v>
      </c>
      <c r="H951" t="s">
        <v>709</v>
      </c>
      <c r="I951" t="s">
        <v>865</v>
      </c>
      <c r="J951">
        <v>3</v>
      </c>
      <c r="K951" t="s">
        <v>2093</v>
      </c>
      <c r="L951">
        <v>475000</v>
      </c>
      <c r="M951">
        <v>2.6</v>
      </c>
      <c r="N951">
        <v>72.329473248911881</v>
      </c>
      <c r="O951" t="s">
        <v>592</v>
      </c>
      <c r="P951" t="s">
        <v>711</v>
      </c>
      <c r="Q951" t="s">
        <v>586</v>
      </c>
      <c r="R951" t="s">
        <v>712</v>
      </c>
      <c r="S951" t="s">
        <v>712</v>
      </c>
      <c r="T951">
        <v>51</v>
      </c>
    </row>
    <row r="952" spans="1:20" x14ac:dyDescent="0.25">
      <c r="A952" t="s">
        <v>2094</v>
      </c>
      <c r="B952" t="s">
        <v>145</v>
      </c>
      <c r="C952" t="s">
        <v>586</v>
      </c>
      <c r="D952" t="s">
        <v>1179</v>
      </c>
      <c r="E952" t="s">
        <v>1180</v>
      </c>
      <c r="F952">
        <v>0.56979923784115982</v>
      </c>
      <c r="G952">
        <v>10.855665971055739</v>
      </c>
      <c r="H952" t="s">
        <v>743</v>
      </c>
      <c r="I952" t="s">
        <v>721</v>
      </c>
      <c r="J952">
        <v>3</v>
      </c>
      <c r="K952" t="s">
        <v>744</v>
      </c>
      <c r="L952">
        <v>290000</v>
      </c>
      <c r="M952">
        <v>2</v>
      </c>
      <c r="N952">
        <v>10.855665971055739</v>
      </c>
      <c r="O952" t="s">
        <v>592</v>
      </c>
      <c r="P952" t="s">
        <v>711</v>
      </c>
      <c r="Q952" t="s">
        <v>586</v>
      </c>
      <c r="R952" t="s">
        <v>712</v>
      </c>
      <c r="S952" t="s">
        <v>712</v>
      </c>
      <c r="T952">
        <v>91</v>
      </c>
    </row>
    <row r="953" spans="1:20" x14ac:dyDescent="0.25">
      <c r="A953" t="s">
        <v>2095</v>
      </c>
      <c r="B953" t="s">
        <v>145</v>
      </c>
      <c r="C953" t="s">
        <v>586</v>
      </c>
      <c r="D953" t="s">
        <v>1179</v>
      </c>
      <c r="E953" t="s">
        <v>1180</v>
      </c>
      <c r="F953">
        <v>2.4512139682089678</v>
      </c>
      <c r="G953">
        <v>-2.0836184944699632</v>
      </c>
      <c r="H953" t="s">
        <v>743</v>
      </c>
      <c r="I953" t="s">
        <v>721</v>
      </c>
      <c r="J953">
        <v>3</v>
      </c>
      <c r="K953" t="s">
        <v>959</v>
      </c>
      <c r="L953">
        <v>305000</v>
      </c>
      <c r="M953">
        <v>2.2000000000000002</v>
      </c>
      <c r="N953">
        <v>-2.0836184944699632</v>
      </c>
      <c r="O953" t="s">
        <v>592</v>
      </c>
      <c r="P953" t="s">
        <v>711</v>
      </c>
      <c r="Q953" t="s">
        <v>586</v>
      </c>
      <c r="R953" t="s">
        <v>712</v>
      </c>
      <c r="S953" t="s">
        <v>712</v>
      </c>
      <c r="T953">
        <v>74</v>
      </c>
    </row>
    <row r="954" spans="1:20" x14ac:dyDescent="0.25">
      <c r="A954" t="s">
        <v>2096</v>
      </c>
      <c r="B954" t="s">
        <v>145</v>
      </c>
      <c r="C954" t="s">
        <v>586</v>
      </c>
      <c r="D954" t="s">
        <v>1179</v>
      </c>
      <c r="E954" t="s">
        <v>1180</v>
      </c>
      <c r="F954">
        <v>3.3520818843637628</v>
      </c>
      <c r="G954">
        <v>-6.3144734025679217</v>
      </c>
      <c r="H954" t="s">
        <v>743</v>
      </c>
      <c r="I954" t="s">
        <v>721</v>
      </c>
      <c r="J954">
        <v>3</v>
      </c>
      <c r="K954" t="s">
        <v>1038</v>
      </c>
      <c r="L954">
        <v>320000</v>
      </c>
      <c r="M954">
        <v>2.3000000000000003</v>
      </c>
      <c r="N954">
        <v>-6.3144734025679217</v>
      </c>
      <c r="O954" t="s">
        <v>592</v>
      </c>
      <c r="P954" t="s">
        <v>711</v>
      </c>
      <c r="Q954" t="s">
        <v>586</v>
      </c>
      <c r="R954" t="s">
        <v>712</v>
      </c>
      <c r="S954" t="s">
        <v>712</v>
      </c>
      <c r="T954">
        <v>62</v>
      </c>
    </row>
    <row r="955" spans="1:20" x14ac:dyDescent="0.25">
      <c r="A955" t="s">
        <v>2097</v>
      </c>
      <c r="B955" t="s">
        <v>145</v>
      </c>
      <c r="C955" t="s">
        <v>586</v>
      </c>
      <c r="D955" t="s">
        <v>1179</v>
      </c>
      <c r="E955" t="s">
        <v>1180</v>
      </c>
      <c r="F955">
        <v>4.2273585751955363</v>
      </c>
      <c r="G955">
        <v>-7.4628663725000433</v>
      </c>
      <c r="H955" t="s">
        <v>743</v>
      </c>
      <c r="I955" t="s">
        <v>721</v>
      </c>
      <c r="J955">
        <v>3</v>
      </c>
      <c r="K955" t="s">
        <v>1133</v>
      </c>
      <c r="L955">
        <v>330000</v>
      </c>
      <c r="M955">
        <v>2.4000000000000004</v>
      </c>
      <c r="N955">
        <v>-7.4628663725000433</v>
      </c>
      <c r="O955" t="s">
        <v>592</v>
      </c>
      <c r="P955" t="s">
        <v>711</v>
      </c>
      <c r="Q955" t="s">
        <v>586</v>
      </c>
      <c r="R955" t="s">
        <v>712</v>
      </c>
      <c r="S955" t="s">
        <v>712</v>
      </c>
      <c r="T955">
        <v>51</v>
      </c>
    </row>
    <row r="956" spans="1:20" x14ac:dyDescent="0.25">
      <c r="A956" t="s">
        <v>2098</v>
      </c>
      <c r="B956" t="s">
        <v>309</v>
      </c>
      <c r="C956" t="s">
        <v>586</v>
      </c>
      <c r="D956" t="s">
        <v>623</v>
      </c>
      <c r="E956" t="s">
        <v>2099</v>
      </c>
      <c r="F956">
        <v>0.32942941797799397</v>
      </c>
      <c r="G956">
        <v>129.76763817460903</v>
      </c>
      <c r="H956" t="s">
        <v>928</v>
      </c>
      <c r="I956" t="s">
        <v>661</v>
      </c>
      <c r="J956">
        <v>2.5</v>
      </c>
      <c r="K956" t="s">
        <v>710</v>
      </c>
      <c r="L956">
        <v>70000</v>
      </c>
      <c r="M956">
        <v>2.5</v>
      </c>
      <c r="N956">
        <v>129.76763817460903</v>
      </c>
      <c r="O956" t="s">
        <v>592</v>
      </c>
      <c r="P956" t="s">
        <v>745</v>
      </c>
      <c r="Q956" t="s">
        <v>586</v>
      </c>
      <c r="R956" t="s">
        <v>712</v>
      </c>
      <c r="S956" t="s">
        <v>712</v>
      </c>
      <c r="T956">
        <v>88</v>
      </c>
    </row>
    <row r="957" spans="1:20" x14ac:dyDescent="0.25">
      <c r="A957" t="s">
        <v>2100</v>
      </c>
      <c r="B957" t="s">
        <v>309</v>
      </c>
      <c r="C957" t="s">
        <v>586</v>
      </c>
      <c r="D957" t="s">
        <v>623</v>
      </c>
      <c r="E957" t="s">
        <v>2099</v>
      </c>
      <c r="F957">
        <v>1.3000924927729658</v>
      </c>
      <c r="G957">
        <v>134.5955572146546</v>
      </c>
      <c r="H957" t="s">
        <v>928</v>
      </c>
      <c r="I957" t="s">
        <v>661</v>
      </c>
      <c r="J957">
        <v>2.7</v>
      </c>
      <c r="K957" t="s">
        <v>758</v>
      </c>
      <c r="L957">
        <v>75000</v>
      </c>
      <c r="M957">
        <v>2.7</v>
      </c>
      <c r="N957">
        <v>134.5955572146546</v>
      </c>
      <c r="O957" t="s">
        <v>592</v>
      </c>
      <c r="P957" t="s">
        <v>745</v>
      </c>
      <c r="Q957" t="s">
        <v>586</v>
      </c>
      <c r="R957" t="s">
        <v>712</v>
      </c>
      <c r="S957" t="s">
        <v>712</v>
      </c>
      <c r="T957">
        <v>65</v>
      </c>
    </row>
    <row r="958" spans="1:20" x14ac:dyDescent="0.25">
      <c r="A958" t="s">
        <v>2101</v>
      </c>
      <c r="B958" t="s">
        <v>309</v>
      </c>
      <c r="C958" t="s">
        <v>586</v>
      </c>
      <c r="D958" t="s">
        <v>623</v>
      </c>
      <c r="E958" t="s">
        <v>2099</v>
      </c>
      <c r="F958">
        <v>2.2413667696376214</v>
      </c>
      <c r="G958">
        <v>134.3397284112514</v>
      </c>
      <c r="H958" t="s">
        <v>928</v>
      </c>
      <c r="I958" t="s">
        <v>661</v>
      </c>
      <c r="J958">
        <v>2.85</v>
      </c>
      <c r="K958" t="s">
        <v>972</v>
      </c>
      <c r="L958">
        <v>75000</v>
      </c>
      <c r="M958">
        <v>2.85</v>
      </c>
      <c r="N958">
        <v>134.3397284112514</v>
      </c>
      <c r="O958" t="s">
        <v>592</v>
      </c>
      <c r="P958" t="s">
        <v>745</v>
      </c>
      <c r="Q958" t="s">
        <v>586</v>
      </c>
      <c r="R958" t="s">
        <v>712</v>
      </c>
      <c r="S958" t="s">
        <v>712</v>
      </c>
      <c r="T958">
        <v>48</v>
      </c>
    </row>
    <row r="959" spans="1:20" x14ac:dyDescent="0.25">
      <c r="A959" t="s">
        <v>2102</v>
      </c>
      <c r="B959" t="s">
        <v>309</v>
      </c>
      <c r="C959" t="s">
        <v>586</v>
      </c>
      <c r="D959" t="s">
        <v>623</v>
      </c>
      <c r="E959" t="s">
        <v>2099</v>
      </c>
      <c r="F959">
        <v>3.1508344278607239</v>
      </c>
      <c r="G959">
        <v>134.87200955402866</v>
      </c>
      <c r="H959" t="s">
        <v>928</v>
      </c>
      <c r="I959" t="s">
        <v>661</v>
      </c>
      <c r="J959">
        <v>3</v>
      </c>
      <c r="K959" t="s">
        <v>938</v>
      </c>
      <c r="L959">
        <v>80000</v>
      </c>
      <c r="M959">
        <v>3</v>
      </c>
      <c r="N959">
        <v>134.87200955402866</v>
      </c>
      <c r="O959" t="s">
        <v>592</v>
      </c>
      <c r="P959" t="s">
        <v>745</v>
      </c>
      <c r="Q959" t="s">
        <v>586</v>
      </c>
      <c r="R959" t="s">
        <v>712</v>
      </c>
      <c r="S959" t="s">
        <v>712</v>
      </c>
      <c r="T959">
        <v>36</v>
      </c>
    </row>
    <row r="960" spans="1:20" x14ac:dyDescent="0.25">
      <c r="A960" t="s">
        <v>2103</v>
      </c>
      <c r="B960" t="s">
        <v>310</v>
      </c>
      <c r="C960" t="s">
        <v>586</v>
      </c>
      <c r="D960" t="s">
        <v>2104</v>
      </c>
      <c r="E960" t="s">
        <v>2105</v>
      </c>
      <c r="F960">
        <v>0.28511930989103001</v>
      </c>
      <c r="G960">
        <v>40.654515068493154</v>
      </c>
      <c r="H960" t="s">
        <v>846</v>
      </c>
      <c r="I960" t="s">
        <v>661</v>
      </c>
      <c r="J960">
        <v>1.85</v>
      </c>
      <c r="K960" t="s">
        <v>1294</v>
      </c>
      <c r="L960">
        <v>30000</v>
      </c>
      <c r="M960">
        <v>1.85</v>
      </c>
      <c r="N960">
        <v>40.654515068493154</v>
      </c>
      <c r="O960" t="s">
        <v>592</v>
      </c>
      <c r="P960" t="s">
        <v>711</v>
      </c>
      <c r="Q960" t="s">
        <v>586</v>
      </c>
      <c r="R960" t="s">
        <v>712</v>
      </c>
      <c r="S960" t="s">
        <v>712</v>
      </c>
      <c r="T960">
        <v>81</v>
      </c>
    </row>
    <row r="961" spans="1:20" x14ac:dyDescent="0.25">
      <c r="A961" t="s">
        <v>2106</v>
      </c>
      <c r="B961" t="s">
        <v>311</v>
      </c>
      <c r="C961" t="s">
        <v>586</v>
      </c>
      <c r="D961" t="s">
        <v>608</v>
      </c>
      <c r="E961" t="s">
        <v>760</v>
      </c>
      <c r="F961">
        <v>0.52375252735042654</v>
      </c>
      <c r="G961">
        <v>16.682567861724685</v>
      </c>
      <c r="H961" t="s">
        <v>720</v>
      </c>
      <c r="I961" t="s">
        <v>611</v>
      </c>
      <c r="J961">
        <v>4</v>
      </c>
      <c r="K961" t="s">
        <v>1005</v>
      </c>
      <c r="L961">
        <v>595000</v>
      </c>
      <c r="M961">
        <v>1.47</v>
      </c>
      <c r="N961">
        <v>16.682567861724685</v>
      </c>
      <c r="O961" t="s">
        <v>592</v>
      </c>
      <c r="P961" t="s">
        <v>621</v>
      </c>
      <c r="Q961" t="s">
        <v>586</v>
      </c>
      <c r="R961" t="s">
        <v>712</v>
      </c>
      <c r="S961" t="s">
        <v>599</v>
      </c>
      <c r="T961">
        <v>93</v>
      </c>
    </row>
    <row r="962" spans="1:20" x14ac:dyDescent="0.25">
      <c r="A962" t="s">
        <v>2107</v>
      </c>
      <c r="B962" t="s">
        <v>311</v>
      </c>
      <c r="C962" t="s">
        <v>586</v>
      </c>
      <c r="D962" t="s">
        <v>608</v>
      </c>
      <c r="E962" t="s">
        <v>760</v>
      </c>
      <c r="F962">
        <v>1.4681965164383861</v>
      </c>
      <c r="G962">
        <v>14.363876315379898</v>
      </c>
      <c r="H962" t="s">
        <v>720</v>
      </c>
      <c r="I962" t="s">
        <v>611</v>
      </c>
      <c r="J962">
        <v>4</v>
      </c>
      <c r="K962" t="s">
        <v>1001</v>
      </c>
      <c r="L962">
        <v>620000</v>
      </c>
      <c r="M962">
        <v>1.59</v>
      </c>
      <c r="N962">
        <v>14.363876315379898</v>
      </c>
      <c r="O962" t="s">
        <v>592</v>
      </c>
      <c r="P962" t="s">
        <v>621</v>
      </c>
      <c r="Q962" t="s">
        <v>586</v>
      </c>
      <c r="R962">
        <v>125000</v>
      </c>
      <c r="S962" t="s">
        <v>599</v>
      </c>
      <c r="T962">
        <v>85</v>
      </c>
    </row>
    <row r="963" spans="1:20" x14ac:dyDescent="0.25">
      <c r="A963" t="s">
        <v>2108</v>
      </c>
      <c r="B963" t="s">
        <v>311</v>
      </c>
      <c r="C963" t="s">
        <v>586</v>
      </c>
      <c r="D963" t="s">
        <v>608</v>
      </c>
      <c r="E963" t="s">
        <v>760</v>
      </c>
      <c r="F963">
        <v>2.3779391067044924</v>
      </c>
      <c r="G963">
        <v>13.764253130241544</v>
      </c>
      <c r="H963" t="s">
        <v>720</v>
      </c>
      <c r="I963" t="s">
        <v>611</v>
      </c>
      <c r="J963">
        <v>4</v>
      </c>
      <c r="K963" t="s">
        <v>803</v>
      </c>
      <c r="L963">
        <v>645000</v>
      </c>
      <c r="M963">
        <v>1.73</v>
      </c>
      <c r="N963">
        <v>13.764253130241544</v>
      </c>
      <c r="O963" t="s">
        <v>592</v>
      </c>
      <c r="P963" t="s">
        <v>621</v>
      </c>
      <c r="Q963" t="s">
        <v>586</v>
      </c>
      <c r="R963" t="s">
        <v>712</v>
      </c>
      <c r="S963" t="s">
        <v>599</v>
      </c>
      <c r="T963">
        <v>78</v>
      </c>
    </row>
    <row r="964" spans="1:20" x14ac:dyDescent="0.25">
      <c r="A964" t="s">
        <v>2109</v>
      </c>
      <c r="B964" t="s">
        <v>311</v>
      </c>
      <c r="C964" t="s">
        <v>586</v>
      </c>
      <c r="D964" t="s">
        <v>608</v>
      </c>
      <c r="E964" t="s">
        <v>760</v>
      </c>
      <c r="F964">
        <v>3.2554147065867154</v>
      </c>
      <c r="G964">
        <v>20.989543184413172</v>
      </c>
      <c r="H964" t="s">
        <v>720</v>
      </c>
      <c r="I964" t="s">
        <v>611</v>
      </c>
      <c r="J964">
        <v>4</v>
      </c>
      <c r="K964" t="s">
        <v>1387</v>
      </c>
      <c r="L964">
        <v>670000</v>
      </c>
      <c r="M964">
        <v>1.94</v>
      </c>
      <c r="N964">
        <v>20.989543184413172</v>
      </c>
      <c r="O964" t="s">
        <v>592</v>
      </c>
      <c r="P964" t="s">
        <v>621</v>
      </c>
      <c r="Q964" t="s">
        <v>586</v>
      </c>
      <c r="R964" t="s">
        <v>712</v>
      </c>
      <c r="S964" t="s">
        <v>599</v>
      </c>
      <c r="T964">
        <v>71</v>
      </c>
    </row>
    <row r="965" spans="1:20" x14ac:dyDescent="0.25">
      <c r="A965" t="s">
        <v>2110</v>
      </c>
      <c r="B965" t="s">
        <v>311</v>
      </c>
      <c r="C965" t="s">
        <v>586</v>
      </c>
      <c r="D965" t="s">
        <v>608</v>
      </c>
      <c r="E965" t="s">
        <v>760</v>
      </c>
      <c r="F965">
        <v>4.1022132120987456</v>
      </c>
      <c r="G965">
        <v>24.35693457892414</v>
      </c>
      <c r="H965" t="s">
        <v>720</v>
      </c>
      <c r="I965" t="s">
        <v>611</v>
      </c>
      <c r="J965">
        <v>4</v>
      </c>
      <c r="K965" t="s">
        <v>1765</v>
      </c>
      <c r="L965">
        <v>695000</v>
      </c>
      <c r="M965">
        <v>2.09</v>
      </c>
      <c r="N965">
        <v>24.35693457892414</v>
      </c>
      <c r="O965" t="s">
        <v>592</v>
      </c>
      <c r="P965" t="s">
        <v>621</v>
      </c>
      <c r="Q965" t="s">
        <v>586</v>
      </c>
      <c r="R965" t="s">
        <v>712</v>
      </c>
      <c r="S965" t="s">
        <v>599</v>
      </c>
      <c r="T965">
        <v>64</v>
      </c>
    </row>
    <row r="966" spans="1:20" x14ac:dyDescent="0.25">
      <c r="A966" t="s">
        <v>2111</v>
      </c>
      <c r="B966" t="s">
        <v>312</v>
      </c>
      <c r="C966" t="s">
        <v>607</v>
      </c>
      <c r="D966" t="s">
        <v>608</v>
      </c>
      <c r="E966" t="s">
        <v>1032</v>
      </c>
      <c r="F966">
        <v>8.0457155668308272E-2</v>
      </c>
      <c r="G966">
        <v>53.310884931506841</v>
      </c>
      <c r="H966" t="s">
        <v>1033</v>
      </c>
      <c r="I966" t="s">
        <v>1591</v>
      </c>
      <c r="J966">
        <v>4.5</v>
      </c>
      <c r="K966" t="s">
        <v>950</v>
      </c>
      <c r="L966">
        <v>145000</v>
      </c>
      <c r="M966">
        <v>1.9000000000000001</v>
      </c>
      <c r="N966">
        <v>53.310884931506841</v>
      </c>
      <c r="O966" t="s">
        <v>592</v>
      </c>
      <c r="P966" t="s">
        <v>613</v>
      </c>
      <c r="Q966" t="s">
        <v>586</v>
      </c>
      <c r="R966" t="s">
        <v>712</v>
      </c>
      <c r="S966" t="s">
        <v>594</v>
      </c>
      <c r="T966">
        <v>98</v>
      </c>
    </row>
    <row r="967" spans="1:20" x14ac:dyDescent="0.25">
      <c r="A967" t="s">
        <v>2112</v>
      </c>
      <c r="B967" t="s">
        <v>312</v>
      </c>
      <c r="C967" t="s">
        <v>607</v>
      </c>
      <c r="D967" t="s">
        <v>608</v>
      </c>
      <c r="E967" t="s">
        <v>1032</v>
      </c>
      <c r="F967">
        <v>1.0374254651446344</v>
      </c>
      <c r="G967">
        <v>55.948731506849292</v>
      </c>
      <c r="H967" t="s">
        <v>1033</v>
      </c>
      <c r="I967" t="s">
        <v>1591</v>
      </c>
      <c r="J967">
        <v>4.5</v>
      </c>
      <c r="K967" t="s">
        <v>612</v>
      </c>
      <c r="L967">
        <v>150000</v>
      </c>
      <c r="M967">
        <v>2.0499999999999998</v>
      </c>
      <c r="N967">
        <v>55.948731506849292</v>
      </c>
      <c r="O967" t="s">
        <v>592</v>
      </c>
      <c r="P967" t="s">
        <v>613</v>
      </c>
      <c r="Q967" t="s">
        <v>586</v>
      </c>
      <c r="R967" t="s">
        <v>712</v>
      </c>
      <c r="S967" t="s">
        <v>594</v>
      </c>
      <c r="T967">
        <v>92</v>
      </c>
    </row>
    <row r="968" spans="1:20" x14ac:dyDescent="0.25">
      <c r="A968" t="s">
        <v>2113</v>
      </c>
      <c r="B968" t="s">
        <v>312</v>
      </c>
      <c r="C968" t="s">
        <v>607</v>
      </c>
      <c r="D968" t="s">
        <v>608</v>
      </c>
      <c r="E968" t="s">
        <v>1032</v>
      </c>
      <c r="F968">
        <v>1.9796534684335181</v>
      </c>
      <c r="G968">
        <v>58.21334520547947</v>
      </c>
      <c r="H968" t="s">
        <v>1033</v>
      </c>
      <c r="I968" t="s">
        <v>1591</v>
      </c>
      <c r="J968">
        <v>3.25</v>
      </c>
      <c r="K968" t="s">
        <v>956</v>
      </c>
      <c r="L968">
        <v>160000</v>
      </c>
      <c r="M968">
        <v>2.2000000000000002</v>
      </c>
      <c r="N968">
        <v>58.21334520547947</v>
      </c>
      <c r="O968" t="s">
        <v>592</v>
      </c>
      <c r="P968" t="s">
        <v>613</v>
      </c>
      <c r="Q968" t="s">
        <v>586</v>
      </c>
      <c r="R968" t="s">
        <v>712</v>
      </c>
      <c r="S968" t="s">
        <v>594</v>
      </c>
      <c r="T968">
        <v>78</v>
      </c>
    </row>
    <row r="969" spans="1:20" x14ac:dyDescent="0.25">
      <c r="A969" t="s">
        <v>2114</v>
      </c>
      <c r="B969" t="s">
        <v>313</v>
      </c>
      <c r="C969" t="s">
        <v>607</v>
      </c>
      <c r="D969" t="s">
        <v>608</v>
      </c>
      <c r="E969" t="s">
        <v>609</v>
      </c>
      <c r="F969">
        <v>1.0407932440577345</v>
      </c>
      <c r="G969">
        <v>59.236315068493141</v>
      </c>
      <c r="H969" t="s">
        <v>1585</v>
      </c>
      <c r="I969" t="s">
        <v>611</v>
      </c>
      <c r="J969">
        <v>4</v>
      </c>
      <c r="K969" t="s">
        <v>612</v>
      </c>
      <c r="L969">
        <v>155000</v>
      </c>
      <c r="M969">
        <v>2.0499999999999998</v>
      </c>
      <c r="N969">
        <v>59.236315068493141</v>
      </c>
      <c r="O969" t="s">
        <v>592</v>
      </c>
      <c r="P969" t="s">
        <v>613</v>
      </c>
      <c r="Q969" t="s">
        <v>586</v>
      </c>
      <c r="R969" t="s">
        <v>712</v>
      </c>
      <c r="S969" t="s">
        <v>594</v>
      </c>
      <c r="T969">
        <v>88</v>
      </c>
    </row>
    <row r="970" spans="1:20" x14ac:dyDescent="0.25">
      <c r="A970" t="s">
        <v>2115</v>
      </c>
      <c r="B970" t="s">
        <v>314</v>
      </c>
      <c r="C970" t="s">
        <v>586</v>
      </c>
      <c r="D970" t="s">
        <v>608</v>
      </c>
      <c r="E970" t="s">
        <v>789</v>
      </c>
      <c r="F970">
        <v>0.45087070758482367</v>
      </c>
      <c r="G970">
        <v>15.486860273972614</v>
      </c>
      <c r="H970" t="s">
        <v>2116</v>
      </c>
      <c r="I970" t="s">
        <v>611</v>
      </c>
      <c r="J970">
        <v>2</v>
      </c>
      <c r="K970" t="s">
        <v>2117</v>
      </c>
      <c r="L970">
        <v>195000</v>
      </c>
      <c r="M970">
        <v>1.54</v>
      </c>
      <c r="N970">
        <v>15.486860273972614</v>
      </c>
      <c r="O970" t="s">
        <v>592</v>
      </c>
      <c r="P970" t="s">
        <v>621</v>
      </c>
      <c r="Q970" t="s">
        <v>586</v>
      </c>
      <c r="R970" t="s">
        <v>712</v>
      </c>
      <c r="S970" t="s">
        <v>712</v>
      </c>
      <c r="T970">
        <v>93</v>
      </c>
    </row>
    <row r="971" spans="1:20" x14ac:dyDescent="0.25">
      <c r="A971" t="s">
        <v>2118</v>
      </c>
      <c r="B971" t="s">
        <v>314</v>
      </c>
      <c r="C971" t="s">
        <v>586</v>
      </c>
      <c r="D971" t="s">
        <v>608</v>
      </c>
      <c r="E971" t="s">
        <v>789</v>
      </c>
      <c r="F971">
        <v>1.4168073517192721</v>
      </c>
      <c r="G971">
        <v>16.545306849315054</v>
      </c>
      <c r="H971" t="s">
        <v>2116</v>
      </c>
      <c r="I971" t="s">
        <v>611</v>
      </c>
      <c r="J971">
        <v>3</v>
      </c>
      <c r="K971" t="s">
        <v>2119</v>
      </c>
      <c r="L971">
        <v>205000</v>
      </c>
      <c r="M971">
        <v>1.68</v>
      </c>
      <c r="N971">
        <v>16.545306849315054</v>
      </c>
      <c r="O971" t="s">
        <v>592</v>
      </c>
      <c r="P971" t="s">
        <v>621</v>
      </c>
      <c r="Q971" t="s">
        <v>586</v>
      </c>
      <c r="R971">
        <v>15000</v>
      </c>
      <c r="S971" t="s">
        <v>712</v>
      </c>
      <c r="T971">
        <v>78</v>
      </c>
    </row>
    <row r="972" spans="1:20" x14ac:dyDescent="0.25">
      <c r="A972" t="s">
        <v>2120</v>
      </c>
      <c r="B972" t="s">
        <v>314</v>
      </c>
      <c r="C972" t="s">
        <v>586</v>
      </c>
      <c r="D972" t="s">
        <v>608</v>
      </c>
      <c r="E972" t="s">
        <v>789</v>
      </c>
      <c r="F972">
        <v>2.3612509103475983</v>
      </c>
      <c r="G972">
        <v>19.257723287671237</v>
      </c>
      <c r="H972" t="s">
        <v>2116</v>
      </c>
      <c r="I972" t="s">
        <v>611</v>
      </c>
      <c r="J972">
        <v>3</v>
      </c>
      <c r="K972" t="s">
        <v>2121</v>
      </c>
      <c r="L972">
        <v>210000</v>
      </c>
      <c r="M972">
        <v>1.84</v>
      </c>
      <c r="N972">
        <v>19.257723287671237</v>
      </c>
      <c r="O972" t="s">
        <v>592</v>
      </c>
      <c r="P972" t="s">
        <v>621</v>
      </c>
      <c r="Q972" t="s">
        <v>586</v>
      </c>
      <c r="R972" t="s">
        <v>712</v>
      </c>
      <c r="S972" t="s">
        <v>712</v>
      </c>
      <c r="T972">
        <v>61</v>
      </c>
    </row>
    <row r="973" spans="1:20" x14ac:dyDescent="0.25">
      <c r="A973" t="s">
        <v>2122</v>
      </c>
      <c r="B973" t="s">
        <v>314</v>
      </c>
      <c r="C973" t="s">
        <v>586</v>
      </c>
      <c r="D973" t="s">
        <v>608</v>
      </c>
      <c r="E973" t="s">
        <v>789</v>
      </c>
      <c r="F973">
        <v>3.2755513019477487</v>
      </c>
      <c r="G973">
        <v>22.380720547945199</v>
      </c>
      <c r="H973" t="s">
        <v>2116</v>
      </c>
      <c r="I973" t="s">
        <v>611</v>
      </c>
      <c r="J973">
        <v>3</v>
      </c>
      <c r="K973" t="s">
        <v>2123</v>
      </c>
      <c r="L973">
        <v>220000</v>
      </c>
      <c r="M973">
        <v>2</v>
      </c>
      <c r="N973">
        <v>22.380720547945199</v>
      </c>
      <c r="O973" t="s">
        <v>592</v>
      </c>
      <c r="P973" t="s">
        <v>621</v>
      </c>
      <c r="Q973" t="s">
        <v>586</v>
      </c>
      <c r="R973" t="s">
        <v>712</v>
      </c>
      <c r="S973" t="s">
        <v>712</v>
      </c>
      <c r="T973">
        <v>47</v>
      </c>
    </row>
    <row r="974" spans="1:20" x14ac:dyDescent="0.25">
      <c r="A974" t="s">
        <v>2124</v>
      </c>
      <c r="B974" t="s">
        <v>314</v>
      </c>
      <c r="C974" t="s">
        <v>586</v>
      </c>
      <c r="D974" t="s">
        <v>608</v>
      </c>
      <c r="E974" t="s">
        <v>789</v>
      </c>
      <c r="F974">
        <v>4.1637402738837137</v>
      </c>
      <c r="G974">
        <v>23.377591780821927</v>
      </c>
      <c r="H974" t="s">
        <v>2116</v>
      </c>
      <c r="I974" t="s">
        <v>611</v>
      </c>
      <c r="J974">
        <v>3</v>
      </c>
      <c r="K974" t="s">
        <v>2125</v>
      </c>
      <c r="L974">
        <v>225000</v>
      </c>
      <c r="M974">
        <v>2.12</v>
      </c>
      <c r="N974">
        <v>23.377591780821927</v>
      </c>
      <c r="O974" t="s">
        <v>592</v>
      </c>
      <c r="P974" t="s">
        <v>621</v>
      </c>
      <c r="Q974" t="s">
        <v>586</v>
      </c>
      <c r="R974" t="s">
        <v>712</v>
      </c>
      <c r="S974" t="s">
        <v>712</v>
      </c>
      <c r="T974">
        <v>38</v>
      </c>
    </row>
    <row r="975" spans="1:20" x14ac:dyDescent="0.25">
      <c r="A975" t="s">
        <v>2126</v>
      </c>
      <c r="B975" t="s">
        <v>315</v>
      </c>
      <c r="C975" t="s">
        <v>607</v>
      </c>
      <c r="D975" t="s">
        <v>608</v>
      </c>
      <c r="E975" t="s">
        <v>1321</v>
      </c>
      <c r="F975">
        <v>0.56992584653255329</v>
      </c>
      <c r="G975">
        <v>42.964589979274415</v>
      </c>
      <c r="H975" t="s">
        <v>892</v>
      </c>
      <c r="I975" t="s">
        <v>611</v>
      </c>
      <c r="J975">
        <v>2.2999999999999998</v>
      </c>
      <c r="K975" t="s">
        <v>744</v>
      </c>
      <c r="L975">
        <v>235000</v>
      </c>
      <c r="M975">
        <v>2.3000000000000003</v>
      </c>
      <c r="N975">
        <v>42.964589979274415</v>
      </c>
      <c r="O975" t="s">
        <v>592</v>
      </c>
      <c r="P975" t="s">
        <v>613</v>
      </c>
      <c r="Q975" t="s">
        <v>586</v>
      </c>
      <c r="R975" t="s">
        <v>712</v>
      </c>
      <c r="S975" t="s">
        <v>712</v>
      </c>
      <c r="T975">
        <v>94</v>
      </c>
    </row>
    <row r="976" spans="1:20" x14ac:dyDescent="0.25">
      <c r="A976" t="s">
        <v>2127</v>
      </c>
      <c r="B976" t="s">
        <v>316</v>
      </c>
      <c r="C976" t="s">
        <v>607</v>
      </c>
      <c r="D976" t="s">
        <v>608</v>
      </c>
      <c r="E976" t="s">
        <v>1321</v>
      </c>
      <c r="F976">
        <v>0.16357644672732319</v>
      </c>
      <c r="G976">
        <v>35.757327902348599</v>
      </c>
      <c r="H976" t="s">
        <v>1143</v>
      </c>
      <c r="I976" t="s">
        <v>611</v>
      </c>
      <c r="J976">
        <v>4</v>
      </c>
      <c r="K976" t="s">
        <v>749</v>
      </c>
      <c r="L976">
        <v>100000</v>
      </c>
      <c r="M976">
        <v>1.5</v>
      </c>
      <c r="N976">
        <v>35.757327902348599</v>
      </c>
      <c r="O976" t="s">
        <v>592</v>
      </c>
      <c r="P976" t="s">
        <v>613</v>
      </c>
      <c r="Q976" t="s">
        <v>586</v>
      </c>
      <c r="R976">
        <v>75000</v>
      </c>
      <c r="S976" t="s">
        <v>712</v>
      </c>
      <c r="T976">
        <v>99</v>
      </c>
    </row>
    <row r="977" spans="1:20" x14ac:dyDescent="0.25">
      <c r="A977" t="s">
        <v>2128</v>
      </c>
      <c r="B977" t="s">
        <v>316</v>
      </c>
      <c r="C977" t="s">
        <v>607</v>
      </c>
      <c r="D977" t="s">
        <v>608</v>
      </c>
      <c r="E977" t="s">
        <v>1321</v>
      </c>
      <c r="F977">
        <v>2.0713627154858947</v>
      </c>
      <c r="G977">
        <v>40.678710296009356</v>
      </c>
      <c r="H977" t="s">
        <v>1143</v>
      </c>
      <c r="I977" t="s">
        <v>611</v>
      </c>
      <c r="J977">
        <v>3</v>
      </c>
      <c r="K977" t="s">
        <v>651</v>
      </c>
      <c r="L977">
        <v>100000</v>
      </c>
      <c r="M977">
        <v>1.85</v>
      </c>
      <c r="N977">
        <v>40.678710296009356</v>
      </c>
      <c r="O977" t="s">
        <v>592</v>
      </c>
      <c r="P977" t="s">
        <v>613</v>
      </c>
      <c r="Q977" t="s">
        <v>586</v>
      </c>
      <c r="R977" t="s">
        <v>712</v>
      </c>
      <c r="S977" t="s">
        <v>712</v>
      </c>
      <c r="T977">
        <v>82</v>
      </c>
    </row>
    <row r="978" spans="1:20" x14ac:dyDescent="0.25">
      <c r="A978" t="s">
        <v>2129</v>
      </c>
      <c r="B978" t="s">
        <v>317</v>
      </c>
      <c r="C978" t="s">
        <v>607</v>
      </c>
      <c r="D978" t="s">
        <v>608</v>
      </c>
      <c r="E978" t="s">
        <v>1321</v>
      </c>
      <c r="F978">
        <v>1.0536543264299616</v>
      </c>
      <c r="G978">
        <v>48.199232605977961</v>
      </c>
      <c r="H978" t="s">
        <v>1041</v>
      </c>
      <c r="I978" t="s">
        <v>611</v>
      </c>
      <c r="J978">
        <v>2.25</v>
      </c>
      <c r="K978" t="s">
        <v>612</v>
      </c>
      <c r="L978">
        <v>105000</v>
      </c>
      <c r="M978">
        <v>2.4000000000000004</v>
      </c>
      <c r="N978">
        <v>48.199232605977961</v>
      </c>
      <c r="O978" t="s">
        <v>592</v>
      </c>
      <c r="P978" t="s">
        <v>613</v>
      </c>
      <c r="Q978" t="s">
        <v>586</v>
      </c>
      <c r="R978" t="s">
        <v>712</v>
      </c>
      <c r="S978" t="s">
        <v>712</v>
      </c>
      <c r="T978">
        <v>77</v>
      </c>
    </row>
    <row r="979" spans="1:20" x14ac:dyDescent="0.25">
      <c r="A979" t="s">
        <v>2130</v>
      </c>
      <c r="B979" t="s">
        <v>317</v>
      </c>
      <c r="C979" t="s">
        <v>607</v>
      </c>
      <c r="D979" t="s">
        <v>608</v>
      </c>
      <c r="E979" t="s">
        <v>1321</v>
      </c>
      <c r="F979">
        <v>2.0036149570922803</v>
      </c>
      <c r="G979">
        <v>49.65179946225939</v>
      </c>
      <c r="H979" t="s">
        <v>1041</v>
      </c>
      <c r="I979" t="s">
        <v>611</v>
      </c>
      <c r="J979">
        <v>2.25</v>
      </c>
      <c r="K979" t="s">
        <v>956</v>
      </c>
      <c r="L979">
        <v>110000</v>
      </c>
      <c r="M979">
        <v>2.5500000000000003</v>
      </c>
      <c r="N979">
        <v>49.65179946225939</v>
      </c>
      <c r="O979" t="s">
        <v>592</v>
      </c>
      <c r="P979" t="s">
        <v>613</v>
      </c>
      <c r="Q979" t="s">
        <v>586</v>
      </c>
      <c r="R979" t="s">
        <v>712</v>
      </c>
      <c r="S979" t="s">
        <v>712</v>
      </c>
      <c r="T979">
        <v>61</v>
      </c>
    </row>
    <row r="980" spans="1:20" x14ac:dyDescent="0.25">
      <c r="A980" t="s">
        <v>2131</v>
      </c>
      <c r="B980" t="s">
        <v>318</v>
      </c>
      <c r="C980" t="s">
        <v>586</v>
      </c>
      <c r="D980" t="s">
        <v>608</v>
      </c>
      <c r="E980" t="s">
        <v>1321</v>
      </c>
      <c r="F980">
        <v>1.051931348864598</v>
      </c>
      <c r="G980">
        <v>97.448569420552758</v>
      </c>
      <c r="H980" t="s">
        <v>761</v>
      </c>
      <c r="I980" t="s">
        <v>611</v>
      </c>
      <c r="J980">
        <v>2.4</v>
      </c>
      <c r="K980" t="s">
        <v>612</v>
      </c>
      <c r="L980">
        <v>150000</v>
      </c>
      <c r="M980">
        <v>2.5</v>
      </c>
      <c r="N980">
        <v>97.448569420552758</v>
      </c>
      <c r="O980" t="s">
        <v>592</v>
      </c>
      <c r="P980" t="s">
        <v>613</v>
      </c>
      <c r="Q980" t="s">
        <v>586</v>
      </c>
      <c r="R980" t="s">
        <v>712</v>
      </c>
      <c r="S980" t="s">
        <v>712</v>
      </c>
      <c r="T980">
        <v>79</v>
      </c>
    </row>
    <row r="981" spans="1:20" x14ac:dyDescent="0.25">
      <c r="A981" t="s">
        <v>2132</v>
      </c>
      <c r="B981" t="s">
        <v>319</v>
      </c>
      <c r="C981" t="s">
        <v>586</v>
      </c>
      <c r="D981" t="s">
        <v>608</v>
      </c>
      <c r="E981" t="s">
        <v>1321</v>
      </c>
      <c r="F981">
        <v>2.8948372110435909</v>
      </c>
      <c r="G981">
        <v>118.89033220748344</v>
      </c>
      <c r="H981" t="s">
        <v>1143</v>
      </c>
      <c r="I981" t="s">
        <v>1137</v>
      </c>
      <c r="J981">
        <v>3</v>
      </c>
      <c r="K981" t="s">
        <v>1334</v>
      </c>
      <c r="L981">
        <v>260000</v>
      </c>
      <c r="M981">
        <v>2.8000000000000003</v>
      </c>
      <c r="N981">
        <v>118.89033220748344</v>
      </c>
      <c r="O981" t="s">
        <v>592</v>
      </c>
      <c r="P981" t="s">
        <v>613</v>
      </c>
      <c r="Q981" t="s">
        <v>586</v>
      </c>
      <c r="R981" t="s">
        <v>712</v>
      </c>
      <c r="S981" t="s">
        <v>712</v>
      </c>
      <c r="T981">
        <v>54</v>
      </c>
    </row>
    <row r="982" spans="1:20" x14ac:dyDescent="0.25">
      <c r="A982" t="s">
        <v>2133</v>
      </c>
      <c r="B982" t="s">
        <v>320</v>
      </c>
      <c r="C982" t="s">
        <v>607</v>
      </c>
      <c r="D982" t="s">
        <v>608</v>
      </c>
      <c r="E982" t="s">
        <v>1321</v>
      </c>
      <c r="F982">
        <v>0.65145730995044793</v>
      </c>
      <c r="G982">
        <v>58.73350510136801</v>
      </c>
      <c r="H982" t="s">
        <v>639</v>
      </c>
      <c r="I982" t="s">
        <v>1034</v>
      </c>
      <c r="J982">
        <v>3</v>
      </c>
      <c r="K982" t="s">
        <v>787</v>
      </c>
      <c r="L982">
        <v>250000</v>
      </c>
      <c r="M982">
        <v>2.4000000000000004</v>
      </c>
      <c r="N982">
        <v>58.73350510136801</v>
      </c>
      <c r="O982" t="s">
        <v>592</v>
      </c>
      <c r="P982" t="s">
        <v>621</v>
      </c>
      <c r="Q982" t="s">
        <v>586</v>
      </c>
      <c r="R982" t="s">
        <v>712</v>
      </c>
      <c r="S982" t="s">
        <v>712</v>
      </c>
      <c r="T982">
        <v>91</v>
      </c>
    </row>
    <row r="983" spans="1:20" x14ac:dyDescent="0.25">
      <c r="A983" t="s">
        <v>2134</v>
      </c>
      <c r="B983" t="s">
        <v>320</v>
      </c>
      <c r="C983" t="s">
        <v>607</v>
      </c>
      <c r="D983" t="s">
        <v>608</v>
      </c>
      <c r="E983" t="s">
        <v>1321</v>
      </c>
      <c r="F983">
        <v>1.6040958516691235</v>
      </c>
      <c r="G983">
        <v>63.044195065579878</v>
      </c>
      <c r="H983" t="s">
        <v>639</v>
      </c>
      <c r="I983" t="s">
        <v>1034</v>
      </c>
      <c r="J983">
        <v>3</v>
      </c>
      <c r="K983" t="s">
        <v>905</v>
      </c>
      <c r="L983">
        <v>250000</v>
      </c>
      <c r="M983">
        <v>2.6</v>
      </c>
      <c r="N983">
        <v>63.044195065579878</v>
      </c>
      <c r="O983" t="s">
        <v>592</v>
      </c>
      <c r="P983" t="s">
        <v>621</v>
      </c>
      <c r="Q983" t="s">
        <v>586</v>
      </c>
      <c r="R983" t="s">
        <v>712</v>
      </c>
      <c r="S983" t="s">
        <v>712</v>
      </c>
      <c r="T983">
        <v>79</v>
      </c>
    </row>
    <row r="984" spans="1:20" x14ac:dyDescent="0.25">
      <c r="A984" t="s">
        <v>2135</v>
      </c>
      <c r="B984" t="s">
        <v>321</v>
      </c>
      <c r="C984" t="s">
        <v>607</v>
      </c>
      <c r="D984" t="s">
        <v>608</v>
      </c>
      <c r="E984" t="s">
        <v>1321</v>
      </c>
      <c r="F984">
        <v>1.0537509968033336</v>
      </c>
      <c r="G984">
        <v>51.193215084602109</v>
      </c>
      <c r="H984" t="s">
        <v>720</v>
      </c>
      <c r="I984" t="s">
        <v>2136</v>
      </c>
      <c r="J984">
        <v>2.5</v>
      </c>
      <c r="K984" t="s">
        <v>612</v>
      </c>
      <c r="L984">
        <v>625000</v>
      </c>
      <c r="M984">
        <v>2.0699999999999998</v>
      </c>
      <c r="N984">
        <v>51.193215084602109</v>
      </c>
      <c r="O984" t="s">
        <v>592</v>
      </c>
      <c r="P984" t="s">
        <v>621</v>
      </c>
      <c r="Q984" t="s">
        <v>586</v>
      </c>
      <c r="R984" t="s">
        <v>712</v>
      </c>
      <c r="S984" t="s">
        <v>614</v>
      </c>
      <c r="T984">
        <v>86</v>
      </c>
    </row>
    <row r="985" spans="1:20" x14ac:dyDescent="0.25">
      <c r="A985" t="s">
        <v>2137</v>
      </c>
      <c r="B985" t="s">
        <v>321</v>
      </c>
      <c r="C985" t="s">
        <v>607</v>
      </c>
      <c r="D985" t="s">
        <v>608</v>
      </c>
      <c r="E985" t="s">
        <v>1321</v>
      </c>
      <c r="F985">
        <v>2.001459163338986</v>
      </c>
      <c r="G985">
        <v>54.813218834633325</v>
      </c>
      <c r="H985" t="s">
        <v>720</v>
      </c>
      <c r="I985" t="s">
        <v>2136</v>
      </c>
      <c r="J985">
        <v>2.5</v>
      </c>
      <c r="K985" t="s">
        <v>956</v>
      </c>
      <c r="L985">
        <v>625000</v>
      </c>
      <c r="M985">
        <v>2.27</v>
      </c>
      <c r="N985">
        <v>54.813218834633325</v>
      </c>
      <c r="O985" t="s">
        <v>592</v>
      </c>
      <c r="P985" t="s">
        <v>621</v>
      </c>
      <c r="Q985" t="s">
        <v>586</v>
      </c>
      <c r="R985" t="s">
        <v>712</v>
      </c>
      <c r="S985" t="s">
        <v>614</v>
      </c>
      <c r="T985">
        <v>75</v>
      </c>
    </row>
    <row r="986" spans="1:20" x14ac:dyDescent="0.25">
      <c r="A986" t="s">
        <v>2138</v>
      </c>
      <c r="B986" t="s">
        <v>322</v>
      </c>
      <c r="C986" t="s">
        <v>607</v>
      </c>
      <c r="D986" t="s">
        <v>608</v>
      </c>
      <c r="E986" t="s">
        <v>1321</v>
      </c>
      <c r="F986">
        <v>8.0490777661012217E-2</v>
      </c>
      <c r="G986">
        <v>50.122698630136988</v>
      </c>
      <c r="H986" t="s">
        <v>610</v>
      </c>
      <c r="I986" t="s">
        <v>1591</v>
      </c>
      <c r="J986">
        <v>4</v>
      </c>
      <c r="K986" t="s">
        <v>950</v>
      </c>
      <c r="L986">
        <v>75000</v>
      </c>
      <c r="M986">
        <v>2.1</v>
      </c>
      <c r="N986">
        <v>50.122698630136988</v>
      </c>
      <c r="O986" t="s">
        <v>592</v>
      </c>
      <c r="P986" t="s">
        <v>621</v>
      </c>
      <c r="Q986" t="s">
        <v>586</v>
      </c>
      <c r="R986" t="s">
        <v>712</v>
      </c>
      <c r="S986" t="s">
        <v>712</v>
      </c>
      <c r="T986">
        <v>98</v>
      </c>
    </row>
    <row r="987" spans="1:20" x14ac:dyDescent="0.25">
      <c r="A987" t="s">
        <v>2139</v>
      </c>
      <c r="B987" t="s">
        <v>322</v>
      </c>
      <c r="C987" t="s">
        <v>607</v>
      </c>
      <c r="D987" t="s">
        <v>608</v>
      </c>
      <c r="E987" t="s">
        <v>1321</v>
      </c>
      <c r="F987">
        <v>1.0435178274944361</v>
      </c>
      <c r="G987">
        <v>59.33526027397258</v>
      </c>
      <c r="H987" t="s">
        <v>610</v>
      </c>
      <c r="I987" t="s">
        <v>1591</v>
      </c>
      <c r="J987">
        <v>4</v>
      </c>
      <c r="K987" t="s">
        <v>612</v>
      </c>
      <c r="L987">
        <v>75000</v>
      </c>
      <c r="M987">
        <v>2.3000000000000003</v>
      </c>
      <c r="N987">
        <v>59.33526027397258</v>
      </c>
      <c r="O987" t="s">
        <v>592</v>
      </c>
      <c r="P987" t="s">
        <v>621</v>
      </c>
      <c r="Q987" t="s">
        <v>586</v>
      </c>
      <c r="R987" t="s">
        <v>712</v>
      </c>
      <c r="S987" t="s">
        <v>712</v>
      </c>
      <c r="T987">
        <v>92</v>
      </c>
    </row>
    <row r="988" spans="1:20" x14ac:dyDescent="0.25">
      <c r="A988" t="s">
        <v>2140</v>
      </c>
      <c r="B988" t="s">
        <v>322</v>
      </c>
      <c r="C988" t="s">
        <v>607</v>
      </c>
      <c r="D988" t="s">
        <v>608</v>
      </c>
      <c r="E988" t="s">
        <v>1321</v>
      </c>
      <c r="F988">
        <v>1.9689484508573936</v>
      </c>
      <c r="G988">
        <v>69.299145205479434</v>
      </c>
      <c r="H988" t="s">
        <v>610</v>
      </c>
      <c r="I988" t="s">
        <v>1591</v>
      </c>
      <c r="J988">
        <v>4</v>
      </c>
      <c r="K988" t="s">
        <v>956</v>
      </c>
      <c r="L988">
        <v>75000</v>
      </c>
      <c r="M988">
        <v>2.5</v>
      </c>
      <c r="N988">
        <v>69.299145205479434</v>
      </c>
      <c r="O988" t="s">
        <v>592</v>
      </c>
      <c r="P988" t="s">
        <v>621</v>
      </c>
      <c r="Q988" t="s">
        <v>586</v>
      </c>
      <c r="R988" t="s">
        <v>712</v>
      </c>
      <c r="S988" t="s">
        <v>712</v>
      </c>
      <c r="T988">
        <v>84</v>
      </c>
    </row>
    <row r="989" spans="1:20" x14ac:dyDescent="0.25">
      <c r="A989" t="s">
        <v>2141</v>
      </c>
      <c r="B989" t="s">
        <v>323</v>
      </c>
      <c r="C989" t="s">
        <v>607</v>
      </c>
      <c r="D989" t="s">
        <v>608</v>
      </c>
      <c r="E989" t="s">
        <v>1321</v>
      </c>
      <c r="F989">
        <v>0.57133399288725273</v>
      </c>
      <c r="G989">
        <v>37.52506027397262</v>
      </c>
      <c r="H989" t="s">
        <v>1033</v>
      </c>
      <c r="I989" t="s">
        <v>885</v>
      </c>
      <c r="J989">
        <v>2</v>
      </c>
      <c r="K989" t="s">
        <v>744</v>
      </c>
      <c r="L989">
        <v>300000</v>
      </c>
      <c r="M989">
        <v>1.85</v>
      </c>
      <c r="N989">
        <v>37.52506027397262</v>
      </c>
      <c r="O989" t="s">
        <v>592</v>
      </c>
      <c r="P989" t="s">
        <v>613</v>
      </c>
      <c r="Q989" t="s">
        <v>586</v>
      </c>
      <c r="R989" t="s">
        <v>712</v>
      </c>
      <c r="S989" t="s">
        <v>878</v>
      </c>
      <c r="T989">
        <v>90</v>
      </c>
    </row>
    <row r="990" spans="1:20" x14ac:dyDescent="0.25">
      <c r="A990" t="s">
        <v>2142</v>
      </c>
      <c r="B990" t="s">
        <v>324</v>
      </c>
      <c r="C990" t="s">
        <v>607</v>
      </c>
      <c r="D990" t="s">
        <v>608</v>
      </c>
      <c r="E990" t="s">
        <v>1321</v>
      </c>
      <c r="F990">
        <v>8.0470444938257404E-2</v>
      </c>
      <c r="G990">
        <v>34.512547945205483</v>
      </c>
      <c r="H990" t="s">
        <v>1045</v>
      </c>
      <c r="I990" t="s">
        <v>611</v>
      </c>
      <c r="J990">
        <v>2</v>
      </c>
      <c r="K990" t="s">
        <v>950</v>
      </c>
      <c r="L990">
        <v>100000</v>
      </c>
      <c r="M990">
        <v>1.6</v>
      </c>
      <c r="N990">
        <v>34.512547945205483</v>
      </c>
      <c r="O990" t="s">
        <v>592</v>
      </c>
      <c r="P990" t="s">
        <v>613</v>
      </c>
      <c r="Q990" t="s">
        <v>586</v>
      </c>
      <c r="R990" t="s">
        <v>712</v>
      </c>
      <c r="S990" t="s">
        <v>878</v>
      </c>
      <c r="T990">
        <v>100</v>
      </c>
    </row>
    <row r="991" spans="1:20" x14ac:dyDescent="0.25">
      <c r="A991" t="s">
        <v>2143</v>
      </c>
      <c r="B991" t="s">
        <v>324</v>
      </c>
      <c r="C991" t="s">
        <v>607</v>
      </c>
      <c r="D991" t="s">
        <v>608</v>
      </c>
      <c r="E991" t="s">
        <v>1321</v>
      </c>
      <c r="F991">
        <v>1.0556758211830815</v>
      </c>
      <c r="G991">
        <v>35.74721917808219</v>
      </c>
      <c r="H991" t="s">
        <v>1045</v>
      </c>
      <c r="I991" t="s">
        <v>611</v>
      </c>
      <c r="J991">
        <v>2</v>
      </c>
      <c r="K991" t="s">
        <v>612</v>
      </c>
      <c r="L991">
        <v>100000</v>
      </c>
      <c r="M991">
        <v>1.75</v>
      </c>
      <c r="N991">
        <v>35.74721917808219</v>
      </c>
      <c r="O991" t="s">
        <v>592</v>
      </c>
      <c r="P991" t="s">
        <v>613</v>
      </c>
      <c r="Q991" t="s">
        <v>586</v>
      </c>
      <c r="R991" t="s">
        <v>712</v>
      </c>
      <c r="S991" t="s">
        <v>878</v>
      </c>
      <c r="T991">
        <v>84</v>
      </c>
    </row>
    <row r="992" spans="1:20" x14ac:dyDescent="0.25">
      <c r="A992" t="s">
        <v>2144</v>
      </c>
      <c r="B992" t="s">
        <v>324</v>
      </c>
      <c r="C992" t="s">
        <v>607</v>
      </c>
      <c r="D992" t="s">
        <v>608</v>
      </c>
      <c r="E992" t="s">
        <v>1321</v>
      </c>
      <c r="F992">
        <v>2.0098221002221615</v>
      </c>
      <c r="G992">
        <v>36.540605479452061</v>
      </c>
      <c r="H992" t="s">
        <v>1045</v>
      </c>
      <c r="I992" t="s">
        <v>611</v>
      </c>
      <c r="J992">
        <v>2</v>
      </c>
      <c r="K992" t="s">
        <v>956</v>
      </c>
      <c r="L992">
        <v>100000</v>
      </c>
      <c r="M992">
        <v>1.9000000000000001</v>
      </c>
      <c r="N992">
        <v>36.540605479452061</v>
      </c>
      <c r="O992" t="s">
        <v>592</v>
      </c>
      <c r="P992" t="s">
        <v>613</v>
      </c>
      <c r="Q992" t="s">
        <v>586</v>
      </c>
      <c r="R992" t="s">
        <v>712</v>
      </c>
      <c r="S992" t="s">
        <v>878</v>
      </c>
      <c r="T992">
        <v>72</v>
      </c>
    </row>
    <row r="993" spans="1:20" x14ac:dyDescent="0.25">
      <c r="A993" t="s">
        <v>2145</v>
      </c>
      <c r="B993" t="s">
        <v>325</v>
      </c>
      <c r="C993" t="s">
        <v>607</v>
      </c>
      <c r="D993" t="s">
        <v>608</v>
      </c>
      <c r="E993" t="s">
        <v>1321</v>
      </c>
      <c r="F993">
        <v>1.0434212002036918</v>
      </c>
      <c r="G993">
        <v>43.784852054794499</v>
      </c>
      <c r="H993" t="s">
        <v>610</v>
      </c>
      <c r="I993" t="s">
        <v>721</v>
      </c>
      <c r="J993">
        <v>4</v>
      </c>
      <c r="K993" t="s">
        <v>612</v>
      </c>
      <c r="L993">
        <v>400000</v>
      </c>
      <c r="M993">
        <v>2.0499999999999998</v>
      </c>
      <c r="N993">
        <v>43.784852054794499</v>
      </c>
      <c r="O993" t="s">
        <v>592</v>
      </c>
      <c r="P993" t="s">
        <v>621</v>
      </c>
      <c r="Q993" t="s">
        <v>586</v>
      </c>
      <c r="R993" t="s">
        <v>712</v>
      </c>
      <c r="S993" t="s">
        <v>878</v>
      </c>
      <c r="T993">
        <v>94</v>
      </c>
    </row>
    <row r="994" spans="1:20" x14ac:dyDescent="0.25">
      <c r="A994" t="s">
        <v>2146</v>
      </c>
      <c r="B994" t="s">
        <v>326</v>
      </c>
      <c r="C994" t="s">
        <v>607</v>
      </c>
      <c r="D994" t="s">
        <v>608</v>
      </c>
      <c r="E994" t="s">
        <v>1321</v>
      </c>
      <c r="F994">
        <v>1.0475298746981627</v>
      </c>
      <c r="G994">
        <v>53.322783561643838</v>
      </c>
      <c r="H994" t="s">
        <v>1033</v>
      </c>
      <c r="I994" t="s">
        <v>2147</v>
      </c>
      <c r="J994">
        <v>3</v>
      </c>
      <c r="K994" t="s">
        <v>612</v>
      </c>
      <c r="L994">
        <v>300000</v>
      </c>
      <c r="M994">
        <v>2</v>
      </c>
      <c r="N994">
        <v>53.322783561643838</v>
      </c>
      <c r="O994" t="s">
        <v>592</v>
      </c>
      <c r="P994" t="s">
        <v>613</v>
      </c>
      <c r="Q994" t="s">
        <v>586</v>
      </c>
      <c r="R994" t="s">
        <v>712</v>
      </c>
      <c r="S994" t="s">
        <v>594</v>
      </c>
      <c r="T994">
        <v>88</v>
      </c>
    </row>
    <row r="995" spans="1:20" x14ac:dyDescent="0.25">
      <c r="A995" t="s">
        <v>2148</v>
      </c>
      <c r="B995" t="s">
        <v>327</v>
      </c>
      <c r="C995" t="s">
        <v>607</v>
      </c>
      <c r="D995" t="s">
        <v>608</v>
      </c>
      <c r="E995" t="s">
        <v>1321</v>
      </c>
      <c r="F995">
        <v>1.0559934398160784</v>
      </c>
      <c r="G995">
        <v>55.266780821917806</v>
      </c>
      <c r="H995" t="s">
        <v>1033</v>
      </c>
      <c r="I995" t="s">
        <v>1034</v>
      </c>
      <c r="J995">
        <v>2</v>
      </c>
      <c r="K995" t="s">
        <v>612</v>
      </c>
      <c r="L995">
        <v>250000</v>
      </c>
      <c r="M995">
        <v>2.0499999999999998</v>
      </c>
      <c r="N995">
        <v>55.266780821917806</v>
      </c>
      <c r="O995" t="s">
        <v>592</v>
      </c>
      <c r="P995" t="s">
        <v>613</v>
      </c>
      <c r="Q995" t="s">
        <v>586</v>
      </c>
      <c r="R995" t="s">
        <v>712</v>
      </c>
      <c r="S995" t="s">
        <v>594</v>
      </c>
      <c r="T995">
        <v>85</v>
      </c>
    </row>
    <row r="996" spans="1:20" x14ac:dyDescent="0.25">
      <c r="A996" t="s">
        <v>2149</v>
      </c>
      <c r="B996" t="s">
        <v>328</v>
      </c>
      <c r="C996" t="s">
        <v>586</v>
      </c>
      <c r="D996" t="s">
        <v>608</v>
      </c>
      <c r="E996" t="s">
        <v>1321</v>
      </c>
      <c r="F996">
        <v>1.0486793969766279</v>
      </c>
      <c r="G996">
        <v>113.71862758415084</v>
      </c>
      <c r="H996" t="s">
        <v>1041</v>
      </c>
      <c r="I996" t="s">
        <v>611</v>
      </c>
      <c r="J996">
        <v>3</v>
      </c>
      <c r="K996" t="s">
        <v>612</v>
      </c>
      <c r="L996">
        <v>55000</v>
      </c>
      <c r="M996">
        <v>3</v>
      </c>
      <c r="N996">
        <v>113.71862758415084</v>
      </c>
      <c r="O996" t="s">
        <v>592</v>
      </c>
      <c r="P996" t="s">
        <v>621</v>
      </c>
      <c r="Q996" t="s">
        <v>586</v>
      </c>
      <c r="R996" t="s">
        <v>712</v>
      </c>
      <c r="S996" t="s">
        <v>712</v>
      </c>
      <c r="T996">
        <v>72</v>
      </c>
    </row>
    <row r="997" spans="1:20" x14ac:dyDescent="0.25">
      <c r="A997" t="s">
        <v>2150</v>
      </c>
      <c r="B997" t="s">
        <v>328</v>
      </c>
      <c r="C997" t="s">
        <v>586</v>
      </c>
      <c r="D997" t="s">
        <v>608</v>
      </c>
      <c r="E997" t="s">
        <v>1321</v>
      </c>
      <c r="F997">
        <v>2.8857992484099344</v>
      </c>
      <c r="G997">
        <v>118.87248710858245</v>
      </c>
      <c r="H997" t="s">
        <v>1041</v>
      </c>
      <c r="I997" t="s">
        <v>611</v>
      </c>
      <c r="J997">
        <v>3.3</v>
      </c>
      <c r="K997" t="s">
        <v>1334</v>
      </c>
      <c r="L997">
        <v>60000</v>
      </c>
      <c r="M997">
        <v>3.3000000000000003</v>
      </c>
      <c r="N997">
        <v>118.87248710858245</v>
      </c>
      <c r="O997" t="s">
        <v>592</v>
      </c>
      <c r="P997" t="s">
        <v>621</v>
      </c>
      <c r="Q997" t="s">
        <v>586</v>
      </c>
      <c r="R997" t="s">
        <v>712</v>
      </c>
      <c r="S997" t="s">
        <v>712</v>
      </c>
      <c r="T997">
        <v>47</v>
      </c>
    </row>
    <row r="998" spans="1:20" x14ac:dyDescent="0.25">
      <c r="A998" t="s">
        <v>2151</v>
      </c>
      <c r="B998" t="s">
        <v>329</v>
      </c>
      <c r="C998" t="s">
        <v>586</v>
      </c>
      <c r="D998" t="s">
        <v>608</v>
      </c>
      <c r="E998" t="s">
        <v>1321</v>
      </c>
      <c r="F998">
        <v>8.0443835983869741E-2</v>
      </c>
      <c r="G998">
        <v>97.4075911745431</v>
      </c>
      <c r="H998" t="s">
        <v>672</v>
      </c>
      <c r="I998" t="s">
        <v>2136</v>
      </c>
      <c r="J998">
        <v>3</v>
      </c>
      <c r="K998" t="s">
        <v>950</v>
      </c>
      <c r="L998">
        <v>350000</v>
      </c>
      <c r="M998">
        <v>2.4000000000000004</v>
      </c>
      <c r="N998">
        <v>97.4075911745431</v>
      </c>
      <c r="O998" t="s">
        <v>592</v>
      </c>
      <c r="P998" t="s">
        <v>621</v>
      </c>
      <c r="Q998" t="s">
        <v>586</v>
      </c>
      <c r="R998" t="s">
        <v>712</v>
      </c>
      <c r="S998" t="s">
        <v>712</v>
      </c>
      <c r="T998">
        <v>99</v>
      </c>
    </row>
    <row r="999" spans="1:20" x14ac:dyDescent="0.25">
      <c r="A999" t="s">
        <v>2152</v>
      </c>
      <c r="B999" t="s">
        <v>328</v>
      </c>
      <c r="C999" t="s">
        <v>607</v>
      </c>
      <c r="D999" t="s">
        <v>608</v>
      </c>
      <c r="E999" t="s">
        <v>1321</v>
      </c>
      <c r="F999">
        <v>0.32935280048567922</v>
      </c>
      <c r="G999">
        <v>61.745115068493142</v>
      </c>
      <c r="H999" t="s">
        <v>610</v>
      </c>
      <c r="I999" t="s">
        <v>721</v>
      </c>
      <c r="J999">
        <v>3</v>
      </c>
      <c r="K999" t="s">
        <v>710</v>
      </c>
      <c r="L999">
        <v>300000</v>
      </c>
      <c r="M999">
        <v>2.15</v>
      </c>
      <c r="N999">
        <v>61.745115068493142</v>
      </c>
      <c r="O999" t="s">
        <v>592</v>
      </c>
      <c r="P999" t="s">
        <v>621</v>
      </c>
      <c r="Q999" t="s">
        <v>586</v>
      </c>
      <c r="R999" t="s">
        <v>712</v>
      </c>
      <c r="S999" t="s">
        <v>594</v>
      </c>
      <c r="T999">
        <v>96</v>
      </c>
    </row>
    <row r="1000" spans="1:20" x14ac:dyDescent="0.25">
      <c r="A1000" t="s">
        <v>2153</v>
      </c>
      <c r="B1000" t="s">
        <v>328</v>
      </c>
      <c r="C1000" t="s">
        <v>607</v>
      </c>
      <c r="D1000" t="s">
        <v>608</v>
      </c>
      <c r="E1000" t="s">
        <v>1321</v>
      </c>
      <c r="F1000">
        <v>1.2975650199723734</v>
      </c>
      <c r="G1000">
        <v>66.169712328767091</v>
      </c>
      <c r="H1000" t="s">
        <v>610</v>
      </c>
      <c r="I1000" t="s">
        <v>721</v>
      </c>
      <c r="J1000">
        <v>3</v>
      </c>
      <c r="K1000" t="s">
        <v>758</v>
      </c>
      <c r="L1000">
        <v>270000</v>
      </c>
      <c r="M1000">
        <v>2.3000000000000003</v>
      </c>
      <c r="N1000">
        <v>66.169712328767091</v>
      </c>
      <c r="O1000" t="s">
        <v>592</v>
      </c>
      <c r="P1000" t="s">
        <v>621</v>
      </c>
      <c r="Q1000" t="s">
        <v>586</v>
      </c>
      <c r="R1000" t="s">
        <v>712</v>
      </c>
      <c r="S1000" t="s">
        <v>594</v>
      </c>
      <c r="T1000">
        <v>86</v>
      </c>
    </row>
    <row r="1001" spans="1:20" x14ac:dyDescent="0.25">
      <c r="A1001" t="s">
        <v>2154</v>
      </c>
      <c r="B1001" t="s">
        <v>328</v>
      </c>
      <c r="C1001" t="s">
        <v>607</v>
      </c>
      <c r="D1001" t="s">
        <v>608</v>
      </c>
      <c r="E1001" t="s">
        <v>1321</v>
      </c>
      <c r="F1001">
        <v>2.2374141205049445</v>
      </c>
      <c r="G1001">
        <v>71.099575342465783</v>
      </c>
      <c r="H1001" t="s">
        <v>610</v>
      </c>
      <c r="I1001" t="s">
        <v>721</v>
      </c>
      <c r="J1001">
        <v>3</v>
      </c>
      <c r="K1001" t="s">
        <v>972</v>
      </c>
      <c r="L1001">
        <v>265000</v>
      </c>
      <c r="M1001">
        <v>2.4500000000000002</v>
      </c>
      <c r="N1001">
        <v>71.099575342465783</v>
      </c>
      <c r="O1001" t="s">
        <v>592</v>
      </c>
      <c r="P1001" t="s">
        <v>621</v>
      </c>
      <c r="Q1001" t="s">
        <v>586</v>
      </c>
      <c r="R1001" t="s">
        <v>712</v>
      </c>
      <c r="S1001" t="s">
        <v>594</v>
      </c>
      <c r="T1001">
        <v>74</v>
      </c>
    </row>
    <row r="1002" spans="1:20" x14ac:dyDescent="0.25">
      <c r="A1002" t="s">
        <v>2155</v>
      </c>
      <c r="B1002" t="s">
        <v>330</v>
      </c>
      <c r="C1002" t="s">
        <v>607</v>
      </c>
      <c r="D1002" t="s">
        <v>608</v>
      </c>
      <c r="E1002" t="s">
        <v>1321</v>
      </c>
      <c r="F1002">
        <v>8.049125661857702E-2</v>
      </c>
      <c r="G1002">
        <v>61.985905130346566</v>
      </c>
      <c r="H1002" t="s">
        <v>1393</v>
      </c>
      <c r="I1002" t="s">
        <v>721</v>
      </c>
      <c r="J1002">
        <v>3</v>
      </c>
      <c r="K1002" t="s">
        <v>950</v>
      </c>
      <c r="L1002">
        <v>315000</v>
      </c>
      <c r="M1002">
        <v>2.5</v>
      </c>
      <c r="N1002">
        <v>61.985905130346566</v>
      </c>
      <c r="O1002" t="s">
        <v>592</v>
      </c>
      <c r="P1002" t="s">
        <v>621</v>
      </c>
      <c r="Q1002" t="s">
        <v>586</v>
      </c>
      <c r="R1002" t="s">
        <v>712</v>
      </c>
      <c r="S1002" t="s">
        <v>594</v>
      </c>
      <c r="T1002">
        <v>97</v>
      </c>
    </row>
    <row r="1003" spans="1:20" x14ac:dyDescent="0.25">
      <c r="A1003" t="s">
        <v>2156</v>
      </c>
      <c r="B1003" t="s">
        <v>330</v>
      </c>
      <c r="C1003" t="s">
        <v>607</v>
      </c>
      <c r="D1003" t="s">
        <v>608</v>
      </c>
      <c r="E1003" t="s">
        <v>1321</v>
      </c>
      <c r="F1003">
        <v>1.990765081328679</v>
      </c>
      <c r="G1003">
        <v>74.567798906238409</v>
      </c>
      <c r="H1003" t="s">
        <v>1393</v>
      </c>
      <c r="I1003" t="s">
        <v>721</v>
      </c>
      <c r="J1003">
        <v>3</v>
      </c>
      <c r="K1003" t="s">
        <v>956</v>
      </c>
      <c r="L1003">
        <v>340000</v>
      </c>
      <c r="M1003">
        <v>2.9000000000000004</v>
      </c>
      <c r="N1003">
        <v>74.567798906238409</v>
      </c>
      <c r="O1003" t="s">
        <v>592</v>
      </c>
      <c r="P1003" t="s">
        <v>621</v>
      </c>
      <c r="Q1003" t="s">
        <v>586</v>
      </c>
      <c r="R1003" t="s">
        <v>712</v>
      </c>
      <c r="S1003" t="s">
        <v>594</v>
      </c>
      <c r="T1003">
        <v>76</v>
      </c>
    </row>
    <row r="1004" spans="1:20" x14ac:dyDescent="0.25">
      <c r="A1004" t="s">
        <v>2157</v>
      </c>
      <c r="B1004" t="s">
        <v>331</v>
      </c>
      <c r="C1004" t="s">
        <v>586</v>
      </c>
      <c r="D1004" t="s">
        <v>608</v>
      </c>
      <c r="E1004" t="s">
        <v>1321</v>
      </c>
      <c r="F1004">
        <v>1.050637924964622</v>
      </c>
      <c r="G1004">
        <v>105.71095071059622</v>
      </c>
      <c r="H1004" t="s">
        <v>1000</v>
      </c>
      <c r="I1004" t="s">
        <v>2147</v>
      </c>
      <c r="J1004">
        <v>2.4500000000000002</v>
      </c>
      <c r="K1004" t="s">
        <v>612</v>
      </c>
      <c r="L1004">
        <v>110000</v>
      </c>
      <c r="M1004">
        <v>2.4500000000000002</v>
      </c>
      <c r="N1004">
        <v>105.71095071059622</v>
      </c>
      <c r="O1004" t="s">
        <v>592</v>
      </c>
      <c r="P1004" t="s">
        <v>613</v>
      </c>
      <c r="Q1004" t="s">
        <v>586</v>
      </c>
      <c r="R1004" t="s">
        <v>712</v>
      </c>
      <c r="S1004" t="s">
        <v>712</v>
      </c>
      <c r="T1004">
        <v>71</v>
      </c>
    </row>
    <row r="1005" spans="1:20" x14ac:dyDescent="0.25">
      <c r="A1005" t="s">
        <v>2158</v>
      </c>
      <c r="B1005" t="s">
        <v>332</v>
      </c>
      <c r="C1005" t="s">
        <v>607</v>
      </c>
      <c r="D1005" t="s">
        <v>608</v>
      </c>
      <c r="E1005" t="s">
        <v>1321</v>
      </c>
      <c r="F1005">
        <v>8.0471216936018622E-2</v>
      </c>
      <c r="G1005">
        <v>32.776641840235342</v>
      </c>
      <c r="H1005" t="s">
        <v>639</v>
      </c>
      <c r="I1005" t="s">
        <v>611</v>
      </c>
      <c r="J1005">
        <v>3</v>
      </c>
      <c r="K1005" t="s">
        <v>950</v>
      </c>
      <c r="L1005">
        <v>185000</v>
      </c>
      <c r="M1005">
        <v>2</v>
      </c>
      <c r="N1005">
        <v>32.776641840235342</v>
      </c>
      <c r="O1005" t="s">
        <v>592</v>
      </c>
      <c r="P1005" t="s">
        <v>613</v>
      </c>
      <c r="Q1005" t="s">
        <v>586</v>
      </c>
      <c r="R1005">
        <v>50000</v>
      </c>
      <c r="S1005" t="s">
        <v>878</v>
      </c>
      <c r="T1005">
        <v>99</v>
      </c>
    </row>
    <row r="1006" spans="1:20" x14ac:dyDescent="0.25">
      <c r="A1006" t="s">
        <v>2159</v>
      </c>
      <c r="B1006" t="s">
        <v>332</v>
      </c>
      <c r="C1006" t="s">
        <v>607</v>
      </c>
      <c r="D1006" t="s">
        <v>608</v>
      </c>
      <c r="E1006" t="s">
        <v>1321</v>
      </c>
      <c r="F1006">
        <v>1.9873795501799392</v>
      </c>
      <c r="G1006">
        <v>26.654053903049292</v>
      </c>
      <c r="H1006" t="s">
        <v>639</v>
      </c>
      <c r="I1006" t="s">
        <v>611</v>
      </c>
      <c r="J1006">
        <v>3</v>
      </c>
      <c r="K1006" t="s">
        <v>956</v>
      </c>
      <c r="L1006">
        <v>185000</v>
      </c>
      <c r="M1006">
        <v>2.25</v>
      </c>
      <c r="N1006">
        <v>26.654053903049292</v>
      </c>
      <c r="O1006" t="s">
        <v>592</v>
      </c>
      <c r="P1006" t="s">
        <v>613</v>
      </c>
      <c r="Q1006" t="s">
        <v>586</v>
      </c>
      <c r="R1006" t="s">
        <v>712</v>
      </c>
      <c r="S1006" t="s">
        <v>878</v>
      </c>
      <c r="T1006">
        <v>79</v>
      </c>
    </row>
    <row r="1007" spans="1:20" x14ac:dyDescent="0.25">
      <c r="A1007" t="s">
        <v>2160</v>
      </c>
      <c r="B1007" t="s">
        <v>333</v>
      </c>
      <c r="C1007" t="s">
        <v>607</v>
      </c>
      <c r="D1007" t="s">
        <v>608</v>
      </c>
      <c r="E1007" t="s">
        <v>760</v>
      </c>
      <c r="F1007">
        <v>0.52556755807997735</v>
      </c>
      <c r="G1007">
        <v>48.474646575342462</v>
      </c>
      <c r="H1007" t="s">
        <v>963</v>
      </c>
      <c r="I1007" t="s">
        <v>721</v>
      </c>
      <c r="J1007">
        <v>3</v>
      </c>
      <c r="K1007" t="s">
        <v>1005</v>
      </c>
      <c r="L1007">
        <v>470000</v>
      </c>
      <c r="M1007">
        <v>2.04</v>
      </c>
      <c r="N1007">
        <v>48.474646575342462</v>
      </c>
      <c r="O1007" t="s">
        <v>592</v>
      </c>
      <c r="P1007" t="s">
        <v>621</v>
      </c>
      <c r="Q1007" t="s">
        <v>586</v>
      </c>
      <c r="R1007">
        <v>30000</v>
      </c>
      <c r="S1007" t="s">
        <v>594</v>
      </c>
      <c r="T1007">
        <v>97</v>
      </c>
    </row>
    <row r="1008" spans="1:20" x14ac:dyDescent="0.25">
      <c r="A1008" t="s">
        <v>2161</v>
      </c>
      <c r="B1008" t="s">
        <v>333</v>
      </c>
      <c r="C1008" t="s">
        <v>607</v>
      </c>
      <c r="D1008" t="s">
        <v>608</v>
      </c>
      <c r="E1008" t="s">
        <v>760</v>
      </c>
      <c r="F1008">
        <v>1.4934529520208142</v>
      </c>
      <c r="G1008">
        <v>57.801515068493181</v>
      </c>
      <c r="H1008" t="s">
        <v>963</v>
      </c>
      <c r="I1008" t="s">
        <v>721</v>
      </c>
      <c r="J1008">
        <v>2</v>
      </c>
      <c r="K1008" t="s">
        <v>1001</v>
      </c>
      <c r="L1008">
        <v>480000</v>
      </c>
      <c r="M1008">
        <v>2.2400000000000002</v>
      </c>
      <c r="N1008">
        <v>57.801515068493181</v>
      </c>
      <c r="O1008" t="s">
        <v>592</v>
      </c>
      <c r="P1008" t="s">
        <v>621</v>
      </c>
      <c r="Q1008" t="s">
        <v>586</v>
      </c>
      <c r="R1008" t="s">
        <v>712</v>
      </c>
      <c r="S1008" t="s">
        <v>594</v>
      </c>
      <c r="T1008">
        <v>82</v>
      </c>
    </row>
    <row r="1009" spans="1:20" x14ac:dyDescent="0.25">
      <c r="A1009" t="s">
        <v>2162</v>
      </c>
      <c r="B1009" t="s">
        <v>52</v>
      </c>
      <c r="C1009" t="s">
        <v>586</v>
      </c>
      <c r="D1009" t="s">
        <v>608</v>
      </c>
      <c r="E1009" t="s">
        <v>760</v>
      </c>
      <c r="F1009">
        <v>0.11922499226343988</v>
      </c>
      <c r="G1009">
        <v>109.53351218292495</v>
      </c>
      <c r="H1009" t="s">
        <v>784</v>
      </c>
      <c r="I1009" t="s">
        <v>611</v>
      </c>
      <c r="J1009">
        <v>3</v>
      </c>
      <c r="K1009" t="s">
        <v>1105</v>
      </c>
      <c r="L1009">
        <v>145000</v>
      </c>
      <c r="M1009">
        <v>2.2000000000000002</v>
      </c>
      <c r="N1009">
        <v>109.53351218292495</v>
      </c>
      <c r="O1009" t="s">
        <v>592</v>
      </c>
      <c r="P1009" t="s">
        <v>613</v>
      </c>
      <c r="Q1009" t="s">
        <v>586</v>
      </c>
      <c r="R1009" t="s">
        <v>712</v>
      </c>
      <c r="S1009" t="s">
        <v>712</v>
      </c>
      <c r="T1009">
        <v>99</v>
      </c>
    </row>
    <row r="1010" spans="1:20" x14ac:dyDescent="0.25">
      <c r="A1010" t="s">
        <v>2163</v>
      </c>
      <c r="B1010" t="s">
        <v>52</v>
      </c>
      <c r="C1010" t="s">
        <v>586</v>
      </c>
      <c r="D1010" t="s">
        <v>608</v>
      </c>
      <c r="E1010" t="s">
        <v>760</v>
      </c>
      <c r="F1010">
        <v>2.0231323595796233</v>
      </c>
      <c r="G1010">
        <v>120.18868904321431</v>
      </c>
      <c r="H1010" t="s">
        <v>784</v>
      </c>
      <c r="I1010" t="s">
        <v>611</v>
      </c>
      <c r="J1010">
        <v>3</v>
      </c>
      <c r="K1010" t="s">
        <v>776</v>
      </c>
      <c r="L1010">
        <v>150000</v>
      </c>
      <c r="M1010">
        <v>2.6</v>
      </c>
      <c r="N1010">
        <v>120.18868904321431</v>
      </c>
      <c r="O1010" t="s">
        <v>592</v>
      </c>
      <c r="P1010" t="s">
        <v>613</v>
      </c>
      <c r="Q1010" t="s">
        <v>586</v>
      </c>
      <c r="R1010" t="s">
        <v>712</v>
      </c>
      <c r="S1010" t="s">
        <v>712</v>
      </c>
      <c r="T1010">
        <v>73</v>
      </c>
    </row>
    <row r="1011" spans="1:20" x14ac:dyDescent="0.25">
      <c r="A1011" t="s">
        <v>2164</v>
      </c>
      <c r="B1011" t="s">
        <v>52</v>
      </c>
      <c r="C1011" t="s">
        <v>586</v>
      </c>
      <c r="D1011" t="s">
        <v>608</v>
      </c>
      <c r="E1011" t="s">
        <v>760</v>
      </c>
      <c r="F1011">
        <v>3.81508225260235</v>
      </c>
      <c r="G1011">
        <v>131.88522367349933</v>
      </c>
      <c r="H1011" t="s">
        <v>784</v>
      </c>
      <c r="I1011" t="s">
        <v>611</v>
      </c>
      <c r="J1011">
        <v>3</v>
      </c>
      <c r="K1011" t="s">
        <v>1418</v>
      </c>
      <c r="L1011">
        <v>160000</v>
      </c>
      <c r="M1011">
        <v>3</v>
      </c>
      <c r="N1011">
        <v>131.88522367349933</v>
      </c>
      <c r="O1011" t="s">
        <v>592</v>
      </c>
      <c r="P1011" t="s">
        <v>613</v>
      </c>
      <c r="Q1011" t="s">
        <v>586</v>
      </c>
      <c r="R1011" t="s">
        <v>712</v>
      </c>
      <c r="S1011" t="s">
        <v>712</v>
      </c>
      <c r="T1011">
        <v>52</v>
      </c>
    </row>
    <row r="1012" spans="1:20" x14ac:dyDescent="0.25">
      <c r="A1012" t="s">
        <v>2165</v>
      </c>
      <c r="B1012" t="s">
        <v>325</v>
      </c>
      <c r="C1012" t="s">
        <v>607</v>
      </c>
      <c r="D1012" t="s">
        <v>608</v>
      </c>
      <c r="E1012" t="s">
        <v>1321</v>
      </c>
      <c r="F1012">
        <v>8.0489277117347532E-2</v>
      </c>
      <c r="G1012">
        <v>39.633153424657543</v>
      </c>
      <c r="H1012" t="s">
        <v>610</v>
      </c>
      <c r="I1012" t="s">
        <v>721</v>
      </c>
      <c r="J1012">
        <v>4</v>
      </c>
      <c r="K1012" t="s">
        <v>950</v>
      </c>
      <c r="L1012">
        <v>400000</v>
      </c>
      <c r="M1012">
        <v>1.9000000000000001</v>
      </c>
      <c r="N1012">
        <v>39.633153424657543</v>
      </c>
      <c r="O1012" t="s">
        <v>592</v>
      </c>
      <c r="P1012" t="s">
        <v>621</v>
      </c>
      <c r="Q1012" t="s">
        <v>586</v>
      </c>
      <c r="R1012" t="s">
        <v>712</v>
      </c>
      <c r="S1012" t="s">
        <v>878</v>
      </c>
      <c r="T1012">
        <v>98</v>
      </c>
    </row>
    <row r="1013" spans="1:20" x14ac:dyDescent="0.25">
      <c r="A1013" t="s">
        <v>2166</v>
      </c>
      <c r="B1013" t="s">
        <v>325</v>
      </c>
      <c r="C1013" t="s">
        <v>607</v>
      </c>
      <c r="D1013" t="s">
        <v>608</v>
      </c>
      <c r="E1013" t="s">
        <v>1321</v>
      </c>
      <c r="F1013">
        <v>1.9689431592359101</v>
      </c>
      <c r="G1013">
        <v>48.643000000000015</v>
      </c>
      <c r="H1013" t="s">
        <v>610</v>
      </c>
      <c r="I1013" t="s">
        <v>721</v>
      </c>
      <c r="J1013">
        <v>4</v>
      </c>
      <c r="K1013" t="s">
        <v>956</v>
      </c>
      <c r="L1013">
        <v>425000</v>
      </c>
      <c r="M1013">
        <v>2.2000000000000002</v>
      </c>
      <c r="N1013">
        <v>48.643000000000015</v>
      </c>
      <c r="O1013" t="s">
        <v>592</v>
      </c>
      <c r="P1013" t="s">
        <v>621</v>
      </c>
      <c r="Q1013" t="s">
        <v>586</v>
      </c>
      <c r="R1013" t="s">
        <v>712</v>
      </c>
      <c r="S1013" t="s">
        <v>878</v>
      </c>
      <c r="T1013">
        <v>83</v>
      </c>
    </row>
    <row r="1014" spans="1:20" x14ac:dyDescent="0.25">
      <c r="A1014" t="s">
        <v>2167</v>
      </c>
      <c r="B1014" t="s">
        <v>326</v>
      </c>
      <c r="C1014" t="s">
        <v>607</v>
      </c>
      <c r="D1014" t="s">
        <v>608</v>
      </c>
      <c r="E1014" t="s">
        <v>1321</v>
      </c>
      <c r="F1014">
        <v>8.0456693126815901E-2</v>
      </c>
      <c r="G1014">
        <v>51.090441095890426</v>
      </c>
      <c r="H1014" t="s">
        <v>1033</v>
      </c>
      <c r="I1014" t="s">
        <v>2147</v>
      </c>
      <c r="J1014">
        <v>3</v>
      </c>
      <c r="K1014" t="s">
        <v>950</v>
      </c>
      <c r="L1014">
        <v>300000</v>
      </c>
      <c r="M1014">
        <v>1.85</v>
      </c>
      <c r="N1014">
        <v>51.090441095890426</v>
      </c>
      <c r="O1014" t="s">
        <v>592</v>
      </c>
      <c r="P1014" t="s">
        <v>613</v>
      </c>
      <c r="Q1014" t="s">
        <v>586</v>
      </c>
      <c r="R1014" t="s">
        <v>712</v>
      </c>
      <c r="S1014" t="s">
        <v>594</v>
      </c>
      <c r="T1014">
        <v>99</v>
      </c>
    </row>
    <row r="1015" spans="1:20" x14ac:dyDescent="0.25">
      <c r="A1015" t="s">
        <v>2168</v>
      </c>
      <c r="B1015" t="s">
        <v>326</v>
      </c>
      <c r="C1015" t="s">
        <v>607</v>
      </c>
      <c r="D1015" t="s">
        <v>608</v>
      </c>
      <c r="E1015" t="s">
        <v>1321</v>
      </c>
      <c r="F1015">
        <v>1.9850552940835346</v>
      </c>
      <c r="G1015">
        <v>55.068369863013686</v>
      </c>
      <c r="H1015" t="s">
        <v>1033</v>
      </c>
      <c r="I1015" t="s">
        <v>2147</v>
      </c>
      <c r="J1015">
        <v>3</v>
      </c>
      <c r="K1015" t="s">
        <v>956</v>
      </c>
      <c r="L1015">
        <v>300000</v>
      </c>
      <c r="M1015">
        <v>2.15</v>
      </c>
      <c r="N1015">
        <v>55.068369863013686</v>
      </c>
      <c r="O1015" t="s">
        <v>592</v>
      </c>
      <c r="P1015" t="s">
        <v>613</v>
      </c>
      <c r="Q1015" t="s">
        <v>586</v>
      </c>
      <c r="R1015" t="s">
        <v>712</v>
      </c>
      <c r="S1015" t="s">
        <v>594</v>
      </c>
      <c r="T1015">
        <v>77</v>
      </c>
    </row>
    <row r="1016" spans="1:20" x14ac:dyDescent="0.25">
      <c r="A1016" t="s">
        <v>2169</v>
      </c>
      <c r="B1016" t="s">
        <v>327</v>
      </c>
      <c r="C1016" t="s">
        <v>607</v>
      </c>
      <c r="D1016" t="s">
        <v>608</v>
      </c>
      <c r="E1016" t="s">
        <v>1321</v>
      </c>
      <c r="F1016">
        <v>8.0474271669739625E-2</v>
      </c>
      <c r="G1016">
        <v>58.501624657534258</v>
      </c>
      <c r="H1016" t="s">
        <v>1033</v>
      </c>
      <c r="I1016" t="s">
        <v>1034</v>
      </c>
      <c r="J1016">
        <v>4</v>
      </c>
      <c r="K1016" t="s">
        <v>950</v>
      </c>
      <c r="L1016">
        <v>250000</v>
      </c>
      <c r="M1016">
        <v>1.95</v>
      </c>
      <c r="N1016">
        <v>58.501624657534258</v>
      </c>
      <c r="O1016" t="s">
        <v>592</v>
      </c>
      <c r="P1016" t="s">
        <v>613</v>
      </c>
      <c r="Q1016" t="s">
        <v>586</v>
      </c>
      <c r="R1016" t="s">
        <v>712</v>
      </c>
      <c r="S1016" t="s">
        <v>594</v>
      </c>
      <c r="T1016">
        <v>99</v>
      </c>
    </row>
    <row r="1017" spans="1:20" x14ac:dyDescent="0.25">
      <c r="A1017" t="s">
        <v>2170</v>
      </c>
      <c r="B1017" t="s">
        <v>327</v>
      </c>
      <c r="C1017" t="s">
        <v>607</v>
      </c>
      <c r="D1017" t="s">
        <v>608</v>
      </c>
      <c r="E1017" t="s">
        <v>1321</v>
      </c>
      <c r="F1017">
        <v>2.0105409282269222</v>
      </c>
      <c r="G1017">
        <v>56.549794520547977</v>
      </c>
      <c r="H1017" t="s">
        <v>1033</v>
      </c>
      <c r="I1017" t="s">
        <v>1034</v>
      </c>
      <c r="J1017">
        <v>2</v>
      </c>
      <c r="K1017" t="s">
        <v>956</v>
      </c>
      <c r="L1017">
        <v>250000</v>
      </c>
      <c r="M1017">
        <v>2.2000000000000002</v>
      </c>
      <c r="N1017">
        <v>56.549794520547977</v>
      </c>
      <c r="O1017" t="s">
        <v>592</v>
      </c>
      <c r="P1017" t="s">
        <v>613</v>
      </c>
      <c r="Q1017" t="s">
        <v>586</v>
      </c>
      <c r="R1017" t="s">
        <v>712</v>
      </c>
      <c r="S1017" t="s">
        <v>594</v>
      </c>
      <c r="T1017">
        <v>72</v>
      </c>
    </row>
    <row r="1018" spans="1:20" x14ac:dyDescent="0.25">
      <c r="A1018" t="s">
        <v>2171</v>
      </c>
      <c r="B1018" t="s">
        <v>328</v>
      </c>
      <c r="C1018" t="s">
        <v>586</v>
      </c>
      <c r="D1018" t="s">
        <v>608</v>
      </c>
      <c r="E1018" t="s">
        <v>1321</v>
      </c>
      <c r="F1018">
        <v>8.0470542332712641E-2</v>
      </c>
      <c r="G1018">
        <v>106.6598277150535</v>
      </c>
      <c r="H1018" t="s">
        <v>1041</v>
      </c>
      <c r="I1018" t="s">
        <v>611</v>
      </c>
      <c r="J1018">
        <v>3</v>
      </c>
      <c r="K1018" t="s">
        <v>950</v>
      </c>
      <c r="L1018">
        <v>50000</v>
      </c>
      <c r="M1018">
        <v>2.8000000000000003</v>
      </c>
      <c r="N1018">
        <v>106.6598277150535</v>
      </c>
      <c r="O1018" t="s">
        <v>592</v>
      </c>
      <c r="P1018" t="s">
        <v>621</v>
      </c>
      <c r="Q1018" t="s">
        <v>586</v>
      </c>
      <c r="R1018" t="s">
        <v>712</v>
      </c>
      <c r="S1018" t="s">
        <v>712</v>
      </c>
      <c r="T1018">
        <v>95</v>
      </c>
    </row>
    <row r="1019" spans="1:20" x14ac:dyDescent="0.25">
      <c r="A1019" t="s">
        <v>2172</v>
      </c>
      <c r="B1019" t="s">
        <v>328</v>
      </c>
      <c r="C1019" t="s">
        <v>586</v>
      </c>
      <c r="D1019" t="s">
        <v>608</v>
      </c>
      <c r="E1019" t="s">
        <v>1321</v>
      </c>
      <c r="F1019">
        <v>1.9840396360842516</v>
      </c>
      <c r="G1019">
        <v>115.87155714375086</v>
      </c>
      <c r="H1019" t="s">
        <v>1041</v>
      </c>
      <c r="I1019" t="s">
        <v>611</v>
      </c>
      <c r="J1019">
        <v>3.15</v>
      </c>
      <c r="K1019" t="s">
        <v>956</v>
      </c>
      <c r="L1019">
        <v>55000</v>
      </c>
      <c r="M1019">
        <v>3.15</v>
      </c>
      <c r="N1019">
        <v>115.87155714375086</v>
      </c>
      <c r="O1019" t="s">
        <v>592</v>
      </c>
      <c r="P1019" t="s">
        <v>621</v>
      </c>
      <c r="Q1019" t="s">
        <v>586</v>
      </c>
      <c r="R1019" t="s">
        <v>712</v>
      </c>
      <c r="S1019" t="s">
        <v>712</v>
      </c>
      <c r="T1019">
        <v>59</v>
      </c>
    </row>
    <row r="1020" spans="1:20" x14ac:dyDescent="0.25">
      <c r="A1020" t="s">
        <v>2173</v>
      </c>
      <c r="B1020" t="s">
        <v>329</v>
      </c>
      <c r="C1020" t="s">
        <v>586</v>
      </c>
      <c r="D1020" t="s">
        <v>608</v>
      </c>
      <c r="E1020" t="s">
        <v>1321</v>
      </c>
      <c r="F1020">
        <v>1.0464650950641299</v>
      </c>
      <c r="G1020">
        <v>100.99257703451374</v>
      </c>
      <c r="H1020" t="s">
        <v>672</v>
      </c>
      <c r="I1020" t="s">
        <v>2136</v>
      </c>
      <c r="J1020">
        <v>3</v>
      </c>
      <c r="K1020" t="s">
        <v>612</v>
      </c>
      <c r="L1020">
        <v>350000</v>
      </c>
      <c r="M1020">
        <v>2.6</v>
      </c>
      <c r="N1020">
        <v>100.99257703451374</v>
      </c>
      <c r="O1020" t="s">
        <v>592</v>
      </c>
      <c r="P1020" t="s">
        <v>621</v>
      </c>
      <c r="Q1020" t="s">
        <v>586</v>
      </c>
      <c r="R1020" t="s">
        <v>712</v>
      </c>
      <c r="S1020" t="s">
        <v>712</v>
      </c>
      <c r="T1020">
        <v>84</v>
      </c>
    </row>
    <row r="1021" spans="1:20" x14ac:dyDescent="0.25">
      <c r="A1021" t="s">
        <v>2174</v>
      </c>
      <c r="B1021" t="s">
        <v>329</v>
      </c>
      <c r="C1021" t="s">
        <v>586</v>
      </c>
      <c r="D1021" t="s">
        <v>608</v>
      </c>
      <c r="E1021" t="s">
        <v>1321</v>
      </c>
      <c r="F1021">
        <v>1.9828982819155081</v>
      </c>
      <c r="G1021">
        <v>104.73982869693907</v>
      </c>
      <c r="H1021" t="s">
        <v>672</v>
      </c>
      <c r="I1021" t="s">
        <v>2136</v>
      </c>
      <c r="J1021">
        <v>3</v>
      </c>
      <c r="K1021" t="s">
        <v>956</v>
      </c>
      <c r="L1021">
        <v>350000</v>
      </c>
      <c r="M1021">
        <v>2.8000000000000003</v>
      </c>
      <c r="N1021">
        <v>104.73982869693907</v>
      </c>
      <c r="O1021" t="s">
        <v>592</v>
      </c>
      <c r="P1021" t="s">
        <v>621</v>
      </c>
      <c r="Q1021" t="s">
        <v>586</v>
      </c>
      <c r="R1021" t="s">
        <v>712</v>
      </c>
      <c r="S1021" t="s">
        <v>712</v>
      </c>
      <c r="T1021">
        <v>71</v>
      </c>
    </row>
    <row r="1022" spans="1:20" x14ac:dyDescent="0.25">
      <c r="A1022" t="s">
        <v>2175</v>
      </c>
      <c r="B1022" t="s">
        <v>328</v>
      </c>
      <c r="C1022" t="s">
        <v>607</v>
      </c>
      <c r="D1022" t="s">
        <v>608</v>
      </c>
      <c r="E1022" t="s">
        <v>1321</v>
      </c>
      <c r="F1022">
        <v>3.15049695775414</v>
      </c>
      <c r="G1022">
        <v>75.121635616438368</v>
      </c>
      <c r="H1022" t="s">
        <v>610</v>
      </c>
      <c r="I1022" t="s">
        <v>721</v>
      </c>
      <c r="J1022">
        <v>3</v>
      </c>
      <c r="K1022" t="s">
        <v>938</v>
      </c>
      <c r="L1022">
        <v>240000</v>
      </c>
      <c r="M1022">
        <v>2.6</v>
      </c>
      <c r="N1022">
        <v>75.121635616438368</v>
      </c>
      <c r="O1022" t="s">
        <v>592</v>
      </c>
      <c r="P1022" t="s">
        <v>621</v>
      </c>
      <c r="Q1022" t="s">
        <v>586</v>
      </c>
      <c r="R1022" t="s">
        <v>712</v>
      </c>
      <c r="S1022" t="s">
        <v>594</v>
      </c>
      <c r="T1022">
        <v>60</v>
      </c>
    </row>
    <row r="1023" spans="1:20" x14ac:dyDescent="0.25">
      <c r="A1023" t="s">
        <v>2176</v>
      </c>
      <c r="B1023" t="s">
        <v>330</v>
      </c>
      <c r="C1023" t="s">
        <v>607</v>
      </c>
      <c r="D1023" t="s">
        <v>608</v>
      </c>
      <c r="E1023" t="s">
        <v>1321</v>
      </c>
      <c r="F1023">
        <v>1.050392644891412</v>
      </c>
      <c r="G1023">
        <v>68.193320885220743</v>
      </c>
      <c r="H1023" t="s">
        <v>1393</v>
      </c>
      <c r="I1023" t="s">
        <v>721</v>
      </c>
      <c r="J1023">
        <v>3</v>
      </c>
      <c r="K1023" t="s">
        <v>612</v>
      </c>
      <c r="L1023">
        <v>325000</v>
      </c>
      <c r="M1023">
        <v>2.7</v>
      </c>
      <c r="N1023">
        <v>68.193320885220743</v>
      </c>
      <c r="O1023" t="s">
        <v>592</v>
      </c>
      <c r="P1023" t="s">
        <v>621</v>
      </c>
      <c r="Q1023" t="s">
        <v>586</v>
      </c>
      <c r="R1023" t="s">
        <v>712</v>
      </c>
      <c r="S1023" t="s">
        <v>594</v>
      </c>
      <c r="T1023">
        <v>89</v>
      </c>
    </row>
    <row r="1024" spans="1:20" x14ac:dyDescent="0.25">
      <c r="A1024" t="s">
        <v>2177</v>
      </c>
      <c r="B1024" t="s">
        <v>330</v>
      </c>
      <c r="C1024" t="s">
        <v>607</v>
      </c>
      <c r="D1024" t="s">
        <v>608</v>
      </c>
      <c r="E1024" t="s">
        <v>1321</v>
      </c>
      <c r="F1024">
        <v>8.0491260110425289E-2</v>
      </c>
      <c r="G1024">
        <v>63.501624657534265</v>
      </c>
      <c r="H1024" t="s">
        <v>1033</v>
      </c>
      <c r="I1024" t="s">
        <v>1709</v>
      </c>
      <c r="J1024">
        <v>4.25</v>
      </c>
      <c r="K1024" t="s">
        <v>950</v>
      </c>
      <c r="L1024">
        <v>50000</v>
      </c>
      <c r="M1024">
        <v>2</v>
      </c>
      <c r="N1024">
        <v>63.501624657534265</v>
      </c>
      <c r="O1024" t="s">
        <v>592</v>
      </c>
      <c r="P1024" t="s">
        <v>621</v>
      </c>
      <c r="Q1024" t="s">
        <v>586</v>
      </c>
      <c r="R1024" t="s">
        <v>712</v>
      </c>
      <c r="S1024" t="s">
        <v>878</v>
      </c>
      <c r="T1024">
        <v>95</v>
      </c>
    </row>
    <row r="1025" spans="1:20" x14ac:dyDescent="0.25">
      <c r="A1025" t="s">
        <v>2178</v>
      </c>
      <c r="B1025" t="s">
        <v>330</v>
      </c>
      <c r="C1025" t="s">
        <v>607</v>
      </c>
      <c r="D1025" t="s">
        <v>608</v>
      </c>
      <c r="E1025" t="s">
        <v>1321</v>
      </c>
      <c r="F1025">
        <v>1.0419201629518053</v>
      </c>
      <c r="G1025">
        <v>60.266780821917834</v>
      </c>
      <c r="H1025" t="s">
        <v>1033</v>
      </c>
      <c r="I1025" t="s">
        <v>1709</v>
      </c>
      <c r="J1025">
        <v>4.25</v>
      </c>
      <c r="K1025" t="s">
        <v>612</v>
      </c>
      <c r="L1025">
        <v>50000</v>
      </c>
      <c r="M1025">
        <v>2.1</v>
      </c>
      <c r="N1025">
        <v>60.266780821917834</v>
      </c>
      <c r="O1025" t="s">
        <v>592</v>
      </c>
      <c r="P1025" t="s">
        <v>621</v>
      </c>
      <c r="Q1025" t="s">
        <v>586</v>
      </c>
      <c r="R1025" t="s">
        <v>712</v>
      </c>
      <c r="S1025" t="s">
        <v>878</v>
      </c>
      <c r="T1025">
        <v>93</v>
      </c>
    </row>
    <row r="1026" spans="1:20" x14ac:dyDescent="0.25">
      <c r="A1026" t="s">
        <v>2179</v>
      </c>
      <c r="B1026" t="s">
        <v>330</v>
      </c>
      <c r="C1026" t="s">
        <v>607</v>
      </c>
      <c r="D1026" t="s">
        <v>608</v>
      </c>
      <c r="E1026" t="s">
        <v>1321</v>
      </c>
      <c r="F1026">
        <v>2.0018852614501177</v>
      </c>
      <c r="G1026">
        <v>56.549794520547977</v>
      </c>
      <c r="H1026" t="s">
        <v>1033</v>
      </c>
      <c r="I1026" t="s">
        <v>1709</v>
      </c>
      <c r="J1026">
        <v>2.5</v>
      </c>
      <c r="K1026" t="s">
        <v>956</v>
      </c>
      <c r="L1026">
        <v>100000</v>
      </c>
      <c r="M1026">
        <v>2.2000000000000002</v>
      </c>
      <c r="N1026">
        <v>56.549794520547977</v>
      </c>
      <c r="O1026" t="s">
        <v>592</v>
      </c>
      <c r="P1026" t="s">
        <v>621</v>
      </c>
      <c r="Q1026" t="s">
        <v>586</v>
      </c>
      <c r="R1026" t="s">
        <v>712</v>
      </c>
      <c r="S1026" t="s">
        <v>878</v>
      </c>
      <c r="T1026">
        <v>72</v>
      </c>
    </row>
    <row r="1027" spans="1:20" x14ac:dyDescent="0.25">
      <c r="A1027" t="s">
        <v>2180</v>
      </c>
      <c r="B1027" t="s">
        <v>334</v>
      </c>
      <c r="C1027" t="s">
        <v>586</v>
      </c>
      <c r="D1027" t="s">
        <v>608</v>
      </c>
      <c r="E1027" t="s">
        <v>1321</v>
      </c>
      <c r="F1027">
        <v>5.555173740234785E-3</v>
      </c>
      <c r="G1027">
        <v>84.068421917808209</v>
      </c>
      <c r="H1027" t="s">
        <v>610</v>
      </c>
      <c r="I1027" t="s">
        <v>885</v>
      </c>
      <c r="J1027">
        <v>2.25</v>
      </c>
      <c r="K1027" t="s">
        <v>995</v>
      </c>
      <c r="L1027">
        <v>45000</v>
      </c>
      <c r="M1027">
        <v>2.25</v>
      </c>
      <c r="N1027">
        <v>84.068421917808209</v>
      </c>
      <c r="O1027" t="s">
        <v>592</v>
      </c>
      <c r="P1027" t="s">
        <v>613</v>
      </c>
      <c r="Q1027" t="s">
        <v>586</v>
      </c>
      <c r="R1027" t="s">
        <v>712</v>
      </c>
      <c r="S1027" t="s">
        <v>712</v>
      </c>
      <c r="T1027">
        <v>97</v>
      </c>
    </row>
    <row r="1028" spans="1:20" x14ac:dyDescent="0.25">
      <c r="A1028" t="s">
        <v>2181</v>
      </c>
      <c r="B1028" t="s">
        <v>334</v>
      </c>
      <c r="C1028" t="s">
        <v>586</v>
      </c>
      <c r="D1028" t="s">
        <v>608</v>
      </c>
      <c r="E1028" t="s">
        <v>1321</v>
      </c>
      <c r="F1028">
        <v>0.98009343766386625</v>
      </c>
      <c r="G1028">
        <v>98.030690410958911</v>
      </c>
      <c r="H1028" t="s">
        <v>610</v>
      </c>
      <c r="I1028" t="s">
        <v>885</v>
      </c>
      <c r="J1028">
        <v>2.5</v>
      </c>
      <c r="K1028" t="s">
        <v>646</v>
      </c>
      <c r="L1028">
        <v>50000</v>
      </c>
      <c r="M1028">
        <v>2.5</v>
      </c>
      <c r="N1028">
        <v>98.030690410958911</v>
      </c>
      <c r="O1028" t="s">
        <v>592</v>
      </c>
      <c r="P1028" t="s">
        <v>613</v>
      </c>
      <c r="Q1028" t="s">
        <v>586</v>
      </c>
      <c r="R1028" t="s">
        <v>712</v>
      </c>
      <c r="S1028" t="s">
        <v>712</v>
      </c>
      <c r="T1028">
        <v>74</v>
      </c>
    </row>
    <row r="1029" spans="1:20" x14ac:dyDescent="0.25">
      <c r="A1029" t="s">
        <v>2182</v>
      </c>
      <c r="B1029" t="s">
        <v>334</v>
      </c>
      <c r="C1029" t="s">
        <v>586</v>
      </c>
      <c r="D1029" t="s">
        <v>608</v>
      </c>
      <c r="E1029" t="s">
        <v>1321</v>
      </c>
      <c r="F1029">
        <v>1.9329002047505608</v>
      </c>
      <c r="G1029">
        <v>112.70808219178083</v>
      </c>
      <c r="H1029" t="s">
        <v>610</v>
      </c>
      <c r="I1029" t="s">
        <v>885</v>
      </c>
      <c r="J1029">
        <v>2.75</v>
      </c>
      <c r="K1029" t="s">
        <v>729</v>
      </c>
      <c r="L1029">
        <v>50000</v>
      </c>
      <c r="M1029">
        <v>2.75</v>
      </c>
      <c r="N1029">
        <v>112.70808219178083</v>
      </c>
      <c r="O1029" t="s">
        <v>592</v>
      </c>
      <c r="P1029" t="s">
        <v>613</v>
      </c>
      <c r="Q1029" t="s">
        <v>586</v>
      </c>
      <c r="R1029" t="s">
        <v>712</v>
      </c>
      <c r="S1029" t="s">
        <v>712</v>
      </c>
      <c r="T1029">
        <v>61</v>
      </c>
    </row>
    <row r="1030" spans="1:20" x14ac:dyDescent="0.25">
      <c r="A1030" t="s">
        <v>2183</v>
      </c>
      <c r="B1030" t="s">
        <v>331</v>
      </c>
      <c r="C1030" t="s">
        <v>586</v>
      </c>
      <c r="D1030" t="s">
        <v>608</v>
      </c>
      <c r="E1030" t="s">
        <v>1321</v>
      </c>
      <c r="F1030">
        <v>8.0448019844787291E-2</v>
      </c>
      <c r="G1030">
        <v>104.82915510382524</v>
      </c>
      <c r="H1030" t="s">
        <v>1000</v>
      </c>
      <c r="I1030" t="s">
        <v>2147</v>
      </c>
      <c r="J1030">
        <v>2.2999999999999998</v>
      </c>
      <c r="K1030" t="s">
        <v>950</v>
      </c>
      <c r="L1030">
        <v>110000</v>
      </c>
      <c r="M1030">
        <v>2.3000000000000003</v>
      </c>
      <c r="N1030">
        <v>104.82915510382524</v>
      </c>
      <c r="O1030" t="s">
        <v>592</v>
      </c>
      <c r="P1030" t="s">
        <v>613</v>
      </c>
      <c r="Q1030" t="s">
        <v>586</v>
      </c>
      <c r="R1030" t="s">
        <v>712</v>
      </c>
      <c r="S1030" t="s">
        <v>712</v>
      </c>
      <c r="T1030">
        <v>93</v>
      </c>
    </row>
    <row r="1031" spans="1:20" x14ac:dyDescent="0.25">
      <c r="A1031" t="s">
        <v>2184</v>
      </c>
      <c r="B1031" t="s">
        <v>332</v>
      </c>
      <c r="C1031" t="s">
        <v>607</v>
      </c>
      <c r="D1031" t="s">
        <v>608</v>
      </c>
      <c r="E1031" t="s">
        <v>1321</v>
      </c>
      <c r="F1031">
        <v>1.0487323750050059</v>
      </c>
      <c r="G1031">
        <v>27.07579195399601</v>
      </c>
      <c r="H1031" t="s">
        <v>639</v>
      </c>
      <c r="I1031" t="s">
        <v>611</v>
      </c>
      <c r="J1031">
        <v>3</v>
      </c>
      <c r="K1031" t="s">
        <v>612</v>
      </c>
      <c r="L1031">
        <v>185000</v>
      </c>
      <c r="M1031">
        <v>2.1</v>
      </c>
      <c r="N1031">
        <v>27.07579195399601</v>
      </c>
      <c r="O1031" t="s">
        <v>592</v>
      </c>
      <c r="P1031" t="s">
        <v>613</v>
      </c>
      <c r="Q1031" t="s">
        <v>586</v>
      </c>
      <c r="R1031" t="s">
        <v>712</v>
      </c>
      <c r="S1031" t="s">
        <v>878</v>
      </c>
      <c r="T1031">
        <v>89</v>
      </c>
    </row>
    <row r="1032" spans="1:20" x14ac:dyDescent="0.25">
      <c r="A1032" t="s">
        <v>2185</v>
      </c>
      <c r="B1032" t="s">
        <v>332</v>
      </c>
      <c r="C1032" t="s">
        <v>607</v>
      </c>
      <c r="D1032" t="s">
        <v>608</v>
      </c>
      <c r="E1032" t="s">
        <v>1321</v>
      </c>
      <c r="F1032">
        <v>2.8989335823960611</v>
      </c>
      <c r="G1032">
        <v>27.47036060677317</v>
      </c>
      <c r="H1032" t="s">
        <v>639</v>
      </c>
      <c r="I1032" t="s">
        <v>611</v>
      </c>
      <c r="J1032">
        <v>3</v>
      </c>
      <c r="K1032" t="s">
        <v>1334</v>
      </c>
      <c r="L1032">
        <v>180000</v>
      </c>
      <c r="M1032">
        <v>2.4000000000000004</v>
      </c>
      <c r="N1032">
        <v>27.47036060677317</v>
      </c>
      <c r="O1032" t="s">
        <v>592</v>
      </c>
      <c r="P1032" t="s">
        <v>613</v>
      </c>
      <c r="Q1032" t="s">
        <v>586</v>
      </c>
      <c r="R1032" t="s">
        <v>712</v>
      </c>
      <c r="S1032" t="s">
        <v>878</v>
      </c>
      <c r="T1032">
        <v>69</v>
      </c>
    </row>
    <row r="1033" spans="1:20" x14ac:dyDescent="0.25">
      <c r="A1033" t="s">
        <v>2186</v>
      </c>
      <c r="B1033" t="s">
        <v>335</v>
      </c>
      <c r="C1033" t="s">
        <v>607</v>
      </c>
      <c r="D1033" t="s">
        <v>608</v>
      </c>
      <c r="E1033" t="s">
        <v>1321</v>
      </c>
      <c r="F1033">
        <v>8.0471216936018622E-2</v>
      </c>
      <c r="G1033">
        <v>84.199767682566758</v>
      </c>
      <c r="H1033" t="s">
        <v>672</v>
      </c>
      <c r="I1033" t="s">
        <v>611</v>
      </c>
      <c r="J1033">
        <v>3</v>
      </c>
      <c r="K1033" t="s">
        <v>950</v>
      </c>
      <c r="L1033">
        <v>105000</v>
      </c>
      <c r="M1033">
        <v>2.4000000000000004</v>
      </c>
      <c r="N1033">
        <v>84.199767682566758</v>
      </c>
      <c r="O1033" t="s">
        <v>592</v>
      </c>
      <c r="P1033" t="s">
        <v>613</v>
      </c>
      <c r="Q1033" t="s">
        <v>586</v>
      </c>
      <c r="R1033" t="s">
        <v>712</v>
      </c>
      <c r="S1033" t="s">
        <v>712</v>
      </c>
      <c r="T1033">
        <v>99</v>
      </c>
    </row>
    <row r="1034" spans="1:20" x14ac:dyDescent="0.25">
      <c r="A1034" t="s">
        <v>2187</v>
      </c>
      <c r="B1034" t="s">
        <v>335</v>
      </c>
      <c r="C1034" t="s">
        <v>607</v>
      </c>
      <c r="D1034" t="s">
        <v>608</v>
      </c>
      <c r="E1034" t="s">
        <v>1321</v>
      </c>
      <c r="F1034">
        <v>1.0487323750050059</v>
      </c>
      <c r="G1034">
        <v>87.466188328933825</v>
      </c>
      <c r="H1034" t="s">
        <v>672</v>
      </c>
      <c r="I1034" t="s">
        <v>611</v>
      </c>
      <c r="J1034">
        <v>3</v>
      </c>
      <c r="K1034" t="s">
        <v>612</v>
      </c>
      <c r="L1034">
        <v>110000</v>
      </c>
      <c r="M1034">
        <v>2.6</v>
      </c>
      <c r="N1034">
        <v>87.466188328933825</v>
      </c>
      <c r="O1034" t="s">
        <v>592</v>
      </c>
      <c r="P1034" t="s">
        <v>613</v>
      </c>
      <c r="Q1034" t="s">
        <v>586</v>
      </c>
      <c r="R1034" t="s">
        <v>712</v>
      </c>
      <c r="S1034" t="s">
        <v>712</v>
      </c>
      <c r="T1034">
        <v>89</v>
      </c>
    </row>
    <row r="1035" spans="1:20" x14ac:dyDescent="0.25">
      <c r="A1035" t="s">
        <v>2188</v>
      </c>
      <c r="B1035" t="s">
        <v>120</v>
      </c>
      <c r="C1035" t="s">
        <v>607</v>
      </c>
      <c r="D1035" t="s">
        <v>608</v>
      </c>
      <c r="E1035" t="s">
        <v>756</v>
      </c>
      <c r="F1035">
        <v>8.0472345381763649E-2</v>
      </c>
      <c r="G1035">
        <v>63.36165397243645</v>
      </c>
      <c r="H1035" t="s">
        <v>672</v>
      </c>
      <c r="I1035" t="s">
        <v>820</v>
      </c>
      <c r="J1035">
        <v>5</v>
      </c>
      <c r="K1035" t="s">
        <v>950</v>
      </c>
      <c r="L1035">
        <v>130000</v>
      </c>
      <c r="M1035">
        <v>2.2000000000000002</v>
      </c>
      <c r="N1035">
        <v>63.36165397243645</v>
      </c>
      <c r="O1035" t="s">
        <v>592</v>
      </c>
      <c r="P1035" t="s">
        <v>621</v>
      </c>
      <c r="Q1035" t="s">
        <v>586</v>
      </c>
      <c r="R1035" t="s">
        <v>712</v>
      </c>
      <c r="S1035" t="s">
        <v>712</v>
      </c>
      <c r="T1035">
        <v>97</v>
      </c>
    </row>
    <row r="1036" spans="1:20" x14ac:dyDescent="0.25">
      <c r="A1036" t="s">
        <v>2189</v>
      </c>
      <c r="B1036" t="s">
        <v>336</v>
      </c>
      <c r="C1036" t="s">
        <v>586</v>
      </c>
      <c r="D1036" t="s">
        <v>608</v>
      </c>
      <c r="E1036" t="s">
        <v>756</v>
      </c>
      <c r="F1036">
        <v>1.0491849791282113</v>
      </c>
      <c r="G1036">
        <v>95.817161670912071</v>
      </c>
      <c r="H1036" t="s">
        <v>892</v>
      </c>
      <c r="I1036" t="s">
        <v>885</v>
      </c>
      <c r="J1036">
        <v>2.75</v>
      </c>
      <c r="K1036" t="s">
        <v>612</v>
      </c>
      <c r="L1036">
        <v>170000</v>
      </c>
      <c r="M1036">
        <v>2.75</v>
      </c>
      <c r="N1036">
        <v>95.817161670912071</v>
      </c>
      <c r="O1036" t="s">
        <v>592</v>
      </c>
      <c r="P1036" t="s">
        <v>613</v>
      </c>
      <c r="Q1036" t="s">
        <v>586</v>
      </c>
      <c r="R1036" t="s">
        <v>712</v>
      </c>
      <c r="S1036" t="s">
        <v>712</v>
      </c>
      <c r="T1036">
        <v>83</v>
      </c>
    </row>
    <row r="1037" spans="1:20" x14ac:dyDescent="0.25">
      <c r="A1037" t="s">
        <v>2190</v>
      </c>
      <c r="B1037" t="s">
        <v>337</v>
      </c>
      <c r="C1037" t="s">
        <v>586</v>
      </c>
      <c r="D1037" t="s">
        <v>608</v>
      </c>
      <c r="E1037" t="s">
        <v>1321</v>
      </c>
      <c r="F1037">
        <v>8.0443597887089754E-2</v>
      </c>
      <c r="G1037">
        <v>71.498059558599849</v>
      </c>
      <c r="H1037" t="s">
        <v>1757</v>
      </c>
      <c r="I1037" t="s">
        <v>1591</v>
      </c>
      <c r="J1037">
        <v>3</v>
      </c>
      <c r="K1037" t="s">
        <v>950</v>
      </c>
      <c r="L1037">
        <v>230000</v>
      </c>
      <c r="M1037">
        <v>2.5</v>
      </c>
      <c r="N1037">
        <v>71.498059558599849</v>
      </c>
      <c r="O1037" t="s">
        <v>592</v>
      </c>
      <c r="P1037" t="s">
        <v>621</v>
      </c>
      <c r="Q1037" t="s">
        <v>586</v>
      </c>
      <c r="R1037">
        <v>200000</v>
      </c>
      <c r="S1037" t="s">
        <v>712</v>
      </c>
      <c r="T1037">
        <v>99</v>
      </c>
    </row>
    <row r="1038" spans="1:20" x14ac:dyDescent="0.25">
      <c r="A1038" t="s">
        <v>2191</v>
      </c>
      <c r="B1038" t="s">
        <v>338</v>
      </c>
      <c r="C1038" t="s">
        <v>586</v>
      </c>
      <c r="D1038" t="s">
        <v>608</v>
      </c>
      <c r="E1038" t="s">
        <v>756</v>
      </c>
      <c r="F1038">
        <v>1.0477482866223664</v>
      </c>
      <c r="G1038">
        <v>86.437520867789573</v>
      </c>
      <c r="H1038" t="s">
        <v>639</v>
      </c>
      <c r="I1038" t="s">
        <v>1591</v>
      </c>
      <c r="J1038">
        <v>3</v>
      </c>
      <c r="K1038" t="s">
        <v>612</v>
      </c>
      <c r="L1038">
        <v>105000</v>
      </c>
      <c r="M1038">
        <v>2.75</v>
      </c>
      <c r="N1038">
        <v>86.437520867789573</v>
      </c>
      <c r="O1038" t="s">
        <v>592</v>
      </c>
      <c r="P1038" t="s">
        <v>613</v>
      </c>
      <c r="Q1038" t="s">
        <v>586</v>
      </c>
      <c r="R1038" t="s">
        <v>712</v>
      </c>
      <c r="S1038" t="s">
        <v>712</v>
      </c>
      <c r="T1038">
        <v>81</v>
      </c>
    </row>
    <row r="1039" spans="1:20" x14ac:dyDescent="0.25">
      <c r="A1039" t="s">
        <v>2192</v>
      </c>
      <c r="B1039" t="s">
        <v>339</v>
      </c>
      <c r="C1039" t="s">
        <v>586</v>
      </c>
      <c r="D1039" t="s">
        <v>608</v>
      </c>
      <c r="E1039" t="s">
        <v>1321</v>
      </c>
      <c r="F1039">
        <v>8.0459451402596929E-2</v>
      </c>
      <c r="G1039">
        <v>87.64387945205479</v>
      </c>
      <c r="H1039" t="s">
        <v>610</v>
      </c>
      <c r="I1039" t="s">
        <v>611</v>
      </c>
      <c r="J1039">
        <v>2.4</v>
      </c>
      <c r="K1039" t="s">
        <v>950</v>
      </c>
      <c r="L1039">
        <v>125000</v>
      </c>
      <c r="M1039">
        <v>2.4000000000000004</v>
      </c>
      <c r="N1039">
        <v>87.64387945205479</v>
      </c>
      <c r="O1039" t="s">
        <v>592</v>
      </c>
      <c r="P1039" t="s">
        <v>613</v>
      </c>
      <c r="Q1039" t="s">
        <v>586</v>
      </c>
      <c r="R1039" t="s">
        <v>712</v>
      </c>
      <c r="S1039" t="s">
        <v>712</v>
      </c>
      <c r="T1039">
        <v>20</v>
      </c>
    </row>
    <row r="1040" spans="1:20" x14ac:dyDescent="0.25">
      <c r="A1040" t="s">
        <v>2193</v>
      </c>
      <c r="B1040" t="s">
        <v>339</v>
      </c>
      <c r="C1040" t="s">
        <v>586</v>
      </c>
      <c r="D1040" t="s">
        <v>608</v>
      </c>
      <c r="E1040" t="s">
        <v>1321</v>
      </c>
      <c r="F1040">
        <v>1.0505287796496676</v>
      </c>
      <c r="G1040">
        <v>96.895216438356172</v>
      </c>
      <c r="H1040" t="s">
        <v>610</v>
      </c>
      <c r="I1040" t="s">
        <v>611</v>
      </c>
      <c r="J1040">
        <v>2.6</v>
      </c>
      <c r="K1040" t="s">
        <v>612</v>
      </c>
      <c r="L1040">
        <v>130000</v>
      </c>
      <c r="M1040">
        <v>2.6</v>
      </c>
      <c r="N1040">
        <v>96.895216438356172</v>
      </c>
      <c r="O1040" t="s">
        <v>592</v>
      </c>
      <c r="P1040" t="s">
        <v>613</v>
      </c>
      <c r="Q1040" t="s">
        <v>586</v>
      </c>
      <c r="R1040" t="s">
        <v>712</v>
      </c>
      <c r="S1040" t="s">
        <v>712</v>
      </c>
      <c r="T1040">
        <v>72</v>
      </c>
    </row>
    <row r="1041" spans="1:20" x14ac:dyDescent="0.25">
      <c r="A1041" t="s">
        <v>2194</v>
      </c>
      <c r="B1041" t="s">
        <v>121</v>
      </c>
      <c r="C1041" t="s">
        <v>586</v>
      </c>
      <c r="D1041" t="s">
        <v>1095</v>
      </c>
      <c r="E1041" t="s">
        <v>1096</v>
      </c>
      <c r="F1041">
        <v>0.5649752601106689</v>
      </c>
      <c r="G1041">
        <v>29.610906849315064</v>
      </c>
      <c r="H1041" t="s">
        <v>1097</v>
      </c>
      <c r="I1041" t="s">
        <v>768</v>
      </c>
      <c r="J1041">
        <v>5</v>
      </c>
      <c r="K1041" t="s">
        <v>744</v>
      </c>
      <c r="L1041">
        <v>2450000</v>
      </c>
      <c r="M1041">
        <v>1.78</v>
      </c>
      <c r="N1041">
        <v>29.610906849315064</v>
      </c>
      <c r="O1041" t="s">
        <v>592</v>
      </c>
      <c r="P1041" t="s">
        <v>593</v>
      </c>
      <c r="Q1041" t="s">
        <v>586</v>
      </c>
      <c r="R1041">
        <v>260000</v>
      </c>
      <c r="S1041" t="s">
        <v>1098</v>
      </c>
      <c r="T1041">
        <v>90</v>
      </c>
    </row>
    <row r="1042" spans="1:20" x14ac:dyDescent="0.25">
      <c r="A1042" t="s">
        <v>2195</v>
      </c>
      <c r="B1042" t="s">
        <v>121</v>
      </c>
      <c r="C1042" t="s">
        <v>586</v>
      </c>
      <c r="D1042" t="s">
        <v>1095</v>
      </c>
      <c r="E1042" t="s">
        <v>1096</v>
      </c>
      <c r="F1042">
        <v>2.388326760333594</v>
      </c>
      <c r="G1042">
        <v>32.429753424657527</v>
      </c>
      <c r="H1042" t="s">
        <v>1097</v>
      </c>
      <c r="I1042" t="s">
        <v>768</v>
      </c>
      <c r="J1042">
        <v>5</v>
      </c>
      <c r="K1042" t="s">
        <v>959</v>
      </c>
      <c r="L1042">
        <v>2710000</v>
      </c>
      <c r="M1042">
        <v>2.04</v>
      </c>
      <c r="N1042">
        <v>32.429753424657527</v>
      </c>
      <c r="O1042" t="s">
        <v>592</v>
      </c>
      <c r="P1042" t="s">
        <v>593</v>
      </c>
      <c r="Q1042" t="s">
        <v>586</v>
      </c>
      <c r="R1042" t="s">
        <v>712</v>
      </c>
      <c r="S1042" t="s">
        <v>1098</v>
      </c>
      <c r="T1042">
        <v>66</v>
      </c>
    </row>
    <row r="1043" spans="1:20" x14ac:dyDescent="0.25">
      <c r="A1043" t="s">
        <v>2196</v>
      </c>
      <c r="B1043" t="s">
        <v>121</v>
      </c>
      <c r="C1043" t="s">
        <v>586</v>
      </c>
      <c r="D1043" t="s">
        <v>1095</v>
      </c>
      <c r="E1043" t="s">
        <v>1096</v>
      </c>
      <c r="F1043">
        <v>4.058435800967958</v>
      </c>
      <c r="G1043">
        <v>38.893104109589039</v>
      </c>
      <c r="H1043" t="s">
        <v>1097</v>
      </c>
      <c r="I1043" t="s">
        <v>768</v>
      </c>
      <c r="J1043">
        <v>5</v>
      </c>
      <c r="K1043" t="s">
        <v>1133</v>
      </c>
      <c r="L1043">
        <v>2995000</v>
      </c>
      <c r="M1043">
        <v>2.31</v>
      </c>
      <c r="N1043">
        <v>38.893104109589039</v>
      </c>
      <c r="O1043" t="s">
        <v>592</v>
      </c>
      <c r="P1043" t="s">
        <v>593</v>
      </c>
      <c r="Q1043" t="s">
        <v>586</v>
      </c>
      <c r="R1043">
        <v>540000</v>
      </c>
      <c r="S1043" t="s">
        <v>1098</v>
      </c>
      <c r="T1043">
        <v>48</v>
      </c>
    </row>
    <row r="1044" spans="1:20" x14ac:dyDescent="0.25">
      <c r="A1044" t="s">
        <v>2197</v>
      </c>
      <c r="B1044" t="s">
        <v>340</v>
      </c>
      <c r="C1044" t="s">
        <v>607</v>
      </c>
      <c r="D1044" t="s">
        <v>608</v>
      </c>
      <c r="E1044" t="s">
        <v>609</v>
      </c>
      <c r="F1044">
        <v>1.0554261152040361</v>
      </c>
      <c r="G1044">
        <v>54.252443835616425</v>
      </c>
      <c r="H1044" t="s">
        <v>1033</v>
      </c>
      <c r="I1044" t="s">
        <v>611</v>
      </c>
      <c r="J1044">
        <v>2</v>
      </c>
      <c r="K1044" t="s">
        <v>612</v>
      </c>
      <c r="L1044">
        <v>75000</v>
      </c>
      <c r="M1044">
        <v>2</v>
      </c>
      <c r="N1044">
        <v>54.252443835616425</v>
      </c>
      <c r="O1044" t="s">
        <v>592</v>
      </c>
      <c r="P1044" t="s">
        <v>613</v>
      </c>
      <c r="Q1044" t="s">
        <v>586</v>
      </c>
      <c r="R1044" t="s">
        <v>712</v>
      </c>
      <c r="S1044" t="s">
        <v>712</v>
      </c>
      <c r="T1044">
        <v>11</v>
      </c>
    </row>
    <row r="1045" spans="1:20" x14ac:dyDescent="0.25">
      <c r="A1045" t="s">
        <v>2198</v>
      </c>
      <c r="B1045" t="s">
        <v>340</v>
      </c>
      <c r="C1045" t="s">
        <v>607</v>
      </c>
      <c r="D1045" t="s">
        <v>608</v>
      </c>
      <c r="E1045" t="s">
        <v>609</v>
      </c>
      <c r="F1045">
        <v>2.0093634397676796</v>
      </c>
      <c r="G1045">
        <v>51.398465753424659</v>
      </c>
      <c r="H1045" t="s">
        <v>1033</v>
      </c>
      <c r="I1045" t="s">
        <v>611</v>
      </c>
      <c r="J1045">
        <v>2</v>
      </c>
      <c r="K1045" t="s">
        <v>956</v>
      </c>
      <c r="L1045">
        <v>80000</v>
      </c>
      <c r="M1045">
        <v>2.1</v>
      </c>
      <c r="N1045">
        <v>51.398465753424659</v>
      </c>
      <c r="O1045" t="s">
        <v>592</v>
      </c>
      <c r="P1045" t="s">
        <v>613</v>
      </c>
      <c r="Q1045" t="s">
        <v>586</v>
      </c>
      <c r="R1045" t="s">
        <v>712</v>
      </c>
      <c r="S1045" t="s">
        <v>712</v>
      </c>
      <c r="T1045">
        <v>55</v>
      </c>
    </row>
    <row r="1046" spans="1:20" x14ac:dyDescent="0.25">
      <c r="A1046" t="s">
        <v>2199</v>
      </c>
      <c r="B1046" t="s">
        <v>341</v>
      </c>
      <c r="C1046" t="s">
        <v>607</v>
      </c>
      <c r="D1046" t="s">
        <v>608</v>
      </c>
      <c r="E1046" t="s">
        <v>977</v>
      </c>
      <c r="F1046">
        <v>1.0554303821066411</v>
      </c>
      <c r="G1046">
        <v>59.91265753424657</v>
      </c>
      <c r="H1046" t="s">
        <v>1033</v>
      </c>
      <c r="I1046" t="s">
        <v>611</v>
      </c>
      <c r="J1046">
        <v>2</v>
      </c>
      <c r="K1046" t="s">
        <v>612</v>
      </c>
      <c r="L1046">
        <v>365000</v>
      </c>
      <c r="M1046">
        <v>2.15</v>
      </c>
      <c r="N1046">
        <v>59.91265753424657</v>
      </c>
      <c r="O1046" t="s">
        <v>592</v>
      </c>
      <c r="P1046" t="s">
        <v>613</v>
      </c>
      <c r="Q1046" t="s">
        <v>586</v>
      </c>
      <c r="R1046" t="s">
        <v>712</v>
      </c>
      <c r="S1046" t="s">
        <v>594</v>
      </c>
      <c r="T1046">
        <v>80</v>
      </c>
    </row>
    <row r="1047" spans="1:20" x14ac:dyDescent="0.25">
      <c r="A1047" t="s">
        <v>2200</v>
      </c>
      <c r="B1047" t="s">
        <v>341</v>
      </c>
      <c r="C1047" t="s">
        <v>607</v>
      </c>
      <c r="D1047" t="s">
        <v>608</v>
      </c>
      <c r="E1047" t="s">
        <v>977</v>
      </c>
      <c r="F1047">
        <v>2.0064894602667045</v>
      </c>
      <c r="G1047">
        <v>57.432164383561648</v>
      </c>
      <c r="H1047" t="s">
        <v>1033</v>
      </c>
      <c r="I1047" t="s">
        <v>611</v>
      </c>
      <c r="J1047">
        <v>2.125</v>
      </c>
      <c r="K1047" t="s">
        <v>956</v>
      </c>
      <c r="L1047">
        <v>385000</v>
      </c>
      <c r="M1047">
        <v>2.25</v>
      </c>
      <c r="N1047">
        <v>57.432164383561648</v>
      </c>
      <c r="O1047" t="s">
        <v>592</v>
      </c>
      <c r="P1047" t="s">
        <v>613</v>
      </c>
      <c r="Q1047" t="s">
        <v>586</v>
      </c>
      <c r="R1047" t="s">
        <v>712</v>
      </c>
      <c r="S1047" t="s">
        <v>594</v>
      </c>
      <c r="T1047">
        <v>67</v>
      </c>
    </row>
    <row r="1048" spans="1:20" x14ac:dyDescent="0.25">
      <c r="A1048" t="s">
        <v>2201</v>
      </c>
      <c r="B1048" t="s">
        <v>133</v>
      </c>
      <c r="C1048" t="s">
        <v>586</v>
      </c>
      <c r="D1048" t="s">
        <v>1139</v>
      </c>
      <c r="E1048" t="s">
        <v>1140</v>
      </c>
      <c r="F1048">
        <v>2.8000352274128359</v>
      </c>
      <c r="G1048">
        <v>18.800779371130606</v>
      </c>
      <c r="H1048" t="s">
        <v>709</v>
      </c>
      <c r="I1048" t="s">
        <v>1137</v>
      </c>
      <c r="J1048">
        <v>5</v>
      </c>
      <c r="K1048" t="s">
        <v>817</v>
      </c>
      <c r="L1048">
        <v>415000</v>
      </c>
      <c r="M1048">
        <v>1.75</v>
      </c>
      <c r="N1048">
        <v>18.800779371130606</v>
      </c>
      <c r="O1048" t="s">
        <v>592</v>
      </c>
      <c r="P1048" t="s">
        <v>711</v>
      </c>
      <c r="Q1048" t="s">
        <v>586</v>
      </c>
      <c r="R1048" t="s">
        <v>712</v>
      </c>
      <c r="S1048" t="s">
        <v>712</v>
      </c>
      <c r="T1048">
        <v>78</v>
      </c>
    </row>
    <row r="1049" spans="1:20" x14ac:dyDescent="0.25">
      <c r="A1049" t="s">
        <v>2202</v>
      </c>
      <c r="B1049" t="s">
        <v>133</v>
      </c>
      <c r="C1049" t="s">
        <v>586</v>
      </c>
      <c r="D1049" t="s">
        <v>1139</v>
      </c>
      <c r="E1049" t="s">
        <v>1140</v>
      </c>
      <c r="F1049">
        <v>4.4700823938709515</v>
      </c>
      <c r="G1049">
        <v>24.06869861544547</v>
      </c>
      <c r="H1049" t="s">
        <v>709</v>
      </c>
      <c r="I1049" t="s">
        <v>1137</v>
      </c>
      <c r="J1049">
        <v>5</v>
      </c>
      <c r="K1049" t="s">
        <v>1023</v>
      </c>
      <c r="L1049">
        <v>460000</v>
      </c>
      <c r="M1049">
        <v>2.0499999999999998</v>
      </c>
      <c r="N1049">
        <v>24.06869861544547</v>
      </c>
      <c r="O1049" t="s">
        <v>592</v>
      </c>
      <c r="P1049" t="s">
        <v>711</v>
      </c>
      <c r="Q1049" t="s">
        <v>586</v>
      </c>
      <c r="R1049" t="s">
        <v>712</v>
      </c>
      <c r="S1049" t="s">
        <v>712</v>
      </c>
      <c r="T1049">
        <v>59</v>
      </c>
    </row>
    <row r="1050" spans="1:20" x14ac:dyDescent="0.25">
      <c r="A1050" t="s">
        <v>2203</v>
      </c>
      <c r="B1050" t="s">
        <v>51</v>
      </c>
      <c r="C1050" t="s">
        <v>607</v>
      </c>
      <c r="D1050" t="s">
        <v>601</v>
      </c>
      <c r="E1050" t="s">
        <v>773</v>
      </c>
      <c r="F1050">
        <v>1.593251889503317</v>
      </c>
      <c r="G1050">
        <v>27.004282601910077</v>
      </c>
      <c r="H1050" t="s">
        <v>603</v>
      </c>
      <c r="I1050" t="s">
        <v>782</v>
      </c>
      <c r="J1050">
        <v>4</v>
      </c>
      <c r="K1050" t="s">
        <v>905</v>
      </c>
      <c r="L1050">
        <v>6070000</v>
      </c>
      <c r="M1050">
        <v>2.1</v>
      </c>
      <c r="N1050">
        <v>27.004282601910077</v>
      </c>
      <c r="O1050" t="s">
        <v>592</v>
      </c>
      <c r="P1050" t="s">
        <v>593</v>
      </c>
      <c r="Q1050" t="s">
        <v>586</v>
      </c>
      <c r="R1050">
        <v>160000</v>
      </c>
      <c r="S1050" t="s">
        <v>712</v>
      </c>
      <c r="T1050">
        <v>88</v>
      </c>
    </row>
    <row r="1051" spans="1:20" x14ac:dyDescent="0.25">
      <c r="A1051" t="s">
        <v>2204</v>
      </c>
      <c r="B1051" t="s">
        <v>121</v>
      </c>
      <c r="C1051" t="s">
        <v>586</v>
      </c>
      <c r="D1051" t="s">
        <v>1095</v>
      </c>
      <c r="E1051" t="s">
        <v>1096</v>
      </c>
      <c r="F1051">
        <v>3.2411459211258529</v>
      </c>
      <c r="G1051">
        <v>35.198465753424671</v>
      </c>
      <c r="H1051" t="s">
        <v>1097</v>
      </c>
      <c r="I1051" t="s">
        <v>768</v>
      </c>
      <c r="J1051">
        <v>5</v>
      </c>
      <c r="K1051" t="s">
        <v>1038</v>
      </c>
      <c r="L1051">
        <v>2850000</v>
      </c>
      <c r="M1051">
        <v>2.1800000000000002</v>
      </c>
      <c r="N1051">
        <v>35.198465753424671</v>
      </c>
      <c r="O1051" t="s">
        <v>592</v>
      </c>
      <c r="P1051" t="s">
        <v>593</v>
      </c>
      <c r="Q1051" t="s">
        <v>586</v>
      </c>
      <c r="R1051">
        <v>190000</v>
      </c>
      <c r="S1051" t="s">
        <v>1098</v>
      </c>
      <c r="T1051">
        <v>56</v>
      </c>
    </row>
    <row r="1052" spans="1:20" x14ac:dyDescent="0.25">
      <c r="A1052" t="s">
        <v>2205</v>
      </c>
      <c r="B1052" t="s">
        <v>340</v>
      </c>
      <c r="C1052" t="s">
        <v>607</v>
      </c>
      <c r="D1052" t="s">
        <v>608</v>
      </c>
      <c r="E1052" t="s">
        <v>609</v>
      </c>
      <c r="F1052">
        <v>8.0467414134631501E-2</v>
      </c>
      <c r="G1052">
        <v>51.650550684931517</v>
      </c>
      <c r="H1052" t="s">
        <v>1033</v>
      </c>
      <c r="I1052" t="s">
        <v>611</v>
      </c>
      <c r="J1052">
        <v>2</v>
      </c>
      <c r="K1052" t="s">
        <v>950</v>
      </c>
      <c r="L1052">
        <v>70000</v>
      </c>
      <c r="M1052">
        <v>1.85</v>
      </c>
      <c r="N1052">
        <v>51.650550684931517</v>
      </c>
      <c r="O1052" t="s">
        <v>592</v>
      </c>
      <c r="P1052" t="s">
        <v>613</v>
      </c>
      <c r="Q1052" t="s">
        <v>586</v>
      </c>
      <c r="R1052" t="s">
        <v>712</v>
      </c>
      <c r="S1052" t="s">
        <v>712</v>
      </c>
      <c r="T1052">
        <v>98</v>
      </c>
    </row>
    <row r="1053" spans="1:20" x14ac:dyDescent="0.25">
      <c r="A1053" t="s">
        <v>2206</v>
      </c>
      <c r="B1053" t="s">
        <v>341</v>
      </c>
      <c r="C1053" t="s">
        <v>607</v>
      </c>
      <c r="D1053" t="s">
        <v>608</v>
      </c>
      <c r="E1053" t="s">
        <v>977</v>
      </c>
      <c r="F1053">
        <v>8.0467493894193734E-2</v>
      </c>
      <c r="G1053">
        <v>57.045835616438346</v>
      </c>
      <c r="H1053" t="s">
        <v>1033</v>
      </c>
      <c r="I1053" t="s">
        <v>611</v>
      </c>
      <c r="J1053">
        <v>2</v>
      </c>
      <c r="K1053" t="s">
        <v>950</v>
      </c>
      <c r="L1053">
        <v>350000</v>
      </c>
      <c r="M1053">
        <v>2</v>
      </c>
      <c r="N1053">
        <v>57.045835616438346</v>
      </c>
      <c r="O1053" t="s">
        <v>592</v>
      </c>
      <c r="P1053" t="s">
        <v>613</v>
      </c>
      <c r="Q1053" t="s">
        <v>586</v>
      </c>
      <c r="R1053" t="s">
        <v>712</v>
      </c>
      <c r="S1053" t="s">
        <v>594</v>
      </c>
      <c r="T1053">
        <v>99</v>
      </c>
    </row>
    <row r="1054" spans="1:20" x14ac:dyDescent="0.25">
      <c r="A1054" t="s">
        <v>2207</v>
      </c>
      <c r="B1054" t="s">
        <v>52</v>
      </c>
      <c r="C1054" t="s">
        <v>586</v>
      </c>
      <c r="D1054" t="s">
        <v>608</v>
      </c>
      <c r="E1054" t="s">
        <v>760</v>
      </c>
      <c r="F1054">
        <v>1.0858748275519148</v>
      </c>
      <c r="G1054">
        <v>115.08044960384025</v>
      </c>
      <c r="H1054" t="s">
        <v>784</v>
      </c>
      <c r="I1054" t="s">
        <v>611</v>
      </c>
      <c r="J1054">
        <v>3</v>
      </c>
      <c r="K1054" t="s">
        <v>987</v>
      </c>
      <c r="L1054">
        <v>155000</v>
      </c>
      <c r="M1054">
        <v>2.4000000000000004</v>
      </c>
      <c r="N1054">
        <v>115.08044960384025</v>
      </c>
      <c r="O1054" t="s">
        <v>592</v>
      </c>
      <c r="P1054" t="s">
        <v>613</v>
      </c>
      <c r="Q1054" t="s">
        <v>586</v>
      </c>
      <c r="R1054" t="s">
        <v>712</v>
      </c>
      <c r="S1054" t="s">
        <v>712</v>
      </c>
      <c r="T1054">
        <v>86</v>
      </c>
    </row>
    <row r="1055" spans="1:20" x14ac:dyDescent="0.25">
      <c r="A1055" t="s">
        <v>2208</v>
      </c>
      <c r="B1055" t="s">
        <v>52</v>
      </c>
      <c r="C1055" t="s">
        <v>586</v>
      </c>
      <c r="D1055" t="s">
        <v>608</v>
      </c>
      <c r="E1055" t="s">
        <v>760</v>
      </c>
      <c r="F1055">
        <v>2.9327269431988454</v>
      </c>
      <c r="G1055">
        <v>125.25092608423741</v>
      </c>
      <c r="H1055" t="s">
        <v>784</v>
      </c>
      <c r="I1055" t="s">
        <v>611</v>
      </c>
      <c r="J1055">
        <v>3</v>
      </c>
      <c r="K1055" t="s">
        <v>1066</v>
      </c>
      <c r="L1055">
        <v>155000</v>
      </c>
      <c r="M1055">
        <v>2.8000000000000003</v>
      </c>
      <c r="N1055">
        <v>125.25092608423741</v>
      </c>
      <c r="O1055" t="s">
        <v>592</v>
      </c>
      <c r="P1055" t="s">
        <v>613</v>
      </c>
      <c r="Q1055" t="s">
        <v>586</v>
      </c>
      <c r="R1055" t="s">
        <v>712</v>
      </c>
      <c r="S1055" t="s">
        <v>712</v>
      </c>
      <c r="T1055">
        <v>60</v>
      </c>
    </row>
    <row r="1056" spans="1:20" x14ac:dyDescent="0.25">
      <c r="A1056" t="s">
        <v>2209</v>
      </c>
      <c r="B1056" t="s">
        <v>342</v>
      </c>
      <c r="C1056" t="s">
        <v>586</v>
      </c>
      <c r="D1056" t="s">
        <v>601</v>
      </c>
      <c r="E1056" t="s">
        <v>2210</v>
      </c>
      <c r="F1056">
        <v>1.3329947364945787</v>
      </c>
      <c r="G1056">
        <v>68.476506849315072</v>
      </c>
      <c r="H1056" t="s">
        <v>1120</v>
      </c>
      <c r="I1056" t="s">
        <v>661</v>
      </c>
      <c r="J1056">
        <v>3.5</v>
      </c>
      <c r="K1056" t="s">
        <v>1869</v>
      </c>
      <c r="L1056">
        <v>10000</v>
      </c>
      <c r="M1056">
        <v>2.35</v>
      </c>
      <c r="N1056">
        <v>68.476506849315072</v>
      </c>
      <c r="O1056" t="s">
        <v>592</v>
      </c>
      <c r="P1056" t="s">
        <v>711</v>
      </c>
      <c r="Q1056" t="s">
        <v>586</v>
      </c>
      <c r="R1056" t="s">
        <v>712</v>
      </c>
      <c r="S1056" t="s">
        <v>712</v>
      </c>
      <c r="T1056">
        <v>89</v>
      </c>
    </row>
    <row r="1057" spans="1:20" x14ac:dyDescent="0.25">
      <c r="A1057" t="s">
        <v>2211</v>
      </c>
      <c r="B1057" t="s">
        <v>343</v>
      </c>
      <c r="C1057" t="s">
        <v>586</v>
      </c>
      <c r="D1057" t="s">
        <v>608</v>
      </c>
      <c r="E1057" t="s">
        <v>756</v>
      </c>
      <c r="F1057">
        <v>8.0448019844787291E-2</v>
      </c>
      <c r="G1057">
        <v>90.472551410213512</v>
      </c>
      <c r="H1057" t="s">
        <v>720</v>
      </c>
      <c r="I1057" t="s">
        <v>2212</v>
      </c>
      <c r="J1057">
        <v>2.2999999999999998</v>
      </c>
      <c r="K1057" t="s">
        <v>950</v>
      </c>
      <c r="L1057">
        <v>60000</v>
      </c>
      <c r="M1057">
        <v>2.3000000000000003</v>
      </c>
      <c r="N1057">
        <v>90.472551410213512</v>
      </c>
      <c r="O1057" t="s">
        <v>592</v>
      </c>
      <c r="P1057" t="s">
        <v>613</v>
      </c>
      <c r="Q1057" t="s">
        <v>586</v>
      </c>
      <c r="R1057" t="s">
        <v>712</v>
      </c>
      <c r="S1057" t="s">
        <v>712</v>
      </c>
      <c r="T1057">
        <v>91</v>
      </c>
    </row>
    <row r="1058" spans="1:20" x14ac:dyDescent="0.25">
      <c r="A1058" t="s">
        <v>2213</v>
      </c>
      <c r="B1058" t="s">
        <v>343</v>
      </c>
      <c r="C1058" t="s">
        <v>586</v>
      </c>
      <c r="D1058" t="s">
        <v>608</v>
      </c>
      <c r="E1058" t="s">
        <v>756</v>
      </c>
      <c r="F1058">
        <v>1.9900705717840561</v>
      </c>
      <c r="G1058">
        <v>97.813218834633346</v>
      </c>
      <c r="H1058" t="s">
        <v>720</v>
      </c>
      <c r="I1058" t="s">
        <v>2212</v>
      </c>
      <c r="J1058">
        <v>2.7</v>
      </c>
      <c r="K1058" t="s">
        <v>956</v>
      </c>
      <c r="L1058">
        <v>65000</v>
      </c>
      <c r="M1058">
        <v>2.7</v>
      </c>
      <c r="N1058">
        <v>97.813218834633346</v>
      </c>
      <c r="O1058" t="s">
        <v>592</v>
      </c>
      <c r="P1058" t="s">
        <v>613</v>
      </c>
      <c r="Q1058" t="s">
        <v>586</v>
      </c>
      <c r="R1058" t="s">
        <v>712</v>
      </c>
      <c r="S1058" t="s">
        <v>712</v>
      </c>
      <c r="T1058">
        <v>53</v>
      </c>
    </row>
    <row r="1059" spans="1:20" x14ac:dyDescent="0.25">
      <c r="A1059" t="s">
        <v>2214</v>
      </c>
      <c r="B1059" t="s">
        <v>133</v>
      </c>
      <c r="C1059" t="s">
        <v>586</v>
      </c>
      <c r="D1059" t="s">
        <v>1139</v>
      </c>
      <c r="E1059" t="s">
        <v>1140</v>
      </c>
      <c r="F1059">
        <v>0.97706812816315913</v>
      </c>
      <c r="G1059">
        <v>13.966600692632225</v>
      </c>
      <c r="H1059" t="s">
        <v>709</v>
      </c>
      <c r="I1059" t="s">
        <v>1137</v>
      </c>
      <c r="J1059">
        <v>5</v>
      </c>
      <c r="K1059" t="s">
        <v>646</v>
      </c>
      <c r="L1059">
        <v>375000</v>
      </c>
      <c r="M1059">
        <v>1.4000000000000001</v>
      </c>
      <c r="N1059">
        <v>13.966600692632225</v>
      </c>
      <c r="O1059" t="s">
        <v>592</v>
      </c>
      <c r="P1059" t="s">
        <v>711</v>
      </c>
      <c r="Q1059" t="s">
        <v>586</v>
      </c>
      <c r="R1059" t="s">
        <v>712</v>
      </c>
      <c r="S1059" t="s">
        <v>712</v>
      </c>
      <c r="T1059">
        <v>91</v>
      </c>
    </row>
    <row r="1060" spans="1:20" x14ac:dyDescent="0.25">
      <c r="A1060" t="s">
        <v>2215</v>
      </c>
      <c r="B1060" t="s">
        <v>133</v>
      </c>
      <c r="C1060" t="s">
        <v>586</v>
      </c>
      <c r="D1060" t="s">
        <v>1139</v>
      </c>
      <c r="E1060" t="s">
        <v>1140</v>
      </c>
      <c r="F1060">
        <v>1.909213270290032</v>
      </c>
      <c r="G1060">
        <v>18.920123315639593</v>
      </c>
      <c r="H1060" t="s">
        <v>709</v>
      </c>
      <c r="I1060" t="s">
        <v>1137</v>
      </c>
      <c r="J1060">
        <v>5</v>
      </c>
      <c r="K1060" t="s">
        <v>729</v>
      </c>
      <c r="L1060">
        <v>395000</v>
      </c>
      <c r="M1060">
        <v>1.6</v>
      </c>
      <c r="N1060">
        <v>18.920123315639593</v>
      </c>
      <c r="O1060" t="s">
        <v>592</v>
      </c>
      <c r="P1060" t="s">
        <v>711</v>
      </c>
      <c r="Q1060" t="s">
        <v>586</v>
      </c>
      <c r="R1060" t="s">
        <v>712</v>
      </c>
      <c r="S1060" t="s">
        <v>712</v>
      </c>
      <c r="T1060">
        <v>86</v>
      </c>
    </row>
    <row r="1061" spans="1:20" x14ac:dyDescent="0.25">
      <c r="A1061" t="s">
        <v>2216</v>
      </c>
      <c r="B1061" t="s">
        <v>133</v>
      </c>
      <c r="C1061" t="s">
        <v>586</v>
      </c>
      <c r="D1061" t="s">
        <v>1139</v>
      </c>
      <c r="E1061" t="s">
        <v>1140</v>
      </c>
      <c r="F1061">
        <v>3.6527224326047918</v>
      </c>
      <c r="G1061">
        <v>20.0939244418066</v>
      </c>
      <c r="H1061" t="s">
        <v>709</v>
      </c>
      <c r="I1061" t="s">
        <v>1137</v>
      </c>
      <c r="J1061">
        <v>5</v>
      </c>
      <c r="K1061" t="s">
        <v>620</v>
      </c>
      <c r="L1061">
        <v>430000</v>
      </c>
      <c r="M1061">
        <v>1.9000000000000001</v>
      </c>
      <c r="N1061">
        <v>20.0939244418066</v>
      </c>
      <c r="O1061" t="s">
        <v>592</v>
      </c>
      <c r="P1061" t="s">
        <v>711</v>
      </c>
      <c r="Q1061" t="s">
        <v>586</v>
      </c>
      <c r="R1061" t="s">
        <v>712</v>
      </c>
      <c r="S1061" t="s">
        <v>712</v>
      </c>
      <c r="T1061">
        <v>67</v>
      </c>
    </row>
    <row r="1062" spans="1:20" x14ac:dyDescent="0.25">
      <c r="A1062" t="s">
        <v>2217</v>
      </c>
      <c r="B1062" t="s">
        <v>308</v>
      </c>
      <c r="C1062" t="s">
        <v>586</v>
      </c>
      <c r="D1062" t="s">
        <v>608</v>
      </c>
      <c r="E1062" t="s">
        <v>789</v>
      </c>
      <c r="F1062">
        <v>1.4946672627671704</v>
      </c>
      <c r="G1062">
        <v>31.672719105321832</v>
      </c>
      <c r="H1062" t="s">
        <v>720</v>
      </c>
      <c r="I1062" t="s">
        <v>721</v>
      </c>
      <c r="J1062">
        <v>2</v>
      </c>
      <c r="K1062" t="s">
        <v>1001</v>
      </c>
      <c r="L1062">
        <v>205000</v>
      </c>
      <c r="M1062">
        <v>1.72</v>
      </c>
      <c r="N1062">
        <v>31.672719105321832</v>
      </c>
      <c r="O1062" t="s">
        <v>592</v>
      </c>
      <c r="P1062" t="s">
        <v>621</v>
      </c>
      <c r="Q1062" t="s">
        <v>586</v>
      </c>
      <c r="R1062" t="s">
        <v>712</v>
      </c>
      <c r="S1062" t="s">
        <v>712</v>
      </c>
      <c r="T1062">
        <v>61</v>
      </c>
    </row>
    <row r="1063" spans="1:20" x14ac:dyDescent="0.25">
      <c r="A1063" t="s">
        <v>2218</v>
      </c>
      <c r="B1063" t="s">
        <v>308</v>
      </c>
      <c r="C1063" t="s">
        <v>586</v>
      </c>
      <c r="D1063" t="s">
        <v>608</v>
      </c>
      <c r="E1063" t="s">
        <v>789</v>
      </c>
      <c r="F1063">
        <v>3.308221643704373</v>
      </c>
      <c r="G1063">
        <v>38.37317264161473</v>
      </c>
      <c r="H1063" t="s">
        <v>720</v>
      </c>
      <c r="I1063" t="s">
        <v>721</v>
      </c>
      <c r="J1063">
        <v>3</v>
      </c>
      <c r="K1063" t="s">
        <v>1387</v>
      </c>
      <c r="L1063">
        <v>215000</v>
      </c>
      <c r="M1063">
        <v>2.09</v>
      </c>
      <c r="N1063">
        <v>38.37317264161473</v>
      </c>
      <c r="O1063" t="s">
        <v>592</v>
      </c>
      <c r="P1063" t="s">
        <v>621</v>
      </c>
      <c r="Q1063" t="s">
        <v>586</v>
      </c>
      <c r="R1063" t="s">
        <v>712</v>
      </c>
      <c r="S1063" t="s">
        <v>712</v>
      </c>
      <c r="T1063">
        <v>62</v>
      </c>
    </row>
    <row r="1064" spans="1:20" x14ac:dyDescent="0.25">
      <c r="A1064" t="s">
        <v>2219</v>
      </c>
      <c r="B1064" t="s">
        <v>344</v>
      </c>
      <c r="C1064" t="s">
        <v>607</v>
      </c>
      <c r="D1064" t="s">
        <v>601</v>
      </c>
      <c r="E1064" t="s">
        <v>2220</v>
      </c>
      <c r="F1064">
        <v>1.421060819189061</v>
      </c>
      <c r="G1064">
        <v>15.134155474218836</v>
      </c>
      <c r="H1064" t="s">
        <v>2221</v>
      </c>
      <c r="I1064" t="s">
        <v>721</v>
      </c>
      <c r="J1064">
        <v>2.625</v>
      </c>
      <c r="K1064" t="s">
        <v>2119</v>
      </c>
      <c r="L1064">
        <v>105000</v>
      </c>
      <c r="M1064">
        <v>2.1</v>
      </c>
      <c r="N1064">
        <v>15.134155474218836</v>
      </c>
      <c r="O1064" t="s">
        <v>592</v>
      </c>
      <c r="P1064" t="s">
        <v>711</v>
      </c>
      <c r="Q1064" t="s">
        <v>586</v>
      </c>
      <c r="R1064" t="s">
        <v>712</v>
      </c>
      <c r="S1064" t="s">
        <v>594</v>
      </c>
      <c r="T1064">
        <v>82</v>
      </c>
    </row>
    <row r="1065" spans="1:20" x14ac:dyDescent="0.25">
      <c r="A1065" t="s">
        <v>2222</v>
      </c>
      <c r="B1065" t="s">
        <v>344</v>
      </c>
      <c r="C1065" t="s">
        <v>607</v>
      </c>
      <c r="D1065" t="s">
        <v>601</v>
      </c>
      <c r="E1065" t="s">
        <v>2220</v>
      </c>
      <c r="F1065">
        <v>2.363686370331382</v>
      </c>
      <c r="G1065">
        <v>12.537548476494997</v>
      </c>
      <c r="H1065" t="s">
        <v>2221</v>
      </c>
      <c r="I1065" t="s">
        <v>721</v>
      </c>
      <c r="J1065">
        <v>2.75</v>
      </c>
      <c r="K1065" t="s">
        <v>2121</v>
      </c>
      <c r="L1065">
        <v>105000</v>
      </c>
      <c r="M1065">
        <v>2.2000000000000002</v>
      </c>
      <c r="N1065">
        <v>12.537548476494997</v>
      </c>
      <c r="O1065" t="s">
        <v>592</v>
      </c>
      <c r="P1065" t="s">
        <v>711</v>
      </c>
      <c r="Q1065" t="s">
        <v>586</v>
      </c>
      <c r="R1065" t="s">
        <v>712</v>
      </c>
      <c r="S1065" t="s">
        <v>594</v>
      </c>
      <c r="T1065">
        <v>73</v>
      </c>
    </row>
    <row r="1066" spans="1:20" x14ac:dyDescent="0.25">
      <c r="A1066" t="s">
        <v>2223</v>
      </c>
      <c r="B1066" t="s">
        <v>313</v>
      </c>
      <c r="C1066" t="s">
        <v>607</v>
      </c>
      <c r="D1066" t="s">
        <v>608</v>
      </c>
      <c r="E1066" t="s">
        <v>609</v>
      </c>
      <c r="F1066">
        <v>8.0457607726620958E-2</v>
      </c>
      <c r="G1066">
        <v>56.608452054794526</v>
      </c>
      <c r="H1066" t="s">
        <v>1585</v>
      </c>
      <c r="I1066" t="s">
        <v>611</v>
      </c>
      <c r="J1066">
        <v>4</v>
      </c>
      <c r="K1066" t="s">
        <v>950</v>
      </c>
      <c r="L1066">
        <v>145000</v>
      </c>
      <c r="M1066">
        <v>1.9000000000000001</v>
      </c>
      <c r="N1066">
        <v>56.608452054794526</v>
      </c>
      <c r="O1066" t="s">
        <v>592</v>
      </c>
      <c r="P1066" t="s">
        <v>613</v>
      </c>
      <c r="Q1066" t="s">
        <v>586</v>
      </c>
      <c r="R1066" t="s">
        <v>712</v>
      </c>
      <c r="S1066" t="s">
        <v>594</v>
      </c>
      <c r="T1066">
        <v>98</v>
      </c>
    </row>
    <row r="1067" spans="1:20" x14ac:dyDescent="0.25">
      <c r="A1067" t="s">
        <v>2224</v>
      </c>
      <c r="B1067" t="s">
        <v>313</v>
      </c>
      <c r="C1067" t="s">
        <v>607</v>
      </c>
      <c r="D1067" t="s">
        <v>608</v>
      </c>
      <c r="E1067" t="s">
        <v>609</v>
      </c>
      <c r="F1067">
        <v>1.9852083381835819</v>
      </c>
      <c r="G1067">
        <v>61.413353424657544</v>
      </c>
      <c r="H1067" t="s">
        <v>1585</v>
      </c>
      <c r="I1067" t="s">
        <v>611</v>
      </c>
      <c r="J1067">
        <v>3</v>
      </c>
      <c r="K1067" t="s">
        <v>956</v>
      </c>
      <c r="L1067">
        <v>160000</v>
      </c>
      <c r="M1067">
        <v>2.2000000000000002</v>
      </c>
      <c r="N1067">
        <v>61.413353424657544</v>
      </c>
      <c r="O1067" t="s">
        <v>592</v>
      </c>
      <c r="P1067" t="s">
        <v>613</v>
      </c>
      <c r="Q1067" t="s">
        <v>586</v>
      </c>
      <c r="R1067" t="s">
        <v>712</v>
      </c>
      <c r="S1067" t="s">
        <v>594</v>
      </c>
      <c r="T1067">
        <v>72</v>
      </c>
    </row>
    <row r="1068" spans="1:20" x14ac:dyDescent="0.25">
      <c r="A1068" t="s">
        <v>2225</v>
      </c>
      <c r="B1068" t="s">
        <v>345</v>
      </c>
      <c r="C1068" t="s">
        <v>586</v>
      </c>
      <c r="D1068" t="s">
        <v>608</v>
      </c>
      <c r="E1068" t="s">
        <v>891</v>
      </c>
      <c r="F1068">
        <v>0.52523922922107102</v>
      </c>
      <c r="G1068">
        <v>33.374095890410956</v>
      </c>
      <c r="H1068" t="s">
        <v>610</v>
      </c>
      <c r="I1068" t="s">
        <v>611</v>
      </c>
      <c r="J1068">
        <v>3</v>
      </c>
      <c r="K1068" t="s">
        <v>1005</v>
      </c>
      <c r="L1068">
        <v>35000</v>
      </c>
      <c r="M1068">
        <v>2</v>
      </c>
      <c r="N1068">
        <v>33.374095890410956</v>
      </c>
      <c r="O1068" t="s">
        <v>592</v>
      </c>
      <c r="P1068" t="s">
        <v>613</v>
      </c>
      <c r="Q1068" t="s">
        <v>586</v>
      </c>
      <c r="R1068" t="s">
        <v>712</v>
      </c>
      <c r="S1068" t="s">
        <v>712</v>
      </c>
      <c r="T1068">
        <v>87</v>
      </c>
    </row>
    <row r="1069" spans="1:20" x14ac:dyDescent="0.25">
      <c r="A1069" t="s">
        <v>2226</v>
      </c>
      <c r="B1069" t="s">
        <v>345</v>
      </c>
      <c r="C1069" t="s">
        <v>586</v>
      </c>
      <c r="D1069" t="s">
        <v>608</v>
      </c>
      <c r="E1069" t="s">
        <v>891</v>
      </c>
      <c r="F1069">
        <v>1.4787127404535467</v>
      </c>
      <c r="G1069">
        <v>37.316690410958905</v>
      </c>
      <c r="H1069" t="s">
        <v>610</v>
      </c>
      <c r="I1069" t="s">
        <v>611</v>
      </c>
      <c r="J1069">
        <v>3</v>
      </c>
      <c r="K1069" t="s">
        <v>1001</v>
      </c>
      <c r="L1069">
        <v>40000</v>
      </c>
      <c r="M1069">
        <v>2.1</v>
      </c>
      <c r="N1069">
        <v>37.316690410958905</v>
      </c>
      <c r="O1069" t="s">
        <v>592</v>
      </c>
      <c r="P1069" t="s">
        <v>613</v>
      </c>
      <c r="Q1069" t="s">
        <v>586</v>
      </c>
      <c r="R1069" t="s">
        <v>712</v>
      </c>
      <c r="S1069" t="s">
        <v>712</v>
      </c>
      <c r="T1069">
        <v>74</v>
      </c>
    </row>
    <row r="1070" spans="1:20" x14ac:dyDescent="0.25">
      <c r="A1070" t="s">
        <v>2227</v>
      </c>
      <c r="B1070" t="s">
        <v>345</v>
      </c>
      <c r="C1070" t="s">
        <v>586</v>
      </c>
      <c r="D1070" t="s">
        <v>608</v>
      </c>
      <c r="E1070" t="s">
        <v>891</v>
      </c>
      <c r="F1070">
        <v>2.4042917236183445</v>
      </c>
      <c r="G1070">
        <v>39.698021917808227</v>
      </c>
      <c r="H1070" t="s">
        <v>610</v>
      </c>
      <c r="I1070" t="s">
        <v>611</v>
      </c>
      <c r="J1070">
        <v>3</v>
      </c>
      <c r="K1070" t="s">
        <v>803</v>
      </c>
      <c r="L1070">
        <v>40000</v>
      </c>
      <c r="M1070">
        <v>2.2000000000000002</v>
      </c>
      <c r="N1070">
        <v>39.698021917808227</v>
      </c>
      <c r="O1070" t="s">
        <v>592</v>
      </c>
      <c r="P1070" t="s">
        <v>613</v>
      </c>
      <c r="Q1070" t="s">
        <v>586</v>
      </c>
      <c r="R1070" t="s">
        <v>712</v>
      </c>
      <c r="S1070" t="s">
        <v>712</v>
      </c>
      <c r="T1070">
        <v>64</v>
      </c>
    </row>
    <row r="1071" spans="1:20" x14ac:dyDescent="0.25">
      <c r="A1071" t="s">
        <v>2228</v>
      </c>
      <c r="B1071" t="s">
        <v>345</v>
      </c>
      <c r="C1071" t="s">
        <v>586</v>
      </c>
      <c r="D1071" t="s">
        <v>608</v>
      </c>
      <c r="E1071" t="s">
        <v>891</v>
      </c>
      <c r="F1071">
        <v>3.3034697283337189</v>
      </c>
      <c r="G1071">
        <v>40.987284931506828</v>
      </c>
      <c r="H1071" t="s">
        <v>610</v>
      </c>
      <c r="I1071" t="s">
        <v>611</v>
      </c>
      <c r="J1071">
        <v>3</v>
      </c>
      <c r="K1071" t="s">
        <v>1387</v>
      </c>
      <c r="L1071">
        <v>40000</v>
      </c>
      <c r="M1071">
        <v>2.3000000000000003</v>
      </c>
      <c r="N1071">
        <v>40.987284931506828</v>
      </c>
      <c r="O1071" t="s">
        <v>592</v>
      </c>
      <c r="P1071" t="s">
        <v>613</v>
      </c>
      <c r="Q1071" t="s">
        <v>586</v>
      </c>
      <c r="R1071" t="s">
        <v>712</v>
      </c>
      <c r="S1071" t="s">
        <v>712</v>
      </c>
      <c r="T1071">
        <v>53</v>
      </c>
    </row>
    <row r="1072" spans="1:20" x14ac:dyDescent="0.25">
      <c r="A1072" t="s">
        <v>2229</v>
      </c>
      <c r="B1072" t="s">
        <v>345</v>
      </c>
      <c r="C1072" t="s">
        <v>586</v>
      </c>
      <c r="D1072" t="s">
        <v>608</v>
      </c>
      <c r="E1072" t="s">
        <v>891</v>
      </c>
      <c r="F1072">
        <v>4.1768167572000738</v>
      </c>
      <c r="G1072">
        <v>48.781265753424677</v>
      </c>
      <c r="H1072" t="s">
        <v>610</v>
      </c>
      <c r="I1072" t="s">
        <v>611</v>
      </c>
      <c r="J1072">
        <v>3</v>
      </c>
      <c r="K1072" t="s">
        <v>1765</v>
      </c>
      <c r="L1072">
        <v>40000</v>
      </c>
      <c r="M1072">
        <v>2.4500000000000002</v>
      </c>
      <c r="N1072">
        <v>48.781265753424677</v>
      </c>
      <c r="O1072" t="s">
        <v>592</v>
      </c>
      <c r="P1072" t="s">
        <v>613</v>
      </c>
      <c r="Q1072" t="s">
        <v>586</v>
      </c>
      <c r="R1072" t="s">
        <v>712</v>
      </c>
      <c r="S1072" t="s">
        <v>712</v>
      </c>
      <c r="T1072">
        <v>45</v>
      </c>
    </row>
    <row r="1073" spans="1:20" x14ac:dyDescent="0.25">
      <c r="A1073" t="s">
        <v>2230</v>
      </c>
      <c r="B1073" t="s">
        <v>285</v>
      </c>
      <c r="C1073" t="s">
        <v>586</v>
      </c>
      <c r="D1073" t="s">
        <v>830</v>
      </c>
      <c r="E1073" t="s">
        <v>1975</v>
      </c>
      <c r="F1073">
        <v>3.5721398833299176</v>
      </c>
      <c r="G1073">
        <v>9.4701315112500684</v>
      </c>
      <c r="H1073" t="s">
        <v>1976</v>
      </c>
      <c r="I1073" t="s">
        <v>1977</v>
      </c>
      <c r="J1073">
        <v>5</v>
      </c>
      <c r="K1073" t="s">
        <v>753</v>
      </c>
      <c r="L1073">
        <v>210000</v>
      </c>
      <c r="M1073">
        <v>1.87</v>
      </c>
      <c r="N1073">
        <v>9.4701315112500684</v>
      </c>
      <c r="O1073" t="s">
        <v>592</v>
      </c>
      <c r="P1073" t="s">
        <v>593</v>
      </c>
      <c r="Q1073" t="s">
        <v>586</v>
      </c>
      <c r="R1073">
        <v>60000</v>
      </c>
      <c r="S1073" t="s">
        <v>712</v>
      </c>
      <c r="T1073">
        <v>67</v>
      </c>
    </row>
    <row r="1074" spans="1:20" x14ac:dyDescent="0.25">
      <c r="A1074" t="s">
        <v>2231</v>
      </c>
      <c r="B1074" t="s">
        <v>286</v>
      </c>
      <c r="C1074" t="s">
        <v>586</v>
      </c>
      <c r="D1074" t="s">
        <v>805</v>
      </c>
      <c r="E1074" t="s">
        <v>883</v>
      </c>
      <c r="F1074">
        <v>0.81815266456377034</v>
      </c>
      <c r="G1074">
        <v>7.0000282016346782</v>
      </c>
      <c r="H1074" t="s">
        <v>676</v>
      </c>
      <c r="I1074" t="s">
        <v>721</v>
      </c>
      <c r="J1074">
        <v>3</v>
      </c>
      <c r="K1074" t="s">
        <v>984</v>
      </c>
      <c r="L1074">
        <v>260000</v>
      </c>
      <c r="M1074">
        <v>1.4000000000000001</v>
      </c>
      <c r="N1074">
        <v>7.0000282016346782</v>
      </c>
      <c r="O1074" t="s">
        <v>592</v>
      </c>
      <c r="P1074" t="s">
        <v>711</v>
      </c>
      <c r="Q1074" t="s">
        <v>586</v>
      </c>
      <c r="R1074" t="s">
        <v>712</v>
      </c>
      <c r="S1074" t="s">
        <v>712</v>
      </c>
      <c r="T1074">
        <v>91</v>
      </c>
    </row>
    <row r="1075" spans="1:20" x14ac:dyDescent="0.25">
      <c r="A1075" t="s">
        <v>2232</v>
      </c>
      <c r="B1075" t="s">
        <v>346</v>
      </c>
      <c r="C1075" t="s">
        <v>586</v>
      </c>
      <c r="D1075" t="s">
        <v>2233</v>
      </c>
      <c r="E1075" t="s">
        <v>2234</v>
      </c>
      <c r="F1075">
        <v>1.3412573837335959</v>
      </c>
      <c r="G1075">
        <v>-3.0432328767123318</v>
      </c>
      <c r="H1075" t="s">
        <v>2235</v>
      </c>
      <c r="I1075" t="s">
        <v>1053</v>
      </c>
      <c r="J1075">
        <v>2.5</v>
      </c>
      <c r="K1075" t="s">
        <v>1869</v>
      </c>
      <c r="L1075">
        <v>530000</v>
      </c>
      <c r="M1075">
        <v>1.53</v>
      </c>
      <c r="N1075">
        <v>-3.0432328767123318</v>
      </c>
      <c r="O1075" t="s">
        <v>592</v>
      </c>
      <c r="P1075" t="s">
        <v>593</v>
      </c>
      <c r="Q1075" t="s">
        <v>586</v>
      </c>
      <c r="R1075" t="s">
        <v>712</v>
      </c>
      <c r="S1075" t="s">
        <v>712</v>
      </c>
      <c r="T1075">
        <v>81</v>
      </c>
    </row>
    <row r="1076" spans="1:20" x14ac:dyDescent="0.25">
      <c r="A1076" t="s">
        <v>2236</v>
      </c>
      <c r="B1076" t="s">
        <v>346</v>
      </c>
      <c r="C1076" t="s">
        <v>586</v>
      </c>
      <c r="D1076" t="s">
        <v>2233</v>
      </c>
      <c r="E1076" t="s">
        <v>2234</v>
      </c>
      <c r="F1076">
        <v>2.2372142916556315</v>
      </c>
      <c r="G1076">
        <v>-4.2115068493150831</v>
      </c>
      <c r="H1076" t="s">
        <v>2235</v>
      </c>
      <c r="I1076" t="s">
        <v>1053</v>
      </c>
      <c r="J1076">
        <v>5</v>
      </c>
      <c r="K1076" t="s">
        <v>1871</v>
      </c>
      <c r="L1076">
        <v>525000</v>
      </c>
      <c r="M1076">
        <v>1.6300000000000001</v>
      </c>
      <c r="N1076">
        <v>-4.2115068493150831</v>
      </c>
      <c r="O1076" t="s">
        <v>592</v>
      </c>
      <c r="P1076" t="s">
        <v>593</v>
      </c>
      <c r="Q1076" t="s">
        <v>586</v>
      </c>
      <c r="R1076" t="s">
        <v>712</v>
      </c>
      <c r="S1076" t="s">
        <v>712</v>
      </c>
      <c r="T1076">
        <v>84</v>
      </c>
    </row>
    <row r="1077" spans="1:20" x14ac:dyDescent="0.25">
      <c r="A1077" t="s">
        <v>2237</v>
      </c>
      <c r="B1077" t="s">
        <v>346</v>
      </c>
      <c r="C1077" t="s">
        <v>586</v>
      </c>
      <c r="D1077" t="s">
        <v>2233</v>
      </c>
      <c r="E1077" t="s">
        <v>2234</v>
      </c>
      <c r="F1077">
        <v>3.1111566367220731</v>
      </c>
      <c r="G1077">
        <v>-2.2299315068493142</v>
      </c>
      <c r="H1077" t="s">
        <v>2235</v>
      </c>
      <c r="I1077" t="s">
        <v>1053</v>
      </c>
      <c r="J1077">
        <v>5</v>
      </c>
      <c r="K1077" t="s">
        <v>871</v>
      </c>
      <c r="L1077">
        <v>525000</v>
      </c>
      <c r="M1077">
        <v>1.76</v>
      </c>
      <c r="N1077">
        <v>-2.2299315068493142</v>
      </c>
      <c r="O1077" t="s">
        <v>592</v>
      </c>
      <c r="P1077" t="s">
        <v>593</v>
      </c>
      <c r="Q1077" t="s">
        <v>586</v>
      </c>
      <c r="R1077" t="s">
        <v>712</v>
      </c>
      <c r="S1077" t="s">
        <v>712</v>
      </c>
      <c r="T1077">
        <v>77</v>
      </c>
    </row>
    <row r="1078" spans="1:20" x14ac:dyDescent="0.25">
      <c r="A1078" t="s">
        <v>2238</v>
      </c>
      <c r="B1078" t="s">
        <v>346</v>
      </c>
      <c r="C1078" t="s">
        <v>586</v>
      </c>
      <c r="D1078" t="s">
        <v>2233</v>
      </c>
      <c r="E1078" t="s">
        <v>2234</v>
      </c>
      <c r="F1078">
        <v>3.9490401384150657</v>
      </c>
      <c r="G1078">
        <v>0.50663013698628578</v>
      </c>
      <c r="H1078" t="s">
        <v>2235</v>
      </c>
      <c r="I1078" t="s">
        <v>1053</v>
      </c>
      <c r="J1078">
        <v>5</v>
      </c>
      <c r="K1078" t="s">
        <v>1873</v>
      </c>
      <c r="L1078">
        <v>525000</v>
      </c>
      <c r="M1078">
        <v>1.05</v>
      </c>
      <c r="N1078">
        <v>0.50663013698628578</v>
      </c>
      <c r="O1078" t="s">
        <v>592</v>
      </c>
      <c r="P1078" t="s">
        <v>593</v>
      </c>
      <c r="Q1078" t="s">
        <v>586</v>
      </c>
      <c r="R1078" t="s">
        <v>712</v>
      </c>
      <c r="S1078" t="s">
        <v>712</v>
      </c>
      <c r="T1078">
        <v>71</v>
      </c>
    </row>
    <row r="1079" spans="1:20" x14ac:dyDescent="0.25">
      <c r="A1079" t="s">
        <v>2239</v>
      </c>
      <c r="B1079" t="s">
        <v>346</v>
      </c>
      <c r="C1079" t="s">
        <v>586</v>
      </c>
      <c r="D1079" t="s">
        <v>2233</v>
      </c>
      <c r="E1079" t="s">
        <v>2234</v>
      </c>
      <c r="F1079">
        <v>4.7534289340621338</v>
      </c>
      <c r="G1079">
        <v>5.1651369863013663</v>
      </c>
      <c r="H1079" t="s">
        <v>2235</v>
      </c>
      <c r="I1079" t="s">
        <v>1053</v>
      </c>
      <c r="J1079">
        <v>5</v>
      </c>
      <c r="K1079" t="s">
        <v>1875</v>
      </c>
      <c r="L1079">
        <v>525000</v>
      </c>
      <c r="M1079">
        <v>2</v>
      </c>
      <c r="N1079">
        <v>5.1651369863013663</v>
      </c>
      <c r="O1079" t="s">
        <v>592</v>
      </c>
      <c r="P1079" t="s">
        <v>593</v>
      </c>
      <c r="Q1079" t="s">
        <v>586</v>
      </c>
      <c r="R1079" t="s">
        <v>712</v>
      </c>
      <c r="S1079" t="s">
        <v>712</v>
      </c>
      <c r="T1079">
        <v>66</v>
      </c>
    </row>
    <row r="1080" spans="1:20" x14ac:dyDescent="0.25">
      <c r="A1080" t="s">
        <v>2240</v>
      </c>
      <c r="B1080" t="s">
        <v>347</v>
      </c>
      <c r="C1080" t="s">
        <v>607</v>
      </c>
      <c r="D1080" t="s">
        <v>608</v>
      </c>
      <c r="E1080" t="s">
        <v>1321</v>
      </c>
      <c r="F1080">
        <v>1.0398966960556724</v>
      </c>
      <c r="G1080">
        <v>45.784852054794499</v>
      </c>
      <c r="H1080" t="s">
        <v>610</v>
      </c>
      <c r="I1080" t="s">
        <v>721</v>
      </c>
      <c r="J1080">
        <v>4.5</v>
      </c>
      <c r="K1080" t="s">
        <v>612</v>
      </c>
      <c r="L1080">
        <v>500000</v>
      </c>
      <c r="M1080">
        <v>2.0699999999999998</v>
      </c>
      <c r="N1080">
        <v>45.784852054794499</v>
      </c>
      <c r="O1080" t="s">
        <v>592</v>
      </c>
      <c r="P1080" t="s">
        <v>621</v>
      </c>
      <c r="Q1080" t="s">
        <v>586</v>
      </c>
      <c r="R1080" t="s">
        <v>712</v>
      </c>
      <c r="S1080" t="s">
        <v>878</v>
      </c>
      <c r="T1080">
        <v>90</v>
      </c>
    </row>
    <row r="1081" spans="1:20" x14ac:dyDescent="0.25">
      <c r="A1081" t="s">
        <v>2241</v>
      </c>
      <c r="B1081" t="s">
        <v>348</v>
      </c>
      <c r="C1081" t="s">
        <v>607</v>
      </c>
      <c r="D1081" t="s">
        <v>608</v>
      </c>
      <c r="E1081" t="s">
        <v>2242</v>
      </c>
      <c r="F1081">
        <v>1.1409175584101237</v>
      </c>
      <c r="G1081">
        <v>29.883652094466683</v>
      </c>
      <c r="H1081" t="s">
        <v>869</v>
      </c>
      <c r="I1081" t="s">
        <v>611</v>
      </c>
      <c r="J1081">
        <v>2</v>
      </c>
      <c r="K1081" t="s">
        <v>598</v>
      </c>
      <c r="L1081">
        <v>280000</v>
      </c>
      <c r="M1081">
        <v>1.7000000000000002</v>
      </c>
      <c r="N1081">
        <v>29.883652094466683</v>
      </c>
      <c r="O1081" t="s">
        <v>592</v>
      </c>
      <c r="P1081" t="s">
        <v>621</v>
      </c>
      <c r="Q1081" t="s">
        <v>586</v>
      </c>
      <c r="R1081" t="s">
        <v>712</v>
      </c>
      <c r="S1081" t="s">
        <v>712</v>
      </c>
      <c r="T1081">
        <v>81</v>
      </c>
    </row>
    <row r="1082" spans="1:20" x14ac:dyDescent="0.25">
      <c r="A1082" t="s">
        <v>2243</v>
      </c>
      <c r="B1082" t="s">
        <v>348</v>
      </c>
      <c r="C1082" t="s">
        <v>607</v>
      </c>
      <c r="D1082" t="s">
        <v>608</v>
      </c>
      <c r="E1082" t="s">
        <v>2242</v>
      </c>
      <c r="F1082">
        <v>2.9465101445008011</v>
      </c>
      <c r="G1082">
        <v>31.6559803960875</v>
      </c>
      <c r="H1082" t="s">
        <v>869</v>
      </c>
      <c r="I1082" t="s">
        <v>611</v>
      </c>
      <c r="J1082">
        <v>4</v>
      </c>
      <c r="K1082" t="s">
        <v>727</v>
      </c>
      <c r="L1082">
        <v>300000</v>
      </c>
      <c r="M1082">
        <v>2.0300000000000002</v>
      </c>
      <c r="N1082">
        <v>31.6559803960875</v>
      </c>
      <c r="O1082" t="s">
        <v>592</v>
      </c>
      <c r="P1082" t="s">
        <v>621</v>
      </c>
      <c r="Q1082" t="s">
        <v>586</v>
      </c>
      <c r="R1082">
        <v>50000</v>
      </c>
      <c r="S1082" t="s">
        <v>712</v>
      </c>
      <c r="T1082">
        <v>72</v>
      </c>
    </row>
    <row r="1083" spans="1:20" x14ac:dyDescent="0.25">
      <c r="A1083" t="s">
        <v>2244</v>
      </c>
      <c r="B1083" t="s">
        <v>240</v>
      </c>
      <c r="C1083" t="s">
        <v>586</v>
      </c>
      <c r="D1083" t="s">
        <v>1523</v>
      </c>
      <c r="E1083" t="s">
        <v>1714</v>
      </c>
      <c r="F1083">
        <v>0.57179374328892618</v>
      </c>
      <c r="G1083">
        <v>22.207005120345947</v>
      </c>
      <c r="H1083" t="s">
        <v>1715</v>
      </c>
      <c r="I1083" t="s">
        <v>721</v>
      </c>
      <c r="J1083">
        <v>2</v>
      </c>
      <c r="K1083" t="s">
        <v>744</v>
      </c>
      <c r="L1083">
        <v>75000</v>
      </c>
      <c r="M1083">
        <v>1.45</v>
      </c>
      <c r="N1083">
        <v>22.207005120345947</v>
      </c>
      <c r="O1083" t="s">
        <v>592</v>
      </c>
      <c r="P1083" t="s">
        <v>711</v>
      </c>
      <c r="Q1083" t="s">
        <v>586</v>
      </c>
      <c r="R1083" t="s">
        <v>712</v>
      </c>
      <c r="S1083" t="s">
        <v>594</v>
      </c>
      <c r="T1083">
        <v>72</v>
      </c>
    </row>
    <row r="1084" spans="1:20" x14ac:dyDescent="0.25">
      <c r="A1084" t="s">
        <v>2245</v>
      </c>
      <c r="B1084" t="s">
        <v>349</v>
      </c>
      <c r="C1084" t="s">
        <v>586</v>
      </c>
      <c r="D1084" t="s">
        <v>631</v>
      </c>
      <c r="E1084" t="s">
        <v>632</v>
      </c>
      <c r="F1084">
        <v>0.81576413172142981</v>
      </c>
      <c r="G1084">
        <v>7.9787169827806315</v>
      </c>
      <c r="H1084" t="s">
        <v>2246</v>
      </c>
      <c r="I1084" t="s">
        <v>721</v>
      </c>
      <c r="J1084">
        <v>4</v>
      </c>
      <c r="K1084" t="s">
        <v>984</v>
      </c>
      <c r="L1084">
        <v>585000</v>
      </c>
      <c r="M1084">
        <v>1.29</v>
      </c>
      <c r="N1084">
        <v>7.9787169827806315</v>
      </c>
      <c r="O1084" t="s">
        <v>592</v>
      </c>
      <c r="P1084" t="s">
        <v>593</v>
      </c>
      <c r="Q1084" t="s">
        <v>586</v>
      </c>
      <c r="R1084" t="s">
        <v>712</v>
      </c>
      <c r="S1084" t="s">
        <v>712</v>
      </c>
      <c r="T1084">
        <v>89</v>
      </c>
    </row>
    <row r="1085" spans="1:20" x14ac:dyDescent="0.25">
      <c r="A1085" t="s">
        <v>2247</v>
      </c>
      <c r="B1085" t="s">
        <v>349</v>
      </c>
      <c r="C1085" t="s">
        <v>586</v>
      </c>
      <c r="D1085" t="s">
        <v>631</v>
      </c>
      <c r="E1085" t="s">
        <v>632</v>
      </c>
      <c r="F1085">
        <v>1.7599669869329062</v>
      </c>
      <c r="G1085">
        <v>7.9324228063157864</v>
      </c>
      <c r="H1085" t="s">
        <v>2246</v>
      </c>
      <c r="I1085" t="s">
        <v>721</v>
      </c>
      <c r="J1085">
        <v>4</v>
      </c>
      <c r="K1085" t="s">
        <v>1114</v>
      </c>
      <c r="L1085">
        <v>610000</v>
      </c>
      <c r="M1085">
        <v>1.44</v>
      </c>
      <c r="N1085">
        <v>7.9324228063157864</v>
      </c>
      <c r="O1085" t="s">
        <v>592</v>
      </c>
      <c r="P1085" t="s">
        <v>593</v>
      </c>
      <c r="Q1085" t="s">
        <v>586</v>
      </c>
      <c r="R1085" t="s">
        <v>712</v>
      </c>
      <c r="S1085" t="s">
        <v>712</v>
      </c>
      <c r="T1085">
        <v>81</v>
      </c>
    </row>
    <row r="1086" spans="1:20" x14ac:dyDescent="0.25">
      <c r="A1086" t="s">
        <v>2248</v>
      </c>
      <c r="B1086" t="s">
        <v>349</v>
      </c>
      <c r="C1086" t="s">
        <v>586</v>
      </c>
      <c r="D1086" t="s">
        <v>631</v>
      </c>
      <c r="E1086" t="s">
        <v>632</v>
      </c>
      <c r="F1086">
        <v>2.6698123339836806</v>
      </c>
      <c r="G1086">
        <v>8.7387764747766319</v>
      </c>
      <c r="H1086" t="s">
        <v>2246</v>
      </c>
      <c r="I1086" t="s">
        <v>721</v>
      </c>
      <c r="J1086">
        <v>4</v>
      </c>
      <c r="K1086" t="s">
        <v>669</v>
      </c>
      <c r="L1086">
        <v>635000</v>
      </c>
      <c r="M1086">
        <v>1.6</v>
      </c>
      <c r="N1086">
        <v>8.7387764747766319</v>
      </c>
      <c r="O1086" t="s">
        <v>592</v>
      </c>
      <c r="P1086" t="s">
        <v>593</v>
      </c>
      <c r="Q1086" t="s">
        <v>586</v>
      </c>
      <c r="R1086" t="s">
        <v>712</v>
      </c>
      <c r="S1086" t="s">
        <v>712</v>
      </c>
      <c r="T1086">
        <v>72</v>
      </c>
    </row>
    <row r="1087" spans="1:20" x14ac:dyDescent="0.25">
      <c r="A1087" t="s">
        <v>2249</v>
      </c>
      <c r="B1087" t="s">
        <v>349</v>
      </c>
      <c r="C1087" t="s">
        <v>586</v>
      </c>
      <c r="D1087" t="s">
        <v>631</v>
      </c>
      <c r="E1087" t="s">
        <v>632</v>
      </c>
      <c r="F1087">
        <v>3.5472224380546704</v>
      </c>
      <c r="G1087">
        <v>7.7153750491954165</v>
      </c>
      <c r="H1087" t="s">
        <v>2246</v>
      </c>
      <c r="I1087" t="s">
        <v>721</v>
      </c>
      <c r="J1087">
        <v>4</v>
      </c>
      <c r="K1087" t="s">
        <v>1163</v>
      </c>
      <c r="L1087">
        <v>660000</v>
      </c>
      <c r="M1087">
        <v>1.73</v>
      </c>
      <c r="N1087">
        <v>7.7153750491954165</v>
      </c>
      <c r="O1087" t="s">
        <v>592</v>
      </c>
      <c r="P1087" t="s">
        <v>593</v>
      </c>
      <c r="Q1087" t="s">
        <v>586</v>
      </c>
      <c r="R1087" t="s">
        <v>712</v>
      </c>
      <c r="S1087" t="s">
        <v>712</v>
      </c>
      <c r="T1087">
        <v>63</v>
      </c>
    </row>
    <row r="1088" spans="1:20" x14ac:dyDescent="0.25">
      <c r="A1088" t="s">
        <v>2250</v>
      </c>
      <c r="B1088" t="s">
        <v>349</v>
      </c>
      <c r="C1088" t="s">
        <v>586</v>
      </c>
      <c r="D1088" t="s">
        <v>631</v>
      </c>
      <c r="E1088" t="s">
        <v>632</v>
      </c>
      <c r="F1088">
        <v>4.394032671529299</v>
      </c>
      <c r="G1088">
        <v>13.140453350007464</v>
      </c>
      <c r="H1088" t="s">
        <v>2246</v>
      </c>
      <c r="I1088" t="s">
        <v>721</v>
      </c>
      <c r="J1088">
        <v>4</v>
      </c>
      <c r="K1088" t="s">
        <v>722</v>
      </c>
      <c r="L1088">
        <v>690000</v>
      </c>
      <c r="M1088">
        <v>1.9000000000000001</v>
      </c>
      <c r="N1088">
        <v>13.140453350007464</v>
      </c>
      <c r="O1088" t="s">
        <v>592</v>
      </c>
      <c r="P1088" t="s">
        <v>593</v>
      </c>
      <c r="Q1088" t="s">
        <v>586</v>
      </c>
      <c r="R1088" t="s">
        <v>712</v>
      </c>
      <c r="S1088" t="s">
        <v>712</v>
      </c>
      <c r="T1088">
        <v>54</v>
      </c>
    </row>
    <row r="1089" spans="1:20" x14ac:dyDescent="0.25">
      <c r="A1089" t="s">
        <v>2251</v>
      </c>
      <c r="B1089" t="s">
        <v>315</v>
      </c>
      <c r="C1089" t="s">
        <v>607</v>
      </c>
      <c r="D1089" t="s">
        <v>608</v>
      </c>
      <c r="E1089" t="s">
        <v>1321</v>
      </c>
      <c r="F1089">
        <v>1.5266365968249769</v>
      </c>
      <c r="G1089">
        <v>46.236507294210007</v>
      </c>
      <c r="H1089" t="s">
        <v>892</v>
      </c>
      <c r="I1089" t="s">
        <v>611</v>
      </c>
      <c r="J1089">
        <v>2.5</v>
      </c>
      <c r="K1089" t="s">
        <v>634</v>
      </c>
      <c r="L1089">
        <v>245000</v>
      </c>
      <c r="M1089">
        <v>2.5</v>
      </c>
      <c r="N1089">
        <v>46.236507294210007</v>
      </c>
      <c r="O1089" t="s">
        <v>592</v>
      </c>
      <c r="P1089" t="s">
        <v>613</v>
      </c>
      <c r="Q1089" t="s">
        <v>586</v>
      </c>
      <c r="R1089" t="s">
        <v>712</v>
      </c>
      <c r="S1089" t="s">
        <v>712</v>
      </c>
      <c r="T1089">
        <v>80</v>
      </c>
    </row>
    <row r="1090" spans="1:20" x14ac:dyDescent="0.25">
      <c r="A1090" t="s">
        <v>2252</v>
      </c>
      <c r="B1090" t="s">
        <v>316</v>
      </c>
      <c r="C1090" t="s">
        <v>607</v>
      </c>
      <c r="D1090" t="s">
        <v>608</v>
      </c>
      <c r="E1090" t="s">
        <v>1321</v>
      </c>
      <c r="F1090">
        <v>1.1251682024549421</v>
      </c>
      <c r="G1090">
        <v>35.888481498374873</v>
      </c>
      <c r="H1090" t="s">
        <v>1143</v>
      </c>
      <c r="I1090" t="s">
        <v>611</v>
      </c>
      <c r="J1090">
        <v>4</v>
      </c>
      <c r="K1090" t="s">
        <v>598</v>
      </c>
      <c r="L1090">
        <v>100000</v>
      </c>
      <c r="M1090">
        <v>1.6500000000000001</v>
      </c>
      <c r="N1090">
        <v>35.888481498374873</v>
      </c>
      <c r="O1090" t="s">
        <v>592</v>
      </c>
      <c r="P1090" t="s">
        <v>613</v>
      </c>
      <c r="Q1090" t="s">
        <v>586</v>
      </c>
      <c r="R1090" t="s">
        <v>712</v>
      </c>
      <c r="S1090" t="s">
        <v>712</v>
      </c>
      <c r="T1090">
        <v>92</v>
      </c>
    </row>
    <row r="1091" spans="1:20" x14ac:dyDescent="0.25">
      <c r="A1091" t="s">
        <v>2253</v>
      </c>
      <c r="B1091" t="s">
        <v>317</v>
      </c>
      <c r="C1091" t="s">
        <v>607</v>
      </c>
      <c r="D1091" t="s">
        <v>608</v>
      </c>
      <c r="E1091" t="s">
        <v>1321</v>
      </c>
      <c r="F1091">
        <v>8.0467407411458788E-2</v>
      </c>
      <c r="G1091">
        <v>46.914959291714588</v>
      </c>
      <c r="H1091" t="s">
        <v>1041</v>
      </c>
      <c r="I1091" t="s">
        <v>611</v>
      </c>
      <c r="J1091">
        <v>3</v>
      </c>
      <c r="K1091" t="s">
        <v>950</v>
      </c>
      <c r="L1091">
        <v>100000</v>
      </c>
      <c r="M1091">
        <v>2.25</v>
      </c>
      <c r="N1091">
        <v>46.914959291714588</v>
      </c>
      <c r="O1091" t="s">
        <v>592</v>
      </c>
      <c r="P1091" t="s">
        <v>613</v>
      </c>
      <c r="Q1091" t="s">
        <v>586</v>
      </c>
      <c r="R1091" t="s">
        <v>712</v>
      </c>
      <c r="S1091" t="s">
        <v>712</v>
      </c>
      <c r="T1091">
        <v>82</v>
      </c>
    </row>
    <row r="1092" spans="1:20" x14ac:dyDescent="0.25">
      <c r="A1092" t="s">
        <v>2254</v>
      </c>
      <c r="B1092" t="s">
        <v>318</v>
      </c>
      <c r="C1092" t="s">
        <v>586</v>
      </c>
      <c r="D1092" t="s">
        <v>608</v>
      </c>
      <c r="E1092" t="s">
        <v>1321</v>
      </c>
      <c r="F1092">
        <v>8.0459446508113708E-2</v>
      </c>
      <c r="G1092">
        <v>96.66712506677537</v>
      </c>
      <c r="H1092" t="s">
        <v>761</v>
      </c>
      <c r="I1092" t="s">
        <v>611</v>
      </c>
      <c r="J1092">
        <v>2.25</v>
      </c>
      <c r="K1092" t="s">
        <v>950</v>
      </c>
      <c r="L1092">
        <v>150000</v>
      </c>
      <c r="M1092">
        <v>2.35</v>
      </c>
      <c r="N1092">
        <v>96.66712506677537</v>
      </c>
      <c r="O1092" t="s">
        <v>592</v>
      </c>
      <c r="P1092" t="s">
        <v>613</v>
      </c>
      <c r="Q1092" t="s">
        <v>586</v>
      </c>
      <c r="R1092" t="s">
        <v>712</v>
      </c>
      <c r="S1092" t="s">
        <v>712</v>
      </c>
      <c r="T1092">
        <v>99</v>
      </c>
    </row>
    <row r="1093" spans="1:20" x14ac:dyDescent="0.25">
      <c r="A1093" t="s">
        <v>2255</v>
      </c>
      <c r="B1093" t="s">
        <v>319</v>
      </c>
      <c r="C1093" t="s">
        <v>586</v>
      </c>
      <c r="D1093" t="s">
        <v>608</v>
      </c>
      <c r="E1093" t="s">
        <v>1321</v>
      </c>
      <c r="F1093">
        <v>8.0459470903986502E-2</v>
      </c>
      <c r="G1093">
        <v>103.87682252678221</v>
      </c>
      <c r="H1093" t="s">
        <v>1143</v>
      </c>
      <c r="I1093" t="s">
        <v>1137</v>
      </c>
      <c r="J1093">
        <v>3</v>
      </c>
      <c r="K1093" t="s">
        <v>950</v>
      </c>
      <c r="L1093">
        <v>260000</v>
      </c>
      <c r="M1093">
        <v>2.2000000000000002</v>
      </c>
      <c r="N1093">
        <v>103.87682252678221</v>
      </c>
      <c r="O1093" t="s">
        <v>592</v>
      </c>
      <c r="P1093" t="s">
        <v>613</v>
      </c>
      <c r="Q1093" t="s">
        <v>586</v>
      </c>
      <c r="R1093" t="s">
        <v>712</v>
      </c>
      <c r="S1093" t="s">
        <v>712</v>
      </c>
      <c r="T1093">
        <v>98</v>
      </c>
    </row>
    <row r="1094" spans="1:20" x14ac:dyDescent="0.25">
      <c r="A1094" t="s">
        <v>2256</v>
      </c>
      <c r="B1094" t="s">
        <v>319</v>
      </c>
      <c r="C1094" t="s">
        <v>586</v>
      </c>
      <c r="D1094" t="s">
        <v>608</v>
      </c>
      <c r="E1094" t="s">
        <v>1321</v>
      </c>
      <c r="F1094">
        <v>1.0477482866223664</v>
      </c>
      <c r="G1094">
        <v>109.11132521272258</v>
      </c>
      <c r="H1094" t="s">
        <v>1143</v>
      </c>
      <c r="I1094" t="s">
        <v>1137</v>
      </c>
      <c r="J1094">
        <v>3</v>
      </c>
      <c r="K1094" t="s">
        <v>612</v>
      </c>
      <c r="L1094">
        <v>260000</v>
      </c>
      <c r="M1094">
        <v>2.4000000000000004</v>
      </c>
      <c r="N1094">
        <v>109.11132521272258</v>
      </c>
      <c r="O1094" t="s">
        <v>592</v>
      </c>
      <c r="P1094" t="s">
        <v>613</v>
      </c>
      <c r="Q1094" t="s">
        <v>586</v>
      </c>
      <c r="R1094" t="s">
        <v>712</v>
      </c>
      <c r="S1094" t="s">
        <v>712</v>
      </c>
      <c r="T1094">
        <v>81</v>
      </c>
    </row>
    <row r="1095" spans="1:20" x14ac:dyDescent="0.25">
      <c r="A1095" t="s">
        <v>2257</v>
      </c>
      <c r="B1095" t="s">
        <v>319</v>
      </c>
      <c r="C1095" t="s">
        <v>586</v>
      </c>
      <c r="D1095" t="s">
        <v>608</v>
      </c>
      <c r="E1095" t="s">
        <v>1321</v>
      </c>
      <c r="F1095">
        <v>1.985277408980713</v>
      </c>
      <c r="G1095">
        <v>114.01423726458239</v>
      </c>
      <c r="H1095" t="s">
        <v>1143</v>
      </c>
      <c r="I1095" t="s">
        <v>1137</v>
      </c>
      <c r="J1095">
        <v>3</v>
      </c>
      <c r="K1095" t="s">
        <v>956</v>
      </c>
      <c r="L1095">
        <v>260000</v>
      </c>
      <c r="M1095">
        <v>2.6</v>
      </c>
      <c r="N1095">
        <v>114.01423726458239</v>
      </c>
      <c r="O1095" t="s">
        <v>592</v>
      </c>
      <c r="P1095" t="s">
        <v>613</v>
      </c>
      <c r="Q1095" t="s">
        <v>586</v>
      </c>
      <c r="R1095" t="s">
        <v>712</v>
      </c>
      <c r="S1095" t="s">
        <v>712</v>
      </c>
      <c r="T1095">
        <v>68</v>
      </c>
    </row>
    <row r="1096" spans="1:20" x14ac:dyDescent="0.25">
      <c r="A1096" t="s">
        <v>2258</v>
      </c>
      <c r="B1096" t="s">
        <v>335</v>
      </c>
      <c r="C1096" t="s">
        <v>607</v>
      </c>
      <c r="D1096" t="s">
        <v>608</v>
      </c>
      <c r="E1096" t="s">
        <v>1321</v>
      </c>
      <c r="F1096">
        <v>1.9873795501799392</v>
      </c>
      <c r="G1096">
        <v>91.045611347700699</v>
      </c>
      <c r="H1096" t="s">
        <v>672</v>
      </c>
      <c r="I1096" t="s">
        <v>611</v>
      </c>
      <c r="J1096">
        <v>3</v>
      </c>
      <c r="K1096" t="s">
        <v>956</v>
      </c>
      <c r="L1096">
        <v>110000</v>
      </c>
      <c r="M1096">
        <v>2.8000000000000003</v>
      </c>
      <c r="N1096">
        <v>91.045611347700699</v>
      </c>
      <c r="O1096" t="s">
        <v>592</v>
      </c>
      <c r="P1096" t="s">
        <v>613</v>
      </c>
      <c r="Q1096" t="s">
        <v>586</v>
      </c>
      <c r="R1096" t="s">
        <v>712</v>
      </c>
      <c r="S1096" t="s">
        <v>712</v>
      </c>
      <c r="T1096">
        <v>79</v>
      </c>
    </row>
    <row r="1097" spans="1:20" x14ac:dyDescent="0.25">
      <c r="A1097" t="s">
        <v>2259</v>
      </c>
      <c r="B1097" t="s">
        <v>120</v>
      </c>
      <c r="C1097" t="s">
        <v>607</v>
      </c>
      <c r="D1097" t="s">
        <v>608</v>
      </c>
      <c r="E1097" t="s">
        <v>756</v>
      </c>
      <c r="F1097">
        <v>1.0353740150105906</v>
      </c>
      <c r="G1097">
        <v>66.642613242156216</v>
      </c>
      <c r="H1097" t="s">
        <v>672</v>
      </c>
      <c r="I1097" t="s">
        <v>820</v>
      </c>
      <c r="J1097">
        <v>5</v>
      </c>
      <c r="K1097" t="s">
        <v>612</v>
      </c>
      <c r="L1097">
        <v>135000</v>
      </c>
      <c r="M1097">
        <v>2.4000000000000004</v>
      </c>
      <c r="N1097">
        <v>66.642613242156216</v>
      </c>
      <c r="O1097" t="s">
        <v>592</v>
      </c>
      <c r="P1097" t="s">
        <v>621</v>
      </c>
      <c r="Q1097" t="s">
        <v>586</v>
      </c>
      <c r="R1097" t="s">
        <v>712</v>
      </c>
      <c r="S1097" t="s">
        <v>712</v>
      </c>
      <c r="T1097">
        <v>89</v>
      </c>
    </row>
    <row r="1098" spans="1:20" x14ac:dyDescent="0.25">
      <c r="A1098" t="s">
        <v>2260</v>
      </c>
      <c r="B1098" t="s">
        <v>336</v>
      </c>
      <c r="C1098" t="s">
        <v>586</v>
      </c>
      <c r="D1098" t="s">
        <v>608</v>
      </c>
      <c r="E1098" t="s">
        <v>756</v>
      </c>
      <c r="F1098">
        <v>8.0455794854330479E-2</v>
      </c>
      <c r="G1098">
        <v>87.794039613105596</v>
      </c>
      <c r="H1098" t="s">
        <v>892</v>
      </c>
      <c r="I1098" t="s">
        <v>885</v>
      </c>
      <c r="J1098">
        <v>2.5</v>
      </c>
      <c r="K1098" t="s">
        <v>950</v>
      </c>
      <c r="L1098">
        <v>170000</v>
      </c>
      <c r="M1098">
        <v>2.5</v>
      </c>
      <c r="N1098">
        <v>87.794039613105596</v>
      </c>
      <c r="O1098" t="s">
        <v>592</v>
      </c>
      <c r="P1098" t="s">
        <v>613</v>
      </c>
      <c r="Q1098" t="s">
        <v>586</v>
      </c>
      <c r="R1098" t="s">
        <v>712</v>
      </c>
      <c r="S1098" t="s">
        <v>712</v>
      </c>
      <c r="T1098">
        <v>99</v>
      </c>
    </row>
    <row r="1099" spans="1:20" x14ac:dyDescent="0.25">
      <c r="A1099" t="s">
        <v>2261</v>
      </c>
      <c r="B1099" t="s">
        <v>337</v>
      </c>
      <c r="C1099" t="s">
        <v>586</v>
      </c>
      <c r="D1099" t="s">
        <v>608</v>
      </c>
      <c r="E1099" t="s">
        <v>1321</v>
      </c>
      <c r="F1099">
        <v>1.0464475595924343</v>
      </c>
      <c r="G1099">
        <v>79.5489824956652</v>
      </c>
      <c r="H1099" t="s">
        <v>1757</v>
      </c>
      <c r="I1099" t="s">
        <v>1591</v>
      </c>
      <c r="J1099">
        <v>3</v>
      </c>
      <c r="K1099" t="s">
        <v>612</v>
      </c>
      <c r="L1099">
        <v>230000</v>
      </c>
      <c r="M1099">
        <v>2.75</v>
      </c>
      <c r="N1099">
        <v>79.5489824956652</v>
      </c>
      <c r="O1099" t="s">
        <v>592</v>
      </c>
      <c r="P1099" t="s">
        <v>621</v>
      </c>
      <c r="Q1099" t="s">
        <v>586</v>
      </c>
      <c r="R1099">
        <v>15000</v>
      </c>
      <c r="S1099" t="s">
        <v>712</v>
      </c>
      <c r="T1099">
        <v>84</v>
      </c>
    </row>
    <row r="1100" spans="1:20" x14ac:dyDescent="0.25">
      <c r="A1100" t="s">
        <v>2262</v>
      </c>
      <c r="B1100" t="s">
        <v>350</v>
      </c>
      <c r="C1100" t="s">
        <v>586</v>
      </c>
      <c r="D1100" t="s">
        <v>608</v>
      </c>
      <c r="E1100" t="s">
        <v>1321</v>
      </c>
      <c r="F1100">
        <v>0.65140074075565813</v>
      </c>
      <c r="G1100">
        <v>119.3228493150685</v>
      </c>
      <c r="H1100" t="s">
        <v>610</v>
      </c>
      <c r="I1100" t="s">
        <v>820</v>
      </c>
      <c r="J1100">
        <v>2.75</v>
      </c>
      <c r="K1100" t="s">
        <v>787</v>
      </c>
      <c r="L1100">
        <v>75000</v>
      </c>
      <c r="M1100">
        <v>2.75</v>
      </c>
      <c r="N1100">
        <v>119.3228493150685</v>
      </c>
      <c r="O1100" t="s">
        <v>592</v>
      </c>
      <c r="P1100" t="s">
        <v>613</v>
      </c>
      <c r="Q1100" t="s">
        <v>586</v>
      </c>
      <c r="R1100" t="s">
        <v>712</v>
      </c>
      <c r="S1100" t="s">
        <v>712</v>
      </c>
      <c r="T1100">
        <v>89</v>
      </c>
    </row>
    <row r="1101" spans="1:20" x14ac:dyDescent="0.25">
      <c r="A1101" t="s">
        <v>2263</v>
      </c>
      <c r="B1101" t="s">
        <v>338</v>
      </c>
      <c r="C1101" t="s">
        <v>586</v>
      </c>
      <c r="D1101" t="s">
        <v>608</v>
      </c>
      <c r="E1101" t="s">
        <v>756</v>
      </c>
      <c r="F1101">
        <v>8.0459470903986502E-2</v>
      </c>
      <c r="G1101">
        <v>77.581751676206622</v>
      </c>
      <c r="H1101" t="s">
        <v>639</v>
      </c>
      <c r="I1101" t="s">
        <v>1591</v>
      </c>
      <c r="J1101">
        <v>3</v>
      </c>
      <c r="K1101" t="s">
        <v>950</v>
      </c>
      <c r="L1101">
        <v>100000</v>
      </c>
      <c r="M1101">
        <v>2.5</v>
      </c>
      <c r="N1101">
        <v>77.581751676206622</v>
      </c>
      <c r="O1101" t="s">
        <v>592</v>
      </c>
      <c r="P1101" t="s">
        <v>613</v>
      </c>
      <c r="Q1101" t="s">
        <v>586</v>
      </c>
      <c r="R1101" t="s">
        <v>712</v>
      </c>
      <c r="S1101" t="s">
        <v>712</v>
      </c>
      <c r="T1101">
        <v>98</v>
      </c>
    </row>
    <row r="1102" spans="1:20" x14ac:dyDescent="0.25">
      <c r="A1102" t="s">
        <v>2264</v>
      </c>
      <c r="B1102" t="s">
        <v>241</v>
      </c>
      <c r="C1102" t="s">
        <v>586</v>
      </c>
      <c r="D1102" t="s">
        <v>707</v>
      </c>
      <c r="E1102" t="s">
        <v>1717</v>
      </c>
      <c r="F1102">
        <v>0.16365457667741243</v>
      </c>
      <c r="G1102">
        <v>10.57230684931505</v>
      </c>
      <c r="H1102" t="s">
        <v>1718</v>
      </c>
      <c r="I1102" t="s">
        <v>733</v>
      </c>
      <c r="J1102">
        <v>5</v>
      </c>
      <c r="K1102" t="s">
        <v>749</v>
      </c>
      <c r="L1102">
        <v>705000</v>
      </c>
      <c r="M1102">
        <v>1.3800000000000001</v>
      </c>
      <c r="N1102">
        <v>10.57230684931505</v>
      </c>
      <c r="O1102" t="s">
        <v>592</v>
      </c>
      <c r="P1102" t="s">
        <v>593</v>
      </c>
      <c r="Q1102" t="s">
        <v>586</v>
      </c>
      <c r="R1102" t="s">
        <v>712</v>
      </c>
      <c r="S1102" t="s">
        <v>712</v>
      </c>
      <c r="T1102">
        <v>96</v>
      </c>
    </row>
    <row r="1103" spans="1:20" x14ac:dyDescent="0.25">
      <c r="A1103" t="s">
        <v>2265</v>
      </c>
      <c r="B1103" t="s">
        <v>241</v>
      </c>
      <c r="C1103" t="s">
        <v>586</v>
      </c>
      <c r="D1103" t="s">
        <v>707</v>
      </c>
      <c r="E1103" t="s">
        <v>1717</v>
      </c>
      <c r="F1103">
        <v>2.0330732040547819</v>
      </c>
      <c r="G1103">
        <v>12.923241095890404</v>
      </c>
      <c r="H1103" t="s">
        <v>1718</v>
      </c>
      <c r="I1103" t="s">
        <v>733</v>
      </c>
      <c r="J1103">
        <v>5</v>
      </c>
      <c r="K1103" t="s">
        <v>651</v>
      </c>
      <c r="L1103">
        <v>725000</v>
      </c>
      <c r="M1103">
        <v>1.68</v>
      </c>
      <c r="N1103">
        <v>12.923241095890404</v>
      </c>
      <c r="O1103" t="s">
        <v>592</v>
      </c>
      <c r="P1103" t="s">
        <v>593</v>
      </c>
      <c r="Q1103" t="s">
        <v>586</v>
      </c>
      <c r="R1103" t="s">
        <v>712</v>
      </c>
      <c r="S1103" t="s">
        <v>712</v>
      </c>
      <c r="T1103">
        <v>80</v>
      </c>
    </row>
    <row r="1104" spans="1:20" x14ac:dyDescent="0.25">
      <c r="A1104" t="s">
        <v>2266</v>
      </c>
      <c r="B1104" t="s">
        <v>344</v>
      </c>
      <c r="C1104" t="s">
        <v>607</v>
      </c>
      <c r="D1104" t="s">
        <v>601</v>
      </c>
      <c r="E1104" t="s">
        <v>2220</v>
      </c>
      <c r="F1104">
        <v>0.45038288858369674</v>
      </c>
      <c r="G1104">
        <v>17.686222249338957</v>
      </c>
      <c r="H1104" t="s">
        <v>2221</v>
      </c>
      <c r="I1104" t="s">
        <v>721</v>
      </c>
      <c r="J1104">
        <v>2.5</v>
      </c>
      <c r="K1104" t="s">
        <v>2117</v>
      </c>
      <c r="L1104">
        <v>105000</v>
      </c>
      <c r="M1104">
        <v>2</v>
      </c>
      <c r="N1104">
        <v>17.686222249338957</v>
      </c>
      <c r="O1104" t="s">
        <v>592</v>
      </c>
      <c r="P1104" t="s">
        <v>711</v>
      </c>
      <c r="Q1104" t="s">
        <v>586</v>
      </c>
      <c r="R1104" t="s">
        <v>712</v>
      </c>
      <c r="S1104" t="s">
        <v>594</v>
      </c>
      <c r="T1104">
        <v>94</v>
      </c>
    </row>
    <row r="1105" spans="1:20" x14ac:dyDescent="0.25">
      <c r="A1105" t="s">
        <v>2267</v>
      </c>
      <c r="B1105" t="s">
        <v>351</v>
      </c>
      <c r="C1105" t="s">
        <v>586</v>
      </c>
      <c r="D1105" t="s">
        <v>770</v>
      </c>
      <c r="E1105" t="s">
        <v>2268</v>
      </c>
      <c r="F1105">
        <v>5.5546433128695763E-3</v>
      </c>
      <c r="G1105">
        <v>22.508122543202735</v>
      </c>
      <c r="H1105" t="s">
        <v>2269</v>
      </c>
      <c r="I1105" t="s">
        <v>877</v>
      </c>
      <c r="J1105">
        <v>3</v>
      </c>
      <c r="K1105" t="s">
        <v>995</v>
      </c>
      <c r="L1105">
        <v>270000</v>
      </c>
      <c r="M1105">
        <v>1.6600000000000001</v>
      </c>
      <c r="N1105">
        <v>22.508122543202735</v>
      </c>
      <c r="O1105" t="s">
        <v>592</v>
      </c>
      <c r="P1105" t="s">
        <v>613</v>
      </c>
      <c r="Q1105" t="s">
        <v>586</v>
      </c>
      <c r="R1105" t="s">
        <v>712</v>
      </c>
      <c r="S1105" t="s">
        <v>712</v>
      </c>
      <c r="T1105">
        <v>97</v>
      </c>
    </row>
    <row r="1106" spans="1:20" x14ac:dyDescent="0.25">
      <c r="A1106" t="s">
        <v>2270</v>
      </c>
      <c r="B1106" t="s">
        <v>351</v>
      </c>
      <c r="C1106" t="s">
        <v>586</v>
      </c>
      <c r="D1106" t="s">
        <v>770</v>
      </c>
      <c r="E1106" t="s">
        <v>2268</v>
      </c>
      <c r="F1106">
        <v>3.7051942967704208</v>
      </c>
      <c r="G1106">
        <v>23.572973504396888</v>
      </c>
      <c r="H1106" t="s">
        <v>2269</v>
      </c>
      <c r="I1106" t="s">
        <v>877</v>
      </c>
      <c r="J1106">
        <v>4</v>
      </c>
      <c r="K1106" t="s">
        <v>620</v>
      </c>
      <c r="L1106">
        <v>365000</v>
      </c>
      <c r="M1106">
        <v>2.29</v>
      </c>
      <c r="N1106">
        <v>23.572973504396888</v>
      </c>
      <c r="O1106" t="s">
        <v>592</v>
      </c>
      <c r="P1106" t="s">
        <v>613</v>
      </c>
      <c r="Q1106" t="s">
        <v>586</v>
      </c>
      <c r="R1106" t="s">
        <v>712</v>
      </c>
      <c r="S1106" t="s">
        <v>712</v>
      </c>
      <c r="T1106">
        <v>41</v>
      </c>
    </row>
    <row r="1107" spans="1:20" x14ac:dyDescent="0.25">
      <c r="A1107" t="s">
        <v>2271</v>
      </c>
      <c r="B1107" t="s">
        <v>352</v>
      </c>
      <c r="C1107" t="s">
        <v>586</v>
      </c>
      <c r="D1107" t="s">
        <v>587</v>
      </c>
      <c r="E1107" t="s">
        <v>1245</v>
      </c>
      <c r="F1107">
        <v>1.0496165592545441</v>
      </c>
      <c r="G1107">
        <v>64.302331506849342</v>
      </c>
      <c r="H1107" t="s">
        <v>888</v>
      </c>
      <c r="I1107" t="s">
        <v>611</v>
      </c>
      <c r="J1107">
        <v>3</v>
      </c>
      <c r="K1107" t="s">
        <v>612</v>
      </c>
      <c r="L1107">
        <v>55000</v>
      </c>
      <c r="M1107">
        <v>2.1800000000000002</v>
      </c>
      <c r="N1107">
        <v>64.302331506849342</v>
      </c>
      <c r="O1107" t="s">
        <v>592</v>
      </c>
      <c r="P1107" t="s">
        <v>593</v>
      </c>
      <c r="Q1107" t="s">
        <v>586</v>
      </c>
      <c r="R1107" t="s">
        <v>712</v>
      </c>
      <c r="S1107" t="s">
        <v>712</v>
      </c>
      <c r="T1107">
        <v>80</v>
      </c>
    </row>
    <row r="1108" spans="1:20" x14ac:dyDescent="0.25">
      <c r="A1108" t="s">
        <v>2272</v>
      </c>
      <c r="B1108" t="s">
        <v>352</v>
      </c>
      <c r="C1108" t="s">
        <v>586</v>
      </c>
      <c r="D1108" t="s">
        <v>587</v>
      </c>
      <c r="E1108" t="s">
        <v>1245</v>
      </c>
      <c r="F1108">
        <v>1.0496165592545441</v>
      </c>
      <c r="G1108">
        <v>69.302331506849328</v>
      </c>
      <c r="H1108" t="s">
        <v>888</v>
      </c>
      <c r="I1108" t="s">
        <v>611</v>
      </c>
      <c r="J1108">
        <v>3</v>
      </c>
      <c r="K1108" t="s">
        <v>612</v>
      </c>
      <c r="L1108">
        <v>75000</v>
      </c>
      <c r="M1108">
        <v>2.23</v>
      </c>
      <c r="N1108">
        <v>69.302331506849328</v>
      </c>
      <c r="O1108" t="s">
        <v>592</v>
      </c>
      <c r="P1108" t="s">
        <v>593</v>
      </c>
      <c r="Q1108" t="s">
        <v>586</v>
      </c>
      <c r="R1108" t="s">
        <v>712</v>
      </c>
      <c r="S1108" t="s">
        <v>712</v>
      </c>
      <c r="T1108">
        <v>81</v>
      </c>
    </row>
    <row r="1109" spans="1:20" x14ac:dyDescent="0.25">
      <c r="A1109" t="s">
        <v>2273</v>
      </c>
      <c r="B1109" t="s">
        <v>40</v>
      </c>
      <c r="C1109" t="s">
        <v>586</v>
      </c>
      <c r="D1109" t="s">
        <v>690</v>
      </c>
      <c r="E1109" t="s">
        <v>719</v>
      </c>
      <c r="F1109">
        <v>1.756405948531039</v>
      </c>
      <c r="G1109">
        <v>6.9165395627452275</v>
      </c>
      <c r="H1109" t="s">
        <v>720</v>
      </c>
      <c r="I1109" t="s">
        <v>721</v>
      </c>
      <c r="J1109">
        <v>4</v>
      </c>
      <c r="K1109" t="s">
        <v>1114</v>
      </c>
      <c r="L1109">
        <v>245000</v>
      </c>
      <c r="M1109">
        <v>1.75</v>
      </c>
      <c r="N1109">
        <v>6.9165395627452275</v>
      </c>
      <c r="O1109" t="s">
        <v>592</v>
      </c>
      <c r="P1109" t="s">
        <v>711</v>
      </c>
      <c r="Q1109" t="s">
        <v>586</v>
      </c>
      <c r="R1109" t="s">
        <v>712</v>
      </c>
      <c r="S1109" t="s">
        <v>594</v>
      </c>
      <c r="T1109">
        <v>81</v>
      </c>
    </row>
    <row r="1110" spans="1:20" x14ac:dyDescent="0.25">
      <c r="A1110" t="s">
        <v>2274</v>
      </c>
      <c r="B1110" t="s">
        <v>40</v>
      </c>
      <c r="C1110" t="s">
        <v>586</v>
      </c>
      <c r="D1110" t="s">
        <v>690</v>
      </c>
      <c r="E1110" t="s">
        <v>719</v>
      </c>
      <c r="F1110">
        <v>3.594613893095151</v>
      </c>
      <c r="G1110">
        <v>11.20468840208655</v>
      </c>
      <c r="H1110" t="s">
        <v>720</v>
      </c>
      <c r="I1110" t="s">
        <v>721</v>
      </c>
      <c r="J1110">
        <v>3</v>
      </c>
      <c r="K1110" t="s">
        <v>1163</v>
      </c>
      <c r="L1110">
        <v>270000</v>
      </c>
      <c r="M1110">
        <v>2.1</v>
      </c>
      <c r="N1110">
        <v>11.20468840208655</v>
      </c>
      <c r="O1110" t="s">
        <v>592</v>
      </c>
      <c r="P1110" t="s">
        <v>711</v>
      </c>
      <c r="Q1110" t="s">
        <v>586</v>
      </c>
      <c r="R1110" t="s">
        <v>712</v>
      </c>
      <c r="S1110" t="s">
        <v>594</v>
      </c>
      <c r="T1110">
        <v>63</v>
      </c>
    </row>
    <row r="1111" spans="1:20" x14ac:dyDescent="0.25">
      <c r="A1111" t="s">
        <v>2275</v>
      </c>
      <c r="B1111" t="s">
        <v>40</v>
      </c>
      <c r="C1111" t="s">
        <v>586</v>
      </c>
      <c r="D1111" t="s">
        <v>690</v>
      </c>
      <c r="E1111" t="s">
        <v>719</v>
      </c>
      <c r="F1111">
        <v>1.7590135675875955</v>
      </c>
      <c r="G1111">
        <v>44.736537378378394</v>
      </c>
      <c r="H1111" t="s">
        <v>720</v>
      </c>
      <c r="I1111" t="s">
        <v>721</v>
      </c>
      <c r="J1111">
        <v>3</v>
      </c>
      <c r="K1111" t="s">
        <v>1114</v>
      </c>
      <c r="L1111">
        <v>70000</v>
      </c>
      <c r="M1111">
        <v>2.6</v>
      </c>
      <c r="N1111">
        <v>44.736537378378394</v>
      </c>
      <c r="O1111" t="s">
        <v>592</v>
      </c>
      <c r="P1111" t="s">
        <v>723</v>
      </c>
      <c r="Q1111" t="s">
        <v>607</v>
      </c>
      <c r="R1111" t="s">
        <v>712</v>
      </c>
      <c r="S1111" t="s">
        <v>594</v>
      </c>
      <c r="T1111">
        <v>76</v>
      </c>
    </row>
    <row r="1112" spans="1:20" x14ac:dyDescent="0.25">
      <c r="A1112" t="s">
        <v>2276</v>
      </c>
      <c r="B1112" t="s">
        <v>353</v>
      </c>
      <c r="C1112" t="s">
        <v>586</v>
      </c>
      <c r="D1112" t="s">
        <v>608</v>
      </c>
      <c r="E1112" t="s">
        <v>671</v>
      </c>
      <c r="F1112">
        <v>1.4615602711424891</v>
      </c>
      <c r="G1112">
        <v>25.135756164383572</v>
      </c>
      <c r="H1112" t="s">
        <v>610</v>
      </c>
      <c r="I1112" t="s">
        <v>885</v>
      </c>
      <c r="J1112">
        <v>3</v>
      </c>
      <c r="K1112" t="s">
        <v>780</v>
      </c>
      <c r="L1112">
        <v>450000</v>
      </c>
      <c r="M1112">
        <v>1.95</v>
      </c>
      <c r="N1112">
        <v>25.135756164383572</v>
      </c>
      <c r="O1112" t="s">
        <v>592</v>
      </c>
      <c r="P1112" t="s">
        <v>613</v>
      </c>
      <c r="Q1112" t="s">
        <v>586</v>
      </c>
      <c r="R1112" t="s">
        <v>712</v>
      </c>
      <c r="S1112" t="s">
        <v>712</v>
      </c>
      <c r="T1112">
        <v>76</v>
      </c>
    </row>
    <row r="1113" spans="1:20" x14ac:dyDescent="0.25">
      <c r="A1113" t="s">
        <v>2277</v>
      </c>
      <c r="B1113" t="s">
        <v>353</v>
      </c>
      <c r="C1113" t="s">
        <v>586</v>
      </c>
      <c r="D1113" t="s">
        <v>608</v>
      </c>
      <c r="E1113" t="s">
        <v>671</v>
      </c>
      <c r="F1113">
        <v>4.1286468697961949</v>
      </c>
      <c r="G1113">
        <v>28.667172602739743</v>
      </c>
      <c r="H1113" t="s">
        <v>610</v>
      </c>
      <c r="I1113" t="s">
        <v>885</v>
      </c>
      <c r="J1113">
        <v>4</v>
      </c>
      <c r="K1113" t="s">
        <v>1319</v>
      </c>
      <c r="L1113">
        <v>505000</v>
      </c>
      <c r="M1113">
        <v>2.2000000000000002</v>
      </c>
      <c r="N1113">
        <v>28.667172602739743</v>
      </c>
      <c r="O1113" t="s">
        <v>592</v>
      </c>
      <c r="P1113" t="s">
        <v>613</v>
      </c>
      <c r="Q1113" t="s">
        <v>586</v>
      </c>
      <c r="R1113" t="s">
        <v>712</v>
      </c>
      <c r="S1113" t="s">
        <v>712</v>
      </c>
      <c r="T1113">
        <v>58</v>
      </c>
    </row>
    <row r="1114" spans="1:20" x14ac:dyDescent="0.25">
      <c r="A1114" t="s">
        <v>2278</v>
      </c>
      <c r="B1114" t="s">
        <v>134</v>
      </c>
      <c r="C1114" t="s">
        <v>586</v>
      </c>
      <c r="D1114" t="s">
        <v>608</v>
      </c>
      <c r="E1114" t="s">
        <v>1142</v>
      </c>
      <c r="F1114">
        <v>3.0678011584863225</v>
      </c>
      <c r="G1114">
        <v>29.921960676706405</v>
      </c>
      <c r="H1114" t="s">
        <v>1143</v>
      </c>
      <c r="I1114" t="s">
        <v>721</v>
      </c>
      <c r="J1114">
        <v>4</v>
      </c>
      <c r="K1114" t="s">
        <v>2279</v>
      </c>
      <c r="L1114">
        <v>920000</v>
      </c>
      <c r="M1114">
        <v>1.92</v>
      </c>
      <c r="N1114">
        <v>29.921960676706405</v>
      </c>
      <c r="O1114" t="s">
        <v>592</v>
      </c>
      <c r="P1114" t="s">
        <v>621</v>
      </c>
      <c r="Q1114" t="s">
        <v>586</v>
      </c>
      <c r="R1114" t="s">
        <v>712</v>
      </c>
      <c r="S1114" t="s">
        <v>652</v>
      </c>
      <c r="T1114">
        <v>64</v>
      </c>
    </row>
    <row r="1115" spans="1:20" x14ac:dyDescent="0.25">
      <c r="A1115" t="s">
        <v>2280</v>
      </c>
      <c r="B1115" t="s">
        <v>354</v>
      </c>
      <c r="C1115" t="s">
        <v>586</v>
      </c>
      <c r="D1115" t="s">
        <v>608</v>
      </c>
      <c r="E1115" t="s">
        <v>2242</v>
      </c>
      <c r="F1115">
        <v>0.52523922922107102</v>
      </c>
      <c r="G1115">
        <v>30.444213174277589</v>
      </c>
      <c r="H1115" t="s">
        <v>1477</v>
      </c>
      <c r="I1115" t="s">
        <v>1611</v>
      </c>
      <c r="J1115">
        <v>3</v>
      </c>
      <c r="K1115" t="s">
        <v>1005</v>
      </c>
      <c r="L1115">
        <v>300000</v>
      </c>
      <c r="M1115">
        <v>1.8</v>
      </c>
      <c r="N1115">
        <v>30.444213174277589</v>
      </c>
      <c r="O1115" t="s">
        <v>592</v>
      </c>
      <c r="P1115" t="s">
        <v>613</v>
      </c>
      <c r="Q1115" t="s">
        <v>586</v>
      </c>
      <c r="R1115" t="s">
        <v>712</v>
      </c>
      <c r="S1115" t="s">
        <v>594</v>
      </c>
      <c r="T1115">
        <v>89</v>
      </c>
    </row>
    <row r="1116" spans="1:20" x14ac:dyDescent="0.25">
      <c r="A1116" t="s">
        <v>2281</v>
      </c>
      <c r="B1116" t="s">
        <v>354</v>
      </c>
      <c r="C1116" t="s">
        <v>586</v>
      </c>
      <c r="D1116" t="s">
        <v>608</v>
      </c>
      <c r="E1116" t="s">
        <v>2242</v>
      </c>
      <c r="F1116">
        <v>1.4787127404535467</v>
      </c>
      <c r="G1116">
        <v>23.915077720727584</v>
      </c>
      <c r="H1116" t="s">
        <v>1477</v>
      </c>
      <c r="I1116" t="s">
        <v>1611</v>
      </c>
      <c r="J1116">
        <v>3</v>
      </c>
      <c r="K1116" t="s">
        <v>1001</v>
      </c>
      <c r="L1116">
        <v>305000</v>
      </c>
      <c r="M1116">
        <v>1.9000000000000001</v>
      </c>
      <c r="N1116">
        <v>23.915077720727584</v>
      </c>
      <c r="O1116" t="s">
        <v>592</v>
      </c>
      <c r="P1116" t="s">
        <v>613</v>
      </c>
      <c r="Q1116" t="s">
        <v>586</v>
      </c>
      <c r="R1116" t="s">
        <v>712</v>
      </c>
      <c r="S1116" t="s">
        <v>594</v>
      </c>
      <c r="T1116">
        <v>78</v>
      </c>
    </row>
    <row r="1117" spans="1:20" x14ac:dyDescent="0.25">
      <c r="A1117" t="s">
        <v>2282</v>
      </c>
      <c r="B1117" t="s">
        <v>354</v>
      </c>
      <c r="C1117" t="s">
        <v>586</v>
      </c>
      <c r="D1117" t="s">
        <v>608</v>
      </c>
      <c r="E1117" t="s">
        <v>2242</v>
      </c>
      <c r="F1117">
        <v>2.4042917236183445</v>
      </c>
      <c r="G1117">
        <v>17.552099693620459</v>
      </c>
      <c r="H1117" t="s">
        <v>1477</v>
      </c>
      <c r="I1117" t="s">
        <v>1611</v>
      </c>
      <c r="J1117">
        <v>3</v>
      </c>
      <c r="K1117" t="s">
        <v>803</v>
      </c>
      <c r="L1117">
        <v>315000</v>
      </c>
      <c r="M1117">
        <v>2</v>
      </c>
      <c r="N1117">
        <v>17.552099693620459</v>
      </c>
      <c r="O1117" t="s">
        <v>592</v>
      </c>
      <c r="P1117" t="s">
        <v>613</v>
      </c>
      <c r="Q1117" t="s">
        <v>586</v>
      </c>
      <c r="R1117" t="s">
        <v>712</v>
      </c>
      <c r="S1117" t="s">
        <v>594</v>
      </c>
      <c r="T1117">
        <v>69</v>
      </c>
    </row>
    <row r="1118" spans="1:20" x14ac:dyDescent="0.25">
      <c r="A1118" t="s">
        <v>2283</v>
      </c>
      <c r="B1118" t="s">
        <v>354</v>
      </c>
      <c r="C1118" t="s">
        <v>586</v>
      </c>
      <c r="D1118" t="s">
        <v>608</v>
      </c>
      <c r="E1118" t="s">
        <v>2242</v>
      </c>
      <c r="F1118">
        <v>3.3034697283337189</v>
      </c>
      <c r="G1118">
        <v>12.73599824382854</v>
      </c>
      <c r="H1118" t="s">
        <v>1477</v>
      </c>
      <c r="I1118" t="s">
        <v>1611</v>
      </c>
      <c r="J1118">
        <v>3</v>
      </c>
      <c r="K1118" t="s">
        <v>1387</v>
      </c>
      <c r="L1118">
        <v>325000</v>
      </c>
      <c r="M1118">
        <v>2.1</v>
      </c>
      <c r="N1118">
        <v>12.73599824382854</v>
      </c>
      <c r="O1118" t="s">
        <v>592</v>
      </c>
      <c r="P1118" t="s">
        <v>613</v>
      </c>
      <c r="Q1118" t="s">
        <v>586</v>
      </c>
      <c r="R1118" t="s">
        <v>712</v>
      </c>
      <c r="S1118" t="s">
        <v>594</v>
      </c>
      <c r="T1118">
        <v>60</v>
      </c>
    </row>
    <row r="1119" spans="1:20" x14ac:dyDescent="0.25">
      <c r="A1119" t="s">
        <v>2284</v>
      </c>
      <c r="B1119" t="s">
        <v>355</v>
      </c>
      <c r="C1119" t="s">
        <v>607</v>
      </c>
      <c r="D1119" t="s">
        <v>608</v>
      </c>
      <c r="E1119" t="s">
        <v>1392</v>
      </c>
      <c r="F1119">
        <v>0.52918010427832385</v>
      </c>
      <c r="G1119">
        <v>45.130986639413017</v>
      </c>
      <c r="H1119" t="s">
        <v>676</v>
      </c>
      <c r="I1119" t="s">
        <v>611</v>
      </c>
      <c r="J1119">
        <v>2</v>
      </c>
      <c r="K1119" t="s">
        <v>1005</v>
      </c>
      <c r="L1119">
        <v>165000</v>
      </c>
      <c r="M1119">
        <v>1.75</v>
      </c>
      <c r="N1119">
        <v>45.130986639413017</v>
      </c>
      <c r="O1119" t="s">
        <v>592</v>
      </c>
      <c r="P1119" t="s">
        <v>621</v>
      </c>
      <c r="Q1119" t="s">
        <v>586</v>
      </c>
      <c r="R1119" t="s">
        <v>712</v>
      </c>
      <c r="S1119" t="s">
        <v>878</v>
      </c>
      <c r="T1119">
        <v>81</v>
      </c>
    </row>
    <row r="1120" spans="1:20" x14ac:dyDescent="0.25">
      <c r="A1120" t="s">
        <v>2285</v>
      </c>
      <c r="B1120" t="s">
        <v>356</v>
      </c>
      <c r="C1120" t="s">
        <v>607</v>
      </c>
      <c r="D1120" t="s">
        <v>608</v>
      </c>
      <c r="E1120" t="s">
        <v>1392</v>
      </c>
      <c r="F1120">
        <v>8.046139857723425E-2</v>
      </c>
      <c r="G1120">
        <v>60.827813698630152</v>
      </c>
      <c r="H1120" t="s">
        <v>610</v>
      </c>
      <c r="I1120" t="s">
        <v>611</v>
      </c>
      <c r="J1120">
        <v>4</v>
      </c>
      <c r="K1120" t="s">
        <v>950</v>
      </c>
      <c r="L1120">
        <v>95000</v>
      </c>
      <c r="M1120">
        <v>2.1</v>
      </c>
      <c r="N1120">
        <v>60.827813698630152</v>
      </c>
      <c r="O1120" t="s">
        <v>592</v>
      </c>
      <c r="P1120" t="s">
        <v>613</v>
      </c>
      <c r="Q1120" t="s">
        <v>586</v>
      </c>
      <c r="R1120" t="s">
        <v>712</v>
      </c>
      <c r="S1120" t="s">
        <v>594</v>
      </c>
      <c r="T1120">
        <v>97</v>
      </c>
    </row>
    <row r="1121" spans="1:20" x14ac:dyDescent="0.25">
      <c r="A1121" t="s">
        <v>2286</v>
      </c>
      <c r="B1121" t="s">
        <v>356</v>
      </c>
      <c r="C1121" t="s">
        <v>607</v>
      </c>
      <c r="D1121" t="s">
        <v>608</v>
      </c>
      <c r="E1121" t="s">
        <v>1392</v>
      </c>
      <c r="F1121">
        <v>1.0411050887544022</v>
      </c>
      <c r="G1121">
        <v>61.762191780821937</v>
      </c>
      <c r="H1121" t="s">
        <v>610</v>
      </c>
      <c r="I1121" t="s">
        <v>611</v>
      </c>
      <c r="J1121">
        <v>4</v>
      </c>
      <c r="K1121" t="s">
        <v>612</v>
      </c>
      <c r="L1121">
        <v>100000</v>
      </c>
      <c r="M1121">
        <v>2.2200000000000002</v>
      </c>
      <c r="N1121">
        <v>61.762191780821937</v>
      </c>
      <c r="O1121" t="s">
        <v>592</v>
      </c>
      <c r="P1121" t="s">
        <v>613</v>
      </c>
      <c r="Q1121" t="s">
        <v>586</v>
      </c>
      <c r="R1121" t="s">
        <v>712</v>
      </c>
      <c r="S1121" t="s">
        <v>594</v>
      </c>
      <c r="T1121">
        <v>89</v>
      </c>
    </row>
    <row r="1122" spans="1:20" x14ac:dyDescent="0.25">
      <c r="A1122" t="s">
        <v>2287</v>
      </c>
      <c r="B1122" t="s">
        <v>356</v>
      </c>
      <c r="C1122" t="s">
        <v>607</v>
      </c>
      <c r="D1122" t="s">
        <v>608</v>
      </c>
      <c r="E1122" t="s">
        <v>1392</v>
      </c>
      <c r="F1122">
        <v>1.9857325643999886</v>
      </c>
      <c r="G1122">
        <v>59.346947945205471</v>
      </c>
      <c r="H1122" t="s">
        <v>610</v>
      </c>
      <c r="I1122" t="s">
        <v>611</v>
      </c>
      <c r="J1122">
        <v>3</v>
      </c>
      <c r="K1122" t="s">
        <v>956</v>
      </c>
      <c r="L1122">
        <v>105000</v>
      </c>
      <c r="M1122">
        <v>2.3000000000000003</v>
      </c>
      <c r="N1122">
        <v>59.346947945205471</v>
      </c>
      <c r="O1122" t="s">
        <v>592</v>
      </c>
      <c r="P1122" t="s">
        <v>613</v>
      </c>
      <c r="Q1122" t="s">
        <v>586</v>
      </c>
      <c r="R1122" t="s">
        <v>712</v>
      </c>
      <c r="S1122" t="s">
        <v>594</v>
      </c>
      <c r="T1122">
        <v>73</v>
      </c>
    </row>
    <row r="1123" spans="1:20" x14ac:dyDescent="0.25">
      <c r="A1123" t="s">
        <v>2288</v>
      </c>
      <c r="B1123" t="s">
        <v>356</v>
      </c>
      <c r="C1123" t="s">
        <v>607</v>
      </c>
      <c r="D1123" t="s">
        <v>608</v>
      </c>
      <c r="E1123" t="s">
        <v>1392</v>
      </c>
      <c r="F1123">
        <v>2.9303182559980949</v>
      </c>
      <c r="G1123">
        <v>73.219084931506842</v>
      </c>
      <c r="H1123" t="s">
        <v>610</v>
      </c>
      <c r="I1123" t="s">
        <v>611</v>
      </c>
      <c r="J1123">
        <v>2.25</v>
      </c>
      <c r="K1123" t="s">
        <v>1334</v>
      </c>
      <c r="L1123">
        <v>105000</v>
      </c>
      <c r="M1123">
        <v>2.5500000000000003</v>
      </c>
      <c r="N1123">
        <v>73.219084931506842</v>
      </c>
      <c r="O1123" t="s">
        <v>592</v>
      </c>
      <c r="P1123" t="s">
        <v>613</v>
      </c>
      <c r="Q1123" t="s">
        <v>586</v>
      </c>
      <c r="R1123" t="s">
        <v>712</v>
      </c>
      <c r="S1123" t="s">
        <v>594</v>
      </c>
      <c r="T1123">
        <v>52</v>
      </c>
    </row>
    <row r="1124" spans="1:20" x14ac:dyDescent="0.25">
      <c r="A1124" t="s">
        <v>2289</v>
      </c>
      <c r="B1124" t="s">
        <v>187</v>
      </c>
      <c r="C1124" t="s">
        <v>607</v>
      </c>
      <c r="D1124" t="s">
        <v>608</v>
      </c>
      <c r="E1124" t="s">
        <v>1392</v>
      </c>
      <c r="F1124">
        <v>8.0465899476623443E-2</v>
      </c>
      <c r="G1124">
        <v>76.278340520653558</v>
      </c>
      <c r="H1124" t="s">
        <v>1393</v>
      </c>
      <c r="I1124" t="s">
        <v>611</v>
      </c>
      <c r="J1124">
        <v>3</v>
      </c>
      <c r="K1124" t="s">
        <v>950</v>
      </c>
      <c r="L1124">
        <v>135000</v>
      </c>
      <c r="M1124">
        <v>2.65</v>
      </c>
      <c r="N1124">
        <v>76.278340520653558</v>
      </c>
      <c r="O1124" t="s">
        <v>592</v>
      </c>
      <c r="P1124" t="s">
        <v>613</v>
      </c>
      <c r="Q1124" t="s">
        <v>586</v>
      </c>
      <c r="R1124" t="s">
        <v>712</v>
      </c>
      <c r="S1124" t="s">
        <v>712</v>
      </c>
      <c r="T1124">
        <v>98</v>
      </c>
    </row>
    <row r="1125" spans="1:20" x14ac:dyDescent="0.25">
      <c r="A1125" t="s">
        <v>2290</v>
      </c>
      <c r="B1125" t="s">
        <v>187</v>
      </c>
      <c r="C1125" t="s">
        <v>607</v>
      </c>
      <c r="D1125" t="s">
        <v>608</v>
      </c>
      <c r="E1125" t="s">
        <v>1392</v>
      </c>
      <c r="F1125">
        <v>1.0482914651772224</v>
      </c>
      <c r="G1125">
        <v>77.514466852063663</v>
      </c>
      <c r="H1125" t="s">
        <v>1393</v>
      </c>
      <c r="I1125" t="s">
        <v>611</v>
      </c>
      <c r="J1125">
        <v>3</v>
      </c>
      <c r="K1125" t="s">
        <v>612</v>
      </c>
      <c r="L1125">
        <v>140000</v>
      </c>
      <c r="M1125">
        <v>2.8000000000000003</v>
      </c>
      <c r="N1125">
        <v>77.514466852063663</v>
      </c>
      <c r="O1125" t="s">
        <v>592</v>
      </c>
      <c r="P1125" t="s">
        <v>613</v>
      </c>
      <c r="Q1125" t="s">
        <v>586</v>
      </c>
      <c r="R1125" t="s">
        <v>712</v>
      </c>
      <c r="S1125" t="s">
        <v>712</v>
      </c>
      <c r="T1125">
        <v>83</v>
      </c>
    </row>
    <row r="1126" spans="1:20" x14ac:dyDescent="0.25">
      <c r="A1126" t="s">
        <v>2291</v>
      </c>
      <c r="B1126" t="s">
        <v>187</v>
      </c>
      <c r="C1126" t="s">
        <v>607</v>
      </c>
      <c r="D1126" t="s">
        <v>608</v>
      </c>
      <c r="E1126" t="s">
        <v>1392</v>
      </c>
      <c r="F1126">
        <v>2.8974649257657643</v>
      </c>
      <c r="G1126">
        <v>81.196859070263017</v>
      </c>
      <c r="H1126" t="s">
        <v>1393</v>
      </c>
      <c r="I1126" t="s">
        <v>611</v>
      </c>
      <c r="J1126">
        <v>3</v>
      </c>
      <c r="K1126" t="s">
        <v>1334</v>
      </c>
      <c r="L1126">
        <v>155000</v>
      </c>
      <c r="M1126">
        <v>3.1</v>
      </c>
      <c r="N1126">
        <v>81.196859070263017</v>
      </c>
      <c r="O1126" t="s">
        <v>592</v>
      </c>
      <c r="P1126" t="s">
        <v>613</v>
      </c>
      <c r="Q1126" t="s">
        <v>586</v>
      </c>
      <c r="R1126" t="s">
        <v>712</v>
      </c>
      <c r="S1126" t="s">
        <v>712</v>
      </c>
      <c r="T1126">
        <v>58</v>
      </c>
    </row>
    <row r="1127" spans="1:20" x14ac:dyDescent="0.25">
      <c r="A1127" t="s">
        <v>2292</v>
      </c>
      <c r="B1127" t="s">
        <v>357</v>
      </c>
      <c r="C1127" t="s">
        <v>607</v>
      </c>
      <c r="D1127" t="s">
        <v>900</v>
      </c>
      <c r="E1127" t="s">
        <v>2293</v>
      </c>
      <c r="F1127">
        <v>0.24656978303686727</v>
      </c>
      <c r="G1127">
        <v>34.224936866328278</v>
      </c>
      <c r="H1127" t="s">
        <v>913</v>
      </c>
      <c r="I1127" t="s">
        <v>661</v>
      </c>
      <c r="J1127">
        <v>3</v>
      </c>
      <c r="K1127" t="s">
        <v>694</v>
      </c>
      <c r="L1127">
        <v>145000</v>
      </c>
      <c r="M1127">
        <v>1.6</v>
      </c>
      <c r="N1127">
        <v>34.224936866328278</v>
      </c>
      <c r="O1127" t="s">
        <v>592</v>
      </c>
      <c r="P1127" t="s">
        <v>711</v>
      </c>
      <c r="Q1127" t="s">
        <v>586</v>
      </c>
      <c r="R1127" t="s">
        <v>712</v>
      </c>
      <c r="S1127" t="s">
        <v>635</v>
      </c>
      <c r="T1127">
        <v>99</v>
      </c>
    </row>
    <row r="1128" spans="1:20" x14ac:dyDescent="0.25">
      <c r="A1128" t="s">
        <v>2294</v>
      </c>
      <c r="B1128" t="s">
        <v>357</v>
      </c>
      <c r="C1128" t="s">
        <v>607</v>
      </c>
      <c r="D1128" t="s">
        <v>900</v>
      </c>
      <c r="E1128" t="s">
        <v>2293</v>
      </c>
      <c r="F1128">
        <v>1.2150599185835329</v>
      </c>
      <c r="G1128">
        <v>35.023762707895798</v>
      </c>
      <c r="H1128" t="s">
        <v>913</v>
      </c>
      <c r="I1128" t="s">
        <v>661</v>
      </c>
      <c r="J1128">
        <v>3</v>
      </c>
      <c r="K1128" t="s">
        <v>764</v>
      </c>
      <c r="L1128">
        <v>150000</v>
      </c>
      <c r="M1128">
        <v>1.75</v>
      </c>
      <c r="N1128">
        <v>35.023762707895798</v>
      </c>
      <c r="O1128" t="s">
        <v>592</v>
      </c>
      <c r="P1128" t="s">
        <v>711</v>
      </c>
      <c r="Q1128" t="s">
        <v>586</v>
      </c>
      <c r="R1128" t="s">
        <v>712</v>
      </c>
      <c r="S1128" t="s">
        <v>635</v>
      </c>
      <c r="T1128">
        <v>88</v>
      </c>
    </row>
    <row r="1129" spans="1:20" x14ac:dyDescent="0.25">
      <c r="A1129" t="s">
        <v>2295</v>
      </c>
      <c r="B1129" t="s">
        <v>357</v>
      </c>
      <c r="C1129" t="s">
        <v>607</v>
      </c>
      <c r="D1129" t="s">
        <v>900</v>
      </c>
      <c r="E1129" t="s">
        <v>2293</v>
      </c>
      <c r="F1129">
        <v>2.1548996472747088</v>
      </c>
      <c r="G1129">
        <v>35.499435727182174</v>
      </c>
      <c r="H1129" t="s">
        <v>913</v>
      </c>
      <c r="I1129" t="s">
        <v>661</v>
      </c>
      <c r="J1129">
        <v>3</v>
      </c>
      <c r="K1129" t="s">
        <v>699</v>
      </c>
      <c r="L1129">
        <v>155000</v>
      </c>
      <c r="M1129">
        <v>1.9000000000000001</v>
      </c>
      <c r="N1129">
        <v>35.499435727182174</v>
      </c>
      <c r="O1129" t="s">
        <v>592</v>
      </c>
      <c r="P1129" t="s">
        <v>711</v>
      </c>
      <c r="Q1129" t="s">
        <v>586</v>
      </c>
      <c r="R1129" t="s">
        <v>712</v>
      </c>
      <c r="S1129" t="s">
        <v>635</v>
      </c>
      <c r="T1129">
        <v>78</v>
      </c>
    </row>
    <row r="1130" spans="1:20" x14ac:dyDescent="0.25">
      <c r="A1130" t="s">
        <v>2296</v>
      </c>
      <c r="B1130" t="s">
        <v>357</v>
      </c>
      <c r="C1130" t="s">
        <v>607</v>
      </c>
      <c r="D1130" t="s">
        <v>900</v>
      </c>
      <c r="E1130" t="s">
        <v>2293</v>
      </c>
      <c r="F1130">
        <v>3.0677848075768193</v>
      </c>
      <c r="G1130">
        <v>36.289404220638801</v>
      </c>
      <c r="H1130" t="s">
        <v>913</v>
      </c>
      <c r="I1130" t="s">
        <v>661</v>
      </c>
      <c r="J1130">
        <v>3</v>
      </c>
      <c r="K1130" t="s">
        <v>591</v>
      </c>
      <c r="L1130">
        <v>155000</v>
      </c>
      <c r="M1130">
        <v>2.0499999999999998</v>
      </c>
      <c r="N1130">
        <v>36.289404220638801</v>
      </c>
      <c r="O1130" t="s">
        <v>592</v>
      </c>
      <c r="P1130" t="s">
        <v>711</v>
      </c>
      <c r="Q1130" t="s">
        <v>586</v>
      </c>
      <c r="R1130" t="s">
        <v>712</v>
      </c>
      <c r="S1130" t="s">
        <v>635</v>
      </c>
      <c r="T1130">
        <v>69</v>
      </c>
    </row>
    <row r="1131" spans="1:20" x14ac:dyDescent="0.25">
      <c r="A1131" t="s">
        <v>2297</v>
      </c>
      <c r="B1131" t="s">
        <v>357</v>
      </c>
      <c r="C1131" t="s">
        <v>607</v>
      </c>
      <c r="D1131" t="s">
        <v>900</v>
      </c>
      <c r="E1131" t="s">
        <v>2293</v>
      </c>
      <c r="F1131">
        <v>3.9542113657345839</v>
      </c>
      <c r="G1131">
        <v>38.811837300846676</v>
      </c>
      <c r="H1131" t="s">
        <v>913</v>
      </c>
      <c r="I1131" t="s">
        <v>661</v>
      </c>
      <c r="J1131">
        <v>3</v>
      </c>
      <c r="K1131" t="s">
        <v>725</v>
      </c>
      <c r="L1131">
        <v>160000</v>
      </c>
      <c r="M1131">
        <v>2.2000000000000002</v>
      </c>
      <c r="N1131">
        <v>38.811837300846676</v>
      </c>
      <c r="O1131" t="s">
        <v>592</v>
      </c>
      <c r="P1131" t="s">
        <v>711</v>
      </c>
      <c r="Q1131" t="s">
        <v>586</v>
      </c>
      <c r="R1131" t="s">
        <v>712</v>
      </c>
      <c r="S1131" t="s">
        <v>635</v>
      </c>
      <c r="T1131">
        <v>62</v>
      </c>
    </row>
    <row r="1132" spans="1:20" x14ac:dyDescent="0.25">
      <c r="A1132" t="s">
        <v>2298</v>
      </c>
      <c r="B1132" t="s">
        <v>357</v>
      </c>
      <c r="C1132" t="s">
        <v>607</v>
      </c>
      <c r="D1132" t="s">
        <v>900</v>
      </c>
      <c r="E1132" t="s">
        <v>2293</v>
      </c>
      <c r="F1132">
        <v>4.8148701394763558</v>
      </c>
      <c r="G1132">
        <v>42.749704609404745</v>
      </c>
      <c r="H1132" t="s">
        <v>913</v>
      </c>
      <c r="I1132" t="s">
        <v>661</v>
      </c>
      <c r="J1132">
        <v>3</v>
      </c>
      <c r="K1132" t="s">
        <v>834</v>
      </c>
      <c r="L1132">
        <v>165000</v>
      </c>
      <c r="M1132">
        <v>2.35</v>
      </c>
      <c r="N1132">
        <v>42.749704609404745</v>
      </c>
      <c r="O1132" t="s">
        <v>592</v>
      </c>
      <c r="P1132" t="s">
        <v>711</v>
      </c>
      <c r="Q1132" t="s">
        <v>586</v>
      </c>
      <c r="R1132" t="s">
        <v>712</v>
      </c>
      <c r="S1132" t="s">
        <v>635</v>
      </c>
      <c r="T1132">
        <v>55</v>
      </c>
    </row>
    <row r="1133" spans="1:20" x14ac:dyDescent="0.25">
      <c r="A1133" t="s">
        <v>2299</v>
      </c>
      <c r="B1133" t="s">
        <v>358</v>
      </c>
      <c r="C1133" t="s">
        <v>586</v>
      </c>
      <c r="D1133" t="s">
        <v>623</v>
      </c>
      <c r="E1133" t="s">
        <v>2300</v>
      </c>
      <c r="F1133">
        <v>0.57142389195702836</v>
      </c>
      <c r="G1133">
        <v>43.695247356699916</v>
      </c>
      <c r="H1133" t="s">
        <v>761</v>
      </c>
      <c r="I1133" t="s">
        <v>611</v>
      </c>
      <c r="J1133">
        <v>2.25</v>
      </c>
      <c r="K1133" t="s">
        <v>744</v>
      </c>
      <c r="L1133">
        <v>645000</v>
      </c>
      <c r="M1133">
        <v>1.83</v>
      </c>
      <c r="N1133">
        <v>43.695247356699916</v>
      </c>
      <c r="O1133" t="s">
        <v>592</v>
      </c>
      <c r="P1133" t="s">
        <v>745</v>
      </c>
      <c r="Q1133" t="s">
        <v>586</v>
      </c>
      <c r="R1133" t="s">
        <v>712</v>
      </c>
      <c r="S1133" t="s">
        <v>712</v>
      </c>
      <c r="T1133">
        <v>93</v>
      </c>
    </row>
    <row r="1134" spans="1:20" x14ac:dyDescent="0.25">
      <c r="A1134" t="s">
        <v>2301</v>
      </c>
      <c r="B1134" t="s">
        <v>358</v>
      </c>
      <c r="C1134" t="s">
        <v>586</v>
      </c>
      <c r="D1134" t="s">
        <v>623</v>
      </c>
      <c r="E1134" t="s">
        <v>2300</v>
      </c>
      <c r="F1134">
        <v>1.5340192061667168</v>
      </c>
      <c r="G1134">
        <v>43.145762150676582</v>
      </c>
      <c r="H1134" t="s">
        <v>761</v>
      </c>
      <c r="I1134" t="s">
        <v>611</v>
      </c>
      <c r="J1134">
        <v>2.25</v>
      </c>
      <c r="K1134" t="s">
        <v>634</v>
      </c>
      <c r="L1134">
        <v>660000</v>
      </c>
      <c r="M1134">
        <v>1.97</v>
      </c>
      <c r="N1134">
        <v>43.145762150676582</v>
      </c>
      <c r="O1134" t="s">
        <v>592</v>
      </c>
      <c r="P1134" t="s">
        <v>745</v>
      </c>
      <c r="Q1134" t="s">
        <v>586</v>
      </c>
      <c r="R1134" t="s">
        <v>712</v>
      </c>
      <c r="S1134" t="s">
        <v>712</v>
      </c>
      <c r="T1134">
        <v>82</v>
      </c>
    </row>
    <row r="1135" spans="1:20" x14ac:dyDescent="0.25">
      <c r="A1135" t="s">
        <v>2302</v>
      </c>
      <c r="B1135" t="s">
        <v>358</v>
      </c>
      <c r="C1135" t="s">
        <v>586</v>
      </c>
      <c r="D1135" t="s">
        <v>623</v>
      </c>
      <c r="E1135" t="s">
        <v>2300</v>
      </c>
      <c r="F1135">
        <v>2.4751694588823261</v>
      </c>
      <c r="G1135">
        <v>40.384376853807488</v>
      </c>
      <c r="H1135" t="s">
        <v>761</v>
      </c>
      <c r="I1135" t="s">
        <v>611</v>
      </c>
      <c r="J1135">
        <v>2.25</v>
      </c>
      <c r="K1135" t="s">
        <v>959</v>
      </c>
      <c r="L1135">
        <v>670000</v>
      </c>
      <c r="M1135">
        <v>2.09</v>
      </c>
      <c r="N1135">
        <v>40.384376853807488</v>
      </c>
      <c r="O1135" t="s">
        <v>592</v>
      </c>
      <c r="P1135" t="s">
        <v>745</v>
      </c>
      <c r="Q1135" t="s">
        <v>586</v>
      </c>
      <c r="R1135" t="s">
        <v>712</v>
      </c>
      <c r="S1135" t="s">
        <v>712</v>
      </c>
      <c r="T1135">
        <v>74</v>
      </c>
    </row>
    <row r="1136" spans="1:20" x14ac:dyDescent="0.25">
      <c r="A1136" t="s">
        <v>2303</v>
      </c>
      <c r="B1136" t="s">
        <v>359</v>
      </c>
      <c r="C1136" t="s">
        <v>607</v>
      </c>
      <c r="D1136" t="s">
        <v>608</v>
      </c>
      <c r="E1136" t="s">
        <v>1321</v>
      </c>
      <c r="F1136">
        <v>0.73411924118515737</v>
      </c>
      <c r="G1136">
        <v>51.487139361506841</v>
      </c>
      <c r="H1136" t="s">
        <v>672</v>
      </c>
      <c r="I1136" t="s">
        <v>2147</v>
      </c>
      <c r="J1136">
        <v>2.5</v>
      </c>
      <c r="K1136" t="s">
        <v>861</v>
      </c>
      <c r="L1136">
        <v>200000</v>
      </c>
      <c r="M1136">
        <v>2.0499999999999998</v>
      </c>
      <c r="N1136">
        <v>51.487139361506841</v>
      </c>
      <c r="O1136" t="s">
        <v>592</v>
      </c>
      <c r="P1136" t="s">
        <v>613</v>
      </c>
      <c r="Q1136" t="s">
        <v>586</v>
      </c>
      <c r="R1136" t="s">
        <v>712</v>
      </c>
      <c r="S1136" t="s">
        <v>712</v>
      </c>
      <c r="T1136">
        <v>93</v>
      </c>
    </row>
    <row r="1137" spans="1:20" x14ac:dyDescent="0.25">
      <c r="A1137" t="s">
        <v>2304</v>
      </c>
      <c r="B1137" t="s">
        <v>359</v>
      </c>
      <c r="C1137" t="s">
        <v>607</v>
      </c>
      <c r="D1137" t="s">
        <v>608</v>
      </c>
      <c r="E1137" t="s">
        <v>1321</v>
      </c>
      <c r="F1137">
        <v>1.6910645015592916</v>
      </c>
      <c r="G1137">
        <v>50.148622922077578</v>
      </c>
      <c r="H1137" t="s">
        <v>672</v>
      </c>
      <c r="I1137" t="s">
        <v>2147</v>
      </c>
      <c r="J1137">
        <v>2.5</v>
      </c>
      <c r="K1137" t="s">
        <v>682</v>
      </c>
      <c r="L1137">
        <v>200000</v>
      </c>
      <c r="M1137">
        <v>2.2000000000000002</v>
      </c>
      <c r="N1137">
        <v>50.148622922077578</v>
      </c>
      <c r="O1137" t="s">
        <v>592</v>
      </c>
      <c r="P1137" t="s">
        <v>613</v>
      </c>
      <c r="Q1137" t="s">
        <v>586</v>
      </c>
      <c r="R1137" t="s">
        <v>712</v>
      </c>
      <c r="S1137" t="s">
        <v>712</v>
      </c>
      <c r="T1137">
        <v>80</v>
      </c>
    </row>
    <row r="1138" spans="1:20" x14ac:dyDescent="0.25">
      <c r="A1138" t="s">
        <v>2305</v>
      </c>
      <c r="B1138" t="s">
        <v>360</v>
      </c>
      <c r="C1138" t="s">
        <v>586</v>
      </c>
      <c r="D1138" t="s">
        <v>608</v>
      </c>
      <c r="E1138" t="s">
        <v>2306</v>
      </c>
      <c r="F1138">
        <v>0.49399583088995164</v>
      </c>
      <c r="G1138">
        <v>24.653956853601567</v>
      </c>
      <c r="H1138" t="s">
        <v>2307</v>
      </c>
      <c r="I1138" t="s">
        <v>721</v>
      </c>
      <c r="J1138">
        <v>3</v>
      </c>
      <c r="K1138" t="s">
        <v>807</v>
      </c>
      <c r="L1138">
        <v>320000</v>
      </c>
      <c r="M1138">
        <v>1.45</v>
      </c>
      <c r="N1138">
        <v>24.653956853601567</v>
      </c>
      <c r="O1138" t="s">
        <v>592</v>
      </c>
      <c r="P1138" t="s">
        <v>613</v>
      </c>
      <c r="Q1138" t="s">
        <v>586</v>
      </c>
      <c r="R1138" t="s">
        <v>712</v>
      </c>
      <c r="S1138" t="s">
        <v>712</v>
      </c>
      <c r="T1138">
        <v>93</v>
      </c>
    </row>
    <row r="1139" spans="1:20" x14ac:dyDescent="0.25">
      <c r="A1139" t="s">
        <v>2308</v>
      </c>
      <c r="B1139" t="s">
        <v>360</v>
      </c>
      <c r="C1139" t="s">
        <v>586</v>
      </c>
      <c r="D1139" t="s">
        <v>608</v>
      </c>
      <c r="E1139" t="s">
        <v>2306</v>
      </c>
      <c r="F1139">
        <v>1.4615602711424891</v>
      </c>
      <c r="G1139">
        <v>24.766109179037876</v>
      </c>
      <c r="H1139" t="s">
        <v>2307</v>
      </c>
      <c r="I1139" t="s">
        <v>721</v>
      </c>
      <c r="J1139">
        <v>3</v>
      </c>
      <c r="K1139" t="s">
        <v>780</v>
      </c>
      <c r="L1139">
        <v>330000</v>
      </c>
      <c r="M1139">
        <v>1.6</v>
      </c>
      <c r="N1139">
        <v>24.766109179037876</v>
      </c>
      <c r="O1139" t="s">
        <v>592</v>
      </c>
      <c r="P1139" t="s">
        <v>613</v>
      </c>
      <c r="Q1139" t="s">
        <v>586</v>
      </c>
      <c r="R1139" t="s">
        <v>712</v>
      </c>
      <c r="S1139" t="s">
        <v>712</v>
      </c>
      <c r="T1139">
        <v>83</v>
      </c>
    </row>
    <row r="1140" spans="1:20" x14ac:dyDescent="0.25">
      <c r="A1140" t="s">
        <v>2309</v>
      </c>
      <c r="B1140" t="s">
        <v>360</v>
      </c>
      <c r="C1140" t="s">
        <v>586</v>
      </c>
      <c r="D1140" t="s">
        <v>608</v>
      </c>
      <c r="E1140" t="s">
        <v>2306</v>
      </c>
      <c r="F1140">
        <v>2.4005942298923202</v>
      </c>
      <c r="G1140">
        <v>24.656294342643935</v>
      </c>
      <c r="H1140" t="s">
        <v>2307</v>
      </c>
      <c r="I1140" t="s">
        <v>721</v>
      </c>
      <c r="J1140">
        <v>3</v>
      </c>
      <c r="K1140" t="s">
        <v>1013</v>
      </c>
      <c r="L1140">
        <v>340000</v>
      </c>
      <c r="M1140">
        <v>1.75</v>
      </c>
      <c r="N1140">
        <v>24.656294342643935</v>
      </c>
      <c r="O1140" t="s">
        <v>592</v>
      </c>
      <c r="P1140" t="s">
        <v>613</v>
      </c>
      <c r="Q1140" t="s">
        <v>586</v>
      </c>
      <c r="R1140" t="s">
        <v>712</v>
      </c>
      <c r="S1140" t="s">
        <v>712</v>
      </c>
      <c r="T1140">
        <v>76</v>
      </c>
    </row>
    <row r="1141" spans="1:20" x14ac:dyDescent="0.25">
      <c r="A1141" t="s">
        <v>2310</v>
      </c>
      <c r="B1141" t="s">
        <v>360</v>
      </c>
      <c r="C1141" t="s">
        <v>586</v>
      </c>
      <c r="D1141" t="s">
        <v>608</v>
      </c>
      <c r="E1141" t="s">
        <v>2306</v>
      </c>
      <c r="F1141">
        <v>3.3127173442476363</v>
      </c>
      <c r="G1141">
        <v>25.274640843610996</v>
      </c>
      <c r="H1141" t="s">
        <v>2307</v>
      </c>
      <c r="I1141" t="s">
        <v>721</v>
      </c>
      <c r="J1141">
        <v>3</v>
      </c>
      <c r="K1141" t="s">
        <v>824</v>
      </c>
      <c r="L1141">
        <v>350000</v>
      </c>
      <c r="M1141">
        <v>1.9000000000000001</v>
      </c>
      <c r="N1141">
        <v>25.274640843610996</v>
      </c>
      <c r="O1141" t="s">
        <v>592</v>
      </c>
      <c r="P1141" t="s">
        <v>613</v>
      </c>
      <c r="Q1141" t="s">
        <v>586</v>
      </c>
      <c r="R1141" t="s">
        <v>712</v>
      </c>
      <c r="S1141" t="s">
        <v>712</v>
      </c>
      <c r="T1141">
        <v>68</v>
      </c>
    </row>
    <row r="1142" spans="1:20" x14ac:dyDescent="0.25">
      <c r="A1142" t="s">
        <v>2311</v>
      </c>
      <c r="B1142" t="s">
        <v>360</v>
      </c>
      <c r="C1142" t="s">
        <v>586</v>
      </c>
      <c r="D1142" t="s">
        <v>608</v>
      </c>
      <c r="E1142" t="s">
        <v>2306</v>
      </c>
      <c r="F1142">
        <v>4.1985645470561748</v>
      </c>
      <c r="G1142">
        <v>27.988183797460685</v>
      </c>
      <c r="H1142" t="s">
        <v>2307</v>
      </c>
      <c r="I1142" t="s">
        <v>721</v>
      </c>
      <c r="J1142">
        <v>3</v>
      </c>
      <c r="K1142" t="s">
        <v>1319</v>
      </c>
      <c r="L1142">
        <v>360000</v>
      </c>
      <c r="M1142">
        <v>2.0499999999999998</v>
      </c>
      <c r="N1142">
        <v>27.988183797460685</v>
      </c>
      <c r="O1142" t="s">
        <v>592</v>
      </c>
      <c r="P1142" t="s">
        <v>613</v>
      </c>
      <c r="Q1142" t="s">
        <v>586</v>
      </c>
      <c r="R1142" t="s">
        <v>712</v>
      </c>
      <c r="S1142" t="s">
        <v>712</v>
      </c>
      <c r="T1142">
        <v>62</v>
      </c>
    </row>
    <row r="1143" spans="1:20" x14ac:dyDescent="0.25">
      <c r="A1143" t="s">
        <v>2312</v>
      </c>
      <c r="B1143" t="s">
        <v>361</v>
      </c>
      <c r="C1143" t="s">
        <v>586</v>
      </c>
      <c r="D1143" t="s">
        <v>1523</v>
      </c>
      <c r="E1143" t="s">
        <v>2313</v>
      </c>
      <c r="F1143">
        <v>0.49445688633386747</v>
      </c>
      <c r="G1143">
        <v>23.554831406945098</v>
      </c>
      <c r="H1143" t="s">
        <v>2314</v>
      </c>
      <c r="I1143" t="s">
        <v>611</v>
      </c>
      <c r="J1143">
        <v>5</v>
      </c>
      <c r="K1143" t="s">
        <v>807</v>
      </c>
      <c r="L1143">
        <v>470000</v>
      </c>
      <c r="M1143">
        <v>2.0699999999999998</v>
      </c>
      <c r="N1143">
        <v>23.554831406945098</v>
      </c>
      <c r="O1143" t="s">
        <v>592</v>
      </c>
      <c r="P1143" t="s">
        <v>593</v>
      </c>
      <c r="Q1143" t="s">
        <v>586</v>
      </c>
      <c r="R1143" t="s">
        <v>712</v>
      </c>
      <c r="S1143" t="s">
        <v>712</v>
      </c>
      <c r="T1143">
        <v>91</v>
      </c>
    </row>
    <row r="1144" spans="1:20" x14ac:dyDescent="0.25">
      <c r="A1144" t="s">
        <v>2315</v>
      </c>
      <c r="B1144" t="s">
        <v>361</v>
      </c>
      <c r="C1144" t="s">
        <v>586</v>
      </c>
      <c r="D1144" t="s">
        <v>1523</v>
      </c>
      <c r="E1144" t="s">
        <v>2313</v>
      </c>
      <c r="F1144">
        <v>1.4495999149910512</v>
      </c>
      <c r="G1144">
        <v>27.989464582823231</v>
      </c>
      <c r="H1144" t="s">
        <v>2314</v>
      </c>
      <c r="I1144" t="s">
        <v>611</v>
      </c>
      <c r="J1144">
        <v>5</v>
      </c>
      <c r="K1144" t="s">
        <v>780</v>
      </c>
      <c r="L1144">
        <v>495000</v>
      </c>
      <c r="M1144">
        <v>2.25</v>
      </c>
      <c r="N1144">
        <v>27.989464582823231</v>
      </c>
      <c r="O1144" t="s">
        <v>592</v>
      </c>
      <c r="P1144" t="s">
        <v>593</v>
      </c>
      <c r="Q1144" t="s">
        <v>586</v>
      </c>
      <c r="R1144" t="s">
        <v>712</v>
      </c>
      <c r="S1144" t="s">
        <v>712</v>
      </c>
      <c r="T1144">
        <v>83</v>
      </c>
    </row>
    <row r="1145" spans="1:20" x14ac:dyDescent="0.25">
      <c r="A1145" t="s">
        <v>2316</v>
      </c>
      <c r="B1145" t="s">
        <v>361</v>
      </c>
      <c r="C1145" t="s">
        <v>586</v>
      </c>
      <c r="D1145" t="s">
        <v>1523</v>
      </c>
      <c r="E1145" t="s">
        <v>2313</v>
      </c>
      <c r="F1145">
        <v>2.3612354230157466</v>
      </c>
      <c r="G1145">
        <v>29.634510890266654</v>
      </c>
      <c r="H1145" t="s">
        <v>2314</v>
      </c>
      <c r="I1145" t="s">
        <v>611</v>
      </c>
      <c r="J1145">
        <v>5</v>
      </c>
      <c r="K1145" t="s">
        <v>1013</v>
      </c>
      <c r="L1145">
        <v>520000</v>
      </c>
      <c r="M1145">
        <v>2.4000000000000004</v>
      </c>
      <c r="N1145">
        <v>29.634510890266654</v>
      </c>
      <c r="O1145" t="s">
        <v>592</v>
      </c>
      <c r="P1145" t="s">
        <v>593</v>
      </c>
      <c r="Q1145" t="s">
        <v>586</v>
      </c>
      <c r="R1145" t="s">
        <v>712</v>
      </c>
      <c r="S1145" t="s">
        <v>712</v>
      </c>
      <c r="T1145">
        <v>77</v>
      </c>
    </row>
    <row r="1146" spans="1:20" x14ac:dyDescent="0.25">
      <c r="A1146" t="s">
        <v>2317</v>
      </c>
      <c r="B1146" t="s">
        <v>116</v>
      </c>
      <c r="C1146" t="s">
        <v>586</v>
      </c>
      <c r="D1146" t="s">
        <v>1075</v>
      </c>
      <c r="E1146" t="s">
        <v>1076</v>
      </c>
      <c r="F1146">
        <v>0.97832617279499312</v>
      </c>
      <c r="G1146">
        <v>12.647410530619352</v>
      </c>
      <c r="H1146" t="s">
        <v>913</v>
      </c>
      <c r="I1146" t="s">
        <v>721</v>
      </c>
      <c r="J1146">
        <v>5</v>
      </c>
      <c r="K1146" t="s">
        <v>646</v>
      </c>
      <c r="L1146">
        <v>610000</v>
      </c>
      <c r="M1146">
        <v>1.49</v>
      </c>
      <c r="N1146">
        <v>12.647410530619352</v>
      </c>
      <c r="O1146" t="s">
        <v>592</v>
      </c>
      <c r="P1146" t="s">
        <v>593</v>
      </c>
      <c r="Q1146" t="s">
        <v>586</v>
      </c>
      <c r="R1146" t="s">
        <v>712</v>
      </c>
      <c r="S1146" t="s">
        <v>652</v>
      </c>
      <c r="T1146">
        <v>83</v>
      </c>
    </row>
    <row r="1147" spans="1:20" x14ac:dyDescent="0.25">
      <c r="A1147" t="s">
        <v>2318</v>
      </c>
      <c r="B1147" t="s">
        <v>116</v>
      </c>
      <c r="C1147" t="s">
        <v>586</v>
      </c>
      <c r="D1147" t="s">
        <v>1075</v>
      </c>
      <c r="E1147" t="s">
        <v>1076</v>
      </c>
      <c r="F1147">
        <v>4.4827637556346875</v>
      </c>
      <c r="G1147">
        <v>12.624472526972541</v>
      </c>
      <c r="H1147" t="s">
        <v>913</v>
      </c>
      <c r="I1147" t="s">
        <v>721</v>
      </c>
      <c r="J1147">
        <v>5</v>
      </c>
      <c r="K1147" t="s">
        <v>1023</v>
      </c>
      <c r="L1147">
        <v>605000</v>
      </c>
      <c r="M1147">
        <v>2.02</v>
      </c>
      <c r="N1147">
        <v>12.624472526972541</v>
      </c>
      <c r="O1147" t="s">
        <v>592</v>
      </c>
      <c r="P1147" t="s">
        <v>593</v>
      </c>
      <c r="Q1147" t="s">
        <v>586</v>
      </c>
      <c r="R1147">
        <v>40000</v>
      </c>
      <c r="S1147" t="s">
        <v>652</v>
      </c>
      <c r="T1147">
        <v>46</v>
      </c>
    </row>
    <row r="1148" spans="1:20" x14ac:dyDescent="0.25">
      <c r="A1148" t="s">
        <v>2319</v>
      </c>
      <c r="B1148" t="s">
        <v>48</v>
      </c>
      <c r="C1148" t="s">
        <v>586</v>
      </c>
      <c r="D1148" t="s">
        <v>770</v>
      </c>
      <c r="E1148" t="s">
        <v>771</v>
      </c>
      <c r="F1148">
        <v>3.1551650889344494</v>
      </c>
      <c r="G1148">
        <v>35.286308015168501</v>
      </c>
      <c r="H1148" t="s">
        <v>743</v>
      </c>
      <c r="I1148" t="s">
        <v>657</v>
      </c>
      <c r="J1148">
        <v>5</v>
      </c>
      <c r="K1148" t="s">
        <v>815</v>
      </c>
      <c r="L1148">
        <v>2645000</v>
      </c>
      <c r="M1148">
        <v>2.62</v>
      </c>
      <c r="N1148">
        <v>35.286308015168501</v>
      </c>
      <c r="O1148" t="s">
        <v>592</v>
      </c>
      <c r="P1148" t="s">
        <v>621</v>
      </c>
      <c r="Q1148" t="s">
        <v>586</v>
      </c>
      <c r="R1148">
        <v>75000</v>
      </c>
      <c r="S1148" t="s">
        <v>594</v>
      </c>
      <c r="T1148">
        <v>74</v>
      </c>
    </row>
    <row r="1149" spans="1:20" x14ac:dyDescent="0.25">
      <c r="A1149" t="s">
        <v>2320</v>
      </c>
      <c r="B1149" t="s">
        <v>362</v>
      </c>
      <c r="C1149" t="s">
        <v>586</v>
      </c>
      <c r="D1149" t="s">
        <v>608</v>
      </c>
      <c r="E1149" t="s">
        <v>2321</v>
      </c>
      <c r="F1149">
        <v>0.65130027903492649</v>
      </c>
      <c r="G1149">
        <v>103.16752717822592</v>
      </c>
      <c r="H1149" t="s">
        <v>720</v>
      </c>
      <c r="I1149" t="s">
        <v>611</v>
      </c>
      <c r="J1149">
        <v>2.5499999999999998</v>
      </c>
      <c r="K1149" t="s">
        <v>787</v>
      </c>
      <c r="L1149">
        <v>35000</v>
      </c>
      <c r="M1149">
        <v>2.5500000000000003</v>
      </c>
      <c r="N1149">
        <v>103.16752717822592</v>
      </c>
      <c r="O1149" t="s">
        <v>592</v>
      </c>
      <c r="P1149" t="s">
        <v>613</v>
      </c>
      <c r="Q1149" t="s">
        <v>586</v>
      </c>
      <c r="R1149" t="s">
        <v>712</v>
      </c>
      <c r="S1149" t="s">
        <v>712</v>
      </c>
      <c r="T1149">
        <v>75</v>
      </c>
    </row>
    <row r="1150" spans="1:20" x14ac:dyDescent="0.25">
      <c r="A1150" t="s">
        <v>2322</v>
      </c>
      <c r="B1150" t="s">
        <v>363</v>
      </c>
      <c r="C1150" t="s">
        <v>586</v>
      </c>
      <c r="D1150" t="s">
        <v>795</v>
      </c>
      <c r="E1150" t="s">
        <v>1947</v>
      </c>
      <c r="F1150">
        <v>0.16314150548774398</v>
      </c>
      <c r="G1150">
        <v>83.532345104895043</v>
      </c>
      <c r="H1150" t="s">
        <v>1274</v>
      </c>
      <c r="I1150" t="s">
        <v>2323</v>
      </c>
      <c r="J1150">
        <v>3.5</v>
      </c>
      <c r="K1150" t="s">
        <v>749</v>
      </c>
      <c r="L1150">
        <v>15000</v>
      </c>
      <c r="M1150">
        <v>2.9000000000000004</v>
      </c>
      <c r="N1150">
        <v>83.532345104895043</v>
      </c>
      <c r="O1150" t="s">
        <v>592</v>
      </c>
      <c r="P1150" t="s">
        <v>723</v>
      </c>
      <c r="Q1150" t="s">
        <v>607</v>
      </c>
      <c r="R1150" t="s">
        <v>712</v>
      </c>
      <c r="S1150" t="s">
        <v>712</v>
      </c>
      <c r="T1150">
        <v>88</v>
      </c>
    </row>
    <row r="1151" spans="1:20" x14ac:dyDescent="0.25">
      <c r="A1151" t="s">
        <v>2324</v>
      </c>
      <c r="B1151" t="s">
        <v>363</v>
      </c>
      <c r="C1151" t="s">
        <v>586</v>
      </c>
      <c r="D1151" t="s">
        <v>795</v>
      </c>
      <c r="E1151" t="s">
        <v>1947</v>
      </c>
      <c r="F1151">
        <v>2.0504559481934077</v>
      </c>
      <c r="G1151">
        <v>93.265589049247623</v>
      </c>
      <c r="H1151" t="s">
        <v>1274</v>
      </c>
      <c r="I1151" t="s">
        <v>2323</v>
      </c>
      <c r="J1151">
        <v>3.2</v>
      </c>
      <c r="K1151" t="s">
        <v>651</v>
      </c>
      <c r="L1151">
        <v>15000</v>
      </c>
      <c r="M1151">
        <v>3.2</v>
      </c>
      <c r="N1151">
        <v>93.265589049247623</v>
      </c>
      <c r="O1151" t="s">
        <v>592</v>
      </c>
      <c r="P1151" t="s">
        <v>723</v>
      </c>
      <c r="Q1151" t="s">
        <v>607</v>
      </c>
      <c r="R1151" t="s">
        <v>712</v>
      </c>
      <c r="S1151" t="s">
        <v>712</v>
      </c>
      <c r="T1151">
        <v>60</v>
      </c>
    </row>
    <row r="1152" spans="1:20" x14ac:dyDescent="0.25">
      <c r="A1152" t="s">
        <v>2325</v>
      </c>
      <c r="B1152" t="s">
        <v>364</v>
      </c>
      <c r="C1152" t="s">
        <v>607</v>
      </c>
      <c r="D1152" t="s">
        <v>608</v>
      </c>
      <c r="E1152" t="s">
        <v>1321</v>
      </c>
      <c r="F1152">
        <v>0.49442246943719637</v>
      </c>
      <c r="G1152">
        <v>54.89008219178082</v>
      </c>
      <c r="H1152" t="s">
        <v>610</v>
      </c>
      <c r="I1152" t="s">
        <v>611</v>
      </c>
      <c r="J1152">
        <v>4.25</v>
      </c>
      <c r="K1152" t="s">
        <v>807</v>
      </c>
      <c r="L1152">
        <v>350000</v>
      </c>
      <c r="M1152">
        <v>2.1</v>
      </c>
      <c r="N1152">
        <v>54.89008219178082</v>
      </c>
      <c r="O1152" t="s">
        <v>592</v>
      </c>
      <c r="P1152" t="s">
        <v>621</v>
      </c>
      <c r="Q1152" t="s">
        <v>586</v>
      </c>
      <c r="R1152" t="s">
        <v>712</v>
      </c>
      <c r="S1152" t="s">
        <v>712</v>
      </c>
      <c r="T1152">
        <v>96</v>
      </c>
    </row>
    <row r="1153" spans="1:20" x14ac:dyDescent="0.25">
      <c r="A1153" t="s">
        <v>2326</v>
      </c>
      <c r="B1153" t="s">
        <v>365</v>
      </c>
      <c r="C1153" t="s">
        <v>607</v>
      </c>
      <c r="D1153" t="s">
        <v>608</v>
      </c>
      <c r="E1153" t="s">
        <v>1321</v>
      </c>
      <c r="F1153">
        <v>0.57199365955075587</v>
      </c>
      <c r="G1153">
        <v>25.801070543471695</v>
      </c>
      <c r="H1153" t="s">
        <v>1041</v>
      </c>
      <c r="I1153" t="s">
        <v>611</v>
      </c>
      <c r="J1153">
        <v>2</v>
      </c>
      <c r="K1153" t="s">
        <v>744</v>
      </c>
      <c r="L1153">
        <v>445000</v>
      </c>
      <c r="M1153">
        <v>2.02</v>
      </c>
      <c r="N1153">
        <v>25.801070543471695</v>
      </c>
      <c r="O1153" t="s">
        <v>592</v>
      </c>
      <c r="P1153" t="s">
        <v>621</v>
      </c>
      <c r="Q1153" t="s">
        <v>586</v>
      </c>
      <c r="R1153" t="s">
        <v>712</v>
      </c>
      <c r="S1153" t="s">
        <v>712</v>
      </c>
      <c r="T1153">
        <v>85</v>
      </c>
    </row>
    <row r="1154" spans="1:20" x14ac:dyDescent="0.25">
      <c r="A1154" t="s">
        <v>2327</v>
      </c>
      <c r="B1154" t="s">
        <v>365</v>
      </c>
      <c r="C1154" t="s">
        <v>607</v>
      </c>
      <c r="D1154" t="s">
        <v>608</v>
      </c>
      <c r="E1154" t="s">
        <v>1321</v>
      </c>
      <c r="F1154">
        <v>1.537303616137399</v>
      </c>
      <c r="G1154">
        <v>27.951357200313474</v>
      </c>
      <c r="H1154" t="s">
        <v>1041</v>
      </c>
      <c r="I1154" t="s">
        <v>611</v>
      </c>
      <c r="J1154">
        <v>2</v>
      </c>
      <c r="K1154" t="s">
        <v>634</v>
      </c>
      <c r="L1154">
        <v>460000</v>
      </c>
      <c r="M1154">
        <v>2.17</v>
      </c>
      <c r="N1154">
        <v>27.951357200313474</v>
      </c>
      <c r="O1154" t="s">
        <v>592</v>
      </c>
      <c r="P1154" t="s">
        <v>621</v>
      </c>
      <c r="Q1154" t="s">
        <v>586</v>
      </c>
      <c r="R1154" t="s">
        <v>712</v>
      </c>
      <c r="S1154" t="s">
        <v>712</v>
      </c>
      <c r="T1154">
        <v>70</v>
      </c>
    </row>
    <row r="1155" spans="1:20" x14ac:dyDescent="0.25">
      <c r="A1155" t="s">
        <v>2328</v>
      </c>
      <c r="B1155" t="s">
        <v>365</v>
      </c>
      <c r="C1155" t="s">
        <v>607</v>
      </c>
      <c r="D1155" t="s">
        <v>608</v>
      </c>
      <c r="E1155" t="s">
        <v>1321</v>
      </c>
      <c r="F1155">
        <v>2.4495750964824392</v>
      </c>
      <c r="G1155">
        <v>27.420565610808858</v>
      </c>
      <c r="H1155" t="s">
        <v>1041</v>
      </c>
      <c r="I1155" t="s">
        <v>611</v>
      </c>
      <c r="J1155">
        <v>3</v>
      </c>
      <c r="K1155" t="s">
        <v>959</v>
      </c>
      <c r="L1155">
        <v>480000</v>
      </c>
      <c r="M1155">
        <v>2.29</v>
      </c>
      <c r="N1155">
        <v>27.420565610808858</v>
      </c>
      <c r="O1155" t="s">
        <v>592</v>
      </c>
      <c r="P1155" t="s">
        <v>621</v>
      </c>
      <c r="Q1155" t="s">
        <v>586</v>
      </c>
      <c r="R1155">
        <v>510000</v>
      </c>
      <c r="S1155" t="s">
        <v>712</v>
      </c>
      <c r="T1155">
        <v>66</v>
      </c>
    </row>
    <row r="1156" spans="1:20" x14ac:dyDescent="0.25">
      <c r="A1156" t="s">
        <v>2329</v>
      </c>
      <c r="B1156" t="s">
        <v>365</v>
      </c>
      <c r="C1156" t="s">
        <v>607</v>
      </c>
      <c r="D1156" t="s">
        <v>608</v>
      </c>
      <c r="E1156" t="s">
        <v>1321</v>
      </c>
      <c r="F1156">
        <v>0.57006243844000282</v>
      </c>
      <c r="G1156">
        <v>26.53433972602739</v>
      </c>
      <c r="H1156" t="s">
        <v>610</v>
      </c>
      <c r="I1156" t="s">
        <v>611</v>
      </c>
      <c r="J1156">
        <v>3</v>
      </c>
      <c r="K1156" t="s">
        <v>744</v>
      </c>
      <c r="L1156">
        <v>545000</v>
      </c>
      <c r="M1156">
        <v>1.74</v>
      </c>
      <c r="N1156">
        <v>26.53433972602739</v>
      </c>
      <c r="O1156" t="s">
        <v>592</v>
      </c>
      <c r="P1156" t="s">
        <v>621</v>
      </c>
      <c r="Q1156" t="s">
        <v>586</v>
      </c>
      <c r="R1156">
        <v>120000</v>
      </c>
      <c r="S1156" t="s">
        <v>594</v>
      </c>
      <c r="T1156">
        <v>92</v>
      </c>
    </row>
    <row r="1157" spans="1:20" x14ac:dyDescent="0.25">
      <c r="A1157" t="s">
        <v>2330</v>
      </c>
      <c r="B1157" t="s">
        <v>365</v>
      </c>
      <c r="C1157" t="s">
        <v>607</v>
      </c>
      <c r="D1157" t="s">
        <v>608</v>
      </c>
      <c r="E1157" t="s">
        <v>1321</v>
      </c>
      <c r="F1157">
        <v>1.524707121190388</v>
      </c>
      <c r="G1157">
        <v>28.954356164383576</v>
      </c>
      <c r="H1157" t="s">
        <v>610</v>
      </c>
      <c r="I1157" t="s">
        <v>611</v>
      </c>
      <c r="J1157">
        <v>3</v>
      </c>
      <c r="K1157" t="s">
        <v>634</v>
      </c>
      <c r="L1157">
        <v>560000</v>
      </c>
      <c r="M1157">
        <v>1.87</v>
      </c>
      <c r="N1157">
        <v>28.954356164383576</v>
      </c>
      <c r="O1157" t="s">
        <v>592</v>
      </c>
      <c r="P1157" t="s">
        <v>621</v>
      </c>
      <c r="Q1157" t="s">
        <v>586</v>
      </c>
      <c r="R1157" t="s">
        <v>712</v>
      </c>
      <c r="S1157" t="s">
        <v>594</v>
      </c>
      <c r="T1157">
        <v>84</v>
      </c>
    </row>
    <row r="1158" spans="1:20" x14ac:dyDescent="0.25">
      <c r="A1158" t="s">
        <v>2331</v>
      </c>
      <c r="B1158" t="s">
        <v>365</v>
      </c>
      <c r="C1158" t="s">
        <v>607</v>
      </c>
      <c r="D1158" t="s">
        <v>608</v>
      </c>
      <c r="E1158" t="s">
        <v>1321</v>
      </c>
      <c r="F1158">
        <v>2.4515206825566107</v>
      </c>
      <c r="G1158">
        <v>29.486917808219172</v>
      </c>
      <c r="H1158" t="s">
        <v>610</v>
      </c>
      <c r="I1158" t="s">
        <v>611</v>
      </c>
      <c r="J1158">
        <v>3</v>
      </c>
      <c r="K1158" t="s">
        <v>959</v>
      </c>
      <c r="L1158">
        <v>580000</v>
      </c>
      <c r="M1158">
        <v>1.98</v>
      </c>
      <c r="N1158">
        <v>29.486917808219172</v>
      </c>
      <c r="O1158" t="s">
        <v>592</v>
      </c>
      <c r="P1158" t="s">
        <v>621</v>
      </c>
      <c r="Q1158" t="s">
        <v>586</v>
      </c>
      <c r="R1158" t="s">
        <v>712</v>
      </c>
      <c r="S1158" t="s">
        <v>594</v>
      </c>
      <c r="T1158">
        <v>76</v>
      </c>
    </row>
    <row r="1159" spans="1:20" x14ac:dyDescent="0.25">
      <c r="A1159" t="s">
        <v>2332</v>
      </c>
      <c r="B1159" t="s">
        <v>100</v>
      </c>
      <c r="C1159" t="s">
        <v>586</v>
      </c>
      <c r="D1159" t="s">
        <v>608</v>
      </c>
      <c r="E1159" t="s">
        <v>671</v>
      </c>
      <c r="F1159">
        <v>2.3424066959624295</v>
      </c>
      <c r="G1159">
        <v>10.30659418486457</v>
      </c>
      <c r="H1159" t="s">
        <v>1004</v>
      </c>
      <c r="I1159" t="s">
        <v>619</v>
      </c>
      <c r="J1159">
        <v>5</v>
      </c>
      <c r="K1159" t="s">
        <v>803</v>
      </c>
      <c r="L1159">
        <v>2130000</v>
      </c>
      <c r="M1159">
        <v>1.78</v>
      </c>
      <c r="N1159">
        <v>10.30659418486457</v>
      </c>
      <c r="O1159" t="s">
        <v>592</v>
      </c>
      <c r="P1159" t="s">
        <v>621</v>
      </c>
      <c r="Q1159" t="s">
        <v>586</v>
      </c>
      <c r="R1159">
        <v>50000</v>
      </c>
      <c r="S1159" t="s">
        <v>635</v>
      </c>
      <c r="T1159">
        <v>83</v>
      </c>
    </row>
    <row r="1160" spans="1:20" x14ac:dyDescent="0.25">
      <c r="A1160" t="s">
        <v>2333</v>
      </c>
      <c r="B1160" t="s">
        <v>100</v>
      </c>
      <c r="C1160" t="s">
        <v>586</v>
      </c>
      <c r="D1160" t="s">
        <v>608</v>
      </c>
      <c r="E1160" t="s">
        <v>671</v>
      </c>
      <c r="F1160">
        <v>3.2028294821322518</v>
      </c>
      <c r="G1160">
        <v>14.542450036003562</v>
      </c>
      <c r="H1160" t="s">
        <v>1004</v>
      </c>
      <c r="I1160" t="s">
        <v>619</v>
      </c>
      <c r="J1160">
        <v>5</v>
      </c>
      <c r="K1160" t="s">
        <v>1387</v>
      </c>
      <c r="L1160">
        <v>2240000</v>
      </c>
      <c r="M1160">
        <v>1.97</v>
      </c>
      <c r="N1160">
        <v>14.542450036003562</v>
      </c>
      <c r="O1160" t="s">
        <v>592</v>
      </c>
      <c r="P1160" t="s">
        <v>621</v>
      </c>
      <c r="Q1160" t="s">
        <v>586</v>
      </c>
      <c r="R1160" t="s">
        <v>712</v>
      </c>
      <c r="S1160" t="s">
        <v>635</v>
      </c>
      <c r="T1160">
        <v>76</v>
      </c>
    </row>
    <row r="1161" spans="1:20" x14ac:dyDescent="0.25">
      <c r="A1161" t="s">
        <v>2334</v>
      </c>
      <c r="B1161" t="s">
        <v>100</v>
      </c>
      <c r="C1161" t="s">
        <v>586</v>
      </c>
      <c r="D1161" t="s">
        <v>608</v>
      </c>
      <c r="E1161" t="s">
        <v>671</v>
      </c>
      <c r="F1161">
        <v>4.0233480763020149</v>
      </c>
      <c r="G1161">
        <v>16.30952142760702</v>
      </c>
      <c r="H1161" t="s">
        <v>1004</v>
      </c>
      <c r="I1161" t="s">
        <v>619</v>
      </c>
      <c r="J1161">
        <v>5</v>
      </c>
      <c r="K1161" t="s">
        <v>1765</v>
      </c>
      <c r="L1161">
        <v>2350000</v>
      </c>
      <c r="M1161">
        <v>2.11</v>
      </c>
      <c r="N1161">
        <v>16.30952142760702</v>
      </c>
      <c r="O1161" t="s">
        <v>592</v>
      </c>
      <c r="P1161" t="s">
        <v>621</v>
      </c>
      <c r="Q1161" t="s">
        <v>586</v>
      </c>
      <c r="R1161" t="s">
        <v>712</v>
      </c>
      <c r="S1161" t="s">
        <v>635</v>
      </c>
      <c r="T1161">
        <v>70</v>
      </c>
    </row>
    <row r="1162" spans="1:20" x14ac:dyDescent="0.25">
      <c r="A1162" t="s">
        <v>2335</v>
      </c>
      <c r="B1162" t="s">
        <v>366</v>
      </c>
      <c r="C1162" t="s">
        <v>607</v>
      </c>
      <c r="D1162" t="s">
        <v>608</v>
      </c>
      <c r="E1162" t="s">
        <v>1321</v>
      </c>
      <c r="F1162">
        <v>5.5552221611948165E-3</v>
      </c>
      <c r="G1162">
        <v>25.07684174214193</v>
      </c>
      <c r="H1162" t="s">
        <v>1143</v>
      </c>
      <c r="I1162" t="s">
        <v>885</v>
      </c>
      <c r="J1162">
        <v>2</v>
      </c>
      <c r="K1162" t="s">
        <v>995</v>
      </c>
      <c r="L1162">
        <v>225000</v>
      </c>
      <c r="M1162">
        <v>1.45</v>
      </c>
      <c r="N1162">
        <v>25.07684174214193</v>
      </c>
      <c r="O1162" t="s">
        <v>592</v>
      </c>
      <c r="P1162" t="s">
        <v>613</v>
      </c>
      <c r="Q1162" t="s">
        <v>586</v>
      </c>
      <c r="R1162" t="s">
        <v>712</v>
      </c>
      <c r="S1162" t="s">
        <v>594</v>
      </c>
      <c r="T1162">
        <v>99</v>
      </c>
    </row>
    <row r="1163" spans="1:20" x14ac:dyDescent="0.25">
      <c r="A1163" t="s">
        <v>2336</v>
      </c>
      <c r="B1163" t="s">
        <v>366</v>
      </c>
      <c r="C1163" t="s">
        <v>607</v>
      </c>
      <c r="D1163" t="s">
        <v>608</v>
      </c>
      <c r="E1163" t="s">
        <v>1321</v>
      </c>
      <c r="F1163">
        <v>0.98407552193010284</v>
      </c>
      <c r="G1163">
        <v>24.848341881534708</v>
      </c>
      <c r="H1163" t="s">
        <v>1143</v>
      </c>
      <c r="I1163" t="s">
        <v>885</v>
      </c>
      <c r="J1163">
        <v>2</v>
      </c>
      <c r="K1163" t="s">
        <v>646</v>
      </c>
      <c r="L1163">
        <v>225000</v>
      </c>
      <c r="M1163">
        <v>1.6</v>
      </c>
      <c r="N1163">
        <v>24.848341881534708</v>
      </c>
      <c r="O1163" t="s">
        <v>592</v>
      </c>
      <c r="P1163" t="s">
        <v>613</v>
      </c>
      <c r="Q1163" t="s">
        <v>586</v>
      </c>
      <c r="R1163" t="s">
        <v>712</v>
      </c>
      <c r="S1163" t="s">
        <v>594</v>
      </c>
      <c r="T1163">
        <v>83</v>
      </c>
    </row>
    <row r="1164" spans="1:20" x14ac:dyDescent="0.25">
      <c r="A1164" t="s">
        <v>2337</v>
      </c>
      <c r="B1164" t="s">
        <v>366</v>
      </c>
      <c r="C1164" t="s">
        <v>607</v>
      </c>
      <c r="D1164" t="s">
        <v>608</v>
      </c>
      <c r="E1164" t="s">
        <v>1321</v>
      </c>
      <c r="F1164">
        <v>1.9490653373266371</v>
      </c>
      <c r="G1164">
        <v>29.514048972012663</v>
      </c>
      <c r="H1164" t="s">
        <v>1143</v>
      </c>
      <c r="I1164" t="s">
        <v>885</v>
      </c>
      <c r="J1164">
        <v>2</v>
      </c>
      <c r="K1164" t="s">
        <v>729</v>
      </c>
      <c r="L1164">
        <v>225000</v>
      </c>
      <c r="M1164">
        <v>1.8</v>
      </c>
      <c r="N1164">
        <v>29.514048972012663</v>
      </c>
      <c r="O1164" t="s">
        <v>592</v>
      </c>
      <c r="P1164" t="s">
        <v>613</v>
      </c>
      <c r="Q1164" t="s">
        <v>586</v>
      </c>
      <c r="R1164" t="s">
        <v>712</v>
      </c>
      <c r="S1164" t="s">
        <v>594</v>
      </c>
      <c r="T1164">
        <v>73</v>
      </c>
    </row>
    <row r="1165" spans="1:20" x14ac:dyDescent="0.25">
      <c r="A1165" t="s">
        <v>2338</v>
      </c>
      <c r="B1165" t="s">
        <v>367</v>
      </c>
      <c r="C1165" t="s">
        <v>607</v>
      </c>
      <c r="D1165" t="s">
        <v>741</v>
      </c>
      <c r="E1165" t="s">
        <v>2339</v>
      </c>
      <c r="F1165">
        <v>0.73409150725506767</v>
      </c>
      <c r="G1165">
        <v>30.166754197747593</v>
      </c>
      <c r="H1165" t="s">
        <v>2340</v>
      </c>
      <c r="I1165" t="s">
        <v>716</v>
      </c>
      <c r="J1165">
        <v>3</v>
      </c>
      <c r="K1165" t="s">
        <v>861</v>
      </c>
      <c r="L1165">
        <v>415000</v>
      </c>
      <c r="M1165">
        <v>2.2000000000000002</v>
      </c>
      <c r="N1165">
        <v>30.166754197747593</v>
      </c>
      <c r="O1165" t="s">
        <v>592</v>
      </c>
      <c r="P1165" t="s">
        <v>745</v>
      </c>
      <c r="Q1165" t="s">
        <v>586</v>
      </c>
      <c r="R1165">
        <v>200000</v>
      </c>
      <c r="S1165" t="s">
        <v>594</v>
      </c>
      <c r="T1165">
        <v>98</v>
      </c>
    </row>
    <row r="1166" spans="1:20" x14ac:dyDescent="0.25">
      <c r="A1166" t="s">
        <v>2341</v>
      </c>
      <c r="B1166" t="s">
        <v>367</v>
      </c>
      <c r="C1166" t="s">
        <v>607</v>
      </c>
      <c r="D1166" t="s">
        <v>741</v>
      </c>
      <c r="E1166" t="s">
        <v>2339</v>
      </c>
      <c r="F1166">
        <v>1.687102724631375</v>
      </c>
      <c r="G1166">
        <v>33.51658704586189</v>
      </c>
      <c r="H1166" t="s">
        <v>2340</v>
      </c>
      <c r="I1166" t="s">
        <v>716</v>
      </c>
      <c r="J1166">
        <v>3</v>
      </c>
      <c r="K1166" t="s">
        <v>682</v>
      </c>
      <c r="L1166">
        <v>415000</v>
      </c>
      <c r="M1166">
        <v>2.4000000000000004</v>
      </c>
      <c r="N1166">
        <v>33.51658704586189</v>
      </c>
      <c r="O1166" t="s">
        <v>592</v>
      </c>
      <c r="P1166" t="s">
        <v>745</v>
      </c>
      <c r="Q1166" t="s">
        <v>586</v>
      </c>
      <c r="R1166" t="s">
        <v>712</v>
      </c>
      <c r="S1166" t="s">
        <v>594</v>
      </c>
      <c r="T1166">
        <v>87</v>
      </c>
    </row>
    <row r="1167" spans="1:20" x14ac:dyDescent="0.25">
      <c r="A1167" t="s">
        <v>2342</v>
      </c>
      <c r="B1167" t="s">
        <v>367</v>
      </c>
      <c r="C1167" t="s">
        <v>607</v>
      </c>
      <c r="D1167" t="s">
        <v>741</v>
      </c>
      <c r="E1167" t="s">
        <v>2339</v>
      </c>
      <c r="F1167">
        <v>2.6126751923001312</v>
      </c>
      <c r="G1167">
        <v>32.587493892985279</v>
      </c>
      <c r="H1167" t="s">
        <v>2340</v>
      </c>
      <c r="I1167" t="s">
        <v>716</v>
      </c>
      <c r="J1167">
        <v>3</v>
      </c>
      <c r="K1167" t="s">
        <v>930</v>
      </c>
      <c r="L1167">
        <v>435000</v>
      </c>
      <c r="M1167">
        <v>2.5500000000000003</v>
      </c>
      <c r="N1167">
        <v>32.587493892985279</v>
      </c>
      <c r="O1167" t="s">
        <v>592</v>
      </c>
      <c r="P1167" t="s">
        <v>745</v>
      </c>
      <c r="Q1167" t="s">
        <v>586</v>
      </c>
      <c r="R1167" t="s">
        <v>712</v>
      </c>
      <c r="S1167" t="s">
        <v>594</v>
      </c>
      <c r="T1167">
        <v>76</v>
      </c>
    </row>
    <row r="1168" spans="1:20" x14ac:dyDescent="0.25">
      <c r="A1168" t="s">
        <v>2343</v>
      </c>
      <c r="B1168" t="s">
        <v>368</v>
      </c>
      <c r="C1168" t="s">
        <v>586</v>
      </c>
      <c r="D1168" t="s">
        <v>863</v>
      </c>
      <c r="E1168" t="s">
        <v>2344</v>
      </c>
      <c r="F1168">
        <v>1.2961635897339965</v>
      </c>
      <c r="G1168">
        <v>52.736907457948504</v>
      </c>
      <c r="H1168" t="s">
        <v>1480</v>
      </c>
      <c r="I1168" t="s">
        <v>661</v>
      </c>
      <c r="J1168">
        <v>3</v>
      </c>
      <c r="K1168" t="s">
        <v>758</v>
      </c>
      <c r="L1168">
        <v>105000</v>
      </c>
      <c r="M1168">
        <v>1.93</v>
      </c>
      <c r="N1168">
        <v>52.736907457948504</v>
      </c>
      <c r="O1168" t="s">
        <v>592</v>
      </c>
      <c r="P1168" t="s">
        <v>711</v>
      </c>
      <c r="Q1168" t="s">
        <v>586</v>
      </c>
      <c r="R1168" t="s">
        <v>712</v>
      </c>
      <c r="S1168" t="s">
        <v>712</v>
      </c>
      <c r="T1168">
        <v>76</v>
      </c>
    </row>
    <row r="1169" spans="1:20" x14ac:dyDescent="0.25">
      <c r="A1169" t="s">
        <v>2345</v>
      </c>
      <c r="B1169" t="s">
        <v>361</v>
      </c>
      <c r="C1169" t="s">
        <v>586</v>
      </c>
      <c r="D1169" t="s">
        <v>1523</v>
      </c>
      <c r="E1169" t="s">
        <v>2313</v>
      </c>
      <c r="F1169">
        <v>3.2335315697994211</v>
      </c>
      <c r="G1169">
        <v>28.800287459766771</v>
      </c>
      <c r="H1169" t="s">
        <v>2314</v>
      </c>
      <c r="I1169" t="s">
        <v>611</v>
      </c>
      <c r="J1169">
        <v>5</v>
      </c>
      <c r="K1169" t="s">
        <v>824</v>
      </c>
      <c r="L1169">
        <v>545000</v>
      </c>
      <c r="M1169">
        <v>2.5100000000000002</v>
      </c>
      <c r="N1169">
        <v>28.800287459766771</v>
      </c>
      <c r="O1169" t="s">
        <v>592</v>
      </c>
      <c r="P1169" t="s">
        <v>593</v>
      </c>
      <c r="Q1169" t="s">
        <v>586</v>
      </c>
      <c r="R1169" t="s">
        <v>712</v>
      </c>
      <c r="S1169" t="s">
        <v>712</v>
      </c>
      <c r="T1169">
        <v>70</v>
      </c>
    </row>
    <row r="1170" spans="1:20" x14ac:dyDescent="0.25">
      <c r="A1170" t="s">
        <v>2346</v>
      </c>
      <c r="B1170" t="s">
        <v>361</v>
      </c>
      <c r="C1170" t="s">
        <v>586</v>
      </c>
      <c r="D1170" t="s">
        <v>1523</v>
      </c>
      <c r="E1170" t="s">
        <v>2313</v>
      </c>
      <c r="F1170">
        <v>4.0693026022487322</v>
      </c>
      <c r="G1170">
        <v>28.739726247586937</v>
      </c>
      <c r="H1170" t="s">
        <v>2314</v>
      </c>
      <c r="I1170" t="s">
        <v>611</v>
      </c>
      <c r="J1170">
        <v>5</v>
      </c>
      <c r="K1170" t="s">
        <v>1319</v>
      </c>
      <c r="L1170">
        <v>570000</v>
      </c>
      <c r="M1170">
        <v>2.6</v>
      </c>
      <c r="N1170">
        <v>28.739726247586937</v>
      </c>
      <c r="O1170" t="s">
        <v>592</v>
      </c>
      <c r="P1170" t="s">
        <v>593</v>
      </c>
      <c r="Q1170" t="s">
        <v>586</v>
      </c>
      <c r="R1170" t="s">
        <v>712</v>
      </c>
      <c r="S1170" t="s">
        <v>712</v>
      </c>
      <c r="T1170">
        <v>66</v>
      </c>
    </row>
    <row r="1171" spans="1:20" x14ac:dyDescent="0.25">
      <c r="A1171" t="s">
        <v>2347</v>
      </c>
      <c r="B1171" t="s">
        <v>91</v>
      </c>
      <c r="C1171" t="s">
        <v>586</v>
      </c>
      <c r="D1171" t="s">
        <v>961</v>
      </c>
      <c r="E1171" t="s">
        <v>962</v>
      </c>
      <c r="F1171">
        <v>8.0505224871724582E-2</v>
      </c>
      <c r="G1171">
        <v>-0.954164383561662</v>
      </c>
      <c r="H1171" t="s">
        <v>963</v>
      </c>
      <c r="I1171" t="s">
        <v>661</v>
      </c>
      <c r="J1171">
        <v>3</v>
      </c>
      <c r="K1171" t="s">
        <v>950</v>
      </c>
      <c r="L1171">
        <v>905000</v>
      </c>
      <c r="M1171">
        <v>1.42</v>
      </c>
      <c r="N1171">
        <v>-0.954164383561662</v>
      </c>
      <c r="O1171" t="s">
        <v>592</v>
      </c>
      <c r="P1171" t="s">
        <v>593</v>
      </c>
      <c r="Q1171" t="s">
        <v>586</v>
      </c>
      <c r="R1171">
        <v>300000</v>
      </c>
      <c r="S1171" t="s">
        <v>599</v>
      </c>
      <c r="T1171">
        <v>99</v>
      </c>
    </row>
    <row r="1172" spans="1:20" x14ac:dyDescent="0.25">
      <c r="A1172" t="s">
        <v>2348</v>
      </c>
      <c r="B1172" t="s">
        <v>91</v>
      </c>
      <c r="C1172" t="s">
        <v>586</v>
      </c>
      <c r="D1172" t="s">
        <v>961</v>
      </c>
      <c r="E1172" t="s">
        <v>962</v>
      </c>
      <c r="F1172">
        <v>1.9513851106267761</v>
      </c>
      <c r="G1172">
        <v>-5.5678356164383436</v>
      </c>
      <c r="H1172" t="s">
        <v>963</v>
      </c>
      <c r="I1172" t="s">
        <v>661</v>
      </c>
      <c r="J1172">
        <v>5</v>
      </c>
      <c r="K1172" t="s">
        <v>956</v>
      </c>
      <c r="L1172">
        <v>855000</v>
      </c>
      <c r="M1172">
        <v>1.62</v>
      </c>
      <c r="N1172">
        <v>-5.5678356164383436</v>
      </c>
      <c r="O1172" t="s">
        <v>592</v>
      </c>
      <c r="P1172" t="s">
        <v>593</v>
      </c>
      <c r="Q1172" t="s">
        <v>586</v>
      </c>
      <c r="R1172">
        <v>5000</v>
      </c>
      <c r="S1172" t="s">
        <v>599</v>
      </c>
      <c r="T1172">
        <v>88</v>
      </c>
    </row>
    <row r="1173" spans="1:20" x14ac:dyDescent="0.25">
      <c r="A1173" t="s">
        <v>2349</v>
      </c>
      <c r="B1173" t="s">
        <v>91</v>
      </c>
      <c r="C1173" t="s">
        <v>586</v>
      </c>
      <c r="D1173" t="s">
        <v>961</v>
      </c>
      <c r="E1173" t="s">
        <v>962</v>
      </c>
      <c r="F1173">
        <v>2.8257995404511416</v>
      </c>
      <c r="G1173">
        <v>-5.1348438356164428</v>
      </c>
      <c r="H1173" t="s">
        <v>963</v>
      </c>
      <c r="I1173" t="s">
        <v>661</v>
      </c>
      <c r="J1173">
        <v>5</v>
      </c>
      <c r="K1173" t="s">
        <v>1334</v>
      </c>
      <c r="L1173">
        <v>820000</v>
      </c>
      <c r="M1173">
        <v>1.75</v>
      </c>
      <c r="N1173">
        <v>-5.1348438356164428</v>
      </c>
      <c r="O1173" t="s">
        <v>592</v>
      </c>
      <c r="P1173" t="s">
        <v>593</v>
      </c>
      <c r="Q1173" t="s">
        <v>586</v>
      </c>
      <c r="R1173">
        <v>770000</v>
      </c>
      <c r="S1173" t="s">
        <v>599</v>
      </c>
      <c r="T1173">
        <v>80</v>
      </c>
    </row>
    <row r="1174" spans="1:20" x14ac:dyDescent="0.25">
      <c r="A1174" t="s">
        <v>2350</v>
      </c>
      <c r="B1174" t="s">
        <v>91</v>
      </c>
      <c r="C1174" t="s">
        <v>586</v>
      </c>
      <c r="D1174" t="s">
        <v>961</v>
      </c>
      <c r="E1174" t="s">
        <v>962</v>
      </c>
      <c r="F1174">
        <v>3.6642389966198126</v>
      </c>
      <c r="G1174">
        <v>-6.3169808219177837</v>
      </c>
      <c r="H1174" t="s">
        <v>963</v>
      </c>
      <c r="I1174" t="s">
        <v>661</v>
      </c>
      <c r="J1174">
        <v>5</v>
      </c>
      <c r="K1174" t="s">
        <v>1220</v>
      </c>
      <c r="L1174">
        <v>780000</v>
      </c>
      <c r="M1174">
        <v>1.85</v>
      </c>
      <c r="N1174">
        <v>-6.3169808219177837</v>
      </c>
      <c r="O1174" t="s">
        <v>592</v>
      </c>
      <c r="P1174" t="s">
        <v>593</v>
      </c>
      <c r="Q1174" t="s">
        <v>586</v>
      </c>
      <c r="R1174" t="s">
        <v>712</v>
      </c>
      <c r="S1174" t="s">
        <v>599</v>
      </c>
      <c r="T1174">
        <v>74</v>
      </c>
    </row>
    <row r="1175" spans="1:20" x14ac:dyDescent="0.25">
      <c r="A1175" t="s">
        <v>2351</v>
      </c>
      <c r="B1175" t="s">
        <v>106</v>
      </c>
      <c r="C1175" t="s">
        <v>607</v>
      </c>
      <c r="D1175" t="s">
        <v>587</v>
      </c>
      <c r="E1175" t="s">
        <v>1036</v>
      </c>
      <c r="F1175">
        <v>0.56994166370693067</v>
      </c>
      <c r="G1175">
        <v>6.0409163514228759</v>
      </c>
      <c r="H1175" t="s">
        <v>697</v>
      </c>
      <c r="I1175" t="s">
        <v>1037</v>
      </c>
      <c r="J1175">
        <v>3</v>
      </c>
      <c r="K1175" t="s">
        <v>744</v>
      </c>
      <c r="L1175">
        <v>390000</v>
      </c>
      <c r="M1175">
        <v>1.86</v>
      </c>
      <c r="N1175" t="s">
        <v>712</v>
      </c>
      <c r="O1175" t="s">
        <v>592</v>
      </c>
      <c r="P1175" t="s">
        <v>593</v>
      </c>
      <c r="Q1175" t="s">
        <v>586</v>
      </c>
      <c r="R1175" t="s">
        <v>712</v>
      </c>
      <c r="S1175" t="s">
        <v>712</v>
      </c>
      <c r="T1175">
        <v>98</v>
      </c>
    </row>
    <row r="1176" spans="1:20" x14ac:dyDescent="0.25">
      <c r="A1176" t="s">
        <v>2352</v>
      </c>
      <c r="B1176" t="s">
        <v>106</v>
      </c>
      <c r="C1176" t="s">
        <v>607</v>
      </c>
      <c r="D1176" t="s">
        <v>587</v>
      </c>
      <c r="E1176" t="s">
        <v>1036</v>
      </c>
      <c r="F1176">
        <v>1.5244057769289052</v>
      </c>
      <c r="G1176">
        <v>3.9609048399206648</v>
      </c>
      <c r="H1176" t="s">
        <v>697</v>
      </c>
      <c r="I1176" t="s">
        <v>1037</v>
      </c>
      <c r="J1176">
        <v>3</v>
      </c>
      <c r="K1176" t="s">
        <v>634</v>
      </c>
      <c r="L1176">
        <v>410000</v>
      </c>
      <c r="M1176">
        <v>1.94</v>
      </c>
      <c r="N1176" t="s">
        <v>712</v>
      </c>
      <c r="O1176" t="s">
        <v>592</v>
      </c>
      <c r="P1176" t="s">
        <v>593</v>
      </c>
      <c r="Q1176" t="s">
        <v>586</v>
      </c>
      <c r="R1176">
        <v>70000</v>
      </c>
      <c r="S1176" t="s">
        <v>712</v>
      </c>
      <c r="T1176">
        <v>86</v>
      </c>
    </row>
    <row r="1177" spans="1:20" x14ac:dyDescent="0.25">
      <c r="A1177" t="s">
        <v>2353</v>
      </c>
      <c r="B1177" t="s">
        <v>106</v>
      </c>
      <c r="C1177" t="s">
        <v>607</v>
      </c>
      <c r="D1177" t="s">
        <v>587</v>
      </c>
      <c r="E1177" t="s">
        <v>1036</v>
      </c>
      <c r="F1177">
        <v>2.4509158592001663</v>
      </c>
      <c r="G1177">
        <v>6.0420953476265638</v>
      </c>
      <c r="H1177" t="s">
        <v>697</v>
      </c>
      <c r="I1177" t="s">
        <v>1037</v>
      </c>
      <c r="J1177">
        <v>3</v>
      </c>
      <c r="K1177" t="s">
        <v>959</v>
      </c>
      <c r="L1177">
        <v>420000</v>
      </c>
      <c r="M1177">
        <v>2.06</v>
      </c>
      <c r="N1177" t="s">
        <v>712</v>
      </c>
      <c r="O1177" t="s">
        <v>592</v>
      </c>
      <c r="P1177" t="s">
        <v>593</v>
      </c>
      <c r="Q1177" t="s">
        <v>586</v>
      </c>
      <c r="R1177">
        <v>50000</v>
      </c>
      <c r="S1177" t="s">
        <v>712</v>
      </c>
      <c r="T1177">
        <v>77</v>
      </c>
    </row>
    <row r="1178" spans="1:20" x14ac:dyDescent="0.25">
      <c r="A1178" t="s">
        <v>2354</v>
      </c>
      <c r="B1178" t="s">
        <v>106</v>
      </c>
      <c r="C1178" t="s">
        <v>607</v>
      </c>
      <c r="D1178" t="s">
        <v>587</v>
      </c>
      <c r="E1178" t="s">
        <v>1036</v>
      </c>
      <c r="F1178">
        <v>4.0610296531295313</v>
      </c>
      <c r="G1178">
        <v>13.699085431556179</v>
      </c>
      <c r="H1178" t="s">
        <v>697</v>
      </c>
      <c r="I1178" t="s">
        <v>1037</v>
      </c>
      <c r="J1178">
        <v>5</v>
      </c>
      <c r="K1178" t="s">
        <v>1133</v>
      </c>
      <c r="L1178">
        <v>455000</v>
      </c>
      <c r="M1178">
        <v>2.3199999999999998</v>
      </c>
      <c r="N1178" t="s">
        <v>712</v>
      </c>
      <c r="O1178" t="s">
        <v>592</v>
      </c>
      <c r="P1178" t="s">
        <v>593</v>
      </c>
      <c r="Q1178" t="s">
        <v>586</v>
      </c>
      <c r="R1178" t="s">
        <v>712</v>
      </c>
      <c r="S1178" t="s">
        <v>712</v>
      </c>
      <c r="T1178">
        <v>72</v>
      </c>
    </row>
    <row r="1179" spans="1:20" x14ac:dyDescent="0.25">
      <c r="A1179" t="s">
        <v>2355</v>
      </c>
      <c r="B1179" t="s">
        <v>369</v>
      </c>
      <c r="C1179" t="s">
        <v>586</v>
      </c>
      <c r="D1179" t="s">
        <v>741</v>
      </c>
      <c r="E1179" t="s">
        <v>2356</v>
      </c>
      <c r="F1179">
        <v>2.6132872580041195</v>
      </c>
      <c r="G1179">
        <v>36.753399999999999</v>
      </c>
      <c r="H1179" t="s">
        <v>2357</v>
      </c>
      <c r="I1179" t="s">
        <v>611</v>
      </c>
      <c r="J1179">
        <v>3</v>
      </c>
      <c r="K1179" t="s">
        <v>930</v>
      </c>
      <c r="L1179">
        <v>315000</v>
      </c>
      <c r="M1179">
        <v>2</v>
      </c>
      <c r="N1179">
        <v>36.753399999999999</v>
      </c>
      <c r="O1179" t="s">
        <v>592</v>
      </c>
      <c r="P1179" t="s">
        <v>745</v>
      </c>
      <c r="Q1179" t="s">
        <v>586</v>
      </c>
      <c r="R1179" t="s">
        <v>712</v>
      </c>
      <c r="S1179" t="s">
        <v>712</v>
      </c>
      <c r="T1179">
        <v>54</v>
      </c>
    </row>
    <row r="1180" spans="1:20" x14ac:dyDescent="0.25">
      <c r="A1180" t="s">
        <v>2358</v>
      </c>
      <c r="B1180" t="s">
        <v>21</v>
      </c>
      <c r="C1180" t="s">
        <v>586</v>
      </c>
      <c r="D1180" t="s">
        <v>587</v>
      </c>
      <c r="E1180" t="s">
        <v>588</v>
      </c>
      <c r="F1180">
        <v>0.1636954246942382</v>
      </c>
      <c r="G1180">
        <v>-8.4133711862190985</v>
      </c>
      <c r="H1180" t="s">
        <v>596</v>
      </c>
      <c r="I1180" t="s">
        <v>597</v>
      </c>
      <c r="J1180">
        <v>3</v>
      </c>
      <c r="K1180" t="s">
        <v>749</v>
      </c>
      <c r="L1180">
        <v>470000</v>
      </c>
      <c r="M1180">
        <v>1.55</v>
      </c>
      <c r="N1180">
        <v>-8.4133711862190985</v>
      </c>
      <c r="O1180" t="s">
        <v>592</v>
      </c>
      <c r="P1180" t="s">
        <v>593</v>
      </c>
      <c r="Q1180" t="s">
        <v>586</v>
      </c>
      <c r="R1180">
        <v>150000</v>
      </c>
      <c r="S1180" t="s">
        <v>599</v>
      </c>
      <c r="T1180">
        <v>99</v>
      </c>
    </row>
    <row r="1181" spans="1:20" x14ac:dyDescent="0.25">
      <c r="A1181" t="s">
        <v>2359</v>
      </c>
      <c r="B1181" t="s">
        <v>21</v>
      </c>
      <c r="C1181" t="s">
        <v>586</v>
      </c>
      <c r="D1181" t="s">
        <v>587</v>
      </c>
      <c r="E1181" t="s">
        <v>588</v>
      </c>
      <c r="F1181">
        <v>1.1276975689544291</v>
      </c>
      <c r="G1181">
        <v>-2.7976382589976589</v>
      </c>
      <c r="H1181" t="s">
        <v>596</v>
      </c>
      <c r="I1181" t="s">
        <v>597</v>
      </c>
      <c r="J1181">
        <v>4</v>
      </c>
      <c r="K1181" t="s">
        <v>598</v>
      </c>
      <c r="L1181">
        <v>1835000</v>
      </c>
      <c r="M1181">
        <v>1.77</v>
      </c>
      <c r="N1181">
        <v>-2.7976382589976589</v>
      </c>
      <c r="O1181" t="s">
        <v>592</v>
      </c>
      <c r="P1181" t="s">
        <v>593</v>
      </c>
      <c r="Q1181" t="s">
        <v>586</v>
      </c>
      <c r="R1181">
        <v>30000</v>
      </c>
      <c r="S1181" t="s">
        <v>599</v>
      </c>
      <c r="T1181">
        <v>93</v>
      </c>
    </row>
    <row r="1182" spans="1:20" x14ac:dyDescent="0.25">
      <c r="A1182" t="s">
        <v>2360</v>
      </c>
      <c r="B1182" t="s">
        <v>21</v>
      </c>
      <c r="C1182" t="s">
        <v>586</v>
      </c>
      <c r="D1182" t="s">
        <v>587</v>
      </c>
      <c r="E1182" t="s">
        <v>588</v>
      </c>
      <c r="F1182">
        <v>2.0758345771612272</v>
      </c>
      <c r="G1182">
        <v>1.1478484270493583</v>
      </c>
      <c r="H1182" t="s">
        <v>596</v>
      </c>
      <c r="I1182" t="s">
        <v>597</v>
      </c>
      <c r="J1182">
        <v>3</v>
      </c>
      <c r="K1182" t="s">
        <v>651</v>
      </c>
      <c r="L1182">
        <v>260000</v>
      </c>
      <c r="M1182">
        <v>1.97</v>
      </c>
      <c r="N1182">
        <v>1.1478484270493583</v>
      </c>
      <c r="O1182" t="s">
        <v>592</v>
      </c>
      <c r="P1182" t="s">
        <v>593</v>
      </c>
      <c r="Q1182" t="s">
        <v>586</v>
      </c>
      <c r="R1182" t="s">
        <v>712</v>
      </c>
      <c r="S1182" t="s">
        <v>599</v>
      </c>
      <c r="T1182">
        <v>80</v>
      </c>
    </row>
    <row r="1183" spans="1:20" x14ac:dyDescent="0.25">
      <c r="A1183" t="s">
        <v>2361</v>
      </c>
      <c r="B1183" t="s">
        <v>21</v>
      </c>
      <c r="C1183" t="s">
        <v>586</v>
      </c>
      <c r="D1183" t="s">
        <v>587</v>
      </c>
      <c r="E1183" t="s">
        <v>588</v>
      </c>
      <c r="F1183">
        <v>2.9471487916447736</v>
      </c>
      <c r="G1183">
        <v>3.4497176807526841</v>
      </c>
      <c r="H1183" t="s">
        <v>596</v>
      </c>
      <c r="I1183" t="s">
        <v>597</v>
      </c>
      <c r="J1183">
        <v>4</v>
      </c>
      <c r="K1183" t="s">
        <v>727</v>
      </c>
      <c r="L1183">
        <v>535000</v>
      </c>
      <c r="M1183">
        <v>2.14</v>
      </c>
      <c r="N1183">
        <v>3.4497176807526841</v>
      </c>
      <c r="O1183" t="s">
        <v>592</v>
      </c>
      <c r="P1183" t="s">
        <v>593</v>
      </c>
      <c r="Q1183" t="s">
        <v>586</v>
      </c>
      <c r="R1183" t="s">
        <v>712</v>
      </c>
      <c r="S1183" t="s">
        <v>599</v>
      </c>
      <c r="T1183">
        <v>76</v>
      </c>
    </row>
    <row r="1184" spans="1:20" x14ac:dyDescent="0.25">
      <c r="A1184" t="s">
        <v>2362</v>
      </c>
      <c r="B1184" t="s">
        <v>21</v>
      </c>
      <c r="C1184" t="s">
        <v>586</v>
      </c>
      <c r="D1184" t="s">
        <v>587</v>
      </c>
      <c r="E1184" t="s">
        <v>588</v>
      </c>
      <c r="F1184">
        <v>3.8074942724439222</v>
      </c>
      <c r="G1184">
        <v>4.3383690781315654</v>
      </c>
      <c r="H1184" t="s">
        <v>596</v>
      </c>
      <c r="I1184" t="s">
        <v>597</v>
      </c>
      <c r="J1184">
        <v>4</v>
      </c>
      <c r="K1184" t="s">
        <v>629</v>
      </c>
      <c r="L1184">
        <v>620000</v>
      </c>
      <c r="M1184">
        <v>2.27</v>
      </c>
      <c r="N1184">
        <v>4.3383690781315654</v>
      </c>
      <c r="O1184" t="s">
        <v>592</v>
      </c>
      <c r="P1184" t="s">
        <v>593</v>
      </c>
      <c r="Q1184" t="s">
        <v>586</v>
      </c>
      <c r="R1184" t="s">
        <v>712</v>
      </c>
      <c r="S1184" t="s">
        <v>599</v>
      </c>
      <c r="T1184">
        <v>68</v>
      </c>
    </row>
    <row r="1185" spans="1:20" x14ac:dyDescent="0.25">
      <c r="A1185" t="s">
        <v>2363</v>
      </c>
      <c r="B1185" t="s">
        <v>134</v>
      </c>
      <c r="C1185" t="s">
        <v>586</v>
      </c>
      <c r="D1185" t="s">
        <v>608</v>
      </c>
      <c r="E1185" t="s">
        <v>1142</v>
      </c>
      <c r="F1185">
        <v>2.2186163840246613</v>
      </c>
      <c r="G1185">
        <v>27.785466012109804</v>
      </c>
      <c r="H1185" t="s">
        <v>1143</v>
      </c>
      <c r="I1185" t="s">
        <v>721</v>
      </c>
      <c r="J1185">
        <v>2</v>
      </c>
      <c r="K1185" t="s">
        <v>2364</v>
      </c>
      <c r="L1185">
        <v>890000</v>
      </c>
      <c r="M1185">
        <v>1.75</v>
      </c>
      <c r="N1185">
        <v>27.785466012109804</v>
      </c>
      <c r="O1185" t="s">
        <v>592</v>
      </c>
      <c r="P1185" t="s">
        <v>621</v>
      </c>
      <c r="Q1185" t="s">
        <v>586</v>
      </c>
      <c r="R1185" t="s">
        <v>712</v>
      </c>
      <c r="S1185" t="s">
        <v>652</v>
      </c>
      <c r="T1185">
        <v>52</v>
      </c>
    </row>
    <row r="1186" spans="1:20" x14ac:dyDescent="0.25">
      <c r="A1186" t="s">
        <v>2365</v>
      </c>
      <c r="B1186" t="s">
        <v>134</v>
      </c>
      <c r="C1186" t="s">
        <v>586</v>
      </c>
      <c r="D1186" t="s">
        <v>608</v>
      </c>
      <c r="E1186" t="s">
        <v>1142</v>
      </c>
      <c r="F1186">
        <v>4.6689328843313405</v>
      </c>
      <c r="G1186">
        <v>34.867148703763107</v>
      </c>
      <c r="H1186" t="s">
        <v>1143</v>
      </c>
      <c r="I1186" t="s">
        <v>721</v>
      </c>
      <c r="J1186">
        <v>5</v>
      </c>
      <c r="K1186" t="s">
        <v>2366</v>
      </c>
      <c r="L1186">
        <v>1010000</v>
      </c>
      <c r="M1186">
        <v>2.21</v>
      </c>
      <c r="N1186">
        <v>34.867148703763107</v>
      </c>
      <c r="O1186" t="s">
        <v>592</v>
      </c>
      <c r="P1186" t="s">
        <v>621</v>
      </c>
      <c r="Q1186" t="s">
        <v>586</v>
      </c>
      <c r="R1186">
        <v>10000</v>
      </c>
      <c r="S1186" t="s">
        <v>652</v>
      </c>
      <c r="T1186">
        <v>58</v>
      </c>
    </row>
    <row r="1187" spans="1:20" x14ac:dyDescent="0.25">
      <c r="A1187" t="s">
        <v>2367</v>
      </c>
      <c r="B1187" t="s">
        <v>369</v>
      </c>
      <c r="C1187" t="s">
        <v>586</v>
      </c>
      <c r="D1187" t="s">
        <v>741</v>
      </c>
      <c r="E1187" t="s">
        <v>2356</v>
      </c>
      <c r="F1187">
        <v>0.73431093804855263</v>
      </c>
      <c r="G1187">
        <v>34.668482191780804</v>
      </c>
      <c r="H1187" t="s">
        <v>2357</v>
      </c>
      <c r="I1187" t="s">
        <v>611</v>
      </c>
      <c r="J1187">
        <v>3</v>
      </c>
      <c r="K1187" t="s">
        <v>861</v>
      </c>
      <c r="L1187">
        <v>300000</v>
      </c>
      <c r="M1187">
        <v>1.7000000000000002</v>
      </c>
      <c r="N1187">
        <v>34.668482191780804</v>
      </c>
      <c r="O1187" t="s">
        <v>592</v>
      </c>
      <c r="P1187" t="s">
        <v>745</v>
      </c>
      <c r="Q1187" t="s">
        <v>586</v>
      </c>
      <c r="R1187" t="s">
        <v>712</v>
      </c>
      <c r="S1187" t="s">
        <v>712</v>
      </c>
      <c r="T1187">
        <v>80</v>
      </c>
    </row>
    <row r="1188" spans="1:20" x14ac:dyDescent="0.25">
      <c r="A1188" t="s">
        <v>2368</v>
      </c>
      <c r="B1188" t="s">
        <v>369</v>
      </c>
      <c r="C1188" t="s">
        <v>586</v>
      </c>
      <c r="D1188" t="s">
        <v>741</v>
      </c>
      <c r="E1188" t="s">
        <v>2356</v>
      </c>
      <c r="F1188">
        <v>1.68757117598513</v>
      </c>
      <c r="G1188">
        <v>35.790999999999997</v>
      </c>
      <c r="H1188" t="s">
        <v>2357</v>
      </c>
      <c r="I1188" t="s">
        <v>611</v>
      </c>
      <c r="J1188">
        <v>3</v>
      </c>
      <c r="K1188" t="s">
        <v>682</v>
      </c>
      <c r="L1188">
        <v>305000</v>
      </c>
      <c r="M1188">
        <v>1.85</v>
      </c>
      <c r="N1188">
        <v>35.790999999999997</v>
      </c>
      <c r="O1188" t="s">
        <v>592</v>
      </c>
      <c r="P1188" t="s">
        <v>745</v>
      </c>
      <c r="Q1188" t="s">
        <v>586</v>
      </c>
      <c r="R1188" t="s">
        <v>712</v>
      </c>
      <c r="S1188" t="s">
        <v>712</v>
      </c>
      <c r="T1188">
        <v>70</v>
      </c>
    </row>
    <row r="1189" spans="1:20" x14ac:dyDescent="0.25">
      <c r="A1189" t="s">
        <v>2369</v>
      </c>
      <c r="B1189" t="s">
        <v>369</v>
      </c>
      <c r="C1189" t="s">
        <v>586</v>
      </c>
      <c r="D1189" t="s">
        <v>741</v>
      </c>
      <c r="E1189" t="s">
        <v>2356</v>
      </c>
      <c r="F1189">
        <v>3.5123064970740785</v>
      </c>
      <c r="G1189">
        <v>43.629400000000018</v>
      </c>
      <c r="H1189" t="s">
        <v>2357</v>
      </c>
      <c r="I1189" t="s">
        <v>611</v>
      </c>
      <c r="J1189">
        <v>3</v>
      </c>
      <c r="K1189" t="s">
        <v>684</v>
      </c>
      <c r="L1189">
        <v>325000</v>
      </c>
      <c r="M1189">
        <v>2.2000000000000002</v>
      </c>
      <c r="N1189">
        <v>43.629400000000018</v>
      </c>
      <c r="O1189" t="s">
        <v>592</v>
      </c>
      <c r="P1189" t="s">
        <v>745</v>
      </c>
      <c r="Q1189" t="s">
        <v>586</v>
      </c>
      <c r="R1189" t="s">
        <v>712</v>
      </c>
      <c r="S1189" t="s">
        <v>712</v>
      </c>
      <c r="T1189">
        <v>41</v>
      </c>
    </row>
    <row r="1190" spans="1:20" x14ac:dyDescent="0.25">
      <c r="A1190" t="s">
        <v>2370</v>
      </c>
      <c r="B1190" t="s">
        <v>369</v>
      </c>
      <c r="C1190" t="s">
        <v>586</v>
      </c>
      <c r="D1190" t="s">
        <v>741</v>
      </c>
      <c r="E1190" t="s">
        <v>2356</v>
      </c>
      <c r="F1190">
        <v>4.3851834177287206</v>
      </c>
      <c r="G1190">
        <v>42.740199999999987</v>
      </c>
      <c r="H1190" t="s">
        <v>2357</v>
      </c>
      <c r="I1190" t="s">
        <v>611</v>
      </c>
      <c r="J1190">
        <v>3</v>
      </c>
      <c r="K1190" t="s">
        <v>701</v>
      </c>
      <c r="L1190">
        <v>330000</v>
      </c>
      <c r="M1190">
        <v>2.3000000000000003</v>
      </c>
      <c r="N1190">
        <v>42.740199999999987</v>
      </c>
      <c r="O1190" t="s">
        <v>592</v>
      </c>
      <c r="P1190" t="s">
        <v>745</v>
      </c>
      <c r="Q1190" t="s">
        <v>586</v>
      </c>
      <c r="R1190" t="s">
        <v>712</v>
      </c>
      <c r="S1190" t="s">
        <v>712</v>
      </c>
      <c r="T1190">
        <v>41</v>
      </c>
    </row>
    <row r="1191" spans="1:20" x14ac:dyDescent="0.25">
      <c r="A1191" t="s">
        <v>2371</v>
      </c>
      <c r="B1191" t="s">
        <v>97</v>
      </c>
      <c r="C1191" t="s">
        <v>607</v>
      </c>
      <c r="D1191" t="s">
        <v>990</v>
      </c>
      <c r="E1191" t="s">
        <v>991</v>
      </c>
      <c r="F1191">
        <v>2.695489296740547</v>
      </c>
      <c r="G1191">
        <v>10.849124314452752</v>
      </c>
      <c r="H1191" t="s">
        <v>992</v>
      </c>
      <c r="I1191" t="s">
        <v>993</v>
      </c>
      <c r="J1191">
        <v>3</v>
      </c>
      <c r="K1191" t="s">
        <v>669</v>
      </c>
      <c r="L1191">
        <v>275000</v>
      </c>
      <c r="M1191">
        <v>2.2000000000000002</v>
      </c>
      <c r="N1191">
        <v>10.849124314452752</v>
      </c>
      <c r="O1191" t="s">
        <v>592</v>
      </c>
      <c r="P1191" t="s">
        <v>711</v>
      </c>
      <c r="Q1191" t="s">
        <v>586</v>
      </c>
      <c r="R1191" t="s">
        <v>712</v>
      </c>
      <c r="S1191" t="s">
        <v>712</v>
      </c>
      <c r="T1191">
        <v>68</v>
      </c>
    </row>
    <row r="1192" spans="1:20" x14ac:dyDescent="0.25">
      <c r="A1192" t="s">
        <v>2372</v>
      </c>
      <c r="B1192" t="s">
        <v>97</v>
      </c>
      <c r="C1192" t="s">
        <v>607</v>
      </c>
      <c r="D1192" t="s">
        <v>990</v>
      </c>
      <c r="E1192" t="s">
        <v>991</v>
      </c>
      <c r="F1192">
        <v>3.5944423157964827</v>
      </c>
      <c r="G1192">
        <v>8.0175763423599555</v>
      </c>
      <c r="H1192" t="s">
        <v>992</v>
      </c>
      <c r="I1192" t="s">
        <v>993</v>
      </c>
      <c r="J1192">
        <v>3</v>
      </c>
      <c r="K1192" t="s">
        <v>1163</v>
      </c>
      <c r="L1192">
        <v>285000</v>
      </c>
      <c r="M1192">
        <v>2.3000000000000003</v>
      </c>
      <c r="N1192">
        <v>8.0175763423599555</v>
      </c>
      <c r="O1192" t="s">
        <v>592</v>
      </c>
      <c r="P1192" t="s">
        <v>711</v>
      </c>
      <c r="Q1192" t="s">
        <v>586</v>
      </c>
      <c r="R1192" t="s">
        <v>712</v>
      </c>
      <c r="S1192" t="s">
        <v>712</v>
      </c>
      <c r="T1192">
        <v>61</v>
      </c>
    </row>
    <row r="1193" spans="1:20" x14ac:dyDescent="0.25">
      <c r="A1193" t="s">
        <v>2373</v>
      </c>
      <c r="B1193" t="s">
        <v>370</v>
      </c>
      <c r="C1193" t="s">
        <v>607</v>
      </c>
      <c r="D1193" t="s">
        <v>587</v>
      </c>
      <c r="E1193" t="s">
        <v>2374</v>
      </c>
      <c r="F1193">
        <v>4.36297080330095</v>
      </c>
      <c r="G1193">
        <v>146.39556985420944</v>
      </c>
      <c r="H1193" t="s">
        <v>869</v>
      </c>
      <c r="I1193" t="s">
        <v>597</v>
      </c>
      <c r="J1193">
        <v>3.63</v>
      </c>
      <c r="K1193" t="s">
        <v>722</v>
      </c>
      <c r="L1193">
        <v>10000</v>
      </c>
      <c r="M1193">
        <v>3.63</v>
      </c>
      <c r="N1193">
        <v>146.39556985420944</v>
      </c>
      <c r="O1193" t="s">
        <v>592</v>
      </c>
      <c r="P1193" t="s">
        <v>723</v>
      </c>
      <c r="Q1193" t="s">
        <v>607</v>
      </c>
      <c r="R1193" t="s">
        <v>712</v>
      </c>
      <c r="S1193" t="s">
        <v>712</v>
      </c>
      <c r="T1193">
        <v>41</v>
      </c>
    </row>
    <row r="1194" spans="1:20" x14ac:dyDescent="0.25">
      <c r="A1194" t="s">
        <v>2375</v>
      </c>
      <c r="B1194" t="s">
        <v>370</v>
      </c>
      <c r="C1194" t="s">
        <v>607</v>
      </c>
      <c r="D1194" t="s">
        <v>587</v>
      </c>
      <c r="E1194" t="s">
        <v>2374</v>
      </c>
      <c r="F1194">
        <v>2.6653677493261538</v>
      </c>
      <c r="G1194">
        <v>47.037601464325604</v>
      </c>
      <c r="H1194" t="s">
        <v>869</v>
      </c>
      <c r="I1194" t="s">
        <v>661</v>
      </c>
      <c r="J1194">
        <v>4</v>
      </c>
      <c r="K1194" t="s">
        <v>669</v>
      </c>
      <c r="L1194">
        <v>25000</v>
      </c>
      <c r="M1194">
        <v>2.09</v>
      </c>
      <c r="N1194">
        <v>47.037601464325604</v>
      </c>
      <c r="O1194" t="s">
        <v>592</v>
      </c>
      <c r="P1194" t="s">
        <v>593</v>
      </c>
      <c r="Q1194" t="s">
        <v>586</v>
      </c>
      <c r="R1194" t="s">
        <v>712</v>
      </c>
      <c r="S1194" t="s">
        <v>712</v>
      </c>
      <c r="T1194">
        <v>75</v>
      </c>
    </row>
    <row r="1195" spans="1:20" x14ac:dyDescent="0.25">
      <c r="A1195" t="s">
        <v>2376</v>
      </c>
      <c r="B1195" t="s">
        <v>370</v>
      </c>
      <c r="C1195" t="s">
        <v>607</v>
      </c>
      <c r="D1195" t="s">
        <v>587</v>
      </c>
      <c r="E1195" t="s">
        <v>2374</v>
      </c>
      <c r="F1195">
        <v>3.540713728643238</v>
      </c>
      <c r="G1195">
        <v>52.286426326595503</v>
      </c>
      <c r="H1195" t="s">
        <v>869</v>
      </c>
      <c r="I1195" t="s">
        <v>661</v>
      </c>
      <c r="J1195">
        <v>4</v>
      </c>
      <c r="K1195" t="s">
        <v>1163</v>
      </c>
      <c r="L1195">
        <v>40000</v>
      </c>
      <c r="M1195">
        <v>2.2800000000000002</v>
      </c>
      <c r="N1195">
        <v>52.286426326595503</v>
      </c>
      <c r="O1195" t="s">
        <v>592</v>
      </c>
      <c r="P1195" t="s">
        <v>593</v>
      </c>
      <c r="Q1195" t="s">
        <v>586</v>
      </c>
      <c r="R1195" t="s">
        <v>712</v>
      </c>
      <c r="S1195" t="s">
        <v>712</v>
      </c>
      <c r="T1195">
        <v>68</v>
      </c>
    </row>
    <row r="1196" spans="1:20" x14ac:dyDescent="0.25">
      <c r="A1196" t="s">
        <v>2377</v>
      </c>
      <c r="B1196" t="s">
        <v>370</v>
      </c>
      <c r="C1196" t="s">
        <v>607</v>
      </c>
      <c r="D1196" t="s">
        <v>587</v>
      </c>
      <c r="E1196" t="s">
        <v>2374</v>
      </c>
      <c r="F1196">
        <v>4.3852748037845251</v>
      </c>
      <c r="G1196">
        <v>55.138152535786908</v>
      </c>
      <c r="H1196" t="s">
        <v>869</v>
      </c>
      <c r="I1196" t="s">
        <v>661</v>
      </c>
      <c r="J1196">
        <v>4</v>
      </c>
      <c r="K1196" t="s">
        <v>722</v>
      </c>
      <c r="L1196">
        <v>55000</v>
      </c>
      <c r="M1196">
        <v>2.42</v>
      </c>
      <c r="N1196">
        <v>55.138152535786908</v>
      </c>
      <c r="O1196" t="s">
        <v>592</v>
      </c>
      <c r="P1196" t="s">
        <v>593</v>
      </c>
      <c r="Q1196" t="s">
        <v>586</v>
      </c>
      <c r="R1196" t="s">
        <v>712</v>
      </c>
      <c r="S1196" t="s">
        <v>712</v>
      </c>
      <c r="T1196">
        <v>60</v>
      </c>
    </row>
    <row r="1197" spans="1:20" x14ac:dyDescent="0.25">
      <c r="A1197" t="s">
        <v>2378</v>
      </c>
      <c r="B1197" t="s">
        <v>371</v>
      </c>
      <c r="C1197" t="s">
        <v>607</v>
      </c>
      <c r="D1197" t="s">
        <v>608</v>
      </c>
      <c r="E1197" t="s">
        <v>1321</v>
      </c>
      <c r="F1197">
        <v>0.57192784675617991</v>
      </c>
      <c r="G1197">
        <v>59.059210958904096</v>
      </c>
      <c r="H1197" t="s">
        <v>610</v>
      </c>
      <c r="I1197" t="s">
        <v>1470</v>
      </c>
      <c r="J1197">
        <v>2</v>
      </c>
      <c r="K1197" t="s">
        <v>744</v>
      </c>
      <c r="L1197">
        <v>55000</v>
      </c>
      <c r="M1197">
        <v>2.15</v>
      </c>
      <c r="N1197">
        <v>59.059210958904096</v>
      </c>
      <c r="O1197" t="s">
        <v>592</v>
      </c>
      <c r="P1197" t="s">
        <v>613</v>
      </c>
      <c r="Q1197" t="s">
        <v>586</v>
      </c>
      <c r="R1197" t="s">
        <v>712</v>
      </c>
      <c r="S1197" t="s">
        <v>594</v>
      </c>
      <c r="T1197">
        <v>88</v>
      </c>
    </row>
    <row r="1198" spans="1:20" x14ac:dyDescent="0.25">
      <c r="A1198" t="s">
        <v>2379</v>
      </c>
      <c r="B1198" t="s">
        <v>371</v>
      </c>
      <c r="C1198" t="s">
        <v>607</v>
      </c>
      <c r="D1198" t="s">
        <v>608</v>
      </c>
      <c r="E1198" t="s">
        <v>1321</v>
      </c>
      <c r="F1198">
        <v>1.5371671418141188</v>
      </c>
      <c r="G1198">
        <v>58.381597260273985</v>
      </c>
      <c r="H1198" t="s">
        <v>610</v>
      </c>
      <c r="I1198" t="s">
        <v>1470</v>
      </c>
      <c r="J1198">
        <v>2</v>
      </c>
      <c r="K1198" t="s">
        <v>634</v>
      </c>
      <c r="L1198">
        <v>55000</v>
      </c>
      <c r="M1198">
        <v>2.25</v>
      </c>
      <c r="N1198">
        <v>58.381597260273985</v>
      </c>
      <c r="O1198" t="s">
        <v>592</v>
      </c>
      <c r="P1198" t="s">
        <v>613</v>
      </c>
      <c r="Q1198" t="s">
        <v>586</v>
      </c>
      <c r="R1198">
        <v>75000</v>
      </c>
      <c r="S1198" t="s">
        <v>594</v>
      </c>
      <c r="T1198">
        <v>75</v>
      </c>
    </row>
    <row r="1199" spans="1:20" x14ac:dyDescent="0.25">
      <c r="A1199" t="s">
        <v>2380</v>
      </c>
      <c r="B1199" t="s">
        <v>371</v>
      </c>
      <c r="C1199" t="s">
        <v>607</v>
      </c>
      <c r="D1199" t="s">
        <v>608</v>
      </c>
      <c r="E1199" t="s">
        <v>1321</v>
      </c>
      <c r="F1199">
        <v>2.4785068893047604</v>
      </c>
      <c r="G1199">
        <v>67.844361643835654</v>
      </c>
      <c r="H1199" t="s">
        <v>610</v>
      </c>
      <c r="I1199" t="s">
        <v>1470</v>
      </c>
      <c r="J1199">
        <v>2.125</v>
      </c>
      <c r="K1199" t="s">
        <v>959</v>
      </c>
      <c r="L1199">
        <v>60000</v>
      </c>
      <c r="M1199">
        <v>2.4500000000000002</v>
      </c>
      <c r="N1199">
        <v>67.844361643835654</v>
      </c>
      <c r="O1199" t="s">
        <v>592</v>
      </c>
      <c r="P1199" t="s">
        <v>613</v>
      </c>
      <c r="Q1199" t="s">
        <v>586</v>
      </c>
      <c r="R1199" t="s">
        <v>712</v>
      </c>
      <c r="S1199" t="s">
        <v>594</v>
      </c>
      <c r="T1199">
        <v>64</v>
      </c>
    </row>
    <row r="1200" spans="1:20" x14ac:dyDescent="0.25">
      <c r="A1200" t="s">
        <v>2381</v>
      </c>
      <c r="B1200" t="s">
        <v>372</v>
      </c>
      <c r="C1200" t="s">
        <v>586</v>
      </c>
      <c r="D1200" t="s">
        <v>601</v>
      </c>
      <c r="E1200" t="s">
        <v>2382</v>
      </c>
      <c r="F1200">
        <v>3.6099443150494473E-2</v>
      </c>
      <c r="G1200">
        <v>65.541688081937963</v>
      </c>
      <c r="H1200" t="s">
        <v>2383</v>
      </c>
      <c r="I1200" t="s">
        <v>1011</v>
      </c>
      <c r="J1200">
        <v>2.75</v>
      </c>
      <c r="K1200" t="s">
        <v>1008</v>
      </c>
      <c r="L1200">
        <v>45000</v>
      </c>
      <c r="M1200">
        <v>1.75</v>
      </c>
      <c r="N1200">
        <v>65.541688081937963</v>
      </c>
      <c r="O1200" t="s">
        <v>592</v>
      </c>
      <c r="P1200" t="s">
        <v>711</v>
      </c>
      <c r="Q1200" t="s">
        <v>586</v>
      </c>
      <c r="R1200" t="s">
        <v>712</v>
      </c>
      <c r="S1200" t="s">
        <v>712</v>
      </c>
      <c r="T1200">
        <v>95</v>
      </c>
    </row>
    <row r="1201" spans="1:20" x14ac:dyDescent="0.25">
      <c r="A1201" t="s">
        <v>2384</v>
      </c>
      <c r="B1201" t="s">
        <v>372</v>
      </c>
      <c r="C1201" t="s">
        <v>586</v>
      </c>
      <c r="D1201" t="s">
        <v>601</v>
      </c>
      <c r="E1201" t="s">
        <v>2382</v>
      </c>
      <c r="F1201">
        <v>1.008565650028308</v>
      </c>
      <c r="G1201">
        <v>65.954615825355489</v>
      </c>
      <c r="H1201" t="s">
        <v>2383</v>
      </c>
      <c r="I1201" t="s">
        <v>1011</v>
      </c>
      <c r="J1201">
        <v>2.75</v>
      </c>
      <c r="K1201" t="s">
        <v>920</v>
      </c>
      <c r="L1201">
        <v>45000</v>
      </c>
      <c r="M1201">
        <v>1.9000000000000001</v>
      </c>
      <c r="N1201">
        <v>65.954615825355489</v>
      </c>
      <c r="O1201" t="s">
        <v>592</v>
      </c>
      <c r="P1201" t="s">
        <v>711</v>
      </c>
      <c r="Q1201" t="s">
        <v>586</v>
      </c>
      <c r="R1201" t="s">
        <v>712</v>
      </c>
      <c r="S1201" t="s">
        <v>712</v>
      </c>
      <c r="T1201">
        <v>61</v>
      </c>
    </row>
    <row r="1202" spans="1:20" x14ac:dyDescent="0.25">
      <c r="A1202" t="s">
        <v>2385</v>
      </c>
      <c r="B1202" t="s">
        <v>372</v>
      </c>
      <c r="C1202" t="s">
        <v>586</v>
      </c>
      <c r="D1202" t="s">
        <v>601</v>
      </c>
      <c r="E1202" t="s">
        <v>2382</v>
      </c>
      <c r="F1202">
        <v>1.953283442435285</v>
      </c>
      <c r="G1202">
        <v>70.828132613271194</v>
      </c>
      <c r="H1202" t="s">
        <v>2383</v>
      </c>
      <c r="I1202" t="s">
        <v>1011</v>
      </c>
      <c r="J1202">
        <v>2.75</v>
      </c>
      <c r="K1202" t="s">
        <v>898</v>
      </c>
      <c r="L1202">
        <v>45000</v>
      </c>
      <c r="M1202">
        <v>2.1</v>
      </c>
      <c r="N1202">
        <v>70.828132613271194</v>
      </c>
      <c r="O1202" t="s">
        <v>592</v>
      </c>
      <c r="P1202" t="s">
        <v>711</v>
      </c>
      <c r="Q1202" t="s">
        <v>586</v>
      </c>
      <c r="R1202" t="s">
        <v>712</v>
      </c>
      <c r="S1202" t="s">
        <v>712</v>
      </c>
      <c r="T1202">
        <v>53</v>
      </c>
    </row>
    <row r="1203" spans="1:20" x14ac:dyDescent="0.25">
      <c r="A1203" t="s">
        <v>2386</v>
      </c>
      <c r="B1203" t="s">
        <v>372</v>
      </c>
      <c r="C1203" t="s">
        <v>586</v>
      </c>
      <c r="D1203" t="s">
        <v>601</v>
      </c>
      <c r="E1203" t="s">
        <v>2382</v>
      </c>
      <c r="F1203">
        <v>2.8733017918061687</v>
      </c>
      <c r="G1203">
        <v>75.61056941356847</v>
      </c>
      <c r="H1203" t="s">
        <v>2383</v>
      </c>
      <c r="I1203" t="s">
        <v>1011</v>
      </c>
      <c r="J1203">
        <v>2.75</v>
      </c>
      <c r="K1203" t="s">
        <v>978</v>
      </c>
      <c r="L1203">
        <v>45000</v>
      </c>
      <c r="M1203">
        <v>2.3000000000000003</v>
      </c>
      <c r="N1203">
        <v>75.61056941356847</v>
      </c>
      <c r="O1203" t="s">
        <v>592</v>
      </c>
      <c r="P1203" t="s">
        <v>711</v>
      </c>
      <c r="Q1203" t="s">
        <v>586</v>
      </c>
      <c r="R1203" t="s">
        <v>712</v>
      </c>
      <c r="S1203" t="s">
        <v>712</v>
      </c>
      <c r="T1203">
        <v>38</v>
      </c>
    </row>
    <row r="1204" spans="1:20" x14ac:dyDescent="0.25">
      <c r="A1204" t="s">
        <v>2387</v>
      </c>
      <c r="B1204" t="s">
        <v>373</v>
      </c>
      <c r="C1204" t="s">
        <v>607</v>
      </c>
      <c r="D1204" t="s">
        <v>608</v>
      </c>
      <c r="E1204" t="s">
        <v>1321</v>
      </c>
      <c r="F1204">
        <v>0.52494386866876752</v>
      </c>
      <c r="G1204">
        <v>46.620215847434096</v>
      </c>
      <c r="H1204" t="s">
        <v>2388</v>
      </c>
      <c r="I1204" t="s">
        <v>611</v>
      </c>
      <c r="J1204">
        <v>3</v>
      </c>
      <c r="K1204" t="s">
        <v>1005</v>
      </c>
      <c r="L1204">
        <v>340000</v>
      </c>
      <c r="M1204">
        <v>2.3000000000000003</v>
      </c>
      <c r="N1204">
        <v>46.620215847434096</v>
      </c>
      <c r="O1204" t="s">
        <v>592</v>
      </c>
      <c r="P1204" t="s">
        <v>613</v>
      </c>
      <c r="Q1204" t="s">
        <v>586</v>
      </c>
      <c r="R1204" t="s">
        <v>712</v>
      </c>
      <c r="S1204" t="s">
        <v>712</v>
      </c>
      <c r="T1204">
        <v>93</v>
      </c>
    </row>
    <row r="1205" spans="1:20" x14ac:dyDescent="0.25">
      <c r="A1205" t="s">
        <v>2389</v>
      </c>
      <c r="B1205" t="s">
        <v>373</v>
      </c>
      <c r="C1205" t="s">
        <v>607</v>
      </c>
      <c r="D1205" t="s">
        <v>608</v>
      </c>
      <c r="E1205" t="s">
        <v>1321</v>
      </c>
      <c r="F1205">
        <v>1.4778775875972221</v>
      </c>
      <c r="G1205">
        <v>44.06504431039091</v>
      </c>
      <c r="H1205" t="s">
        <v>2388</v>
      </c>
      <c r="I1205" t="s">
        <v>611</v>
      </c>
      <c r="J1205">
        <v>3</v>
      </c>
      <c r="K1205" t="s">
        <v>1001</v>
      </c>
      <c r="L1205">
        <v>350000</v>
      </c>
      <c r="M1205">
        <v>2.4000000000000004</v>
      </c>
      <c r="N1205">
        <v>44.06504431039091</v>
      </c>
      <c r="O1205" t="s">
        <v>592</v>
      </c>
      <c r="P1205" t="s">
        <v>613</v>
      </c>
      <c r="Q1205" t="s">
        <v>586</v>
      </c>
      <c r="R1205" t="s">
        <v>712</v>
      </c>
      <c r="S1205" t="s">
        <v>712</v>
      </c>
      <c r="T1205">
        <v>81</v>
      </c>
    </row>
    <row r="1206" spans="1:20" x14ac:dyDescent="0.25">
      <c r="A1206" t="s">
        <v>2390</v>
      </c>
      <c r="B1206" t="s">
        <v>373</v>
      </c>
      <c r="C1206" t="s">
        <v>607</v>
      </c>
      <c r="D1206" t="s">
        <v>608</v>
      </c>
      <c r="E1206" t="s">
        <v>1321</v>
      </c>
      <c r="F1206">
        <v>2.4028024918994775</v>
      </c>
      <c r="G1206">
        <v>41.568420941614505</v>
      </c>
      <c r="H1206" t="s">
        <v>2388</v>
      </c>
      <c r="I1206" t="s">
        <v>611</v>
      </c>
      <c r="J1206">
        <v>3</v>
      </c>
      <c r="K1206" t="s">
        <v>803</v>
      </c>
      <c r="L1206">
        <v>365000</v>
      </c>
      <c r="M1206">
        <v>2.5</v>
      </c>
      <c r="N1206">
        <v>41.568420941614505</v>
      </c>
      <c r="O1206" t="s">
        <v>592</v>
      </c>
      <c r="P1206" t="s">
        <v>613</v>
      </c>
      <c r="Q1206" t="s">
        <v>586</v>
      </c>
      <c r="R1206" t="s">
        <v>712</v>
      </c>
      <c r="S1206" t="s">
        <v>712</v>
      </c>
      <c r="T1206">
        <v>71</v>
      </c>
    </row>
    <row r="1207" spans="1:20" x14ac:dyDescent="0.25">
      <c r="A1207" t="s">
        <v>2391</v>
      </c>
      <c r="B1207" t="s">
        <v>373</v>
      </c>
      <c r="C1207" t="s">
        <v>607</v>
      </c>
      <c r="D1207" t="s">
        <v>608</v>
      </c>
      <c r="E1207" t="s">
        <v>1321</v>
      </c>
      <c r="F1207">
        <v>3.3009213751113351</v>
      </c>
      <c r="G1207">
        <v>40.454520950610508</v>
      </c>
      <c r="H1207" t="s">
        <v>2388</v>
      </c>
      <c r="I1207" t="s">
        <v>611</v>
      </c>
      <c r="J1207">
        <v>3</v>
      </c>
      <c r="K1207" t="s">
        <v>1387</v>
      </c>
      <c r="L1207">
        <v>375000</v>
      </c>
      <c r="M1207">
        <v>2.6</v>
      </c>
      <c r="N1207">
        <v>40.454520950610508</v>
      </c>
      <c r="O1207" t="s">
        <v>592</v>
      </c>
      <c r="P1207" t="s">
        <v>613</v>
      </c>
      <c r="Q1207" t="s">
        <v>586</v>
      </c>
      <c r="R1207" t="s">
        <v>712</v>
      </c>
      <c r="S1207" t="s">
        <v>712</v>
      </c>
      <c r="T1207">
        <v>62</v>
      </c>
    </row>
    <row r="1208" spans="1:20" x14ac:dyDescent="0.25">
      <c r="A1208" t="s">
        <v>2392</v>
      </c>
      <c r="B1208" t="s">
        <v>374</v>
      </c>
      <c r="C1208" t="s">
        <v>607</v>
      </c>
      <c r="D1208" t="s">
        <v>608</v>
      </c>
      <c r="E1208" t="s">
        <v>1321</v>
      </c>
      <c r="F1208">
        <v>8.0470208216011654E-2</v>
      </c>
      <c r="G1208">
        <v>72.585188328070458</v>
      </c>
      <c r="H1208" t="s">
        <v>761</v>
      </c>
      <c r="I1208" t="s">
        <v>611</v>
      </c>
      <c r="J1208">
        <v>5.75</v>
      </c>
      <c r="K1208" t="s">
        <v>950</v>
      </c>
      <c r="L1208">
        <v>25000</v>
      </c>
      <c r="M1208">
        <v>2</v>
      </c>
      <c r="N1208">
        <v>72.585188328070458</v>
      </c>
      <c r="O1208" t="s">
        <v>592</v>
      </c>
      <c r="P1208" t="s">
        <v>613</v>
      </c>
      <c r="Q1208" t="s">
        <v>586</v>
      </c>
      <c r="R1208" t="s">
        <v>712</v>
      </c>
      <c r="S1208" t="s">
        <v>594</v>
      </c>
      <c r="T1208">
        <v>96</v>
      </c>
    </row>
    <row r="1209" spans="1:20" x14ac:dyDescent="0.25">
      <c r="A1209" t="s">
        <v>2393</v>
      </c>
      <c r="B1209" t="s">
        <v>374</v>
      </c>
      <c r="C1209" t="s">
        <v>607</v>
      </c>
      <c r="D1209" t="s">
        <v>608</v>
      </c>
      <c r="E1209" t="s">
        <v>1321</v>
      </c>
      <c r="F1209">
        <v>1.0303816813696143</v>
      </c>
      <c r="G1209">
        <v>83.301139442728811</v>
      </c>
      <c r="H1209" t="s">
        <v>761</v>
      </c>
      <c r="I1209" t="s">
        <v>611</v>
      </c>
      <c r="J1209">
        <v>5.75</v>
      </c>
      <c r="K1209" t="s">
        <v>612</v>
      </c>
      <c r="L1209">
        <v>25000</v>
      </c>
      <c r="M1209">
        <v>2.25</v>
      </c>
      <c r="N1209">
        <v>83.301139442728811</v>
      </c>
      <c r="O1209" t="s">
        <v>592</v>
      </c>
      <c r="P1209" t="s">
        <v>613</v>
      </c>
      <c r="Q1209" t="s">
        <v>586</v>
      </c>
      <c r="R1209" t="s">
        <v>712</v>
      </c>
      <c r="S1209" t="s">
        <v>594</v>
      </c>
      <c r="T1209">
        <v>93</v>
      </c>
    </row>
    <row r="1210" spans="1:20" x14ac:dyDescent="0.25">
      <c r="A1210" t="s">
        <v>2394</v>
      </c>
      <c r="B1210" t="s">
        <v>374</v>
      </c>
      <c r="C1210" t="s">
        <v>607</v>
      </c>
      <c r="D1210" t="s">
        <v>608</v>
      </c>
      <c r="E1210" t="s">
        <v>1321</v>
      </c>
      <c r="F1210">
        <v>1.9303552825628787</v>
      </c>
      <c r="G1210">
        <v>83.634052405971886</v>
      </c>
      <c r="H1210" t="s">
        <v>761</v>
      </c>
      <c r="I1210" t="s">
        <v>611</v>
      </c>
      <c r="J1210">
        <v>5.75</v>
      </c>
      <c r="K1210" t="s">
        <v>956</v>
      </c>
      <c r="L1210">
        <v>25000</v>
      </c>
      <c r="M1210">
        <v>2.4000000000000004</v>
      </c>
      <c r="N1210">
        <v>83.634052405971886</v>
      </c>
      <c r="O1210" t="s">
        <v>592</v>
      </c>
      <c r="P1210" t="s">
        <v>613</v>
      </c>
      <c r="Q1210" t="s">
        <v>586</v>
      </c>
      <c r="R1210" t="s">
        <v>712</v>
      </c>
      <c r="S1210" t="s">
        <v>594</v>
      </c>
      <c r="T1210">
        <v>85</v>
      </c>
    </row>
    <row r="1211" spans="1:20" x14ac:dyDescent="0.25">
      <c r="A1211" t="s">
        <v>2395</v>
      </c>
      <c r="B1211" t="s">
        <v>375</v>
      </c>
      <c r="C1211" t="s">
        <v>607</v>
      </c>
      <c r="D1211" t="s">
        <v>608</v>
      </c>
      <c r="E1211" t="s">
        <v>1321</v>
      </c>
      <c r="F1211">
        <v>8.0471052044698468E-2</v>
      </c>
      <c r="G1211">
        <v>59.06834136290928</v>
      </c>
      <c r="H1211" t="s">
        <v>720</v>
      </c>
      <c r="I1211" t="s">
        <v>611</v>
      </c>
      <c r="J1211">
        <v>3.25</v>
      </c>
      <c r="K1211" t="s">
        <v>950</v>
      </c>
      <c r="L1211">
        <v>25000</v>
      </c>
      <c r="M1211">
        <v>2</v>
      </c>
      <c r="N1211">
        <v>59.06834136290928</v>
      </c>
      <c r="O1211" t="s">
        <v>592</v>
      </c>
      <c r="P1211" t="s">
        <v>613</v>
      </c>
      <c r="Q1211" t="s">
        <v>586</v>
      </c>
      <c r="R1211" t="s">
        <v>712</v>
      </c>
      <c r="S1211" t="s">
        <v>878</v>
      </c>
      <c r="T1211">
        <v>99</v>
      </c>
    </row>
    <row r="1212" spans="1:20" x14ac:dyDescent="0.25">
      <c r="A1212" t="s">
        <v>2396</v>
      </c>
      <c r="B1212" t="s">
        <v>375</v>
      </c>
      <c r="C1212" t="s">
        <v>607</v>
      </c>
      <c r="D1212" t="s">
        <v>608</v>
      </c>
      <c r="E1212" t="s">
        <v>1321</v>
      </c>
      <c r="F1212">
        <v>1.0461417970416387</v>
      </c>
      <c r="G1212">
        <v>57.76003174493902</v>
      </c>
      <c r="H1212" t="s">
        <v>720</v>
      </c>
      <c r="I1212" t="s">
        <v>611</v>
      </c>
      <c r="J1212">
        <v>3.375</v>
      </c>
      <c r="K1212" t="s">
        <v>612</v>
      </c>
      <c r="L1212">
        <v>25000</v>
      </c>
      <c r="M1212">
        <v>2.15</v>
      </c>
      <c r="N1212">
        <v>57.76003174493902</v>
      </c>
      <c r="O1212" t="s">
        <v>592</v>
      </c>
      <c r="P1212" t="s">
        <v>613</v>
      </c>
      <c r="Q1212" t="s">
        <v>586</v>
      </c>
      <c r="R1212" t="s">
        <v>712</v>
      </c>
      <c r="S1212" t="s">
        <v>878</v>
      </c>
      <c r="T1212">
        <v>89</v>
      </c>
    </row>
    <row r="1213" spans="1:20" x14ac:dyDescent="0.25">
      <c r="A1213" t="s">
        <v>2397</v>
      </c>
      <c r="B1213" t="s">
        <v>375</v>
      </c>
      <c r="C1213" t="s">
        <v>607</v>
      </c>
      <c r="D1213" t="s">
        <v>608</v>
      </c>
      <c r="E1213" t="s">
        <v>1321</v>
      </c>
      <c r="F1213">
        <v>1.9791591507411328</v>
      </c>
      <c r="G1213">
        <v>56.341187853033524</v>
      </c>
      <c r="H1213" t="s">
        <v>720</v>
      </c>
      <c r="I1213" t="s">
        <v>611</v>
      </c>
      <c r="J1213">
        <v>3.375</v>
      </c>
      <c r="K1213" t="s">
        <v>956</v>
      </c>
      <c r="L1213">
        <v>25000</v>
      </c>
      <c r="M1213">
        <v>2.3000000000000003</v>
      </c>
      <c r="N1213">
        <v>56.341187853033524</v>
      </c>
      <c r="O1213" t="s">
        <v>592</v>
      </c>
      <c r="P1213" t="s">
        <v>613</v>
      </c>
      <c r="Q1213" t="s">
        <v>586</v>
      </c>
      <c r="R1213" t="s">
        <v>712</v>
      </c>
      <c r="S1213" t="s">
        <v>878</v>
      </c>
      <c r="T1213">
        <v>79</v>
      </c>
    </row>
    <row r="1214" spans="1:20" x14ac:dyDescent="0.25">
      <c r="A1214" t="s">
        <v>2398</v>
      </c>
      <c r="B1214" t="s">
        <v>376</v>
      </c>
      <c r="C1214" t="s">
        <v>607</v>
      </c>
      <c r="D1214" t="s">
        <v>608</v>
      </c>
      <c r="E1214" t="s">
        <v>1321</v>
      </c>
      <c r="F1214">
        <v>8.0474231561264223E-2</v>
      </c>
      <c r="G1214">
        <v>42.34376712328767</v>
      </c>
      <c r="H1214" t="s">
        <v>610</v>
      </c>
      <c r="I1214" t="s">
        <v>611</v>
      </c>
      <c r="J1214">
        <v>5</v>
      </c>
      <c r="K1214" t="s">
        <v>950</v>
      </c>
      <c r="L1214">
        <v>25000</v>
      </c>
      <c r="M1214">
        <v>1.85</v>
      </c>
      <c r="N1214">
        <v>42.34376712328767</v>
      </c>
      <c r="O1214" t="s">
        <v>592</v>
      </c>
      <c r="P1214" t="s">
        <v>613</v>
      </c>
      <c r="Q1214" t="s">
        <v>586</v>
      </c>
      <c r="R1214" t="s">
        <v>712</v>
      </c>
      <c r="S1214" t="s">
        <v>712</v>
      </c>
      <c r="T1214">
        <v>96</v>
      </c>
    </row>
    <row r="1215" spans="1:20" x14ac:dyDescent="0.25">
      <c r="A1215" t="s">
        <v>2399</v>
      </c>
      <c r="B1215" t="s">
        <v>376</v>
      </c>
      <c r="C1215" t="s">
        <v>607</v>
      </c>
      <c r="D1215" t="s">
        <v>608</v>
      </c>
      <c r="E1215" t="s">
        <v>1321</v>
      </c>
      <c r="F1215">
        <v>1.0355609895922471</v>
      </c>
      <c r="G1215">
        <v>45.909931506849318</v>
      </c>
      <c r="H1215" t="s">
        <v>610</v>
      </c>
      <c r="I1215" t="s">
        <v>611</v>
      </c>
      <c r="J1215">
        <v>5</v>
      </c>
      <c r="K1215" t="s">
        <v>612</v>
      </c>
      <c r="L1215">
        <v>25000</v>
      </c>
      <c r="M1215">
        <v>2</v>
      </c>
      <c r="N1215">
        <v>45.909931506849318</v>
      </c>
      <c r="O1215" t="s">
        <v>592</v>
      </c>
      <c r="P1215" t="s">
        <v>613</v>
      </c>
      <c r="Q1215" t="s">
        <v>586</v>
      </c>
      <c r="R1215" t="s">
        <v>712</v>
      </c>
      <c r="S1215" t="s">
        <v>712</v>
      </c>
      <c r="T1215">
        <v>93</v>
      </c>
    </row>
    <row r="1216" spans="1:20" x14ac:dyDescent="0.25">
      <c r="A1216" t="s">
        <v>2400</v>
      </c>
      <c r="B1216" t="s">
        <v>376</v>
      </c>
      <c r="C1216" t="s">
        <v>607</v>
      </c>
      <c r="D1216" t="s">
        <v>608</v>
      </c>
      <c r="E1216" t="s">
        <v>1321</v>
      </c>
      <c r="F1216">
        <v>1.9459155708018878</v>
      </c>
      <c r="G1216">
        <v>49.251630136986279</v>
      </c>
      <c r="H1216" t="s">
        <v>610</v>
      </c>
      <c r="I1216" t="s">
        <v>611</v>
      </c>
      <c r="J1216">
        <v>5</v>
      </c>
      <c r="K1216" t="s">
        <v>956</v>
      </c>
      <c r="L1216">
        <v>25000</v>
      </c>
      <c r="M1216">
        <v>2.15</v>
      </c>
      <c r="N1216">
        <v>49.251630136986279</v>
      </c>
      <c r="O1216" t="s">
        <v>592</v>
      </c>
      <c r="P1216" t="s">
        <v>613</v>
      </c>
      <c r="Q1216" t="s">
        <v>586</v>
      </c>
      <c r="R1216" t="s">
        <v>712</v>
      </c>
      <c r="S1216" t="s">
        <v>712</v>
      </c>
      <c r="T1216">
        <v>83</v>
      </c>
    </row>
    <row r="1217" spans="1:20" x14ac:dyDescent="0.25">
      <c r="A1217" t="s">
        <v>2401</v>
      </c>
      <c r="B1217" t="s">
        <v>377</v>
      </c>
      <c r="C1217" t="s">
        <v>607</v>
      </c>
      <c r="D1217" t="s">
        <v>608</v>
      </c>
      <c r="E1217" t="s">
        <v>1321</v>
      </c>
      <c r="F1217">
        <v>8.0471242518095412E-2</v>
      </c>
      <c r="G1217">
        <v>42.64470684931505</v>
      </c>
      <c r="H1217" t="s">
        <v>610</v>
      </c>
      <c r="I1217" t="s">
        <v>611</v>
      </c>
      <c r="J1217">
        <v>2</v>
      </c>
      <c r="K1217" t="s">
        <v>950</v>
      </c>
      <c r="L1217">
        <v>200000</v>
      </c>
      <c r="M1217">
        <v>1.9000000000000001</v>
      </c>
      <c r="N1217">
        <v>42.64470684931505</v>
      </c>
      <c r="O1217" t="s">
        <v>592</v>
      </c>
      <c r="P1217" t="s">
        <v>613</v>
      </c>
      <c r="Q1217" t="s">
        <v>586</v>
      </c>
      <c r="R1217" t="s">
        <v>712</v>
      </c>
      <c r="S1217" t="s">
        <v>878</v>
      </c>
      <c r="T1217">
        <v>90</v>
      </c>
    </row>
    <row r="1218" spans="1:20" x14ac:dyDescent="0.25">
      <c r="A1218" t="s">
        <v>2402</v>
      </c>
      <c r="B1218" t="s">
        <v>377</v>
      </c>
      <c r="C1218" t="s">
        <v>607</v>
      </c>
      <c r="D1218" t="s">
        <v>608</v>
      </c>
      <c r="E1218" t="s">
        <v>1321</v>
      </c>
      <c r="F1218">
        <v>1.0557418125715767</v>
      </c>
      <c r="G1218">
        <v>41.598424657534252</v>
      </c>
      <c r="H1218" t="s">
        <v>610</v>
      </c>
      <c r="I1218" t="s">
        <v>611</v>
      </c>
      <c r="J1218">
        <v>2</v>
      </c>
      <c r="K1218" t="s">
        <v>612</v>
      </c>
      <c r="L1218">
        <v>200000</v>
      </c>
      <c r="M1218">
        <v>2</v>
      </c>
      <c r="N1218">
        <v>41.598424657534252</v>
      </c>
      <c r="O1218" t="s">
        <v>592</v>
      </c>
      <c r="P1218" t="s">
        <v>613</v>
      </c>
      <c r="Q1218" t="s">
        <v>586</v>
      </c>
      <c r="R1218">
        <v>150000</v>
      </c>
      <c r="S1218" t="s">
        <v>878</v>
      </c>
      <c r="T1218">
        <v>85</v>
      </c>
    </row>
    <row r="1219" spans="1:20" x14ac:dyDescent="0.25">
      <c r="A1219" t="s">
        <v>2403</v>
      </c>
      <c r="B1219" t="s">
        <v>377</v>
      </c>
      <c r="C1219" t="s">
        <v>607</v>
      </c>
      <c r="D1219" t="s">
        <v>608</v>
      </c>
      <c r="E1219" t="s">
        <v>1321</v>
      </c>
      <c r="F1219">
        <v>1.9873824629731021</v>
      </c>
      <c r="G1219">
        <v>46.247578082191779</v>
      </c>
      <c r="H1219" t="s">
        <v>610</v>
      </c>
      <c r="I1219" t="s">
        <v>611</v>
      </c>
      <c r="J1219">
        <v>3</v>
      </c>
      <c r="K1219" t="s">
        <v>956</v>
      </c>
      <c r="L1219">
        <v>200000</v>
      </c>
      <c r="M1219">
        <v>2.15</v>
      </c>
      <c r="N1219">
        <v>46.247578082191779</v>
      </c>
      <c r="O1219" t="s">
        <v>592</v>
      </c>
      <c r="P1219" t="s">
        <v>613</v>
      </c>
      <c r="Q1219" t="s">
        <v>586</v>
      </c>
      <c r="R1219" t="s">
        <v>712</v>
      </c>
      <c r="S1219" t="s">
        <v>878</v>
      </c>
      <c r="T1219">
        <v>79</v>
      </c>
    </row>
    <row r="1220" spans="1:20" x14ac:dyDescent="0.25">
      <c r="A1220" t="s">
        <v>2404</v>
      </c>
      <c r="B1220" t="s">
        <v>378</v>
      </c>
      <c r="C1220" t="s">
        <v>607</v>
      </c>
      <c r="D1220" t="s">
        <v>608</v>
      </c>
      <c r="E1220" t="s">
        <v>1321</v>
      </c>
      <c r="F1220">
        <v>8.046455027030254E-2</v>
      </c>
      <c r="G1220">
        <v>58.530445649429133</v>
      </c>
      <c r="H1220" t="s">
        <v>1000</v>
      </c>
      <c r="I1220" t="s">
        <v>885</v>
      </c>
      <c r="J1220">
        <v>3</v>
      </c>
      <c r="K1220" t="s">
        <v>950</v>
      </c>
      <c r="L1220">
        <v>160000</v>
      </c>
      <c r="M1220">
        <v>1.75</v>
      </c>
      <c r="N1220">
        <v>58.530445649429133</v>
      </c>
      <c r="O1220" t="s">
        <v>592</v>
      </c>
      <c r="P1220" t="s">
        <v>613</v>
      </c>
      <c r="Q1220" t="s">
        <v>586</v>
      </c>
      <c r="R1220" t="s">
        <v>712</v>
      </c>
      <c r="S1220" t="s">
        <v>878</v>
      </c>
      <c r="T1220">
        <v>99</v>
      </c>
    </row>
    <row r="1221" spans="1:20" x14ac:dyDescent="0.25">
      <c r="A1221" t="s">
        <v>2405</v>
      </c>
      <c r="B1221" t="s">
        <v>378</v>
      </c>
      <c r="C1221" t="s">
        <v>607</v>
      </c>
      <c r="D1221" t="s">
        <v>608</v>
      </c>
      <c r="E1221" t="s">
        <v>1321</v>
      </c>
      <c r="F1221">
        <v>1.0481789544489428</v>
      </c>
      <c r="G1221">
        <v>58.398781667388192</v>
      </c>
      <c r="H1221" t="s">
        <v>1000</v>
      </c>
      <c r="I1221" t="s">
        <v>885</v>
      </c>
      <c r="J1221">
        <v>3</v>
      </c>
      <c r="K1221" t="s">
        <v>612</v>
      </c>
      <c r="L1221">
        <v>160000</v>
      </c>
      <c r="M1221">
        <v>1.9000000000000001</v>
      </c>
      <c r="N1221">
        <v>58.398781667388192</v>
      </c>
      <c r="O1221" t="s">
        <v>592</v>
      </c>
      <c r="P1221" t="s">
        <v>613</v>
      </c>
      <c r="Q1221" t="s">
        <v>586</v>
      </c>
      <c r="R1221" t="s">
        <v>712</v>
      </c>
      <c r="S1221" t="s">
        <v>878</v>
      </c>
      <c r="T1221">
        <v>89</v>
      </c>
    </row>
    <row r="1222" spans="1:20" x14ac:dyDescent="0.25">
      <c r="A1222" t="s">
        <v>2406</v>
      </c>
      <c r="B1222" t="s">
        <v>378</v>
      </c>
      <c r="C1222" t="s">
        <v>607</v>
      </c>
      <c r="D1222" t="s">
        <v>608</v>
      </c>
      <c r="E1222" t="s">
        <v>1321</v>
      </c>
      <c r="F1222">
        <v>1.9862643326839184</v>
      </c>
      <c r="G1222">
        <v>65.622398816258283</v>
      </c>
      <c r="H1222" t="s">
        <v>1000</v>
      </c>
      <c r="I1222" t="s">
        <v>885</v>
      </c>
      <c r="J1222">
        <v>3</v>
      </c>
      <c r="K1222" t="s">
        <v>956</v>
      </c>
      <c r="L1222">
        <v>160000</v>
      </c>
      <c r="M1222">
        <v>2.125</v>
      </c>
      <c r="N1222">
        <v>65.622398816258283</v>
      </c>
      <c r="O1222" t="s">
        <v>592</v>
      </c>
      <c r="P1222" t="s">
        <v>613</v>
      </c>
      <c r="Q1222" t="s">
        <v>586</v>
      </c>
      <c r="R1222" t="s">
        <v>712</v>
      </c>
      <c r="S1222" t="s">
        <v>878</v>
      </c>
      <c r="T1222">
        <v>79</v>
      </c>
    </row>
    <row r="1223" spans="1:20" x14ac:dyDescent="0.25">
      <c r="A1223" t="s">
        <v>2407</v>
      </c>
      <c r="B1223" t="s">
        <v>379</v>
      </c>
      <c r="C1223" t="s">
        <v>607</v>
      </c>
      <c r="D1223" t="s">
        <v>608</v>
      </c>
      <c r="E1223" t="s">
        <v>1321</v>
      </c>
      <c r="F1223">
        <v>8.0483804398411185E-2</v>
      </c>
      <c r="G1223">
        <v>53.808121306080217</v>
      </c>
      <c r="H1223" t="s">
        <v>720</v>
      </c>
      <c r="I1223" t="s">
        <v>611</v>
      </c>
      <c r="J1223">
        <v>2</v>
      </c>
      <c r="K1223" t="s">
        <v>950</v>
      </c>
      <c r="L1223">
        <v>105000</v>
      </c>
      <c r="M1223">
        <v>1.8</v>
      </c>
      <c r="N1223">
        <v>53.808121306080217</v>
      </c>
      <c r="O1223" t="s">
        <v>592</v>
      </c>
      <c r="P1223" t="s">
        <v>621</v>
      </c>
      <c r="Q1223" t="s">
        <v>586</v>
      </c>
      <c r="R1223" t="s">
        <v>712</v>
      </c>
      <c r="S1223" t="s">
        <v>594</v>
      </c>
      <c r="T1223">
        <v>92</v>
      </c>
    </row>
    <row r="1224" spans="1:20" x14ac:dyDescent="0.25">
      <c r="A1224" t="s">
        <v>2408</v>
      </c>
      <c r="B1224" t="s">
        <v>379</v>
      </c>
      <c r="C1224" t="s">
        <v>607</v>
      </c>
      <c r="D1224" t="s">
        <v>608</v>
      </c>
      <c r="E1224" t="s">
        <v>1321</v>
      </c>
      <c r="F1224">
        <v>1.0567401403001748</v>
      </c>
      <c r="G1224">
        <v>57.822825706679851</v>
      </c>
      <c r="H1224" t="s">
        <v>720</v>
      </c>
      <c r="I1224" t="s">
        <v>611</v>
      </c>
      <c r="J1224">
        <v>2</v>
      </c>
      <c r="K1224" t="s">
        <v>612</v>
      </c>
      <c r="L1224">
        <v>720000</v>
      </c>
      <c r="M1224">
        <v>2</v>
      </c>
      <c r="N1224">
        <v>57.822825706679851</v>
      </c>
      <c r="O1224" t="s">
        <v>592</v>
      </c>
      <c r="P1224" t="s">
        <v>621</v>
      </c>
      <c r="Q1224" t="s">
        <v>586</v>
      </c>
      <c r="R1224" t="s">
        <v>712</v>
      </c>
      <c r="S1224" t="s">
        <v>594</v>
      </c>
      <c r="T1224">
        <v>67</v>
      </c>
    </row>
    <row r="1225" spans="1:20" x14ac:dyDescent="0.25">
      <c r="A1225" t="s">
        <v>2409</v>
      </c>
      <c r="B1225" t="s">
        <v>379</v>
      </c>
      <c r="C1225" t="s">
        <v>607</v>
      </c>
      <c r="D1225" t="s">
        <v>608</v>
      </c>
      <c r="E1225" t="s">
        <v>1321</v>
      </c>
      <c r="F1225">
        <v>2.011802961627013</v>
      </c>
      <c r="G1225">
        <v>56.719184477176235</v>
      </c>
      <c r="H1225" t="s">
        <v>720</v>
      </c>
      <c r="I1225" t="s">
        <v>611</v>
      </c>
      <c r="J1225">
        <v>2</v>
      </c>
      <c r="K1225" t="s">
        <v>956</v>
      </c>
      <c r="L1225">
        <v>735000</v>
      </c>
      <c r="M1225">
        <v>2.15</v>
      </c>
      <c r="N1225">
        <v>56.719184477176235</v>
      </c>
      <c r="O1225" t="s">
        <v>592</v>
      </c>
      <c r="P1225" t="s">
        <v>621</v>
      </c>
      <c r="Q1225" t="s">
        <v>586</v>
      </c>
      <c r="R1225" t="s">
        <v>712</v>
      </c>
      <c r="S1225" t="s">
        <v>594</v>
      </c>
      <c r="T1225">
        <v>53</v>
      </c>
    </row>
    <row r="1226" spans="1:20" x14ac:dyDescent="0.25">
      <c r="A1226" t="s">
        <v>2410</v>
      </c>
      <c r="B1226" t="s">
        <v>379</v>
      </c>
      <c r="C1226" t="s">
        <v>607</v>
      </c>
      <c r="D1226" t="s">
        <v>608</v>
      </c>
      <c r="E1226" t="s">
        <v>1321</v>
      </c>
      <c r="F1226">
        <v>2.9474068387816588</v>
      </c>
      <c r="G1226">
        <v>61.104082814006034</v>
      </c>
      <c r="H1226" t="s">
        <v>720</v>
      </c>
      <c r="I1226" t="s">
        <v>611</v>
      </c>
      <c r="J1226">
        <v>2</v>
      </c>
      <c r="K1226" t="s">
        <v>1334</v>
      </c>
      <c r="L1226">
        <v>1130000</v>
      </c>
      <c r="M1226">
        <v>2.35</v>
      </c>
      <c r="N1226">
        <v>61.104082814006034</v>
      </c>
      <c r="O1226" t="s">
        <v>592</v>
      </c>
      <c r="P1226" t="s">
        <v>621</v>
      </c>
      <c r="Q1226" t="s">
        <v>586</v>
      </c>
      <c r="R1226">
        <v>15000</v>
      </c>
      <c r="S1226" t="s">
        <v>594</v>
      </c>
      <c r="T1226">
        <v>42</v>
      </c>
    </row>
    <row r="1227" spans="1:20" x14ac:dyDescent="0.25">
      <c r="A1227" t="s">
        <v>2411</v>
      </c>
      <c r="B1227" t="s">
        <v>380</v>
      </c>
      <c r="C1227" t="s">
        <v>607</v>
      </c>
      <c r="D1227" t="s">
        <v>608</v>
      </c>
      <c r="E1227" t="s">
        <v>1321</v>
      </c>
      <c r="F1227">
        <v>8.049562169731056E-2</v>
      </c>
      <c r="G1227">
        <v>40.827813698630131</v>
      </c>
      <c r="H1227" t="s">
        <v>610</v>
      </c>
      <c r="I1227" t="s">
        <v>2412</v>
      </c>
      <c r="J1227">
        <v>3</v>
      </c>
      <c r="K1227" t="s">
        <v>950</v>
      </c>
      <c r="L1227">
        <v>395000</v>
      </c>
      <c r="M1227">
        <v>1.9000000000000001</v>
      </c>
      <c r="N1227">
        <v>40.827813698630131</v>
      </c>
      <c r="O1227" t="s">
        <v>592</v>
      </c>
      <c r="P1227" t="s">
        <v>621</v>
      </c>
      <c r="Q1227" t="s">
        <v>586</v>
      </c>
      <c r="R1227" t="s">
        <v>712</v>
      </c>
      <c r="S1227" t="s">
        <v>594</v>
      </c>
      <c r="T1227">
        <v>98</v>
      </c>
    </row>
    <row r="1228" spans="1:20" x14ac:dyDescent="0.25">
      <c r="A1228" t="s">
        <v>2413</v>
      </c>
      <c r="B1228" t="s">
        <v>380</v>
      </c>
      <c r="C1228" t="s">
        <v>607</v>
      </c>
      <c r="D1228" t="s">
        <v>608</v>
      </c>
      <c r="E1228" t="s">
        <v>1321</v>
      </c>
      <c r="F1228">
        <v>1.050752268121389</v>
      </c>
      <c r="G1228">
        <v>39.762191780821922</v>
      </c>
      <c r="H1228" t="s">
        <v>610</v>
      </c>
      <c r="I1228" t="s">
        <v>2412</v>
      </c>
      <c r="J1228">
        <v>3</v>
      </c>
      <c r="K1228" t="s">
        <v>612</v>
      </c>
      <c r="L1228">
        <v>375000</v>
      </c>
      <c r="M1228">
        <v>2</v>
      </c>
      <c r="N1228">
        <v>39.762191780821922</v>
      </c>
      <c r="O1228" t="s">
        <v>592</v>
      </c>
      <c r="P1228" t="s">
        <v>621</v>
      </c>
      <c r="Q1228" t="s">
        <v>586</v>
      </c>
      <c r="R1228" t="s">
        <v>712</v>
      </c>
      <c r="S1228" t="s">
        <v>594</v>
      </c>
      <c r="T1228">
        <v>92</v>
      </c>
    </row>
    <row r="1229" spans="1:20" x14ac:dyDescent="0.25">
      <c r="A1229" t="s">
        <v>2414</v>
      </c>
      <c r="B1229" t="s">
        <v>380</v>
      </c>
      <c r="C1229" t="s">
        <v>607</v>
      </c>
      <c r="D1229" t="s">
        <v>608</v>
      </c>
      <c r="E1229" t="s">
        <v>1321</v>
      </c>
      <c r="F1229">
        <v>1.9914765388336726</v>
      </c>
      <c r="G1229">
        <v>44.346947945205486</v>
      </c>
      <c r="H1229" t="s">
        <v>610</v>
      </c>
      <c r="I1229" t="s">
        <v>2412</v>
      </c>
      <c r="J1229">
        <v>3</v>
      </c>
      <c r="K1229" t="s">
        <v>956</v>
      </c>
      <c r="L1229">
        <v>345000</v>
      </c>
      <c r="M1229">
        <v>2.15</v>
      </c>
      <c r="N1229">
        <v>44.346947945205486</v>
      </c>
      <c r="O1229" t="s">
        <v>592</v>
      </c>
      <c r="P1229" t="s">
        <v>621</v>
      </c>
      <c r="Q1229" t="s">
        <v>586</v>
      </c>
      <c r="R1229">
        <v>285000</v>
      </c>
      <c r="S1229" t="s">
        <v>594</v>
      </c>
      <c r="T1229">
        <v>80</v>
      </c>
    </row>
    <row r="1230" spans="1:20" x14ac:dyDescent="0.25">
      <c r="A1230" t="s">
        <v>2415</v>
      </c>
      <c r="B1230" t="s">
        <v>380</v>
      </c>
      <c r="C1230" t="s">
        <v>607</v>
      </c>
      <c r="D1230" t="s">
        <v>608</v>
      </c>
      <c r="E1230" t="s">
        <v>1321</v>
      </c>
      <c r="F1230">
        <v>2.9055469365271578</v>
      </c>
      <c r="G1230">
        <v>43.219084931506856</v>
      </c>
      <c r="H1230" t="s">
        <v>610</v>
      </c>
      <c r="I1230" t="s">
        <v>2412</v>
      </c>
      <c r="J1230">
        <v>3</v>
      </c>
      <c r="K1230" t="s">
        <v>1334</v>
      </c>
      <c r="L1230">
        <v>305000</v>
      </c>
      <c r="M1230">
        <v>2.25</v>
      </c>
      <c r="N1230">
        <v>43.219084931506856</v>
      </c>
      <c r="O1230" t="s">
        <v>592</v>
      </c>
      <c r="P1230" t="s">
        <v>621</v>
      </c>
      <c r="Q1230" t="s">
        <v>586</v>
      </c>
      <c r="R1230" t="s">
        <v>712</v>
      </c>
      <c r="S1230" t="s">
        <v>594</v>
      </c>
      <c r="T1230">
        <v>66</v>
      </c>
    </row>
    <row r="1231" spans="1:20" x14ac:dyDescent="0.25">
      <c r="A1231" t="s">
        <v>2416</v>
      </c>
      <c r="B1231" t="s">
        <v>381</v>
      </c>
      <c r="C1231" t="s">
        <v>607</v>
      </c>
      <c r="D1231" t="s">
        <v>608</v>
      </c>
      <c r="E1231" t="s">
        <v>1321</v>
      </c>
      <c r="F1231">
        <v>8.0479337951124358E-2</v>
      </c>
      <c r="G1231">
        <v>29.622432591562987</v>
      </c>
      <c r="H1231" t="s">
        <v>720</v>
      </c>
      <c r="I1231" t="s">
        <v>2417</v>
      </c>
      <c r="J1231">
        <v>2</v>
      </c>
      <c r="K1231" t="s">
        <v>950</v>
      </c>
      <c r="L1231">
        <v>240000</v>
      </c>
      <c r="M1231">
        <v>1.6500000000000001</v>
      </c>
      <c r="N1231">
        <v>29.622432591562987</v>
      </c>
      <c r="O1231" t="s">
        <v>592</v>
      </c>
      <c r="P1231" t="s">
        <v>613</v>
      </c>
      <c r="Q1231" t="s">
        <v>586</v>
      </c>
      <c r="R1231" t="s">
        <v>712</v>
      </c>
      <c r="S1231" t="s">
        <v>712</v>
      </c>
      <c r="T1231">
        <v>97</v>
      </c>
    </row>
    <row r="1232" spans="1:20" x14ac:dyDescent="0.25">
      <c r="A1232" t="s">
        <v>2418</v>
      </c>
      <c r="B1232" t="s">
        <v>381</v>
      </c>
      <c r="C1232" t="s">
        <v>607</v>
      </c>
      <c r="D1232" t="s">
        <v>608</v>
      </c>
      <c r="E1232" t="s">
        <v>1321</v>
      </c>
      <c r="F1232">
        <v>1.0564170120050256</v>
      </c>
      <c r="G1232">
        <v>28.456914339736915</v>
      </c>
      <c r="H1232" t="s">
        <v>720</v>
      </c>
      <c r="I1232" t="s">
        <v>2417</v>
      </c>
      <c r="J1232">
        <v>2</v>
      </c>
      <c r="K1232" t="s">
        <v>612</v>
      </c>
      <c r="L1232">
        <v>250000</v>
      </c>
      <c r="M1232">
        <v>1.8</v>
      </c>
      <c r="N1232">
        <v>28.456914339736915</v>
      </c>
      <c r="O1232" t="s">
        <v>592</v>
      </c>
      <c r="P1232" t="s">
        <v>613</v>
      </c>
      <c r="Q1232" t="s">
        <v>586</v>
      </c>
      <c r="R1232" t="s">
        <v>712</v>
      </c>
      <c r="S1232" t="s">
        <v>712</v>
      </c>
      <c r="T1232">
        <v>66</v>
      </c>
    </row>
    <row r="1233" spans="1:20" x14ac:dyDescent="0.25">
      <c r="A1233" t="s">
        <v>2419</v>
      </c>
      <c r="B1233" t="s">
        <v>381</v>
      </c>
      <c r="C1233" t="s">
        <v>607</v>
      </c>
      <c r="D1233" t="s">
        <v>608</v>
      </c>
      <c r="E1233" t="s">
        <v>1321</v>
      </c>
      <c r="F1233">
        <v>2.011322034751319</v>
      </c>
      <c r="G1233">
        <v>32.21258159763596</v>
      </c>
      <c r="H1233" t="s">
        <v>720</v>
      </c>
      <c r="I1233" t="s">
        <v>2417</v>
      </c>
      <c r="J1233">
        <v>2</v>
      </c>
      <c r="K1233" t="s">
        <v>956</v>
      </c>
      <c r="L1233">
        <v>260000</v>
      </c>
      <c r="M1233">
        <v>2</v>
      </c>
      <c r="N1233">
        <v>32.21258159763596</v>
      </c>
      <c r="O1233" t="s">
        <v>592</v>
      </c>
      <c r="P1233" t="s">
        <v>613</v>
      </c>
      <c r="Q1233" t="s">
        <v>586</v>
      </c>
      <c r="R1233" t="s">
        <v>712</v>
      </c>
      <c r="S1233" t="s">
        <v>712</v>
      </c>
      <c r="T1233">
        <v>61</v>
      </c>
    </row>
    <row r="1234" spans="1:20" x14ac:dyDescent="0.25">
      <c r="A1234" t="s">
        <v>2420</v>
      </c>
      <c r="B1234" t="s">
        <v>381</v>
      </c>
      <c r="C1234" t="s">
        <v>607</v>
      </c>
      <c r="D1234" t="s">
        <v>608</v>
      </c>
      <c r="E1234" t="s">
        <v>1321</v>
      </c>
      <c r="F1234">
        <v>2.9396828894752285</v>
      </c>
      <c r="G1234">
        <v>31.56043002238864</v>
      </c>
      <c r="H1234" t="s">
        <v>720</v>
      </c>
      <c r="I1234" t="s">
        <v>2417</v>
      </c>
      <c r="J1234">
        <v>2.15</v>
      </c>
      <c r="K1234" t="s">
        <v>1334</v>
      </c>
      <c r="L1234">
        <v>275000</v>
      </c>
      <c r="M1234">
        <v>2.15</v>
      </c>
      <c r="N1234">
        <v>31.56043002238864</v>
      </c>
      <c r="O1234" t="s">
        <v>592</v>
      </c>
      <c r="P1234" t="s">
        <v>613</v>
      </c>
      <c r="Q1234" t="s">
        <v>586</v>
      </c>
      <c r="R1234" t="s">
        <v>712</v>
      </c>
      <c r="S1234" t="s">
        <v>712</v>
      </c>
      <c r="T1234">
        <v>52</v>
      </c>
    </row>
    <row r="1235" spans="1:20" x14ac:dyDescent="0.25">
      <c r="A1235" t="s">
        <v>2421</v>
      </c>
      <c r="B1235" t="s">
        <v>382</v>
      </c>
      <c r="C1235" t="s">
        <v>586</v>
      </c>
      <c r="D1235" t="s">
        <v>608</v>
      </c>
      <c r="E1235" t="s">
        <v>1321</v>
      </c>
      <c r="F1235">
        <v>0.65070763435631762</v>
      </c>
      <c r="G1235">
        <v>98.349589041095868</v>
      </c>
      <c r="H1235" t="s">
        <v>610</v>
      </c>
      <c r="I1235" t="s">
        <v>611</v>
      </c>
      <c r="J1235">
        <v>2.8</v>
      </c>
      <c r="K1235" t="s">
        <v>787</v>
      </c>
      <c r="L1235">
        <v>100000</v>
      </c>
      <c r="M1235">
        <v>2.8000000000000003</v>
      </c>
      <c r="N1235">
        <v>98.349589041095868</v>
      </c>
      <c r="O1235" t="s">
        <v>592</v>
      </c>
      <c r="P1235" t="s">
        <v>613</v>
      </c>
      <c r="Q1235" t="s">
        <v>586</v>
      </c>
      <c r="R1235" t="s">
        <v>712</v>
      </c>
      <c r="S1235" t="s">
        <v>712</v>
      </c>
      <c r="T1235">
        <v>81</v>
      </c>
    </row>
    <row r="1236" spans="1:20" x14ac:dyDescent="0.25">
      <c r="A1236" t="s">
        <v>2422</v>
      </c>
      <c r="B1236" t="s">
        <v>383</v>
      </c>
      <c r="C1236" t="s">
        <v>607</v>
      </c>
      <c r="D1236" t="s">
        <v>608</v>
      </c>
      <c r="E1236" t="s">
        <v>1321</v>
      </c>
      <c r="F1236">
        <v>8.047050265030764E-2</v>
      </c>
      <c r="G1236">
        <v>45.716553522296223</v>
      </c>
      <c r="H1236" t="s">
        <v>1143</v>
      </c>
      <c r="I1236" t="s">
        <v>2423</v>
      </c>
      <c r="J1236">
        <v>3</v>
      </c>
      <c r="K1236" t="s">
        <v>950</v>
      </c>
      <c r="L1236">
        <v>25000</v>
      </c>
      <c r="M1236">
        <v>1.6</v>
      </c>
      <c r="N1236">
        <v>45.716553522296223</v>
      </c>
      <c r="O1236" t="s">
        <v>592</v>
      </c>
      <c r="P1236" t="s">
        <v>613</v>
      </c>
      <c r="Q1236" t="s">
        <v>586</v>
      </c>
      <c r="R1236" t="s">
        <v>712</v>
      </c>
      <c r="S1236" t="s">
        <v>878</v>
      </c>
      <c r="T1236">
        <v>99</v>
      </c>
    </row>
    <row r="1237" spans="1:20" x14ac:dyDescent="0.25">
      <c r="A1237" t="s">
        <v>2424</v>
      </c>
      <c r="B1237" t="s">
        <v>383</v>
      </c>
      <c r="C1237" t="s">
        <v>607</v>
      </c>
      <c r="D1237" t="s">
        <v>608</v>
      </c>
      <c r="E1237" t="s">
        <v>1321</v>
      </c>
      <c r="F1237">
        <v>1.0486728994623224</v>
      </c>
      <c r="G1237">
        <v>45.701434413702316</v>
      </c>
      <c r="H1237" t="s">
        <v>1143</v>
      </c>
      <c r="I1237" t="s">
        <v>2423</v>
      </c>
      <c r="J1237">
        <v>3</v>
      </c>
      <c r="K1237" t="s">
        <v>612</v>
      </c>
      <c r="L1237">
        <v>25000</v>
      </c>
      <c r="M1237">
        <v>1.75</v>
      </c>
      <c r="N1237">
        <v>45.701434413702316</v>
      </c>
      <c r="O1237" t="s">
        <v>592</v>
      </c>
      <c r="P1237" t="s">
        <v>613</v>
      </c>
      <c r="Q1237" t="s">
        <v>586</v>
      </c>
      <c r="R1237" t="s">
        <v>712</v>
      </c>
      <c r="S1237" t="s">
        <v>878</v>
      </c>
      <c r="T1237">
        <v>87</v>
      </c>
    </row>
    <row r="1238" spans="1:20" x14ac:dyDescent="0.25">
      <c r="A1238" t="s">
        <v>2425</v>
      </c>
      <c r="B1238" t="s">
        <v>383</v>
      </c>
      <c r="C1238" t="s">
        <v>607</v>
      </c>
      <c r="D1238" t="s">
        <v>608</v>
      </c>
      <c r="E1238" t="s">
        <v>1321</v>
      </c>
      <c r="F1238">
        <v>1.9872595849603678</v>
      </c>
      <c r="G1238">
        <v>45.366575889905562</v>
      </c>
      <c r="H1238" t="s">
        <v>1143</v>
      </c>
      <c r="I1238" t="s">
        <v>2423</v>
      </c>
      <c r="J1238">
        <v>3</v>
      </c>
      <c r="K1238" t="s">
        <v>956</v>
      </c>
      <c r="L1238">
        <v>25000</v>
      </c>
      <c r="M1238">
        <v>1.9000000000000001</v>
      </c>
      <c r="N1238">
        <v>45.366575889905562</v>
      </c>
      <c r="O1238" t="s">
        <v>592</v>
      </c>
      <c r="P1238" t="s">
        <v>613</v>
      </c>
      <c r="Q1238" t="s">
        <v>586</v>
      </c>
      <c r="R1238" t="s">
        <v>712</v>
      </c>
      <c r="S1238" t="s">
        <v>878</v>
      </c>
      <c r="T1238">
        <v>76</v>
      </c>
    </row>
    <row r="1239" spans="1:20" x14ac:dyDescent="0.25">
      <c r="A1239" t="s">
        <v>2426</v>
      </c>
      <c r="B1239" t="s">
        <v>351</v>
      </c>
      <c r="C1239" t="s">
        <v>586</v>
      </c>
      <c r="D1239" t="s">
        <v>770</v>
      </c>
      <c r="E1239" t="s">
        <v>2268</v>
      </c>
      <c r="F1239">
        <v>1.9225112400198219</v>
      </c>
      <c r="G1239">
        <v>21.230138347027783</v>
      </c>
      <c r="H1239" t="s">
        <v>2269</v>
      </c>
      <c r="I1239" t="s">
        <v>877</v>
      </c>
      <c r="J1239">
        <v>4</v>
      </c>
      <c r="K1239" t="s">
        <v>729</v>
      </c>
      <c r="L1239">
        <v>245000</v>
      </c>
      <c r="M1239">
        <v>1.97</v>
      </c>
      <c r="N1239">
        <v>21.230138347027783</v>
      </c>
      <c r="O1239" t="s">
        <v>592</v>
      </c>
      <c r="P1239" t="s">
        <v>613</v>
      </c>
      <c r="Q1239" t="s">
        <v>586</v>
      </c>
      <c r="R1239" t="s">
        <v>712</v>
      </c>
      <c r="S1239" t="s">
        <v>712</v>
      </c>
      <c r="T1239">
        <v>61</v>
      </c>
    </row>
    <row r="1240" spans="1:20" x14ac:dyDescent="0.25">
      <c r="A1240" t="s">
        <v>2427</v>
      </c>
      <c r="B1240" t="s">
        <v>352</v>
      </c>
      <c r="C1240" t="s">
        <v>586</v>
      </c>
      <c r="D1240" t="s">
        <v>587</v>
      </c>
      <c r="E1240" t="s">
        <v>1245</v>
      </c>
      <c r="F1240">
        <v>1.9674709896168843</v>
      </c>
      <c r="G1240">
        <v>69.598167123287652</v>
      </c>
      <c r="H1240" t="s">
        <v>888</v>
      </c>
      <c r="I1240" t="s">
        <v>611</v>
      </c>
      <c r="J1240">
        <v>4</v>
      </c>
      <c r="K1240" t="s">
        <v>956</v>
      </c>
      <c r="L1240">
        <v>55000</v>
      </c>
      <c r="M1240">
        <v>2.36</v>
      </c>
      <c r="N1240">
        <v>69.598167123287652</v>
      </c>
      <c r="O1240" t="s">
        <v>592</v>
      </c>
      <c r="P1240" t="s">
        <v>593</v>
      </c>
      <c r="Q1240" t="s">
        <v>586</v>
      </c>
      <c r="R1240" t="s">
        <v>712</v>
      </c>
      <c r="S1240" t="s">
        <v>712</v>
      </c>
      <c r="T1240">
        <v>71</v>
      </c>
    </row>
    <row r="1241" spans="1:20" x14ac:dyDescent="0.25">
      <c r="A1241" t="s">
        <v>2428</v>
      </c>
      <c r="B1241" t="s">
        <v>384</v>
      </c>
      <c r="C1241" t="s">
        <v>586</v>
      </c>
      <c r="D1241" t="s">
        <v>1124</v>
      </c>
      <c r="E1241" t="s">
        <v>1314</v>
      </c>
      <c r="F1241">
        <v>0.49487923974330145</v>
      </c>
      <c r="G1241">
        <v>5.9100258785813597</v>
      </c>
      <c r="H1241" t="s">
        <v>869</v>
      </c>
      <c r="I1241" t="s">
        <v>885</v>
      </c>
      <c r="J1241">
        <v>4</v>
      </c>
      <c r="K1241" t="s">
        <v>807</v>
      </c>
      <c r="L1241">
        <v>760000</v>
      </c>
      <c r="M1241">
        <v>1.3</v>
      </c>
      <c r="N1241">
        <v>5.9100258785813597</v>
      </c>
      <c r="O1241" t="s">
        <v>592</v>
      </c>
      <c r="P1241" t="s">
        <v>593</v>
      </c>
      <c r="Q1241" t="s">
        <v>586</v>
      </c>
      <c r="R1241">
        <v>100000</v>
      </c>
      <c r="S1241" t="s">
        <v>599</v>
      </c>
      <c r="T1241">
        <v>96</v>
      </c>
    </row>
    <row r="1242" spans="1:20" x14ac:dyDescent="0.25">
      <c r="A1242" t="s">
        <v>2429</v>
      </c>
      <c r="B1242" t="s">
        <v>384</v>
      </c>
      <c r="C1242" t="s">
        <v>586</v>
      </c>
      <c r="D1242" t="s">
        <v>1124</v>
      </c>
      <c r="E1242" t="s">
        <v>1314</v>
      </c>
      <c r="F1242">
        <v>1.4577155086004041</v>
      </c>
      <c r="G1242">
        <v>0.27422999095547684</v>
      </c>
      <c r="H1242" t="s">
        <v>869</v>
      </c>
      <c r="I1242" t="s">
        <v>885</v>
      </c>
      <c r="J1242">
        <v>4</v>
      </c>
      <c r="K1242" t="s">
        <v>780</v>
      </c>
      <c r="L1242">
        <v>785000</v>
      </c>
      <c r="M1242">
        <v>1.4000000000000001</v>
      </c>
      <c r="N1242">
        <v>0.27422999095547684</v>
      </c>
      <c r="O1242" t="s">
        <v>592</v>
      </c>
      <c r="P1242" t="s">
        <v>593</v>
      </c>
      <c r="Q1242" t="s">
        <v>586</v>
      </c>
      <c r="R1242" t="s">
        <v>712</v>
      </c>
      <c r="S1242" t="s">
        <v>599</v>
      </c>
      <c r="T1242">
        <v>87</v>
      </c>
    </row>
    <row r="1243" spans="1:20" x14ac:dyDescent="0.25">
      <c r="A1243" t="s">
        <v>2430</v>
      </c>
      <c r="B1243" t="s">
        <v>342</v>
      </c>
      <c r="C1243" t="s">
        <v>586</v>
      </c>
      <c r="D1243" t="s">
        <v>601</v>
      </c>
      <c r="E1243" t="s">
        <v>2210</v>
      </c>
      <c r="F1243">
        <v>0.36798570923643759</v>
      </c>
      <c r="G1243">
        <v>58.30490410958906</v>
      </c>
      <c r="H1243" t="s">
        <v>1120</v>
      </c>
      <c r="I1243" t="s">
        <v>661</v>
      </c>
      <c r="J1243">
        <v>3.5</v>
      </c>
      <c r="K1243" t="s">
        <v>1867</v>
      </c>
      <c r="L1243">
        <v>10000</v>
      </c>
      <c r="M1243">
        <v>2.2000000000000002</v>
      </c>
      <c r="N1243">
        <v>58.30490410958906</v>
      </c>
      <c r="O1243" t="s">
        <v>592</v>
      </c>
      <c r="P1243" t="s">
        <v>711</v>
      </c>
      <c r="Q1243" t="s">
        <v>586</v>
      </c>
      <c r="R1243" t="s">
        <v>712</v>
      </c>
      <c r="S1243" t="s">
        <v>712</v>
      </c>
      <c r="T1243">
        <v>97</v>
      </c>
    </row>
    <row r="1244" spans="1:20" x14ac:dyDescent="0.25">
      <c r="A1244" t="s">
        <v>2431</v>
      </c>
      <c r="B1244" t="s">
        <v>342</v>
      </c>
      <c r="C1244" t="s">
        <v>586</v>
      </c>
      <c r="D1244" t="s">
        <v>601</v>
      </c>
      <c r="E1244" t="s">
        <v>2210</v>
      </c>
      <c r="F1244">
        <v>2.2655991993815565</v>
      </c>
      <c r="G1244">
        <v>77.048769863013703</v>
      </c>
      <c r="H1244" t="s">
        <v>1120</v>
      </c>
      <c r="I1244" t="s">
        <v>661</v>
      </c>
      <c r="J1244">
        <v>3.5</v>
      </c>
      <c r="K1244" t="s">
        <v>1871</v>
      </c>
      <c r="L1244">
        <v>10000</v>
      </c>
      <c r="M1244">
        <v>2.5</v>
      </c>
      <c r="N1244">
        <v>77.048769863013703</v>
      </c>
      <c r="O1244" t="s">
        <v>592</v>
      </c>
      <c r="P1244" t="s">
        <v>711</v>
      </c>
      <c r="Q1244" t="s">
        <v>586</v>
      </c>
      <c r="R1244" t="s">
        <v>712</v>
      </c>
      <c r="S1244" t="s">
        <v>712</v>
      </c>
      <c r="T1244">
        <v>78</v>
      </c>
    </row>
    <row r="1245" spans="1:20" x14ac:dyDescent="0.25">
      <c r="A1245" t="s">
        <v>2432</v>
      </c>
      <c r="B1245" t="s">
        <v>343</v>
      </c>
      <c r="C1245" t="s">
        <v>586</v>
      </c>
      <c r="D1245" t="s">
        <v>608</v>
      </c>
      <c r="E1245" t="s">
        <v>756</v>
      </c>
      <c r="F1245">
        <v>1.0502866541697709</v>
      </c>
      <c r="G1245">
        <v>94.193215084602116</v>
      </c>
      <c r="H1245" t="s">
        <v>720</v>
      </c>
      <c r="I1245" t="s">
        <v>2212</v>
      </c>
      <c r="J1245">
        <v>2.5</v>
      </c>
      <c r="K1245" t="s">
        <v>612</v>
      </c>
      <c r="L1245">
        <v>60000</v>
      </c>
      <c r="M1245">
        <v>2.5</v>
      </c>
      <c r="N1245">
        <v>94.193215084602116</v>
      </c>
      <c r="O1245" t="s">
        <v>592</v>
      </c>
      <c r="P1245" t="s">
        <v>613</v>
      </c>
      <c r="Q1245" t="s">
        <v>586</v>
      </c>
      <c r="R1245" t="s">
        <v>712</v>
      </c>
      <c r="S1245" t="s">
        <v>712</v>
      </c>
      <c r="T1245">
        <v>68</v>
      </c>
    </row>
    <row r="1246" spans="1:20" x14ac:dyDescent="0.25">
      <c r="A1246" t="s">
        <v>2433</v>
      </c>
      <c r="B1246" t="s">
        <v>97</v>
      </c>
      <c r="C1246" t="s">
        <v>607</v>
      </c>
      <c r="D1246" t="s">
        <v>990</v>
      </c>
      <c r="E1246" t="s">
        <v>991</v>
      </c>
      <c r="F1246">
        <v>1.7698077091235009</v>
      </c>
      <c r="G1246">
        <v>15.887344283583049</v>
      </c>
      <c r="H1246" t="s">
        <v>992</v>
      </c>
      <c r="I1246" t="s">
        <v>993</v>
      </c>
      <c r="J1246">
        <v>3</v>
      </c>
      <c r="K1246" t="s">
        <v>1114</v>
      </c>
      <c r="L1246">
        <v>440000</v>
      </c>
      <c r="M1246">
        <v>2.1</v>
      </c>
      <c r="N1246">
        <v>15.887344283583049</v>
      </c>
      <c r="O1246" t="s">
        <v>592</v>
      </c>
      <c r="P1246" t="s">
        <v>711</v>
      </c>
      <c r="Q1246" t="s">
        <v>586</v>
      </c>
      <c r="R1246" t="s">
        <v>712</v>
      </c>
      <c r="S1246" t="s">
        <v>712</v>
      </c>
      <c r="T1246">
        <v>79</v>
      </c>
    </row>
    <row r="1247" spans="1:20" x14ac:dyDescent="0.25">
      <c r="A1247" t="s">
        <v>2434</v>
      </c>
      <c r="B1247" t="s">
        <v>97</v>
      </c>
      <c r="C1247" t="s">
        <v>607</v>
      </c>
      <c r="D1247" t="s">
        <v>990</v>
      </c>
      <c r="E1247" t="s">
        <v>991</v>
      </c>
      <c r="F1247">
        <v>4.4673494147377983</v>
      </c>
      <c r="G1247">
        <v>7.1540421790008857</v>
      </c>
      <c r="H1247" t="s">
        <v>992</v>
      </c>
      <c r="I1247" t="s">
        <v>993</v>
      </c>
      <c r="J1247">
        <v>3</v>
      </c>
      <c r="K1247" t="s">
        <v>722</v>
      </c>
      <c r="L1247">
        <v>295000</v>
      </c>
      <c r="M1247">
        <v>2.4000000000000004</v>
      </c>
      <c r="N1247">
        <v>7.1540421790008857</v>
      </c>
      <c r="O1247" t="s">
        <v>592</v>
      </c>
      <c r="P1247" t="s">
        <v>711</v>
      </c>
      <c r="Q1247" t="s">
        <v>586</v>
      </c>
      <c r="R1247" t="s">
        <v>712</v>
      </c>
      <c r="S1247" t="s">
        <v>712</v>
      </c>
      <c r="T1247">
        <v>56</v>
      </c>
    </row>
    <row r="1248" spans="1:20" x14ac:dyDescent="0.25">
      <c r="A1248" t="s">
        <v>2435</v>
      </c>
      <c r="B1248" t="s">
        <v>116</v>
      </c>
      <c r="C1248" t="s">
        <v>586</v>
      </c>
      <c r="D1248" t="s">
        <v>1075</v>
      </c>
      <c r="E1248" t="s">
        <v>1076</v>
      </c>
      <c r="F1248">
        <v>5.555299306909324E-3</v>
      </c>
      <c r="G1248">
        <v>13.778176685915122</v>
      </c>
      <c r="H1248" t="s">
        <v>913</v>
      </c>
      <c r="I1248" t="s">
        <v>721</v>
      </c>
      <c r="J1248">
        <v>5</v>
      </c>
      <c r="K1248" t="s">
        <v>995</v>
      </c>
      <c r="L1248">
        <v>610000</v>
      </c>
      <c r="M1248">
        <v>1.36</v>
      </c>
      <c r="N1248">
        <v>13.778176685915122</v>
      </c>
      <c r="O1248" t="s">
        <v>592</v>
      </c>
      <c r="P1248" t="s">
        <v>593</v>
      </c>
      <c r="Q1248" t="s">
        <v>586</v>
      </c>
      <c r="R1248" t="s">
        <v>712</v>
      </c>
      <c r="S1248" t="s">
        <v>652</v>
      </c>
      <c r="T1248">
        <v>95</v>
      </c>
    </row>
    <row r="1249" spans="1:20" x14ac:dyDescent="0.25">
      <c r="A1249" t="s">
        <v>2436</v>
      </c>
      <c r="B1249" t="s">
        <v>116</v>
      </c>
      <c r="C1249" t="s">
        <v>586</v>
      </c>
      <c r="D1249" t="s">
        <v>1075</v>
      </c>
      <c r="E1249" t="s">
        <v>1076</v>
      </c>
      <c r="F1249">
        <v>1.9119946824530334</v>
      </c>
      <c r="G1249">
        <v>9.1959520105541657</v>
      </c>
      <c r="H1249" t="s">
        <v>913</v>
      </c>
      <c r="I1249" t="s">
        <v>721</v>
      </c>
      <c r="J1249">
        <v>5</v>
      </c>
      <c r="K1249" t="s">
        <v>729</v>
      </c>
      <c r="L1249">
        <v>610000</v>
      </c>
      <c r="M1249">
        <v>1.6</v>
      </c>
      <c r="N1249">
        <v>9.1959520105541657</v>
      </c>
      <c r="O1249" t="s">
        <v>592</v>
      </c>
      <c r="P1249" t="s">
        <v>593</v>
      </c>
      <c r="Q1249" t="s">
        <v>586</v>
      </c>
      <c r="R1249" t="s">
        <v>712</v>
      </c>
      <c r="S1249" t="s">
        <v>652</v>
      </c>
      <c r="T1249">
        <v>74</v>
      </c>
    </row>
    <row r="1250" spans="1:20" x14ac:dyDescent="0.25">
      <c r="A1250" t="s">
        <v>2437</v>
      </c>
      <c r="B1250" t="s">
        <v>116</v>
      </c>
      <c r="C1250" t="s">
        <v>586</v>
      </c>
      <c r="D1250" t="s">
        <v>1075</v>
      </c>
      <c r="E1250" t="s">
        <v>1076</v>
      </c>
      <c r="F1250">
        <v>3.6611996316614941</v>
      </c>
      <c r="G1250">
        <v>13.54812240131098</v>
      </c>
      <c r="H1250" t="s">
        <v>913</v>
      </c>
      <c r="I1250" t="s">
        <v>721</v>
      </c>
      <c r="J1250">
        <v>5</v>
      </c>
      <c r="K1250" t="s">
        <v>620</v>
      </c>
      <c r="L1250">
        <v>605000</v>
      </c>
      <c r="M1250">
        <v>1.92</v>
      </c>
      <c r="N1250">
        <v>13.54812240131098</v>
      </c>
      <c r="O1250" t="s">
        <v>592</v>
      </c>
      <c r="P1250" t="s">
        <v>593</v>
      </c>
      <c r="Q1250" t="s">
        <v>586</v>
      </c>
      <c r="R1250" t="s">
        <v>712</v>
      </c>
      <c r="S1250" t="s">
        <v>652</v>
      </c>
      <c r="T1250">
        <v>55</v>
      </c>
    </row>
    <row r="1251" spans="1:20" x14ac:dyDescent="0.25">
      <c r="A1251" t="s">
        <v>2438</v>
      </c>
      <c r="B1251" t="s">
        <v>48</v>
      </c>
      <c r="C1251" t="s">
        <v>586</v>
      </c>
      <c r="D1251" t="s">
        <v>770</v>
      </c>
      <c r="E1251" t="s">
        <v>771</v>
      </c>
      <c r="F1251">
        <v>2.2811981919893758</v>
      </c>
      <c r="G1251">
        <v>34.634501505577433</v>
      </c>
      <c r="H1251" t="s">
        <v>743</v>
      </c>
      <c r="I1251" t="s">
        <v>657</v>
      </c>
      <c r="J1251">
        <v>5</v>
      </c>
      <c r="K1251" t="s">
        <v>747</v>
      </c>
      <c r="L1251">
        <v>2515000</v>
      </c>
      <c r="M1251">
        <v>2.4700000000000002</v>
      </c>
      <c r="N1251">
        <v>34.634501505577433</v>
      </c>
      <c r="O1251" t="s">
        <v>592</v>
      </c>
      <c r="P1251" t="s">
        <v>621</v>
      </c>
      <c r="Q1251" t="s">
        <v>586</v>
      </c>
      <c r="R1251">
        <v>70000</v>
      </c>
      <c r="S1251" t="s">
        <v>594</v>
      </c>
      <c r="T1251">
        <v>80</v>
      </c>
    </row>
    <row r="1252" spans="1:20" x14ac:dyDescent="0.25">
      <c r="A1252" t="s">
        <v>2439</v>
      </c>
      <c r="B1252" t="s">
        <v>48</v>
      </c>
      <c r="C1252" t="s">
        <v>586</v>
      </c>
      <c r="D1252" t="s">
        <v>770</v>
      </c>
      <c r="E1252" t="s">
        <v>771</v>
      </c>
      <c r="F1252">
        <v>3.9929784015620564</v>
      </c>
      <c r="G1252">
        <v>33.861168160188448</v>
      </c>
      <c r="H1252" t="s">
        <v>743</v>
      </c>
      <c r="I1252" t="s">
        <v>657</v>
      </c>
      <c r="J1252">
        <v>5</v>
      </c>
      <c r="K1252" t="s">
        <v>1043</v>
      </c>
      <c r="L1252">
        <v>2775000</v>
      </c>
      <c r="M1252">
        <v>2.72</v>
      </c>
      <c r="N1252">
        <v>33.861168160188448</v>
      </c>
      <c r="O1252" t="s">
        <v>592</v>
      </c>
      <c r="P1252" t="s">
        <v>621</v>
      </c>
      <c r="Q1252" t="s">
        <v>586</v>
      </c>
      <c r="R1252">
        <v>50000</v>
      </c>
      <c r="S1252" t="s">
        <v>594</v>
      </c>
      <c r="T1252">
        <v>67</v>
      </c>
    </row>
    <row r="1253" spans="1:20" x14ac:dyDescent="0.25">
      <c r="A1253" t="s">
        <v>2440</v>
      </c>
      <c r="B1253" t="s">
        <v>362</v>
      </c>
      <c r="C1253" t="s">
        <v>586</v>
      </c>
      <c r="D1253" t="s">
        <v>608</v>
      </c>
      <c r="E1253" t="s">
        <v>2321</v>
      </c>
      <c r="F1253">
        <v>1.6043902270604811</v>
      </c>
      <c r="G1253">
        <v>106.79021343337534</v>
      </c>
      <c r="H1253" t="s">
        <v>720</v>
      </c>
      <c r="I1253" t="s">
        <v>611</v>
      </c>
      <c r="J1253">
        <v>2.75</v>
      </c>
      <c r="K1253" t="s">
        <v>905</v>
      </c>
      <c r="L1253">
        <v>35000</v>
      </c>
      <c r="M1253">
        <v>2.75</v>
      </c>
      <c r="N1253">
        <v>106.79021343337534</v>
      </c>
      <c r="O1253" t="s">
        <v>592</v>
      </c>
      <c r="P1253" t="s">
        <v>613</v>
      </c>
      <c r="Q1253" t="s">
        <v>586</v>
      </c>
      <c r="R1253" t="s">
        <v>712</v>
      </c>
      <c r="S1253" t="s">
        <v>712</v>
      </c>
      <c r="T1253">
        <v>57</v>
      </c>
    </row>
    <row r="1254" spans="1:20" x14ac:dyDescent="0.25">
      <c r="A1254" t="s">
        <v>2441</v>
      </c>
      <c r="B1254" t="s">
        <v>385</v>
      </c>
      <c r="C1254" t="s">
        <v>607</v>
      </c>
      <c r="D1254" t="s">
        <v>1291</v>
      </c>
      <c r="E1254" t="s">
        <v>2442</v>
      </c>
      <c r="F1254">
        <v>0.36781893002767818</v>
      </c>
      <c r="G1254">
        <v>39.572719517324352</v>
      </c>
      <c r="H1254" t="s">
        <v>2443</v>
      </c>
      <c r="I1254" t="s">
        <v>885</v>
      </c>
      <c r="J1254">
        <v>2</v>
      </c>
      <c r="K1254" t="s">
        <v>1867</v>
      </c>
      <c r="L1254">
        <v>115000</v>
      </c>
      <c r="M1254">
        <v>1.55</v>
      </c>
      <c r="N1254">
        <v>39.572719517324352</v>
      </c>
      <c r="O1254" t="s">
        <v>592</v>
      </c>
      <c r="P1254" t="s">
        <v>711</v>
      </c>
      <c r="Q1254" t="s">
        <v>586</v>
      </c>
      <c r="R1254" t="s">
        <v>712</v>
      </c>
      <c r="S1254" t="s">
        <v>712</v>
      </c>
      <c r="T1254">
        <v>97</v>
      </c>
    </row>
    <row r="1255" spans="1:20" x14ac:dyDescent="0.25">
      <c r="A1255" t="s">
        <v>2444</v>
      </c>
      <c r="B1255" t="s">
        <v>363</v>
      </c>
      <c r="C1255" t="s">
        <v>586</v>
      </c>
      <c r="D1255" t="s">
        <v>795</v>
      </c>
      <c r="E1255" t="s">
        <v>1947</v>
      </c>
      <c r="F1255">
        <v>1.1194298229213546</v>
      </c>
      <c r="G1255">
        <v>93.271956450068402</v>
      </c>
      <c r="H1255" t="s">
        <v>1274</v>
      </c>
      <c r="I1255" t="s">
        <v>2323</v>
      </c>
      <c r="J1255">
        <v>3.5</v>
      </c>
      <c r="K1255" t="s">
        <v>598</v>
      </c>
      <c r="L1255">
        <v>15000</v>
      </c>
      <c r="M1255">
        <v>3.1</v>
      </c>
      <c r="N1255">
        <v>93.271956450068402</v>
      </c>
      <c r="O1255" t="s">
        <v>592</v>
      </c>
      <c r="P1255" t="s">
        <v>723</v>
      </c>
      <c r="Q1255" t="s">
        <v>607</v>
      </c>
      <c r="R1255" t="s">
        <v>712</v>
      </c>
      <c r="S1255" t="s">
        <v>712</v>
      </c>
      <c r="T1255">
        <v>74</v>
      </c>
    </row>
    <row r="1256" spans="1:20" x14ac:dyDescent="0.25">
      <c r="A1256" t="s">
        <v>2445</v>
      </c>
      <c r="B1256" t="s">
        <v>368</v>
      </c>
      <c r="C1256" t="s">
        <v>586</v>
      </c>
      <c r="D1256" t="s">
        <v>863</v>
      </c>
      <c r="E1256" t="s">
        <v>2344</v>
      </c>
      <c r="F1256">
        <v>0.32911506102240723</v>
      </c>
      <c r="G1256">
        <v>52.986826498816384</v>
      </c>
      <c r="H1256" t="s">
        <v>1480</v>
      </c>
      <c r="I1256" t="s">
        <v>661</v>
      </c>
      <c r="J1256">
        <v>3</v>
      </c>
      <c r="K1256" t="s">
        <v>710</v>
      </c>
      <c r="L1256">
        <v>105000</v>
      </c>
      <c r="M1256">
        <v>1.78</v>
      </c>
      <c r="N1256">
        <v>52.986826498816384</v>
      </c>
      <c r="O1256" t="s">
        <v>592</v>
      </c>
      <c r="P1256" t="s">
        <v>711</v>
      </c>
      <c r="Q1256" t="s">
        <v>586</v>
      </c>
      <c r="R1256">
        <v>90000</v>
      </c>
      <c r="S1256" t="s">
        <v>712</v>
      </c>
      <c r="T1256">
        <v>93</v>
      </c>
    </row>
    <row r="1257" spans="1:20" x14ac:dyDescent="0.25">
      <c r="A1257" t="s">
        <v>2446</v>
      </c>
      <c r="B1257" t="s">
        <v>368</v>
      </c>
      <c r="C1257" t="s">
        <v>586</v>
      </c>
      <c r="D1257" t="s">
        <v>863</v>
      </c>
      <c r="E1257" t="s">
        <v>2344</v>
      </c>
      <c r="F1257">
        <v>2.234955696116145</v>
      </c>
      <c r="G1257">
        <v>57.403246583852741</v>
      </c>
      <c r="H1257" t="s">
        <v>1480</v>
      </c>
      <c r="I1257" t="s">
        <v>661</v>
      </c>
      <c r="J1257">
        <v>3</v>
      </c>
      <c r="K1257" t="s">
        <v>972</v>
      </c>
      <c r="L1257">
        <v>110000</v>
      </c>
      <c r="M1257">
        <v>2.13</v>
      </c>
      <c r="N1257">
        <v>57.403246583852741</v>
      </c>
      <c r="O1257" t="s">
        <v>592</v>
      </c>
      <c r="P1257" t="s">
        <v>711</v>
      </c>
      <c r="Q1257" t="s">
        <v>586</v>
      </c>
      <c r="R1257" t="s">
        <v>712</v>
      </c>
      <c r="S1257" t="s">
        <v>712</v>
      </c>
      <c r="T1257">
        <v>63</v>
      </c>
    </row>
    <row r="1258" spans="1:20" x14ac:dyDescent="0.25">
      <c r="A1258" t="s">
        <v>2447</v>
      </c>
      <c r="B1258" t="s">
        <v>351</v>
      </c>
      <c r="C1258" t="s">
        <v>586</v>
      </c>
      <c r="D1258" t="s">
        <v>770</v>
      </c>
      <c r="E1258" t="s">
        <v>2268</v>
      </c>
      <c r="F1258">
        <v>0.97957119006244342</v>
      </c>
      <c r="G1258">
        <v>22.455684991848756</v>
      </c>
      <c r="H1258" t="s">
        <v>2269</v>
      </c>
      <c r="I1258" t="s">
        <v>877</v>
      </c>
      <c r="J1258">
        <v>4</v>
      </c>
      <c r="K1258" t="s">
        <v>646</v>
      </c>
      <c r="L1258">
        <v>285000</v>
      </c>
      <c r="M1258">
        <v>1.82</v>
      </c>
      <c r="N1258">
        <v>22.455684991848756</v>
      </c>
      <c r="O1258" t="s">
        <v>592</v>
      </c>
      <c r="P1258" t="s">
        <v>613</v>
      </c>
      <c r="Q1258" t="s">
        <v>586</v>
      </c>
      <c r="R1258" t="s">
        <v>712</v>
      </c>
      <c r="S1258" t="s">
        <v>712</v>
      </c>
      <c r="T1258">
        <v>76</v>
      </c>
    </row>
    <row r="1259" spans="1:20" x14ac:dyDescent="0.25">
      <c r="A1259" t="s">
        <v>2448</v>
      </c>
      <c r="B1259" t="s">
        <v>351</v>
      </c>
      <c r="C1259" t="s">
        <v>586</v>
      </c>
      <c r="D1259" t="s">
        <v>770</v>
      </c>
      <c r="E1259" t="s">
        <v>2268</v>
      </c>
      <c r="F1259">
        <v>2.8305877165968112</v>
      </c>
      <c r="G1259">
        <v>24.450194443920982</v>
      </c>
      <c r="H1259" t="s">
        <v>2269</v>
      </c>
      <c r="I1259" t="s">
        <v>877</v>
      </c>
      <c r="J1259">
        <v>4</v>
      </c>
      <c r="K1259" t="s">
        <v>817</v>
      </c>
      <c r="L1259">
        <v>355000</v>
      </c>
      <c r="M1259">
        <v>2.16</v>
      </c>
      <c r="N1259">
        <v>24.450194443920982</v>
      </c>
      <c r="O1259" t="s">
        <v>592</v>
      </c>
      <c r="P1259" t="s">
        <v>613</v>
      </c>
      <c r="Q1259" t="s">
        <v>586</v>
      </c>
      <c r="R1259" t="s">
        <v>712</v>
      </c>
      <c r="S1259" t="s">
        <v>712</v>
      </c>
      <c r="T1259">
        <v>49</v>
      </c>
    </row>
    <row r="1260" spans="1:20" x14ac:dyDescent="0.25">
      <c r="A1260" t="s">
        <v>2449</v>
      </c>
      <c r="B1260" t="s">
        <v>352</v>
      </c>
      <c r="C1260" t="s">
        <v>586</v>
      </c>
      <c r="D1260" t="s">
        <v>587</v>
      </c>
      <c r="E1260" t="s">
        <v>1245</v>
      </c>
      <c r="F1260">
        <v>8.0482248681893034E-2</v>
      </c>
      <c r="G1260">
        <v>54.661041095890404</v>
      </c>
      <c r="H1260" t="s">
        <v>888</v>
      </c>
      <c r="I1260" t="s">
        <v>611</v>
      </c>
      <c r="J1260">
        <v>3</v>
      </c>
      <c r="K1260" t="s">
        <v>950</v>
      </c>
      <c r="L1260">
        <v>55000</v>
      </c>
      <c r="M1260">
        <v>1.96</v>
      </c>
      <c r="N1260">
        <v>54.661041095890404</v>
      </c>
      <c r="O1260" t="s">
        <v>592</v>
      </c>
      <c r="P1260" t="s">
        <v>593</v>
      </c>
      <c r="Q1260" t="s">
        <v>586</v>
      </c>
      <c r="R1260" t="s">
        <v>712</v>
      </c>
      <c r="S1260" t="s">
        <v>712</v>
      </c>
      <c r="T1260">
        <v>96</v>
      </c>
    </row>
    <row r="1261" spans="1:20" x14ac:dyDescent="0.25">
      <c r="A1261" t="s">
        <v>2450</v>
      </c>
      <c r="B1261" t="s">
        <v>352</v>
      </c>
      <c r="C1261" t="s">
        <v>586</v>
      </c>
      <c r="D1261" t="s">
        <v>587</v>
      </c>
      <c r="E1261" t="s">
        <v>1245</v>
      </c>
      <c r="F1261">
        <v>8.0482248681893034E-2</v>
      </c>
      <c r="G1261">
        <v>59.66104109589039</v>
      </c>
      <c r="H1261" t="s">
        <v>888</v>
      </c>
      <c r="I1261" t="s">
        <v>611</v>
      </c>
      <c r="J1261">
        <v>3</v>
      </c>
      <c r="K1261" t="s">
        <v>950</v>
      </c>
      <c r="L1261">
        <v>70000</v>
      </c>
      <c r="M1261">
        <v>2.0100000000000002</v>
      </c>
      <c r="N1261">
        <v>59.66104109589039</v>
      </c>
      <c r="O1261" t="s">
        <v>592</v>
      </c>
      <c r="P1261" t="s">
        <v>593</v>
      </c>
      <c r="Q1261" t="s">
        <v>586</v>
      </c>
      <c r="R1261" t="s">
        <v>712</v>
      </c>
      <c r="S1261" t="s">
        <v>712</v>
      </c>
      <c r="T1261">
        <v>96</v>
      </c>
    </row>
    <row r="1262" spans="1:20" x14ac:dyDescent="0.25">
      <c r="A1262" t="s">
        <v>2451</v>
      </c>
      <c r="B1262" t="s">
        <v>352</v>
      </c>
      <c r="C1262" t="s">
        <v>586</v>
      </c>
      <c r="D1262" t="s">
        <v>587</v>
      </c>
      <c r="E1262" t="s">
        <v>1245</v>
      </c>
      <c r="F1262">
        <v>1.9674709896168843</v>
      </c>
      <c r="G1262">
        <v>74.598167123287681</v>
      </c>
      <c r="H1262" t="s">
        <v>888</v>
      </c>
      <c r="I1262" t="s">
        <v>611</v>
      </c>
      <c r="J1262">
        <v>4</v>
      </c>
      <c r="K1262" t="s">
        <v>956</v>
      </c>
      <c r="L1262">
        <v>75000</v>
      </c>
      <c r="M1262">
        <v>2.41</v>
      </c>
      <c r="N1262">
        <v>74.598167123287681</v>
      </c>
      <c r="O1262" t="s">
        <v>592</v>
      </c>
      <c r="P1262" t="s">
        <v>593</v>
      </c>
      <c r="Q1262" t="s">
        <v>586</v>
      </c>
      <c r="R1262" t="s">
        <v>712</v>
      </c>
      <c r="S1262" t="s">
        <v>712</v>
      </c>
      <c r="T1262">
        <v>72</v>
      </c>
    </row>
    <row r="1263" spans="1:20" x14ac:dyDescent="0.25">
      <c r="A1263" t="s">
        <v>2452</v>
      </c>
      <c r="B1263" t="s">
        <v>386</v>
      </c>
      <c r="C1263" t="s">
        <v>586</v>
      </c>
      <c r="D1263" t="s">
        <v>654</v>
      </c>
      <c r="E1263" t="s">
        <v>766</v>
      </c>
      <c r="F1263">
        <v>0.89941361939284514</v>
      </c>
      <c r="G1263">
        <v>141.61030136986301</v>
      </c>
      <c r="H1263" t="s">
        <v>1552</v>
      </c>
      <c r="I1263" t="s">
        <v>721</v>
      </c>
      <c r="J1263">
        <v>3</v>
      </c>
      <c r="K1263" t="s">
        <v>640</v>
      </c>
      <c r="L1263">
        <v>40000</v>
      </c>
      <c r="M1263">
        <v>3</v>
      </c>
      <c r="N1263">
        <v>141.61030136986301</v>
      </c>
      <c r="O1263" t="s">
        <v>592</v>
      </c>
      <c r="P1263" t="s">
        <v>711</v>
      </c>
      <c r="Q1263" t="s">
        <v>586</v>
      </c>
      <c r="R1263" t="s">
        <v>712</v>
      </c>
      <c r="S1263" t="s">
        <v>712</v>
      </c>
      <c r="T1263">
        <v>52</v>
      </c>
    </row>
    <row r="1264" spans="1:20" x14ac:dyDescent="0.25">
      <c r="A1264" t="s">
        <v>2453</v>
      </c>
      <c r="B1264" t="s">
        <v>386</v>
      </c>
      <c r="C1264" t="s">
        <v>586</v>
      </c>
      <c r="D1264" t="s">
        <v>654</v>
      </c>
      <c r="E1264" t="s">
        <v>766</v>
      </c>
      <c r="F1264">
        <v>1.850403163203455</v>
      </c>
      <c r="G1264">
        <v>151.09076164383563</v>
      </c>
      <c r="H1264" t="s">
        <v>1552</v>
      </c>
      <c r="I1264" t="s">
        <v>721</v>
      </c>
      <c r="J1264">
        <v>3.2</v>
      </c>
      <c r="K1264" t="s">
        <v>658</v>
      </c>
      <c r="L1264">
        <v>42000</v>
      </c>
      <c r="M1264">
        <v>3.2</v>
      </c>
      <c r="N1264">
        <v>151.09076164383563</v>
      </c>
      <c r="O1264" t="s">
        <v>592</v>
      </c>
      <c r="P1264" t="s">
        <v>711</v>
      </c>
      <c r="Q1264" t="s">
        <v>586</v>
      </c>
      <c r="R1264" t="s">
        <v>712</v>
      </c>
      <c r="S1264" t="s">
        <v>712</v>
      </c>
      <c r="T1264">
        <v>29</v>
      </c>
    </row>
    <row r="1265" spans="1:20" x14ac:dyDescent="0.25">
      <c r="A1265" t="s">
        <v>2454</v>
      </c>
      <c r="B1265" t="s">
        <v>386</v>
      </c>
      <c r="C1265" t="s">
        <v>586</v>
      </c>
      <c r="D1265" t="s">
        <v>654</v>
      </c>
      <c r="E1265" t="s">
        <v>766</v>
      </c>
      <c r="F1265">
        <v>2.7666802931767576</v>
      </c>
      <c r="G1265">
        <v>160.14465205479451</v>
      </c>
      <c r="H1265" t="s">
        <v>1552</v>
      </c>
      <c r="I1265" t="s">
        <v>721</v>
      </c>
      <c r="J1265">
        <v>3.4</v>
      </c>
      <c r="K1265" t="s">
        <v>626</v>
      </c>
      <c r="L1265">
        <v>43000</v>
      </c>
      <c r="M1265">
        <v>3.4000000000000004</v>
      </c>
      <c r="N1265">
        <v>160.14465205479451</v>
      </c>
      <c r="O1265" t="s">
        <v>592</v>
      </c>
      <c r="P1265" t="s">
        <v>711</v>
      </c>
      <c r="Q1265" t="s">
        <v>586</v>
      </c>
      <c r="R1265" t="s">
        <v>712</v>
      </c>
      <c r="S1265" t="s">
        <v>712</v>
      </c>
      <c r="T1265">
        <v>20</v>
      </c>
    </row>
    <row r="1266" spans="1:20" x14ac:dyDescent="0.25">
      <c r="A1266" t="s">
        <v>2455</v>
      </c>
      <c r="B1266" t="s">
        <v>386</v>
      </c>
      <c r="C1266" t="s">
        <v>586</v>
      </c>
      <c r="D1266" t="s">
        <v>654</v>
      </c>
      <c r="E1266" t="s">
        <v>766</v>
      </c>
      <c r="F1266">
        <v>3.6507651369075549</v>
      </c>
      <c r="G1266">
        <v>159.86631780821918</v>
      </c>
      <c r="H1266" t="s">
        <v>1552</v>
      </c>
      <c r="I1266" t="s">
        <v>721</v>
      </c>
      <c r="J1266">
        <v>3.5</v>
      </c>
      <c r="K1266" t="s">
        <v>753</v>
      </c>
      <c r="L1266">
        <v>45000</v>
      </c>
      <c r="M1266">
        <v>3.5</v>
      </c>
      <c r="N1266">
        <v>159.86631780821918</v>
      </c>
      <c r="O1266" t="s">
        <v>592</v>
      </c>
      <c r="P1266" t="s">
        <v>711</v>
      </c>
      <c r="Q1266" t="s">
        <v>586</v>
      </c>
      <c r="R1266" t="s">
        <v>712</v>
      </c>
      <c r="S1266" t="s">
        <v>712</v>
      </c>
      <c r="T1266">
        <v>11</v>
      </c>
    </row>
    <row r="1267" spans="1:20" x14ac:dyDescent="0.25">
      <c r="A1267" t="s">
        <v>2456</v>
      </c>
      <c r="B1267" t="s">
        <v>386</v>
      </c>
      <c r="C1267" t="s">
        <v>586</v>
      </c>
      <c r="D1267" t="s">
        <v>654</v>
      </c>
      <c r="E1267" t="s">
        <v>766</v>
      </c>
      <c r="F1267">
        <v>4.501036134192292</v>
      </c>
      <c r="G1267">
        <v>162.40562739726028</v>
      </c>
      <c r="H1267" t="s">
        <v>1552</v>
      </c>
      <c r="I1267" t="s">
        <v>721</v>
      </c>
      <c r="J1267">
        <v>3.6</v>
      </c>
      <c r="K1267" t="s">
        <v>1174</v>
      </c>
      <c r="L1267">
        <v>46000</v>
      </c>
      <c r="M1267">
        <v>3.6</v>
      </c>
      <c r="N1267">
        <v>162.40562739726028</v>
      </c>
      <c r="O1267" t="s">
        <v>592</v>
      </c>
      <c r="P1267" t="s">
        <v>711</v>
      </c>
      <c r="Q1267" t="s">
        <v>586</v>
      </c>
      <c r="R1267" t="s">
        <v>712</v>
      </c>
      <c r="S1267" t="s">
        <v>712</v>
      </c>
      <c r="T1267">
        <v>6</v>
      </c>
    </row>
    <row r="1268" spans="1:20" x14ac:dyDescent="0.25">
      <c r="A1268" t="s">
        <v>2457</v>
      </c>
      <c r="B1268" t="s">
        <v>384</v>
      </c>
      <c r="C1268" t="s">
        <v>586</v>
      </c>
      <c r="D1268" t="s">
        <v>1124</v>
      </c>
      <c r="E1268" t="s">
        <v>1314</v>
      </c>
      <c r="F1268">
        <v>2.3847215586858614</v>
      </c>
      <c r="G1268">
        <v>-2.4225015899773661</v>
      </c>
      <c r="H1268" t="s">
        <v>869</v>
      </c>
      <c r="I1268" t="s">
        <v>885</v>
      </c>
      <c r="J1268">
        <v>4</v>
      </c>
      <c r="K1268" t="s">
        <v>1013</v>
      </c>
      <c r="L1268">
        <v>820000</v>
      </c>
      <c r="M1268">
        <v>1.53</v>
      </c>
      <c r="N1268">
        <v>-2.4225015899773661</v>
      </c>
      <c r="O1268" t="s">
        <v>592</v>
      </c>
      <c r="P1268" t="s">
        <v>593</v>
      </c>
      <c r="Q1268" t="s">
        <v>586</v>
      </c>
      <c r="R1268">
        <v>260000</v>
      </c>
      <c r="S1268" t="s">
        <v>599</v>
      </c>
      <c r="T1268">
        <v>79</v>
      </c>
    </row>
    <row r="1269" spans="1:20" x14ac:dyDescent="0.25">
      <c r="A1269" t="s">
        <v>2458</v>
      </c>
      <c r="B1269" t="s">
        <v>384</v>
      </c>
      <c r="C1269" t="s">
        <v>586</v>
      </c>
      <c r="D1269" t="s">
        <v>1124</v>
      </c>
      <c r="E1269" t="s">
        <v>1314</v>
      </c>
      <c r="F1269">
        <v>3.2785726899731711</v>
      </c>
      <c r="G1269">
        <v>0.91666067341100721</v>
      </c>
      <c r="H1269" t="s">
        <v>869</v>
      </c>
      <c r="I1269" t="s">
        <v>885</v>
      </c>
      <c r="J1269">
        <v>4</v>
      </c>
      <c r="K1269" t="s">
        <v>824</v>
      </c>
      <c r="L1269">
        <v>855000</v>
      </c>
      <c r="M1269">
        <v>1.71</v>
      </c>
      <c r="N1269">
        <v>0.91666067341100721</v>
      </c>
      <c r="O1269" t="s">
        <v>592</v>
      </c>
      <c r="P1269" t="s">
        <v>593</v>
      </c>
      <c r="Q1269" t="s">
        <v>586</v>
      </c>
      <c r="R1269" t="s">
        <v>712</v>
      </c>
      <c r="S1269" t="s">
        <v>599</v>
      </c>
      <c r="T1269">
        <v>70</v>
      </c>
    </row>
    <row r="1270" spans="1:20" x14ac:dyDescent="0.25">
      <c r="A1270" t="s">
        <v>2459</v>
      </c>
      <c r="B1270" t="s">
        <v>387</v>
      </c>
      <c r="C1270" t="s">
        <v>586</v>
      </c>
      <c r="D1270" t="s">
        <v>990</v>
      </c>
      <c r="E1270" t="s">
        <v>2460</v>
      </c>
      <c r="F1270">
        <v>0.45005271072641345</v>
      </c>
      <c r="G1270">
        <v>40.744273822147804</v>
      </c>
      <c r="H1270" t="s">
        <v>2461</v>
      </c>
      <c r="I1270" t="s">
        <v>661</v>
      </c>
      <c r="J1270">
        <v>3</v>
      </c>
      <c r="K1270" t="s">
        <v>2117</v>
      </c>
      <c r="L1270">
        <v>165000</v>
      </c>
      <c r="M1270">
        <v>1.81</v>
      </c>
      <c r="N1270">
        <v>40.744273822147804</v>
      </c>
      <c r="O1270" t="s">
        <v>592</v>
      </c>
      <c r="P1270" t="s">
        <v>711</v>
      </c>
      <c r="Q1270" t="s">
        <v>586</v>
      </c>
      <c r="R1270">
        <v>15000</v>
      </c>
      <c r="S1270" t="s">
        <v>712</v>
      </c>
      <c r="T1270">
        <v>22</v>
      </c>
    </row>
    <row r="1271" spans="1:20" x14ac:dyDescent="0.25">
      <c r="A1271" t="s">
        <v>2462</v>
      </c>
      <c r="B1271" t="s">
        <v>387</v>
      </c>
      <c r="C1271" t="s">
        <v>586</v>
      </c>
      <c r="D1271" t="s">
        <v>990</v>
      </c>
      <c r="E1271" t="s">
        <v>2460</v>
      </c>
      <c r="F1271">
        <v>1.4172777156205145</v>
      </c>
      <c r="G1271">
        <v>36.371265839268489</v>
      </c>
      <c r="H1271" t="s">
        <v>2461</v>
      </c>
      <c r="I1271" t="s">
        <v>661</v>
      </c>
      <c r="J1271">
        <v>3</v>
      </c>
      <c r="K1271" t="s">
        <v>2119</v>
      </c>
      <c r="L1271">
        <v>170000</v>
      </c>
      <c r="M1271">
        <v>1.9100000000000001</v>
      </c>
      <c r="N1271">
        <v>36.371265839268489</v>
      </c>
      <c r="O1271" t="s">
        <v>592</v>
      </c>
      <c r="P1271" t="s">
        <v>711</v>
      </c>
      <c r="Q1271" t="s">
        <v>586</v>
      </c>
      <c r="R1271" t="s">
        <v>712</v>
      </c>
      <c r="S1271" t="s">
        <v>712</v>
      </c>
      <c r="T1271">
        <v>61</v>
      </c>
    </row>
    <row r="1272" spans="1:20" x14ac:dyDescent="0.25">
      <c r="A1272" t="s">
        <v>2463</v>
      </c>
      <c r="B1272" t="s">
        <v>387</v>
      </c>
      <c r="C1272" t="s">
        <v>586</v>
      </c>
      <c r="D1272" t="s">
        <v>990</v>
      </c>
      <c r="E1272" t="s">
        <v>2460</v>
      </c>
      <c r="F1272">
        <v>2.3561190269973205</v>
      </c>
      <c r="G1272">
        <v>33.720173504909859</v>
      </c>
      <c r="H1272" t="s">
        <v>2461</v>
      </c>
      <c r="I1272" t="s">
        <v>661</v>
      </c>
      <c r="J1272">
        <v>3</v>
      </c>
      <c r="K1272" t="s">
        <v>2121</v>
      </c>
      <c r="L1272">
        <v>175000</v>
      </c>
      <c r="M1272">
        <v>2.0300000000000002</v>
      </c>
      <c r="N1272">
        <v>33.720173504909859</v>
      </c>
      <c r="O1272" t="s">
        <v>592</v>
      </c>
      <c r="P1272" t="s">
        <v>711</v>
      </c>
      <c r="Q1272" t="s">
        <v>586</v>
      </c>
      <c r="R1272" t="s">
        <v>712</v>
      </c>
      <c r="S1272" t="s">
        <v>712</v>
      </c>
      <c r="T1272">
        <v>45</v>
      </c>
    </row>
    <row r="1273" spans="1:20" x14ac:dyDescent="0.25">
      <c r="A1273" t="s">
        <v>2464</v>
      </c>
      <c r="B1273" t="s">
        <v>387</v>
      </c>
      <c r="C1273" t="s">
        <v>586</v>
      </c>
      <c r="D1273" t="s">
        <v>990</v>
      </c>
      <c r="E1273" t="s">
        <v>2460</v>
      </c>
      <c r="F1273">
        <v>3.267933483394708</v>
      </c>
      <c r="G1273">
        <v>35.717075808782475</v>
      </c>
      <c r="H1273" t="s">
        <v>2461</v>
      </c>
      <c r="I1273" t="s">
        <v>661</v>
      </c>
      <c r="J1273">
        <v>3</v>
      </c>
      <c r="K1273" t="s">
        <v>2123</v>
      </c>
      <c r="L1273">
        <v>180000</v>
      </c>
      <c r="M1273">
        <v>2.19</v>
      </c>
      <c r="N1273">
        <v>35.717075808782475</v>
      </c>
      <c r="O1273" t="s">
        <v>592</v>
      </c>
      <c r="P1273" t="s">
        <v>711</v>
      </c>
      <c r="Q1273" t="s">
        <v>586</v>
      </c>
      <c r="R1273" t="s">
        <v>712</v>
      </c>
      <c r="S1273" t="s">
        <v>712</v>
      </c>
      <c r="T1273">
        <v>34</v>
      </c>
    </row>
    <row r="1274" spans="1:20" x14ac:dyDescent="0.25">
      <c r="A1274" t="s">
        <v>2465</v>
      </c>
      <c r="B1274" t="s">
        <v>35</v>
      </c>
      <c r="C1274" t="s">
        <v>586</v>
      </c>
      <c r="D1274" t="s">
        <v>680</v>
      </c>
      <c r="E1274" t="s">
        <v>681</v>
      </c>
      <c r="F1274">
        <v>0.73119715073906211</v>
      </c>
      <c r="G1274">
        <v>12.132010607890354</v>
      </c>
      <c r="H1274" t="s">
        <v>676</v>
      </c>
      <c r="I1274" t="s">
        <v>625</v>
      </c>
      <c r="J1274">
        <v>5</v>
      </c>
      <c r="K1274" t="s">
        <v>861</v>
      </c>
      <c r="L1274">
        <v>5885000</v>
      </c>
      <c r="M1274">
        <v>1.42</v>
      </c>
      <c r="N1274">
        <v>12.132010607890354</v>
      </c>
      <c r="O1274" t="s">
        <v>592</v>
      </c>
      <c r="P1274" t="s">
        <v>593</v>
      </c>
      <c r="Q1274" t="s">
        <v>586</v>
      </c>
      <c r="R1274">
        <v>900000</v>
      </c>
      <c r="S1274" t="s">
        <v>599</v>
      </c>
      <c r="T1274">
        <v>88</v>
      </c>
    </row>
    <row r="1275" spans="1:20" x14ac:dyDescent="0.25">
      <c r="A1275" t="s">
        <v>2466</v>
      </c>
      <c r="B1275" t="s">
        <v>35</v>
      </c>
      <c r="C1275" t="s">
        <v>586</v>
      </c>
      <c r="D1275" t="s">
        <v>680</v>
      </c>
      <c r="E1275" t="s">
        <v>681</v>
      </c>
      <c r="F1275">
        <v>4.3122072252310639</v>
      </c>
      <c r="G1275">
        <v>17.249330658145535</v>
      </c>
      <c r="H1275" t="s">
        <v>676</v>
      </c>
      <c r="I1275" t="s">
        <v>625</v>
      </c>
      <c r="J1275">
        <v>4</v>
      </c>
      <c r="K1275" t="s">
        <v>701</v>
      </c>
      <c r="L1275">
        <v>4055000</v>
      </c>
      <c r="M1275">
        <v>2.0499999999999998</v>
      </c>
      <c r="N1275">
        <v>17.249330658145535</v>
      </c>
      <c r="O1275" t="s">
        <v>592</v>
      </c>
      <c r="P1275" t="s">
        <v>593</v>
      </c>
      <c r="Q1275" t="s">
        <v>586</v>
      </c>
      <c r="R1275">
        <v>70000</v>
      </c>
      <c r="S1275" t="s">
        <v>599</v>
      </c>
      <c r="T1275">
        <v>27</v>
      </c>
    </row>
    <row r="1276" spans="1:20" x14ac:dyDescent="0.25">
      <c r="A1276" t="s">
        <v>2467</v>
      </c>
      <c r="B1276" t="s">
        <v>134</v>
      </c>
      <c r="C1276" t="s">
        <v>586</v>
      </c>
      <c r="D1276" t="s">
        <v>608</v>
      </c>
      <c r="E1276" t="s">
        <v>1142</v>
      </c>
      <c r="F1276">
        <v>0.28541432534510347</v>
      </c>
      <c r="G1276">
        <v>21.766321736710779</v>
      </c>
      <c r="H1276" t="s">
        <v>1143</v>
      </c>
      <c r="I1276" t="s">
        <v>721</v>
      </c>
      <c r="J1276">
        <v>2</v>
      </c>
      <c r="K1276" t="s">
        <v>1294</v>
      </c>
      <c r="L1276">
        <v>830000</v>
      </c>
      <c r="M1276">
        <v>1.3900000000000001</v>
      </c>
      <c r="N1276">
        <v>21.766321736710779</v>
      </c>
      <c r="O1276" t="s">
        <v>592</v>
      </c>
      <c r="P1276" t="s">
        <v>621</v>
      </c>
      <c r="Q1276" t="s">
        <v>586</v>
      </c>
      <c r="R1276" t="s">
        <v>712</v>
      </c>
      <c r="S1276" t="s">
        <v>652</v>
      </c>
      <c r="T1276">
        <v>87</v>
      </c>
    </row>
    <row r="1277" spans="1:20" x14ac:dyDescent="0.25">
      <c r="A1277" t="s">
        <v>2468</v>
      </c>
      <c r="B1277" t="s">
        <v>35</v>
      </c>
      <c r="C1277" t="s">
        <v>586</v>
      </c>
      <c r="D1277" t="s">
        <v>680</v>
      </c>
      <c r="E1277" t="s">
        <v>681</v>
      </c>
      <c r="F1277">
        <v>3.4652472015343152</v>
      </c>
      <c r="G1277">
        <v>17.034925909554865</v>
      </c>
      <c r="H1277" t="s">
        <v>676</v>
      </c>
      <c r="I1277" t="s">
        <v>625</v>
      </c>
      <c r="J1277">
        <v>4</v>
      </c>
      <c r="K1277" t="s">
        <v>684</v>
      </c>
      <c r="L1277">
        <v>705000</v>
      </c>
      <c r="M1277">
        <v>1.93</v>
      </c>
      <c r="N1277">
        <v>17.034925909554865</v>
      </c>
      <c r="O1277" t="s">
        <v>592</v>
      </c>
      <c r="P1277" t="s">
        <v>593</v>
      </c>
      <c r="Q1277" t="s">
        <v>586</v>
      </c>
      <c r="R1277" t="s">
        <v>712</v>
      </c>
      <c r="S1277" t="s">
        <v>599</v>
      </c>
      <c r="T1277">
        <v>58</v>
      </c>
    </row>
    <row r="1278" spans="1:20" x14ac:dyDescent="0.25">
      <c r="A1278" t="s">
        <v>2469</v>
      </c>
      <c r="B1278" t="s">
        <v>134</v>
      </c>
      <c r="C1278" t="s">
        <v>586</v>
      </c>
      <c r="D1278" t="s">
        <v>608</v>
      </c>
      <c r="E1278" t="s">
        <v>1142</v>
      </c>
      <c r="F1278">
        <v>3.8650413085859667</v>
      </c>
      <c r="G1278">
        <v>32.906436222898726</v>
      </c>
      <c r="H1278" t="s">
        <v>1143</v>
      </c>
      <c r="I1278" t="s">
        <v>721</v>
      </c>
      <c r="J1278">
        <v>5</v>
      </c>
      <c r="K1278" t="s">
        <v>2470</v>
      </c>
      <c r="L1278">
        <v>960000</v>
      </c>
      <c r="M1278">
        <v>2.08</v>
      </c>
      <c r="N1278">
        <v>32.906436222898726</v>
      </c>
      <c r="O1278" t="s">
        <v>592</v>
      </c>
      <c r="P1278" t="s">
        <v>621</v>
      </c>
      <c r="Q1278" t="s">
        <v>586</v>
      </c>
      <c r="R1278" t="s">
        <v>712</v>
      </c>
      <c r="S1278" t="s">
        <v>652</v>
      </c>
      <c r="T1278">
        <v>64</v>
      </c>
    </row>
    <row r="1279" spans="1:20" x14ac:dyDescent="0.25">
      <c r="A1279" t="s">
        <v>2471</v>
      </c>
      <c r="B1279" t="s">
        <v>186</v>
      </c>
      <c r="C1279" t="s">
        <v>607</v>
      </c>
      <c r="D1279" t="s">
        <v>608</v>
      </c>
      <c r="E1279" t="s">
        <v>1381</v>
      </c>
      <c r="F1279">
        <v>0.56929369164596744</v>
      </c>
      <c r="G1279">
        <v>41.919940652391865</v>
      </c>
      <c r="H1279" t="s">
        <v>761</v>
      </c>
      <c r="I1279" t="s">
        <v>1382</v>
      </c>
      <c r="J1279">
        <v>3</v>
      </c>
      <c r="K1279" t="s">
        <v>744</v>
      </c>
      <c r="L1279">
        <v>290000</v>
      </c>
      <c r="M1279">
        <v>1.8</v>
      </c>
      <c r="N1279">
        <v>41.919940652391865</v>
      </c>
      <c r="O1279" t="s">
        <v>592</v>
      </c>
      <c r="P1279" t="s">
        <v>613</v>
      </c>
      <c r="Q1279" t="s">
        <v>586</v>
      </c>
      <c r="R1279" t="s">
        <v>712</v>
      </c>
      <c r="S1279" t="s">
        <v>594</v>
      </c>
      <c r="T1279">
        <v>87</v>
      </c>
    </row>
    <row r="1280" spans="1:20" x14ac:dyDescent="0.25">
      <c r="A1280" t="s">
        <v>2472</v>
      </c>
      <c r="B1280" t="s">
        <v>141</v>
      </c>
      <c r="C1280" t="s">
        <v>586</v>
      </c>
      <c r="D1280" t="s">
        <v>805</v>
      </c>
      <c r="E1280" t="s">
        <v>819</v>
      </c>
      <c r="F1280">
        <v>1.7984723330725196</v>
      </c>
      <c r="G1280">
        <v>10.591761563659352</v>
      </c>
      <c r="H1280" t="s">
        <v>869</v>
      </c>
      <c r="I1280" t="s">
        <v>1165</v>
      </c>
      <c r="J1280">
        <v>4</v>
      </c>
      <c r="K1280" t="s">
        <v>664</v>
      </c>
      <c r="L1280">
        <v>245000</v>
      </c>
      <c r="M1280">
        <v>1.6</v>
      </c>
      <c r="N1280">
        <v>10.591761563659352</v>
      </c>
      <c r="O1280" t="s">
        <v>592</v>
      </c>
      <c r="P1280" t="s">
        <v>711</v>
      </c>
      <c r="Q1280" t="s">
        <v>586</v>
      </c>
      <c r="R1280" t="s">
        <v>712</v>
      </c>
      <c r="S1280" t="s">
        <v>712</v>
      </c>
      <c r="T1280">
        <v>84</v>
      </c>
    </row>
    <row r="1281" spans="1:20" x14ac:dyDescent="0.25">
      <c r="A1281" t="s">
        <v>2473</v>
      </c>
      <c r="B1281" t="s">
        <v>160</v>
      </c>
      <c r="C1281" t="s">
        <v>607</v>
      </c>
      <c r="D1281" t="s">
        <v>990</v>
      </c>
      <c r="E1281" t="s">
        <v>1232</v>
      </c>
      <c r="F1281">
        <v>2.2352795701769805</v>
      </c>
      <c r="G1281">
        <v>50.688458490436375</v>
      </c>
      <c r="H1281" t="s">
        <v>660</v>
      </c>
      <c r="I1281" t="s">
        <v>1233</v>
      </c>
      <c r="J1281">
        <v>3</v>
      </c>
      <c r="K1281" t="s">
        <v>972</v>
      </c>
      <c r="L1281">
        <v>275000</v>
      </c>
      <c r="M1281">
        <v>2.04</v>
      </c>
      <c r="N1281">
        <v>50.688458490436375</v>
      </c>
      <c r="O1281" t="s">
        <v>592</v>
      </c>
      <c r="P1281" t="s">
        <v>711</v>
      </c>
      <c r="Q1281" t="s">
        <v>586</v>
      </c>
      <c r="R1281" t="s">
        <v>712</v>
      </c>
      <c r="S1281" t="s">
        <v>878</v>
      </c>
      <c r="T1281">
        <v>65</v>
      </c>
    </row>
    <row r="1282" spans="1:20" x14ac:dyDescent="0.25">
      <c r="A1282" t="s">
        <v>2474</v>
      </c>
      <c r="B1282" t="s">
        <v>342</v>
      </c>
      <c r="C1282" t="s">
        <v>586</v>
      </c>
      <c r="D1282" t="s">
        <v>601</v>
      </c>
      <c r="E1282" t="s">
        <v>2210</v>
      </c>
      <c r="F1282">
        <v>3.1676518644913183</v>
      </c>
      <c r="G1282">
        <v>79.353830136986318</v>
      </c>
      <c r="H1282" t="s">
        <v>1120</v>
      </c>
      <c r="I1282" t="s">
        <v>661</v>
      </c>
      <c r="J1282">
        <v>3.5</v>
      </c>
      <c r="K1282" t="s">
        <v>871</v>
      </c>
      <c r="L1282">
        <v>10000</v>
      </c>
      <c r="M1282">
        <v>2.6</v>
      </c>
      <c r="N1282">
        <v>79.353830136986318</v>
      </c>
      <c r="O1282" t="s">
        <v>592</v>
      </c>
      <c r="P1282" t="s">
        <v>711</v>
      </c>
      <c r="Q1282" t="s">
        <v>586</v>
      </c>
      <c r="R1282" t="s">
        <v>712</v>
      </c>
      <c r="S1282" t="s">
        <v>712</v>
      </c>
      <c r="T1282">
        <v>66</v>
      </c>
    </row>
    <row r="1283" spans="1:20" x14ac:dyDescent="0.25">
      <c r="A1283" t="s">
        <v>2475</v>
      </c>
      <c r="B1283" t="s">
        <v>44</v>
      </c>
      <c r="C1283" t="s">
        <v>586</v>
      </c>
      <c r="D1283" t="s">
        <v>587</v>
      </c>
      <c r="E1283" t="s">
        <v>751</v>
      </c>
      <c r="F1283">
        <v>1.8296034435329389</v>
      </c>
      <c r="G1283">
        <v>2.5886555105249842</v>
      </c>
      <c r="H1283" t="s">
        <v>649</v>
      </c>
      <c r="I1283" t="s">
        <v>752</v>
      </c>
      <c r="J1283">
        <v>5</v>
      </c>
      <c r="K1283" t="s">
        <v>658</v>
      </c>
      <c r="L1283">
        <v>4725000</v>
      </c>
      <c r="M1283">
        <v>1.77</v>
      </c>
      <c r="N1283">
        <v>2.5886555105249842</v>
      </c>
      <c r="O1283" t="s">
        <v>592</v>
      </c>
      <c r="P1283" t="s">
        <v>593</v>
      </c>
      <c r="Q1283" t="s">
        <v>586</v>
      </c>
      <c r="R1283">
        <v>600000</v>
      </c>
      <c r="S1283" t="s">
        <v>635</v>
      </c>
      <c r="T1283">
        <v>82</v>
      </c>
    </row>
    <row r="1284" spans="1:20" x14ac:dyDescent="0.25">
      <c r="A1284" t="s">
        <v>2476</v>
      </c>
      <c r="B1284" t="s">
        <v>388</v>
      </c>
      <c r="C1284" t="s">
        <v>607</v>
      </c>
      <c r="D1284" t="s">
        <v>608</v>
      </c>
      <c r="E1284" t="s">
        <v>1032</v>
      </c>
      <c r="F1284">
        <v>8.0489908924576734E-2</v>
      </c>
      <c r="G1284">
        <v>63.325521226074329</v>
      </c>
      <c r="H1284" t="s">
        <v>1045</v>
      </c>
      <c r="I1284" t="s">
        <v>611</v>
      </c>
      <c r="J1284">
        <v>4</v>
      </c>
      <c r="K1284" t="s">
        <v>950</v>
      </c>
      <c r="L1284">
        <v>95000</v>
      </c>
      <c r="M1284">
        <v>1.75</v>
      </c>
      <c r="N1284">
        <v>63.325521226074329</v>
      </c>
      <c r="O1284" t="s">
        <v>592</v>
      </c>
      <c r="P1284" t="s">
        <v>621</v>
      </c>
      <c r="Q1284" t="s">
        <v>586</v>
      </c>
      <c r="R1284" t="s">
        <v>712</v>
      </c>
      <c r="S1284" t="s">
        <v>878</v>
      </c>
      <c r="T1284">
        <v>97</v>
      </c>
    </row>
    <row r="1285" spans="1:20" x14ac:dyDescent="0.25">
      <c r="A1285" t="s">
        <v>2477</v>
      </c>
      <c r="B1285" t="s">
        <v>388</v>
      </c>
      <c r="C1285" t="s">
        <v>607</v>
      </c>
      <c r="D1285" t="s">
        <v>608</v>
      </c>
      <c r="E1285" t="s">
        <v>1032</v>
      </c>
      <c r="F1285">
        <v>1.0434413213710791</v>
      </c>
      <c r="G1285">
        <v>63.796339810766867</v>
      </c>
      <c r="H1285" t="s">
        <v>1045</v>
      </c>
      <c r="I1285" t="s">
        <v>611</v>
      </c>
      <c r="J1285">
        <v>4</v>
      </c>
      <c r="K1285" t="s">
        <v>612</v>
      </c>
      <c r="L1285">
        <v>95000</v>
      </c>
      <c r="M1285">
        <v>1.9000000000000001</v>
      </c>
      <c r="N1285">
        <v>63.796339810766867</v>
      </c>
      <c r="O1285" t="s">
        <v>592</v>
      </c>
      <c r="P1285" t="s">
        <v>621</v>
      </c>
      <c r="Q1285" t="s">
        <v>586</v>
      </c>
      <c r="R1285" t="s">
        <v>712</v>
      </c>
      <c r="S1285" t="s">
        <v>878</v>
      </c>
      <c r="T1285">
        <v>90</v>
      </c>
    </row>
    <row r="1286" spans="1:20" x14ac:dyDescent="0.25">
      <c r="A1286" t="s">
        <v>2478</v>
      </c>
      <c r="B1286" t="s">
        <v>388</v>
      </c>
      <c r="C1286" t="s">
        <v>607</v>
      </c>
      <c r="D1286" t="s">
        <v>608</v>
      </c>
      <c r="E1286" t="s">
        <v>1032</v>
      </c>
      <c r="F1286">
        <v>2.0127876192061409</v>
      </c>
      <c r="G1286">
        <v>63.767323363058367</v>
      </c>
      <c r="H1286" t="s">
        <v>1045</v>
      </c>
      <c r="I1286" t="s">
        <v>611</v>
      </c>
      <c r="J1286">
        <v>2</v>
      </c>
      <c r="K1286" t="s">
        <v>956</v>
      </c>
      <c r="L1286">
        <v>95000</v>
      </c>
      <c r="M1286">
        <v>2.0499999999999998</v>
      </c>
      <c r="N1286">
        <v>63.767323363058367</v>
      </c>
      <c r="O1286" t="s">
        <v>592</v>
      </c>
      <c r="P1286" t="s">
        <v>621</v>
      </c>
      <c r="Q1286" t="s">
        <v>586</v>
      </c>
      <c r="R1286" t="s">
        <v>712</v>
      </c>
      <c r="S1286" t="s">
        <v>878</v>
      </c>
      <c r="T1286">
        <v>67</v>
      </c>
    </row>
    <row r="1287" spans="1:20" x14ac:dyDescent="0.25">
      <c r="A1287" t="s">
        <v>2479</v>
      </c>
      <c r="B1287" t="s">
        <v>388</v>
      </c>
      <c r="C1287" t="s">
        <v>607</v>
      </c>
      <c r="D1287" t="s">
        <v>608</v>
      </c>
      <c r="E1287" t="s">
        <v>1032</v>
      </c>
      <c r="F1287">
        <v>8.0489867728878742E-2</v>
      </c>
      <c r="G1287">
        <v>37.090441095890412</v>
      </c>
      <c r="H1287" t="s">
        <v>1033</v>
      </c>
      <c r="I1287" t="s">
        <v>885</v>
      </c>
      <c r="J1287">
        <v>3</v>
      </c>
      <c r="K1287" t="s">
        <v>950</v>
      </c>
      <c r="L1287">
        <v>310000</v>
      </c>
      <c r="M1287">
        <v>1.71</v>
      </c>
      <c r="N1287">
        <v>37.090441095890412</v>
      </c>
      <c r="O1287" t="s">
        <v>592</v>
      </c>
      <c r="P1287" t="s">
        <v>621</v>
      </c>
      <c r="Q1287" t="s">
        <v>586</v>
      </c>
      <c r="R1287" t="s">
        <v>712</v>
      </c>
      <c r="S1287" t="s">
        <v>878</v>
      </c>
      <c r="T1287">
        <v>99</v>
      </c>
    </row>
    <row r="1288" spans="1:20" x14ac:dyDescent="0.25">
      <c r="A1288" t="s">
        <v>2480</v>
      </c>
      <c r="B1288" t="s">
        <v>388</v>
      </c>
      <c r="C1288" t="s">
        <v>607</v>
      </c>
      <c r="D1288" t="s">
        <v>608</v>
      </c>
      <c r="E1288" t="s">
        <v>1032</v>
      </c>
      <c r="F1288">
        <v>1.0502444653692793</v>
      </c>
      <c r="G1288">
        <v>40.322783561643845</v>
      </c>
      <c r="H1288" t="s">
        <v>1033</v>
      </c>
      <c r="I1288" t="s">
        <v>885</v>
      </c>
      <c r="J1288">
        <v>3</v>
      </c>
      <c r="K1288" t="s">
        <v>612</v>
      </c>
      <c r="L1288">
        <v>310000</v>
      </c>
      <c r="M1288">
        <v>1.87</v>
      </c>
      <c r="N1288">
        <v>40.322783561643845</v>
      </c>
      <c r="O1288" t="s">
        <v>592</v>
      </c>
      <c r="P1288" t="s">
        <v>621</v>
      </c>
      <c r="Q1288" t="s">
        <v>586</v>
      </c>
      <c r="R1288" t="s">
        <v>712</v>
      </c>
      <c r="S1288" t="s">
        <v>878</v>
      </c>
      <c r="T1288">
        <v>88</v>
      </c>
    </row>
    <row r="1289" spans="1:20" x14ac:dyDescent="0.25">
      <c r="A1289" t="s">
        <v>2481</v>
      </c>
      <c r="B1289" t="s">
        <v>388</v>
      </c>
      <c r="C1289" t="s">
        <v>607</v>
      </c>
      <c r="D1289" t="s">
        <v>608</v>
      </c>
      <c r="E1289" t="s">
        <v>1032</v>
      </c>
      <c r="F1289">
        <v>1.9902669752050257</v>
      </c>
      <c r="G1289">
        <v>44.0683698630137</v>
      </c>
      <c r="H1289" t="s">
        <v>1033</v>
      </c>
      <c r="I1289" t="s">
        <v>885</v>
      </c>
      <c r="J1289">
        <v>3</v>
      </c>
      <c r="K1289" t="s">
        <v>956</v>
      </c>
      <c r="L1289">
        <v>310000</v>
      </c>
      <c r="M1289">
        <v>2.04</v>
      </c>
      <c r="N1289">
        <v>44.0683698630137</v>
      </c>
      <c r="O1289" t="s">
        <v>592</v>
      </c>
      <c r="P1289" t="s">
        <v>621</v>
      </c>
      <c r="Q1289" t="s">
        <v>586</v>
      </c>
      <c r="R1289" t="s">
        <v>712</v>
      </c>
      <c r="S1289" t="s">
        <v>878</v>
      </c>
      <c r="T1289">
        <v>78</v>
      </c>
    </row>
    <row r="1290" spans="1:20" x14ac:dyDescent="0.25">
      <c r="A1290" t="s">
        <v>2482</v>
      </c>
      <c r="B1290" t="s">
        <v>389</v>
      </c>
      <c r="C1290" t="s">
        <v>586</v>
      </c>
      <c r="D1290" t="s">
        <v>608</v>
      </c>
      <c r="E1290" t="s">
        <v>1321</v>
      </c>
      <c r="F1290">
        <v>8.0460764808630209E-2</v>
      </c>
      <c r="G1290">
        <v>95.342521409402622</v>
      </c>
      <c r="H1290" t="s">
        <v>672</v>
      </c>
      <c r="I1290" t="s">
        <v>611</v>
      </c>
      <c r="J1290">
        <v>2.4</v>
      </c>
      <c r="K1290" t="s">
        <v>950</v>
      </c>
      <c r="L1290">
        <v>25000</v>
      </c>
      <c r="M1290">
        <v>2.4000000000000004</v>
      </c>
      <c r="N1290">
        <v>95.342521409402622</v>
      </c>
      <c r="O1290" t="s">
        <v>592</v>
      </c>
      <c r="P1290" t="s">
        <v>613</v>
      </c>
      <c r="Q1290" t="s">
        <v>586</v>
      </c>
      <c r="R1290" t="s">
        <v>712</v>
      </c>
      <c r="S1290" t="s">
        <v>712</v>
      </c>
      <c r="T1290">
        <v>91</v>
      </c>
    </row>
    <row r="1291" spans="1:20" x14ac:dyDescent="0.25">
      <c r="A1291" t="s">
        <v>2483</v>
      </c>
      <c r="B1291" t="s">
        <v>389</v>
      </c>
      <c r="C1291" t="s">
        <v>586</v>
      </c>
      <c r="D1291" t="s">
        <v>608</v>
      </c>
      <c r="E1291" t="s">
        <v>1321</v>
      </c>
      <c r="F1291">
        <v>1.0506487952835912</v>
      </c>
      <c r="G1291">
        <v>99.212045775938833</v>
      </c>
      <c r="H1291" t="s">
        <v>672</v>
      </c>
      <c r="I1291" t="s">
        <v>611</v>
      </c>
      <c r="J1291">
        <v>2.6</v>
      </c>
      <c r="K1291" t="s">
        <v>612</v>
      </c>
      <c r="L1291">
        <v>25000</v>
      </c>
      <c r="M1291">
        <v>2.6</v>
      </c>
      <c r="N1291">
        <v>99.212045775938833</v>
      </c>
      <c r="O1291" t="s">
        <v>592</v>
      </c>
      <c r="P1291" t="s">
        <v>613</v>
      </c>
      <c r="Q1291" t="s">
        <v>586</v>
      </c>
      <c r="R1291" t="s">
        <v>712</v>
      </c>
      <c r="S1291" t="s">
        <v>712</v>
      </c>
      <c r="T1291">
        <v>61</v>
      </c>
    </row>
    <row r="1292" spans="1:20" x14ac:dyDescent="0.25">
      <c r="A1292" t="s">
        <v>2484</v>
      </c>
      <c r="B1292" t="s">
        <v>390</v>
      </c>
      <c r="C1292" t="s">
        <v>607</v>
      </c>
      <c r="D1292" t="s">
        <v>608</v>
      </c>
      <c r="E1292" t="s">
        <v>1032</v>
      </c>
      <c r="F1292">
        <v>8.0462346289345538E-2</v>
      </c>
      <c r="G1292">
        <v>77.56873537587974</v>
      </c>
      <c r="H1292" t="s">
        <v>761</v>
      </c>
      <c r="I1292" t="s">
        <v>611</v>
      </c>
      <c r="J1292">
        <v>4</v>
      </c>
      <c r="K1292" t="s">
        <v>950</v>
      </c>
      <c r="L1292">
        <v>85000</v>
      </c>
      <c r="M1292">
        <v>2</v>
      </c>
      <c r="N1292">
        <v>77.56873537587974</v>
      </c>
      <c r="O1292" t="s">
        <v>592</v>
      </c>
      <c r="P1292" t="s">
        <v>613</v>
      </c>
      <c r="Q1292" t="s">
        <v>586</v>
      </c>
      <c r="R1292" t="s">
        <v>712</v>
      </c>
      <c r="S1292" t="s">
        <v>1098</v>
      </c>
      <c r="T1292">
        <v>92</v>
      </c>
    </row>
    <row r="1293" spans="1:20" x14ac:dyDescent="0.25">
      <c r="A1293" t="s">
        <v>2485</v>
      </c>
      <c r="B1293" t="s">
        <v>390</v>
      </c>
      <c r="C1293" t="s">
        <v>607</v>
      </c>
      <c r="D1293" t="s">
        <v>608</v>
      </c>
      <c r="E1293" t="s">
        <v>1032</v>
      </c>
      <c r="F1293">
        <v>1.0411865196731367</v>
      </c>
      <c r="G1293">
        <v>73.158908817523212</v>
      </c>
      <c r="H1293" t="s">
        <v>761</v>
      </c>
      <c r="I1293" t="s">
        <v>611</v>
      </c>
      <c r="J1293">
        <v>4</v>
      </c>
      <c r="K1293" t="s">
        <v>612</v>
      </c>
      <c r="L1293">
        <v>90000</v>
      </c>
      <c r="M1293">
        <v>2.1</v>
      </c>
      <c r="N1293">
        <v>73.158908817523212</v>
      </c>
      <c r="O1293" t="s">
        <v>592</v>
      </c>
      <c r="P1293" t="s">
        <v>613</v>
      </c>
      <c r="Q1293" t="s">
        <v>586</v>
      </c>
      <c r="R1293" t="s">
        <v>712</v>
      </c>
      <c r="S1293" t="s">
        <v>1098</v>
      </c>
      <c r="T1293">
        <v>84</v>
      </c>
    </row>
    <row r="1294" spans="1:20" x14ac:dyDescent="0.25">
      <c r="A1294" t="s">
        <v>2486</v>
      </c>
      <c r="B1294" t="s">
        <v>390</v>
      </c>
      <c r="C1294" t="s">
        <v>607</v>
      </c>
      <c r="D1294" t="s">
        <v>608</v>
      </c>
      <c r="E1294" t="s">
        <v>1032</v>
      </c>
      <c r="F1294">
        <v>2.0039761122605784</v>
      </c>
      <c r="G1294">
        <v>68.4563515425112</v>
      </c>
      <c r="H1294" t="s">
        <v>761</v>
      </c>
      <c r="I1294" t="s">
        <v>611</v>
      </c>
      <c r="J1294">
        <v>2.2000000000000002</v>
      </c>
      <c r="K1294" t="s">
        <v>956</v>
      </c>
      <c r="L1294">
        <v>95000</v>
      </c>
      <c r="M1294">
        <v>2.2000000000000002</v>
      </c>
      <c r="N1294">
        <v>68.4563515425112</v>
      </c>
      <c r="O1294" t="s">
        <v>592</v>
      </c>
      <c r="P1294" t="s">
        <v>613</v>
      </c>
      <c r="Q1294" t="s">
        <v>586</v>
      </c>
      <c r="R1294" t="s">
        <v>712</v>
      </c>
      <c r="S1294" t="s">
        <v>1098</v>
      </c>
      <c r="T1294">
        <v>63</v>
      </c>
    </row>
    <row r="1295" spans="1:20" x14ac:dyDescent="0.25">
      <c r="A1295" t="s">
        <v>2487</v>
      </c>
      <c r="B1295" t="s">
        <v>391</v>
      </c>
      <c r="C1295" t="s">
        <v>586</v>
      </c>
      <c r="D1295" t="s">
        <v>608</v>
      </c>
      <c r="E1295" t="s">
        <v>1032</v>
      </c>
      <c r="F1295">
        <v>0.73293528062167768</v>
      </c>
      <c r="G1295">
        <v>107.04415341991054</v>
      </c>
      <c r="H1295" t="s">
        <v>761</v>
      </c>
      <c r="I1295" t="s">
        <v>1709</v>
      </c>
      <c r="J1295">
        <v>3</v>
      </c>
      <c r="K1295" t="s">
        <v>861</v>
      </c>
      <c r="L1295">
        <v>40000</v>
      </c>
      <c r="M1295">
        <v>2.4000000000000004</v>
      </c>
      <c r="N1295">
        <v>107.04415341991054</v>
      </c>
      <c r="O1295" t="s">
        <v>592</v>
      </c>
      <c r="P1295" t="s">
        <v>613</v>
      </c>
      <c r="Q1295" t="s">
        <v>586</v>
      </c>
      <c r="R1295" t="s">
        <v>712</v>
      </c>
      <c r="S1295" t="s">
        <v>712</v>
      </c>
      <c r="T1295">
        <v>89</v>
      </c>
    </row>
    <row r="1296" spans="1:20" x14ac:dyDescent="0.25">
      <c r="A1296" t="s">
        <v>2488</v>
      </c>
      <c r="B1296" t="s">
        <v>391</v>
      </c>
      <c r="C1296" t="s">
        <v>586</v>
      </c>
      <c r="D1296" t="s">
        <v>608</v>
      </c>
      <c r="E1296" t="s">
        <v>1032</v>
      </c>
      <c r="F1296">
        <v>1.6842323521923368</v>
      </c>
      <c r="G1296">
        <v>112.25966230495715</v>
      </c>
      <c r="H1296" t="s">
        <v>761</v>
      </c>
      <c r="I1296" t="s">
        <v>1709</v>
      </c>
      <c r="J1296">
        <v>3</v>
      </c>
      <c r="K1296" t="s">
        <v>682</v>
      </c>
      <c r="L1296">
        <v>40000</v>
      </c>
      <c r="M1296">
        <v>2.6</v>
      </c>
      <c r="N1296">
        <v>112.25966230495715</v>
      </c>
      <c r="O1296" t="s">
        <v>592</v>
      </c>
      <c r="P1296" t="s">
        <v>613</v>
      </c>
      <c r="Q1296" t="s">
        <v>586</v>
      </c>
      <c r="R1296" t="s">
        <v>712</v>
      </c>
      <c r="S1296" t="s">
        <v>712</v>
      </c>
      <c r="T1296">
        <v>73</v>
      </c>
    </row>
    <row r="1297" spans="1:20" x14ac:dyDescent="0.25">
      <c r="A1297" t="s">
        <v>2489</v>
      </c>
      <c r="B1297" t="s">
        <v>392</v>
      </c>
      <c r="C1297" t="s">
        <v>607</v>
      </c>
      <c r="D1297" t="s">
        <v>608</v>
      </c>
      <c r="E1297" t="s">
        <v>1032</v>
      </c>
      <c r="F1297">
        <v>8.0457165234482361E-2</v>
      </c>
      <c r="G1297">
        <v>58.110114143978244</v>
      </c>
      <c r="H1297" t="s">
        <v>1000</v>
      </c>
      <c r="I1297" t="s">
        <v>611</v>
      </c>
      <c r="J1297">
        <v>2</v>
      </c>
      <c r="K1297" t="s">
        <v>950</v>
      </c>
      <c r="L1297">
        <v>175000</v>
      </c>
      <c r="M1297">
        <v>1.8</v>
      </c>
      <c r="N1297">
        <v>58.110114143978244</v>
      </c>
      <c r="O1297" t="s">
        <v>592</v>
      </c>
      <c r="P1297" t="s">
        <v>613</v>
      </c>
      <c r="Q1297" t="s">
        <v>586</v>
      </c>
      <c r="R1297">
        <v>125000</v>
      </c>
      <c r="S1297" t="s">
        <v>614</v>
      </c>
      <c r="T1297">
        <v>100</v>
      </c>
    </row>
    <row r="1298" spans="1:20" x14ac:dyDescent="0.25">
      <c r="A1298" t="s">
        <v>2490</v>
      </c>
      <c r="B1298" t="s">
        <v>392</v>
      </c>
      <c r="C1298" t="s">
        <v>607</v>
      </c>
      <c r="D1298" t="s">
        <v>608</v>
      </c>
      <c r="E1298" t="s">
        <v>1032</v>
      </c>
      <c r="F1298">
        <v>1.0510494155328611</v>
      </c>
      <c r="G1298">
        <v>68.301300880457362</v>
      </c>
      <c r="H1298" t="s">
        <v>1000</v>
      </c>
      <c r="I1298" t="s">
        <v>611</v>
      </c>
      <c r="J1298">
        <v>2.5</v>
      </c>
      <c r="K1298" t="s">
        <v>612</v>
      </c>
      <c r="L1298">
        <v>175000</v>
      </c>
      <c r="M1298">
        <v>2.0499999999999998</v>
      </c>
      <c r="N1298">
        <v>68.301300880457362</v>
      </c>
      <c r="O1298" t="s">
        <v>592</v>
      </c>
      <c r="P1298" t="s">
        <v>613</v>
      </c>
      <c r="Q1298" t="s">
        <v>586</v>
      </c>
      <c r="R1298" t="s">
        <v>712</v>
      </c>
      <c r="S1298" t="s">
        <v>614</v>
      </c>
      <c r="T1298">
        <v>85</v>
      </c>
    </row>
    <row r="1299" spans="1:20" x14ac:dyDescent="0.25">
      <c r="A1299" t="s">
        <v>2491</v>
      </c>
      <c r="B1299" t="s">
        <v>392</v>
      </c>
      <c r="C1299" t="s">
        <v>607</v>
      </c>
      <c r="D1299" t="s">
        <v>608</v>
      </c>
      <c r="E1299" t="s">
        <v>1032</v>
      </c>
      <c r="F1299">
        <v>1.9963042566320881</v>
      </c>
      <c r="G1299">
        <v>73.293013389831202</v>
      </c>
      <c r="H1299" t="s">
        <v>1000</v>
      </c>
      <c r="I1299" t="s">
        <v>611</v>
      </c>
      <c r="J1299">
        <v>2.5</v>
      </c>
      <c r="K1299" t="s">
        <v>956</v>
      </c>
      <c r="L1299">
        <v>175000</v>
      </c>
      <c r="M1299">
        <v>2.25</v>
      </c>
      <c r="N1299">
        <v>73.293013389831202</v>
      </c>
      <c r="O1299" t="s">
        <v>592</v>
      </c>
      <c r="P1299" t="s">
        <v>613</v>
      </c>
      <c r="Q1299" t="s">
        <v>586</v>
      </c>
      <c r="R1299" t="s">
        <v>712</v>
      </c>
      <c r="S1299" t="s">
        <v>614</v>
      </c>
      <c r="T1299">
        <v>72</v>
      </c>
    </row>
    <row r="1300" spans="1:20" x14ac:dyDescent="0.25">
      <c r="A1300" t="s">
        <v>2492</v>
      </c>
      <c r="B1300" t="s">
        <v>393</v>
      </c>
      <c r="C1300" t="s">
        <v>607</v>
      </c>
      <c r="D1300" t="s">
        <v>608</v>
      </c>
      <c r="E1300" t="s">
        <v>1321</v>
      </c>
      <c r="F1300">
        <v>8.0471362155151188E-2</v>
      </c>
      <c r="G1300">
        <v>52.353671363445727</v>
      </c>
      <c r="H1300" t="s">
        <v>761</v>
      </c>
      <c r="I1300" t="s">
        <v>1591</v>
      </c>
      <c r="J1300">
        <v>2</v>
      </c>
      <c r="K1300" t="s">
        <v>950</v>
      </c>
      <c r="L1300">
        <v>225000</v>
      </c>
      <c r="M1300">
        <v>1.9000000000000001</v>
      </c>
      <c r="N1300">
        <v>52.353671363445727</v>
      </c>
      <c r="O1300" t="s">
        <v>592</v>
      </c>
      <c r="P1300" t="s">
        <v>613</v>
      </c>
      <c r="Q1300" t="s">
        <v>586</v>
      </c>
      <c r="R1300" t="s">
        <v>712</v>
      </c>
      <c r="S1300" t="s">
        <v>878</v>
      </c>
      <c r="T1300">
        <v>100</v>
      </c>
    </row>
    <row r="1301" spans="1:20" x14ac:dyDescent="0.25">
      <c r="A1301" t="s">
        <v>2493</v>
      </c>
      <c r="B1301" t="s">
        <v>393</v>
      </c>
      <c r="C1301" t="s">
        <v>607</v>
      </c>
      <c r="D1301" t="s">
        <v>608</v>
      </c>
      <c r="E1301" t="s">
        <v>1321</v>
      </c>
      <c r="F1301">
        <v>1.055750092526107</v>
      </c>
      <c r="G1301">
        <v>58.150613371630058</v>
      </c>
      <c r="H1301" t="s">
        <v>761</v>
      </c>
      <c r="I1301" t="s">
        <v>1591</v>
      </c>
      <c r="J1301">
        <v>2</v>
      </c>
      <c r="K1301" t="s">
        <v>612</v>
      </c>
      <c r="L1301">
        <v>220000</v>
      </c>
      <c r="M1301">
        <v>2.1</v>
      </c>
      <c r="N1301">
        <v>58.150613371630058</v>
      </c>
      <c r="O1301" t="s">
        <v>592</v>
      </c>
      <c r="P1301" t="s">
        <v>613</v>
      </c>
      <c r="Q1301" t="s">
        <v>586</v>
      </c>
      <c r="R1301" t="s">
        <v>712</v>
      </c>
      <c r="S1301" t="s">
        <v>878</v>
      </c>
      <c r="T1301">
        <v>84</v>
      </c>
    </row>
    <row r="1302" spans="1:20" x14ac:dyDescent="0.25">
      <c r="A1302" t="s">
        <v>2494</v>
      </c>
      <c r="B1302" t="s">
        <v>393</v>
      </c>
      <c r="C1302" t="s">
        <v>607</v>
      </c>
      <c r="D1302" t="s">
        <v>608</v>
      </c>
      <c r="E1302" t="s">
        <v>1321</v>
      </c>
      <c r="F1302">
        <v>2.0099700888398293</v>
      </c>
      <c r="G1302">
        <v>53.572692069485761</v>
      </c>
      <c r="H1302" t="s">
        <v>761</v>
      </c>
      <c r="I1302" t="s">
        <v>1591</v>
      </c>
      <c r="J1302">
        <v>2</v>
      </c>
      <c r="K1302" t="s">
        <v>956</v>
      </c>
      <c r="L1302">
        <v>220000</v>
      </c>
      <c r="M1302">
        <v>2.2000000000000002</v>
      </c>
      <c r="N1302">
        <v>53.572692069485761</v>
      </c>
      <c r="O1302" t="s">
        <v>592</v>
      </c>
      <c r="P1302" t="s">
        <v>613</v>
      </c>
      <c r="Q1302" t="s">
        <v>586</v>
      </c>
      <c r="R1302" t="s">
        <v>712</v>
      </c>
      <c r="S1302" t="s">
        <v>878</v>
      </c>
      <c r="T1302">
        <v>71</v>
      </c>
    </row>
    <row r="1303" spans="1:20" x14ac:dyDescent="0.25">
      <c r="A1303" t="s">
        <v>2495</v>
      </c>
      <c r="B1303" t="s">
        <v>146</v>
      </c>
      <c r="C1303" t="s">
        <v>607</v>
      </c>
      <c r="D1303" t="s">
        <v>608</v>
      </c>
      <c r="E1303" t="s">
        <v>1032</v>
      </c>
      <c r="F1303">
        <v>1.0502751509579722</v>
      </c>
      <c r="G1303">
        <v>71.806379805849588</v>
      </c>
      <c r="H1303" t="s">
        <v>1000</v>
      </c>
      <c r="I1303" t="s">
        <v>1034</v>
      </c>
      <c r="J1303">
        <v>3</v>
      </c>
      <c r="K1303" t="s">
        <v>612</v>
      </c>
      <c r="L1303">
        <v>525000</v>
      </c>
      <c r="M1303">
        <v>2.15</v>
      </c>
      <c r="N1303">
        <v>71.806379805849588</v>
      </c>
      <c r="O1303" t="s">
        <v>592</v>
      </c>
      <c r="P1303" t="s">
        <v>621</v>
      </c>
      <c r="Q1303" t="s">
        <v>586</v>
      </c>
      <c r="R1303" t="s">
        <v>712</v>
      </c>
      <c r="S1303" t="s">
        <v>878</v>
      </c>
      <c r="T1303">
        <v>88</v>
      </c>
    </row>
    <row r="1304" spans="1:20" x14ac:dyDescent="0.25">
      <c r="A1304" t="s">
        <v>2496</v>
      </c>
      <c r="B1304" t="s">
        <v>146</v>
      </c>
      <c r="C1304" t="s">
        <v>607</v>
      </c>
      <c r="D1304" t="s">
        <v>608</v>
      </c>
      <c r="E1304" t="s">
        <v>1032</v>
      </c>
      <c r="F1304">
        <v>1.9903342018637848</v>
      </c>
      <c r="G1304">
        <v>72.474228207684803</v>
      </c>
      <c r="H1304" t="s">
        <v>1000</v>
      </c>
      <c r="I1304" t="s">
        <v>1034</v>
      </c>
      <c r="J1304">
        <v>3</v>
      </c>
      <c r="K1304" t="s">
        <v>956</v>
      </c>
      <c r="L1304">
        <v>550000</v>
      </c>
      <c r="M1304">
        <v>2.3000000000000003</v>
      </c>
      <c r="N1304">
        <v>72.474228207684803</v>
      </c>
      <c r="O1304" t="s">
        <v>592</v>
      </c>
      <c r="P1304" t="s">
        <v>621</v>
      </c>
      <c r="Q1304" t="s">
        <v>586</v>
      </c>
      <c r="R1304" t="s">
        <v>712</v>
      </c>
      <c r="S1304" t="s">
        <v>878</v>
      </c>
      <c r="T1304">
        <v>78</v>
      </c>
    </row>
    <row r="1305" spans="1:20" x14ac:dyDescent="0.25">
      <c r="A1305" t="s">
        <v>2497</v>
      </c>
      <c r="B1305" t="s">
        <v>394</v>
      </c>
      <c r="C1305" t="s">
        <v>607</v>
      </c>
      <c r="D1305" t="s">
        <v>608</v>
      </c>
      <c r="E1305" t="s">
        <v>1032</v>
      </c>
      <c r="F1305">
        <v>8.0474312174032572E-2</v>
      </c>
      <c r="G1305">
        <v>50.827813698630145</v>
      </c>
      <c r="H1305" t="s">
        <v>610</v>
      </c>
      <c r="I1305" t="s">
        <v>611</v>
      </c>
      <c r="J1305">
        <v>3</v>
      </c>
      <c r="K1305" t="s">
        <v>950</v>
      </c>
      <c r="L1305">
        <v>200000</v>
      </c>
      <c r="M1305">
        <v>2</v>
      </c>
      <c r="N1305">
        <v>50.827813698630145</v>
      </c>
      <c r="O1305" t="s">
        <v>592</v>
      </c>
      <c r="P1305" t="s">
        <v>613</v>
      </c>
      <c r="Q1305" t="s">
        <v>586</v>
      </c>
      <c r="R1305" t="s">
        <v>712</v>
      </c>
      <c r="S1305" t="s">
        <v>614</v>
      </c>
      <c r="T1305">
        <v>99</v>
      </c>
    </row>
    <row r="1306" spans="1:20" x14ac:dyDescent="0.25">
      <c r="A1306" t="s">
        <v>2498</v>
      </c>
      <c r="B1306" t="s">
        <v>394</v>
      </c>
      <c r="C1306" t="s">
        <v>607</v>
      </c>
      <c r="D1306" t="s">
        <v>608</v>
      </c>
      <c r="E1306" t="s">
        <v>1032</v>
      </c>
      <c r="F1306">
        <v>1.0489864773367461</v>
      </c>
      <c r="G1306">
        <v>54.762191780821908</v>
      </c>
      <c r="H1306" t="s">
        <v>610</v>
      </c>
      <c r="I1306" t="s">
        <v>611</v>
      </c>
      <c r="J1306">
        <v>3</v>
      </c>
      <c r="K1306" t="s">
        <v>612</v>
      </c>
      <c r="L1306">
        <v>200000</v>
      </c>
      <c r="M1306">
        <v>2.15</v>
      </c>
      <c r="N1306">
        <v>54.762191780821908</v>
      </c>
      <c r="O1306" t="s">
        <v>592</v>
      </c>
      <c r="P1306" t="s">
        <v>613</v>
      </c>
      <c r="Q1306" t="s">
        <v>586</v>
      </c>
      <c r="R1306" t="s">
        <v>712</v>
      </c>
      <c r="S1306" t="s">
        <v>614</v>
      </c>
      <c r="T1306">
        <v>90</v>
      </c>
    </row>
    <row r="1307" spans="1:20" x14ac:dyDescent="0.25">
      <c r="A1307" t="s">
        <v>2499</v>
      </c>
      <c r="B1307" t="s">
        <v>394</v>
      </c>
      <c r="C1307" t="s">
        <v>607</v>
      </c>
      <c r="D1307" t="s">
        <v>608</v>
      </c>
      <c r="E1307" t="s">
        <v>1032</v>
      </c>
      <c r="F1307">
        <v>1.9879801084261959</v>
      </c>
      <c r="G1307">
        <v>59.346947945205471</v>
      </c>
      <c r="H1307" t="s">
        <v>610</v>
      </c>
      <c r="I1307" t="s">
        <v>611</v>
      </c>
      <c r="J1307">
        <v>3</v>
      </c>
      <c r="K1307" t="s">
        <v>956</v>
      </c>
      <c r="L1307">
        <v>200000</v>
      </c>
      <c r="M1307">
        <v>2.3000000000000003</v>
      </c>
      <c r="N1307">
        <v>59.346947945205471</v>
      </c>
      <c r="O1307" t="s">
        <v>592</v>
      </c>
      <c r="P1307" t="s">
        <v>613</v>
      </c>
      <c r="Q1307" t="s">
        <v>586</v>
      </c>
      <c r="R1307" t="s">
        <v>712</v>
      </c>
      <c r="S1307" t="s">
        <v>614</v>
      </c>
      <c r="T1307">
        <v>79</v>
      </c>
    </row>
    <row r="1308" spans="1:20" x14ac:dyDescent="0.25">
      <c r="A1308" t="s">
        <v>2500</v>
      </c>
      <c r="B1308" t="s">
        <v>395</v>
      </c>
      <c r="C1308" t="s">
        <v>607</v>
      </c>
      <c r="D1308" t="s">
        <v>608</v>
      </c>
      <c r="E1308" t="s">
        <v>1032</v>
      </c>
      <c r="F1308">
        <v>8.0471282396918767E-2</v>
      </c>
      <c r="G1308">
        <v>47.64387945205479</v>
      </c>
      <c r="H1308" t="s">
        <v>610</v>
      </c>
      <c r="I1308" t="s">
        <v>1034</v>
      </c>
      <c r="J1308">
        <v>2</v>
      </c>
      <c r="K1308" t="s">
        <v>950</v>
      </c>
      <c r="L1308">
        <v>100000</v>
      </c>
      <c r="M1308">
        <v>2</v>
      </c>
      <c r="N1308">
        <v>47.64387945205479</v>
      </c>
      <c r="O1308" t="s">
        <v>592</v>
      </c>
      <c r="P1308" t="s">
        <v>613</v>
      </c>
      <c r="Q1308" t="s">
        <v>586</v>
      </c>
      <c r="R1308" t="s">
        <v>712</v>
      </c>
      <c r="S1308" t="s">
        <v>878</v>
      </c>
      <c r="T1308">
        <v>96</v>
      </c>
    </row>
    <row r="1309" spans="1:20" x14ac:dyDescent="0.25">
      <c r="A1309" t="s">
        <v>2501</v>
      </c>
      <c r="B1309" t="s">
        <v>395</v>
      </c>
      <c r="C1309" t="s">
        <v>607</v>
      </c>
      <c r="D1309" t="s">
        <v>608</v>
      </c>
      <c r="E1309" t="s">
        <v>1032</v>
      </c>
      <c r="F1309">
        <v>1.0487351237832423</v>
      </c>
      <c r="G1309">
        <v>51.895216438356151</v>
      </c>
      <c r="H1309" t="s">
        <v>610</v>
      </c>
      <c r="I1309" t="s">
        <v>1034</v>
      </c>
      <c r="J1309">
        <v>3</v>
      </c>
      <c r="K1309" t="s">
        <v>612</v>
      </c>
      <c r="L1309">
        <v>100000</v>
      </c>
      <c r="M1309">
        <v>2.15</v>
      </c>
      <c r="N1309">
        <v>51.895216438356151</v>
      </c>
      <c r="O1309" t="s">
        <v>592</v>
      </c>
      <c r="P1309" t="s">
        <v>613</v>
      </c>
      <c r="Q1309" t="s">
        <v>586</v>
      </c>
      <c r="R1309" t="s">
        <v>712</v>
      </c>
      <c r="S1309" t="s">
        <v>878</v>
      </c>
      <c r="T1309">
        <v>88</v>
      </c>
    </row>
    <row r="1310" spans="1:20" x14ac:dyDescent="0.25">
      <c r="A1310" t="s">
        <v>2502</v>
      </c>
      <c r="B1310" t="s">
        <v>395</v>
      </c>
      <c r="C1310" t="s">
        <v>607</v>
      </c>
      <c r="D1310" t="s">
        <v>608</v>
      </c>
      <c r="E1310" t="s">
        <v>1032</v>
      </c>
      <c r="F1310">
        <v>1.9873851109531884</v>
      </c>
      <c r="G1310">
        <v>56.84104109589039</v>
      </c>
      <c r="H1310" t="s">
        <v>610</v>
      </c>
      <c r="I1310" t="s">
        <v>1034</v>
      </c>
      <c r="J1310">
        <v>3</v>
      </c>
      <c r="K1310" t="s">
        <v>956</v>
      </c>
      <c r="L1310">
        <v>100000</v>
      </c>
      <c r="M1310">
        <v>2.3000000000000003</v>
      </c>
      <c r="N1310">
        <v>56.84104109589039</v>
      </c>
      <c r="O1310" t="s">
        <v>592</v>
      </c>
      <c r="P1310" t="s">
        <v>613</v>
      </c>
      <c r="Q1310" t="s">
        <v>586</v>
      </c>
      <c r="R1310" t="s">
        <v>712</v>
      </c>
      <c r="S1310" t="s">
        <v>878</v>
      </c>
      <c r="T1310">
        <v>77</v>
      </c>
    </row>
    <row r="1311" spans="1:20" x14ac:dyDescent="0.25">
      <c r="A1311" t="s">
        <v>2503</v>
      </c>
      <c r="B1311" t="s">
        <v>395</v>
      </c>
      <c r="C1311" t="s">
        <v>607</v>
      </c>
      <c r="D1311" t="s">
        <v>608</v>
      </c>
      <c r="E1311" t="s">
        <v>1032</v>
      </c>
      <c r="F1311">
        <v>2.8989422282334218</v>
      </c>
      <c r="G1311">
        <v>61.091904109589045</v>
      </c>
      <c r="H1311" t="s">
        <v>610</v>
      </c>
      <c r="I1311" t="s">
        <v>1034</v>
      </c>
      <c r="J1311">
        <v>3</v>
      </c>
      <c r="K1311" t="s">
        <v>1334</v>
      </c>
      <c r="L1311">
        <v>100000</v>
      </c>
      <c r="M1311">
        <v>2.4500000000000002</v>
      </c>
      <c r="N1311">
        <v>61.091904109589045</v>
      </c>
      <c r="O1311" t="s">
        <v>592</v>
      </c>
      <c r="P1311" t="s">
        <v>613</v>
      </c>
      <c r="Q1311" t="s">
        <v>586</v>
      </c>
      <c r="R1311" t="s">
        <v>712</v>
      </c>
      <c r="S1311" t="s">
        <v>878</v>
      </c>
      <c r="T1311">
        <v>67</v>
      </c>
    </row>
    <row r="1312" spans="1:20" x14ac:dyDescent="0.25">
      <c r="A1312" t="s">
        <v>2504</v>
      </c>
      <c r="B1312" t="s">
        <v>396</v>
      </c>
      <c r="C1312" t="s">
        <v>586</v>
      </c>
      <c r="D1312" t="s">
        <v>608</v>
      </c>
      <c r="E1312" t="s">
        <v>1032</v>
      </c>
      <c r="F1312">
        <v>8.0470542332712641E-2</v>
      </c>
      <c r="G1312">
        <v>82.50396463777237</v>
      </c>
      <c r="H1312" t="s">
        <v>1041</v>
      </c>
      <c r="I1312" t="s">
        <v>1034</v>
      </c>
      <c r="J1312">
        <v>3</v>
      </c>
      <c r="K1312" t="s">
        <v>950</v>
      </c>
      <c r="L1312">
        <v>285000</v>
      </c>
      <c r="M1312">
        <v>2.6</v>
      </c>
      <c r="N1312">
        <v>82.50396463777237</v>
      </c>
      <c r="O1312" t="s">
        <v>592</v>
      </c>
      <c r="P1312" t="s">
        <v>621</v>
      </c>
      <c r="Q1312" t="s">
        <v>586</v>
      </c>
      <c r="R1312" t="s">
        <v>712</v>
      </c>
      <c r="S1312" t="s">
        <v>712</v>
      </c>
      <c r="T1312">
        <v>95</v>
      </c>
    </row>
    <row r="1313" spans="1:20" x14ac:dyDescent="0.25">
      <c r="A1313" t="s">
        <v>2505</v>
      </c>
      <c r="B1313" t="s">
        <v>396</v>
      </c>
      <c r="C1313" t="s">
        <v>586</v>
      </c>
      <c r="D1313" t="s">
        <v>608</v>
      </c>
      <c r="E1313" t="s">
        <v>1032</v>
      </c>
      <c r="F1313">
        <v>1.0486793969766279</v>
      </c>
      <c r="G1313">
        <v>89.811529796558105</v>
      </c>
      <c r="H1313" t="s">
        <v>1041</v>
      </c>
      <c r="I1313" t="s">
        <v>1034</v>
      </c>
      <c r="J1313">
        <v>3</v>
      </c>
      <c r="K1313" t="s">
        <v>612</v>
      </c>
      <c r="L1313">
        <v>300000</v>
      </c>
      <c r="M1313">
        <v>2.8000000000000003</v>
      </c>
      <c r="N1313">
        <v>89.811529796558105</v>
      </c>
      <c r="O1313" t="s">
        <v>592</v>
      </c>
      <c r="P1313" t="s">
        <v>621</v>
      </c>
      <c r="Q1313" t="s">
        <v>586</v>
      </c>
      <c r="R1313" t="s">
        <v>712</v>
      </c>
      <c r="S1313" t="s">
        <v>712</v>
      </c>
      <c r="T1313">
        <v>73</v>
      </c>
    </row>
    <row r="1314" spans="1:20" x14ac:dyDescent="0.25">
      <c r="A1314" t="s">
        <v>2506</v>
      </c>
      <c r="B1314" t="s">
        <v>396</v>
      </c>
      <c r="C1314" t="s">
        <v>586</v>
      </c>
      <c r="D1314" t="s">
        <v>608</v>
      </c>
      <c r="E1314" t="s">
        <v>1032</v>
      </c>
      <c r="F1314">
        <v>1.9873334733966641</v>
      </c>
      <c r="G1314">
        <v>97.202040387753641</v>
      </c>
      <c r="H1314" t="s">
        <v>1041</v>
      </c>
      <c r="I1314" t="s">
        <v>1034</v>
      </c>
      <c r="J1314">
        <v>3</v>
      </c>
      <c r="K1314" t="s">
        <v>956</v>
      </c>
      <c r="L1314">
        <v>315000</v>
      </c>
      <c r="M1314">
        <v>3</v>
      </c>
      <c r="N1314">
        <v>97.202040387753641</v>
      </c>
      <c r="O1314" t="s">
        <v>592</v>
      </c>
      <c r="P1314" t="s">
        <v>621</v>
      </c>
      <c r="Q1314" t="s">
        <v>586</v>
      </c>
      <c r="R1314" t="s">
        <v>712</v>
      </c>
      <c r="S1314" t="s">
        <v>712</v>
      </c>
      <c r="T1314">
        <v>58</v>
      </c>
    </row>
    <row r="1315" spans="1:20" x14ac:dyDescent="0.25">
      <c r="A1315" t="s">
        <v>2507</v>
      </c>
      <c r="B1315" t="s">
        <v>396</v>
      </c>
      <c r="C1315" t="s">
        <v>607</v>
      </c>
      <c r="D1315" t="s">
        <v>608</v>
      </c>
      <c r="E1315" t="s">
        <v>1032</v>
      </c>
      <c r="F1315">
        <v>8.0486868347176624E-2</v>
      </c>
      <c r="G1315">
        <v>57.045835616438346</v>
      </c>
      <c r="H1315" t="s">
        <v>610</v>
      </c>
      <c r="I1315" t="s">
        <v>820</v>
      </c>
      <c r="J1315">
        <v>4</v>
      </c>
      <c r="K1315" t="s">
        <v>950</v>
      </c>
      <c r="L1315">
        <v>305000</v>
      </c>
      <c r="M1315">
        <v>2</v>
      </c>
      <c r="N1315">
        <v>57.045835616438346</v>
      </c>
      <c r="O1315" t="s">
        <v>592</v>
      </c>
      <c r="P1315" t="s">
        <v>621</v>
      </c>
      <c r="Q1315" t="s">
        <v>586</v>
      </c>
      <c r="R1315" t="s">
        <v>712</v>
      </c>
      <c r="S1315" t="s">
        <v>712</v>
      </c>
      <c r="T1315">
        <v>95</v>
      </c>
    </row>
    <row r="1316" spans="1:20" x14ac:dyDescent="0.25">
      <c r="A1316" t="s">
        <v>2508</v>
      </c>
      <c r="B1316" t="s">
        <v>396</v>
      </c>
      <c r="C1316" t="s">
        <v>607</v>
      </c>
      <c r="D1316" t="s">
        <v>608</v>
      </c>
      <c r="E1316" t="s">
        <v>1032</v>
      </c>
      <c r="F1316">
        <v>1.0432261761061727</v>
      </c>
      <c r="G1316">
        <v>59.91265753424657</v>
      </c>
      <c r="H1316" t="s">
        <v>610</v>
      </c>
      <c r="I1316" t="s">
        <v>820</v>
      </c>
      <c r="J1316">
        <v>4</v>
      </c>
      <c r="K1316" t="s">
        <v>612</v>
      </c>
      <c r="L1316">
        <v>310000</v>
      </c>
      <c r="M1316">
        <v>2.15</v>
      </c>
      <c r="N1316">
        <v>59.91265753424657</v>
      </c>
      <c r="O1316" t="s">
        <v>592</v>
      </c>
      <c r="P1316" t="s">
        <v>621</v>
      </c>
      <c r="Q1316" t="s">
        <v>586</v>
      </c>
      <c r="R1316" t="s">
        <v>712</v>
      </c>
      <c r="S1316" t="s">
        <v>712</v>
      </c>
      <c r="T1316">
        <v>90</v>
      </c>
    </row>
    <row r="1317" spans="1:20" x14ac:dyDescent="0.25">
      <c r="A1317" t="s">
        <v>2509</v>
      </c>
      <c r="B1317" t="s">
        <v>396</v>
      </c>
      <c r="C1317" t="s">
        <v>607</v>
      </c>
      <c r="D1317" t="s">
        <v>608</v>
      </c>
      <c r="E1317" t="s">
        <v>1032</v>
      </c>
      <c r="F1317">
        <v>1.9685694646969794</v>
      </c>
      <c r="G1317">
        <v>62.432164383561627</v>
      </c>
      <c r="H1317" t="s">
        <v>610</v>
      </c>
      <c r="I1317" t="s">
        <v>820</v>
      </c>
      <c r="J1317">
        <v>4</v>
      </c>
      <c r="K1317" t="s">
        <v>956</v>
      </c>
      <c r="L1317">
        <v>315000</v>
      </c>
      <c r="M1317">
        <v>2.3000000000000003</v>
      </c>
      <c r="N1317">
        <v>62.432164383561627</v>
      </c>
      <c r="O1317" t="s">
        <v>592</v>
      </c>
      <c r="P1317" t="s">
        <v>621</v>
      </c>
      <c r="Q1317" t="s">
        <v>586</v>
      </c>
      <c r="R1317" t="s">
        <v>712</v>
      </c>
      <c r="S1317" t="s">
        <v>712</v>
      </c>
      <c r="T1317">
        <v>80</v>
      </c>
    </row>
    <row r="1318" spans="1:20" x14ac:dyDescent="0.25">
      <c r="A1318" t="s">
        <v>2510</v>
      </c>
      <c r="B1318" t="s">
        <v>396</v>
      </c>
      <c r="C1318" t="s">
        <v>607</v>
      </c>
      <c r="D1318" t="s">
        <v>608</v>
      </c>
      <c r="E1318" t="s">
        <v>1032</v>
      </c>
      <c r="F1318">
        <v>2.9033359910256062</v>
      </c>
      <c r="G1318">
        <v>69.865156164383563</v>
      </c>
      <c r="H1318" t="s">
        <v>610</v>
      </c>
      <c r="I1318" t="s">
        <v>820</v>
      </c>
      <c r="J1318">
        <v>3</v>
      </c>
      <c r="K1318" t="s">
        <v>1334</v>
      </c>
      <c r="L1318">
        <v>325000</v>
      </c>
      <c r="M1318">
        <v>2.5</v>
      </c>
      <c r="N1318">
        <v>69.865156164383563</v>
      </c>
      <c r="O1318" t="s">
        <v>592</v>
      </c>
      <c r="P1318" t="s">
        <v>621</v>
      </c>
      <c r="Q1318" t="s">
        <v>586</v>
      </c>
      <c r="R1318" t="s">
        <v>712</v>
      </c>
      <c r="S1318" t="s">
        <v>712</v>
      </c>
      <c r="T1318">
        <v>58</v>
      </c>
    </row>
    <row r="1319" spans="1:20" x14ac:dyDescent="0.25">
      <c r="A1319" t="s">
        <v>2511</v>
      </c>
      <c r="B1319" t="s">
        <v>397</v>
      </c>
      <c r="C1319" t="s">
        <v>586</v>
      </c>
      <c r="D1319" t="s">
        <v>623</v>
      </c>
      <c r="E1319" t="s">
        <v>2007</v>
      </c>
      <c r="F1319">
        <v>0.40919171570069984</v>
      </c>
      <c r="G1319">
        <v>32.350371401678736</v>
      </c>
      <c r="H1319" t="s">
        <v>2512</v>
      </c>
      <c r="I1319" t="s">
        <v>1202</v>
      </c>
      <c r="J1319">
        <v>3</v>
      </c>
      <c r="K1319" t="s">
        <v>2513</v>
      </c>
      <c r="L1319">
        <v>225000</v>
      </c>
      <c r="M1319">
        <v>2.15</v>
      </c>
      <c r="N1319">
        <v>32.350371401678736</v>
      </c>
      <c r="O1319" t="s">
        <v>592</v>
      </c>
      <c r="P1319" t="s">
        <v>745</v>
      </c>
      <c r="Q1319" t="s">
        <v>586</v>
      </c>
      <c r="R1319" t="s">
        <v>712</v>
      </c>
      <c r="S1319" t="s">
        <v>712</v>
      </c>
      <c r="T1319">
        <v>97</v>
      </c>
    </row>
    <row r="1320" spans="1:20" x14ac:dyDescent="0.25">
      <c r="A1320" t="s">
        <v>2514</v>
      </c>
      <c r="B1320" t="s">
        <v>397</v>
      </c>
      <c r="C1320" t="s">
        <v>586</v>
      </c>
      <c r="D1320" t="s">
        <v>623</v>
      </c>
      <c r="E1320" t="s">
        <v>2007</v>
      </c>
      <c r="F1320">
        <v>1.3773500595737127</v>
      </c>
      <c r="G1320">
        <v>38.724366394051856</v>
      </c>
      <c r="H1320" t="s">
        <v>2512</v>
      </c>
      <c r="I1320" t="s">
        <v>1202</v>
      </c>
      <c r="J1320">
        <v>3</v>
      </c>
      <c r="K1320" t="s">
        <v>2515</v>
      </c>
      <c r="L1320">
        <v>235000</v>
      </c>
      <c r="M1320">
        <v>2.35</v>
      </c>
      <c r="N1320">
        <v>38.724366394051856</v>
      </c>
      <c r="O1320" t="s">
        <v>592</v>
      </c>
      <c r="P1320" t="s">
        <v>745</v>
      </c>
      <c r="Q1320" t="s">
        <v>586</v>
      </c>
      <c r="R1320" t="s">
        <v>712</v>
      </c>
      <c r="S1320" t="s">
        <v>712</v>
      </c>
      <c r="T1320">
        <v>87</v>
      </c>
    </row>
    <row r="1321" spans="1:20" x14ac:dyDescent="0.25">
      <c r="A1321" t="s">
        <v>2516</v>
      </c>
      <c r="B1321" t="s">
        <v>397</v>
      </c>
      <c r="C1321" t="s">
        <v>586</v>
      </c>
      <c r="D1321" t="s">
        <v>623</v>
      </c>
      <c r="E1321" t="s">
        <v>2007</v>
      </c>
      <c r="F1321">
        <v>2.3174210477296846</v>
      </c>
      <c r="G1321">
        <v>40.230513145548926</v>
      </c>
      <c r="H1321" t="s">
        <v>2512</v>
      </c>
      <c r="I1321" t="s">
        <v>1202</v>
      </c>
      <c r="J1321">
        <v>3</v>
      </c>
      <c r="K1321" t="s">
        <v>2517</v>
      </c>
      <c r="L1321">
        <v>240000</v>
      </c>
      <c r="M1321">
        <v>2.5</v>
      </c>
      <c r="N1321">
        <v>40.230513145548926</v>
      </c>
      <c r="O1321" t="s">
        <v>592</v>
      </c>
      <c r="P1321" t="s">
        <v>745</v>
      </c>
      <c r="Q1321" t="s">
        <v>586</v>
      </c>
      <c r="R1321" t="s">
        <v>712</v>
      </c>
      <c r="S1321" t="s">
        <v>712</v>
      </c>
      <c r="T1321">
        <v>80</v>
      </c>
    </row>
    <row r="1322" spans="1:20" x14ac:dyDescent="0.25">
      <c r="A1322" t="s">
        <v>2518</v>
      </c>
      <c r="B1322" t="s">
        <v>398</v>
      </c>
      <c r="C1322" t="s">
        <v>607</v>
      </c>
      <c r="D1322" t="s">
        <v>608</v>
      </c>
      <c r="E1322" t="s">
        <v>609</v>
      </c>
      <c r="F1322">
        <v>8.0458160558394484E-2</v>
      </c>
      <c r="G1322">
        <v>60.343589041095889</v>
      </c>
      <c r="H1322" t="s">
        <v>1097</v>
      </c>
      <c r="I1322" t="s">
        <v>885</v>
      </c>
      <c r="J1322">
        <v>4</v>
      </c>
      <c r="K1322" t="s">
        <v>950</v>
      </c>
      <c r="L1322">
        <v>155000</v>
      </c>
      <c r="M1322">
        <v>2</v>
      </c>
      <c r="N1322">
        <v>60.343589041095889</v>
      </c>
      <c r="O1322" t="s">
        <v>592</v>
      </c>
      <c r="P1322" t="s">
        <v>613</v>
      </c>
      <c r="Q1322" t="s">
        <v>586</v>
      </c>
      <c r="R1322">
        <v>30000</v>
      </c>
      <c r="S1322" t="s">
        <v>594</v>
      </c>
      <c r="T1322">
        <v>98</v>
      </c>
    </row>
    <row r="1323" spans="1:20" x14ac:dyDescent="0.25">
      <c r="A1323" t="s">
        <v>2519</v>
      </c>
      <c r="B1323" t="s">
        <v>398</v>
      </c>
      <c r="C1323" t="s">
        <v>607</v>
      </c>
      <c r="D1323" t="s">
        <v>608</v>
      </c>
      <c r="E1323" t="s">
        <v>609</v>
      </c>
      <c r="F1323">
        <v>1.0408390808703187</v>
      </c>
      <c r="G1323">
        <v>67.850438356164403</v>
      </c>
      <c r="H1323" t="s">
        <v>1097</v>
      </c>
      <c r="I1323" t="s">
        <v>885</v>
      </c>
      <c r="J1323">
        <v>4</v>
      </c>
      <c r="K1323" t="s">
        <v>612</v>
      </c>
      <c r="L1323">
        <v>155000</v>
      </c>
      <c r="M1323">
        <v>2.2000000000000002</v>
      </c>
      <c r="N1323">
        <v>67.850438356164403</v>
      </c>
      <c r="O1323" t="s">
        <v>592</v>
      </c>
      <c r="P1323" t="s">
        <v>613</v>
      </c>
      <c r="Q1323" t="s">
        <v>586</v>
      </c>
      <c r="R1323" t="s">
        <v>712</v>
      </c>
      <c r="S1323" t="s">
        <v>594</v>
      </c>
      <c r="T1323">
        <v>88</v>
      </c>
    </row>
    <row r="1324" spans="1:20" x14ac:dyDescent="0.25">
      <c r="A1324" t="s">
        <v>2520</v>
      </c>
      <c r="B1324" t="s">
        <v>398</v>
      </c>
      <c r="C1324" t="s">
        <v>607</v>
      </c>
      <c r="D1324" t="s">
        <v>608</v>
      </c>
      <c r="E1324" t="s">
        <v>609</v>
      </c>
      <c r="F1324">
        <v>1.9637386914755652</v>
      </c>
      <c r="G1324">
        <v>75.00682191780821</v>
      </c>
      <c r="H1324" t="s">
        <v>1097</v>
      </c>
      <c r="I1324" t="s">
        <v>885</v>
      </c>
      <c r="J1324">
        <v>4</v>
      </c>
      <c r="K1324" t="s">
        <v>956</v>
      </c>
      <c r="L1324">
        <v>160000</v>
      </c>
      <c r="M1324">
        <v>2.4000000000000004</v>
      </c>
      <c r="N1324">
        <v>75.00682191780821</v>
      </c>
      <c r="O1324" t="s">
        <v>592</v>
      </c>
      <c r="P1324" t="s">
        <v>613</v>
      </c>
      <c r="Q1324" t="s">
        <v>586</v>
      </c>
      <c r="R1324" t="s">
        <v>712</v>
      </c>
      <c r="S1324" t="s">
        <v>594</v>
      </c>
      <c r="T1324">
        <v>76</v>
      </c>
    </row>
    <row r="1325" spans="1:20" x14ac:dyDescent="0.25">
      <c r="A1325" t="s">
        <v>2521</v>
      </c>
      <c r="B1325" t="s">
        <v>399</v>
      </c>
      <c r="C1325" t="s">
        <v>586</v>
      </c>
      <c r="D1325" t="s">
        <v>623</v>
      </c>
      <c r="E1325" t="s">
        <v>624</v>
      </c>
      <c r="F1325">
        <v>0.32912548247789031</v>
      </c>
      <c r="G1325">
        <v>58.875541512634832</v>
      </c>
      <c r="H1325" t="s">
        <v>589</v>
      </c>
      <c r="I1325" t="s">
        <v>1202</v>
      </c>
      <c r="J1325">
        <v>3</v>
      </c>
      <c r="K1325" t="s">
        <v>710</v>
      </c>
      <c r="L1325">
        <v>340000</v>
      </c>
      <c r="M1325">
        <v>1.8</v>
      </c>
      <c r="N1325">
        <v>58.875541512634832</v>
      </c>
      <c r="O1325" t="s">
        <v>592</v>
      </c>
      <c r="P1325" t="s">
        <v>745</v>
      </c>
      <c r="Q1325" t="s">
        <v>586</v>
      </c>
      <c r="R1325" t="s">
        <v>712</v>
      </c>
      <c r="S1325" t="s">
        <v>712</v>
      </c>
      <c r="T1325">
        <v>97</v>
      </c>
    </row>
    <row r="1326" spans="1:20" x14ac:dyDescent="0.25">
      <c r="A1326" t="s">
        <v>2522</v>
      </c>
      <c r="B1326" t="s">
        <v>399</v>
      </c>
      <c r="C1326" t="s">
        <v>586</v>
      </c>
      <c r="D1326" t="s">
        <v>623</v>
      </c>
      <c r="E1326" t="s">
        <v>624</v>
      </c>
      <c r="F1326">
        <v>1.2961561022030101</v>
      </c>
      <c r="G1326">
        <v>64.031517072070642</v>
      </c>
      <c r="H1326" t="s">
        <v>589</v>
      </c>
      <c r="I1326" t="s">
        <v>1202</v>
      </c>
      <c r="J1326">
        <v>3</v>
      </c>
      <c r="K1326" t="s">
        <v>758</v>
      </c>
      <c r="L1326">
        <v>345000</v>
      </c>
      <c r="M1326">
        <v>2</v>
      </c>
      <c r="N1326">
        <v>64.031517072070642</v>
      </c>
      <c r="O1326" t="s">
        <v>592</v>
      </c>
      <c r="P1326" t="s">
        <v>745</v>
      </c>
      <c r="Q1326" t="s">
        <v>586</v>
      </c>
      <c r="R1326" t="s">
        <v>712</v>
      </c>
      <c r="S1326" t="s">
        <v>712</v>
      </c>
      <c r="T1326">
        <v>87</v>
      </c>
    </row>
    <row r="1327" spans="1:20" x14ac:dyDescent="0.25">
      <c r="A1327" t="s">
        <v>2523</v>
      </c>
      <c r="B1327" t="s">
        <v>399</v>
      </c>
      <c r="C1327" t="s">
        <v>586</v>
      </c>
      <c r="D1327" t="s">
        <v>623</v>
      </c>
      <c r="E1327" t="s">
        <v>624</v>
      </c>
      <c r="F1327">
        <v>2.2346722387114202</v>
      </c>
      <c r="G1327">
        <v>63.890517780427423</v>
      </c>
      <c r="H1327" t="s">
        <v>589</v>
      </c>
      <c r="I1327" t="s">
        <v>1202</v>
      </c>
      <c r="J1327">
        <v>3</v>
      </c>
      <c r="K1327" t="s">
        <v>972</v>
      </c>
      <c r="L1327">
        <v>355000</v>
      </c>
      <c r="M1327">
        <v>2.15</v>
      </c>
      <c r="N1327">
        <v>63.890517780427423</v>
      </c>
      <c r="O1327" t="s">
        <v>592</v>
      </c>
      <c r="P1327" t="s">
        <v>745</v>
      </c>
      <c r="Q1327" t="s">
        <v>586</v>
      </c>
      <c r="R1327" t="s">
        <v>712</v>
      </c>
      <c r="S1327" t="s">
        <v>712</v>
      </c>
      <c r="T1327">
        <v>77</v>
      </c>
    </row>
    <row r="1328" spans="1:20" x14ac:dyDescent="0.25">
      <c r="A1328" t="s">
        <v>2524</v>
      </c>
      <c r="B1328" t="s">
        <v>399</v>
      </c>
      <c r="C1328" t="s">
        <v>586</v>
      </c>
      <c r="D1328" t="s">
        <v>623</v>
      </c>
      <c r="E1328" t="s">
        <v>624</v>
      </c>
      <c r="F1328">
        <v>3.1461535596491199</v>
      </c>
      <c r="G1328">
        <v>64.165626363886147</v>
      </c>
      <c r="H1328" t="s">
        <v>589</v>
      </c>
      <c r="I1328" t="s">
        <v>1202</v>
      </c>
      <c r="J1328">
        <v>3</v>
      </c>
      <c r="K1328" t="s">
        <v>938</v>
      </c>
      <c r="L1328">
        <v>375000</v>
      </c>
      <c r="M1328">
        <v>2.3000000000000003</v>
      </c>
      <c r="N1328">
        <v>64.165626363886147</v>
      </c>
      <c r="O1328" t="s">
        <v>592</v>
      </c>
      <c r="P1328" t="s">
        <v>745</v>
      </c>
      <c r="Q1328" t="s">
        <v>586</v>
      </c>
      <c r="R1328">
        <v>50000</v>
      </c>
      <c r="S1328" t="s">
        <v>712</v>
      </c>
      <c r="T1328">
        <v>68</v>
      </c>
    </row>
    <row r="1329" spans="1:20" x14ac:dyDescent="0.25">
      <c r="A1329" t="s">
        <v>2525</v>
      </c>
      <c r="B1329" t="s">
        <v>399</v>
      </c>
      <c r="C1329" t="s">
        <v>586</v>
      </c>
      <c r="D1329" t="s">
        <v>623</v>
      </c>
      <c r="E1329" t="s">
        <v>624</v>
      </c>
      <c r="F1329">
        <v>4.0315134907023413</v>
      </c>
      <c r="G1329">
        <v>66.329839687986009</v>
      </c>
      <c r="H1329" t="s">
        <v>589</v>
      </c>
      <c r="I1329" t="s">
        <v>1202</v>
      </c>
      <c r="J1329">
        <v>3</v>
      </c>
      <c r="K1329" t="s">
        <v>1085</v>
      </c>
      <c r="L1329">
        <v>380000</v>
      </c>
      <c r="M1329">
        <v>2.4500000000000002</v>
      </c>
      <c r="N1329">
        <v>66.329839687986009</v>
      </c>
      <c r="O1329" t="s">
        <v>592</v>
      </c>
      <c r="P1329" t="s">
        <v>745</v>
      </c>
      <c r="Q1329" t="s">
        <v>586</v>
      </c>
      <c r="R1329" t="s">
        <v>712</v>
      </c>
      <c r="S1329" t="s">
        <v>712</v>
      </c>
      <c r="T1329">
        <v>61</v>
      </c>
    </row>
    <row r="1330" spans="1:20" x14ac:dyDescent="0.25">
      <c r="A1330" t="s">
        <v>2526</v>
      </c>
      <c r="B1330" t="s">
        <v>59</v>
      </c>
      <c r="C1330" t="s">
        <v>586</v>
      </c>
      <c r="D1330" t="s">
        <v>805</v>
      </c>
      <c r="E1330" t="s">
        <v>819</v>
      </c>
      <c r="F1330">
        <v>1.786247495945551</v>
      </c>
      <c r="G1330">
        <v>-1.5594721364631026</v>
      </c>
      <c r="H1330" t="s">
        <v>676</v>
      </c>
      <c r="I1330" t="s">
        <v>820</v>
      </c>
      <c r="J1330">
        <v>5</v>
      </c>
      <c r="K1330" t="s">
        <v>664</v>
      </c>
      <c r="L1330">
        <v>315000</v>
      </c>
      <c r="M1330">
        <v>1.48</v>
      </c>
      <c r="N1330">
        <v>-1.5594721364631026</v>
      </c>
      <c r="O1330" t="s">
        <v>592</v>
      </c>
      <c r="P1330" t="s">
        <v>711</v>
      </c>
      <c r="Q1330" t="s">
        <v>586</v>
      </c>
      <c r="R1330" t="s">
        <v>712</v>
      </c>
      <c r="S1330" t="s">
        <v>712</v>
      </c>
      <c r="T1330">
        <v>86</v>
      </c>
    </row>
    <row r="1331" spans="1:20" x14ac:dyDescent="0.25">
      <c r="A1331" t="s">
        <v>2527</v>
      </c>
      <c r="B1331" t="s">
        <v>59</v>
      </c>
      <c r="C1331" t="s">
        <v>586</v>
      </c>
      <c r="D1331" t="s">
        <v>805</v>
      </c>
      <c r="E1331" t="s">
        <v>819</v>
      </c>
      <c r="F1331">
        <v>3.5359366683999935</v>
      </c>
      <c r="G1331">
        <v>0.55903295550225884</v>
      </c>
      <c r="H1331" t="s">
        <v>676</v>
      </c>
      <c r="I1331" t="s">
        <v>820</v>
      </c>
      <c r="J1331">
        <v>5</v>
      </c>
      <c r="K1331" t="s">
        <v>704</v>
      </c>
      <c r="L1331">
        <v>315000</v>
      </c>
      <c r="M1331">
        <v>1.8</v>
      </c>
      <c r="N1331">
        <v>0.55903295550225884</v>
      </c>
      <c r="O1331" t="s">
        <v>592</v>
      </c>
      <c r="P1331" t="s">
        <v>711</v>
      </c>
      <c r="Q1331" t="s">
        <v>586</v>
      </c>
      <c r="R1331" t="s">
        <v>712</v>
      </c>
      <c r="S1331" t="s">
        <v>712</v>
      </c>
      <c r="T1331">
        <v>74</v>
      </c>
    </row>
    <row r="1332" spans="1:20" x14ac:dyDescent="0.25">
      <c r="A1332" t="s">
        <v>2528</v>
      </c>
      <c r="B1332" t="s">
        <v>59</v>
      </c>
      <c r="C1332" t="s">
        <v>586</v>
      </c>
      <c r="D1332" t="s">
        <v>805</v>
      </c>
      <c r="E1332" t="s">
        <v>819</v>
      </c>
      <c r="F1332">
        <v>4.3569776710512143</v>
      </c>
      <c r="G1332">
        <v>3.9514537031275054</v>
      </c>
      <c r="H1332" t="s">
        <v>676</v>
      </c>
      <c r="I1332" t="s">
        <v>820</v>
      </c>
      <c r="J1332">
        <v>5</v>
      </c>
      <c r="K1332" t="s">
        <v>678</v>
      </c>
      <c r="L1332">
        <v>315000</v>
      </c>
      <c r="M1332">
        <v>1.95</v>
      </c>
      <c r="N1332">
        <v>3.9514537031275054</v>
      </c>
      <c r="O1332" t="s">
        <v>592</v>
      </c>
      <c r="P1332" t="s">
        <v>711</v>
      </c>
      <c r="Q1332" t="s">
        <v>586</v>
      </c>
      <c r="R1332" t="s">
        <v>712</v>
      </c>
      <c r="S1332" t="s">
        <v>712</v>
      </c>
      <c r="T1332">
        <v>70</v>
      </c>
    </row>
    <row r="1333" spans="1:20" x14ac:dyDescent="0.25">
      <c r="A1333" t="s">
        <v>2529</v>
      </c>
      <c r="B1333" t="s">
        <v>103</v>
      </c>
      <c r="C1333" t="s">
        <v>586</v>
      </c>
      <c r="D1333" t="s">
        <v>741</v>
      </c>
      <c r="E1333" t="s">
        <v>1017</v>
      </c>
      <c r="F1333">
        <v>0.16366289103992185</v>
      </c>
      <c r="G1333">
        <v>9.7406580740415638</v>
      </c>
      <c r="H1333" t="s">
        <v>1018</v>
      </c>
      <c r="I1333" t="s">
        <v>1019</v>
      </c>
      <c r="J1333">
        <v>5</v>
      </c>
      <c r="K1333" t="s">
        <v>749</v>
      </c>
      <c r="L1333">
        <v>2860000</v>
      </c>
      <c r="M1333">
        <v>1.4000000000000001</v>
      </c>
      <c r="N1333">
        <v>9.7406580740415638</v>
      </c>
      <c r="O1333" t="s">
        <v>592</v>
      </c>
      <c r="P1333" t="s">
        <v>627</v>
      </c>
      <c r="Q1333" t="s">
        <v>586</v>
      </c>
      <c r="R1333">
        <v>20000</v>
      </c>
      <c r="S1333" t="s">
        <v>652</v>
      </c>
      <c r="T1333">
        <v>97</v>
      </c>
    </row>
    <row r="1334" spans="1:20" x14ac:dyDescent="0.25">
      <c r="A1334" t="s">
        <v>2530</v>
      </c>
      <c r="B1334" t="s">
        <v>103</v>
      </c>
      <c r="C1334" t="s">
        <v>586</v>
      </c>
      <c r="D1334" t="s">
        <v>741</v>
      </c>
      <c r="E1334" t="s">
        <v>1017</v>
      </c>
      <c r="F1334">
        <v>2.9084260482511692</v>
      </c>
      <c r="G1334">
        <v>6.0789348042612934</v>
      </c>
      <c r="H1334" t="s">
        <v>1018</v>
      </c>
      <c r="I1334" t="s">
        <v>1019</v>
      </c>
      <c r="J1334">
        <v>5</v>
      </c>
      <c r="K1334" t="s">
        <v>727</v>
      </c>
      <c r="L1334">
        <v>3335000</v>
      </c>
      <c r="M1334">
        <v>1.84</v>
      </c>
      <c r="N1334">
        <v>6.0789348042612934</v>
      </c>
      <c r="O1334" t="s">
        <v>592</v>
      </c>
      <c r="P1334" t="s">
        <v>627</v>
      </c>
      <c r="Q1334" t="s">
        <v>586</v>
      </c>
      <c r="R1334">
        <v>150000</v>
      </c>
      <c r="S1334" t="s">
        <v>652</v>
      </c>
      <c r="T1334">
        <v>74</v>
      </c>
    </row>
    <row r="1335" spans="1:20" x14ac:dyDescent="0.25">
      <c r="A1335" t="s">
        <v>2531</v>
      </c>
      <c r="B1335" t="s">
        <v>103</v>
      </c>
      <c r="C1335" t="s">
        <v>586</v>
      </c>
      <c r="D1335" t="s">
        <v>741</v>
      </c>
      <c r="E1335" t="s">
        <v>1017</v>
      </c>
      <c r="F1335">
        <v>3.7471930431696641</v>
      </c>
      <c r="G1335">
        <v>8.6398640351847522</v>
      </c>
      <c r="H1335" t="s">
        <v>1018</v>
      </c>
      <c r="I1335" t="s">
        <v>1019</v>
      </c>
      <c r="J1335">
        <v>5</v>
      </c>
      <c r="K1335" t="s">
        <v>629</v>
      </c>
      <c r="L1335">
        <v>3510000</v>
      </c>
      <c r="M1335">
        <v>2</v>
      </c>
      <c r="N1335">
        <v>8.6398640351847522</v>
      </c>
      <c r="O1335" t="s">
        <v>592</v>
      </c>
      <c r="P1335" t="s">
        <v>627</v>
      </c>
      <c r="Q1335" t="s">
        <v>586</v>
      </c>
      <c r="R1335" t="s">
        <v>712</v>
      </c>
      <c r="S1335" t="s">
        <v>652</v>
      </c>
      <c r="T1335">
        <v>66</v>
      </c>
    </row>
    <row r="1336" spans="1:20" x14ac:dyDescent="0.25">
      <c r="A1336" t="s">
        <v>2532</v>
      </c>
      <c r="B1336" t="s">
        <v>400</v>
      </c>
      <c r="C1336" t="s">
        <v>607</v>
      </c>
      <c r="D1336" t="s">
        <v>608</v>
      </c>
      <c r="E1336" t="s">
        <v>2533</v>
      </c>
      <c r="F1336">
        <v>8.0482408634252281E-2</v>
      </c>
      <c r="G1336">
        <v>34.528104146302965</v>
      </c>
      <c r="H1336" t="s">
        <v>784</v>
      </c>
      <c r="I1336" t="s">
        <v>611</v>
      </c>
      <c r="J1336">
        <v>2</v>
      </c>
      <c r="K1336" t="s">
        <v>950</v>
      </c>
      <c r="L1336">
        <v>225000</v>
      </c>
      <c r="M1336">
        <v>1.5</v>
      </c>
      <c r="N1336">
        <v>34.528104146302965</v>
      </c>
      <c r="O1336" t="s">
        <v>592</v>
      </c>
      <c r="P1336" t="s">
        <v>613</v>
      </c>
      <c r="Q1336" t="s">
        <v>586</v>
      </c>
      <c r="R1336" t="s">
        <v>712</v>
      </c>
      <c r="S1336" t="s">
        <v>712</v>
      </c>
      <c r="T1336">
        <v>89</v>
      </c>
    </row>
    <row r="1337" spans="1:20" x14ac:dyDescent="0.25">
      <c r="A1337" t="s">
        <v>2534</v>
      </c>
      <c r="B1337" t="s">
        <v>400</v>
      </c>
      <c r="C1337" t="s">
        <v>607</v>
      </c>
      <c r="D1337" t="s">
        <v>608</v>
      </c>
      <c r="E1337" t="s">
        <v>2533</v>
      </c>
      <c r="F1337">
        <v>1.0496754747856383</v>
      </c>
      <c r="G1337">
        <v>34.758448896143989</v>
      </c>
      <c r="H1337" t="s">
        <v>784</v>
      </c>
      <c r="I1337" t="s">
        <v>611</v>
      </c>
      <c r="J1337">
        <v>3</v>
      </c>
      <c r="K1337" t="s">
        <v>612</v>
      </c>
      <c r="L1337">
        <v>235000</v>
      </c>
      <c r="M1337">
        <v>1.6500000000000001</v>
      </c>
      <c r="N1337">
        <v>34.758448896143989</v>
      </c>
      <c r="O1337" t="s">
        <v>592</v>
      </c>
      <c r="P1337" t="s">
        <v>613</v>
      </c>
      <c r="Q1337" t="s">
        <v>586</v>
      </c>
      <c r="R1337" t="s">
        <v>712</v>
      </c>
      <c r="S1337" t="s">
        <v>712</v>
      </c>
      <c r="T1337">
        <v>83</v>
      </c>
    </row>
    <row r="1338" spans="1:20" x14ac:dyDescent="0.25">
      <c r="A1338" t="s">
        <v>2535</v>
      </c>
      <c r="B1338" t="s">
        <v>400</v>
      </c>
      <c r="C1338" t="s">
        <v>607</v>
      </c>
      <c r="D1338" t="s">
        <v>608</v>
      </c>
      <c r="E1338" t="s">
        <v>2533</v>
      </c>
      <c r="F1338">
        <v>1.9893258768482567</v>
      </c>
      <c r="G1338">
        <v>39.678628978468744</v>
      </c>
      <c r="H1338" t="s">
        <v>784</v>
      </c>
      <c r="I1338" t="s">
        <v>611</v>
      </c>
      <c r="J1338">
        <v>3</v>
      </c>
      <c r="K1338" t="s">
        <v>956</v>
      </c>
      <c r="L1338">
        <v>245000</v>
      </c>
      <c r="M1338">
        <v>1.85</v>
      </c>
      <c r="N1338">
        <v>39.678628978468744</v>
      </c>
      <c r="O1338" t="s">
        <v>592</v>
      </c>
      <c r="P1338" t="s">
        <v>613</v>
      </c>
      <c r="Q1338" t="s">
        <v>586</v>
      </c>
      <c r="R1338" t="s">
        <v>712</v>
      </c>
      <c r="S1338" t="s">
        <v>712</v>
      </c>
      <c r="T1338">
        <v>72</v>
      </c>
    </row>
    <row r="1339" spans="1:20" x14ac:dyDescent="0.25">
      <c r="A1339" t="s">
        <v>2536</v>
      </c>
      <c r="B1339" t="s">
        <v>400</v>
      </c>
      <c r="C1339" t="s">
        <v>607</v>
      </c>
      <c r="D1339" t="s">
        <v>608</v>
      </c>
      <c r="E1339" t="s">
        <v>2533</v>
      </c>
      <c r="F1339">
        <v>2.9020004754887849</v>
      </c>
      <c r="G1339">
        <v>39.540371464169645</v>
      </c>
      <c r="H1339" t="s">
        <v>784</v>
      </c>
      <c r="I1339" t="s">
        <v>611</v>
      </c>
      <c r="J1339">
        <v>3</v>
      </c>
      <c r="K1339" t="s">
        <v>1334</v>
      </c>
      <c r="L1339">
        <v>240000</v>
      </c>
      <c r="M1339">
        <v>2</v>
      </c>
      <c r="N1339">
        <v>39.540371464169645</v>
      </c>
      <c r="O1339" t="s">
        <v>592</v>
      </c>
      <c r="P1339" t="s">
        <v>613</v>
      </c>
      <c r="Q1339" t="s">
        <v>586</v>
      </c>
      <c r="R1339" t="s">
        <v>712</v>
      </c>
      <c r="S1339" t="s">
        <v>712</v>
      </c>
      <c r="T1339">
        <v>62</v>
      </c>
    </row>
    <row r="1340" spans="1:20" x14ac:dyDescent="0.25">
      <c r="A1340" t="s">
        <v>2537</v>
      </c>
      <c r="B1340" t="s">
        <v>400</v>
      </c>
      <c r="C1340" t="s">
        <v>607</v>
      </c>
      <c r="D1340" t="s">
        <v>608</v>
      </c>
      <c r="E1340" t="s">
        <v>2533</v>
      </c>
      <c r="F1340">
        <v>3.7881484994791119</v>
      </c>
      <c r="G1340">
        <v>37.967542249210155</v>
      </c>
      <c r="H1340" t="s">
        <v>784</v>
      </c>
      <c r="I1340" t="s">
        <v>611</v>
      </c>
      <c r="J1340">
        <v>3</v>
      </c>
      <c r="K1340" t="s">
        <v>1220</v>
      </c>
      <c r="L1340">
        <v>260000</v>
      </c>
      <c r="M1340">
        <v>2.12</v>
      </c>
      <c r="N1340">
        <v>37.967542249210155</v>
      </c>
      <c r="O1340" t="s">
        <v>592</v>
      </c>
      <c r="P1340" t="s">
        <v>613</v>
      </c>
      <c r="Q1340" t="s">
        <v>586</v>
      </c>
      <c r="R1340" t="s">
        <v>712</v>
      </c>
      <c r="S1340" t="s">
        <v>712</v>
      </c>
      <c r="T1340">
        <v>53</v>
      </c>
    </row>
    <row r="1341" spans="1:20" x14ac:dyDescent="0.25">
      <c r="A1341" t="s">
        <v>2538</v>
      </c>
      <c r="B1341" t="s">
        <v>401</v>
      </c>
      <c r="C1341" t="s">
        <v>586</v>
      </c>
      <c r="D1341" t="s">
        <v>805</v>
      </c>
      <c r="E1341" t="s">
        <v>1104</v>
      </c>
      <c r="F1341">
        <v>0.85665114233180828</v>
      </c>
      <c r="G1341">
        <v>1.9269450780589725</v>
      </c>
      <c r="H1341" t="s">
        <v>676</v>
      </c>
      <c r="I1341" t="s">
        <v>1202</v>
      </c>
      <c r="J1341">
        <v>3</v>
      </c>
      <c r="K1341" t="s">
        <v>821</v>
      </c>
      <c r="L1341">
        <v>115000</v>
      </c>
      <c r="M1341">
        <v>1.32</v>
      </c>
      <c r="N1341">
        <v>1.9269450780589725</v>
      </c>
      <c r="O1341" t="s">
        <v>592</v>
      </c>
      <c r="P1341" t="s">
        <v>711</v>
      </c>
      <c r="Q1341" t="s">
        <v>586</v>
      </c>
      <c r="R1341" t="s">
        <v>712</v>
      </c>
      <c r="S1341" t="s">
        <v>712</v>
      </c>
      <c r="T1341">
        <v>91</v>
      </c>
    </row>
    <row r="1342" spans="1:20" x14ac:dyDescent="0.25">
      <c r="A1342" t="s">
        <v>2539</v>
      </c>
      <c r="B1342" t="s">
        <v>401</v>
      </c>
      <c r="C1342" t="s">
        <v>586</v>
      </c>
      <c r="D1342" t="s">
        <v>805</v>
      </c>
      <c r="E1342" t="s">
        <v>1104</v>
      </c>
      <c r="F1342">
        <v>1.8116965849518334</v>
      </c>
      <c r="G1342">
        <v>4.336746426647009</v>
      </c>
      <c r="H1342" t="s">
        <v>676</v>
      </c>
      <c r="I1342" t="s">
        <v>1202</v>
      </c>
      <c r="J1342">
        <v>3</v>
      </c>
      <c r="K1342" t="s">
        <v>664</v>
      </c>
      <c r="L1342">
        <v>115000</v>
      </c>
      <c r="M1342">
        <v>1.5</v>
      </c>
      <c r="N1342">
        <v>4.336746426647009</v>
      </c>
      <c r="O1342" t="s">
        <v>592</v>
      </c>
      <c r="P1342" t="s">
        <v>711</v>
      </c>
      <c r="Q1342" t="s">
        <v>586</v>
      </c>
      <c r="R1342" t="s">
        <v>712</v>
      </c>
      <c r="S1342" t="s">
        <v>712</v>
      </c>
      <c r="T1342">
        <v>81</v>
      </c>
    </row>
    <row r="1343" spans="1:20" x14ac:dyDescent="0.25">
      <c r="A1343" t="s">
        <v>2540</v>
      </c>
      <c r="B1343" t="s">
        <v>401</v>
      </c>
      <c r="C1343" t="s">
        <v>586</v>
      </c>
      <c r="D1343" t="s">
        <v>805</v>
      </c>
      <c r="E1343" t="s">
        <v>1104</v>
      </c>
      <c r="F1343">
        <v>2.7396682028214183</v>
      </c>
      <c r="G1343">
        <v>3.8886787824242264</v>
      </c>
      <c r="H1343" t="s">
        <v>676</v>
      </c>
      <c r="I1343" t="s">
        <v>1202</v>
      </c>
      <c r="J1343">
        <v>3</v>
      </c>
      <c r="K1343" t="s">
        <v>605</v>
      </c>
      <c r="L1343">
        <v>115000</v>
      </c>
      <c r="M1343">
        <v>1.6500000000000001</v>
      </c>
      <c r="N1343">
        <v>3.8886787824242264</v>
      </c>
      <c r="O1343" t="s">
        <v>592</v>
      </c>
      <c r="P1343" t="s">
        <v>711</v>
      </c>
      <c r="Q1343" t="s">
        <v>586</v>
      </c>
      <c r="R1343" t="s">
        <v>712</v>
      </c>
      <c r="S1343" t="s">
        <v>712</v>
      </c>
      <c r="T1343">
        <v>70</v>
      </c>
    </row>
    <row r="1344" spans="1:20" x14ac:dyDescent="0.25">
      <c r="A1344" t="s">
        <v>2541</v>
      </c>
      <c r="B1344" t="s">
        <v>401</v>
      </c>
      <c r="C1344" t="s">
        <v>586</v>
      </c>
      <c r="D1344" t="s">
        <v>805</v>
      </c>
      <c r="E1344" t="s">
        <v>1104</v>
      </c>
      <c r="F1344">
        <v>3.6414378890328423</v>
      </c>
      <c r="G1344">
        <v>9.9564558563988825</v>
      </c>
      <c r="H1344" t="s">
        <v>676</v>
      </c>
      <c r="I1344" t="s">
        <v>1202</v>
      </c>
      <c r="J1344">
        <v>3</v>
      </c>
      <c r="K1344" t="s">
        <v>704</v>
      </c>
      <c r="L1344">
        <v>115000</v>
      </c>
      <c r="M1344">
        <v>1.85</v>
      </c>
      <c r="N1344">
        <v>9.9564558563988825</v>
      </c>
      <c r="O1344" t="s">
        <v>592</v>
      </c>
      <c r="P1344" t="s">
        <v>711</v>
      </c>
      <c r="Q1344" t="s">
        <v>586</v>
      </c>
      <c r="R1344" t="s">
        <v>712</v>
      </c>
      <c r="S1344" t="s">
        <v>712</v>
      </c>
      <c r="T1344">
        <v>58</v>
      </c>
    </row>
    <row r="1345" spans="1:20" x14ac:dyDescent="0.25">
      <c r="A1345" t="s">
        <v>2542</v>
      </c>
      <c r="B1345" t="s">
        <v>401</v>
      </c>
      <c r="C1345" t="s">
        <v>586</v>
      </c>
      <c r="D1345" t="s">
        <v>805</v>
      </c>
      <c r="E1345" t="s">
        <v>1104</v>
      </c>
      <c r="F1345">
        <v>4.5177421963672515</v>
      </c>
      <c r="G1345">
        <v>13.536573328365243</v>
      </c>
      <c r="H1345" t="s">
        <v>676</v>
      </c>
      <c r="I1345" t="s">
        <v>1202</v>
      </c>
      <c r="J1345">
        <v>3</v>
      </c>
      <c r="K1345" t="s">
        <v>678</v>
      </c>
      <c r="L1345">
        <v>115000</v>
      </c>
      <c r="M1345">
        <v>2</v>
      </c>
      <c r="N1345">
        <v>13.536573328365243</v>
      </c>
      <c r="O1345" t="s">
        <v>592</v>
      </c>
      <c r="P1345" t="s">
        <v>711</v>
      </c>
      <c r="Q1345" t="s">
        <v>586</v>
      </c>
      <c r="R1345" t="s">
        <v>712</v>
      </c>
      <c r="S1345" t="s">
        <v>712</v>
      </c>
      <c r="T1345">
        <v>45</v>
      </c>
    </row>
    <row r="1346" spans="1:20" x14ac:dyDescent="0.25">
      <c r="A1346" t="s">
        <v>2543</v>
      </c>
      <c r="B1346" t="s">
        <v>402</v>
      </c>
      <c r="C1346" t="s">
        <v>586</v>
      </c>
      <c r="D1346" t="s">
        <v>608</v>
      </c>
      <c r="E1346" t="s">
        <v>2544</v>
      </c>
      <c r="F1346">
        <v>0.69121242184233811</v>
      </c>
      <c r="G1346">
        <v>27.657975342465747</v>
      </c>
      <c r="H1346" t="s">
        <v>2116</v>
      </c>
      <c r="I1346" t="s">
        <v>661</v>
      </c>
      <c r="J1346">
        <v>3</v>
      </c>
      <c r="K1346" t="s">
        <v>880</v>
      </c>
      <c r="L1346">
        <v>115000</v>
      </c>
      <c r="M1346">
        <v>1.72</v>
      </c>
      <c r="N1346">
        <v>27.657975342465747</v>
      </c>
      <c r="O1346" t="s">
        <v>592</v>
      </c>
      <c r="P1346" t="s">
        <v>621</v>
      </c>
      <c r="Q1346" t="s">
        <v>586</v>
      </c>
      <c r="R1346" t="s">
        <v>712</v>
      </c>
      <c r="S1346" t="s">
        <v>712</v>
      </c>
      <c r="T1346">
        <v>96</v>
      </c>
    </row>
    <row r="1347" spans="1:20" x14ac:dyDescent="0.25">
      <c r="A1347" t="s">
        <v>2545</v>
      </c>
      <c r="B1347" t="s">
        <v>402</v>
      </c>
      <c r="C1347" t="s">
        <v>586</v>
      </c>
      <c r="D1347" t="s">
        <v>608</v>
      </c>
      <c r="E1347" t="s">
        <v>2544</v>
      </c>
      <c r="F1347">
        <v>1.6328971126698775</v>
      </c>
      <c r="G1347">
        <v>29.071109589041111</v>
      </c>
      <c r="H1347" t="s">
        <v>2116</v>
      </c>
      <c r="I1347" t="s">
        <v>661</v>
      </c>
      <c r="J1347">
        <v>4</v>
      </c>
      <c r="K1347" t="s">
        <v>853</v>
      </c>
      <c r="L1347">
        <v>120000</v>
      </c>
      <c r="M1347">
        <v>1.86</v>
      </c>
      <c r="N1347">
        <v>29.071109589041111</v>
      </c>
      <c r="O1347" t="s">
        <v>592</v>
      </c>
      <c r="P1347" t="s">
        <v>621</v>
      </c>
      <c r="Q1347" t="s">
        <v>586</v>
      </c>
      <c r="R1347" t="s">
        <v>712</v>
      </c>
      <c r="S1347" t="s">
        <v>712</v>
      </c>
      <c r="T1347">
        <v>85</v>
      </c>
    </row>
    <row r="1348" spans="1:20" x14ac:dyDescent="0.25">
      <c r="A1348" t="s">
        <v>2546</v>
      </c>
      <c r="B1348" t="s">
        <v>402</v>
      </c>
      <c r="C1348" t="s">
        <v>586</v>
      </c>
      <c r="D1348" t="s">
        <v>608</v>
      </c>
      <c r="E1348" t="s">
        <v>2544</v>
      </c>
      <c r="F1348">
        <v>2.5427957891709059</v>
      </c>
      <c r="G1348">
        <v>32.283465753424643</v>
      </c>
      <c r="H1348" t="s">
        <v>2116</v>
      </c>
      <c r="I1348" t="s">
        <v>661</v>
      </c>
      <c r="J1348">
        <v>4</v>
      </c>
      <c r="K1348" t="s">
        <v>662</v>
      </c>
      <c r="L1348">
        <v>130000</v>
      </c>
      <c r="M1348">
        <v>2.02</v>
      </c>
      <c r="N1348">
        <v>32.283465753424643</v>
      </c>
      <c r="O1348" t="s">
        <v>592</v>
      </c>
      <c r="P1348" t="s">
        <v>621</v>
      </c>
      <c r="Q1348" t="s">
        <v>586</v>
      </c>
      <c r="R1348" t="s">
        <v>712</v>
      </c>
      <c r="S1348" t="s">
        <v>712</v>
      </c>
      <c r="T1348">
        <v>73</v>
      </c>
    </row>
    <row r="1349" spans="1:20" x14ac:dyDescent="0.25">
      <c r="A1349" t="s">
        <v>2547</v>
      </c>
      <c r="B1349" t="s">
        <v>402</v>
      </c>
      <c r="C1349" t="s">
        <v>586</v>
      </c>
      <c r="D1349" t="s">
        <v>608</v>
      </c>
      <c r="E1349" t="s">
        <v>2544</v>
      </c>
      <c r="F1349">
        <v>3.4209748542081515</v>
      </c>
      <c r="G1349">
        <v>36.259753424657546</v>
      </c>
      <c r="H1349" t="s">
        <v>2116</v>
      </c>
      <c r="I1349" t="s">
        <v>661</v>
      </c>
      <c r="J1349">
        <v>4</v>
      </c>
      <c r="K1349" t="s">
        <v>688</v>
      </c>
      <c r="L1349">
        <v>135000</v>
      </c>
      <c r="M1349">
        <v>2.1800000000000002</v>
      </c>
      <c r="N1349">
        <v>36.259753424657546</v>
      </c>
      <c r="O1349" t="s">
        <v>592</v>
      </c>
      <c r="P1349" t="s">
        <v>621</v>
      </c>
      <c r="Q1349" t="s">
        <v>586</v>
      </c>
      <c r="R1349" t="s">
        <v>712</v>
      </c>
      <c r="S1349" t="s">
        <v>712</v>
      </c>
      <c r="T1349">
        <v>62</v>
      </c>
    </row>
    <row r="1350" spans="1:20" x14ac:dyDescent="0.25">
      <c r="A1350" t="s">
        <v>2548</v>
      </c>
      <c r="B1350" t="s">
        <v>117</v>
      </c>
      <c r="C1350" t="s">
        <v>607</v>
      </c>
      <c r="D1350" t="s">
        <v>741</v>
      </c>
      <c r="E1350" t="s">
        <v>1079</v>
      </c>
      <c r="F1350">
        <v>0.16356148791091965</v>
      </c>
      <c r="G1350">
        <v>19.645919943341038</v>
      </c>
      <c r="H1350" t="s">
        <v>767</v>
      </c>
      <c r="I1350" t="s">
        <v>937</v>
      </c>
      <c r="J1350">
        <v>3</v>
      </c>
      <c r="K1350" t="s">
        <v>749</v>
      </c>
      <c r="L1350">
        <v>80000</v>
      </c>
      <c r="M1350">
        <v>1.6500000000000001</v>
      </c>
      <c r="N1350">
        <v>19.645919943341038</v>
      </c>
      <c r="O1350" t="s">
        <v>592</v>
      </c>
      <c r="P1350" t="s">
        <v>745</v>
      </c>
      <c r="Q1350" t="s">
        <v>586</v>
      </c>
      <c r="R1350" t="s">
        <v>712</v>
      </c>
      <c r="S1350" t="s">
        <v>712</v>
      </c>
      <c r="T1350">
        <v>97</v>
      </c>
    </row>
    <row r="1351" spans="1:20" x14ac:dyDescent="0.25">
      <c r="A1351" t="s">
        <v>2549</v>
      </c>
      <c r="B1351" t="s">
        <v>403</v>
      </c>
      <c r="C1351" t="s">
        <v>586</v>
      </c>
      <c r="D1351" t="s">
        <v>900</v>
      </c>
      <c r="E1351" t="s">
        <v>2550</v>
      </c>
      <c r="F1351">
        <v>5.5552590769568574E-3</v>
      </c>
      <c r="G1351">
        <v>33.38453673544597</v>
      </c>
      <c r="H1351" t="s">
        <v>1279</v>
      </c>
      <c r="I1351" t="s">
        <v>611</v>
      </c>
      <c r="J1351">
        <v>3</v>
      </c>
      <c r="K1351" t="s">
        <v>995</v>
      </c>
      <c r="L1351">
        <v>240000</v>
      </c>
      <c r="M1351">
        <v>1.5</v>
      </c>
      <c r="N1351">
        <v>33.38453673544597</v>
      </c>
      <c r="O1351" t="s">
        <v>592</v>
      </c>
      <c r="P1351" t="s">
        <v>593</v>
      </c>
      <c r="Q1351" t="s">
        <v>586</v>
      </c>
      <c r="R1351" t="s">
        <v>712</v>
      </c>
      <c r="S1351" t="s">
        <v>712</v>
      </c>
      <c r="T1351">
        <v>98</v>
      </c>
    </row>
    <row r="1352" spans="1:20" x14ac:dyDescent="0.25">
      <c r="A1352" t="s">
        <v>2551</v>
      </c>
      <c r="B1352" t="s">
        <v>403</v>
      </c>
      <c r="C1352" t="s">
        <v>586</v>
      </c>
      <c r="D1352" t="s">
        <v>900</v>
      </c>
      <c r="E1352" t="s">
        <v>2550</v>
      </c>
      <c r="F1352">
        <v>0.98232082266526688</v>
      </c>
      <c r="G1352">
        <v>32.924709187538625</v>
      </c>
      <c r="H1352" t="s">
        <v>1279</v>
      </c>
      <c r="I1352" t="s">
        <v>611</v>
      </c>
      <c r="J1352">
        <v>3</v>
      </c>
      <c r="K1352" t="s">
        <v>646</v>
      </c>
      <c r="L1352">
        <v>250000</v>
      </c>
      <c r="M1352">
        <v>1.6500000000000001</v>
      </c>
      <c r="N1352">
        <v>32.924709187538625</v>
      </c>
      <c r="O1352" t="s">
        <v>592</v>
      </c>
      <c r="P1352" t="s">
        <v>593</v>
      </c>
      <c r="Q1352" t="s">
        <v>586</v>
      </c>
      <c r="R1352" t="s">
        <v>712</v>
      </c>
      <c r="S1352" t="s">
        <v>712</v>
      </c>
      <c r="T1352">
        <v>87</v>
      </c>
    </row>
    <row r="1353" spans="1:20" x14ac:dyDescent="0.25">
      <c r="A1353" t="s">
        <v>2552</v>
      </c>
      <c r="B1353" t="s">
        <v>403</v>
      </c>
      <c r="C1353" t="s">
        <v>586</v>
      </c>
      <c r="D1353" t="s">
        <v>900</v>
      </c>
      <c r="E1353" t="s">
        <v>2550</v>
      </c>
      <c r="F1353">
        <v>1.9366688768725859</v>
      </c>
      <c r="G1353">
        <v>32.339777157065598</v>
      </c>
      <c r="H1353" t="s">
        <v>1279</v>
      </c>
      <c r="I1353" t="s">
        <v>611</v>
      </c>
      <c r="J1353">
        <v>3</v>
      </c>
      <c r="K1353" t="s">
        <v>729</v>
      </c>
      <c r="L1353">
        <v>260000</v>
      </c>
      <c r="M1353">
        <v>1.8</v>
      </c>
      <c r="N1353">
        <v>32.339777157065598</v>
      </c>
      <c r="O1353" t="s">
        <v>592</v>
      </c>
      <c r="P1353" t="s">
        <v>593</v>
      </c>
      <c r="Q1353" t="s">
        <v>586</v>
      </c>
      <c r="R1353" t="s">
        <v>712</v>
      </c>
      <c r="S1353" t="s">
        <v>712</v>
      </c>
      <c r="T1353">
        <v>77</v>
      </c>
    </row>
    <row r="1354" spans="1:20" x14ac:dyDescent="0.25">
      <c r="A1354" t="s">
        <v>2553</v>
      </c>
      <c r="B1354" t="s">
        <v>403</v>
      </c>
      <c r="C1354" t="s">
        <v>586</v>
      </c>
      <c r="D1354" t="s">
        <v>900</v>
      </c>
      <c r="E1354" t="s">
        <v>2550</v>
      </c>
      <c r="F1354">
        <v>2.8636582527443739</v>
      </c>
      <c r="G1354">
        <v>32.080683120759048</v>
      </c>
      <c r="H1354" t="s">
        <v>1279</v>
      </c>
      <c r="I1354" t="s">
        <v>611</v>
      </c>
      <c r="J1354">
        <v>3</v>
      </c>
      <c r="K1354" t="s">
        <v>817</v>
      </c>
      <c r="L1354">
        <v>270000</v>
      </c>
      <c r="M1354">
        <v>1.95</v>
      </c>
      <c r="N1354">
        <v>32.080683120759048</v>
      </c>
      <c r="O1354" t="s">
        <v>592</v>
      </c>
      <c r="P1354" t="s">
        <v>593</v>
      </c>
      <c r="Q1354" t="s">
        <v>586</v>
      </c>
      <c r="R1354" t="s">
        <v>712</v>
      </c>
      <c r="S1354" t="s">
        <v>712</v>
      </c>
      <c r="T1354">
        <v>62</v>
      </c>
    </row>
    <row r="1355" spans="1:20" x14ac:dyDescent="0.25">
      <c r="A1355" t="s">
        <v>2554</v>
      </c>
      <c r="B1355" t="s">
        <v>403</v>
      </c>
      <c r="C1355" t="s">
        <v>586</v>
      </c>
      <c r="D1355" t="s">
        <v>900</v>
      </c>
      <c r="E1355" t="s">
        <v>2550</v>
      </c>
      <c r="F1355">
        <v>3.7638084370182954</v>
      </c>
      <c r="G1355">
        <v>38.488722793707119</v>
      </c>
      <c r="H1355" t="s">
        <v>1279</v>
      </c>
      <c r="I1355" t="s">
        <v>611</v>
      </c>
      <c r="J1355">
        <v>3</v>
      </c>
      <c r="K1355" t="s">
        <v>620</v>
      </c>
      <c r="L1355">
        <v>280000</v>
      </c>
      <c r="M1355">
        <v>2.15</v>
      </c>
      <c r="N1355">
        <v>38.488722793707119</v>
      </c>
      <c r="O1355" t="s">
        <v>592</v>
      </c>
      <c r="P1355" t="s">
        <v>593</v>
      </c>
      <c r="Q1355" t="s">
        <v>586</v>
      </c>
      <c r="R1355">
        <v>50000</v>
      </c>
      <c r="S1355" t="s">
        <v>712</v>
      </c>
      <c r="T1355">
        <v>49</v>
      </c>
    </row>
    <row r="1356" spans="1:20" x14ac:dyDescent="0.25">
      <c r="A1356" t="s">
        <v>2555</v>
      </c>
      <c r="B1356" t="s">
        <v>161</v>
      </c>
      <c r="C1356" t="s">
        <v>586</v>
      </c>
      <c r="D1356" t="s">
        <v>608</v>
      </c>
      <c r="E1356" t="s">
        <v>789</v>
      </c>
      <c r="F1356">
        <v>1.0776836019194349</v>
      </c>
      <c r="G1356">
        <v>27.972518426812563</v>
      </c>
      <c r="H1356" t="s">
        <v>743</v>
      </c>
      <c r="I1356" t="s">
        <v>721</v>
      </c>
      <c r="J1356">
        <v>3.25</v>
      </c>
      <c r="K1356" t="s">
        <v>987</v>
      </c>
      <c r="L1356">
        <v>1215000</v>
      </c>
      <c r="M1356">
        <v>2.5</v>
      </c>
      <c r="N1356">
        <v>27.972518426812563</v>
      </c>
      <c r="O1356" t="s">
        <v>592</v>
      </c>
      <c r="P1356" t="s">
        <v>975</v>
      </c>
      <c r="Q1356" t="s">
        <v>607</v>
      </c>
      <c r="R1356" t="s">
        <v>712</v>
      </c>
      <c r="S1356" t="s">
        <v>599</v>
      </c>
      <c r="T1356">
        <v>84</v>
      </c>
    </row>
    <row r="1357" spans="1:20" x14ac:dyDescent="0.25">
      <c r="A1357" t="s">
        <v>2556</v>
      </c>
      <c r="B1357" t="s">
        <v>161</v>
      </c>
      <c r="C1357" t="s">
        <v>586</v>
      </c>
      <c r="D1357" t="s">
        <v>608</v>
      </c>
      <c r="E1357" t="s">
        <v>789</v>
      </c>
      <c r="F1357">
        <v>2.0073663185441628</v>
      </c>
      <c r="G1357">
        <v>38.071715309611861</v>
      </c>
      <c r="H1357" t="s">
        <v>743</v>
      </c>
      <c r="I1357" t="s">
        <v>721</v>
      </c>
      <c r="J1357">
        <v>3.25</v>
      </c>
      <c r="K1357" t="s">
        <v>776</v>
      </c>
      <c r="L1357">
        <v>1320000</v>
      </c>
      <c r="M1357">
        <v>2.7</v>
      </c>
      <c r="N1357">
        <v>38.071715309611861</v>
      </c>
      <c r="O1357" t="s">
        <v>592</v>
      </c>
      <c r="P1357" t="s">
        <v>975</v>
      </c>
      <c r="Q1357" t="s">
        <v>607</v>
      </c>
      <c r="R1357" t="s">
        <v>712</v>
      </c>
      <c r="S1357" t="s">
        <v>599</v>
      </c>
      <c r="T1357">
        <v>73</v>
      </c>
    </row>
    <row r="1358" spans="1:20" x14ac:dyDescent="0.25">
      <c r="A1358" t="s">
        <v>2557</v>
      </c>
      <c r="B1358" t="s">
        <v>161</v>
      </c>
      <c r="C1358" t="s">
        <v>586</v>
      </c>
      <c r="D1358" t="s">
        <v>608</v>
      </c>
      <c r="E1358" t="s">
        <v>789</v>
      </c>
      <c r="F1358">
        <v>2.9069240435052595</v>
      </c>
      <c r="G1358">
        <v>42.522597033271701</v>
      </c>
      <c r="H1358" t="s">
        <v>743</v>
      </c>
      <c r="I1358" t="s">
        <v>721</v>
      </c>
      <c r="J1358">
        <v>3.25</v>
      </c>
      <c r="K1358" t="s">
        <v>1066</v>
      </c>
      <c r="L1358">
        <v>1400000</v>
      </c>
      <c r="M1358">
        <v>2.8000000000000003</v>
      </c>
      <c r="N1358">
        <v>42.522597033271701</v>
      </c>
      <c r="O1358" t="s">
        <v>592</v>
      </c>
      <c r="P1358" t="s">
        <v>975</v>
      </c>
      <c r="Q1358" t="s">
        <v>607</v>
      </c>
      <c r="R1358">
        <v>30000</v>
      </c>
      <c r="S1358" t="s">
        <v>599</v>
      </c>
      <c r="T1358">
        <v>65</v>
      </c>
    </row>
    <row r="1359" spans="1:20" x14ac:dyDescent="0.25">
      <c r="A1359" t="s">
        <v>2558</v>
      </c>
      <c r="B1359" t="s">
        <v>161</v>
      </c>
      <c r="C1359" t="s">
        <v>586</v>
      </c>
      <c r="D1359" t="s">
        <v>608</v>
      </c>
      <c r="E1359" t="s">
        <v>789</v>
      </c>
      <c r="F1359">
        <v>3.7765462410650157</v>
      </c>
      <c r="G1359">
        <v>46.973478756931627</v>
      </c>
      <c r="H1359" t="s">
        <v>743</v>
      </c>
      <c r="I1359" t="s">
        <v>721</v>
      </c>
      <c r="J1359">
        <v>3.25</v>
      </c>
      <c r="K1359" t="s">
        <v>1418</v>
      </c>
      <c r="L1359">
        <v>1490000</v>
      </c>
      <c r="M1359">
        <v>2.9000000000000004</v>
      </c>
      <c r="N1359">
        <v>46.973478756931627</v>
      </c>
      <c r="O1359" t="s">
        <v>592</v>
      </c>
      <c r="P1359" t="s">
        <v>975</v>
      </c>
      <c r="Q1359" t="s">
        <v>607</v>
      </c>
      <c r="R1359" t="s">
        <v>712</v>
      </c>
      <c r="S1359" t="s">
        <v>599</v>
      </c>
      <c r="T1359">
        <v>56</v>
      </c>
    </row>
    <row r="1360" spans="1:20" x14ac:dyDescent="0.25">
      <c r="A1360" t="s">
        <v>2559</v>
      </c>
      <c r="B1360" t="s">
        <v>161</v>
      </c>
      <c r="C1360" t="s">
        <v>586</v>
      </c>
      <c r="D1360" t="s">
        <v>608</v>
      </c>
      <c r="E1360" t="s">
        <v>789</v>
      </c>
      <c r="F1360">
        <v>4.6160794759190082</v>
      </c>
      <c r="G1360">
        <v>52.883888507871333</v>
      </c>
      <c r="H1360" t="s">
        <v>743</v>
      </c>
      <c r="I1360" t="s">
        <v>721</v>
      </c>
      <c r="J1360">
        <v>3.25</v>
      </c>
      <c r="K1360" t="s">
        <v>785</v>
      </c>
      <c r="L1360">
        <v>1580000</v>
      </c>
      <c r="M1360">
        <v>3</v>
      </c>
      <c r="N1360">
        <v>52.883888507871333</v>
      </c>
      <c r="O1360" t="s">
        <v>592</v>
      </c>
      <c r="P1360" t="s">
        <v>975</v>
      </c>
      <c r="Q1360" t="s">
        <v>607</v>
      </c>
      <c r="R1360" t="s">
        <v>712</v>
      </c>
      <c r="S1360" t="s">
        <v>599</v>
      </c>
      <c r="T1360">
        <v>51</v>
      </c>
    </row>
    <row r="1361" spans="1:20" x14ac:dyDescent="0.25">
      <c r="A1361" t="s">
        <v>2560</v>
      </c>
      <c r="B1361" t="s">
        <v>161</v>
      </c>
      <c r="C1361" t="s">
        <v>586</v>
      </c>
      <c r="D1361" t="s">
        <v>608</v>
      </c>
      <c r="E1361" t="s">
        <v>789</v>
      </c>
      <c r="F1361">
        <v>0.11932319560112897</v>
      </c>
      <c r="G1361">
        <v>10.658253443329379</v>
      </c>
      <c r="H1361" t="s">
        <v>1007</v>
      </c>
      <c r="I1361" t="s">
        <v>937</v>
      </c>
      <c r="J1361">
        <v>3</v>
      </c>
      <c r="K1361" t="s">
        <v>1105</v>
      </c>
      <c r="L1361">
        <v>250000</v>
      </c>
      <c r="M1361">
        <v>1.78</v>
      </c>
      <c r="N1361">
        <v>10.658253443329379</v>
      </c>
      <c r="O1361" t="s">
        <v>592</v>
      </c>
      <c r="P1361" t="s">
        <v>621</v>
      </c>
      <c r="Q1361" t="s">
        <v>586</v>
      </c>
      <c r="R1361" t="s">
        <v>712</v>
      </c>
      <c r="S1361" t="s">
        <v>599</v>
      </c>
      <c r="T1361">
        <v>97</v>
      </c>
    </row>
    <row r="1362" spans="1:20" x14ac:dyDescent="0.25">
      <c r="A1362" t="s">
        <v>2561</v>
      </c>
      <c r="B1362" t="s">
        <v>161</v>
      </c>
      <c r="C1362" t="s">
        <v>586</v>
      </c>
      <c r="D1362" t="s">
        <v>608</v>
      </c>
      <c r="E1362" t="s">
        <v>789</v>
      </c>
      <c r="F1362">
        <v>1.0763910715733334</v>
      </c>
      <c r="G1362">
        <v>16.30417550127936</v>
      </c>
      <c r="H1362" t="s">
        <v>1007</v>
      </c>
      <c r="I1362" t="s">
        <v>937</v>
      </c>
      <c r="J1362">
        <v>5</v>
      </c>
      <c r="K1362" t="s">
        <v>987</v>
      </c>
      <c r="L1362">
        <v>255000</v>
      </c>
      <c r="M1362">
        <v>2</v>
      </c>
      <c r="N1362">
        <v>16.30417550127936</v>
      </c>
      <c r="O1362" t="s">
        <v>592</v>
      </c>
      <c r="P1362" t="s">
        <v>621</v>
      </c>
      <c r="Q1362" t="s">
        <v>586</v>
      </c>
      <c r="R1362" t="s">
        <v>712</v>
      </c>
      <c r="S1362" t="s">
        <v>599</v>
      </c>
      <c r="T1362">
        <v>90</v>
      </c>
    </row>
    <row r="1363" spans="1:20" x14ac:dyDescent="0.25">
      <c r="A1363" t="s">
        <v>2562</v>
      </c>
      <c r="B1363" t="s">
        <v>161</v>
      </c>
      <c r="C1363" t="s">
        <v>586</v>
      </c>
      <c r="D1363" t="s">
        <v>608</v>
      </c>
      <c r="E1363" t="s">
        <v>789</v>
      </c>
      <c r="F1363">
        <v>1.9893577529746667</v>
      </c>
      <c r="G1363">
        <v>25.272731382895387</v>
      </c>
      <c r="H1363" t="s">
        <v>1007</v>
      </c>
      <c r="I1363" t="s">
        <v>937</v>
      </c>
      <c r="J1363">
        <v>5</v>
      </c>
      <c r="K1363" t="s">
        <v>776</v>
      </c>
      <c r="L1363">
        <v>1590000</v>
      </c>
      <c r="M1363">
        <v>2.25</v>
      </c>
      <c r="N1363">
        <v>25.272731382895387</v>
      </c>
      <c r="O1363" t="s">
        <v>592</v>
      </c>
      <c r="P1363" t="s">
        <v>621</v>
      </c>
      <c r="Q1363" t="s">
        <v>586</v>
      </c>
      <c r="R1363">
        <v>150000</v>
      </c>
      <c r="S1363" t="s">
        <v>599</v>
      </c>
      <c r="T1363">
        <v>83</v>
      </c>
    </row>
    <row r="1364" spans="1:20" x14ac:dyDescent="0.25">
      <c r="A1364" t="s">
        <v>2563</v>
      </c>
      <c r="B1364" t="s">
        <v>161</v>
      </c>
      <c r="C1364" t="s">
        <v>586</v>
      </c>
      <c r="D1364" t="s">
        <v>608</v>
      </c>
      <c r="E1364" t="s">
        <v>789</v>
      </c>
      <c r="F1364">
        <v>2.8633657411189142</v>
      </c>
      <c r="G1364">
        <v>25.498729941288989</v>
      </c>
      <c r="H1364" t="s">
        <v>1007</v>
      </c>
      <c r="I1364" t="s">
        <v>937</v>
      </c>
      <c r="J1364">
        <v>5</v>
      </c>
      <c r="K1364" t="s">
        <v>1066</v>
      </c>
      <c r="L1364">
        <v>1600000</v>
      </c>
      <c r="M1364">
        <v>2.4000000000000004</v>
      </c>
      <c r="N1364">
        <v>25.498729941288989</v>
      </c>
      <c r="O1364" t="s">
        <v>592</v>
      </c>
      <c r="P1364" t="s">
        <v>621</v>
      </c>
      <c r="Q1364" t="s">
        <v>586</v>
      </c>
      <c r="R1364">
        <v>90000</v>
      </c>
      <c r="S1364" t="s">
        <v>599</v>
      </c>
      <c r="T1364">
        <v>74</v>
      </c>
    </row>
    <row r="1365" spans="1:20" x14ac:dyDescent="0.25">
      <c r="A1365" t="s">
        <v>2564</v>
      </c>
      <c r="B1365" t="s">
        <v>161</v>
      </c>
      <c r="C1365" t="s">
        <v>586</v>
      </c>
      <c r="D1365" t="s">
        <v>608</v>
      </c>
      <c r="E1365" t="s">
        <v>789</v>
      </c>
      <c r="F1365">
        <v>3.701234186167881</v>
      </c>
      <c r="G1365">
        <v>28.224802459320443</v>
      </c>
      <c r="H1365" t="s">
        <v>1007</v>
      </c>
      <c r="I1365" t="s">
        <v>937</v>
      </c>
      <c r="J1365">
        <v>5</v>
      </c>
      <c r="K1365" t="s">
        <v>1418</v>
      </c>
      <c r="L1365">
        <v>1615000</v>
      </c>
      <c r="M1365">
        <v>2.5500000000000003</v>
      </c>
      <c r="N1365">
        <v>28.224802459320443</v>
      </c>
      <c r="O1365" t="s">
        <v>592</v>
      </c>
      <c r="P1365" t="s">
        <v>621</v>
      </c>
      <c r="Q1365" t="s">
        <v>586</v>
      </c>
      <c r="R1365" t="s">
        <v>712</v>
      </c>
      <c r="S1365" t="s">
        <v>599</v>
      </c>
      <c r="T1365">
        <v>68</v>
      </c>
    </row>
    <row r="1366" spans="1:20" x14ac:dyDescent="0.25">
      <c r="A1366" t="s">
        <v>2565</v>
      </c>
      <c r="B1366" t="s">
        <v>161</v>
      </c>
      <c r="C1366" t="s">
        <v>586</v>
      </c>
      <c r="D1366" t="s">
        <v>608</v>
      </c>
      <c r="E1366" t="s">
        <v>789</v>
      </c>
      <c r="F1366">
        <v>4.5057596922399572</v>
      </c>
      <c r="G1366">
        <v>26.839032631247363</v>
      </c>
      <c r="H1366" t="s">
        <v>1007</v>
      </c>
      <c r="I1366" t="s">
        <v>937</v>
      </c>
      <c r="J1366">
        <v>5</v>
      </c>
      <c r="K1366" t="s">
        <v>785</v>
      </c>
      <c r="L1366">
        <v>1630000</v>
      </c>
      <c r="M1366">
        <v>2.65</v>
      </c>
      <c r="N1366">
        <v>26.839032631247363</v>
      </c>
      <c r="O1366" t="s">
        <v>592</v>
      </c>
      <c r="P1366" t="s">
        <v>621</v>
      </c>
      <c r="Q1366" t="s">
        <v>586</v>
      </c>
      <c r="R1366" t="s">
        <v>712</v>
      </c>
      <c r="S1366" t="s">
        <v>599</v>
      </c>
      <c r="T1366">
        <v>60</v>
      </c>
    </row>
    <row r="1367" spans="1:20" x14ac:dyDescent="0.25">
      <c r="A1367" t="s">
        <v>2566</v>
      </c>
      <c r="B1367" t="s">
        <v>101</v>
      </c>
      <c r="C1367" t="s">
        <v>586</v>
      </c>
      <c r="D1367" t="s">
        <v>608</v>
      </c>
      <c r="E1367" t="s">
        <v>789</v>
      </c>
      <c r="F1367">
        <v>0.99364591269998359</v>
      </c>
      <c r="G1367">
        <v>27.677814473806794</v>
      </c>
      <c r="H1367" t="s">
        <v>1007</v>
      </c>
      <c r="I1367" t="s">
        <v>611</v>
      </c>
      <c r="J1367">
        <v>5</v>
      </c>
      <c r="K1367" t="s">
        <v>920</v>
      </c>
      <c r="L1367">
        <v>820000</v>
      </c>
      <c r="M1367">
        <v>2.1</v>
      </c>
      <c r="N1367">
        <v>27.677814473806794</v>
      </c>
      <c r="O1367" t="s">
        <v>592</v>
      </c>
      <c r="P1367" t="s">
        <v>621</v>
      </c>
      <c r="Q1367" t="s">
        <v>586</v>
      </c>
      <c r="R1367" t="s">
        <v>712</v>
      </c>
      <c r="S1367" t="s">
        <v>635</v>
      </c>
      <c r="T1367">
        <v>91</v>
      </c>
    </row>
    <row r="1368" spans="1:20" x14ac:dyDescent="0.25">
      <c r="A1368" t="s">
        <v>2567</v>
      </c>
      <c r="B1368" t="s">
        <v>101</v>
      </c>
      <c r="C1368" t="s">
        <v>586</v>
      </c>
      <c r="D1368" t="s">
        <v>608</v>
      </c>
      <c r="E1368" t="s">
        <v>789</v>
      </c>
      <c r="F1368">
        <v>1.9064883182013372</v>
      </c>
      <c r="G1368">
        <v>36.617484874047143</v>
      </c>
      <c r="H1368" t="s">
        <v>1007</v>
      </c>
      <c r="I1368" t="s">
        <v>611</v>
      </c>
      <c r="J1368">
        <v>5</v>
      </c>
      <c r="K1368" t="s">
        <v>898</v>
      </c>
      <c r="L1368">
        <v>860000</v>
      </c>
      <c r="M1368">
        <v>2.35</v>
      </c>
      <c r="N1368">
        <v>36.617484874047143</v>
      </c>
      <c r="O1368" t="s">
        <v>592</v>
      </c>
      <c r="P1368" t="s">
        <v>621</v>
      </c>
      <c r="Q1368" t="s">
        <v>586</v>
      </c>
      <c r="R1368" t="s">
        <v>712</v>
      </c>
      <c r="S1368" t="s">
        <v>635</v>
      </c>
      <c r="T1368">
        <v>85</v>
      </c>
    </row>
    <row r="1369" spans="1:20" x14ac:dyDescent="0.25">
      <c r="A1369" t="s">
        <v>2568</v>
      </c>
      <c r="B1369" t="s">
        <v>101</v>
      </c>
      <c r="C1369" t="s">
        <v>586</v>
      </c>
      <c r="D1369" t="s">
        <v>608</v>
      </c>
      <c r="E1369" t="s">
        <v>789</v>
      </c>
      <c r="F1369">
        <v>2.7803983327017856</v>
      </c>
      <c r="G1369">
        <v>36.679278534537787</v>
      </c>
      <c r="H1369" t="s">
        <v>1007</v>
      </c>
      <c r="I1369" t="s">
        <v>611</v>
      </c>
      <c r="J1369">
        <v>5</v>
      </c>
      <c r="K1369" t="s">
        <v>978</v>
      </c>
      <c r="L1369">
        <v>905000</v>
      </c>
      <c r="M1369">
        <v>2.5</v>
      </c>
      <c r="N1369">
        <v>36.679278534537787</v>
      </c>
      <c r="O1369" t="s">
        <v>592</v>
      </c>
      <c r="P1369" t="s">
        <v>621</v>
      </c>
      <c r="Q1369" t="s">
        <v>586</v>
      </c>
      <c r="R1369" t="s">
        <v>712</v>
      </c>
      <c r="S1369" t="s">
        <v>635</v>
      </c>
      <c r="T1369">
        <v>76</v>
      </c>
    </row>
    <row r="1370" spans="1:20" x14ac:dyDescent="0.25">
      <c r="A1370" t="s">
        <v>2569</v>
      </c>
      <c r="B1370" t="s">
        <v>101</v>
      </c>
      <c r="C1370" t="s">
        <v>586</v>
      </c>
      <c r="D1370" t="s">
        <v>608</v>
      </c>
      <c r="E1370" t="s">
        <v>789</v>
      </c>
      <c r="F1370">
        <v>3.7516498408627594</v>
      </c>
      <c r="G1370">
        <v>39.153308629595294</v>
      </c>
      <c r="H1370" t="s">
        <v>1007</v>
      </c>
      <c r="I1370" t="s">
        <v>611</v>
      </c>
      <c r="J1370">
        <v>3</v>
      </c>
      <c r="K1370" t="s">
        <v>1046</v>
      </c>
      <c r="L1370">
        <v>950000</v>
      </c>
      <c r="M1370">
        <v>2.65</v>
      </c>
      <c r="N1370">
        <v>39.153308629595294</v>
      </c>
      <c r="O1370" t="s">
        <v>592</v>
      </c>
      <c r="P1370" t="s">
        <v>621</v>
      </c>
      <c r="Q1370" t="s">
        <v>586</v>
      </c>
      <c r="R1370" t="s">
        <v>712</v>
      </c>
      <c r="S1370" t="s">
        <v>635</v>
      </c>
      <c r="T1370">
        <v>59</v>
      </c>
    </row>
    <row r="1371" spans="1:20" x14ac:dyDescent="0.25">
      <c r="A1371" t="s">
        <v>2570</v>
      </c>
      <c r="B1371" t="s">
        <v>101</v>
      </c>
      <c r="C1371" t="s">
        <v>586</v>
      </c>
      <c r="D1371" t="s">
        <v>608</v>
      </c>
      <c r="E1371" t="s">
        <v>789</v>
      </c>
      <c r="F1371">
        <v>4.4217477577113167</v>
      </c>
      <c r="G1371">
        <v>37.837809364121931</v>
      </c>
      <c r="H1371" t="s">
        <v>1007</v>
      </c>
      <c r="I1371" t="s">
        <v>611</v>
      </c>
      <c r="J1371">
        <v>5</v>
      </c>
      <c r="K1371" t="s">
        <v>1176</v>
      </c>
      <c r="L1371">
        <v>975000</v>
      </c>
      <c r="M1371">
        <v>2.75</v>
      </c>
      <c r="N1371">
        <v>37.837809364121931</v>
      </c>
      <c r="O1371" t="s">
        <v>592</v>
      </c>
      <c r="P1371" t="s">
        <v>621</v>
      </c>
      <c r="Q1371" t="s">
        <v>586</v>
      </c>
      <c r="R1371">
        <v>10000</v>
      </c>
      <c r="S1371" t="s">
        <v>635</v>
      </c>
      <c r="T1371">
        <v>62</v>
      </c>
    </row>
    <row r="1372" spans="1:20" x14ac:dyDescent="0.25">
      <c r="A1372" t="s">
        <v>2571</v>
      </c>
      <c r="B1372" t="s">
        <v>135</v>
      </c>
      <c r="C1372" t="s">
        <v>586</v>
      </c>
      <c r="D1372" t="s">
        <v>1139</v>
      </c>
      <c r="E1372" t="s">
        <v>1146</v>
      </c>
      <c r="F1372">
        <v>1.4562427442636201</v>
      </c>
      <c r="G1372">
        <v>76.400114885172272</v>
      </c>
      <c r="H1372" t="s">
        <v>913</v>
      </c>
      <c r="I1372" t="s">
        <v>716</v>
      </c>
      <c r="J1372">
        <v>4</v>
      </c>
      <c r="K1372" t="s">
        <v>780</v>
      </c>
      <c r="L1372">
        <v>210000</v>
      </c>
      <c r="M1372">
        <v>2.2000000000000002</v>
      </c>
      <c r="N1372">
        <v>76.400114885172272</v>
      </c>
      <c r="O1372" t="s">
        <v>592</v>
      </c>
      <c r="P1372" t="s">
        <v>593</v>
      </c>
      <c r="Q1372" t="s">
        <v>586</v>
      </c>
      <c r="R1372">
        <v>40000</v>
      </c>
      <c r="S1372" t="s">
        <v>712</v>
      </c>
      <c r="T1372">
        <v>77</v>
      </c>
    </row>
    <row r="1373" spans="1:20" x14ac:dyDescent="0.25">
      <c r="A1373" t="s">
        <v>2572</v>
      </c>
      <c r="B1373" t="s">
        <v>135</v>
      </c>
      <c r="C1373" t="s">
        <v>586</v>
      </c>
      <c r="D1373" t="s">
        <v>1139</v>
      </c>
      <c r="E1373" t="s">
        <v>1146</v>
      </c>
      <c r="F1373">
        <v>3.2731766992353486</v>
      </c>
      <c r="G1373">
        <v>87.898767826528015</v>
      </c>
      <c r="H1373" t="s">
        <v>913</v>
      </c>
      <c r="I1373" t="s">
        <v>716</v>
      </c>
      <c r="J1373">
        <v>4</v>
      </c>
      <c r="K1373" t="s">
        <v>824</v>
      </c>
      <c r="L1373">
        <v>230000</v>
      </c>
      <c r="M1373">
        <v>2.6</v>
      </c>
      <c r="N1373">
        <v>87.898767826528015</v>
      </c>
      <c r="O1373" t="s">
        <v>592</v>
      </c>
      <c r="P1373" t="s">
        <v>593</v>
      </c>
      <c r="Q1373" t="s">
        <v>586</v>
      </c>
      <c r="R1373" t="s">
        <v>712</v>
      </c>
      <c r="S1373" t="s">
        <v>712</v>
      </c>
      <c r="T1373">
        <v>60</v>
      </c>
    </row>
    <row r="1374" spans="1:20" x14ac:dyDescent="0.25">
      <c r="A1374" t="s">
        <v>2573</v>
      </c>
      <c r="B1374" t="s">
        <v>135</v>
      </c>
      <c r="C1374" t="s">
        <v>586</v>
      </c>
      <c r="D1374" t="s">
        <v>1139</v>
      </c>
      <c r="E1374" t="s">
        <v>1146</v>
      </c>
      <c r="F1374">
        <v>4.1327857458558777</v>
      </c>
      <c r="G1374">
        <v>96.075552200382305</v>
      </c>
      <c r="H1374" t="s">
        <v>913</v>
      </c>
      <c r="I1374" t="s">
        <v>716</v>
      </c>
      <c r="J1374">
        <v>4</v>
      </c>
      <c r="K1374" t="s">
        <v>1319</v>
      </c>
      <c r="L1374">
        <v>240000</v>
      </c>
      <c r="M1374">
        <v>2.8000000000000003</v>
      </c>
      <c r="N1374">
        <v>96.075552200382305</v>
      </c>
      <c r="O1374" t="s">
        <v>592</v>
      </c>
      <c r="P1374" t="s">
        <v>593</v>
      </c>
      <c r="Q1374" t="s">
        <v>586</v>
      </c>
      <c r="R1374" t="s">
        <v>712</v>
      </c>
      <c r="S1374" t="s">
        <v>712</v>
      </c>
      <c r="T1374">
        <v>51</v>
      </c>
    </row>
    <row r="1375" spans="1:20" x14ac:dyDescent="0.25">
      <c r="A1375" t="s">
        <v>2574</v>
      </c>
      <c r="B1375" t="s">
        <v>404</v>
      </c>
      <c r="C1375" t="s">
        <v>586</v>
      </c>
      <c r="D1375" t="s">
        <v>642</v>
      </c>
      <c r="E1375" t="s">
        <v>2575</v>
      </c>
      <c r="F1375">
        <v>1.60293006113123</v>
      </c>
      <c r="G1375">
        <v>48.650230136986309</v>
      </c>
      <c r="H1375" t="s">
        <v>610</v>
      </c>
      <c r="I1375" t="s">
        <v>661</v>
      </c>
      <c r="J1375">
        <v>3</v>
      </c>
      <c r="K1375" t="s">
        <v>905</v>
      </c>
      <c r="L1375">
        <v>380000</v>
      </c>
      <c r="M1375">
        <v>2.15</v>
      </c>
      <c r="N1375">
        <v>48.650230136986309</v>
      </c>
      <c r="O1375" t="s">
        <v>592</v>
      </c>
      <c r="P1375" t="s">
        <v>745</v>
      </c>
      <c r="Q1375" t="s">
        <v>586</v>
      </c>
      <c r="R1375" t="s">
        <v>712</v>
      </c>
      <c r="S1375" t="s">
        <v>712</v>
      </c>
      <c r="T1375">
        <v>83</v>
      </c>
    </row>
    <row r="1376" spans="1:20" x14ac:dyDescent="0.25">
      <c r="A1376" t="s">
        <v>2576</v>
      </c>
      <c r="B1376" t="s">
        <v>405</v>
      </c>
      <c r="C1376" t="s">
        <v>586</v>
      </c>
      <c r="D1376" t="s">
        <v>1124</v>
      </c>
      <c r="E1376" t="s">
        <v>2577</v>
      </c>
      <c r="F1376">
        <v>0.49449011387081349</v>
      </c>
      <c r="G1376">
        <v>85.588821642075715</v>
      </c>
      <c r="H1376" t="s">
        <v>2578</v>
      </c>
      <c r="I1376" t="s">
        <v>611</v>
      </c>
      <c r="J1376">
        <v>3</v>
      </c>
      <c r="K1376" t="s">
        <v>807</v>
      </c>
      <c r="L1376">
        <v>120000</v>
      </c>
      <c r="M1376">
        <v>2.15</v>
      </c>
      <c r="N1376">
        <v>85.588821642075715</v>
      </c>
      <c r="O1376" t="s">
        <v>592</v>
      </c>
      <c r="P1376" t="s">
        <v>711</v>
      </c>
      <c r="Q1376" t="s">
        <v>586</v>
      </c>
      <c r="R1376" t="s">
        <v>712</v>
      </c>
      <c r="S1376" t="s">
        <v>712</v>
      </c>
      <c r="T1376">
        <v>87</v>
      </c>
    </row>
    <row r="1377" spans="1:20" x14ac:dyDescent="0.25">
      <c r="A1377" t="s">
        <v>2579</v>
      </c>
      <c r="B1377" t="s">
        <v>405</v>
      </c>
      <c r="C1377" t="s">
        <v>586</v>
      </c>
      <c r="D1377" t="s">
        <v>1124</v>
      </c>
      <c r="E1377" t="s">
        <v>2577</v>
      </c>
      <c r="F1377">
        <v>1.463069899817067</v>
      </c>
      <c r="G1377">
        <v>85.910630433679302</v>
      </c>
      <c r="H1377" t="s">
        <v>2578</v>
      </c>
      <c r="I1377" t="s">
        <v>611</v>
      </c>
      <c r="J1377">
        <v>3</v>
      </c>
      <c r="K1377" t="s">
        <v>780</v>
      </c>
      <c r="L1377">
        <v>120000</v>
      </c>
      <c r="M1377">
        <v>2.3000000000000003</v>
      </c>
      <c r="N1377">
        <v>85.910630433679302</v>
      </c>
      <c r="O1377" t="s">
        <v>592</v>
      </c>
      <c r="P1377" t="s">
        <v>711</v>
      </c>
      <c r="Q1377" t="s">
        <v>586</v>
      </c>
      <c r="R1377" t="s">
        <v>712</v>
      </c>
      <c r="S1377" t="s">
        <v>712</v>
      </c>
      <c r="T1377">
        <v>70</v>
      </c>
    </row>
    <row r="1378" spans="1:20" x14ac:dyDescent="0.25">
      <c r="A1378" t="s">
        <v>2580</v>
      </c>
      <c r="B1378" t="s">
        <v>405</v>
      </c>
      <c r="C1378" t="s">
        <v>586</v>
      </c>
      <c r="D1378" t="s">
        <v>1124</v>
      </c>
      <c r="E1378" t="s">
        <v>2577</v>
      </c>
      <c r="F1378">
        <v>2.4030521460686178</v>
      </c>
      <c r="G1378">
        <v>85.964091869765596</v>
      </c>
      <c r="H1378" t="s">
        <v>2578</v>
      </c>
      <c r="I1378" t="s">
        <v>611</v>
      </c>
      <c r="J1378">
        <v>3</v>
      </c>
      <c r="K1378" t="s">
        <v>1013</v>
      </c>
      <c r="L1378">
        <v>130000</v>
      </c>
      <c r="M1378">
        <v>2.4500000000000002</v>
      </c>
      <c r="N1378">
        <v>85.964091869765596</v>
      </c>
      <c r="O1378" t="s">
        <v>592</v>
      </c>
      <c r="P1378" t="s">
        <v>711</v>
      </c>
      <c r="Q1378" t="s">
        <v>586</v>
      </c>
      <c r="R1378" t="s">
        <v>712</v>
      </c>
      <c r="S1378" t="s">
        <v>712</v>
      </c>
      <c r="T1378">
        <v>58</v>
      </c>
    </row>
    <row r="1379" spans="1:20" x14ac:dyDescent="0.25">
      <c r="A1379" t="s">
        <v>2581</v>
      </c>
      <c r="B1379" t="s">
        <v>405</v>
      </c>
      <c r="C1379" t="s">
        <v>586</v>
      </c>
      <c r="D1379" t="s">
        <v>1124</v>
      </c>
      <c r="E1379" t="s">
        <v>2577</v>
      </c>
      <c r="F1379">
        <v>3.3157033326985896</v>
      </c>
      <c r="G1379">
        <v>86.712510435496199</v>
      </c>
      <c r="H1379" t="s">
        <v>2578</v>
      </c>
      <c r="I1379" t="s">
        <v>611</v>
      </c>
      <c r="J1379">
        <v>3</v>
      </c>
      <c r="K1379" t="s">
        <v>824</v>
      </c>
      <c r="L1379">
        <v>135000</v>
      </c>
      <c r="M1379">
        <v>2.6</v>
      </c>
      <c r="N1379">
        <v>86.712510435496199</v>
      </c>
      <c r="O1379" t="s">
        <v>592</v>
      </c>
      <c r="P1379" t="s">
        <v>711</v>
      </c>
      <c r="Q1379" t="s">
        <v>586</v>
      </c>
      <c r="R1379" t="s">
        <v>712</v>
      </c>
      <c r="S1379" t="s">
        <v>712</v>
      </c>
      <c r="T1379">
        <v>50</v>
      </c>
    </row>
    <row r="1380" spans="1:20" x14ac:dyDescent="0.25">
      <c r="A1380" t="s">
        <v>2582</v>
      </c>
      <c r="B1380" t="s">
        <v>405</v>
      </c>
      <c r="C1380" t="s">
        <v>586</v>
      </c>
      <c r="D1380" t="s">
        <v>1124</v>
      </c>
      <c r="E1380" t="s">
        <v>2577</v>
      </c>
      <c r="F1380">
        <v>4.201474562406168</v>
      </c>
      <c r="G1380">
        <v>89.60502237686336</v>
      </c>
      <c r="H1380" t="s">
        <v>2578</v>
      </c>
      <c r="I1380" t="s">
        <v>611</v>
      </c>
      <c r="J1380">
        <v>3</v>
      </c>
      <c r="K1380" t="s">
        <v>1319</v>
      </c>
      <c r="L1380">
        <v>135000</v>
      </c>
      <c r="M1380">
        <v>2.75</v>
      </c>
      <c r="N1380">
        <v>89.60502237686336</v>
      </c>
      <c r="O1380" t="s">
        <v>592</v>
      </c>
      <c r="P1380" t="s">
        <v>711</v>
      </c>
      <c r="Q1380" t="s">
        <v>586</v>
      </c>
      <c r="R1380" t="s">
        <v>712</v>
      </c>
      <c r="S1380" t="s">
        <v>712</v>
      </c>
      <c r="T1380">
        <v>44</v>
      </c>
    </row>
    <row r="1381" spans="1:20" x14ac:dyDescent="0.25">
      <c r="A1381" t="s">
        <v>2583</v>
      </c>
      <c r="B1381" t="s">
        <v>406</v>
      </c>
      <c r="C1381" t="s">
        <v>586</v>
      </c>
      <c r="D1381" t="s">
        <v>741</v>
      </c>
      <c r="E1381" t="s">
        <v>756</v>
      </c>
      <c r="F1381">
        <v>0.73484806503054767</v>
      </c>
      <c r="G1381">
        <v>62.185397260273966</v>
      </c>
      <c r="H1381" t="s">
        <v>2584</v>
      </c>
      <c r="I1381" t="s">
        <v>661</v>
      </c>
      <c r="J1381">
        <v>3</v>
      </c>
      <c r="K1381" t="s">
        <v>861</v>
      </c>
      <c r="L1381">
        <v>110000</v>
      </c>
      <c r="M1381">
        <v>2.3000000000000003</v>
      </c>
      <c r="N1381">
        <v>62.185397260273966</v>
      </c>
      <c r="O1381" t="s">
        <v>592</v>
      </c>
      <c r="P1381" t="s">
        <v>745</v>
      </c>
      <c r="Q1381" t="s">
        <v>586</v>
      </c>
      <c r="R1381" t="s">
        <v>712</v>
      </c>
      <c r="S1381" t="s">
        <v>712</v>
      </c>
      <c r="T1381">
        <v>85</v>
      </c>
    </row>
    <row r="1382" spans="1:20" x14ac:dyDescent="0.25">
      <c r="A1382" t="s">
        <v>2585</v>
      </c>
      <c r="B1382" t="s">
        <v>406</v>
      </c>
      <c r="C1382" t="s">
        <v>586</v>
      </c>
      <c r="D1382" t="s">
        <v>741</v>
      </c>
      <c r="E1382" t="s">
        <v>756</v>
      </c>
      <c r="F1382">
        <v>1.6888646222020542</v>
      </c>
      <c r="G1382">
        <v>65.803145205479453</v>
      </c>
      <c r="H1382" t="s">
        <v>2584</v>
      </c>
      <c r="I1382" t="s">
        <v>661</v>
      </c>
      <c r="J1382">
        <v>3</v>
      </c>
      <c r="K1382" t="s">
        <v>682</v>
      </c>
      <c r="L1382">
        <v>115000</v>
      </c>
      <c r="M1382">
        <v>2.4000000000000004</v>
      </c>
      <c r="N1382">
        <v>65.803145205479453</v>
      </c>
      <c r="O1382" t="s">
        <v>592</v>
      </c>
      <c r="P1382" t="s">
        <v>745</v>
      </c>
      <c r="Q1382" t="s">
        <v>586</v>
      </c>
      <c r="R1382" t="s">
        <v>712</v>
      </c>
      <c r="S1382" t="s">
        <v>712</v>
      </c>
      <c r="T1382">
        <v>72</v>
      </c>
    </row>
    <row r="1383" spans="1:20" x14ac:dyDescent="0.25">
      <c r="A1383" t="s">
        <v>2586</v>
      </c>
      <c r="B1383" t="s">
        <v>407</v>
      </c>
      <c r="C1383" t="s">
        <v>586</v>
      </c>
      <c r="D1383" t="s">
        <v>608</v>
      </c>
      <c r="E1383" t="s">
        <v>2587</v>
      </c>
      <c r="F1383">
        <v>0.52273320112801913</v>
      </c>
      <c r="G1383">
        <v>20.742358963697583</v>
      </c>
      <c r="H1383" t="s">
        <v>2388</v>
      </c>
      <c r="I1383" t="s">
        <v>611</v>
      </c>
      <c r="J1383">
        <v>4</v>
      </c>
      <c r="K1383" t="s">
        <v>1005</v>
      </c>
      <c r="L1383">
        <v>185000</v>
      </c>
      <c r="M1383">
        <v>2.0499999999999998</v>
      </c>
      <c r="N1383">
        <v>20.742358963697583</v>
      </c>
      <c r="O1383" t="s">
        <v>592</v>
      </c>
      <c r="P1383" t="s">
        <v>613</v>
      </c>
      <c r="Q1383" t="s">
        <v>586</v>
      </c>
      <c r="R1383" t="s">
        <v>712</v>
      </c>
      <c r="S1383" t="s">
        <v>712</v>
      </c>
      <c r="T1383">
        <v>86</v>
      </c>
    </row>
    <row r="1384" spans="1:20" x14ac:dyDescent="0.25">
      <c r="A1384" t="s">
        <v>2588</v>
      </c>
      <c r="B1384" t="s">
        <v>407</v>
      </c>
      <c r="C1384" t="s">
        <v>586</v>
      </c>
      <c r="D1384" t="s">
        <v>608</v>
      </c>
      <c r="E1384" t="s">
        <v>2587</v>
      </c>
      <c r="F1384">
        <v>1.464965414483876</v>
      </c>
      <c r="G1384">
        <v>17.088608991153297</v>
      </c>
      <c r="H1384" t="s">
        <v>2388</v>
      </c>
      <c r="I1384" t="s">
        <v>611</v>
      </c>
      <c r="J1384">
        <v>4</v>
      </c>
      <c r="K1384" t="s">
        <v>1001</v>
      </c>
      <c r="L1384">
        <v>190000</v>
      </c>
      <c r="M1384">
        <v>2.15</v>
      </c>
      <c r="N1384">
        <v>17.088608991153297</v>
      </c>
      <c r="O1384" t="s">
        <v>592</v>
      </c>
      <c r="P1384" t="s">
        <v>613</v>
      </c>
      <c r="Q1384" t="s">
        <v>586</v>
      </c>
      <c r="R1384" t="s">
        <v>712</v>
      </c>
      <c r="S1384" t="s">
        <v>712</v>
      </c>
      <c r="T1384">
        <v>80</v>
      </c>
    </row>
    <row r="1385" spans="1:20" x14ac:dyDescent="0.25">
      <c r="A1385" t="s">
        <v>2589</v>
      </c>
      <c r="B1385" t="s">
        <v>407</v>
      </c>
      <c r="C1385" t="s">
        <v>586</v>
      </c>
      <c r="D1385" t="s">
        <v>608</v>
      </c>
      <c r="E1385" t="s">
        <v>2587</v>
      </c>
      <c r="F1385">
        <v>2.372134038450878</v>
      </c>
      <c r="G1385">
        <v>13.589791358705927</v>
      </c>
      <c r="H1385" t="s">
        <v>2388</v>
      </c>
      <c r="I1385" t="s">
        <v>611</v>
      </c>
      <c r="J1385">
        <v>4</v>
      </c>
      <c r="K1385" t="s">
        <v>803</v>
      </c>
      <c r="L1385">
        <v>200000</v>
      </c>
      <c r="M1385">
        <v>2.25</v>
      </c>
      <c r="N1385">
        <v>13.589791358705927</v>
      </c>
      <c r="O1385" t="s">
        <v>592</v>
      </c>
      <c r="P1385" t="s">
        <v>613</v>
      </c>
      <c r="Q1385" t="s">
        <v>586</v>
      </c>
      <c r="R1385" t="s">
        <v>712</v>
      </c>
      <c r="S1385" t="s">
        <v>712</v>
      </c>
      <c r="T1385">
        <v>72</v>
      </c>
    </row>
    <row r="1386" spans="1:20" x14ac:dyDescent="0.25">
      <c r="A1386" t="s">
        <v>2590</v>
      </c>
      <c r="B1386" t="s">
        <v>407</v>
      </c>
      <c r="C1386" t="s">
        <v>586</v>
      </c>
      <c r="D1386" t="s">
        <v>608</v>
      </c>
      <c r="E1386" t="s">
        <v>2587</v>
      </c>
      <c r="F1386">
        <v>3.3027803813940411</v>
      </c>
      <c r="G1386">
        <v>11.644311723564771</v>
      </c>
      <c r="H1386" t="s">
        <v>2388</v>
      </c>
      <c r="I1386" t="s">
        <v>611</v>
      </c>
      <c r="J1386">
        <v>3</v>
      </c>
      <c r="K1386" t="s">
        <v>1387</v>
      </c>
      <c r="L1386">
        <v>205000</v>
      </c>
      <c r="M1386">
        <v>2.35</v>
      </c>
      <c r="N1386">
        <v>11.644311723564771</v>
      </c>
      <c r="O1386" t="s">
        <v>592</v>
      </c>
      <c r="P1386" t="s">
        <v>613</v>
      </c>
      <c r="Q1386" t="s">
        <v>586</v>
      </c>
      <c r="R1386" t="s">
        <v>712</v>
      </c>
      <c r="S1386" t="s">
        <v>712</v>
      </c>
      <c r="T1386">
        <v>56</v>
      </c>
    </row>
    <row r="1387" spans="1:20" x14ac:dyDescent="0.25">
      <c r="A1387" t="s">
        <v>2591</v>
      </c>
      <c r="B1387" t="s">
        <v>408</v>
      </c>
      <c r="C1387" t="s">
        <v>607</v>
      </c>
      <c r="D1387" t="s">
        <v>961</v>
      </c>
      <c r="E1387" t="s">
        <v>2592</v>
      </c>
      <c r="F1387">
        <v>0.32920198852604304</v>
      </c>
      <c r="G1387">
        <v>32.929643835616453</v>
      </c>
      <c r="H1387" t="s">
        <v>610</v>
      </c>
      <c r="I1387" t="s">
        <v>733</v>
      </c>
      <c r="J1387">
        <v>4</v>
      </c>
      <c r="K1387" t="s">
        <v>710</v>
      </c>
      <c r="L1387">
        <v>85000</v>
      </c>
      <c r="M1387">
        <v>1.85</v>
      </c>
      <c r="N1387">
        <v>32.929643835616453</v>
      </c>
      <c r="O1387" t="s">
        <v>592</v>
      </c>
      <c r="P1387" t="s">
        <v>711</v>
      </c>
      <c r="Q1387" t="s">
        <v>586</v>
      </c>
      <c r="R1387" t="s">
        <v>712</v>
      </c>
      <c r="S1387" t="s">
        <v>712</v>
      </c>
      <c r="T1387">
        <v>91</v>
      </c>
    </row>
    <row r="1388" spans="1:20" x14ac:dyDescent="0.25">
      <c r="A1388" t="s">
        <v>2593</v>
      </c>
      <c r="B1388" t="s">
        <v>409</v>
      </c>
      <c r="C1388" t="s">
        <v>586</v>
      </c>
      <c r="D1388" t="s">
        <v>1090</v>
      </c>
      <c r="E1388" t="s">
        <v>2594</v>
      </c>
      <c r="F1388">
        <v>3.6525096243866919</v>
      </c>
      <c r="G1388">
        <v>113.18908094012352</v>
      </c>
      <c r="H1388" t="s">
        <v>2595</v>
      </c>
      <c r="I1388" t="s">
        <v>611</v>
      </c>
      <c r="J1388">
        <v>3.375</v>
      </c>
      <c r="K1388" t="s">
        <v>753</v>
      </c>
      <c r="L1388">
        <v>75000</v>
      </c>
      <c r="M1388">
        <v>3.6</v>
      </c>
      <c r="N1388">
        <v>113.18908094012352</v>
      </c>
      <c r="O1388" t="s">
        <v>592</v>
      </c>
      <c r="P1388" t="s">
        <v>1261</v>
      </c>
      <c r="Q1388" t="s">
        <v>586</v>
      </c>
      <c r="R1388" t="s">
        <v>712</v>
      </c>
      <c r="S1388" t="s">
        <v>712</v>
      </c>
      <c r="T1388">
        <v>36</v>
      </c>
    </row>
    <row r="1389" spans="1:20" x14ac:dyDescent="0.25">
      <c r="A1389" t="s">
        <v>2596</v>
      </c>
      <c r="B1389" t="s">
        <v>409</v>
      </c>
      <c r="C1389" t="s">
        <v>586</v>
      </c>
      <c r="D1389" t="s">
        <v>1090</v>
      </c>
      <c r="E1389" t="s">
        <v>2594</v>
      </c>
      <c r="F1389">
        <v>4.5007952746118445</v>
      </c>
      <c r="G1389">
        <v>116.00327549262927</v>
      </c>
      <c r="H1389" t="s">
        <v>2595</v>
      </c>
      <c r="I1389" t="s">
        <v>611</v>
      </c>
      <c r="J1389">
        <v>3.5</v>
      </c>
      <c r="K1389" t="s">
        <v>1174</v>
      </c>
      <c r="L1389">
        <v>75000</v>
      </c>
      <c r="M1389">
        <v>3.73</v>
      </c>
      <c r="N1389">
        <v>116.00327549262927</v>
      </c>
      <c r="O1389" t="s">
        <v>592</v>
      </c>
      <c r="P1389" t="s">
        <v>1261</v>
      </c>
      <c r="Q1389" t="s">
        <v>586</v>
      </c>
      <c r="R1389" t="s">
        <v>712</v>
      </c>
      <c r="S1389" t="s">
        <v>712</v>
      </c>
      <c r="T1389">
        <v>30</v>
      </c>
    </row>
    <row r="1390" spans="1:20" x14ac:dyDescent="0.25">
      <c r="A1390" t="s">
        <v>2597</v>
      </c>
      <c r="B1390" t="s">
        <v>410</v>
      </c>
      <c r="C1390" t="s">
        <v>586</v>
      </c>
      <c r="D1390" t="s">
        <v>601</v>
      </c>
      <c r="E1390" t="s">
        <v>924</v>
      </c>
      <c r="F1390">
        <v>0.69446707605145608</v>
      </c>
      <c r="G1390">
        <v>3.343136986301376</v>
      </c>
      <c r="H1390" t="s">
        <v>1033</v>
      </c>
      <c r="I1390" t="s">
        <v>1202</v>
      </c>
      <c r="J1390">
        <v>2</v>
      </c>
      <c r="K1390" t="s">
        <v>880</v>
      </c>
      <c r="L1390">
        <v>1100000</v>
      </c>
      <c r="M1390">
        <v>1.48</v>
      </c>
      <c r="N1390">
        <v>3.343136986301376</v>
      </c>
      <c r="O1390" t="s">
        <v>592</v>
      </c>
      <c r="P1390" t="s">
        <v>593</v>
      </c>
      <c r="Q1390" t="s">
        <v>586</v>
      </c>
      <c r="R1390">
        <v>2125000</v>
      </c>
      <c r="S1390" t="s">
        <v>599</v>
      </c>
      <c r="T1390">
        <v>71</v>
      </c>
    </row>
    <row r="1391" spans="1:20" x14ac:dyDescent="0.25">
      <c r="A1391" t="s">
        <v>2598</v>
      </c>
      <c r="B1391" t="s">
        <v>410</v>
      </c>
      <c r="C1391" t="s">
        <v>586</v>
      </c>
      <c r="D1391" t="s">
        <v>601</v>
      </c>
      <c r="E1391" t="s">
        <v>924</v>
      </c>
      <c r="F1391">
        <v>1.6619178829547128</v>
      </c>
      <c r="G1391">
        <v>1.7746712328767345</v>
      </c>
      <c r="H1391" t="s">
        <v>1033</v>
      </c>
      <c r="I1391" t="s">
        <v>1202</v>
      </c>
      <c r="J1391">
        <v>2</v>
      </c>
      <c r="K1391" t="s">
        <v>853</v>
      </c>
      <c r="L1391">
        <v>1100000</v>
      </c>
      <c r="M1391">
        <v>1.6</v>
      </c>
      <c r="N1391">
        <v>1.7746712328767345</v>
      </c>
      <c r="O1391" t="s">
        <v>592</v>
      </c>
      <c r="P1391" t="s">
        <v>593</v>
      </c>
      <c r="Q1391" t="s">
        <v>586</v>
      </c>
      <c r="R1391">
        <v>100000</v>
      </c>
      <c r="S1391" t="s">
        <v>599</v>
      </c>
      <c r="T1391">
        <v>54</v>
      </c>
    </row>
    <row r="1392" spans="1:20" x14ac:dyDescent="0.25">
      <c r="A1392" t="s">
        <v>2599</v>
      </c>
      <c r="B1392" t="s">
        <v>410</v>
      </c>
      <c r="C1392" t="s">
        <v>586</v>
      </c>
      <c r="D1392" t="s">
        <v>601</v>
      </c>
      <c r="E1392" t="s">
        <v>924</v>
      </c>
      <c r="F1392">
        <v>2.6102662112286854</v>
      </c>
      <c r="G1392">
        <v>3.0184246575342577</v>
      </c>
      <c r="H1392" t="s">
        <v>1033</v>
      </c>
      <c r="I1392" t="s">
        <v>1202</v>
      </c>
      <c r="J1392">
        <v>2</v>
      </c>
      <c r="K1392" t="s">
        <v>662</v>
      </c>
      <c r="L1392">
        <v>1100000</v>
      </c>
      <c r="M1392">
        <v>1.75</v>
      </c>
      <c r="N1392">
        <v>3.0184246575342577</v>
      </c>
      <c r="O1392" t="s">
        <v>592</v>
      </c>
      <c r="P1392" t="s">
        <v>593</v>
      </c>
      <c r="Q1392" t="s">
        <v>586</v>
      </c>
      <c r="R1392">
        <v>45000</v>
      </c>
      <c r="S1392" t="s">
        <v>599</v>
      </c>
      <c r="T1392">
        <v>62</v>
      </c>
    </row>
    <row r="1393" spans="1:20" x14ac:dyDescent="0.25">
      <c r="A1393" t="s">
        <v>2600</v>
      </c>
      <c r="B1393" t="s">
        <v>38</v>
      </c>
      <c r="C1393" t="s">
        <v>586</v>
      </c>
      <c r="D1393" t="s">
        <v>707</v>
      </c>
      <c r="E1393" t="s">
        <v>708</v>
      </c>
      <c r="F1393">
        <v>1.305335296242037</v>
      </c>
      <c r="G1393">
        <v>11.362537793729466</v>
      </c>
      <c r="H1393" t="s">
        <v>709</v>
      </c>
      <c r="I1393" t="s">
        <v>661</v>
      </c>
      <c r="J1393">
        <v>2</v>
      </c>
      <c r="K1393" t="s">
        <v>758</v>
      </c>
      <c r="L1393">
        <v>355000</v>
      </c>
      <c r="M1393">
        <v>1.45</v>
      </c>
      <c r="N1393">
        <v>11.362537793729466</v>
      </c>
      <c r="O1393" t="s">
        <v>592</v>
      </c>
      <c r="P1393" t="s">
        <v>711</v>
      </c>
      <c r="Q1393" t="s">
        <v>586</v>
      </c>
      <c r="R1393" t="s">
        <v>712</v>
      </c>
      <c r="S1393" t="s">
        <v>712</v>
      </c>
      <c r="T1393">
        <v>69</v>
      </c>
    </row>
    <row r="1394" spans="1:20" x14ac:dyDescent="0.25">
      <c r="A1394" t="s">
        <v>2601</v>
      </c>
      <c r="B1394" t="s">
        <v>38</v>
      </c>
      <c r="C1394" t="s">
        <v>586</v>
      </c>
      <c r="D1394" t="s">
        <v>707</v>
      </c>
      <c r="E1394" t="s">
        <v>708</v>
      </c>
      <c r="F1394">
        <v>2.2615664074327331</v>
      </c>
      <c r="G1394">
        <v>11.629494063858914</v>
      </c>
      <c r="H1394" t="s">
        <v>709</v>
      </c>
      <c r="I1394" t="s">
        <v>661</v>
      </c>
      <c r="J1394">
        <v>2</v>
      </c>
      <c r="K1394" t="s">
        <v>972</v>
      </c>
      <c r="L1394">
        <v>365000</v>
      </c>
      <c r="M1394">
        <v>1.6</v>
      </c>
      <c r="N1394">
        <v>11.629494063858914</v>
      </c>
      <c r="O1394" t="s">
        <v>592</v>
      </c>
      <c r="P1394" t="s">
        <v>711</v>
      </c>
      <c r="Q1394" t="s">
        <v>586</v>
      </c>
      <c r="R1394">
        <v>140000</v>
      </c>
      <c r="S1394" t="s">
        <v>712</v>
      </c>
      <c r="T1394">
        <v>61</v>
      </c>
    </row>
    <row r="1395" spans="1:20" x14ac:dyDescent="0.25">
      <c r="A1395" t="s">
        <v>2602</v>
      </c>
      <c r="B1395" t="s">
        <v>411</v>
      </c>
      <c r="C1395" t="s">
        <v>607</v>
      </c>
      <c r="D1395" t="s">
        <v>608</v>
      </c>
      <c r="E1395" t="s">
        <v>2603</v>
      </c>
      <c r="F1395">
        <v>0.56890249084085664</v>
      </c>
      <c r="G1395">
        <v>40.073615496153245</v>
      </c>
      <c r="H1395" t="s">
        <v>2604</v>
      </c>
      <c r="I1395" t="s">
        <v>885</v>
      </c>
      <c r="J1395">
        <v>3</v>
      </c>
      <c r="K1395" t="s">
        <v>744</v>
      </c>
      <c r="L1395">
        <v>230000</v>
      </c>
      <c r="M1395">
        <v>1.7000000000000002</v>
      </c>
      <c r="N1395">
        <v>40.073615496153245</v>
      </c>
      <c r="O1395" t="s">
        <v>592</v>
      </c>
      <c r="P1395" t="s">
        <v>613</v>
      </c>
      <c r="Q1395" t="s">
        <v>586</v>
      </c>
      <c r="R1395" t="s">
        <v>712</v>
      </c>
      <c r="S1395" t="s">
        <v>594</v>
      </c>
      <c r="T1395">
        <v>76</v>
      </c>
    </row>
    <row r="1396" spans="1:20" x14ac:dyDescent="0.25">
      <c r="A1396" t="s">
        <v>2605</v>
      </c>
      <c r="B1396" t="s">
        <v>411</v>
      </c>
      <c r="C1396" t="s">
        <v>607</v>
      </c>
      <c r="D1396" t="s">
        <v>608</v>
      </c>
      <c r="E1396" t="s">
        <v>2603</v>
      </c>
      <c r="F1396">
        <v>1.5216219657525183</v>
      </c>
      <c r="G1396">
        <v>40.535155829521166</v>
      </c>
      <c r="H1396" t="s">
        <v>2604</v>
      </c>
      <c r="I1396" t="s">
        <v>885</v>
      </c>
      <c r="J1396">
        <v>3</v>
      </c>
      <c r="K1396" t="s">
        <v>634</v>
      </c>
      <c r="L1396">
        <v>240000</v>
      </c>
      <c r="M1396">
        <v>1.85</v>
      </c>
      <c r="N1396">
        <v>40.535155829521166</v>
      </c>
      <c r="O1396" t="s">
        <v>592</v>
      </c>
      <c r="P1396" t="s">
        <v>613</v>
      </c>
      <c r="Q1396" t="s">
        <v>586</v>
      </c>
      <c r="R1396" t="s">
        <v>712</v>
      </c>
      <c r="S1396" t="s">
        <v>594</v>
      </c>
      <c r="T1396">
        <v>78</v>
      </c>
    </row>
    <row r="1397" spans="1:20" x14ac:dyDescent="0.25">
      <c r="A1397" t="s">
        <v>2606</v>
      </c>
      <c r="B1397" t="s">
        <v>411</v>
      </c>
      <c r="C1397" t="s">
        <v>607</v>
      </c>
      <c r="D1397" t="s">
        <v>608</v>
      </c>
      <c r="E1397" t="s">
        <v>2603</v>
      </c>
      <c r="F1397">
        <v>2.4463788044598269</v>
      </c>
      <c r="G1397">
        <v>45.873831856187849</v>
      </c>
      <c r="H1397" t="s">
        <v>2604</v>
      </c>
      <c r="I1397" t="s">
        <v>885</v>
      </c>
      <c r="J1397">
        <v>3</v>
      </c>
      <c r="K1397" t="s">
        <v>959</v>
      </c>
      <c r="L1397">
        <v>245000</v>
      </c>
      <c r="M1397">
        <v>2.0499999999999998</v>
      </c>
      <c r="N1397">
        <v>45.873831856187849</v>
      </c>
      <c r="O1397" t="s">
        <v>592</v>
      </c>
      <c r="P1397" t="s">
        <v>613</v>
      </c>
      <c r="Q1397" t="s">
        <v>586</v>
      </c>
      <c r="R1397" t="s">
        <v>712</v>
      </c>
      <c r="S1397" t="s">
        <v>594</v>
      </c>
      <c r="T1397">
        <v>65</v>
      </c>
    </row>
    <row r="1398" spans="1:20" x14ac:dyDescent="0.25">
      <c r="A1398" t="s">
        <v>2607</v>
      </c>
      <c r="B1398" t="s">
        <v>411</v>
      </c>
      <c r="C1398" t="s">
        <v>607</v>
      </c>
      <c r="D1398" t="s">
        <v>608</v>
      </c>
      <c r="E1398" t="s">
        <v>2603</v>
      </c>
      <c r="F1398">
        <v>3.3443734961883682</v>
      </c>
      <c r="G1398">
        <v>47.005766268107443</v>
      </c>
      <c r="H1398" t="s">
        <v>2604</v>
      </c>
      <c r="I1398" t="s">
        <v>885</v>
      </c>
      <c r="J1398">
        <v>3</v>
      </c>
      <c r="K1398" t="s">
        <v>1038</v>
      </c>
      <c r="L1398">
        <v>255000</v>
      </c>
      <c r="M1398">
        <v>2.2000000000000002</v>
      </c>
      <c r="N1398">
        <v>47.005766268107443</v>
      </c>
      <c r="O1398" t="s">
        <v>592</v>
      </c>
      <c r="P1398" t="s">
        <v>613</v>
      </c>
      <c r="Q1398" t="s">
        <v>586</v>
      </c>
      <c r="R1398" t="s">
        <v>712</v>
      </c>
      <c r="S1398" t="s">
        <v>594</v>
      </c>
      <c r="T1398">
        <v>53</v>
      </c>
    </row>
    <row r="1399" spans="1:20" x14ac:dyDescent="0.25">
      <c r="A1399" t="s">
        <v>2608</v>
      </c>
      <c r="B1399" t="s">
        <v>411</v>
      </c>
      <c r="C1399" t="s">
        <v>607</v>
      </c>
      <c r="D1399" t="s">
        <v>608</v>
      </c>
      <c r="E1399" t="s">
        <v>2603</v>
      </c>
      <c r="F1399">
        <v>4.2162073062530858</v>
      </c>
      <c r="G1399">
        <v>50.414321269743525</v>
      </c>
      <c r="H1399" t="s">
        <v>2604</v>
      </c>
      <c r="I1399" t="s">
        <v>885</v>
      </c>
      <c r="J1399">
        <v>3</v>
      </c>
      <c r="K1399" t="s">
        <v>1133</v>
      </c>
      <c r="L1399">
        <v>260000</v>
      </c>
      <c r="M1399">
        <v>2.35</v>
      </c>
      <c r="N1399">
        <v>50.414321269743525</v>
      </c>
      <c r="O1399" t="s">
        <v>592</v>
      </c>
      <c r="P1399" t="s">
        <v>613</v>
      </c>
      <c r="Q1399" t="s">
        <v>586</v>
      </c>
      <c r="R1399" t="s">
        <v>712</v>
      </c>
      <c r="S1399" t="s">
        <v>594</v>
      </c>
      <c r="T1399">
        <v>44</v>
      </c>
    </row>
    <row r="1400" spans="1:20" x14ac:dyDescent="0.25">
      <c r="A1400" t="s">
        <v>2609</v>
      </c>
      <c r="B1400" t="s">
        <v>412</v>
      </c>
      <c r="C1400" t="s">
        <v>586</v>
      </c>
      <c r="D1400" t="s">
        <v>770</v>
      </c>
      <c r="E1400" t="s">
        <v>2610</v>
      </c>
      <c r="F1400">
        <v>0.16361670958711536</v>
      </c>
      <c r="G1400">
        <v>12.980041423371102</v>
      </c>
      <c r="H1400" t="s">
        <v>596</v>
      </c>
      <c r="I1400" t="s">
        <v>611</v>
      </c>
      <c r="J1400">
        <v>3</v>
      </c>
      <c r="K1400" t="s">
        <v>749</v>
      </c>
      <c r="L1400">
        <v>260000</v>
      </c>
      <c r="M1400">
        <v>1.9000000000000001</v>
      </c>
      <c r="N1400">
        <v>12.980041423371102</v>
      </c>
      <c r="O1400" t="s">
        <v>592</v>
      </c>
      <c r="P1400" t="s">
        <v>613</v>
      </c>
      <c r="Q1400" t="s">
        <v>586</v>
      </c>
      <c r="R1400" t="s">
        <v>712</v>
      </c>
      <c r="S1400" t="s">
        <v>712</v>
      </c>
      <c r="T1400">
        <v>98</v>
      </c>
    </row>
    <row r="1401" spans="1:20" x14ac:dyDescent="0.25">
      <c r="A1401" t="s">
        <v>2611</v>
      </c>
      <c r="B1401" t="s">
        <v>412</v>
      </c>
      <c r="C1401" t="s">
        <v>586</v>
      </c>
      <c r="D1401" t="s">
        <v>770</v>
      </c>
      <c r="E1401" t="s">
        <v>2610</v>
      </c>
      <c r="F1401">
        <v>1.1328458226047624</v>
      </c>
      <c r="G1401">
        <v>20.554490679609149</v>
      </c>
      <c r="H1401" t="s">
        <v>596</v>
      </c>
      <c r="I1401" t="s">
        <v>611</v>
      </c>
      <c r="J1401">
        <v>3</v>
      </c>
      <c r="K1401" t="s">
        <v>598</v>
      </c>
      <c r="L1401">
        <v>270000</v>
      </c>
      <c r="M1401">
        <v>2.14</v>
      </c>
      <c r="N1401">
        <v>20.554490679609149</v>
      </c>
      <c r="O1401" t="s">
        <v>592</v>
      </c>
      <c r="P1401" t="s">
        <v>613</v>
      </c>
      <c r="Q1401" t="s">
        <v>586</v>
      </c>
      <c r="R1401" t="s">
        <v>712</v>
      </c>
      <c r="S1401" t="s">
        <v>712</v>
      </c>
      <c r="T1401">
        <v>84</v>
      </c>
    </row>
    <row r="1402" spans="1:20" x14ac:dyDescent="0.25">
      <c r="A1402" t="s">
        <v>2612</v>
      </c>
      <c r="B1402" t="s">
        <v>412</v>
      </c>
      <c r="C1402" t="s">
        <v>586</v>
      </c>
      <c r="D1402" t="s">
        <v>770</v>
      </c>
      <c r="E1402" t="s">
        <v>2610</v>
      </c>
      <c r="F1402">
        <v>2.0516637560574491</v>
      </c>
      <c r="G1402">
        <v>25.481247565919762</v>
      </c>
      <c r="H1402" t="s">
        <v>596</v>
      </c>
      <c r="I1402" t="s">
        <v>611</v>
      </c>
      <c r="J1402">
        <v>4</v>
      </c>
      <c r="K1402" t="s">
        <v>651</v>
      </c>
      <c r="L1402">
        <v>275000</v>
      </c>
      <c r="M1402">
        <v>2.35</v>
      </c>
      <c r="N1402">
        <v>25.481247565919762</v>
      </c>
      <c r="O1402" t="s">
        <v>592</v>
      </c>
      <c r="P1402" t="s">
        <v>613</v>
      </c>
      <c r="Q1402" t="s">
        <v>586</v>
      </c>
      <c r="R1402" t="s">
        <v>712</v>
      </c>
      <c r="S1402" t="s">
        <v>712</v>
      </c>
      <c r="T1402">
        <v>80</v>
      </c>
    </row>
    <row r="1403" spans="1:20" x14ac:dyDescent="0.25">
      <c r="A1403" t="s">
        <v>2613</v>
      </c>
      <c r="B1403" t="s">
        <v>412</v>
      </c>
      <c r="C1403" t="s">
        <v>586</v>
      </c>
      <c r="D1403" t="s">
        <v>770</v>
      </c>
      <c r="E1403" t="s">
        <v>2610</v>
      </c>
      <c r="F1403">
        <v>2.9437457035565653</v>
      </c>
      <c r="G1403">
        <v>23.722518513308</v>
      </c>
      <c r="H1403" t="s">
        <v>596</v>
      </c>
      <c r="I1403" t="s">
        <v>611</v>
      </c>
      <c r="J1403">
        <v>4</v>
      </c>
      <c r="K1403" t="s">
        <v>727</v>
      </c>
      <c r="L1403">
        <v>285000</v>
      </c>
      <c r="M1403">
        <v>2.48</v>
      </c>
      <c r="N1403">
        <v>23.722518513308</v>
      </c>
      <c r="O1403" t="s">
        <v>592</v>
      </c>
      <c r="P1403" t="s">
        <v>613</v>
      </c>
      <c r="Q1403" t="s">
        <v>586</v>
      </c>
      <c r="R1403" t="s">
        <v>712</v>
      </c>
      <c r="S1403" t="s">
        <v>712</v>
      </c>
      <c r="T1403">
        <v>73</v>
      </c>
    </row>
    <row r="1404" spans="1:20" x14ac:dyDescent="0.25">
      <c r="A1404" t="s">
        <v>2614</v>
      </c>
      <c r="B1404" t="s">
        <v>412</v>
      </c>
      <c r="C1404" t="s">
        <v>586</v>
      </c>
      <c r="D1404" t="s">
        <v>770</v>
      </c>
      <c r="E1404" t="s">
        <v>2610</v>
      </c>
      <c r="F1404">
        <v>3.8039852109325882</v>
      </c>
      <c r="G1404">
        <v>20.556586930935694</v>
      </c>
      <c r="H1404" t="s">
        <v>596</v>
      </c>
      <c r="I1404" t="s">
        <v>611</v>
      </c>
      <c r="J1404">
        <v>4</v>
      </c>
      <c r="K1404" t="s">
        <v>629</v>
      </c>
      <c r="L1404">
        <v>300000</v>
      </c>
      <c r="M1404">
        <v>2.57</v>
      </c>
      <c r="N1404">
        <v>20.556586930935694</v>
      </c>
      <c r="O1404" t="s">
        <v>592</v>
      </c>
      <c r="P1404" t="s">
        <v>613</v>
      </c>
      <c r="Q1404" t="s">
        <v>586</v>
      </c>
      <c r="R1404" t="s">
        <v>712</v>
      </c>
      <c r="S1404" t="s">
        <v>712</v>
      </c>
      <c r="T1404">
        <v>68</v>
      </c>
    </row>
    <row r="1405" spans="1:20" x14ac:dyDescent="0.25">
      <c r="A1405" t="s">
        <v>2615</v>
      </c>
      <c r="B1405" t="s">
        <v>413</v>
      </c>
      <c r="C1405" t="s">
        <v>586</v>
      </c>
      <c r="D1405" t="s">
        <v>2104</v>
      </c>
      <c r="E1405" t="s">
        <v>2616</v>
      </c>
      <c r="F1405">
        <v>0.11930588982631744</v>
      </c>
      <c r="G1405">
        <v>69.872341729610483</v>
      </c>
      <c r="H1405" t="s">
        <v>784</v>
      </c>
      <c r="I1405" t="s">
        <v>661</v>
      </c>
      <c r="J1405">
        <v>1.85</v>
      </c>
      <c r="K1405" t="s">
        <v>1105</v>
      </c>
      <c r="L1405">
        <v>20000</v>
      </c>
      <c r="M1405">
        <v>1.85</v>
      </c>
      <c r="N1405">
        <v>69.872341729610483</v>
      </c>
      <c r="O1405" t="s">
        <v>592</v>
      </c>
      <c r="P1405" t="s">
        <v>711</v>
      </c>
      <c r="Q1405" t="s">
        <v>586</v>
      </c>
      <c r="R1405" t="s">
        <v>712</v>
      </c>
      <c r="S1405" t="s">
        <v>712</v>
      </c>
      <c r="T1405">
        <v>15</v>
      </c>
    </row>
    <row r="1406" spans="1:20" x14ac:dyDescent="0.25">
      <c r="A1406" t="s">
        <v>2617</v>
      </c>
      <c r="B1406" t="s">
        <v>414</v>
      </c>
      <c r="C1406" t="s">
        <v>607</v>
      </c>
      <c r="D1406" t="s">
        <v>1124</v>
      </c>
      <c r="E1406" t="s">
        <v>2618</v>
      </c>
      <c r="F1406">
        <v>5.5552826671751883E-3</v>
      </c>
      <c r="G1406">
        <v>51.651086057175654</v>
      </c>
      <c r="H1406" t="s">
        <v>928</v>
      </c>
      <c r="I1406" t="s">
        <v>721</v>
      </c>
      <c r="J1406">
        <v>2</v>
      </c>
      <c r="K1406" t="s">
        <v>995</v>
      </c>
      <c r="L1406">
        <v>305000</v>
      </c>
      <c r="M1406">
        <v>1.75</v>
      </c>
      <c r="N1406">
        <v>51.651086057175654</v>
      </c>
      <c r="O1406" t="s">
        <v>592</v>
      </c>
      <c r="P1406" t="s">
        <v>711</v>
      </c>
      <c r="Q1406" t="s">
        <v>586</v>
      </c>
      <c r="R1406" t="s">
        <v>712</v>
      </c>
      <c r="S1406" t="s">
        <v>594</v>
      </c>
      <c r="T1406">
        <v>100</v>
      </c>
    </row>
    <row r="1407" spans="1:20" x14ac:dyDescent="0.25">
      <c r="A1407" t="s">
        <v>2619</v>
      </c>
      <c r="B1407" t="s">
        <v>414</v>
      </c>
      <c r="C1407" t="s">
        <v>607</v>
      </c>
      <c r="D1407" t="s">
        <v>1124</v>
      </c>
      <c r="E1407" t="s">
        <v>2618</v>
      </c>
      <c r="F1407">
        <v>0.98271783715335481</v>
      </c>
      <c r="G1407">
        <v>50.681610764582864</v>
      </c>
      <c r="H1407" t="s">
        <v>928</v>
      </c>
      <c r="I1407" t="s">
        <v>721</v>
      </c>
      <c r="J1407">
        <v>3</v>
      </c>
      <c r="K1407" t="s">
        <v>646</v>
      </c>
      <c r="L1407">
        <v>310000</v>
      </c>
      <c r="M1407">
        <v>1.9000000000000001</v>
      </c>
      <c r="N1407">
        <v>50.681610764582864</v>
      </c>
      <c r="O1407" t="s">
        <v>592</v>
      </c>
      <c r="P1407" t="s">
        <v>711</v>
      </c>
      <c r="Q1407" t="s">
        <v>586</v>
      </c>
      <c r="R1407">
        <v>40000</v>
      </c>
      <c r="S1407" t="s">
        <v>594</v>
      </c>
      <c r="T1407">
        <v>92</v>
      </c>
    </row>
    <row r="1408" spans="1:20" x14ac:dyDescent="0.25">
      <c r="A1408" t="s">
        <v>2620</v>
      </c>
      <c r="B1408" t="s">
        <v>414</v>
      </c>
      <c r="C1408" t="s">
        <v>607</v>
      </c>
      <c r="D1408" t="s">
        <v>1124</v>
      </c>
      <c r="E1408" t="s">
        <v>2618</v>
      </c>
      <c r="F1408">
        <v>1.9374134496653301</v>
      </c>
      <c r="G1408">
        <v>49.592787384357905</v>
      </c>
      <c r="H1408" t="s">
        <v>928</v>
      </c>
      <c r="I1408" t="s">
        <v>721</v>
      </c>
      <c r="J1408">
        <v>3</v>
      </c>
      <c r="K1408" t="s">
        <v>729</v>
      </c>
      <c r="L1408">
        <v>315000</v>
      </c>
      <c r="M1408">
        <v>2.0499999999999998</v>
      </c>
      <c r="N1408">
        <v>49.592787384357905</v>
      </c>
      <c r="O1408" t="s">
        <v>592</v>
      </c>
      <c r="P1408" t="s">
        <v>711</v>
      </c>
      <c r="Q1408" t="s">
        <v>586</v>
      </c>
      <c r="R1408" t="s">
        <v>712</v>
      </c>
      <c r="S1408" t="s">
        <v>594</v>
      </c>
      <c r="T1408">
        <v>81</v>
      </c>
    </row>
    <row r="1409" spans="1:20" x14ac:dyDescent="0.25">
      <c r="A1409" t="s">
        <v>2621</v>
      </c>
      <c r="B1409" t="s">
        <v>414</v>
      </c>
      <c r="C1409" t="s">
        <v>607</v>
      </c>
      <c r="D1409" t="s">
        <v>1124</v>
      </c>
      <c r="E1409" t="s">
        <v>2618</v>
      </c>
      <c r="F1409">
        <v>2.86475788294219</v>
      </c>
      <c r="G1409">
        <v>48.911541476919183</v>
      </c>
      <c r="H1409" t="s">
        <v>928</v>
      </c>
      <c r="I1409" t="s">
        <v>721</v>
      </c>
      <c r="J1409">
        <v>3</v>
      </c>
      <c r="K1409" t="s">
        <v>817</v>
      </c>
      <c r="L1409">
        <v>325000</v>
      </c>
      <c r="M1409">
        <v>2.2000000000000002</v>
      </c>
      <c r="N1409">
        <v>48.911541476919183</v>
      </c>
      <c r="O1409" t="s">
        <v>592</v>
      </c>
      <c r="P1409" t="s">
        <v>711</v>
      </c>
      <c r="Q1409" t="s">
        <v>586</v>
      </c>
      <c r="R1409" t="s">
        <v>712</v>
      </c>
      <c r="S1409" t="s">
        <v>594</v>
      </c>
      <c r="T1409">
        <v>71</v>
      </c>
    </row>
    <row r="1410" spans="1:20" x14ac:dyDescent="0.25">
      <c r="A1410" t="s">
        <v>2622</v>
      </c>
      <c r="B1410" t="s">
        <v>415</v>
      </c>
      <c r="C1410" t="s">
        <v>586</v>
      </c>
      <c r="D1410" t="s">
        <v>741</v>
      </c>
      <c r="E1410" t="s">
        <v>1017</v>
      </c>
      <c r="F1410">
        <v>0.65153307362892521</v>
      </c>
      <c r="G1410">
        <v>27.829516052587433</v>
      </c>
      <c r="H1410" t="s">
        <v>2623</v>
      </c>
      <c r="I1410" t="s">
        <v>1137</v>
      </c>
      <c r="J1410">
        <v>3</v>
      </c>
      <c r="K1410" t="s">
        <v>787</v>
      </c>
      <c r="L1410">
        <v>495000</v>
      </c>
      <c r="M1410">
        <v>2</v>
      </c>
      <c r="N1410">
        <v>27.829516052587433</v>
      </c>
      <c r="O1410" t="s">
        <v>592</v>
      </c>
      <c r="P1410" t="s">
        <v>745</v>
      </c>
      <c r="Q1410" t="s">
        <v>586</v>
      </c>
      <c r="R1410" t="s">
        <v>712</v>
      </c>
      <c r="S1410" t="s">
        <v>712</v>
      </c>
      <c r="T1410">
        <v>91</v>
      </c>
    </row>
    <row r="1411" spans="1:20" x14ac:dyDescent="0.25">
      <c r="A1411" t="s">
        <v>2624</v>
      </c>
      <c r="B1411" t="s">
        <v>415</v>
      </c>
      <c r="C1411" t="s">
        <v>586</v>
      </c>
      <c r="D1411" t="s">
        <v>741</v>
      </c>
      <c r="E1411" t="s">
        <v>1017</v>
      </c>
      <c r="F1411">
        <v>1.6169267168404349</v>
      </c>
      <c r="G1411">
        <v>21.065902617491016</v>
      </c>
      <c r="H1411" t="s">
        <v>2623</v>
      </c>
      <c r="I1411" t="s">
        <v>1137</v>
      </c>
      <c r="J1411">
        <v>2.1</v>
      </c>
      <c r="K1411" t="s">
        <v>905</v>
      </c>
      <c r="L1411">
        <v>600000</v>
      </c>
      <c r="M1411">
        <v>2.1</v>
      </c>
      <c r="N1411">
        <v>21.065902617491016</v>
      </c>
      <c r="O1411" t="s">
        <v>592</v>
      </c>
      <c r="P1411" t="s">
        <v>745</v>
      </c>
      <c r="Q1411" t="s">
        <v>586</v>
      </c>
      <c r="R1411" t="s">
        <v>712</v>
      </c>
      <c r="S1411" t="s">
        <v>712</v>
      </c>
      <c r="T1411">
        <v>79</v>
      </c>
    </row>
    <row r="1412" spans="1:20" x14ac:dyDescent="0.25">
      <c r="A1412" t="s">
        <v>2625</v>
      </c>
      <c r="B1412" t="s">
        <v>416</v>
      </c>
      <c r="C1412" t="s">
        <v>586</v>
      </c>
      <c r="D1412" t="s">
        <v>795</v>
      </c>
      <c r="E1412" t="s">
        <v>796</v>
      </c>
      <c r="F1412">
        <v>0.16359484076204464</v>
      </c>
      <c r="G1412">
        <v>60.803839238859723</v>
      </c>
      <c r="H1412" t="s">
        <v>799</v>
      </c>
      <c r="I1412" t="s">
        <v>721</v>
      </c>
      <c r="J1412">
        <v>3.75</v>
      </c>
      <c r="K1412" t="s">
        <v>749</v>
      </c>
      <c r="L1412">
        <v>30000</v>
      </c>
      <c r="M1412">
        <v>1.8</v>
      </c>
      <c r="N1412">
        <v>60.803839238859723</v>
      </c>
      <c r="O1412" t="s">
        <v>592</v>
      </c>
      <c r="P1412" t="s">
        <v>711</v>
      </c>
      <c r="Q1412" t="s">
        <v>586</v>
      </c>
      <c r="R1412" t="s">
        <v>712</v>
      </c>
      <c r="S1412" t="s">
        <v>712</v>
      </c>
      <c r="T1412">
        <v>93</v>
      </c>
    </row>
    <row r="1413" spans="1:20" x14ac:dyDescent="0.25">
      <c r="A1413" t="s">
        <v>2626</v>
      </c>
      <c r="B1413" t="s">
        <v>416</v>
      </c>
      <c r="C1413" t="s">
        <v>586</v>
      </c>
      <c r="D1413" t="s">
        <v>795</v>
      </c>
      <c r="E1413" t="s">
        <v>796</v>
      </c>
      <c r="F1413">
        <v>1.1289283497355196</v>
      </c>
      <c r="G1413">
        <v>65.32606260622498</v>
      </c>
      <c r="H1413" t="s">
        <v>799</v>
      </c>
      <c r="I1413" t="s">
        <v>721</v>
      </c>
      <c r="J1413">
        <v>3.5</v>
      </c>
      <c r="K1413" t="s">
        <v>598</v>
      </c>
      <c r="L1413">
        <v>35000</v>
      </c>
      <c r="M1413">
        <v>2</v>
      </c>
      <c r="N1413">
        <v>65.32606260622498</v>
      </c>
      <c r="O1413" t="s">
        <v>592</v>
      </c>
      <c r="P1413" t="s">
        <v>711</v>
      </c>
      <c r="Q1413" t="s">
        <v>586</v>
      </c>
      <c r="R1413" t="s">
        <v>712</v>
      </c>
      <c r="S1413" t="s">
        <v>712</v>
      </c>
      <c r="T1413">
        <v>78</v>
      </c>
    </row>
    <row r="1414" spans="1:20" x14ac:dyDescent="0.25">
      <c r="A1414" t="s">
        <v>2627</v>
      </c>
      <c r="B1414" t="s">
        <v>416</v>
      </c>
      <c r="C1414" t="s">
        <v>586</v>
      </c>
      <c r="D1414" t="s">
        <v>795</v>
      </c>
      <c r="E1414" t="s">
        <v>796</v>
      </c>
      <c r="F1414">
        <v>2.0912252498273465</v>
      </c>
      <c r="G1414">
        <v>64.747965977396092</v>
      </c>
      <c r="H1414" t="s">
        <v>799</v>
      </c>
      <c r="I1414" t="s">
        <v>721</v>
      </c>
      <c r="J1414">
        <v>2.15</v>
      </c>
      <c r="K1414" t="s">
        <v>651</v>
      </c>
      <c r="L1414">
        <v>35000</v>
      </c>
      <c r="M1414">
        <v>2.15</v>
      </c>
      <c r="N1414">
        <v>64.747965977396092</v>
      </c>
      <c r="O1414" t="s">
        <v>592</v>
      </c>
      <c r="P1414" t="s">
        <v>711</v>
      </c>
      <c r="Q1414" t="s">
        <v>586</v>
      </c>
      <c r="R1414" t="s">
        <v>712</v>
      </c>
      <c r="S1414" t="s">
        <v>712</v>
      </c>
      <c r="T1414">
        <v>51</v>
      </c>
    </row>
    <row r="1415" spans="1:20" x14ac:dyDescent="0.25">
      <c r="A1415" t="s">
        <v>2628</v>
      </c>
      <c r="B1415" t="s">
        <v>416</v>
      </c>
      <c r="C1415" t="s">
        <v>586</v>
      </c>
      <c r="D1415" t="s">
        <v>795</v>
      </c>
      <c r="E1415" t="s">
        <v>796</v>
      </c>
      <c r="F1415">
        <v>3.016958763863919</v>
      </c>
      <c r="G1415">
        <v>64.734135559874417</v>
      </c>
      <c r="H1415" t="s">
        <v>799</v>
      </c>
      <c r="I1415" t="s">
        <v>721</v>
      </c>
      <c r="J1415">
        <v>2.2999999999999998</v>
      </c>
      <c r="K1415" t="s">
        <v>727</v>
      </c>
      <c r="L1415">
        <v>35000</v>
      </c>
      <c r="M1415">
        <v>2.3000000000000003</v>
      </c>
      <c r="N1415">
        <v>64.734135559874417</v>
      </c>
      <c r="O1415" t="s">
        <v>592</v>
      </c>
      <c r="P1415" t="s">
        <v>711</v>
      </c>
      <c r="Q1415" t="s">
        <v>586</v>
      </c>
      <c r="R1415">
        <v>70000</v>
      </c>
      <c r="S1415" t="s">
        <v>712</v>
      </c>
      <c r="T1415">
        <v>42</v>
      </c>
    </row>
    <row r="1416" spans="1:20" x14ac:dyDescent="0.25">
      <c r="A1416" t="s">
        <v>2629</v>
      </c>
      <c r="B1416" t="s">
        <v>416</v>
      </c>
      <c r="C1416" t="s">
        <v>586</v>
      </c>
      <c r="D1416" t="s">
        <v>795</v>
      </c>
      <c r="E1416" t="s">
        <v>796</v>
      </c>
      <c r="F1416">
        <v>3.9133001859810026</v>
      </c>
      <c r="G1416">
        <v>66.583792648511491</v>
      </c>
      <c r="H1416" t="s">
        <v>799</v>
      </c>
      <c r="I1416" t="s">
        <v>721</v>
      </c>
      <c r="J1416">
        <v>2.4500000000000002</v>
      </c>
      <c r="K1416" t="s">
        <v>629</v>
      </c>
      <c r="L1416">
        <v>40000</v>
      </c>
      <c r="M1416">
        <v>2.4500000000000002</v>
      </c>
      <c r="N1416">
        <v>66.583792648511491</v>
      </c>
      <c r="O1416" t="s">
        <v>592</v>
      </c>
      <c r="P1416" t="s">
        <v>711</v>
      </c>
      <c r="Q1416" t="s">
        <v>586</v>
      </c>
      <c r="R1416">
        <v>40000</v>
      </c>
      <c r="S1416" t="s">
        <v>712</v>
      </c>
      <c r="T1416">
        <v>37</v>
      </c>
    </row>
    <row r="1417" spans="1:20" x14ac:dyDescent="0.25">
      <c r="A1417" t="s">
        <v>2630</v>
      </c>
      <c r="B1417" t="s">
        <v>417</v>
      </c>
      <c r="C1417" t="s">
        <v>586</v>
      </c>
      <c r="D1417" t="s">
        <v>654</v>
      </c>
      <c r="E1417" t="s">
        <v>766</v>
      </c>
      <c r="F1417">
        <v>4.3988605804912178</v>
      </c>
      <c r="G1417">
        <v>19.405424657534276</v>
      </c>
      <c r="H1417" t="s">
        <v>1585</v>
      </c>
      <c r="I1417" t="s">
        <v>2631</v>
      </c>
      <c r="J1417">
        <v>5</v>
      </c>
      <c r="K1417" t="s">
        <v>1174</v>
      </c>
      <c r="L1417">
        <v>1200000</v>
      </c>
      <c r="M1417">
        <v>2.1800000000000002</v>
      </c>
      <c r="N1417">
        <v>19.405424657534276</v>
      </c>
      <c r="O1417" t="s">
        <v>592</v>
      </c>
      <c r="P1417" t="s">
        <v>593</v>
      </c>
      <c r="Q1417" t="s">
        <v>586</v>
      </c>
      <c r="R1417">
        <v>45000</v>
      </c>
      <c r="S1417" t="s">
        <v>652</v>
      </c>
      <c r="T1417">
        <v>71</v>
      </c>
    </row>
    <row r="1418" spans="1:20" x14ac:dyDescent="0.25">
      <c r="A1418" t="s">
        <v>2632</v>
      </c>
      <c r="B1418" t="s">
        <v>418</v>
      </c>
      <c r="C1418" t="s">
        <v>586</v>
      </c>
      <c r="D1418" t="s">
        <v>608</v>
      </c>
      <c r="E1418" t="s">
        <v>850</v>
      </c>
      <c r="F1418">
        <v>0.5215857164119887</v>
      </c>
      <c r="G1418">
        <v>16.350820381760876</v>
      </c>
      <c r="H1418" t="s">
        <v>1000</v>
      </c>
      <c r="I1418" t="s">
        <v>721</v>
      </c>
      <c r="J1418">
        <v>5</v>
      </c>
      <c r="K1418" t="s">
        <v>1005</v>
      </c>
      <c r="L1418">
        <v>965000</v>
      </c>
      <c r="M1418">
        <v>1.45</v>
      </c>
      <c r="N1418">
        <v>16.350820381760876</v>
      </c>
      <c r="O1418" t="s">
        <v>592</v>
      </c>
      <c r="P1418" t="s">
        <v>621</v>
      </c>
      <c r="Q1418" t="s">
        <v>586</v>
      </c>
      <c r="R1418" t="s">
        <v>712</v>
      </c>
      <c r="S1418" t="s">
        <v>652</v>
      </c>
      <c r="T1418">
        <v>94</v>
      </c>
    </row>
    <row r="1419" spans="1:20" x14ac:dyDescent="0.25">
      <c r="A1419" t="s">
        <v>2633</v>
      </c>
      <c r="B1419" t="s">
        <v>418</v>
      </c>
      <c r="C1419" t="s">
        <v>586</v>
      </c>
      <c r="D1419" t="s">
        <v>608</v>
      </c>
      <c r="E1419" t="s">
        <v>850</v>
      </c>
      <c r="F1419">
        <v>1.4556414461438019</v>
      </c>
      <c r="G1419">
        <v>17.469695023134602</v>
      </c>
      <c r="H1419" t="s">
        <v>1000</v>
      </c>
      <c r="I1419" t="s">
        <v>721</v>
      </c>
      <c r="J1419">
        <v>5</v>
      </c>
      <c r="K1419" t="s">
        <v>1001</v>
      </c>
      <c r="L1419">
        <v>685000</v>
      </c>
      <c r="M1419">
        <v>1.61</v>
      </c>
      <c r="N1419">
        <v>17.469695023134602</v>
      </c>
      <c r="O1419" t="s">
        <v>592</v>
      </c>
      <c r="P1419" t="s">
        <v>621</v>
      </c>
      <c r="Q1419" t="s">
        <v>586</v>
      </c>
      <c r="R1419">
        <v>20000</v>
      </c>
      <c r="S1419" t="s">
        <v>652</v>
      </c>
      <c r="T1419">
        <v>86</v>
      </c>
    </row>
    <row r="1420" spans="1:20" x14ac:dyDescent="0.25">
      <c r="A1420" t="s">
        <v>2634</v>
      </c>
      <c r="B1420" t="s">
        <v>418</v>
      </c>
      <c r="C1420" t="s">
        <v>586</v>
      </c>
      <c r="D1420" t="s">
        <v>608</v>
      </c>
      <c r="E1420" t="s">
        <v>850</v>
      </c>
      <c r="F1420">
        <v>2.34838458544511</v>
      </c>
      <c r="G1420">
        <v>22.388922386069442</v>
      </c>
      <c r="H1420" t="s">
        <v>1000</v>
      </c>
      <c r="I1420" t="s">
        <v>721</v>
      </c>
      <c r="J1420">
        <v>5</v>
      </c>
      <c r="K1420" t="s">
        <v>803</v>
      </c>
      <c r="L1420">
        <v>680000</v>
      </c>
      <c r="M1420">
        <v>1.81</v>
      </c>
      <c r="N1420">
        <v>22.388922386069442</v>
      </c>
      <c r="O1420" t="s">
        <v>592</v>
      </c>
      <c r="P1420" t="s">
        <v>621</v>
      </c>
      <c r="Q1420" t="s">
        <v>586</v>
      </c>
      <c r="R1420" t="s">
        <v>712</v>
      </c>
      <c r="S1420" t="s">
        <v>652</v>
      </c>
      <c r="T1420">
        <v>77</v>
      </c>
    </row>
    <row r="1421" spans="1:20" x14ac:dyDescent="0.25">
      <c r="A1421" t="s">
        <v>2635</v>
      </c>
      <c r="B1421" t="s">
        <v>418</v>
      </c>
      <c r="C1421" t="s">
        <v>586</v>
      </c>
      <c r="D1421" t="s">
        <v>608</v>
      </c>
      <c r="E1421" t="s">
        <v>850</v>
      </c>
      <c r="F1421">
        <v>3.2037806989080178</v>
      </c>
      <c r="G1421">
        <v>28.188199389539825</v>
      </c>
      <c r="H1421" t="s">
        <v>1000</v>
      </c>
      <c r="I1421" t="s">
        <v>721</v>
      </c>
      <c r="J1421">
        <v>5</v>
      </c>
      <c r="K1421" t="s">
        <v>1387</v>
      </c>
      <c r="L1421">
        <v>1000000</v>
      </c>
      <c r="M1421">
        <v>2.0100000000000002</v>
      </c>
      <c r="N1421">
        <v>28.188199389539825</v>
      </c>
      <c r="O1421" t="s">
        <v>592</v>
      </c>
      <c r="P1421" t="s">
        <v>621</v>
      </c>
      <c r="Q1421" t="s">
        <v>586</v>
      </c>
      <c r="R1421" t="s">
        <v>712</v>
      </c>
      <c r="S1421" t="s">
        <v>652</v>
      </c>
      <c r="T1421">
        <v>69</v>
      </c>
    </row>
    <row r="1422" spans="1:20" x14ac:dyDescent="0.25">
      <c r="A1422" t="s">
        <v>2636</v>
      </c>
      <c r="B1422" t="s">
        <v>418</v>
      </c>
      <c r="C1422" t="s">
        <v>586</v>
      </c>
      <c r="D1422" t="s">
        <v>608</v>
      </c>
      <c r="E1422" t="s">
        <v>850</v>
      </c>
      <c r="F1422">
        <v>4.024825337449637</v>
      </c>
      <c r="G1422">
        <v>26.13218719894639</v>
      </c>
      <c r="H1422" t="s">
        <v>1000</v>
      </c>
      <c r="I1422" t="s">
        <v>721</v>
      </c>
      <c r="J1422">
        <v>5</v>
      </c>
      <c r="K1422" t="s">
        <v>1765</v>
      </c>
      <c r="L1422">
        <v>1015000</v>
      </c>
      <c r="M1422">
        <v>2.11</v>
      </c>
      <c r="N1422">
        <v>26.13218719894639</v>
      </c>
      <c r="O1422" t="s">
        <v>592</v>
      </c>
      <c r="P1422" t="s">
        <v>621</v>
      </c>
      <c r="Q1422" t="s">
        <v>586</v>
      </c>
      <c r="R1422" t="s">
        <v>712</v>
      </c>
      <c r="S1422" t="s">
        <v>652</v>
      </c>
      <c r="T1422">
        <v>62</v>
      </c>
    </row>
    <row r="1423" spans="1:20" x14ac:dyDescent="0.25">
      <c r="A1423" t="s">
        <v>2637</v>
      </c>
      <c r="B1423" t="s">
        <v>419</v>
      </c>
      <c r="C1423" t="s">
        <v>607</v>
      </c>
      <c r="D1423" t="s">
        <v>631</v>
      </c>
      <c r="E1423" t="s">
        <v>756</v>
      </c>
      <c r="F1423">
        <v>3.2734663610719164</v>
      </c>
      <c r="G1423">
        <v>39.831655638537015</v>
      </c>
      <c r="H1423" t="s">
        <v>1007</v>
      </c>
      <c r="I1423" t="s">
        <v>661</v>
      </c>
      <c r="J1423">
        <v>4</v>
      </c>
      <c r="K1423" t="s">
        <v>824</v>
      </c>
      <c r="L1423">
        <v>135000</v>
      </c>
      <c r="M1423">
        <v>2.65</v>
      </c>
      <c r="N1423">
        <v>39.831655638537015</v>
      </c>
      <c r="O1423" t="s">
        <v>592</v>
      </c>
      <c r="P1423" t="s">
        <v>711</v>
      </c>
      <c r="Q1423" t="s">
        <v>586</v>
      </c>
      <c r="R1423" t="s">
        <v>712</v>
      </c>
      <c r="S1423" t="s">
        <v>594</v>
      </c>
      <c r="T1423">
        <v>66</v>
      </c>
    </row>
    <row r="1424" spans="1:20" x14ac:dyDescent="0.25">
      <c r="A1424" t="s">
        <v>2638</v>
      </c>
      <c r="B1424" t="s">
        <v>419</v>
      </c>
      <c r="C1424" t="s">
        <v>607</v>
      </c>
      <c r="D1424" t="s">
        <v>631</v>
      </c>
      <c r="E1424" t="s">
        <v>756</v>
      </c>
      <c r="F1424">
        <v>4.1338379771831022</v>
      </c>
      <c r="G1424">
        <v>38.441642674999386</v>
      </c>
      <c r="H1424" t="s">
        <v>1007</v>
      </c>
      <c r="I1424" t="s">
        <v>661</v>
      </c>
      <c r="J1424">
        <v>4</v>
      </c>
      <c r="K1424" t="s">
        <v>1319</v>
      </c>
      <c r="L1424">
        <v>140000</v>
      </c>
      <c r="M1424">
        <v>2.75</v>
      </c>
      <c r="N1424">
        <v>38.441642674999386</v>
      </c>
      <c r="O1424" t="s">
        <v>592</v>
      </c>
      <c r="P1424" t="s">
        <v>711</v>
      </c>
      <c r="Q1424" t="s">
        <v>586</v>
      </c>
      <c r="R1424" t="s">
        <v>712</v>
      </c>
      <c r="S1424" t="s">
        <v>594</v>
      </c>
      <c r="T1424">
        <v>60</v>
      </c>
    </row>
    <row r="1425" spans="1:20" x14ac:dyDescent="0.25">
      <c r="A1425" t="s">
        <v>2639</v>
      </c>
      <c r="B1425" t="s">
        <v>147</v>
      </c>
      <c r="C1425" t="s">
        <v>586</v>
      </c>
      <c r="D1425" t="s">
        <v>795</v>
      </c>
      <c r="E1425" t="s">
        <v>1130</v>
      </c>
      <c r="F1425">
        <v>0.41233430497660045</v>
      </c>
      <c r="G1425">
        <v>6.4799315068493124</v>
      </c>
      <c r="H1425" t="s">
        <v>842</v>
      </c>
      <c r="I1425" t="s">
        <v>661</v>
      </c>
      <c r="J1425">
        <v>5</v>
      </c>
      <c r="K1425" t="s">
        <v>686</v>
      </c>
      <c r="L1425">
        <v>615000</v>
      </c>
      <c r="M1425">
        <v>1.48</v>
      </c>
      <c r="N1425">
        <v>6.4799315068493124</v>
      </c>
      <c r="O1425" t="s">
        <v>592</v>
      </c>
      <c r="P1425" t="s">
        <v>593</v>
      </c>
      <c r="Q1425" t="s">
        <v>586</v>
      </c>
      <c r="R1425" t="s">
        <v>712</v>
      </c>
      <c r="S1425" t="s">
        <v>599</v>
      </c>
      <c r="T1425">
        <v>87</v>
      </c>
    </row>
    <row r="1426" spans="1:20" x14ac:dyDescent="0.25">
      <c r="A1426" t="s">
        <v>2640</v>
      </c>
      <c r="B1426" t="s">
        <v>147</v>
      </c>
      <c r="C1426" t="s">
        <v>586</v>
      </c>
      <c r="D1426" t="s">
        <v>795</v>
      </c>
      <c r="E1426" t="s">
        <v>1130</v>
      </c>
      <c r="F1426">
        <v>0.89595208914827151</v>
      </c>
      <c r="G1426">
        <v>6.842438356164382</v>
      </c>
      <c r="H1426" t="s">
        <v>842</v>
      </c>
      <c r="I1426" t="s">
        <v>661</v>
      </c>
      <c r="J1426">
        <v>5</v>
      </c>
      <c r="K1426" t="s">
        <v>640</v>
      </c>
      <c r="L1426">
        <v>650000</v>
      </c>
      <c r="M1426">
        <v>1.55</v>
      </c>
      <c r="N1426">
        <v>6.842438356164382</v>
      </c>
      <c r="O1426" t="s">
        <v>592</v>
      </c>
      <c r="P1426" t="s">
        <v>593</v>
      </c>
      <c r="Q1426" t="s">
        <v>586</v>
      </c>
      <c r="R1426">
        <v>30000</v>
      </c>
      <c r="S1426" t="s">
        <v>599</v>
      </c>
      <c r="T1426">
        <v>95</v>
      </c>
    </row>
    <row r="1427" spans="1:20" x14ac:dyDescent="0.25">
      <c r="A1427" t="s">
        <v>2641</v>
      </c>
      <c r="B1427" t="s">
        <v>147</v>
      </c>
      <c r="C1427" t="s">
        <v>586</v>
      </c>
      <c r="D1427" t="s">
        <v>795</v>
      </c>
      <c r="E1427" t="s">
        <v>1130</v>
      </c>
      <c r="F1427">
        <v>1.3683143689200785</v>
      </c>
      <c r="G1427">
        <v>5.0011452054794514</v>
      </c>
      <c r="H1427" t="s">
        <v>842</v>
      </c>
      <c r="I1427" t="s">
        <v>661</v>
      </c>
      <c r="J1427">
        <v>5</v>
      </c>
      <c r="K1427" t="s">
        <v>946</v>
      </c>
      <c r="L1427">
        <v>645000</v>
      </c>
      <c r="M1427">
        <v>1.6</v>
      </c>
      <c r="N1427">
        <v>5.0011452054794514</v>
      </c>
      <c r="O1427" t="s">
        <v>592</v>
      </c>
      <c r="P1427" t="s">
        <v>593</v>
      </c>
      <c r="Q1427" t="s">
        <v>586</v>
      </c>
      <c r="R1427">
        <v>520000</v>
      </c>
      <c r="S1427" t="s">
        <v>599</v>
      </c>
      <c r="T1427">
        <v>92</v>
      </c>
    </row>
    <row r="1428" spans="1:20" x14ac:dyDescent="0.25">
      <c r="A1428" t="s">
        <v>2642</v>
      </c>
      <c r="B1428" t="s">
        <v>147</v>
      </c>
      <c r="C1428" t="s">
        <v>586</v>
      </c>
      <c r="D1428" t="s">
        <v>795</v>
      </c>
      <c r="E1428" t="s">
        <v>1130</v>
      </c>
      <c r="F1428">
        <v>1.8296572623496838</v>
      </c>
      <c r="G1428">
        <v>6.1330136986301298</v>
      </c>
      <c r="H1428" t="s">
        <v>842</v>
      </c>
      <c r="I1428" t="s">
        <v>661</v>
      </c>
      <c r="J1428">
        <v>5</v>
      </c>
      <c r="K1428" t="s">
        <v>658</v>
      </c>
      <c r="L1428">
        <v>675000</v>
      </c>
      <c r="M1428">
        <v>1.68</v>
      </c>
      <c r="N1428">
        <v>6.1330136986301298</v>
      </c>
      <c r="O1428" t="s">
        <v>592</v>
      </c>
      <c r="P1428" t="s">
        <v>593</v>
      </c>
      <c r="Q1428" t="s">
        <v>586</v>
      </c>
      <c r="R1428">
        <v>135000</v>
      </c>
      <c r="S1428" t="s">
        <v>599</v>
      </c>
      <c r="T1428">
        <v>87</v>
      </c>
    </row>
    <row r="1429" spans="1:20" x14ac:dyDescent="0.25">
      <c r="A1429" t="s">
        <v>2643</v>
      </c>
      <c r="B1429" t="s">
        <v>147</v>
      </c>
      <c r="C1429" t="s">
        <v>586</v>
      </c>
      <c r="D1429" t="s">
        <v>795</v>
      </c>
      <c r="E1429" t="s">
        <v>1130</v>
      </c>
      <c r="F1429">
        <v>2.7225270832716268</v>
      </c>
      <c r="G1429">
        <v>7.3064931506849451</v>
      </c>
      <c r="H1429" t="s">
        <v>842</v>
      </c>
      <c r="I1429" t="s">
        <v>661</v>
      </c>
      <c r="J1429">
        <v>5</v>
      </c>
      <c r="K1429" t="s">
        <v>626</v>
      </c>
      <c r="L1429">
        <v>715000</v>
      </c>
      <c r="M1429">
        <v>1.83</v>
      </c>
      <c r="N1429">
        <v>7.3064931506849451</v>
      </c>
      <c r="O1429" t="s">
        <v>592</v>
      </c>
      <c r="P1429" t="s">
        <v>593</v>
      </c>
      <c r="Q1429" t="s">
        <v>586</v>
      </c>
      <c r="R1429" t="s">
        <v>712</v>
      </c>
      <c r="S1429" t="s">
        <v>599</v>
      </c>
      <c r="T1429">
        <v>78</v>
      </c>
    </row>
    <row r="1430" spans="1:20" x14ac:dyDescent="0.25">
      <c r="A1430" t="s">
        <v>2644</v>
      </c>
      <c r="B1430" t="s">
        <v>147</v>
      </c>
      <c r="C1430" t="s">
        <v>586</v>
      </c>
      <c r="D1430" t="s">
        <v>795</v>
      </c>
      <c r="E1430" t="s">
        <v>1130</v>
      </c>
      <c r="F1430">
        <v>3.1546770688812553</v>
      </c>
      <c r="G1430">
        <v>7.734301369863017</v>
      </c>
      <c r="H1430" t="s">
        <v>842</v>
      </c>
      <c r="I1430" t="s">
        <v>661</v>
      </c>
      <c r="J1430">
        <v>5</v>
      </c>
      <c r="K1430" t="s">
        <v>815</v>
      </c>
      <c r="L1430">
        <v>715000</v>
      </c>
      <c r="M1430">
        <v>1.9000000000000001</v>
      </c>
      <c r="N1430">
        <v>7.734301369863017</v>
      </c>
      <c r="O1430" t="s">
        <v>592</v>
      </c>
      <c r="P1430" t="s">
        <v>593</v>
      </c>
      <c r="Q1430" t="s">
        <v>586</v>
      </c>
      <c r="R1430" t="s">
        <v>712</v>
      </c>
      <c r="S1430" t="s">
        <v>599</v>
      </c>
      <c r="T1430">
        <v>75</v>
      </c>
    </row>
    <row r="1431" spans="1:20" x14ac:dyDescent="0.25">
      <c r="A1431" t="s">
        <v>2645</v>
      </c>
      <c r="B1431" t="s">
        <v>147</v>
      </c>
      <c r="C1431" t="s">
        <v>586</v>
      </c>
      <c r="D1431" t="s">
        <v>795</v>
      </c>
      <c r="E1431" t="s">
        <v>1130</v>
      </c>
      <c r="F1431">
        <v>3.5778045285686049</v>
      </c>
      <c r="G1431">
        <v>8.6968356164383476</v>
      </c>
      <c r="H1431" t="s">
        <v>842</v>
      </c>
      <c r="I1431" t="s">
        <v>661</v>
      </c>
      <c r="J1431">
        <v>5</v>
      </c>
      <c r="K1431" t="s">
        <v>753</v>
      </c>
      <c r="L1431">
        <v>750000</v>
      </c>
      <c r="M1431">
        <v>1.97</v>
      </c>
      <c r="N1431">
        <v>8.6968356164383476</v>
      </c>
      <c r="O1431" t="s">
        <v>592</v>
      </c>
      <c r="P1431" t="s">
        <v>593</v>
      </c>
      <c r="Q1431" t="s">
        <v>586</v>
      </c>
      <c r="R1431" t="s">
        <v>712</v>
      </c>
      <c r="S1431" t="s">
        <v>599</v>
      </c>
      <c r="T1431">
        <v>71</v>
      </c>
    </row>
    <row r="1432" spans="1:20" x14ac:dyDescent="0.25">
      <c r="A1432" t="s">
        <v>2646</v>
      </c>
      <c r="B1432" t="s">
        <v>136</v>
      </c>
      <c r="C1432" t="s">
        <v>607</v>
      </c>
      <c r="D1432" t="s">
        <v>990</v>
      </c>
      <c r="E1432" t="s">
        <v>756</v>
      </c>
      <c r="F1432">
        <v>0.81677379837836339</v>
      </c>
      <c r="G1432">
        <v>37.97516169898536</v>
      </c>
      <c r="H1432" t="s">
        <v>1148</v>
      </c>
      <c r="I1432" t="s">
        <v>1149</v>
      </c>
      <c r="J1432">
        <v>3</v>
      </c>
      <c r="K1432" t="s">
        <v>984</v>
      </c>
      <c r="L1432">
        <v>115000</v>
      </c>
      <c r="M1432">
        <v>2.25</v>
      </c>
      <c r="N1432">
        <v>37.97516169898536</v>
      </c>
      <c r="O1432" t="s">
        <v>592</v>
      </c>
      <c r="P1432" t="s">
        <v>711</v>
      </c>
      <c r="Q1432" t="s">
        <v>586</v>
      </c>
      <c r="R1432" t="s">
        <v>712</v>
      </c>
      <c r="S1432" t="s">
        <v>712</v>
      </c>
      <c r="T1432">
        <v>95</v>
      </c>
    </row>
    <row r="1433" spans="1:20" x14ac:dyDescent="0.25">
      <c r="A1433" t="s">
        <v>2647</v>
      </c>
      <c r="B1433" t="s">
        <v>148</v>
      </c>
      <c r="C1433" t="s">
        <v>607</v>
      </c>
      <c r="D1433" t="s">
        <v>707</v>
      </c>
      <c r="E1433" t="s">
        <v>1189</v>
      </c>
      <c r="F1433">
        <v>1.3052551574477382</v>
      </c>
      <c r="G1433">
        <v>27.084312328767133</v>
      </c>
      <c r="H1433" t="s">
        <v>1190</v>
      </c>
      <c r="I1433" t="s">
        <v>820</v>
      </c>
      <c r="J1433">
        <v>2</v>
      </c>
      <c r="K1433" t="s">
        <v>758</v>
      </c>
      <c r="L1433">
        <v>135000</v>
      </c>
      <c r="M1433">
        <v>1.76</v>
      </c>
      <c r="N1433">
        <v>27.084312328767133</v>
      </c>
      <c r="O1433" t="s">
        <v>592</v>
      </c>
      <c r="P1433" t="s">
        <v>711</v>
      </c>
      <c r="Q1433" t="s">
        <v>586</v>
      </c>
      <c r="R1433" t="s">
        <v>712</v>
      </c>
      <c r="S1433" t="s">
        <v>878</v>
      </c>
      <c r="T1433">
        <v>73</v>
      </c>
    </row>
    <row r="1434" spans="1:20" x14ac:dyDescent="0.25">
      <c r="A1434" t="s">
        <v>2648</v>
      </c>
      <c r="B1434" t="s">
        <v>148</v>
      </c>
      <c r="C1434" t="s">
        <v>607</v>
      </c>
      <c r="D1434" t="s">
        <v>707</v>
      </c>
      <c r="E1434" t="s">
        <v>1189</v>
      </c>
      <c r="F1434">
        <v>2.2611344775374791</v>
      </c>
      <c r="G1434">
        <v>33.20438904109588</v>
      </c>
      <c r="H1434" t="s">
        <v>1190</v>
      </c>
      <c r="I1434" t="s">
        <v>820</v>
      </c>
      <c r="J1434">
        <v>2</v>
      </c>
      <c r="K1434" t="s">
        <v>972</v>
      </c>
      <c r="L1434">
        <v>135000</v>
      </c>
      <c r="M1434">
        <v>1.95</v>
      </c>
      <c r="N1434">
        <v>33.20438904109588</v>
      </c>
      <c r="O1434" t="s">
        <v>592</v>
      </c>
      <c r="P1434" t="s">
        <v>711</v>
      </c>
      <c r="Q1434" t="s">
        <v>586</v>
      </c>
      <c r="R1434" t="s">
        <v>712</v>
      </c>
      <c r="S1434" t="s">
        <v>878</v>
      </c>
      <c r="T1434">
        <v>61</v>
      </c>
    </row>
    <row r="1435" spans="1:20" x14ac:dyDescent="0.25">
      <c r="A1435" t="s">
        <v>2649</v>
      </c>
      <c r="B1435" t="s">
        <v>420</v>
      </c>
      <c r="C1435" t="s">
        <v>586</v>
      </c>
      <c r="D1435" t="s">
        <v>587</v>
      </c>
      <c r="E1435" t="s">
        <v>1245</v>
      </c>
      <c r="F1435">
        <v>8.0449789099768146E-2</v>
      </c>
      <c r="G1435">
        <v>91.216079091325412</v>
      </c>
      <c r="H1435" t="s">
        <v>2650</v>
      </c>
      <c r="I1435" t="s">
        <v>2651</v>
      </c>
      <c r="J1435">
        <v>4</v>
      </c>
      <c r="K1435" t="s">
        <v>950</v>
      </c>
      <c r="L1435">
        <v>175000</v>
      </c>
      <c r="M1435">
        <v>2.62</v>
      </c>
      <c r="N1435">
        <v>91.216079091325412</v>
      </c>
      <c r="O1435" t="s">
        <v>592</v>
      </c>
      <c r="P1435" t="s">
        <v>593</v>
      </c>
      <c r="Q1435" t="s">
        <v>586</v>
      </c>
      <c r="R1435">
        <v>15000</v>
      </c>
      <c r="S1435" t="s">
        <v>712</v>
      </c>
      <c r="T1435">
        <v>97</v>
      </c>
    </row>
    <row r="1436" spans="1:20" x14ac:dyDescent="0.25">
      <c r="A1436" t="s">
        <v>2652</v>
      </c>
      <c r="B1436" t="s">
        <v>420</v>
      </c>
      <c r="C1436" t="s">
        <v>586</v>
      </c>
      <c r="D1436" t="s">
        <v>587</v>
      </c>
      <c r="E1436" t="s">
        <v>1245</v>
      </c>
      <c r="F1436">
        <v>1.0401448079889717</v>
      </c>
      <c r="G1436">
        <v>102.5504582160268</v>
      </c>
      <c r="H1436" t="s">
        <v>2650</v>
      </c>
      <c r="I1436" t="s">
        <v>2651</v>
      </c>
      <c r="J1436">
        <v>4</v>
      </c>
      <c r="K1436" t="s">
        <v>612</v>
      </c>
      <c r="L1436">
        <v>180000</v>
      </c>
      <c r="M1436">
        <v>2.9000000000000004</v>
      </c>
      <c r="N1436">
        <v>102.5504582160268</v>
      </c>
      <c r="O1436" t="s">
        <v>592</v>
      </c>
      <c r="P1436" t="s">
        <v>593</v>
      </c>
      <c r="Q1436" t="s">
        <v>586</v>
      </c>
      <c r="R1436" t="s">
        <v>712</v>
      </c>
      <c r="S1436" t="s">
        <v>712</v>
      </c>
      <c r="T1436">
        <v>87</v>
      </c>
    </row>
    <row r="1437" spans="1:20" x14ac:dyDescent="0.25">
      <c r="A1437" t="s">
        <v>2653</v>
      </c>
      <c r="B1437" t="s">
        <v>420</v>
      </c>
      <c r="C1437" t="s">
        <v>586</v>
      </c>
      <c r="D1437" t="s">
        <v>587</v>
      </c>
      <c r="E1437" t="s">
        <v>1245</v>
      </c>
      <c r="F1437">
        <v>1.9622450849171305</v>
      </c>
      <c r="G1437">
        <v>116.20621437610063</v>
      </c>
      <c r="H1437" t="s">
        <v>2650</v>
      </c>
      <c r="I1437" t="s">
        <v>2651</v>
      </c>
      <c r="J1437">
        <v>4</v>
      </c>
      <c r="K1437" t="s">
        <v>956</v>
      </c>
      <c r="L1437">
        <v>190000</v>
      </c>
      <c r="M1437">
        <v>3.2</v>
      </c>
      <c r="N1437">
        <v>116.20621437610063</v>
      </c>
      <c r="O1437" t="s">
        <v>592</v>
      </c>
      <c r="P1437" t="s">
        <v>593</v>
      </c>
      <c r="Q1437" t="s">
        <v>586</v>
      </c>
      <c r="R1437" t="s">
        <v>712</v>
      </c>
      <c r="S1437" t="s">
        <v>712</v>
      </c>
      <c r="T1437">
        <v>74</v>
      </c>
    </row>
    <row r="1438" spans="1:20" x14ac:dyDescent="0.25">
      <c r="A1438" t="s">
        <v>2654</v>
      </c>
      <c r="B1438" t="s">
        <v>420</v>
      </c>
      <c r="C1438" t="s">
        <v>586</v>
      </c>
      <c r="D1438" t="s">
        <v>587</v>
      </c>
      <c r="E1438" t="s">
        <v>1245</v>
      </c>
      <c r="F1438">
        <v>8.0449788363814917E-2</v>
      </c>
      <c r="G1438">
        <v>82.409554048896609</v>
      </c>
      <c r="H1438" t="s">
        <v>767</v>
      </c>
      <c r="I1438" t="s">
        <v>2655</v>
      </c>
      <c r="J1438">
        <v>3</v>
      </c>
      <c r="K1438" t="s">
        <v>950</v>
      </c>
      <c r="L1438">
        <v>110000</v>
      </c>
      <c r="M1438">
        <v>2.2600000000000002</v>
      </c>
      <c r="N1438">
        <v>82.409554048896609</v>
      </c>
      <c r="O1438" t="s">
        <v>592</v>
      </c>
      <c r="P1438" t="s">
        <v>593</v>
      </c>
      <c r="Q1438" t="s">
        <v>586</v>
      </c>
      <c r="R1438">
        <v>30000</v>
      </c>
      <c r="S1438" t="s">
        <v>712</v>
      </c>
      <c r="T1438">
        <v>99</v>
      </c>
    </row>
    <row r="1439" spans="1:20" x14ac:dyDescent="0.25">
      <c r="A1439" t="s">
        <v>2656</v>
      </c>
      <c r="B1439" t="s">
        <v>420</v>
      </c>
      <c r="C1439" t="s">
        <v>586</v>
      </c>
      <c r="D1439" t="s">
        <v>587</v>
      </c>
      <c r="E1439" t="s">
        <v>1245</v>
      </c>
      <c r="F1439">
        <v>1.0401448079889717</v>
      </c>
      <c r="G1439">
        <v>93.181794264526758</v>
      </c>
      <c r="H1439" t="s">
        <v>767</v>
      </c>
      <c r="I1439" t="s">
        <v>2655</v>
      </c>
      <c r="J1439">
        <v>4</v>
      </c>
      <c r="K1439" t="s">
        <v>612</v>
      </c>
      <c r="L1439">
        <v>115000</v>
      </c>
      <c r="M1439">
        <v>2.5300000000000002</v>
      </c>
      <c r="N1439">
        <v>93.181794264526758</v>
      </c>
      <c r="O1439" t="s">
        <v>592</v>
      </c>
      <c r="P1439" t="s">
        <v>593</v>
      </c>
      <c r="Q1439" t="s">
        <v>586</v>
      </c>
      <c r="R1439" t="s">
        <v>712</v>
      </c>
      <c r="S1439" t="s">
        <v>712</v>
      </c>
      <c r="T1439">
        <v>87</v>
      </c>
    </row>
    <row r="1440" spans="1:20" x14ac:dyDescent="0.25">
      <c r="A1440" t="s">
        <v>2657</v>
      </c>
      <c r="B1440" t="s">
        <v>420</v>
      </c>
      <c r="C1440" t="s">
        <v>586</v>
      </c>
      <c r="D1440" t="s">
        <v>587</v>
      </c>
      <c r="E1440" t="s">
        <v>1245</v>
      </c>
      <c r="F1440">
        <v>1.9622450849171305</v>
      </c>
      <c r="G1440">
        <v>102.82052673712283</v>
      </c>
      <c r="H1440" t="s">
        <v>767</v>
      </c>
      <c r="I1440" t="s">
        <v>2655</v>
      </c>
      <c r="J1440">
        <v>4</v>
      </c>
      <c r="K1440" t="s">
        <v>956</v>
      </c>
      <c r="L1440">
        <v>115000</v>
      </c>
      <c r="M1440">
        <v>2.79</v>
      </c>
      <c r="N1440">
        <v>102.82052673712283</v>
      </c>
      <c r="O1440" t="s">
        <v>592</v>
      </c>
      <c r="P1440" t="s">
        <v>593</v>
      </c>
      <c r="Q1440" t="s">
        <v>586</v>
      </c>
      <c r="R1440" t="s">
        <v>712</v>
      </c>
      <c r="S1440" t="s">
        <v>712</v>
      </c>
      <c r="T1440">
        <v>74</v>
      </c>
    </row>
    <row r="1441" spans="1:20" x14ac:dyDescent="0.25">
      <c r="A1441" t="s">
        <v>2658</v>
      </c>
      <c r="B1441" t="s">
        <v>419</v>
      </c>
      <c r="C1441" t="s">
        <v>607</v>
      </c>
      <c r="D1441" t="s">
        <v>631</v>
      </c>
      <c r="E1441" t="s">
        <v>756</v>
      </c>
      <c r="F1441">
        <v>0.49443031318738939</v>
      </c>
      <c r="G1441">
        <v>41.844121813109744</v>
      </c>
      <c r="H1441" t="s">
        <v>1007</v>
      </c>
      <c r="I1441" t="s">
        <v>661</v>
      </c>
      <c r="J1441">
        <v>3.5</v>
      </c>
      <c r="K1441" t="s">
        <v>807</v>
      </c>
      <c r="L1441">
        <v>125000</v>
      </c>
      <c r="M1441">
        <v>2.2000000000000002</v>
      </c>
      <c r="N1441">
        <v>41.844121813109744</v>
      </c>
      <c r="O1441" t="s">
        <v>592</v>
      </c>
      <c r="P1441" t="s">
        <v>711</v>
      </c>
      <c r="Q1441" t="s">
        <v>586</v>
      </c>
      <c r="R1441" t="s">
        <v>712</v>
      </c>
      <c r="S1441" t="s">
        <v>594</v>
      </c>
      <c r="T1441">
        <v>92</v>
      </c>
    </row>
    <row r="1442" spans="1:20" x14ac:dyDescent="0.25">
      <c r="A1442" t="s">
        <v>2659</v>
      </c>
      <c r="B1442" t="s">
        <v>419</v>
      </c>
      <c r="C1442" t="s">
        <v>607</v>
      </c>
      <c r="D1442" t="s">
        <v>631</v>
      </c>
      <c r="E1442" t="s">
        <v>756</v>
      </c>
      <c r="F1442">
        <v>1.4560894236235227</v>
      </c>
      <c r="G1442">
        <v>40.325723702234193</v>
      </c>
      <c r="H1442" t="s">
        <v>1007</v>
      </c>
      <c r="I1442" t="s">
        <v>661</v>
      </c>
      <c r="J1442">
        <v>4</v>
      </c>
      <c r="K1442" t="s">
        <v>780</v>
      </c>
      <c r="L1442">
        <v>125000</v>
      </c>
      <c r="M1442">
        <v>2.35</v>
      </c>
      <c r="N1442">
        <v>40.325723702234193</v>
      </c>
      <c r="O1442" t="s">
        <v>592</v>
      </c>
      <c r="P1442" t="s">
        <v>711</v>
      </c>
      <c r="Q1442" t="s">
        <v>586</v>
      </c>
      <c r="R1442" t="s">
        <v>712</v>
      </c>
      <c r="S1442" t="s">
        <v>594</v>
      </c>
      <c r="T1442">
        <v>81</v>
      </c>
    </row>
    <row r="1443" spans="1:20" x14ac:dyDescent="0.25">
      <c r="A1443" t="s">
        <v>2660</v>
      </c>
      <c r="B1443" t="s">
        <v>419</v>
      </c>
      <c r="C1443" t="s">
        <v>607</v>
      </c>
      <c r="D1443" t="s">
        <v>631</v>
      </c>
      <c r="E1443" t="s">
        <v>756</v>
      </c>
      <c r="F1443">
        <v>2.3814723993296081</v>
      </c>
      <c r="G1443">
        <v>39.190356113107683</v>
      </c>
      <c r="H1443" t="s">
        <v>1007</v>
      </c>
      <c r="I1443" t="s">
        <v>661</v>
      </c>
      <c r="J1443">
        <v>4</v>
      </c>
      <c r="K1443" t="s">
        <v>1013</v>
      </c>
      <c r="L1443">
        <v>130000</v>
      </c>
      <c r="M1443">
        <v>2.5</v>
      </c>
      <c r="N1443">
        <v>39.190356113107683</v>
      </c>
      <c r="O1443" t="s">
        <v>592</v>
      </c>
      <c r="P1443" t="s">
        <v>711</v>
      </c>
      <c r="Q1443" t="s">
        <v>586</v>
      </c>
      <c r="R1443" t="s">
        <v>712</v>
      </c>
      <c r="S1443" t="s">
        <v>594</v>
      </c>
      <c r="T1443">
        <v>73</v>
      </c>
    </row>
    <row r="1444" spans="1:20" x14ac:dyDescent="0.25">
      <c r="A1444" t="s">
        <v>2661</v>
      </c>
      <c r="B1444" t="s">
        <v>89</v>
      </c>
      <c r="C1444" t="s">
        <v>586</v>
      </c>
      <c r="D1444" t="s">
        <v>608</v>
      </c>
      <c r="E1444" t="s">
        <v>943</v>
      </c>
      <c r="F1444">
        <v>1.4700605567338045</v>
      </c>
      <c r="G1444">
        <v>22.915782169554831</v>
      </c>
      <c r="H1444" t="s">
        <v>869</v>
      </c>
      <c r="I1444" t="s">
        <v>885</v>
      </c>
      <c r="J1444">
        <v>2</v>
      </c>
      <c r="K1444" t="s">
        <v>780</v>
      </c>
      <c r="L1444">
        <v>1100000</v>
      </c>
      <c r="M1444">
        <v>1.67</v>
      </c>
      <c r="N1444">
        <v>22.915782169554831</v>
      </c>
      <c r="O1444" t="s">
        <v>592</v>
      </c>
      <c r="P1444" t="s">
        <v>621</v>
      </c>
      <c r="Q1444" t="s">
        <v>586</v>
      </c>
      <c r="R1444">
        <v>50000</v>
      </c>
      <c r="S1444" t="s">
        <v>712</v>
      </c>
      <c r="T1444">
        <v>68</v>
      </c>
    </row>
    <row r="1445" spans="1:20" x14ac:dyDescent="0.25">
      <c r="A1445" t="s">
        <v>2662</v>
      </c>
      <c r="B1445" t="s">
        <v>421</v>
      </c>
      <c r="C1445" t="s">
        <v>586</v>
      </c>
      <c r="D1445" t="s">
        <v>608</v>
      </c>
      <c r="E1445" t="s">
        <v>2663</v>
      </c>
      <c r="F1445">
        <v>8.0459457916363442E-2</v>
      </c>
      <c r="G1445">
        <v>96.163056820483519</v>
      </c>
      <c r="H1445" t="s">
        <v>639</v>
      </c>
      <c r="I1445" t="s">
        <v>611</v>
      </c>
      <c r="J1445">
        <v>2.6</v>
      </c>
      <c r="K1445" t="s">
        <v>950</v>
      </c>
      <c r="L1445">
        <v>110000</v>
      </c>
      <c r="M1445">
        <v>2.6</v>
      </c>
      <c r="N1445">
        <v>96.163056820483519</v>
      </c>
      <c r="O1445" t="s">
        <v>592</v>
      </c>
      <c r="P1445" t="s">
        <v>613</v>
      </c>
      <c r="Q1445" t="s">
        <v>586</v>
      </c>
      <c r="R1445" t="s">
        <v>712</v>
      </c>
      <c r="S1445" t="s">
        <v>712</v>
      </c>
      <c r="T1445">
        <v>99</v>
      </c>
    </row>
    <row r="1446" spans="1:20" x14ac:dyDescent="0.25">
      <c r="A1446" t="s">
        <v>2664</v>
      </c>
      <c r="B1446" t="s">
        <v>421</v>
      </c>
      <c r="C1446" t="s">
        <v>586</v>
      </c>
      <c r="D1446" t="s">
        <v>608</v>
      </c>
      <c r="E1446" t="s">
        <v>2663</v>
      </c>
      <c r="F1446">
        <v>1.049134616185315</v>
      </c>
      <c r="G1446">
        <v>100.99659864330495</v>
      </c>
      <c r="H1446" t="s">
        <v>639</v>
      </c>
      <c r="I1446" t="s">
        <v>611</v>
      </c>
      <c r="J1446">
        <v>2.8</v>
      </c>
      <c r="K1446" t="s">
        <v>612</v>
      </c>
      <c r="L1446">
        <v>110000</v>
      </c>
      <c r="M1446">
        <v>2.8000000000000003</v>
      </c>
      <c r="N1446">
        <v>100.99659864330495</v>
      </c>
      <c r="O1446" t="s">
        <v>592</v>
      </c>
      <c r="P1446" t="s">
        <v>613</v>
      </c>
      <c r="Q1446" t="s">
        <v>586</v>
      </c>
      <c r="R1446" t="s">
        <v>712</v>
      </c>
      <c r="S1446" t="s">
        <v>712</v>
      </c>
      <c r="T1446">
        <v>84</v>
      </c>
    </row>
    <row r="1447" spans="1:20" x14ac:dyDescent="0.25">
      <c r="A1447" t="s">
        <v>2665</v>
      </c>
      <c r="B1447" t="s">
        <v>421</v>
      </c>
      <c r="C1447" t="s">
        <v>586</v>
      </c>
      <c r="D1447" t="s">
        <v>608</v>
      </c>
      <c r="E1447" t="s">
        <v>2663</v>
      </c>
      <c r="F1447">
        <v>1.985277408980713</v>
      </c>
      <c r="G1447">
        <v>106.04195261367299</v>
      </c>
      <c r="H1447" t="s">
        <v>639</v>
      </c>
      <c r="I1447" t="s">
        <v>611</v>
      </c>
      <c r="J1447">
        <v>3</v>
      </c>
      <c r="K1447" t="s">
        <v>956</v>
      </c>
      <c r="L1447">
        <v>115000</v>
      </c>
      <c r="M1447">
        <v>3</v>
      </c>
      <c r="N1447">
        <v>106.04195261367299</v>
      </c>
      <c r="O1447" t="s">
        <v>592</v>
      </c>
      <c r="P1447" t="s">
        <v>613</v>
      </c>
      <c r="Q1447" t="s">
        <v>586</v>
      </c>
      <c r="R1447" t="s">
        <v>712</v>
      </c>
      <c r="S1447" t="s">
        <v>712</v>
      </c>
      <c r="T1447">
        <v>73</v>
      </c>
    </row>
    <row r="1448" spans="1:20" x14ac:dyDescent="0.25">
      <c r="A1448" t="s">
        <v>2666</v>
      </c>
      <c r="B1448" t="s">
        <v>47</v>
      </c>
      <c r="C1448" t="s">
        <v>586</v>
      </c>
      <c r="D1448" t="s">
        <v>654</v>
      </c>
      <c r="E1448" t="s">
        <v>766</v>
      </c>
      <c r="F1448">
        <v>2.7176337626527185</v>
      </c>
      <c r="G1448">
        <v>17.445094495644263</v>
      </c>
      <c r="H1448" t="s">
        <v>767</v>
      </c>
      <c r="I1448" t="s">
        <v>768</v>
      </c>
      <c r="J1448">
        <v>5</v>
      </c>
      <c r="K1448" t="s">
        <v>626</v>
      </c>
      <c r="L1448">
        <v>2600000</v>
      </c>
      <c r="M1448">
        <v>2.1</v>
      </c>
      <c r="N1448">
        <v>17.445094495644263</v>
      </c>
      <c r="O1448" t="s">
        <v>592</v>
      </c>
      <c r="P1448" t="s">
        <v>593</v>
      </c>
      <c r="Q1448" t="s">
        <v>586</v>
      </c>
      <c r="R1448">
        <v>15000</v>
      </c>
      <c r="S1448" t="s">
        <v>594</v>
      </c>
      <c r="T1448">
        <v>79</v>
      </c>
    </row>
    <row r="1449" spans="1:20" x14ac:dyDescent="0.25">
      <c r="A1449" t="s">
        <v>2667</v>
      </c>
      <c r="B1449" t="s">
        <v>47</v>
      </c>
      <c r="C1449" t="s">
        <v>586</v>
      </c>
      <c r="D1449" t="s">
        <v>654</v>
      </c>
      <c r="E1449" t="s">
        <v>766</v>
      </c>
      <c r="F1449">
        <v>4.5619192131971591</v>
      </c>
      <c r="G1449">
        <v>18.313489886966128</v>
      </c>
      <c r="H1449" t="s">
        <v>767</v>
      </c>
      <c r="I1449" t="s">
        <v>768</v>
      </c>
      <c r="J1449">
        <v>3</v>
      </c>
      <c r="K1449" t="s">
        <v>1174</v>
      </c>
      <c r="L1449">
        <v>2825000</v>
      </c>
      <c r="M1449">
        <v>2.37</v>
      </c>
      <c r="N1449">
        <v>18.313489886966128</v>
      </c>
      <c r="O1449" t="s">
        <v>592</v>
      </c>
      <c r="P1449" t="s">
        <v>593</v>
      </c>
      <c r="Q1449" t="s">
        <v>586</v>
      </c>
      <c r="R1449">
        <v>50000</v>
      </c>
      <c r="S1449" t="s">
        <v>594</v>
      </c>
      <c r="T1449">
        <v>55</v>
      </c>
    </row>
    <row r="1450" spans="1:20" x14ac:dyDescent="0.25">
      <c r="A1450" t="s">
        <v>2668</v>
      </c>
      <c r="B1450" t="s">
        <v>56</v>
      </c>
      <c r="C1450" t="s">
        <v>586</v>
      </c>
      <c r="D1450" t="s">
        <v>587</v>
      </c>
      <c r="E1450" t="s">
        <v>648</v>
      </c>
      <c r="F1450">
        <v>2.4315908121921321</v>
      </c>
      <c r="G1450">
        <v>-2.2046365595095985</v>
      </c>
      <c r="H1450" t="s">
        <v>799</v>
      </c>
      <c r="I1450" t="s">
        <v>650</v>
      </c>
      <c r="J1450">
        <v>5</v>
      </c>
      <c r="K1450" t="s">
        <v>1055</v>
      </c>
      <c r="L1450">
        <v>3835000</v>
      </c>
      <c r="M1450">
        <v>1.61</v>
      </c>
      <c r="N1450">
        <v>-2.2046365595095985</v>
      </c>
      <c r="O1450" t="s">
        <v>592</v>
      </c>
      <c r="P1450" t="s">
        <v>593</v>
      </c>
      <c r="Q1450" t="s">
        <v>586</v>
      </c>
      <c r="R1450">
        <v>45000</v>
      </c>
      <c r="S1450" t="s">
        <v>599</v>
      </c>
      <c r="T1450">
        <v>63</v>
      </c>
    </row>
    <row r="1451" spans="1:20" x14ac:dyDescent="0.25">
      <c r="A1451" t="s">
        <v>2669</v>
      </c>
      <c r="B1451" t="s">
        <v>53</v>
      </c>
      <c r="C1451" t="s">
        <v>586</v>
      </c>
      <c r="D1451" t="s">
        <v>608</v>
      </c>
      <c r="E1451" t="s">
        <v>789</v>
      </c>
      <c r="F1451">
        <v>1.5096260026187438</v>
      </c>
      <c r="G1451">
        <v>29.966720191026152</v>
      </c>
      <c r="H1451" t="s">
        <v>672</v>
      </c>
      <c r="I1451" t="s">
        <v>619</v>
      </c>
      <c r="J1451">
        <v>4</v>
      </c>
      <c r="K1451" t="s">
        <v>634</v>
      </c>
      <c r="L1451">
        <v>760000</v>
      </c>
      <c r="M1451">
        <v>1.98</v>
      </c>
      <c r="N1451">
        <v>29.966720191026152</v>
      </c>
      <c r="O1451" t="s">
        <v>592</v>
      </c>
      <c r="P1451" t="s">
        <v>621</v>
      </c>
      <c r="Q1451" t="s">
        <v>586</v>
      </c>
      <c r="R1451">
        <v>40000</v>
      </c>
      <c r="S1451" t="s">
        <v>635</v>
      </c>
      <c r="T1451">
        <v>89</v>
      </c>
    </row>
    <row r="1452" spans="1:20" x14ac:dyDescent="0.25">
      <c r="A1452" t="s">
        <v>2670</v>
      </c>
      <c r="B1452" t="s">
        <v>53</v>
      </c>
      <c r="C1452" t="s">
        <v>586</v>
      </c>
      <c r="D1452" t="s">
        <v>608</v>
      </c>
      <c r="E1452" t="s">
        <v>789</v>
      </c>
      <c r="F1452">
        <v>2.3893025741013636</v>
      </c>
      <c r="G1452">
        <v>36.930262198394679</v>
      </c>
      <c r="H1452" t="s">
        <v>672</v>
      </c>
      <c r="I1452" t="s">
        <v>619</v>
      </c>
      <c r="J1452">
        <v>5</v>
      </c>
      <c r="K1452" t="s">
        <v>959</v>
      </c>
      <c r="L1452">
        <v>800000</v>
      </c>
      <c r="M1452">
        <v>2.21</v>
      </c>
      <c r="N1452">
        <v>36.930262198394679</v>
      </c>
      <c r="O1452" t="s">
        <v>592</v>
      </c>
      <c r="P1452" t="s">
        <v>621</v>
      </c>
      <c r="Q1452" t="s">
        <v>586</v>
      </c>
      <c r="R1452">
        <v>200000</v>
      </c>
      <c r="S1452" t="s">
        <v>635</v>
      </c>
      <c r="T1452">
        <v>82</v>
      </c>
    </row>
    <row r="1453" spans="1:20" x14ac:dyDescent="0.25">
      <c r="A1453" t="s">
        <v>2671</v>
      </c>
      <c r="B1453" t="s">
        <v>53</v>
      </c>
      <c r="C1453" t="s">
        <v>586</v>
      </c>
      <c r="D1453" t="s">
        <v>608</v>
      </c>
      <c r="E1453" t="s">
        <v>789</v>
      </c>
      <c r="F1453">
        <v>3.2429869659577624</v>
      </c>
      <c r="G1453">
        <v>38.199551469782044</v>
      </c>
      <c r="H1453" t="s">
        <v>672</v>
      </c>
      <c r="I1453" t="s">
        <v>619</v>
      </c>
      <c r="J1453">
        <v>5</v>
      </c>
      <c r="K1453" t="s">
        <v>1038</v>
      </c>
      <c r="L1453">
        <v>840000</v>
      </c>
      <c r="M1453">
        <v>2.37</v>
      </c>
      <c r="N1453">
        <v>38.199551469782044</v>
      </c>
      <c r="O1453" t="s">
        <v>592</v>
      </c>
      <c r="P1453" t="s">
        <v>621</v>
      </c>
      <c r="Q1453" t="s">
        <v>586</v>
      </c>
      <c r="R1453" t="s">
        <v>712</v>
      </c>
      <c r="S1453" t="s">
        <v>635</v>
      </c>
      <c r="T1453">
        <v>74</v>
      </c>
    </row>
    <row r="1454" spans="1:20" x14ac:dyDescent="0.25">
      <c r="A1454" t="s">
        <v>2672</v>
      </c>
      <c r="B1454" t="s">
        <v>53</v>
      </c>
      <c r="C1454" t="s">
        <v>586</v>
      </c>
      <c r="D1454" t="s">
        <v>608</v>
      </c>
      <c r="E1454" t="s">
        <v>789</v>
      </c>
      <c r="F1454">
        <v>4.0613312175047147</v>
      </c>
      <c r="G1454">
        <v>39.116815081624303</v>
      </c>
      <c r="H1454" t="s">
        <v>672</v>
      </c>
      <c r="I1454" t="s">
        <v>619</v>
      </c>
      <c r="J1454">
        <v>5</v>
      </c>
      <c r="K1454" t="s">
        <v>1133</v>
      </c>
      <c r="L1454">
        <v>885000</v>
      </c>
      <c r="M1454">
        <v>2.5</v>
      </c>
      <c r="N1454">
        <v>39.116815081624303</v>
      </c>
      <c r="O1454" t="s">
        <v>592</v>
      </c>
      <c r="P1454" t="s">
        <v>621</v>
      </c>
      <c r="Q1454" t="s">
        <v>586</v>
      </c>
      <c r="R1454">
        <v>360000</v>
      </c>
      <c r="S1454" t="s">
        <v>635</v>
      </c>
      <c r="T1454">
        <v>67</v>
      </c>
    </row>
    <row r="1455" spans="1:20" x14ac:dyDescent="0.25">
      <c r="A1455" t="s">
        <v>2673</v>
      </c>
      <c r="B1455" t="s">
        <v>422</v>
      </c>
      <c r="C1455" t="s">
        <v>586</v>
      </c>
      <c r="D1455" t="s">
        <v>666</v>
      </c>
      <c r="E1455" t="s">
        <v>2674</v>
      </c>
      <c r="F1455">
        <v>0.81375937567347001</v>
      </c>
      <c r="G1455">
        <v>2.8119260574315019</v>
      </c>
      <c r="H1455" t="s">
        <v>1903</v>
      </c>
      <c r="I1455" t="s">
        <v>820</v>
      </c>
      <c r="J1455">
        <v>5</v>
      </c>
      <c r="K1455" t="s">
        <v>984</v>
      </c>
      <c r="L1455">
        <v>1390000</v>
      </c>
      <c r="M1455">
        <v>1.36</v>
      </c>
      <c r="N1455">
        <v>2.8119260574315019</v>
      </c>
      <c r="O1455" t="s">
        <v>592</v>
      </c>
      <c r="P1455" t="s">
        <v>593</v>
      </c>
      <c r="Q1455" t="s">
        <v>586</v>
      </c>
      <c r="R1455" t="s">
        <v>712</v>
      </c>
      <c r="S1455" t="s">
        <v>652</v>
      </c>
      <c r="T1455">
        <v>97</v>
      </c>
    </row>
    <row r="1456" spans="1:20" x14ac:dyDescent="0.25">
      <c r="A1456" t="s">
        <v>2675</v>
      </c>
      <c r="B1456" t="s">
        <v>422</v>
      </c>
      <c r="C1456" t="s">
        <v>586</v>
      </c>
      <c r="D1456" t="s">
        <v>666</v>
      </c>
      <c r="E1456" t="s">
        <v>2674</v>
      </c>
      <c r="F1456">
        <v>1.7478119458189165</v>
      </c>
      <c r="G1456">
        <v>3.1658957004840671</v>
      </c>
      <c r="H1456" t="s">
        <v>1903</v>
      </c>
      <c r="I1456" t="s">
        <v>820</v>
      </c>
      <c r="J1456">
        <v>5</v>
      </c>
      <c r="K1456" t="s">
        <v>1114</v>
      </c>
      <c r="L1456">
        <v>1455000</v>
      </c>
      <c r="M1456">
        <v>1.51</v>
      </c>
      <c r="N1456">
        <v>3.1658957004840671</v>
      </c>
      <c r="O1456" t="s">
        <v>592</v>
      </c>
      <c r="P1456" t="s">
        <v>593</v>
      </c>
      <c r="Q1456" t="s">
        <v>586</v>
      </c>
      <c r="R1456">
        <v>20000</v>
      </c>
      <c r="S1456" t="s">
        <v>652</v>
      </c>
      <c r="T1456">
        <v>92</v>
      </c>
    </row>
    <row r="1457" spans="1:20" x14ac:dyDescent="0.25">
      <c r="A1457" t="s">
        <v>2676</v>
      </c>
      <c r="B1457" t="s">
        <v>422</v>
      </c>
      <c r="C1457" t="s">
        <v>586</v>
      </c>
      <c r="D1457" t="s">
        <v>666</v>
      </c>
      <c r="E1457" t="s">
        <v>2674</v>
      </c>
      <c r="F1457">
        <v>2.6410974395634637</v>
      </c>
      <c r="G1457">
        <v>6.3774730849198935</v>
      </c>
      <c r="H1457" t="s">
        <v>1903</v>
      </c>
      <c r="I1457" t="s">
        <v>820</v>
      </c>
      <c r="J1457">
        <v>5</v>
      </c>
      <c r="K1457" t="s">
        <v>669</v>
      </c>
      <c r="L1457">
        <v>1530000</v>
      </c>
      <c r="M1457">
        <v>1.69</v>
      </c>
      <c r="N1457">
        <v>6.3774730849198935</v>
      </c>
      <c r="O1457" t="s">
        <v>592</v>
      </c>
      <c r="P1457" t="s">
        <v>593</v>
      </c>
      <c r="Q1457" t="s">
        <v>586</v>
      </c>
      <c r="R1457">
        <v>270000</v>
      </c>
      <c r="S1457" t="s">
        <v>652</v>
      </c>
      <c r="T1457">
        <v>84</v>
      </c>
    </row>
    <row r="1458" spans="1:20" x14ac:dyDescent="0.25">
      <c r="A1458" t="s">
        <v>2677</v>
      </c>
      <c r="B1458" t="s">
        <v>422</v>
      </c>
      <c r="C1458" t="s">
        <v>586</v>
      </c>
      <c r="D1458" t="s">
        <v>666</v>
      </c>
      <c r="E1458" t="s">
        <v>2674</v>
      </c>
      <c r="F1458">
        <v>3.49700146117307</v>
      </c>
      <c r="G1458">
        <v>8.7387933302282015</v>
      </c>
      <c r="H1458" t="s">
        <v>1903</v>
      </c>
      <c r="I1458" t="s">
        <v>820</v>
      </c>
      <c r="J1458">
        <v>5</v>
      </c>
      <c r="K1458" t="s">
        <v>1163</v>
      </c>
      <c r="L1458">
        <v>1605000</v>
      </c>
      <c r="M1458">
        <v>1.85</v>
      </c>
      <c r="N1458">
        <v>8.7387933302282015</v>
      </c>
      <c r="O1458" t="s">
        <v>592</v>
      </c>
      <c r="P1458" t="s">
        <v>593</v>
      </c>
      <c r="Q1458" t="s">
        <v>586</v>
      </c>
      <c r="R1458">
        <v>10000</v>
      </c>
      <c r="S1458" t="s">
        <v>652</v>
      </c>
      <c r="T1458">
        <v>79</v>
      </c>
    </row>
    <row r="1459" spans="1:20" x14ac:dyDescent="0.25">
      <c r="A1459" t="s">
        <v>2678</v>
      </c>
      <c r="B1459" t="s">
        <v>422</v>
      </c>
      <c r="C1459" t="s">
        <v>586</v>
      </c>
      <c r="D1459" t="s">
        <v>666</v>
      </c>
      <c r="E1459" t="s">
        <v>2674</v>
      </c>
      <c r="F1459">
        <v>4.3184883018602349</v>
      </c>
      <c r="G1459">
        <v>12.649182874975251</v>
      </c>
      <c r="H1459" t="s">
        <v>1903</v>
      </c>
      <c r="I1459" t="s">
        <v>820</v>
      </c>
      <c r="J1459">
        <v>5</v>
      </c>
      <c r="K1459" t="s">
        <v>722</v>
      </c>
      <c r="L1459">
        <v>1685000</v>
      </c>
      <c r="M1459">
        <v>2</v>
      </c>
      <c r="N1459">
        <v>12.649182874975251</v>
      </c>
      <c r="O1459" t="s">
        <v>592</v>
      </c>
      <c r="P1459" t="s">
        <v>593</v>
      </c>
      <c r="Q1459" t="s">
        <v>586</v>
      </c>
      <c r="R1459">
        <v>10000</v>
      </c>
      <c r="S1459" t="s">
        <v>652</v>
      </c>
      <c r="T1459">
        <v>74</v>
      </c>
    </row>
    <row r="1460" spans="1:20" x14ac:dyDescent="0.25">
      <c r="A1460" t="s">
        <v>2679</v>
      </c>
      <c r="B1460" t="s">
        <v>423</v>
      </c>
      <c r="C1460" t="s">
        <v>607</v>
      </c>
      <c r="D1460" t="s">
        <v>875</v>
      </c>
      <c r="E1460" t="s">
        <v>2680</v>
      </c>
      <c r="F1460">
        <v>0.57176850554754333</v>
      </c>
      <c r="G1460">
        <v>42.025694886833385</v>
      </c>
      <c r="H1460" t="s">
        <v>672</v>
      </c>
      <c r="I1460" t="s">
        <v>716</v>
      </c>
      <c r="J1460">
        <v>2</v>
      </c>
      <c r="K1460" t="s">
        <v>744</v>
      </c>
      <c r="L1460">
        <v>265000</v>
      </c>
      <c r="M1460">
        <v>1.8800000000000001</v>
      </c>
      <c r="N1460">
        <v>42.025694886833385</v>
      </c>
      <c r="O1460" t="s">
        <v>592</v>
      </c>
      <c r="P1460" t="s">
        <v>711</v>
      </c>
      <c r="Q1460" t="s">
        <v>586</v>
      </c>
      <c r="R1460" t="s">
        <v>712</v>
      </c>
      <c r="S1460" t="s">
        <v>712</v>
      </c>
      <c r="T1460">
        <v>91</v>
      </c>
    </row>
    <row r="1461" spans="1:20" x14ac:dyDescent="0.25">
      <c r="A1461" t="s">
        <v>2681</v>
      </c>
      <c r="B1461" t="s">
        <v>423</v>
      </c>
      <c r="C1461" t="s">
        <v>607</v>
      </c>
      <c r="D1461" t="s">
        <v>875</v>
      </c>
      <c r="E1461" t="s">
        <v>2680</v>
      </c>
      <c r="F1461">
        <v>1.5366961853285666</v>
      </c>
      <c r="G1461">
        <v>39.732612512341568</v>
      </c>
      <c r="H1461" t="s">
        <v>672</v>
      </c>
      <c r="I1461" t="s">
        <v>716</v>
      </c>
      <c r="J1461">
        <v>2</v>
      </c>
      <c r="K1461" t="s">
        <v>634</v>
      </c>
      <c r="L1461">
        <v>265000</v>
      </c>
      <c r="M1461">
        <v>2.02</v>
      </c>
      <c r="N1461">
        <v>39.732612512341568</v>
      </c>
      <c r="O1461" t="s">
        <v>592</v>
      </c>
      <c r="P1461" t="s">
        <v>711</v>
      </c>
      <c r="Q1461" t="s">
        <v>586</v>
      </c>
      <c r="R1461" t="s">
        <v>712</v>
      </c>
      <c r="S1461" t="s">
        <v>712</v>
      </c>
      <c r="T1461">
        <v>80</v>
      </c>
    </row>
    <row r="1462" spans="1:20" x14ac:dyDescent="0.25">
      <c r="A1462" t="s">
        <v>2682</v>
      </c>
      <c r="B1462" t="s">
        <v>423</v>
      </c>
      <c r="C1462" t="s">
        <v>607</v>
      </c>
      <c r="D1462" t="s">
        <v>875</v>
      </c>
      <c r="E1462" t="s">
        <v>2680</v>
      </c>
      <c r="F1462">
        <v>2.4819193425903792</v>
      </c>
      <c r="G1462">
        <v>36.652339600808844</v>
      </c>
      <c r="H1462" t="s">
        <v>672</v>
      </c>
      <c r="I1462" t="s">
        <v>716</v>
      </c>
      <c r="J1462">
        <v>2</v>
      </c>
      <c r="K1462" t="s">
        <v>959</v>
      </c>
      <c r="L1462">
        <v>275000</v>
      </c>
      <c r="M1462">
        <v>2.15</v>
      </c>
      <c r="N1462">
        <v>36.652339600808844</v>
      </c>
      <c r="O1462" t="s">
        <v>592</v>
      </c>
      <c r="P1462" t="s">
        <v>711</v>
      </c>
      <c r="Q1462" t="s">
        <v>586</v>
      </c>
      <c r="R1462" t="s">
        <v>712</v>
      </c>
      <c r="S1462" t="s">
        <v>712</v>
      </c>
      <c r="T1462">
        <v>70</v>
      </c>
    </row>
    <row r="1463" spans="1:20" x14ac:dyDescent="0.25">
      <c r="A1463" t="s">
        <v>2683</v>
      </c>
      <c r="B1463" t="s">
        <v>424</v>
      </c>
      <c r="C1463" t="s">
        <v>586</v>
      </c>
      <c r="D1463" t="s">
        <v>608</v>
      </c>
      <c r="E1463" t="s">
        <v>1321</v>
      </c>
      <c r="F1463">
        <v>5.5545237137084808E-3</v>
      </c>
      <c r="G1463">
        <v>199.03598904109586</v>
      </c>
      <c r="H1463" t="s">
        <v>610</v>
      </c>
      <c r="I1463" t="s">
        <v>611</v>
      </c>
      <c r="J1463">
        <v>3.4</v>
      </c>
      <c r="K1463" t="s">
        <v>995</v>
      </c>
      <c r="L1463">
        <v>120000</v>
      </c>
      <c r="M1463">
        <v>3.4000000000000004</v>
      </c>
      <c r="N1463">
        <v>199.03598904109586</v>
      </c>
      <c r="O1463" t="s">
        <v>592</v>
      </c>
      <c r="P1463" t="s">
        <v>613</v>
      </c>
      <c r="Q1463" t="s">
        <v>586</v>
      </c>
      <c r="R1463" t="s">
        <v>712</v>
      </c>
      <c r="S1463" t="s">
        <v>712</v>
      </c>
      <c r="T1463">
        <v>97</v>
      </c>
    </row>
    <row r="1464" spans="1:20" x14ac:dyDescent="0.25">
      <c r="A1464" t="s">
        <v>2684</v>
      </c>
      <c r="B1464" t="s">
        <v>424</v>
      </c>
      <c r="C1464" t="s">
        <v>586</v>
      </c>
      <c r="D1464" t="s">
        <v>608</v>
      </c>
      <c r="E1464" t="s">
        <v>1321</v>
      </c>
      <c r="F1464">
        <v>0.97836415102010699</v>
      </c>
      <c r="G1464">
        <v>208.00125479452055</v>
      </c>
      <c r="H1464" t="s">
        <v>610</v>
      </c>
      <c r="I1464" t="s">
        <v>611</v>
      </c>
      <c r="J1464">
        <v>3.6</v>
      </c>
      <c r="K1464" t="s">
        <v>646</v>
      </c>
      <c r="L1464">
        <v>125000</v>
      </c>
      <c r="M1464">
        <v>3.6</v>
      </c>
      <c r="N1464">
        <v>208.00125479452055</v>
      </c>
      <c r="O1464" t="s">
        <v>592</v>
      </c>
      <c r="P1464" t="s">
        <v>613</v>
      </c>
      <c r="Q1464" t="s">
        <v>586</v>
      </c>
      <c r="R1464" t="s">
        <v>712</v>
      </c>
      <c r="S1464" t="s">
        <v>712</v>
      </c>
      <c r="T1464">
        <v>83</v>
      </c>
    </row>
    <row r="1465" spans="1:20" x14ac:dyDescent="0.25">
      <c r="A1465" t="s">
        <v>2685</v>
      </c>
      <c r="B1465" t="s">
        <v>424</v>
      </c>
      <c r="C1465" t="s">
        <v>586</v>
      </c>
      <c r="D1465" t="s">
        <v>608</v>
      </c>
      <c r="E1465" t="s">
        <v>1321</v>
      </c>
      <c r="F1465">
        <v>1.9205877740588351</v>
      </c>
      <c r="G1465">
        <v>216.94334246575337</v>
      </c>
      <c r="H1465" t="s">
        <v>610</v>
      </c>
      <c r="I1465" t="s">
        <v>611</v>
      </c>
      <c r="J1465">
        <v>3.8</v>
      </c>
      <c r="K1465" t="s">
        <v>729</v>
      </c>
      <c r="L1465">
        <v>125000</v>
      </c>
      <c r="M1465">
        <v>3.8000000000000003</v>
      </c>
      <c r="N1465">
        <v>216.94334246575337</v>
      </c>
      <c r="O1465" t="s">
        <v>592</v>
      </c>
      <c r="P1465" t="s">
        <v>613</v>
      </c>
      <c r="Q1465" t="s">
        <v>586</v>
      </c>
      <c r="R1465" t="s">
        <v>712</v>
      </c>
      <c r="S1465" t="s">
        <v>712</v>
      </c>
      <c r="T1465">
        <v>70</v>
      </c>
    </row>
    <row r="1466" spans="1:20" x14ac:dyDescent="0.25">
      <c r="A1466" t="s">
        <v>2686</v>
      </c>
      <c r="B1466" t="s">
        <v>425</v>
      </c>
      <c r="C1466" t="s">
        <v>586</v>
      </c>
      <c r="D1466" t="s">
        <v>900</v>
      </c>
      <c r="E1466" t="s">
        <v>1273</v>
      </c>
      <c r="F1466">
        <v>0.16361420544199365</v>
      </c>
      <c r="G1466">
        <v>24.382409249612678</v>
      </c>
      <c r="H1466" t="s">
        <v>692</v>
      </c>
      <c r="I1466" t="s">
        <v>2687</v>
      </c>
      <c r="J1466">
        <v>4</v>
      </c>
      <c r="K1466" t="s">
        <v>749</v>
      </c>
      <c r="L1466">
        <v>220000</v>
      </c>
      <c r="M1466">
        <v>1.8800000000000001</v>
      </c>
      <c r="N1466">
        <v>24.382409249612678</v>
      </c>
      <c r="O1466" t="s">
        <v>592</v>
      </c>
      <c r="P1466" t="s">
        <v>711</v>
      </c>
      <c r="Q1466" t="s">
        <v>586</v>
      </c>
      <c r="R1466" t="s">
        <v>712</v>
      </c>
      <c r="S1466" t="s">
        <v>712</v>
      </c>
      <c r="T1466">
        <v>99</v>
      </c>
    </row>
    <row r="1467" spans="1:20" x14ac:dyDescent="0.25">
      <c r="A1467" t="s">
        <v>2688</v>
      </c>
      <c r="B1467" t="s">
        <v>425</v>
      </c>
      <c r="C1467" t="s">
        <v>586</v>
      </c>
      <c r="D1467" t="s">
        <v>900</v>
      </c>
      <c r="E1467" t="s">
        <v>1273</v>
      </c>
      <c r="F1467">
        <v>1.1259832854058072</v>
      </c>
      <c r="G1467">
        <v>25.442190223524761</v>
      </c>
      <c r="H1467" t="s">
        <v>692</v>
      </c>
      <c r="I1467" t="s">
        <v>2687</v>
      </c>
      <c r="J1467">
        <v>4</v>
      </c>
      <c r="K1467" t="s">
        <v>598</v>
      </c>
      <c r="L1467">
        <v>250000</v>
      </c>
      <c r="M1467">
        <v>2.06</v>
      </c>
      <c r="N1467">
        <v>25.442190223524761</v>
      </c>
      <c r="O1467" t="s">
        <v>592</v>
      </c>
      <c r="P1467" t="s">
        <v>711</v>
      </c>
      <c r="Q1467" t="s">
        <v>586</v>
      </c>
      <c r="R1467" t="s">
        <v>712</v>
      </c>
      <c r="S1467" t="s">
        <v>712</v>
      </c>
      <c r="T1467">
        <v>93</v>
      </c>
    </row>
    <row r="1468" spans="1:20" x14ac:dyDescent="0.25">
      <c r="A1468" t="s">
        <v>2689</v>
      </c>
      <c r="B1468" t="s">
        <v>425</v>
      </c>
      <c r="C1468" t="s">
        <v>586</v>
      </c>
      <c r="D1468" t="s">
        <v>900</v>
      </c>
      <c r="E1468" t="s">
        <v>1273</v>
      </c>
      <c r="F1468">
        <v>2.051604425231738</v>
      </c>
      <c r="G1468">
        <v>21.880576269857798</v>
      </c>
      <c r="H1468" t="s">
        <v>692</v>
      </c>
      <c r="I1468" t="s">
        <v>2687</v>
      </c>
      <c r="J1468">
        <v>4</v>
      </c>
      <c r="K1468" t="s">
        <v>651</v>
      </c>
      <c r="L1468">
        <v>245000</v>
      </c>
      <c r="M1468">
        <v>2.19</v>
      </c>
      <c r="N1468">
        <v>21.880576269857798</v>
      </c>
      <c r="O1468" t="s">
        <v>592</v>
      </c>
      <c r="P1468" t="s">
        <v>711</v>
      </c>
      <c r="Q1468" t="s">
        <v>586</v>
      </c>
      <c r="R1468" t="s">
        <v>712</v>
      </c>
      <c r="S1468" t="s">
        <v>712</v>
      </c>
      <c r="T1468">
        <v>86</v>
      </c>
    </row>
    <row r="1469" spans="1:20" x14ac:dyDescent="0.25">
      <c r="A1469" t="s">
        <v>2690</v>
      </c>
      <c r="B1469" t="s">
        <v>425</v>
      </c>
      <c r="C1469" t="s">
        <v>586</v>
      </c>
      <c r="D1469" t="s">
        <v>900</v>
      </c>
      <c r="E1469" t="s">
        <v>1273</v>
      </c>
      <c r="F1469">
        <v>2.9440533642527309</v>
      </c>
      <c r="G1469">
        <v>12.569295038563988</v>
      </c>
      <c r="H1469" t="s">
        <v>692</v>
      </c>
      <c r="I1469" t="s">
        <v>2687</v>
      </c>
      <c r="J1469">
        <v>4</v>
      </c>
      <c r="K1469" t="s">
        <v>727</v>
      </c>
      <c r="L1469">
        <v>275000</v>
      </c>
      <c r="M1469">
        <v>2.25</v>
      </c>
      <c r="N1469">
        <v>12.569295038563988</v>
      </c>
      <c r="O1469" t="s">
        <v>592</v>
      </c>
      <c r="P1469" t="s">
        <v>711</v>
      </c>
      <c r="Q1469" t="s">
        <v>586</v>
      </c>
      <c r="R1469" t="s">
        <v>712</v>
      </c>
      <c r="S1469" t="s">
        <v>712</v>
      </c>
      <c r="T1469">
        <v>76</v>
      </c>
    </row>
    <row r="1470" spans="1:20" x14ac:dyDescent="0.25">
      <c r="A1470" t="s">
        <v>2691</v>
      </c>
      <c r="B1470" t="s">
        <v>425</v>
      </c>
      <c r="C1470" t="s">
        <v>586</v>
      </c>
      <c r="D1470" t="s">
        <v>900</v>
      </c>
      <c r="E1470" t="s">
        <v>1273</v>
      </c>
      <c r="F1470">
        <v>3.8048124503045742</v>
      </c>
      <c r="G1470">
        <v>8.8716276308625108</v>
      </c>
      <c r="H1470" t="s">
        <v>692</v>
      </c>
      <c r="I1470" t="s">
        <v>2687</v>
      </c>
      <c r="J1470">
        <v>4</v>
      </c>
      <c r="K1470" t="s">
        <v>629</v>
      </c>
      <c r="L1470">
        <v>280000</v>
      </c>
      <c r="M1470">
        <v>2.34</v>
      </c>
      <c r="N1470">
        <v>8.8716276308625108</v>
      </c>
      <c r="O1470" t="s">
        <v>592</v>
      </c>
      <c r="P1470" t="s">
        <v>711</v>
      </c>
      <c r="Q1470" t="s">
        <v>586</v>
      </c>
      <c r="R1470">
        <v>90000</v>
      </c>
      <c r="S1470" t="s">
        <v>712</v>
      </c>
      <c r="T1470">
        <v>68</v>
      </c>
    </row>
    <row r="1471" spans="1:20" x14ac:dyDescent="0.25">
      <c r="A1471" t="s">
        <v>2692</v>
      </c>
      <c r="B1471" t="s">
        <v>425</v>
      </c>
      <c r="C1471" t="s">
        <v>586</v>
      </c>
      <c r="D1471" t="s">
        <v>900</v>
      </c>
      <c r="E1471" t="s">
        <v>1273</v>
      </c>
      <c r="F1471">
        <v>4.6349627928448038</v>
      </c>
      <c r="G1471">
        <v>2.2066561412503738</v>
      </c>
      <c r="H1471" t="s">
        <v>692</v>
      </c>
      <c r="I1471" t="s">
        <v>2687</v>
      </c>
      <c r="J1471">
        <v>4</v>
      </c>
      <c r="K1471" t="s">
        <v>797</v>
      </c>
      <c r="L1471">
        <v>285000</v>
      </c>
      <c r="M1471">
        <v>2.39</v>
      </c>
      <c r="N1471">
        <v>2.2066561412503738</v>
      </c>
      <c r="O1471" t="s">
        <v>592</v>
      </c>
      <c r="P1471" t="s">
        <v>711</v>
      </c>
      <c r="Q1471" t="s">
        <v>586</v>
      </c>
      <c r="R1471" t="s">
        <v>712</v>
      </c>
      <c r="S1471" t="s">
        <v>712</v>
      </c>
      <c r="T1471">
        <v>61</v>
      </c>
    </row>
    <row r="1472" spans="1:20" x14ac:dyDescent="0.25">
      <c r="A1472" t="s">
        <v>2693</v>
      </c>
      <c r="B1472" t="s">
        <v>426</v>
      </c>
      <c r="C1472" t="s">
        <v>607</v>
      </c>
      <c r="D1472" t="s">
        <v>608</v>
      </c>
      <c r="E1472" t="s">
        <v>1032</v>
      </c>
      <c r="F1472">
        <v>8.0489277117347532E-2</v>
      </c>
      <c r="G1472">
        <v>67.318452773454183</v>
      </c>
      <c r="H1472" t="s">
        <v>1000</v>
      </c>
      <c r="I1472" t="s">
        <v>885</v>
      </c>
      <c r="J1472">
        <v>4</v>
      </c>
      <c r="K1472" t="s">
        <v>950</v>
      </c>
      <c r="L1472">
        <v>50000</v>
      </c>
      <c r="M1472">
        <v>1.9000000000000001</v>
      </c>
      <c r="N1472">
        <v>67.318452773454183</v>
      </c>
      <c r="O1472" t="s">
        <v>592</v>
      </c>
      <c r="P1472" t="s">
        <v>621</v>
      </c>
      <c r="Q1472" t="s">
        <v>586</v>
      </c>
      <c r="R1472" t="s">
        <v>712</v>
      </c>
      <c r="S1472" t="s">
        <v>878</v>
      </c>
      <c r="T1472">
        <v>98</v>
      </c>
    </row>
    <row r="1473" spans="1:20" x14ac:dyDescent="0.25">
      <c r="A1473" t="s">
        <v>2694</v>
      </c>
      <c r="B1473" t="s">
        <v>426</v>
      </c>
      <c r="C1473" t="s">
        <v>607</v>
      </c>
      <c r="D1473" t="s">
        <v>608</v>
      </c>
      <c r="E1473" t="s">
        <v>1032</v>
      </c>
      <c r="F1473">
        <v>1.0434212002036918</v>
      </c>
      <c r="G1473">
        <v>63.253051281908256</v>
      </c>
      <c r="H1473" t="s">
        <v>1000</v>
      </c>
      <c r="I1473" t="s">
        <v>885</v>
      </c>
      <c r="J1473">
        <v>4</v>
      </c>
      <c r="K1473" t="s">
        <v>612</v>
      </c>
      <c r="L1473">
        <v>50000</v>
      </c>
      <c r="M1473">
        <v>2</v>
      </c>
      <c r="N1473">
        <v>63.253051281908256</v>
      </c>
      <c r="O1473" t="s">
        <v>592</v>
      </c>
      <c r="P1473" t="s">
        <v>621</v>
      </c>
      <c r="Q1473" t="s">
        <v>586</v>
      </c>
      <c r="R1473" t="s">
        <v>712</v>
      </c>
      <c r="S1473" t="s">
        <v>878</v>
      </c>
      <c r="T1473">
        <v>94</v>
      </c>
    </row>
    <row r="1474" spans="1:20" x14ac:dyDescent="0.25">
      <c r="A1474" t="s">
        <v>2695</v>
      </c>
      <c r="B1474" t="s">
        <v>426</v>
      </c>
      <c r="C1474" t="s">
        <v>607</v>
      </c>
      <c r="D1474" t="s">
        <v>608</v>
      </c>
      <c r="E1474" t="s">
        <v>1032</v>
      </c>
      <c r="F1474">
        <v>1.9689431592359101</v>
      </c>
      <c r="G1474">
        <v>63.790131882016901</v>
      </c>
      <c r="H1474" t="s">
        <v>1000</v>
      </c>
      <c r="I1474" t="s">
        <v>885</v>
      </c>
      <c r="J1474">
        <v>4</v>
      </c>
      <c r="K1474" t="s">
        <v>956</v>
      </c>
      <c r="L1474">
        <v>50000</v>
      </c>
      <c r="M1474">
        <v>2.15</v>
      </c>
      <c r="N1474">
        <v>63.790131882016901</v>
      </c>
      <c r="O1474" t="s">
        <v>592</v>
      </c>
      <c r="P1474" t="s">
        <v>621</v>
      </c>
      <c r="Q1474" t="s">
        <v>586</v>
      </c>
      <c r="R1474" t="s">
        <v>712</v>
      </c>
      <c r="S1474" t="s">
        <v>878</v>
      </c>
      <c r="T1474">
        <v>83</v>
      </c>
    </row>
    <row r="1475" spans="1:20" x14ac:dyDescent="0.25">
      <c r="A1475" t="s">
        <v>2696</v>
      </c>
      <c r="B1475" t="s">
        <v>107</v>
      </c>
      <c r="C1475" t="s">
        <v>607</v>
      </c>
      <c r="D1475" t="s">
        <v>608</v>
      </c>
      <c r="E1475" t="s">
        <v>1032</v>
      </c>
      <c r="F1475">
        <v>0.16356148791091965</v>
      </c>
      <c r="G1475">
        <v>43.401474895272905</v>
      </c>
      <c r="H1475" t="s">
        <v>1041</v>
      </c>
      <c r="I1475" t="s">
        <v>885</v>
      </c>
      <c r="J1475">
        <v>3</v>
      </c>
      <c r="K1475" t="s">
        <v>749</v>
      </c>
      <c r="L1475">
        <v>245000</v>
      </c>
      <c r="M1475">
        <v>2.1</v>
      </c>
      <c r="N1475">
        <v>43.401474895272905</v>
      </c>
      <c r="O1475" t="s">
        <v>592</v>
      </c>
      <c r="P1475" t="s">
        <v>613</v>
      </c>
      <c r="Q1475" t="s">
        <v>586</v>
      </c>
      <c r="R1475" t="s">
        <v>712</v>
      </c>
      <c r="S1475" t="s">
        <v>878</v>
      </c>
      <c r="T1475">
        <v>99</v>
      </c>
    </row>
    <row r="1476" spans="1:20" x14ac:dyDescent="0.25">
      <c r="A1476" t="s">
        <v>2697</v>
      </c>
      <c r="B1476" t="s">
        <v>107</v>
      </c>
      <c r="C1476" t="s">
        <v>607</v>
      </c>
      <c r="D1476" t="s">
        <v>608</v>
      </c>
      <c r="E1476" t="s">
        <v>1032</v>
      </c>
      <c r="F1476">
        <v>1.1316331604036911</v>
      </c>
      <c r="G1476">
        <v>40.27069689078273</v>
      </c>
      <c r="H1476" t="s">
        <v>1041</v>
      </c>
      <c r="I1476" t="s">
        <v>885</v>
      </c>
      <c r="J1476">
        <v>3</v>
      </c>
      <c r="K1476" t="s">
        <v>598</v>
      </c>
      <c r="L1476">
        <v>245000</v>
      </c>
      <c r="M1476">
        <v>2.2000000000000002</v>
      </c>
      <c r="N1476">
        <v>40.27069689078273</v>
      </c>
      <c r="O1476" t="s">
        <v>592</v>
      </c>
      <c r="P1476" t="s">
        <v>613</v>
      </c>
      <c r="Q1476" t="s">
        <v>586</v>
      </c>
      <c r="R1476" t="s">
        <v>712</v>
      </c>
      <c r="S1476" t="s">
        <v>878</v>
      </c>
      <c r="T1476">
        <v>88</v>
      </c>
    </row>
    <row r="1477" spans="1:20" x14ac:dyDescent="0.25">
      <c r="A1477" t="s">
        <v>2698</v>
      </c>
      <c r="B1477" t="s">
        <v>427</v>
      </c>
      <c r="C1477" t="s">
        <v>607</v>
      </c>
      <c r="D1477" t="s">
        <v>961</v>
      </c>
      <c r="E1477" t="s">
        <v>2699</v>
      </c>
      <c r="F1477">
        <v>0.32947303192491445</v>
      </c>
      <c r="G1477">
        <v>23.570400000000014</v>
      </c>
      <c r="H1477" t="s">
        <v>709</v>
      </c>
      <c r="I1477" t="s">
        <v>1037</v>
      </c>
      <c r="J1477">
        <v>2</v>
      </c>
      <c r="K1477" t="s">
        <v>710</v>
      </c>
      <c r="L1477">
        <v>110000</v>
      </c>
      <c r="M1477">
        <v>1.51</v>
      </c>
      <c r="N1477">
        <v>23.570400000000014</v>
      </c>
      <c r="O1477" t="s">
        <v>592</v>
      </c>
      <c r="P1477" t="s">
        <v>593</v>
      </c>
      <c r="Q1477" t="s">
        <v>586</v>
      </c>
      <c r="R1477" t="s">
        <v>712</v>
      </c>
      <c r="S1477" t="s">
        <v>712</v>
      </c>
      <c r="T1477">
        <v>88</v>
      </c>
    </row>
    <row r="1478" spans="1:20" x14ac:dyDescent="0.25">
      <c r="A1478" t="s">
        <v>2700</v>
      </c>
      <c r="B1478" t="s">
        <v>427</v>
      </c>
      <c r="C1478" t="s">
        <v>607</v>
      </c>
      <c r="D1478" t="s">
        <v>961</v>
      </c>
      <c r="E1478" t="s">
        <v>2699</v>
      </c>
      <c r="F1478">
        <v>1.2982618295618455</v>
      </c>
      <c r="G1478">
        <v>24.495000000000001</v>
      </c>
      <c r="H1478" t="s">
        <v>709</v>
      </c>
      <c r="I1478" t="s">
        <v>1037</v>
      </c>
      <c r="J1478">
        <v>3</v>
      </c>
      <c r="K1478" t="s">
        <v>758</v>
      </c>
      <c r="L1478">
        <v>185000</v>
      </c>
      <c r="M1478">
        <v>1.6600000000000001</v>
      </c>
      <c r="N1478">
        <v>24.495000000000001</v>
      </c>
      <c r="O1478" t="s">
        <v>592</v>
      </c>
      <c r="P1478" t="s">
        <v>593</v>
      </c>
      <c r="Q1478" t="s">
        <v>586</v>
      </c>
      <c r="R1478" t="s">
        <v>712</v>
      </c>
      <c r="S1478" t="s">
        <v>712</v>
      </c>
      <c r="T1478">
        <v>74</v>
      </c>
    </row>
    <row r="1479" spans="1:20" x14ac:dyDescent="0.25">
      <c r="A1479" t="s">
        <v>2701</v>
      </c>
      <c r="B1479" t="s">
        <v>427</v>
      </c>
      <c r="C1479" t="s">
        <v>607</v>
      </c>
      <c r="D1479" t="s">
        <v>961</v>
      </c>
      <c r="E1479" t="s">
        <v>2699</v>
      </c>
      <c r="F1479">
        <v>2.2384947327560787</v>
      </c>
      <c r="G1479">
        <v>27.056194520547947</v>
      </c>
      <c r="H1479" t="s">
        <v>709</v>
      </c>
      <c r="I1479" t="s">
        <v>1037</v>
      </c>
      <c r="J1479">
        <v>3</v>
      </c>
      <c r="K1479" t="s">
        <v>972</v>
      </c>
      <c r="L1479">
        <v>265000</v>
      </c>
      <c r="M1479">
        <v>1.83</v>
      </c>
      <c r="N1479">
        <v>27.056194520547947</v>
      </c>
      <c r="O1479" t="s">
        <v>592</v>
      </c>
      <c r="P1479" t="s">
        <v>593</v>
      </c>
      <c r="Q1479" t="s">
        <v>586</v>
      </c>
      <c r="R1479" t="s">
        <v>712</v>
      </c>
      <c r="S1479" t="s">
        <v>712</v>
      </c>
      <c r="T1479">
        <v>62</v>
      </c>
    </row>
    <row r="1480" spans="1:20" x14ac:dyDescent="0.25">
      <c r="A1480" t="s">
        <v>2702</v>
      </c>
      <c r="B1480" t="s">
        <v>427</v>
      </c>
      <c r="C1480" t="s">
        <v>607</v>
      </c>
      <c r="D1480" t="s">
        <v>961</v>
      </c>
      <c r="E1480" t="s">
        <v>2699</v>
      </c>
      <c r="F1480">
        <v>3.1517120064411781</v>
      </c>
      <c r="G1480">
        <v>29.918901369863015</v>
      </c>
      <c r="H1480" t="s">
        <v>709</v>
      </c>
      <c r="I1480" t="s">
        <v>1037</v>
      </c>
      <c r="J1480">
        <v>3</v>
      </c>
      <c r="K1480" t="s">
        <v>938</v>
      </c>
      <c r="L1480">
        <v>320000</v>
      </c>
      <c r="M1480">
        <v>2</v>
      </c>
      <c r="N1480">
        <v>29.918901369863015</v>
      </c>
      <c r="O1480" t="s">
        <v>592</v>
      </c>
      <c r="P1480" t="s">
        <v>593</v>
      </c>
      <c r="Q1480" t="s">
        <v>586</v>
      </c>
      <c r="R1480" t="s">
        <v>712</v>
      </c>
      <c r="S1480" t="s">
        <v>712</v>
      </c>
      <c r="T1480">
        <v>53</v>
      </c>
    </row>
    <row r="1481" spans="1:20" x14ac:dyDescent="0.25">
      <c r="A1481" t="s">
        <v>2703</v>
      </c>
      <c r="B1481" t="s">
        <v>427</v>
      </c>
      <c r="C1481" t="s">
        <v>607</v>
      </c>
      <c r="D1481" t="s">
        <v>961</v>
      </c>
      <c r="E1481" t="s">
        <v>2699</v>
      </c>
      <c r="F1481">
        <v>3.9042923110377687</v>
      </c>
      <c r="G1481">
        <v>33.577230136986302</v>
      </c>
      <c r="H1481" t="s">
        <v>709</v>
      </c>
      <c r="I1481" t="s">
        <v>1037</v>
      </c>
      <c r="J1481">
        <v>5</v>
      </c>
      <c r="K1481" t="s">
        <v>1085</v>
      </c>
      <c r="L1481">
        <v>530000</v>
      </c>
      <c r="M1481">
        <v>2.16</v>
      </c>
      <c r="N1481">
        <v>33.577230136986302</v>
      </c>
      <c r="O1481" t="s">
        <v>592</v>
      </c>
      <c r="P1481" t="s">
        <v>593</v>
      </c>
      <c r="Q1481" t="s">
        <v>586</v>
      </c>
      <c r="R1481" t="s">
        <v>712</v>
      </c>
      <c r="S1481" t="s">
        <v>712</v>
      </c>
      <c r="T1481">
        <v>60</v>
      </c>
    </row>
    <row r="1482" spans="1:20" x14ac:dyDescent="0.25">
      <c r="A1482" t="s">
        <v>2704</v>
      </c>
      <c r="B1482" t="s">
        <v>427</v>
      </c>
      <c r="C1482" t="s">
        <v>607</v>
      </c>
      <c r="D1482" t="s">
        <v>961</v>
      </c>
      <c r="E1482" t="s">
        <v>2699</v>
      </c>
      <c r="F1482">
        <v>4.7054564246895305</v>
      </c>
      <c r="G1482">
        <v>34.203808219178079</v>
      </c>
      <c r="H1482" t="s">
        <v>709</v>
      </c>
      <c r="I1482" t="s">
        <v>1037</v>
      </c>
      <c r="J1482">
        <v>5</v>
      </c>
      <c r="K1482" t="s">
        <v>933</v>
      </c>
      <c r="L1482">
        <v>585000</v>
      </c>
      <c r="M1482">
        <v>2.27</v>
      </c>
      <c r="N1482">
        <v>34.203808219178079</v>
      </c>
      <c r="O1482" t="s">
        <v>592</v>
      </c>
      <c r="P1482" t="s">
        <v>593</v>
      </c>
      <c r="Q1482" t="s">
        <v>586</v>
      </c>
      <c r="R1482">
        <v>300000</v>
      </c>
      <c r="S1482" t="s">
        <v>712</v>
      </c>
      <c r="T1482">
        <v>55</v>
      </c>
    </row>
    <row r="1483" spans="1:20" x14ac:dyDescent="0.25">
      <c r="A1483" t="s">
        <v>2705</v>
      </c>
      <c r="B1483" t="s">
        <v>162</v>
      </c>
      <c r="C1483" t="s">
        <v>607</v>
      </c>
      <c r="D1483" t="s">
        <v>608</v>
      </c>
      <c r="E1483" t="s">
        <v>1242</v>
      </c>
      <c r="F1483">
        <v>0.61026386541875333</v>
      </c>
      <c r="G1483">
        <v>39.092655544284561</v>
      </c>
      <c r="H1483" t="s">
        <v>761</v>
      </c>
      <c r="I1483" t="s">
        <v>611</v>
      </c>
      <c r="J1483">
        <v>2</v>
      </c>
      <c r="K1483" t="s">
        <v>948</v>
      </c>
      <c r="L1483">
        <v>235000</v>
      </c>
      <c r="M1483">
        <v>1.85</v>
      </c>
      <c r="N1483">
        <v>39.092655544284561</v>
      </c>
      <c r="O1483" t="s">
        <v>592</v>
      </c>
      <c r="P1483" t="s">
        <v>613</v>
      </c>
      <c r="Q1483" t="s">
        <v>586</v>
      </c>
      <c r="R1483" t="s">
        <v>712</v>
      </c>
      <c r="S1483" t="s">
        <v>878</v>
      </c>
      <c r="T1483">
        <v>93</v>
      </c>
    </row>
    <row r="1484" spans="1:20" x14ac:dyDescent="0.25">
      <c r="A1484" t="s">
        <v>2706</v>
      </c>
      <c r="B1484" t="s">
        <v>162</v>
      </c>
      <c r="C1484" t="s">
        <v>607</v>
      </c>
      <c r="D1484" t="s">
        <v>608</v>
      </c>
      <c r="E1484" t="s">
        <v>1242</v>
      </c>
      <c r="F1484">
        <v>2.5118701242530763</v>
      </c>
      <c r="G1484">
        <v>37.110287703456144</v>
      </c>
      <c r="H1484" t="s">
        <v>761</v>
      </c>
      <c r="I1484" t="s">
        <v>611</v>
      </c>
      <c r="J1484">
        <v>2.25</v>
      </c>
      <c r="K1484" t="s">
        <v>1055</v>
      </c>
      <c r="L1484">
        <v>245000</v>
      </c>
      <c r="M1484">
        <v>2.12</v>
      </c>
      <c r="N1484">
        <v>37.110287703456144</v>
      </c>
      <c r="O1484" t="s">
        <v>592</v>
      </c>
      <c r="P1484" t="s">
        <v>613</v>
      </c>
      <c r="Q1484" t="s">
        <v>586</v>
      </c>
      <c r="R1484" t="s">
        <v>712</v>
      </c>
      <c r="S1484" t="s">
        <v>878</v>
      </c>
      <c r="T1484">
        <v>74</v>
      </c>
    </row>
    <row r="1485" spans="1:20" x14ac:dyDescent="0.25">
      <c r="A1485" t="s">
        <v>2707</v>
      </c>
      <c r="B1485" t="s">
        <v>162</v>
      </c>
      <c r="C1485" t="s">
        <v>607</v>
      </c>
      <c r="D1485" t="s">
        <v>608</v>
      </c>
      <c r="E1485" t="s">
        <v>1242</v>
      </c>
      <c r="F1485">
        <v>3.3305379120832854</v>
      </c>
      <c r="G1485">
        <v>40.370778462542646</v>
      </c>
      <c r="H1485" t="s">
        <v>761</v>
      </c>
      <c r="I1485" t="s">
        <v>611</v>
      </c>
      <c r="J1485">
        <v>4</v>
      </c>
      <c r="K1485" t="s">
        <v>762</v>
      </c>
      <c r="L1485">
        <v>255000</v>
      </c>
      <c r="M1485">
        <v>2.29</v>
      </c>
      <c r="N1485">
        <v>40.370778462542646</v>
      </c>
      <c r="O1485" t="s">
        <v>592</v>
      </c>
      <c r="P1485" t="s">
        <v>613</v>
      </c>
      <c r="Q1485" t="s">
        <v>586</v>
      </c>
      <c r="R1485" t="s">
        <v>712</v>
      </c>
      <c r="S1485" t="s">
        <v>878</v>
      </c>
      <c r="T1485">
        <v>74</v>
      </c>
    </row>
    <row r="1486" spans="1:20" x14ac:dyDescent="0.25">
      <c r="A1486" t="s">
        <v>2708</v>
      </c>
      <c r="B1486" t="s">
        <v>162</v>
      </c>
      <c r="C1486" t="s">
        <v>607</v>
      </c>
      <c r="D1486" t="s">
        <v>608</v>
      </c>
      <c r="E1486" t="s">
        <v>1242</v>
      </c>
      <c r="F1486">
        <v>4.1741468688361572</v>
      </c>
      <c r="G1486">
        <v>41.942159424824197</v>
      </c>
      <c r="H1486" t="s">
        <v>761</v>
      </c>
      <c r="I1486" t="s">
        <v>611</v>
      </c>
      <c r="J1486">
        <v>4</v>
      </c>
      <c r="K1486" t="s">
        <v>1240</v>
      </c>
      <c r="L1486">
        <v>265000</v>
      </c>
      <c r="M1486">
        <v>2.42</v>
      </c>
      <c r="N1486">
        <v>41.942159424824197</v>
      </c>
      <c r="O1486" t="s">
        <v>592</v>
      </c>
      <c r="P1486" t="s">
        <v>613</v>
      </c>
      <c r="Q1486" t="s">
        <v>586</v>
      </c>
      <c r="R1486" t="s">
        <v>712</v>
      </c>
      <c r="S1486" t="s">
        <v>878</v>
      </c>
      <c r="T1486">
        <v>69</v>
      </c>
    </row>
    <row r="1487" spans="1:20" x14ac:dyDescent="0.25">
      <c r="A1487" t="s">
        <v>2709</v>
      </c>
      <c r="B1487" t="s">
        <v>428</v>
      </c>
      <c r="C1487" t="s">
        <v>586</v>
      </c>
      <c r="D1487" t="s">
        <v>1071</v>
      </c>
      <c r="E1487" t="s">
        <v>2710</v>
      </c>
      <c r="F1487">
        <v>5.5552826671751883E-3</v>
      </c>
      <c r="G1487">
        <v>32.370161846099663</v>
      </c>
      <c r="H1487" t="s">
        <v>869</v>
      </c>
      <c r="I1487" t="s">
        <v>733</v>
      </c>
      <c r="J1487">
        <v>2</v>
      </c>
      <c r="K1487" t="s">
        <v>995</v>
      </c>
      <c r="L1487">
        <v>790000</v>
      </c>
      <c r="M1487">
        <v>1.55</v>
      </c>
      <c r="N1487">
        <v>32.370161846099663</v>
      </c>
      <c r="O1487" t="s">
        <v>592</v>
      </c>
      <c r="P1487" t="s">
        <v>593</v>
      </c>
      <c r="Q1487" t="s">
        <v>586</v>
      </c>
      <c r="R1487">
        <v>20000</v>
      </c>
      <c r="S1487" t="s">
        <v>712</v>
      </c>
      <c r="T1487">
        <v>98</v>
      </c>
    </row>
    <row r="1488" spans="1:20" x14ac:dyDescent="0.25">
      <c r="A1488" t="s">
        <v>2711</v>
      </c>
      <c r="B1488" t="s">
        <v>428</v>
      </c>
      <c r="C1488" t="s">
        <v>586</v>
      </c>
      <c r="D1488" t="s">
        <v>1071</v>
      </c>
      <c r="E1488" t="s">
        <v>2710</v>
      </c>
      <c r="F1488">
        <v>0.49470118642697192</v>
      </c>
      <c r="G1488">
        <v>35.226135113145141</v>
      </c>
      <c r="H1488" t="s">
        <v>869</v>
      </c>
      <c r="I1488" t="s">
        <v>733</v>
      </c>
      <c r="J1488">
        <v>2</v>
      </c>
      <c r="K1488" t="s">
        <v>807</v>
      </c>
      <c r="L1488">
        <v>800000</v>
      </c>
      <c r="M1488">
        <v>1.6500000000000001</v>
      </c>
      <c r="N1488">
        <v>35.226135113145141</v>
      </c>
      <c r="O1488" t="s">
        <v>592</v>
      </c>
      <c r="P1488" t="s">
        <v>593</v>
      </c>
      <c r="Q1488" t="s">
        <v>586</v>
      </c>
      <c r="R1488">
        <v>250000</v>
      </c>
      <c r="S1488" t="s">
        <v>712</v>
      </c>
      <c r="T1488">
        <v>83</v>
      </c>
    </row>
    <row r="1489" spans="1:20" x14ac:dyDescent="0.25">
      <c r="A1489" t="s">
        <v>2712</v>
      </c>
      <c r="B1489" t="s">
        <v>428</v>
      </c>
      <c r="C1489" t="s">
        <v>586</v>
      </c>
      <c r="D1489" t="s">
        <v>1071</v>
      </c>
      <c r="E1489" t="s">
        <v>2710</v>
      </c>
      <c r="F1489">
        <v>0.98505420206061733</v>
      </c>
      <c r="G1489">
        <v>33.169401967282816</v>
      </c>
      <c r="H1489" t="s">
        <v>869</v>
      </c>
      <c r="I1489" t="s">
        <v>733</v>
      </c>
      <c r="J1489">
        <v>2</v>
      </c>
      <c r="K1489" t="s">
        <v>646</v>
      </c>
      <c r="L1489">
        <v>805000</v>
      </c>
      <c r="M1489">
        <v>1.7000000000000002</v>
      </c>
      <c r="N1489">
        <v>33.169401967282816</v>
      </c>
      <c r="O1489" t="s">
        <v>592</v>
      </c>
      <c r="P1489" t="s">
        <v>593</v>
      </c>
      <c r="Q1489" t="s">
        <v>586</v>
      </c>
      <c r="R1489">
        <v>105000</v>
      </c>
      <c r="S1489" t="s">
        <v>712</v>
      </c>
      <c r="T1489">
        <v>72</v>
      </c>
    </row>
    <row r="1490" spans="1:20" x14ac:dyDescent="0.25">
      <c r="A1490" t="s">
        <v>2713</v>
      </c>
      <c r="B1490" t="s">
        <v>428</v>
      </c>
      <c r="C1490" t="s">
        <v>586</v>
      </c>
      <c r="D1490" t="s">
        <v>1071</v>
      </c>
      <c r="E1490" t="s">
        <v>2710</v>
      </c>
      <c r="F1490">
        <v>1.4708255624255535</v>
      </c>
      <c r="G1490">
        <v>35.915782169554845</v>
      </c>
      <c r="H1490" t="s">
        <v>869</v>
      </c>
      <c r="I1490" t="s">
        <v>733</v>
      </c>
      <c r="J1490">
        <v>2</v>
      </c>
      <c r="K1490" t="s">
        <v>780</v>
      </c>
      <c r="L1490">
        <v>815000</v>
      </c>
      <c r="M1490">
        <v>1.8</v>
      </c>
      <c r="N1490">
        <v>35.915782169554845</v>
      </c>
      <c r="O1490" t="s">
        <v>592</v>
      </c>
      <c r="P1490" t="s">
        <v>593</v>
      </c>
      <c r="Q1490" t="s">
        <v>586</v>
      </c>
      <c r="R1490">
        <v>125000</v>
      </c>
      <c r="S1490" t="s">
        <v>712</v>
      </c>
      <c r="T1490">
        <v>64</v>
      </c>
    </row>
    <row r="1491" spans="1:20" x14ac:dyDescent="0.25">
      <c r="A1491" t="s">
        <v>2714</v>
      </c>
      <c r="B1491" t="s">
        <v>428</v>
      </c>
      <c r="C1491" t="s">
        <v>586</v>
      </c>
      <c r="D1491" t="s">
        <v>1071</v>
      </c>
      <c r="E1491" t="s">
        <v>2710</v>
      </c>
      <c r="F1491">
        <v>1.951269779291579</v>
      </c>
      <c r="G1491">
        <v>33.706484435615948</v>
      </c>
      <c r="H1491" t="s">
        <v>869</v>
      </c>
      <c r="I1491" t="s">
        <v>733</v>
      </c>
      <c r="J1491">
        <v>2</v>
      </c>
      <c r="K1491" t="s">
        <v>729</v>
      </c>
      <c r="L1491">
        <v>825000</v>
      </c>
      <c r="M1491">
        <v>1.85</v>
      </c>
      <c r="N1491">
        <v>33.706484435615948</v>
      </c>
      <c r="O1491" t="s">
        <v>592</v>
      </c>
      <c r="P1491" t="s">
        <v>593</v>
      </c>
      <c r="Q1491" t="s">
        <v>586</v>
      </c>
      <c r="R1491" t="s">
        <v>712</v>
      </c>
      <c r="S1491" t="s">
        <v>712</v>
      </c>
      <c r="T1491">
        <v>57</v>
      </c>
    </row>
    <row r="1492" spans="1:20" x14ac:dyDescent="0.25">
      <c r="A1492" t="s">
        <v>2715</v>
      </c>
      <c r="B1492" t="s">
        <v>428</v>
      </c>
      <c r="C1492" t="s">
        <v>586</v>
      </c>
      <c r="D1492" t="s">
        <v>1071</v>
      </c>
      <c r="E1492" t="s">
        <v>2710</v>
      </c>
      <c r="F1492">
        <v>2.4272326176666454</v>
      </c>
      <c r="G1492">
        <v>36.325825040722549</v>
      </c>
      <c r="H1492" t="s">
        <v>869</v>
      </c>
      <c r="I1492" t="s">
        <v>733</v>
      </c>
      <c r="J1492">
        <v>2</v>
      </c>
      <c r="K1492" t="s">
        <v>1013</v>
      </c>
      <c r="L1492">
        <v>835000</v>
      </c>
      <c r="M1492">
        <v>1.95</v>
      </c>
      <c r="N1492">
        <v>36.325825040722549</v>
      </c>
      <c r="O1492" t="s">
        <v>592</v>
      </c>
      <c r="P1492" t="s">
        <v>593</v>
      </c>
      <c r="Q1492" t="s">
        <v>586</v>
      </c>
      <c r="R1492">
        <v>30000</v>
      </c>
      <c r="S1492" t="s">
        <v>712</v>
      </c>
      <c r="T1492">
        <v>51</v>
      </c>
    </row>
    <row r="1493" spans="1:20" x14ac:dyDescent="0.25">
      <c r="A1493" t="s">
        <v>2716</v>
      </c>
      <c r="B1493" t="s">
        <v>429</v>
      </c>
      <c r="C1493" t="s">
        <v>586</v>
      </c>
      <c r="D1493" t="s">
        <v>1291</v>
      </c>
      <c r="E1493" t="s">
        <v>2717</v>
      </c>
      <c r="F1493">
        <v>0.24674320394695656</v>
      </c>
      <c r="G1493">
        <v>24.449816288308579</v>
      </c>
      <c r="H1493" t="s">
        <v>1265</v>
      </c>
      <c r="I1493" t="s">
        <v>661</v>
      </c>
      <c r="J1493">
        <v>3</v>
      </c>
      <c r="K1493" t="s">
        <v>694</v>
      </c>
      <c r="L1493">
        <v>340000</v>
      </c>
      <c r="M1493">
        <v>1.5</v>
      </c>
      <c r="N1493">
        <v>24.449816288308579</v>
      </c>
      <c r="O1493" t="s">
        <v>592</v>
      </c>
      <c r="P1493" t="s">
        <v>593</v>
      </c>
      <c r="Q1493" t="s">
        <v>586</v>
      </c>
      <c r="R1493" t="s">
        <v>712</v>
      </c>
      <c r="S1493" t="s">
        <v>712</v>
      </c>
      <c r="T1493">
        <v>89</v>
      </c>
    </row>
    <row r="1494" spans="1:20" x14ac:dyDescent="0.25">
      <c r="A1494" t="s">
        <v>2718</v>
      </c>
      <c r="B1494" t="s">
        <v>429</v>
      </c>
      <c r="C1494" t="s">
        <v>586</v>
      </c>
      <c r="D1494" t="s">
        <v>1291</v>
      </c>
      <c r="E1494" t="s">
        <v>2717</v>
      </c>
      <c r="F1494">
        <v>1.2168661764848161</v>
      </c>
      <c r="G1494">
        <v>23.529576302449009</v>
      </c>
      <c r="H1494" t="s">
        <v>1265</v>
      </c>
      <c r="I1494" t="s">
        <v>661</v>
      </c>
      <c r="J1494">
        <v>3</v>
      </c>
      <c r="K1494" t="s">
        <v>764</v>
      </c>
      <c r="L1494">
        <v>350000</v>
      </c>
      <c r="M1494">
        <v>1.6500000000000001</v>
      </c>
      <c r="N1494">
        <v>23.529576302449009</v>
      </c>
      <c r="O1494" t="s">
        <v>592</v>
      </c>
      <c r="P1494" t="s">
        <v>593</v>
      </c>
      <c r="Q1494" t="s">
        <v>586</v>
      </c>
      <c r="R1494">
        <v>100000</v>
      </c>
      <c r="S1494" t="s">
        <v>712</v>
      </c>
      <c r="T1494">
        <v>65</v>
      </c>
    </row>
    <row r="1495" spans="1:20" x14ac:dyDescent="0.25">
      <c r="A1495" t="s">
        <v>2719</v>
      </c>
      <c r="B1495" t="s">
        <v>429</v>
      </c>
      <c r="C1495" t="s">
        <v>586</v>
      </c>
      <c r="D1495" t="s">
        <v>1291</v>
      </c>
      <c r="E1495" t="s">
        <v>2717</v>
      </c>
      <c r="F1495">
        <v>2.1166376434234615</v>
      </c>
      <c r="G1495">
        <v>22.599783526659213</v>
      </c>
      <c r="H1495" t="s">
        <v>1265</v>
      </c>
      <c r="I1495" t="s">
        <v>661</v>
      </c>
      <c r="J1495">
        <v>5</v>
      </c>
      <c r="K1495" t="s">
        <v>699</v>
      </c>
      <c r="L1495">
        <v>360000</v>
      </c>
      <c r="M1495">
        <v>1.8</v>
      </c>
      <c r="N1495">
        <v>22.599783526659213</v>
      </c>
      <c r="O1495" t="s">
        <v>592</v>
      </c>
      <c r="P1495" t="s">
        <v>593</v>
      </c>
      <c r="Q1495" t="s">
        <v>586</v>
      </c>
      <c r="R1495" t="s">
        <v>712</v>
      </c>
      <c r="S1495" t="s">
        <v>712</v>
      </c>
      <c r="T1495">
        <v>63</v>
      </c>
    </row>
    <row r="1496" spans="1:20" x14ac:dyDescent="0.25">
      <c r="A1496" t="s">
        <v>2720</v>
      </c>
      <c r="B1496" t="s">
        <v>429</v>
      </c>
      <c r="C1496" t="s">
        <v>586</v>
      </c>
      <c r="D1496" t="s">
        <v>1291</v>
      </c>
      <c r="E1496" t="s">
        <v>2717</v>
      </c>
      <c r="F1496">
        <v>2.9909911474095345</v>
      </c>
      <c r="G1496">
        <v>22.442070333970833</v>
      </c>
      <c r="H1496" t="s">
        <v>1265</v>
      </c>
      <c r="I1496" t="s">
        <v>661</v>
      </c>
      <c r="J1496">
        <v>5</v>
      </c>
      <c r="K1496" t="s">
        <v>591</v>
      </c>
      <c r="L1496">
        <v>380000</v>
      </c>
      <c r="M1496">
        <v>1.95</v>
      </c>
      <c r="N1496">
        <v>22.442070333970833</v>
      </c>
      <c r="O1496" t="s">
        <v>592</v>
      </c>
      <c r="P1496" t="s">
        <v>593</v>
      </c>
      <c r="Q1496" t="s">
        <v>586</v>
      </c>
      <c r="R1496" t="s">
        <v>712</v>
      </c>
      <c r="S1496" t="s">
        <v>712</v>
      </c>
      <c r="T1496">
        <v>54</v>
      </c>
    </row>
    <row r="1497" spans="1:20" x14ac:dyDescent="0.25">
      <c r="A1497" t="s">
        <v>2721</v>
      </c>
      <c r="B1497" t="s">
        <v>429</v>
      </c>
      <c r="C1497" t="s">
        <v>586</v>
      </c>
      <c r="D1497" t="s">
        <v>1291</v>
      </c>
      <c r="E1497" t="s">
        <v>2717</v>
      </c>
      <c r="F1497">
        <v>3.8292497116293838</v>
      </c>
      <c r="G1497">
        <v>24.310709808166632</v>
      </c>
      <c r="H1497" t="s">
        <v>1265</v>
      </c>
      <c r="I1497" t="s">
        <v>661</v>
      </c>
      <c r="J1497">
        <v>5</v>
      </c>
      <c r="K1497" t="s">
        <v>725</v>
      </c>
      <c r="L1497">
        <v>400000</v>
      </c>
      <c r="M1497">
        <v>2.1</v>
      </c>
      <c r="N1497">
        <v>24.310709808166632</v>
      </c>
      <c r="O1497" t="s">
        <v>592</v>
      </c>
      <c r="P1497" t="s">
        <v>593</v>
      </c>
      <c r="Q1497" t="s">
        <v>586</v>
      </c>
      <c r="R1497" t="s">
        <v>712</v>
      </c>
      <c r="S1497" t="s">
        <v>712</v>
      </c>
      <c r="T1497">
        <v>59</v>
      </c>
    </row>
    <row r="1498" spans="1:20" x14ac:dyDescent="0.25">
      <c r="A1498" t="s">
        <v>2722</v>
      </c>
      <c r="B1498" t="s">
        <v>40</v>
      </c>
      <c r="C1498" t="s">
        <v>586</v>
      </c>
      <c r="D1498" t="s">
        <v>690</v>
      </c>
      <c r="E1498" t="s">
        <v>719</v>
      </c>
      <c r="F1498">
        <v>0.81196745987347085</v>
      </c>
      <c r="G1498">
        <v>8.3167094147068799</v>
      </c>
      <c r="H1498" t="s">
        <v>720</v>
      </c>
      <c r="I1498" t="s">
        <v>721</v>
      </c>
      <c r="J1498">
        <v>5</v>
      </c>
      <c r="K1498" t="s">
        <v>984</v>
      </c>
      <c r="L1498">
        <v>235000</v>
      </c>
      <c r="M1498">
        <v>1.6</v>
      </c>
      <c r="N1498">
        <v>8.3167094147068799</v>
      </c>
      <c r="O1498" t="s">
        <v>592</v>
      </c>
      <c r="P1498" t="s">
        <v>711</v>
      </c>
      <c r="Q1498" t="s">
        <v>586</v>
      </c>
      <c r="R1498" t="s">
        <v>712</v>
      </c>
      <c r="S1498" t="s">
        <v>594</v>
      </c>
      <c r="T1498">
        <v>91</v>
      </c>
    </row>
    <row r="1499" spans="1:20" x14ac:dyDescent="0.25">
      <c r="A1499" t="s">
        <v>2723</v>
      </c>
      <c r="B1499" t="s">
        <v>40</v>
      </c>
      <c r="C1499" t="s">
        <v>586</v>
      </c>
      <c r="D1499" t="s">
        <v>690</v>
      </c>
      <c r="E1499" t="s">
        <v>719</v>
      </c>
      <c r="F1499">
        <v>2.6953577388841028</v>
      </c>
      <c r="G1499">
        <v>10.721039136088862</v>
      </c>
      <c r="H1499" t="s">
        <v>720</v>
      </c>
      <c r="I1499" t="s">
        <v>721</v>
      </c>
      <c r="J1499">
        <v>3</v>
      </c>
      <c r="K1499" t="s">
        <v>669</v>
      </c>
      <c r="L1499">
        <v>260000</v>
      </c>
      <c r="M1499">
        <v>1.95</v>
      </c>
      <c r="N1499">
        <v>10.721039136088862</v>
      </c>
      <c r="O1499" t="s">
        <v>592</v>
      </c>
      <c r="P1499" t="s">
        <v>711</v>
      </c>
      <c r="Q1499" t="s">
        <v>586</v>
      </c>
      <c r="R1499" t="s">
        <v>712</v>
      </c>
      <c r="S1499" t="s">
        <v>594</v>
      </c>
      <c r="T1499">
        <v>70</v>
      </c>
    </row>
    <row r="1500" spans="1:20" x14ac:dyDescent="0.25">
      <c r="A1500" t="s">
        <v>2724</v>
      </c>
      <c r="B1500" t="s">
        <v>40</v>
      </c>
      <c r="C1500" t="s">
        <v>586</v>
      </c>
      <c r="D1500" t="s">
        <v>690</v>
      </c>
      <c r="E1500" t="s">
        <v>719</v>
      </c>
      <c r="F1500">
        <v>0.81093313619692797</v>
      </c>
      <c r="G1500">
        <v>43.302011621067038</v>
      </c>
      <c r="H1500" t="s">
        <v>720</v>
      </c>
      <c r="I1500" t="s">
        <v>721</v>
      </c>
      <c r="J1500">
        <v>3</v>
      </c>
      <c r="K1500" t="s">
        <v>984</v>
      </c>
      <c r="L1500">
        <v>70000</v>
      </c>
      <c r="M1500">
        <v>2.4500000000000002</v>
      </c>
      <c r="N1500">
        <v>43.302011621067038</v>
      </c>
      <c r="O1500" t="s">
        <v>592</v>
      </c>
      <c r="P1500" t="s">
        <v>723</v>
      </c>
      <c r="Q1500" t="s">
        <v>607</v>
      </c>
      <c r="R1500" t="s">
        <v>712</v>
      </c>
      <c r="S1500" t="s">
        <v>594</v>
      </c>
      <c r="T1500">
        <v>86</v>
      </c>
    </row>
    <row r="1501" spans="1:20" x14ac:dyDescent="0.25">
      <c r="A1501" t="s">
        <v>2725</v>
      </c>
      <c r="B1501" t="s">
        <v>40</v>
      </c>
      <c r="C1501" t="s">
        <v>586</v>
      </c>
      <c r="D1501" t="s">
        <v>690</v>
      </c>
      <c r="E1501" t="s">
        <v>719</v>
      </c>
      <c r="F1501">
        <v>2.6788568733077418</v>
      </c>
      <c r="G1501">
        <v>48.251883256756756</v>
      </c>
      <c r="H1501" t="s">
        <v>720</v>
      </c>
      <c r="I1501" t="s">
        <v>721</v>
      </c>
      <c r="J1501">
        <v>3</v>
      </c>
      <c r="K1501" t="s">
        <v>669</v>
      </c>
      <c r="L1501">
        <v>70000</v>
      </c>
      <c r="M1501">
        <v>2.7</v>
      </c>
      <c r="N1501">
        <v>48.251883256756756</v>
      </c>
      <c r="O1501" t="s">
        <v>592</v>
      </c>
      <c r="P1501" t="s">
        <v>723</v>
      </c>
      <c r="Q1501" t="s">
        <v>607</v>
      </c>
      <c r="R1501" t="s">
        <v>712</v>
      </c>
      <c r="S1501" t="s">
        <v>594</v>
      </c>
      <c r="T1501">
        <v>67</v>
      </c>
    </row>
    <row r="1502" spans="1:20" x14ac:dyDescent="0.25">
      <c r="A1502" t="s">
        <v>2726</v>
      </c>
      <c r="B1502" t="s">
        <v>40</v>
      </c>
      <c r="C1502" t="s">
        <v>586</v>
      </c>
      <c r="D1502" t="s">
        <v>690</v>
      </c>
      <c r="E1502" t="s">
        <v>719</v>
      </c>
      <c r="F1502">
        <v>3.5555964797604371</v>
      </c>
      <c r="G1502">
        <v>51.767229135135118</v>
      </c>
      <c r="H1502" t="s">
        <v>720</v>
      </c>
      <c r="I1502" t="s">
        <v>721</v>
      </c>
      <c r="J1502">
        <v>3.25</v>
      </c>
      <c r="K1502" t="s">
        <v>1163</v>
      </c>
      <c r="L1502">
        <v>75000</v>
      </c>
      <c r="M1502">
        <v>2.8000000000000003</v>
      </c>
      <c r="N1502">
        <v>51.767229135135118</v>
      </c>
      <c r="O1502" t="s">
        <v>592</v>
      </c>
      <c r="P1502" t="s">
        <v>723</v>
      </c>
      <c r="Q1502" t="s">
        <v>607</v>
      </c>
      <c r="R1502">
        <v>150000</v>
      </c>
      <c r="S1502" t="s">
        <v>594</v>
      </c>
      <c r="T1502">
        <v>62</v>
      </c>
    </row>
    <row r="1503" spans="1:20" x14ac:dyDescent="0.25">
      <c r="A1503" t="s">
        <v>2727</v>
      </c>
      <c r="B1503" t="s">
        <v>353</v>
      </c>
      <c r="C1503" t="s">
        <v>586</v>
      </c>
      <c r="D1503" t="s">
        <v>608</v>
      </c>
      <c r="E1503" t="s">
        <v>671</v>
      </c>
      <c r="F1503">
        <v>0.49399583088995164</v>
      </c>
      <c r="G1503">
        <v>20.30186301369865</v>
      </c>
      <c r="H1503" t="s">
        <v>610</v>
      </c>
      <c r="I1503" t="s">
        <v>885</v>
      </c>
      <c r="J1503">
        <v>3</v>
      </c>
      <c r="K1503" t="s">
        <v>807</v>
      </c>
      <c r="L1503">
        <v>435000</v>
      </c>
      <c r="M1503">
        <v>1.85</v>
      </c>
      <c r="N1503">
        <v>20.30186301369865</v>
      </c>
      <c r="O1503" t="s">
        <v>592</v>
      </c>
      <c r="P1503" t="s">
        <v>613</v>
      </c>
      <c r="Q1503" t="s">
        <v>586</v>
      </c>
      <c r="R1503" t="s">
        <v>712</v>
      </c>
      <c r="S1503" t="s">
        <v>712</v>
      </c>
      <c r="T1503">
        <v>88</v>
      </c>
    </row>
    <row r="1504" spans="1:20" x14ac:dyDescent="0.25">
      <c r="A1504" t="s">
        <v>2728</v>
      </c>
      <c r="B1504" t="s">
        <v>353</v>
      </c>
      <c r="C1504" t="s">
        <v>586</v>
      </c>
      <c r="D1504" t="s">
        <v>608</v>
      </c>
      <c r="E1504" t="s">
        <v>671</v>
      </c>
      <c r="F1504">
        <v>2.3790813630518084</v>
      </c>
      <c r="G1504">
        <v>22.726594520547927</v>
      </c>
      <c r="H1504" t="s">
        <v>610</v>
      </c>
      <c r="I1504" t="s">
        <v>885</v>
      </c>
      <c r="J1504">
        <v>4</v>
      </c>
      <c r="K1504" t="s">
        <v>1013</v>
      </c>
      <c r="L1504">
        <v>465000</v>
      </c>
      <c r="M1504">
        <v>2</v>
      </c>
      <c r="N1504">
        <v>22.726594520547927</v>
      </c>
      <c r="O1504" t="s">
        <v>592</v>
      </c>
      <c r="P1504" t="s">
        <v>613</v>
      </c>
      <c r="Q1504" t="s">
        <v>586</v>
      </c>
      <c r="R1504" t="s">
        <v>712</v>
      </c>
      <c r="S1504" t="s">
        <v>712</v>
      </c>
      <c r="T1504">
        <v>73</v>
      </c>
    </row>
    <row r="1505" spans="1:20" x14ac:dyDescent="0.25">
      <c r="A1505" t="s">
        <v>2729</v>
      </c>
      <c r="B1505" t="s">
        <v>353</v>
      </c>
      <c r="C1505" t="s">
        <v>586</v>
      </c>
      <c r="D1505" t="s">
        <v>608</v>
      </c>
      <c r="E1505" t="s">
        <v>671</v>
      </c>
      <c r="F1505">
        <v>3.2698221598928727</v>
      </c>
      <c r="G1505">
        <v>24.96275616438357</v>
      </c>
      <c r="H1505" t="s">
        <v>610</v>
      </c>
      <c r="I1505" t="s">
        <v>885</v>
      </c>
      <c r="J1505">
        <v>4</v>
      </c>
      <c r="K1505" t="s">
        <v>824</v>
      </c>
      <c r="L1505">
        <v>485000</v>
      </c>
      <c r="M1505">
        <v>2.1</v>
      </c>
      <c r="N1505">
        <v>24.96275616438357</v>
      </c>
      <c r="O1505" t="s">
        <v>592</v>
      </c>
      <c r="P1505" t="s">
        <v>613</v>
      </c>
      <c r="Q1505" t="s">
        <v>586</v>
      </c>
      <c r="R1505" t="s">
        <v>712</v>
      </c>
      <c r="S1505" t="s">
        <v>712</v>
      </c>
      <c r="T1505">
        <v>65</v>
      </c>
    </row>
    <row r="1506" spans="1:20" x14ac:dyDescent="0.25">
      <c r="A1506" t="s">
        <v>2730</v>
      </c>
      <c r="B1506" t="s">
        <v>430</v>
      </c>
      <c r="C1506" t="s">
        <v>586</v>
      </c>
      <c r="D1506" t="s">
        <v>805</v>
      </c>
      <c r="E1506" t="s">
        <v>1104</v>
      </c>
      <c r="F1506">
        <v>0.61141494779169048</v>
      </c>
      <c r="G1506">
        <v>0.52810459595715731</v>
      </c>
      <c r="H1506" t="s">
        <v>1271</v>
      </c>
      <c r="I1506" t="s">
        <v>2731</v>
      </c>
      <c r="J1506">
        <v>2</v>
      </c>
      <c r="K1506" t="s">
        <v>948</v>
      </c>
      <c r="L1506">
        <v>180000</v>
      </c>
      <c r="M1506">
        <v>1.54</v>
      </c>
      <c r="N1506">
        <v>0.52810459595715731</v>
      </c>
      <c r="O1506" t="s">
        <v>592</v>
      </c>
      <c r="P1506" t="s">
        <v>711</v>
      </c>
      <c r="Q1506" t="s">
        <v>586</v>
      </c>
      <c r="R1506" t="s">
        <v>712</v>
      </c>
      <c r="S1506" t="s">
        <v>712</v>
      </c>
      <c r="T1506">
        <v>93</v>
      </c>
    </row>
    <row r="1507" spans="1:20" x14ac:dyDescent="0.25">
      <c r="A1507" t="s">
        <v>2732</v>
      </c>
      <c r="B1507" t="s">
        <v>430</v>
      </c>
      <c r="C1507" t="s">
        <v>586</v>
      </c>
      <c r="D1507" t="s">
        <v>805</v>
      </c>
      <c r="E1507" t="s">
        <v>1104</v>
      </c>
      <c r="F1507">
        <v>1.5782304396654625</v>
      </c>
      <c r="G1507">
        <v>-0.65554448158386958</v>
      </c>
      <c r="H1507" t="s">
        <v>1271</v>
      </c>
      <c r="I1507" t="s">
        <v>2731</v>
      </c>
      <c r="J1507">
        <v>2</v>
      </c>
      <c r="K1507" t="s">
        <v>800</v>
      </c>
      <c r="L1507">
        <v>180000</v>
      </c>
      <c r="M1507">
        <v>1.69</v>
      </c>
      <c r="N1507">
        <v>-0.65554448158386958</v>
      </c>
      <c r="O1507" t="s">
        <v>592</v>
      </c>
      <c r="P1507" t="s">
        <v>711</v>
      </c>
      <c r="Q1507" t="s">
        <v>586</v>
      </c>
      <c r="R1507">
        <v>30000</v>
      </c>
      <c r="S1507" t="s">
        <v>712</v>
      </c>
      <c r="T1507">
        <v>84</v>
      </c>
    </row>
    <row r="1508" spans="1:20" x14ac:dyDescent="0.25">
      <c r="A1508" t="s">
        <v>2733</v>
      </c>
      <c r="B1508" t="s">
        <v>346</v>
      </c>
      <c r="C1508" t="s">
        <v>586</v>
      </c>
      <c r="D1508" t="s">
        <v>2233</v>
      </c>
      <c r="E1508" t="s">
        <v>2234</v>
      </c>
      <c r="F1508">
        <v>0.36824430116113499</v>
      </c>
      <c r="G1508">
        <v>-3.25798904109591</v>
      </c>
      <c r="H1508" t="s">
        <v>2235</v>
      </c>
      <c r="I1508" t="s">
        <v>1053</v>
      </c>
      <c r="J1508">
        <v>5</v>
      </c>
      <c r="K1508" t="s">
        <v>1867</v>
      </c>
      <c r="L1508">
        <v>525000</v>
      </c>
      <c r="M1508">
        <v>1.42</v>
      </c>
      <c r="N1508">
        <v>-3.25798904109591</v>
      </c>
      <c r="O1508" t="s">
        <v>592</v>
      </c>
      <c r="P1508" t="s">
        <v>593</v>
      </c>
      <c r="Q1508" t="s">
        <v>586</v>
      </c>
      <c r="R1508" t="s">
        <v>712</v>
      </c>
      <c r="S1508" t="s">
        <v>712</v>
      </c>
      <c r="T1508">
        <v>98</v>
      </c>
    </row>
    <row r="1509" spans="1:20" x14ac:dyDescent="0.25">
      <c r="A1509" t="s">
        <v>2734</v>
      </c>
      <c r="B1509" t="s">
        <v>347</v>
      </c>
      <c r="C1509" t="s">
        <v>607</v>
      </c>
      <c r="D1509" t="s">
        <v>608</v>
      </c>
      <c r="E1509" t="s">
        <v>1321</v>
      </c>
      <c r="F1509">
        <v>8.0486896228182531E-2</v>
      </c>
      <c r="G1509">
        <v>46.63315342465755</v>
      </c>
      <c r="H1509" t="s">
        <v>610</v>
      </c>
      <c r="I1509" t="s">
        <v>721</v>
      </c>
      <c r="J1509">
        <v>4.5</v>
      </c>
      <c r="K1509" t="s">
        <v>950</v>
      </c>
      <c r="L1509">
        <v>475000</v>
      </c>
      <c r="M1509">
        <v>1.97</v>
      </c>
      <c r="N1509">
        <v>46.63315342465755</v>
      </c>
      <c r="O1509" t="s">
        <v>592</v>
      </c>
      <c r="P1509" t="s">
        <v>621</v>
      </c>
      <c r="Q1509" t="s">
        <v>586</v>
      </c>
      <c r="R1509" t="s">
        <v>712</v>
      </c>
      <c r="S1509" t="s">
        <v>878</v>
      </c>
      <c r="T1509">
        <v>96</v>
      </c>
    </row>
    <row r="1510" spans="1:20" x14ac:dyDescent="0.25">
      <c r="A1510" t="s">
        <v>2735</v>
      </c>
      <c r="B1510" t="s">
        <v>348</v>
      </c>
      <c r="C1510" t="s">
        <v>607</v>
      </c>
      <c r="D1510" t="s">
        <v>608</v>
      </c>
      <c r="E1510" t="s">
        <v>2242</v>
      </c>
      <c r="F1510">
        <v>0.16366808065634036</v>
      </c>
      <c r="G1510">
        <v>30.800493876858283</v>
      </c>
      <c r="H1510" t="s">
        <v>869</v>
      </c>
      <c r="I1510" t="s">
        <v>611</v>
      </c>
      <c r="J1510">
        <v>2</v>
      </c>
      <c r="K1510" t="s">
        <v>749</v>
      </c>
      <c r="L1510">
        <v>275000</v>
      </c>
      <c r="M1510">
        <v>1.55</v>
      </c>
      <c r="N1510">
        <v>30.800493876858283</v>
      </c>
      <c r="O1510" t="s">
        <v>592</v>
      </c>
      <c r="P1510" t="s">
        <v>621</v>
      </c>
      <c r="Q1510" t="s">
        <v>586</v>
      </c>
      <c r="R1510" t="s">
        <v>712</v>
      </c>
      <c r="S1510" t="s">
        <v>712</v>
      </c>
      <c r="T1510">
        <v>81</v>
      </c>
    </row>
    <row r="1511" spans="1:20" x14ac:dyDescent="0.25">
      <c r="A1511" t="s">
        <v>2736</v>
      </c>
      <c r="B1511" t="s">
        <v>348</v>
      </c>
      <c r="C1511" t="s">
        <v>607</v>
      </c>
      <c r="D1511" t="s">
        <v>608</v>
      </c>
      <c r="E1511" t="s">
        <v>2242</v>
      </c>
      <c r="F1511">
        <v>2.0330763630719759</v>
      </c>
      <c r="G1511">
        <v>28.942597128683346</v>
      </c>
      <c r="H1511" t="s">
        <v>869</v>
      </c>
      <c r="I1511" t="s">
        <v>611</v>
      </c>
      <c r="J1511">
        <v>5</v>
      </c>
      <c r="K1511" t="s">
        <v>651</v>
      </c>
      <c r="L1511">
        <v>290000</v>
      </c>
      <c r="M1511">
        <v>1.85</v>
      </c>
      <c r="N1511">
        <v>28.942597128683346</v>
      </c>
      <c r="O1511" t="s">
        <v>592</v>
      </c>
      <c r="P1511" t="s">
        <v>621</v>
      </c>
      <c r="Q1511" t="s">
        <v>586</v>
      </c>
      <c r="R1511">
        <v>75000</v>
      </c>
      <c r="S1511" t="s">
        <v>712</v>
      </c>
      <c r="T1511">
        <v>84</v>
      </c>
    </row>
    <row r="1512" spans="1:20" x14ac:dyDescent="0.25">
      <c r="A1512" t="s">
        <v>2737</v>
      </c>
      <c r="B1512" t="s">
        <v>348</v>
      </c>
      <c r="C1512" t="s">
        <v>607</v>
      </c>
      <c r="D1512" t="s">
        <v>608</v>
      </c>
      <c r="E1512" t="s">
        <v>2242</v>
      </c>
      <c r="F1512">
        <v>3.8769271512708348</v>
      </c>
      <c r="G1512">
        <v>35.295288683196311</v>
      </c>
      <c r="H1512" t="s">
        <v>869</v>
      </c>
      <c r="I1512" t="s">
        <v>611</v>
      </c>
      <c r="J1512">
        <v>3</v>
      </c>
      <c r="K1512" t="s">
        <v>629</v>
      </c>
      <c r="L1512">
        <v>315000</v>
      </c>
      <c r="M1512">
        <v>2.2000000000000002</v>
      </c>
      <c r="N1512">
        <v>35.295288683196311</v>
      </c>
      <c r="O1512" t="s">
        <v>592</v>
      </c>
      <c r="P1512" t="s">
        <v>621</v>
      </c>
      <c r="Q1512" t="s">
        <v>586</v>
      </c>
      <c r="R1512" t="s">
        <v>712</v>
      </c>
      <c r="S1512" t="s">
        <v>712</v>
      </c>
      <c r="T1512">
        <v>57</v>
      </c>
    </row>
    <row r="1513" spans="1:20" x14ac:dyDescent="0.25">
      <c r="A1513" t="s">
        <v>2738</v>
      </c>
      <c r="B1513" t="s">
        <v>431</v>
      </c>
      <c r="C1513" t="s">
        <v>607</v>
      </c>
      <c r="D1513" t="s">
        <v>608</v>
      </c>
      <c r="E1513" t="s">
        <v>1321</v>
      </c>
      <c r="F1513">
        <v>0.16356068057622411</v>
      </c>
      <c r="G1513">
        <v>66.611573836338138</v>
      </c>
      <c r="H1513" t="s">
        <v>761</v>
      </c>
      <c r="I1513" t="s">
        <v>885</v>
      </c>
      <c r="J1513">
        <v>3</v>
      </c>
      <c r="K1513" t="s">
        <v>749</v>
      </c>
      <c r="L1513">
        <v>60000</v>
      </c>
      <c r="M1513">
        <v>2</v>
      </c>
      <c r="N1513">
        <v>66.611573836338138</v>
      </c>
      <c r="O1513" t="s">
        <v>592</v>
      </c>
      <c r="P1513" t="s">
        <v>613</v>
      </c>
      <c r="Q1513" t="s">
        <v>586</v>
      </c>
      <c r="R1513" t="s">
        <v>712</v>
      </c>
      <c r="S1513" t="s">
        <v>878</v>
      </c>
      <c r="T1513">
        <v>98</v>
      </c>
    </row>
    <row r="1514" spans="1:20" x14ac:dyDescent="0.25">
      <c r="A1514" t="s">
        <v>2739</v>
      </c>
      <c r="B1514" t="s">
        <v>431</v>
      </c>
      <c r="C1514" t="s">
        <v>607</v>
      </c>
      <c r="D1514" t="s">
        <v>608</v>
      </c>
      <c r="E1514" t="s">
        <v>1321</v>
      </c>
      <c r="F1514">
        <v>1.1316156889566982</v>
      </c>
      <c r="G1514">
        <v>62.238364534536395</v>
      </c>
      <c r="H1514" t="s">
        <v>761</v>
      </c>
      <c r="I1514" t="s">
        <v>885</v>
      </c>
      <c r="J1514">
        <v>3</v>
      </c>
      <c r="K1514" t="s">
        <v>598</v>
      </c>
      <c r="L1514">
        <v>65000</v>
      </c>
      <c r="M1514">
        <v>2.1</v>
      </c>
      <c r="N1514">
        <v>62.238364534536395</v>
      </c>
      <c r="O1514" t="s">
        <v>592</v>
      </c>
      <c r="P1514" t="s">
        <v>613</v>
      </c>
      <c r="Q1514" t="s">
        <v>586</v>
      </c>
      <c r="R1514">
        <v>30000</v>
      </c>
      <c r="S1514" t="s">
        <v>878</v>
      </c>
      <c r="T1514">
        <v>76</v>
      </c>
    </row>
    <row r="1515" spans="1:20" x14ac:dyDescent="0.25">
      <c r="A1515" t="s">
        <v>2740</v>
      </c>
      <c r="B1515" t="s">
        <v>431</v>
      </c>
      <c r="C1515" t="s">
        <v>607</v>
      </c>
      <c r="D1515" t="s">
        <v>608</v>
      </c>
      <c r="E1515" t="s">
        <v>1321</v>
      </c>
      <c r="F1515">
        <v>2.0706393349502092</v>
      </c>
      <c r="G1515">
        <v>57.522239310099565</v>
      </c>
      <c r="H1515" t="s">
        <v>761</v>
      </c>
      <c r="I1515" t="s">
        <v>885</v>
      </c>
      <c r="J1515">
        <v>3</v>
      </c>
      <c r="K1515" t="s">
        <v>651</v>
      </c>
      <c r="L1515">
        <v>65000</v>
      </c>
      <c r="M1515">
        <v>2.2000000000000002</v>
      </c>
      <c r="N1515">
        <v>57.522239310099565</v>
      </c>
      <c r="O1515" t="s">
        <v>592</v>
      </c>
      <c r="P1515" t="s">
        <v>613</v>
      </c>
      <c r="Q1515" t="s">
        <v>586</v>
      </c>
      <c r="R1515" t="s">
        <v>712</v>
      </c>
      <c r="S1515" t="s">
        <v>878</v>
      </c>
      <c r="T1515">
        <v>64</v>
      </c>
    </row>
    <row r="1516" spans="1:20" x14ac:dyDescent="0.25">
      <c r="A1516" t="s">
        <v>2741</v>
      </c>
      <c r="B1516" t="s">
        <v>25</v>
      </c>
      <c r="C1516" t="s">
        <v>586</v>
      </c>
      <c r="D1516" t="s">
        <v>623</v>
      </c>
      <c r="E1516" t="s">
        <v>624</v>
      </c>
      <c r="F1516">
        <v>3.5702169051446386</v>
      </c>
      <c r="G1516">
        <v>32.776607265381941</v>
      </c>
      <c r="H1516" t="s">
        <v>589</v>
      </c>
      <c r="I1516" t="s">
        <v>625</v>
      </c>
      <c r="J1516">
        <v>5</v>
      </c>
      <c r="K1516" t="s">
        <v>753</v>
      </c>
      <c r="L1516">
        <v>16920000</v>
      </c>
      <c r="M1516">
        <v>2.0300000000000002</v>
      </c>
      <c r="N1516">
        <v>32.776607265381941</v>
      </c>
      <c r="O1516" t="s">
        <v>592</v>
      </c>
      <c r="P1516" t="s">
        <v>627</v>
      </c>
      <c r="Q1516" t="s">
        <v>586</v>
      </c>
      <c r="R1516">
        <v>40000</v>
      </c>
      <c r="S1516" t="s">
        <v>599</v>
      </c>
      <c r="T1516">
        <v>74</v>
      </c>
    </row>
    <row r="1517" spans="1:20" x14ac:dyDescent="0.25">
      <c r="A1517" t="s">
        <v>2742</v>
      </c>
      <c r="B1517" t="s">
        <v>137</v>
      </c>
      <c r="C1517" t="s">
        <v>586</v>
      </c>
      <c r="D1517" t="s">
        <v>1071</v>
      </c>
      <c r="E1517" t="s">
        <v>1151</v>
      </c>
      <c r="F1517">
        <v>0.4951195259050003</v>
      </c>
      <c r="G1517">
        <v>5.0091369863013657</v>
      </c>
      <c r="H1517" t="s">
        <v>1033</v>
      </c>
      <c r="I1517" t="s">
        <v>1152</v>
      </c>
      <c r="J1517">
        <v>5</v>
      </c>
      <c r="K1517" t="s">
        <v>807</v>
      </c>
      <c r="L1517">
        <v>2205000</v>
      </c>
      <c r="M1517">
        <v>1.47</v>
      </c>
      <c r="N1517">
        <v>5.0091369863013657</v>
      </c>
      <c r="O1517" t="s">
        <v>592</v>
      </c>
      <c r="P1517" t="s">
        <v>593</v>
      </c>
      <c r="Q1517" t="s">
        <v>586</v>
      </c>
      <c r="R1517">
        <v>100000</v>
      </c>
      <c r="S1517" t="s">
        <v>599</v>
      </c>
      <c r="T1517">
        <v>94</v>
      </c>
    </row>
    <row r="1518" spans="1:20" x14ac:dyDescent="0.25">
      <c r="A1518" t="s">
        <v>2743</v>
      </c>
      <c r="B1518" t="s">
        <v>137</v>
      </c>
      <c r="C1518" t="s">
        <v>586</v>
      </c>
      <c r="D1518" t="s">
        <v>1071</v>
      </c>
      <c r="E1518" t="s">
        <v>1151</v>
      </c>
      <c r="F1518">
        <v>1.4515392850552027</v>
      </c>
      <c r="G1518">
        <v>4.5562602739726232</v>
      </c>
      <c r="H1518" t="s">
        <v>1033</v>
      </c>
      <c r="I1518" t="s">
        <v>1152</v>
      </c>
      <c r="J1518">
        <v>5</v>
      </c>
      <c r="K1518" t="s">
        <v>780</v>
      </c>
      <c r="L1518">
        <v>2320000</v>
      </c>
      <c r="M1518">
        <v>1.6</v>
      </c>
      <c r="N1518">
        <v>4.5562602739726232</v>
      </c>
      <c r="O1518" t="s">
        <v>592</v>
      </c>
      <c r="P1518" t="s">
        <v>593</v>
      </c>
      <c r="Q1518" t="s">
        <v>586</v>
      </c>
      <c r="R1518">
        <v>425000</v>
      </c>
      <c r="S1518" t="s">
        <v>599</v>
      </c>
      <c r="T1518">
        <v>89</v>
      </c>
    </row>
    <row r="1519" spans="1:20" x14ac:dyDescent="0.25">
      <c r="A1519" t="s">
        <v>2744</v>
      </c>
      <c r="B1519" t="s">
        <v>137</v>
      </c>
      <c r="C1519" t="s">
        <v>586</v>
      </c>
      <c r="D1519" t="s">
        <v>1071</v>
      </c>
      <c r="E1519" t="s">
        <v>1151</v>
      </c>
      <c r="F1519">
        <v>3.2383276119109112</v>
      </c>
      <c r="G1519">
        <v>9.517164383561628</v>
      </c>
      <c r="H1519" t="s">
        <v>1033</v>
      </c>
      <c r="I1519" t="s">
        <v>1152</v>
      </c>
      <c r="J1519">
        <v>5</v>
      </c>
      <c r="K1519" t="s">
        <v>824</v>
      </c>
      <c r="L1519">
        <v>2555000</v>
      </c>
      <c r="M1519">
        <v>1.92</v>
      </c>
      <c r="N1519">
        <v>9.517164383561628</v>
      </c>
      <c r="O1519" t="s">
        <v>592</v>
      </c>
      <c r="P1519" t="s">
        <v>593</v>
      </c>
      <c r="Q1519" t="s">
        <v>586</v>
      </c>
      <c r="R1519">
        <v>15000</v>
      </c>
      <c r="S1519" t="s">
        <v>599</v>
      </c>
      <c r="T1519">
        <v>71</v>
      </c>
    </row>
    <row r="1520" spans="1:20" x14ac:dyDescent="0.25">
      <c r="A1520" t="s">
        <v>2745</v>
      </c>
      <c r="B1520" t="s">
        <v>137</v>
      </c>
      <c r="C1520" t="s">
        <v>586</v>
      </c>
      <c r="D1520" t="s">
        <v>1071</v>
      </c>
      <c r="E1520" t="s">
        <v>1151</v>
      </c>
      <c r="F1520">
        <v>4.0760929323682964</v>
      </c>
      <c r="G1520">
        <v>9.1840575342465591</v>
      </c>
      <c r="H1520" t="s">
        <v>1033</v>
      </c>
      <c r="I1520" t="s">
        <v>1152</v>
      </c>
      <c r="J1520">
        <v>5</v>
      </c>
      <c r="K1520" t="s">
        <v>1319</v>
      </c>
      <c r="L1520">
        <v>2690000</v>
      </c>
      <c r="M1520">
        <v>2.0300000000000002</v>
      </c>
      <c r="N1520">
        <v>9.1840575342465591</v>
      </c>
      <c r="O1520" t="s">
        <v>592</v>
      </c>
      <c r="P1520" t="s">
        <v>593</v>
      </c>
      <c r="Q1520" t="s">
        <v>586</v>
      </c>
      <c r="R1520">
        <v>60000</v>
      </c>
      <c r="S1520" t="s">
        <v>599</v>
      </c>
      <c r="T1520">
        <v>61</v>
      </c>
    </row>
    <row r="1521" spans="1:20" x14ac:dyDescent="0.25">
      <c r="A1521" t="s">
        <v>2746</v>
      </c>
      <c r="B1521" t="s">
        <v>137</v>
      </c>
      <c r="C1521" t="s">
        <v>586</v>
      </c>
      <c r="D1521" t="s">
        <v>1071</v>
      </c>
      <c r="E1521" t="s">
        <v>1151</v>
      </c>
      <c r="F1521">
        <v>4.8797243284748442</v>
      </c>
      <c r="G1521">
        <v>10.244813698630129</v>
      </c>
      <c r="H1521" t="s">
        <v>1033</v>
      </c>
      <c r="I1521" t="s">
        <v>1152</v>
      </c>
      <c r="J1521">
        <v>5</v>
      </c>
      <c r="K1521" t="s">
        <v>2747</v>
      </c>
      <c r="L1521">
        <v>2820000</v>
      </c>
      <c r="M1521">
        <v>2.14</v>
      </c>
      <c r="N1521">
        <v>10.244813698630129</v>
      </c>
      <c r="O1521" t="s">
        <v>592</v>
      </c>
      <c r="P1521" t="s">
        <v>593</v>
      </c>
      <c r="Q1521" t="s">
        <v>586</v>
      </c>
      <c r="R1521">
        <v>30000</v>
      </c>
      <c r="S1521" t="s">
        <v>599</v>
      </c>
      <c r="T1521">
        <v>42</v>
      </c>
    </row>
    <row r="1522" spans="1:20" x14ac:dyDescent="0.25">
      <c r="A1522" t="s">
        <v>2748</v>
      </c>
      <c r="B1522" t="s">
        <v>149</v>
      </c>
      <c r="C1522" t="s">
        <v>607</v>
      </c>
      <c r="D1522" t="s">
        <v>608</v>
      </c>
      <c r="E1522" t="s">
        <v>1142</v>
      </c>
      <c r="F1522">
        <v>8.0456613761278523E-2</v>
      </c>
      <c r="G1522">
        <v>53.868772602739725</v>
      </c>
      <c r="H1522" t="s">
        <v>1033</v>
      </c>
      <c r="I1522" t="s">
        <v>885</v>
      </c>
      <c r="J1522">
        <v>3</v>
      </c>
      <c r="K1522" t="s">
        <v>950</v>
      </c>
      <c r="L1522">
        <v>300000</v>
      </c>
      <c r="M1522">
        <v>1.9000000000000001</v>
      </c>
      <c r="N1522">
        <v>53.868772602739725</v>
      </c>
      <c r="O1522" t="s">
        <v>592</v>
      </c>
      <c r="P1522" t="s">
        <v>613</v>
      </c>
      <c r="Q1522" t="s">
        <v>586</v>
      </c>
      <c r="R1522" t="s">
        <v>712</v>
      </c>
      <c r="S1522" t="s">
        <v>614</v>
      </c>
      <c r="T1522">
        <v>99</v>
      </c>
    </row>
    <row r="1523" spans="1:20" x14ac:dyDescent="0.25">
      <c r="A1523" t="s">
        <v>2749</v>
      </c>
      <c r="B1523" t="s">
        <v>432</v>
      </c>
      <c r="C1523" t="s">
        <v>607</v>
      </c>
      <c r="D1523" t="s">
        <v>608</v>
      </c>
      <c r="E1523" t="s">
        <v>1142</v>
      </c>
      <c r="F1523">
        <v>8.0474312174032572E-2</v>
      </c>
      <c r="G1523">
        <v>36.110734077333142</v>
      </c>
      <c r="H1523" t="s">
        <v>1041</v>
      </c>
      <c r="I1523" t="s">
        <v>820</v>
      </c>
      <c r="J1523">
        <v>3</v>
      </c>
      <c r="K1523" t="s">
        <v>950</v>
      </c>
      <c r="L1523">
        <v>290000</v>
      </c>
      <c r="M1523">
        <v>2.15</v>
      </c>
      <c r="N1523">
        <v>36.110734077333142</v>
      </c>
      <c r="O1523" t="s">
        <v>592</v>
      </c>
      <c r="P1523" t="s">
        <v>613</v>
      </c>
      <c r="Q1523" t="s">
        <v>586</v>
      </c>
      <c r="R1523" t="s">
        <v>712</v>
      </c>
      <c r="S1523" t="s">
        <v>594</v>
      </c>
      <c r="T1523">
        <v>97</v>
      </c>
    </row>
    <row r="1524" spans="1:20" x14ac:dyDescent="0.25">
      <c r="A1524" t="s">
        <v>2750</v>
      </c>
      <c r="B1524" t="s">
        <v>432</v>
      </c>
      <c r="C1524" t="s">
        <v>607</v>
      </c>
      <c r="D1524" t="s">
        <v>608</v>
      </c>
      <c r="E1524" t="s">
        <v>1142</v>
      </c>
      <c r="F1524">
        <v>1.9879798438676086</v>
      </c>
      <c r="G1524">
        <v>42.692687511491826</v>
      </c>
      <c r="H1524" t="s">
        <v>1041</v>
      </c>
      <c r="I1524" t="s">
        <v>820</v>
      </c>
      <c r="J1524">
        <v>3</v>
      </c>
      <c r="K1524" t="s">
        <v>956</v>
      </c>
      <c r="L1524">
        <v>315000</v>
      </c>
      <c r="M1524">
        <v>2.5</v>
      </c>
      <c r="N1524">
        <v>42.692687511491826</v>
      </c>
      <c r="O1524" t="s">
        <v>592</v>
      </c>
      <c r="P1524" t="s">
        <v>613</v>
      </c>
      <c r="Q1524" t="s">
        <v>586</v>
      </c>
      <c r="R1524" t="s">
        <v>712</v>
      </c>
      <c r="S1524" t="s">
        <v>594</v>
      </c>
      <c r="T1524">
        <v>70</v>
      </c>
    </row>
    <row r="1525" spans="1:20" x14ac:dyDescent="0.25">
      <c r="A1525" t="s">
        <v>2751</v>
      </c>
      <c r="B1525" t="s">
        <v>163</v>
      </c>
      <c r="C1525" t="s">
        <v>607</v>
      </c>
      <c r="D1525" t="s">
        <v>608</v>
      </c>
      <c r="E1525" t="s">
        <v>1142</v>
      </c>
      <c r="F1525">
        <v>1.0557538561177198</v>
      </c>
      <c r="G1525">
        <v>21.276148968841092</v>
      </c>
      <c r="H1525" t="s">
        <v>672</v>
      </c>
      <c r="I1525" t="s">
        <v>611</v>
      </c>
      <c r="J1525">
        <v>2</v>
      </c>
      <c r="K1525" t="s">
        <v>612</v>
      </c>
      <c r="L1525">
        <v>275000</v>
      </c>
      <c r="M1525">
        <v>1.85</v>
      </c>
      <c r="N1525">
        <v>21.276148968841092</v>
      </c>
      <c r="O1525" t="s">
        <v>592</v>
      </c>
      <c r="P1525" t="s">
        <v>613</v>
      </c>
      <c r="Q1525" t="s">
        <v>586</v>
      </c>
      <c r="R1525" t="s">
        <v>712</v>
      </c>
      <c r="S1525" t="s">
        <v>878</v>
      </c>
      <c r="T1525">
        <v>86</v>
      </c>
    </row>
    <row r="1526" spans="1:20" x14ac:dyDescent="0.25">
      <c r="A1526" t="s">
        <v>2752</v>
      </c>
      <c r="B1526" t="s">
        <v>433</v>
      </c>
      <c r="C1526" t="s">
        <v>607</v>
      </c>
      <c r="D1526" t="s">
        <v>608</v>
      </c>
      <c r="E1526" t="s">
        <v>1142</v>
      </c>
      <c r="F1526">
        <v>0.65363832988521031</v>
      </c>
      <c r="G1526">
        <v>66.621835616438347</v>
      </c>
      <c r="H1526" t="s">
        <v>610</v>
      </c>
      <c r="I1526" t="s">
        <v>885</v>
      </c>
      <c r="J1526">
        <v>2.125</v>
      </c>
      <c r="K1526" t="s">
        <v>787</v>
      </c>
      <c r="L1526">
        <v>150000</v>
      </c>
      <c r="M1526">
        <v>2.15</v>
      </c>
      <c r="N1526">
        <v>66.621835616438347</v>
      </c>
      <c r="O1526" t="s">
        <v>592</v>
      </c>
      <c r="P1526" t="s">
        <v>613</v>
      </c>
      <c r="Q1526" t="s">
        <v>586</v>
      </c>
      <c r="R1526" t="s">
        <v>712</v>
      </c>
      <c r="S1526" t="s">
        <v>594</v>
      </c>
      <c r="T1526">
        <v>93</v>
      </c>
    </row>
    <row r="1527" spans="1:20" x14ac:dyDescent="0.25">
      <c r="A1527" t="s">
        <v>2753</v>
      </c>
      <c r="B1527" t="s">
        <v>434</v>
      </c>
      <c r="C1527" t="s">
        <v>607</v>
      </c>
      <c r="D1527" t="s">
        <v>608</v>
      </c>
      <c r="E1527" t="s">
        <v>1142</v>
      </c>
      <c r="F1527">
        <v>1.1381726620527073</v>
      </c>
      <c r="G1527">
        <v>44.980424657534243</v>
      </c>
      <c r="H1527" t="s">
        <v>610</v>
      </c>
      <c r="I1527" t="s">
        <v>1591</v>
      </c>
      <c r="J1527">
        <v>2</v>
      </c>
      <c r="K1527" t="s">
        <v>598</v>
      </c>
      <c r="L1527">
        <v>210000</v>
      </c>
      <c r="M1527">
        <v>2</v>
      </c>
      <c r="N1527">
        <v>44.980424657534243</v>
      </c>
      <c r="O1527" t="s">
        <v>592</v>
      </c>
      <c r="P1527" t="s">
        <v>613</v>
      </c>
      <c r="Q1527" t="s">
        <v>586</v>
      </c>
      <c r="R1527" t="s">
        <v>712</v>
      </c>
      <c r="S1527" t="s">
        <v>878</v>
      </c>
      <c r="T1527">
        <v>84</v>
      </c>
    </row>
    <row r="1528" spans="1:20" x14ac:dyDescent="0.25">
      <c r="A1528" t="s">
        <v>2754</v>
      </c>
      <c r="B1528" t="s">
        <v>435</v>
      </c>
      <c r="C1528" t="s">
        <v>607</v>
      </c>
      <c r="D1528" t="s">
        <v>608</v>
      </c>
      <c r="E1528" t="s">
        <v>1142</v>
      </c>
      <c r="F1528">
        <v>1.4954147884876143</v>
      </c>
      <c r="G1528">
        <v>58.571152206837596</v>
      </c>
      <c r="H1528" t="s">
        <v>1143</v>
      </c>
      <c r="I1528" t="s">
        <v>611</v>
      </c>
      <c r="J1528">
        <v>5</v>
      </c>
      <c r="K1528" t="s">
        <v>634</v>
      </c>
      <c r="L1528">
        <v>45000</v>
      </c>
      <c r="M1528">
        <v>1.95</v>
      </c>
      <c r="N1528">
        <v>58.571152206837596</v>
      </c>
      <c r="O1528" t="s">
        <v>592</v>
      </c>
      <c r="P1528" t="s">
        <v>613</v>
      </c>
      <c r="Q1528" t="s">
        <v>586</v>
      </c>
      <c r="R1528" t="s">
        <v>712</v>
      </c>
      <c r="S1528" t="s">
        <v>878</v>
      </c>
      <c r="T1528">
        <v>81</v>
      </c>
    </row>
    <row r="1529" spans="1:20" x14ac:dyDescent="0.25">
      <c r="A1529" t="s">
        <v>2755</v>
      </c>
      <c r="B1529" t="s">
        <v>436</v>
      </c>
      <c r="C1529" t="s">
        <v>586</v>
      </c>
      <c r="D1529" t="s">
        <v>587</v>
      </c>
      <c r="E1529" t="s">
        <v>1245</v>
      </c>
      <c r="F1529">
        <v>1.0535135594240397</v>
      </c>
      <c r="G1529">
        <v>72.780167123287669</v>
      </c>
      <c r="H1529" t="s">
        <v>1792</v>
      </c>
      <c r="I1529" t="s">
        <v>2756</v>
      </c>
      <c r="J1529">
        <v>2</v>
      </c>
      <c r="K1529" t="s">
        <v>612</v>
      </c>
      <c r="L1529">
        <v>115000</v>
      </c>
      <c r="M1529">
        <v>2.2200000000000002</v>
      </c>
      <c r="N1529">
        <v>72.780167123287669</v>
      </c>
      <c r="O1529" t="s">
        <v>592</v>
      </c>
      <c r="P1529" t="s">
        <v>593</v>
      </c>
      <c r="Q1529" t="s">
        <v>586</v>
      </c>
      <c r="R1529" t="s">
        <v>712</v>
      </c>
      <c r="S1529" t="s">
        <v>712</v>
      </c>
      <c r="T1529">
        <v>35</v>
      </c>
    </row>
    <row r="1530" spans="1:20" x14ac:dyDescent="0.25">
      <c r="A1530" t="s">
        <v>2757</v>
      </c>
      <c r="B1530" t="s">
        <v>437</v>
      </c>
      <c r="C1530" t="s">
        <v>607</v>
      </c>
      <c r="D1530" t="s">
        <v>642</v>
      </c>
      <c r="E1530" t="s">
        <v>2758</v>
      </c>
      <c r="F1530">
        <v>0.32943552079313665</v>
      </c>
      <c r="G1530">
        <v>46.200815317042988</v>
      </c>
      <c r="H1530" t="s">
        <v>869</v>
      </c>
      <c r="I1530" t="s">
        <v>661</v>
      </c>
      <c r="J1530">
        <v>3</v>
      </c>
      <c r="K1530" t="s">
        <v>710</v>
      </c>
      <c r="L1530">
        <v>410000</v>
      </c>
      <c r="M1530">
        <v>1.75</v>
      </c>
      <c r="N1530">
        <v>46.200815317042988</v>
      </c>
      <c r="O1530" t="s">
        <v>592</v>
      </c>
      <c r="P1530" t="s">
        <v>627</v>
      </c>
      <c r="Q1530" t="s">
        <v>586</v>
      </c>
      <c r="R1530" t="s">
        <v>712</v>
      </c>
      <c r="S1530" t="s">
        <v>712</v>
      </c>
      <c r="T1530">
        <v>99</v>
      </c>
    </row>
    <row r="1531" spans="1:20" x14ac:dyDescent="0.25">
      <c r="A1531" t="s">
        <v>2759</v>
      </c>
      <c r="B1531" t="s">
        <v>437</v>
      </c>
      <c r="C1531" t="s">
        <v>607</v>
      </c>
      <c r="D1531" t="s">
        <v>642</v>
      </c>
      <c r="E1531" t="s">
        <v>2758</v>
      </c>
      <c r="F1531">
        <v>2.1960562311034257</v>
      </c>
      <c r="G1531">
        <v>47.223053155584815</v>
      </c>
      <c r="H1531" t="s">
        <v>869</v>
      </c>
      <c r="I1531" t="s">
        <v>661</v>
      </c>
      <c r="J1531">
        <v>5</v>
      </c>
      <c r="K1531" t="s">
        <v>972</v>
      </c>
      <c r="L1531">
        <v>445000</v>
      </c>
      <c r="M1531">
        <v>2.0499999999999998</v>
      </c>
      <c r="N1531">
        <v>47.223053155584815</v>
      </c>
      <c r="O1531" t="s">
        <v>592</v>
      </c>
      <c r="P1531" t="s">
        <v>627</v>
      </c>
      <c r="Q1531" t="s">
        <v>586</v>
      </c>
      <c r="R1531" t="s">
        <v>712</v>
      </c>
      <c r="S1531" t="s">
        <v>712</v>
      </c>
      <c r="T1531">
        <v>80</v>
      </c>
    </row>
    <row r="1532" spans="1:20" x14ac:dyDescent="0.25">
      <c r="A1532" t="s">
        <v>2760</v>
      </c>
      <c r="B1532" t="s">
        <v>437</v>
      </c>
      <c r="C1532" t="s">
        <v>607</v>
      </c>
      <c r="D1532" t="s">
        <v>642</v>
      </c>
      <c r="E1532" t="s">
        <v>2758</v>
      </c>
      <c r="F1532">
        <v>3.9027345937016049</v>
      </c>
      <c r="G1532">
        <v>50.867582273834124</v>
      </c>
      <c r="H1532" t="s">
        <v>869</v>
      </c>
      <c r="I1532" t="s">
        <v>661</v>
      </c>
      <c r="J1532">
        <v>5</v>
      </c>
      <c r="K1532" t="s">
        <v>1085</v>
      </c>
      <c r="L1532">
        <v>490000</v>
      </c>
      <c r="M1532">
        <v>2.35</v>
      </c>
      <c r="N1532">
        <v>50.867582273834124</v>
      </c>
      <c r="O1532" t="s">
        <v>592</v>
      </c>
      <c r="P1532" t="s">
        <v>627</v>
      </c>
      <c r="Q1532" t="s">
        <v>586</v>
      </c>
      <c r="R1532">
        <v>795000</v>
      </c>
      <c r="S1532" t="s">
        <v>712</v>
      </c>
      <c r="T1532">
        <v>65</v>
      </c>
    </row>
    <row r="1533" spans="1:20" x14ac:dyDescent="0.25">
      <c r="A1533" t="s">
        <v>2761</v>
      </c>
      <c r="B1533" t="s">
        <v>438</v>
      </c>
      <c r="C1533" t="s">
        <v>607</v>
      </c>
      <c r="D1533" t="s">
        <v>608</v>
      </c>
      <c r="E1533" t="s">
        <v>1321</v>
      </c>
      <c r="F1533">
        <v>1.5928534618689378</v>
      </c>
      <c r="G1533">
        <v>43.020345205479437</v>
      </c>
      <c r="H1533" t="s">
        <v>610</v>
      </c>
      <c r="I1533" t="s">
        <v>611</v>
      </c>
      <c r="J1533">
        <v>4</v>
      </c>
      <c r="K1533" t="s">
        <v>905</v>
      </c>
      <c r="L1533">
        <v>575000</v>
      </c>
      <c r="M1533">
        <v>2.0499999999999998</v>
      </c>
      <c r="N1533">
        <v>43.020345205479437</v>
      </c>
      <c r="O1533" t="s">
        <v>592</v>
      </c>
      <c r="P1533" t="s">
        <v>621</v>
      </c>
      <c r="Q1533" t="s">
        <v>586</v>
      </c>
      <c r="R1533">
        <v>75000</v>
      </c>
      <c r="S1533" t="s">
        <v>878</v>
      </c>
      <c r="T1533">
        <v>86</v>
      </c>
    </row>
    <row r="1534" spans="1:20" x14ac:dyDescent="0.25">
      <c r="A1534" t="s">
        <v>2762</v>
      </c>
      <c r="B1534" t="s">
        <v>439</v>
      </c>
      <c r="C1534" t="s">
        <v>586</v>
      </c>
      <c r="D1534" t="s">
        <v>608</v>
      </c>
      <c r="E1534" t="s">
        <v>1142</v>
      </c>
      <c r="F1534">
        <v>8.0459470903986502E-2</v>
      </c>
      <c r="G1534">
        <v>103.50162465753425</v>
      </c>
      <c r="H1534" t="s">
        <v>1045</v>
      </c>
      <c r="I1534" t="s">
        <v>611</v>
      </c>
      <c r="J1534">
        <v>3</v>
      </c>
      <c r="K1534" t="s">
        <v>950</v>
      </c>
      <c r="L1534">
        <v>175000</v>
      </c>
      <c r="M1534">
        <v>2.4000000000000004</v>
      </c>
      <c r="N1534">
        <v>103.50162465753425</v>
      </c>
      <c r="O1534" t="s">
        <v>592</v>
      </c>
      <c r="P1534" t="s">
        <v>613</v>
      </c>
      <c r="Q1534" t="s">
        <v>586</v>
      </c>
      <c r="R1534" t="s">
        <v>712</v>
      </c>
      <c r="S1534" t="s">
        <v>712</v>
      </c>
      <c r="T1534">
        <v>99</v>
      </c>
    </row>
    <row r="1535" spans="1:20" x14ac:dyDescent="0.25">
      <c r="A1535" t="s">
        <v>2763</v>
      </c>
      <c r="B1535" t="s">
        <v>440</v>
      </c>
      <c r="C1535" t="s">
        <v>586</v>
      </c>
      <c r="D1535" t="s">
        <v>608</v>
      </c>
      <c r="E1535" t="s">
        <v>756</v>
      </c>
      <c r="F1535">
        <v>1.0496024631987428</v>
      </c>
      <c r="G1535">
        <v>125.52648583230183</v>
      </c>
      <c r="H1535" t="s">
        <v>1045</v>
      </c>
      <c r="I1535" t="s">
        <v>1709</v>
      </c>
      <c r="J1535">
        <v>2.75</v>
      </c>
      <c r="K1535" t="s">
        <v>612</v>
      </c>
      <c r="L1535">
        <v>65000</v>
      </c>
      <c r="M1535">
        <v>2.6</v>
      </c>
      <c r="N1535">
        <v>125.52648583230183</v>
      </c>
      <c r="O1535" t="s">
        <v>592</v>
      </c>
      <c r="P1535" t="s">
        <v>613</v>
      </c>
      <c r="Q1535" t="s">
        <v>586</v>
      </c>
      <c r="R1535" t="s">
        <v>712</v>
      </c>
      <c r="S1535" t="s">
        <v>712</v>
      </c>
      <c r="T1535">
        <v>70</v>
      </c>
    </row>
    <row r="1536" spans="1:20" x14ac:dyDescent="0.25">
      <c r="A1536" t="s">
        <v>2764</v>
      </c>
      <c r="B1536" t="s">
        <v>441</v>
      </c>
      <c r="C1536" t="s">
        <v>586</v>
      </c>
      <c r="D1536" t="s">
        <v>1124</v>
      </c>
      <c r="E1536" t="s">
        <v>2765</v>
      </c>
      <c r="F1536">
        <v>0.45054968967991649</v>
      </c>
      <c r="G1536">
        <v>14.41971334850496</v>
      </c>
      <c r="H1536" t="s">
        <v>1092</v>
      </c>
      <c r="I1536" t="s">
        <v>1470</v>
      </c>
      <c r="J1536">
        <v>2.5</v>
      </c>
      <c r="K1536" t="s">
        <v>2117</v>
      </c>
      <c r="L1536">
        <v>730000</v>
      </c>
      <c r="M1536">
        <v>1.6</v>
      </c>
      <c r="N1536">
        <v>14.41971334850496</v>
      </c>
      <c r="O1536" t="s">
        <v>592</v>
      </c>
      <c r="P1536" t="s">
        <v>711</v>
      </c>
      <c r="Q1536" t="s">
        <v>586</v>
      </c>
      <c r="R1536" t="s">
        <v>712</v>
      </c>
      <c r="S1536" t="s">
        <v>712</v>
      </c>
      <c r="T1536">
        <v>95</v>
      </c>
    </row>
    <row r="1537" spans="1:20" x14ac:dyDescent="0.25">
      <c r="A1537" t="s">
        <v>2766</v>
      </c>
      <c r="B1537" t="s">
        <v>441</v>
      </c>
      <c r="C1537" t="s">
        <v>586</v>
      </c>
      <c r="D1537" t="s">
        <v>1124</v>
      </c>
      <c r="E1537" t="s">
        <v>2765</v>
      </c>
      <c r="F1537">
        <v>1.4226340407057134</v>
      </c>
      <c r="G1537">
        <v>13.097614770534239</v>
      </c>
      <c r="H1537" t="s">
        <v>1092</v>
      </c>
      <c r="I1537" t="s">
        <v>1470</v>
      </c>
      <c r="J1537">
        <v>2.5</v>
      </c>
      <c r="K1537" t="s">
        <v>2119</v>
      </c>
      <c r="L1537">
        <v>750000</v>
      </c>
      <c r="M1537">
        <v>1.75</v>
      </c>
      <c r="N1537">
        <v>13.097614770534239</v>
      </c>
      <c r="O1537" t="s">
        <v>592</v>
      </c>
      <c r="P1537" t="s">
        <v>711</v>
      </c>
      <c r="Q1537" t="s">
        <v>586</v>
      </c>
      <c r="R1537" t="s">
        <v>712</v>
      </c>
      <c r="S1537" t="s">
        <v>712</v>
      </c>
      <c r="T1537">
        <v>85</v>
      </c>
    </row>
    <row r="1538" spans="1:20" x14ac:dyDescent="0.25">
      <c r="A1538" t="s">
        <v>2767</v>
      </c>
      <c r="B1538" t="s">
        <v>441</v>
      </c>
      <c r="C1538" t="s">
        <v>586</v>
      </c>
      <c r="D1538" t="s">
        <v>1124</v>
      </c>
      <c r="E1538" t="s">
        <v>2765</v>
      </c>
      <c r="F1538">
        <v>2.3708509683563439</v>
      </c>
      <c r="G1538">
        <v>11.747440366989647</v>
      </c>
      <c r="H1538" t="s">
        <v>1092</v>
      </c>
      <c r="I1538" t="s">
        <v>1470</v>
      </c>
      <c r="J1538">
        <v>2.5</v>
      </c>
      <c r="K1538" t="s">
        <v>2121</v>
      </c>
      <c r="L1538">
        <v>765000</v>
      </c>
      <c r="M1538">
        <v>1.9000000000000001</v>
      </c>
      <c r="N1538">
        <v>11.747440366989647</v>
      </c>
      <c r="O1538" t="s">
        <v>592</v>
      </c>
      <c r="P1538" t="s">
        <v>711</v>
      </c>
      <c r="Q1538" t="s">
        <v>586</v>
      </c>
      <c r="R1538" t="s">
        <v>712</v>
      </c>
      <c r="S1538" t="s">
        <v>712</v>
      </c>
      <c r="T1538">
        <v>78</v>
      </c>
    </row>
    <row r="1539" spans="1:20" x14ac:dyDescent="0.25">
      <c r="A1539" t="s">
        <v>2768</v>
      </c>
      <c r="B1539" t="s">
        <v>442</v>
      </c>
      <c r="C1539" t="s">
        <v>586</v>
      </c>
      <c r="D1539" t="s">
        <v>587</v>
      </c>
      <c r="E1539" t="s">
        <v>1245</v>
      </c>
      <c r="F1539">
        <v>8.0444339753051639E-2</v>
      </c>
      <c r="G1539">
        <v>62.431315068493156</v>
      </c>
      <c r="H1539" t="s">
        <v>644</v>
      </c>
      <c r="I1539" t="s">
        <v>1247</v>
      </c>
      <c r="J1539">
        <v>4</v>
      </c>
      <c r="K1539" t="s">
        <v>950</v>
      </c>
      <c r="L1539">
        <v>95000</v>
      </c>
      <c r="M1539">
        <v>2.27</v>
      </c>
      <c r="N1539">
        <v>62.431315068493156</v>
      </c>
      <c r="O1539" t="s">
        <v>592</v>
      </c>
      <c r="P1539" t="s">
        <v>593</v>
      </c>
      <c r="Q1539" t="s">
        <v>586</v>
      </c>
      <c r="R1539" t="s">
        <v>712</v>
      </c>
      <c r="S1539" t="s">
        <v>712</v>
      </c>
      <c r="T1539">
        <v>90</v>
      </c>
    </row>
    <row r="1540" spans="1:20" x14ac:dyDescent="0.25">
      <c r="A1540" t="s">
        <v>2769</v>
      </c>
      <c r="B1540" t="s">
        <v>442</v>
      </c>
      <c r="C1540" t="s">
        <v>586</v>
      </c>
      <c r="D1540" t="s">
        <v>587</v>
      </c>
      <c r="E1540" t="s">
        <v>1245</v>
      </c>
      <c r="F1540">
        <v>1.039680754538177</v>
      </c>
      <c r="G1540">
        <v>69.897876712328781</v>
      </c>
      <c r="H1540" t="s">
        <v>644</v>
      </c>
      <c r="I1540" t="s">
        <v>1247</v>
      </c>
      <c r="J1540">
        <v>4</v>
      </c>
      <c r="K1540" t="s">
        <v>612</v>
      </c>
      <c r="L1540">
        <v>105000</v>
      </c>
      <c r="M1540">
        <v>2.4500000000000002</v>
      </c>
      <c r="N1540">
        <v>69.897876712328781</v>
      </c>
      <c r="O1540" t="s">
        <v>592</v>
      </c>
      <c r="P1540" t="s">
        <v>593</v>
      </c>
      <c r="Q1540" t="s">
        <v>586</v>
      </c>
      <c r="R1540">
        <v>340000</v>
      </c>
      <c r="S1540" t="s">
        <v>712</v>
      </c>
      <c r="T1540">
        <v>55</v>
      </c>
    </row>
    <row r="1541" spans="1:20" x14ac:dyDescent="0.25">
      <c r="A1541" t="s">
        <v>2770</v>
      </c>
      <c r="B1541" t="s">
        <v>442</v>
      </c>
      <c r="C1541" t="s">
        <v>586</v>
      </c>
      <c r="D1541" t="s">
        <v>587</v>
      </c>
      <c r="E1541" t="s">
        <v>1245</v>
      </c>
      <c r="F1541">
        <v>1.9612129545077124</v>
      </c>
      <c r="G1541">
        <v>78.80354794520548</v>
      </c>
      <c r="H1541" t="s">
        <v>644</v>
      </c>
      <c r="I1541" t="s">
        <v>1247</v>
      </c>
      <c r="J1541">
        <v>4</v>
      </c>
      <c r="K1541" t="s">
        <v>956</v>
      </c>
      <c r="L1541">
        <v>120000</v>
      </c>
      <c r="M1541">
        <v>2.64</v>
      </c>
      <c r="N1541">
        <v>78.80354794520548</v>
      </c>
      <c r="O1541" t="s">
        <v>592</v>
      </c>
      <c r="P1541" t="s">
        <v>593</v>
      </c>
      <c r="Q1541" t="s">
        <v>586</v>
      </c>
      <c r="R1541" t="s">
        <v>712</v>
      </c>
      <c r="S1541" t="s">
        <v>712</v>
      </c>
      <c r="T1541">
        <v>34</v>
      </c>
    </row>
    <row r="1542" spans="1:20" x14ac:dyDescent="0.25">
      <c r="A1542" t="s">
        <v>2771</v>
      </c>
      <c r="B1542" t="s">
        <v>443</v>
      </c>
      <c r="C1542" t="s">
        <v>586</v>
      </c>
      <c r="D1542" t="s">
        <v>900</v>
      </c>
      <c r="E1542" t="s">
        <v>2772</v>
      </c>
      <c r="F1542">
        <v>8.0493186428663543E-2</v>
      </c>
      <c r="G1542">
        <v>46.07444226785222</v>
      </c>
      <c r="H1542" t="s">
        <v>2773</v>
      </c>
      <c r="I1542" t="s">
        <v>1293</v>
      </c>
      <c r="J1542">
        <v>4</v>
      </c>
      <c r="K1542" t="s">
        <v>950</v>
      </c>
      <c r="L1542">
        <v>370000</v>
      </c>
      <c r="M1542">
        <v>1.93</v>
      </c>
      <c r="N1542">
        <v>46.07444226785222</v>
      </c>
      <c r="O1542" t="s">
        <v>592</v>
      </c>
      <c r="P1542" t="s">
        <v>593</v>
      </c>
      <c r="Q1542" t="s">
        <v>586</v>
      </c>
      <c r="R1542" t="s">
        <v>712</v>
      </c>
      <c r="S1542" t="s">
        <v>712</v>
      </c>
      <c r="T1542">
        <v>98</v>
      </c>
    </row>
    <row r="1543" spans="1:20" x14ac:dyDescent="0.25">
      <c r="A1543" t="s">
        <v>2774</v>
      </c>
      <c r="B1543" t="s">
        <v>443</v>
      </c>
      <c r="C1543" t="s">
        <v>586</v>
      </c>
      <c r="D1543" t="s">
        <v>900</v>
      </c>
      <c r="E1543" t="s">
        <v>2772</v>
      </c>
      <c r="F1543">
        <v>1.0437659320994184</v>
      </c>
      <c r="G1543">
        <v>49.276148968841071</v>
      </c>
      <c r="H1543" t="s">
        <v>2773</v>
      </c>
      <c r="I1543" t="s">
        <v>1293</v>
      </c>
      <c r="J1543">
        <v>4</v>
      </c>
      <c r="K1543" t="s">
        <v>612</v>
      </c>
      <c r="L1543">
        <v>380000</v>
      </c>
      <c r="M1543">
        <v>2.13</v>
      </c>
      <c r="N1543">
        <v>49.276148968841071</v>
      </c>
      <c r="O1543" t="s">
        <v>592</v>
      </c>
      <c r="P1543" t="s">
        <v>593</v>
      </c>
      <c r="Q1543" t="s">
        <v>586</v>
      </c>
      <c r="R1543" t="s">
        <v>712</v>
      </c>
      <c r="S1543" t="s">
        <v>712</v>
      </c>
      <c r="T1543">
        <v>93</v>
      </c>
    </row>
    <row r="1544" spans="1:20" x14ac:dyDescent="0.25">
      <c r="A1544" t="s">
        <v>2775</v>
      </c>
      <c r="B1544" t="s">
        <v>443</v>
      </c>
      <c r="C1544" t="s">
        <v>586</v>
      </c>
      <c r="D1544" t="s">
        <v>900</v>
      </c>
      <c r="E1544" t="s">
        <v>2772</v>
      </c>
      <c r="F1544">
        <v>1.9696048158237673</v>
      </c>
      <c r="G1544">
        <v>50.735877859248937</v>
      </c>
      <c r="H1544" t="s">
        <v>2773</v>
      </c>
      <c r="I1544" t="s">
        <v>1293</v>
      </c>
      <c r="J1544">
        <v>4</v>
      </c>
      <c r="K1544" t="s">
        <v>956</v>
      </c>
      <c r="L1544">
        <v>395000</v>
      </c>
      <c r="M1544">
        <v>2.31</v>
      </c>
      <c r="N1544">
        <v>50.735877859248937</v>
      </c>
      <c r="O1544" t="s">
        <v>592</v>
      </c>
      <c r="P1544" t="s">
        <v>593</v>
      </c>
      <c r="Q1544" t="s">
        <v>586</v>
      </c>
      <c r="R1544" t="s">
        <v>712</v>
      </c>
      <c r="S1544" t="s">
        <v>712</v>
      </c>
      <c r="T1544">
        <v>84</v>
      </c>
    </row>
    <row r="1545" spans="1:20" x14ac:dyDescent="0.25">
      <c r="A1545" t="s">
        <v>2776</v>
      </c>
      <c r="B1545" t="s">
        <v>443</v>
      </c>
      <c r="C1545" t="s">
        <v>586</v>
      </c>
      <c r="D1545" t="s">
        <v>900</v>
      </c>
      <c r="E1545" t="s">
        <v>2772</v>
      </c>
      <c r="F1545">
        <v>2.8618439969774832</v>
      </c>
      <c r="G1545">
        <v>50.165547261202128</v>
      </c>
      <c r="H1545" t="s">
        <v>2773</v>
      </c>
      <c r="I1545" t="s">
        <v>1293</v>
      </c>
      <c r="J1545">
        <v>4</v>
      </c>
      <c r="K1545" t="s">
        <v>1334</v>
      </c>
      <c r="L1545">
        <v>420000</v>
      </c>
      <c r="M1545">
        <v>2.46</v>
      </c>
      <c r="N1545">
        <v>50.165547261202128</v>
      </c>
      <c r="O1545" t="s">
        <v>592</v>
      </c>
      <c r="P1545" t="s">
        <v>593</v>
      </c>
      <c r="Q1545" t="s">
        <v>586</v>
      </c>
      <c r="R1545">
        <v>125000</v>
      </c>
      <c r="S1545" t="s">
        <v>712</v>
      </c>
      <c r="T1545">
        <v>74</v>
      </c>
    </row>
    <row r="1546" spans="1:20" x14ac:dyDescent="0.25">
      <c r="A1546" t="s">
        <v>2777</v>
      </c>
      <c r="B1546" t="s">
        <v>443</v>
      </c>
      <c r="C1546" t="s">
        <v>586</v>
      </c>
      <c r="D1546" t="s">
        <v>900</v>
      </c>
      <c r="E1546" t="s">
        <v>2772</v>
      </c>
      <c r="F1546">
        <v>3.7221217362405632</v>
      </c>
      <c r="G1546">
        <v>52.895889154183571</v>
      </c>
      <c r="H1546" t="s">
        <v>2773</v>
      </c>
      <c r="I1546" t="s">
        <v>1293</v>
      </c>
      <c r="J1546">
        <v>4</v>
      </c>
      <c r="K1546" t="s">
        <v>1220</v>
      </c>
      <c r="L1546">
        <v>430000</v>
      </c>
      <c r="M1546">
        <v>2.62</v>
      </c>
      <c r="N1546">
        <v>52.895889154183571</v>
      </c>
      <c r="O1546" t="s">
        <v>592</v>
      </c>
      <c r="P1546" t="s">
        <v>593</v>
      </c>
      <c r="Q1546" t="s">
        <v>586</v>
      </c>
      <c r="R1546" t="s">
        <v>712</v>
      </c>
      <c r="S1546" t="s">
        <v>712</v>
      </c>
      <c r="T1546">
        <v>68</v>
      </c>
    </row>
    <row r="1547" spans="1:20" x14ac:dyDescent="0.25">
      <c r="A1547" t="s">
        <v>2778</v>
      </c>
      <c r="B1547" t="s">
        <v>118</v>
      </c>
      <c r="C1547" t="s">
        <v>586</v>
      </c>
      <c r="D1547" t="s">
        <v>863</v>
      </c>
      <c r="E1547" t="s">
        <v>1083</v>
      </c>
      <c r="F1547">
        <v>0.32965700020914102</v>
      </c>
      <c r="G1547">
        <v>0.92219399068820262</v>
      </c>
      <c r="H1547" t="s">
        <v>1084</v>
      </c>
      <c r="I1547" t="s">
        <v>661</v>
      </c>
      <c r="J1547">
        <v>5</v>
      </c>
      <c r="K1547" t="s">
        <v>710</v>
      </c>
      <c r="L1547">
        <v>2100000</v>
      </c>
      <c r="M1547">
        <v>1.71</v>
      </c>
      <c r="N1547">
        <v>0.92219399068820262</v>
      </c>
      <c r="O1547" t="s">
        <v>592</v>
      </c>
      <c r="P1547" t="s">
        <v>593</v>
      </c>
      <c r="Q1547" t="s">
        <v>586</v>
      </c>
      <c r="R1547">
        <v>25000</v>
      </c>
      <c r="S1547" t="s">
        <v>635</v>
      </c>
      <c r="T1547">
        <v>98</v>
      </c>
    </row>
    <row r="1548" spans="1:20" x14ac:dyDescent="0.25">
      <c r="A1548" t="s">
        <v>2779</v>
      </c>
      <c r="B1548" t="s">
        <v>118</v>
      </c>
      <c r="C1548" t="s">
        <v>586</v>
      </c>
      <c r="D1548" t="s">
        <v>863</v>
      </c>
      <c r="E1548" t="s">
        <v>1083</v>
      </c>
      <c r="F1548">
        <v>1.2860822960825922</v>
      </c>
      <c r="G1548">
        <v>3.4774611666868793</v>
      </c>
      <c r="H1548" t="s">
        <v>1084</v>
      </c>
      <c r="I1548" t="s">
        <v>661</v>
      </c>
      <c r="J1548">
        <v>5</v>
      </c>
      <c r="K1548" t="s">
        <v>758</v>
      </c>
      <c r="L1548">
        <v>2205000</v>
      </c>
      <c r="M1548">
        <v>1.8900000000000001</v>
      </c>
      <c r="N1548">
        <v>3.4774611666868793</v>
      </c>
      <c r="O1548" t="s">
        <v>592</v>
      </c>
      <c r="P1548" t="s">
        <v>593</v>
      </c>
      <c r="Q1548" t="s">
        <v>586</v>
      </c>
      <c r="R1548">
        <v>400000</v>
      </c>
      <c r="S1548" t="s">
        <v>635</v>
      </c>
      <c r="T1548">
        <v>85</v>
      </c>
    </row>
    <row r="1549" spans="1:20" x14ac:dyDescent="0.25">
      <c r="A1549" t="s">
        <v>2780</v>
      </c>
      <c r="B1549" t="s">
        <v>118</v>
      </c>
      <c r="C1549" t="s">
        <v>586</v>
      </c>
      <c r="D1549" t="s">
        <v>863</v>
      </c>
      <c r="E1549" t="s">
        <v>1083</v>
      </c>
      <c r="F1549">
        <v>2.1992087540273046</v>
      </c>
      <c r="G1549">
        <v>4.2802705256767215</v>
      </c>
      <c r="H1549" t="s">
        <v>1084</v>
      </c>
      <c r="I1549" t="s">
        <v>661</v>
      </c>
      <c r="J1549">
        <v>5</v>
      </c>
      <c r="K1549" t="s">
        <v>972</v>
      </c>
      <c r="L1549">
        <v>2320000</v>
      </c>
      <c r="M1549">
        <v>2.0499999999999998</v>
      </c>
      <c r="N1549">
        <v>4.2802705256767215</v>
      </c>
      <c r="O1549" t="s">
        <v>592</v>
      </c>
      <c r="P1549" t="s">
        <v>593</v>
      </c>
      <c r="Q1549" t="s">
        <v>586</v>
      </c>
      <c r="R1549">
        <v>300000</v>
      </c>
      <c r="S1549" t="s">
        <v>635</v>
      </c>
      <c r="T1549">
        <v>78</v>
      </c>
    </row>
    <row r="1550" spans="1:20" x14ac:dyDescent="0.25">
      <c r="A1550" t="s">
        <v>2781</v>
      </c>
      <c r="B1550" t="s">
        <v>118</v>
      </c>
      <c r="C1550" t="s">
        <v>586</v>
      </c>
      <c r="D1550" t="s">
        <v>863</v>
      </c>
      <c r="E1550" t="s">
        <v>1083</v>
      </c>
      <c r="F1550">
        <v>3.0734750420696311</v>
      </c>
      <c r="G1550">
        <v>6.6004118783286714</v>
      </c>
      <c r="H1550" t="s">
        <v>1084</v>
      </c>
      <c r="I1550" t="s">
        <v>661</v>
      </c>
      <c r="J1550">
        <v>5</v>
      </c>
      <c r="K1550" t="s">
        <v>938</v>
      </c>
      <c r="L1550">
        <v>2435000</v>
      </c>
      <c r="M1550">
        <v>2.21</v>
      </c>
      <c r="N1550">
        <v>6.6004118783286714</v>
      </c>
      <c r="O1550" t="s">
        <v>592</v>
      </c>
      <c r="P1550" t="s">
        <v>593</v>
      </c>
      <c r="Q1550" t="s">
        <v>586</v>
      </c>
      <c r="R1550" t="s">
        <v>712</v>
      </c>
      <c r="S1550" t="s">
        <v>635</v>
      </c>
      <c r="T1550">
        <v>79</v>
      </c>
    </row>
    <row r="1551" spans="1:20" x14ac:dyDescent="0.25">
      <c r="A1551" t="s">
        <v>2782</v>
      </c>
      <c r="B1551" t="s">
        <v>444</v>
      </c>
      <c r="C1551" t="s">
        <v>586</v>
      </c>
      <c r="D1551" t="s">
        <v>1124</v>
      </c>
      <c r="E1551" t="s">
        <v>2783</v>
      </c>
      <c r="F1551">
        <v>0.49438906871174942</v>
      </c>
      <c r="G1551">
        <v>24.355621699794327</v>
      </c>
      <c r="H1551" t="s">
        <v>2784</v>
      </c>
      <c r="I1551" t="s">
        <v>721</v>
      </c>
      <c r="J1551">
        <v>2</v>
      </c>
      <c r="K1551" t="s">
        <v>807</v>
      </c>
      <c r="L1551">
        <v>420000</v>
      </c>
      <c r="M1551">
        <v>1.55</v>
      </c>
      <c r="N1551">
        <v>24.355621699794327</v>
      </c>
      <c r="O1551" t="s">
        <v>592</v>
      </c>
      <c r="P1551" t="s">
        <v>711</v>
      </c>
      <c r="Q1551" t="s">
        <v>586</v>
      </c>
      <c r="R1551" t="s">
        <v>712</v>
      </c>
      <c r="S1551" t="s">
        <v>712</v>
      </c>
      <c r="T1551">
        <v>91</v>
      </c>
    </row>
    <row r="1552" spans="1:20" x14ac:dyDescent="0.25">
      <c r="A1552" t="s">
        <v>2785</v>
      </c>
      <c r="B1552" t="s">
        <v>444</v>
      </c>
      <c r="C1552" t="s">
        <v>586</v>
      </c>
      <c r="D1552" t="s">
        <v>1124</v>
      </c>
      <c r="E1552" t="s">
        <v>2783</v>
      </c>
      <c r="F1552">
        <v>1.4698453522256372</v>
      </c>
      <c r="G1552">
        <v>24.634281714072358</v>
      </c>
      <c r="H1552" t="s">
        <v>2784</v>
      </c>
      <c r="I1552" t="s">
        <v>721</v>
      </c>
      <c r="J1552">
        <v>2</v>
      </c>
      <c r="K1552" t="s">
        <v>780</v>
      </c>
      <c r="L1552">
        <v>430000</v>
      </c>
      <c r="M1552">
        <v>1.7000000000000002</v>
      </c>
      <c r="N1552">
        <v>24.634281714072358</v>
      </c>
      <c r="O1552" t="s">
        <v>592</v>
      </c>
      <c r="P1552" t="s">
        <v>711</v>
      </c>
      <c r="Q1552" t="s">
        <v>586</v>
      </c>
      <c r="R1552" t="s">
        <v>712</v>
      </c>
      <c r="S1552" t="s">
        <v>712</v>
      </c>
      <c r="T1552">
        <v>81</v>
      </c>
    </row>
    <row r="1553" spans="1:20" x14ac:dyDescent="0.25">
      <c r="A1553" t="s">
        <v>2786</v>
      </c>
      <c r="B1553" t="s">
        <v>445</v>
      </c>
      <c r="C1553" t="s">
        <v>607</v>
      </c>
      <c r="D1553" t="s">
        <v>608</v>
      </c>
      <c r="E1553" t="s">
        <v>2787</v>
      </c>
      <c r="F1553">
        <v>8.0470423284679488E-2</v>
      </c>
      <c r="G1553">
        <v>75.206064346276065</v>
      </c>
      <c r="H1553" t="s">
        <v>1256</v>
      </c>
      <c r="I1553" t="s">
        <v>611</v>
      </c>
      <c r="J1553">
        <v>3</v>
      </c>
      <c r="K1553" t="s">
        <v>950</v>
      </c>
      <c r="L1553">
        <v>105000</v>
      </c>
      <c r="M1553">
        <v>2.2000000000000002</v>
      </c>
      <c r="N1553">
        <v>75.206064346276065</v>
      </c>
      <c r="O1553" t="s">
        <v>592</v>
      </c>
      <c r="P1553" t="s">
        <v>613</v>
      </c>
      <c r="Q1553" t="s">
        <v>586</v>
      </c>
      <c r="R1553" t="s">
        <v>712</v>
      </c>
      <c r="S1553" t="s">
        <v>712</v>
      </c>
      <c r="T1553">
        <v>99</v>
      </c>
    </row>
    <row r="1554" spans="1:20" x14ac:dyDescent="0.25">
      <c r="A1554" t="s">
        <v>2788</v>
      </c>
      <c r="B1554" t="s">
        <v>445</v>
      </c>
      <c r="C1554" t="s">
        <v>607</v>
      </c>
      <c r="D1554" t="s">
        <v>608</v>
      </c>
      <c r="E1554" t="s">
        <v>2787</v>
      </c>
      <c r="F1554">
        <v>1.0486671516232646</v>
      </c>
      <c r="G1554">
        <v>79.004261453623272</v>
      </c>
      <c r="H1554" t="s">
        <v>1256</v>
      </c>
      <c r="I1554" t="s">
        <v>611</v>
      </c>
      <c r="J1554">
        <v>3</v>
      </c>
      <c r="K1554" t="s">
        <v>612</v>
      </c>
      <c r="L1554">
        <v>105000</v>
      </c>
      <c r="M1554">
        <v>2.4000000000000004</v>
      </c>
      <c r="N1554">
        <v>79.004261453623272</v>
      </c>
      <c r="O1554" t="s">
        <v>592</v>
      </c>
      <c r="P1554" t="s">
        <v>613</v>
      </c>
      <c r="Q1554" t="s">
        <v>586</v>
      </c>
      <c r="R1554" t="s">
        <v>712</v>
      </c>
      <c r="S1554" t="s">
        <v>712</v>
      </c>
      <c r="T1554">
        <v>90</v>
      </c>
    </row>
    <row r="1555" spans="1:20" x14ac:dyDescent="0.25">
      <c r="A1555" t="s">
        <v>2789</v>
      </c>
      <c r="B1555" t="s">
        <v>445</v>
      </c>
      <c r="C1555" t="s">
        <v>607</v>
      </c>
      <c r="D1555" t="s">
        <v>608</v>
      </c>
      <c r="E1555" t="s">
        <v>2787</v>
      </c>
      <c r="F1555">
        <v>1.9872900417670687</v>
      </c>
      <c r="G1555">
        <v>82.863642870436081</v>
      </c>
      <c r="H1555" t="s">
        <v>1256</v>
      </c>
      <c r="I1555" t="s">
        <v>611</v>
      </c>
      <c r="J1555">
        <v>3</v>
      </c>
      <c r="K1555" t="s">
        <v>956</v>
      </c>
      <c r="L1555">
        <v>110000</v>
      </c>
      <c r="M1555">
        <v>2.6</v>
      </c>
      <c r="N1555">
        <v>82.863642870436081</v>
      </c>
      <c r="O1555" t="s">
        <v>592</v>
      </c>
      <c r="P1555" t="s">
        <v>613</v>
      </c>
      <c r="Q1555" t="s">
        <v>586</v>
      </c>
      <c r="R1555" t="s">
        <v>712</v>
      </c>
      <c r="S1555" t="s">
        <v>712</v>
      </c>
      <c r="T1555">
        <v>79</v>
      </c>
    </row>
    <row r="1556" spans="1:20" x14ac:dyDescent="0.25">
      <c r="A1556" t="s">
        <v>2790</v>
      </c>
      <c r="B1556" t="s">
        <v>445</v>
      </c>
      <c r="C1556" t="s">
        <v>607</v>
      </c>
      <c r="D1556" t="s">
        <v>608</v>
      </c>
      <c r="E1556" t="s">
        <v>2787</v>
      </c>
      <c r="F1556">
        <v>2.898722874971932</v>
      </c>
      <c r="G1556">
        <v>77.390877687008924</v>
      </c>
      <c r="H1556" t="s">
        <v>1256</v>
      </c>
      <c r="I1556" t="s">
        <v>611</v>
      </c>
      <c r="J1556">
        <v>3</v>
      </c>
      <c r="K1556" t="s">
        <v>1334</v>
      </c>
      <c r="L1556">
        <v>115000</v>
      </c>
      <c r="M1556">
        <v>2.7</v>
      </c>
      <c r="N1556">
        <v>77.390877687008924</v>
      </c>
      <c r="O1556" t="s">
        <v>592</v>
      </c>
      <c r="P1556" t="s">
        <v>613</v>
      </c>
      <c r="Q1556" t="s">
        <v>586</v>
      </c>
      <c r="R1556" t="s">
        <v>712</v>
      </c>
      <c r="S1556" t="s">
        <v>712</v>
      </c>
      <c r="T1556">
        <v>69</v>
      </c>
    </row>
    <row r="1557" spans="1:20" x14ac:dyDescent="0.25">
      <c r="A1557" t="s">
        <v>2791</v>
      </c>
      <c r="B1557" t="s">
        <v>445</v>
      </c>
      <c r="C1557" t="s">
        <v>607</v>
      </c>
      <c r="D1557" t="s">
        <v>608</v>
      </c>
      <c r="E1557" t="s">
        <v>2787</v>
      </c>
      <c r="F1557">
        <v>3.7835542994818043</v>
      </c>
      <c r="G1557">
        <v>78.968774943958039</v>
      </c>
      <c r="H1557" t="s">
        <v>1256</v>
      </c>
      <c r="I1557" t="s">
        <v>611</v>
      </c>
      <c r="J1557">
        <v>3</v>
      </c>
      <c r="K1557" t="s">
        <v>1220</v>
      </c>
      <c r="L1557">
        <v>115000</v>
      </c>
      <c r="M1557">
        <v>2.85</v>
      </c>
      <c r="N1557">
        <v>78.968774943958039</v>
      </c>
      <c r="O1557" t="s">
        <v>592</v>
      </c>
      <c r="P1557" t="s">
        <v>613</v>
      </c>
      <c r="Q1557" t="s">
        <v>586</v>
      </c>
      <c r="R1557" t="s">
        <v>712</v>
      </c>
      <c r="S1557" t="s">
        <v>712</v>
      </c>
      <c r="T1557">
        <v>62</v>
      </c>
    </row>
    <row r="1558" spans="1:20" x14ac:dyDescent="0.25">
      <c r="A1558" t="s">
        <v>2792</v>
      </c>
      <c r="B1558" t="s">
        <v>150</v>
      </c>
      <c r="C1558" t="s">
        <v>607</v>
      </c>
      <c r="D1558" t="s">
        <v>741</v>
      </c>
      <c r="E1558" t="s">
        <v>1194</v>
      </c>
      <c r="F1558">
        <v>1.3040957520230392</v>
      </c>
      <c r="G1558">
        <v>36.850772352364757</v>
      </c>
      <c r="H1558" t="s">
        <v>1195</v>
      </c>
      <c r="I1558" t="s">
        <v>661</v>
      </c>
      <c r="J1558">
        <v>2</v>
      </c>
      <c r="K1558" t="s">
        <v>758</v>
      </c>
      <c r="L1558">
        <v>50000</v>
      </c>
      <c r="M1558">
        <v>1.75</v>
      </c>
      <c r="N1558">
        <v>36.850772352364757</v>
      </c>
      <c r="O1558" t="s">
        <v>592</v>
      </c>
      <c r="P1558" t="s">
        <v>627</v>
      </c>
      <c r="Q1558" t="s">
        <v>586</v>
      </c>
      <c r="R1558" t="s">
        <v>712</v>
      </c>
      <c r="S1558" t="s">
        <v>712</v>
      </c>
      <c r="T1558">
        <v>76</v>
      </c>
    </row>
    <row r="1559" spans="1:20" x14ac:dyDescent="0.25">
      <c r="A1559" t="s">
        <v>2793</v>
      </c>
      <c r="B1559" t="s">
        <v>150</v>
      </c>
      <c r="C1559" t="s">
        <v>607</v>
      </c>
      <c r="D1559" t="s">
        <v>741</v>
      </c>
      <c r="E1559" t="s">
        <v>1194</v>
      </c>
      <c r="F1559">
        <v>2.2473566438537298</v>
      </c>
      <c r="G1559">
        <v>36.984038088219776</v>
      </c>
      <c r="H1559" t="s">
        <v>1195</v>
      </c>
      <c r="I1559" t="s">
        <v>661</v>
      </c>
      <c r="J1559">
        <v>2.5</v>
      </c>
      <c r="K1559" t="s">
        <v>972</v>
      </c>
      <c r="L1559">
        <v>225000</v>
      </c>
      <c r="M1559">
        <v>1.9000000000000001</v>
      </c>
      <c r="N1559">
        <v>36.984038088219776</v>
      </c>
      <c r="O1559" t="s">
        <v>592</v>
      </c>
      <c r="P1559" t="s">
        <v>627</v>
      </c>
      <c r="Q1559" t="s">
        <v>586</v>
      </c>
      <c r="R1559" t="s">
        <v>712</v>
      </c>
      <c r="S1559" t="s">
        <v>712</v>
      </c>
      <c r="T1559">
        <v>64</v>
      </c>
    </row>
    <row r="1560" spans="1:20" x14ac:dyDescent="0.25">
      <c r="A1560" t="s">
        <v>2794</v>
      </c>
      <c r="B1560" t="s">
        <v>150</v>
      </c>
      <c r="C1560" t="s">
        <v>607</v>
      </c>
      <c r="D1560" t="s">
        <v>741</v>
      </c>
      <c r="E1560" t="s">
        <v>1194</v>
      </c>
      <c r="F1560">
        <v>3.1705566313457636</v>
      </c>
      <c r="G1560">
        <v>40.449027582368522</v>
      </c>
      <c r="H1560" t="s">
        <v>1195</v>
      </c>
      <c r="I1560" t="s">
        <v>661</v>
      </c>
      <c r="J1560">
        <v>2.5</v>
      </c>
      <c r="K1560" t="s">
        <v>938</v>
      </c>
      <c r="L1560">
        <v>225000</v>
      </c>
      <c r="M1560">
        <v>2.08</v>
      </c>
      <c r="N1560">
        <v>40.449027582368522</v>
      </c>
      <c r="O1560" t="s">
        <v>592</v>
      </c>
      <c r="P1560" t="s">
        <v>627</v>
      </c>
      <c r="Q1560" t="s">
        <v>586</v>
      </c>
      <c r="R1560" t="s">
        <v>712</v>
      </c>
      <c r="S1560" t="s">
        <v>712</v>
      </c>
      <c r="T1560">
        <v>50</v>
      </c>
    </row>
    <row r="1561" spans="1:20" x14ac:dyDescent="0.25">
      <c r="A1561" t="s">
        <v>2795</v>
      </c>
      <c r="B1561" t="s">
        <v>150</v>
      </c>
      <c r="C1561" t="s">
        <v>607</v>
      </c>
      <c r="D1561" t="s">
        <v>741</v>
      </c>
      <c r="E1561" t="s">
        <v>1194</v>
      </c>
      <c r="F1561">
        <v>4.0701906850497851</v>
      </c>
      <c r="G1561">
        <v>42.744618298659852</v>
      </c>
      <c r="H1561" t="s">
        <v>1195</v>
      </c>
      <c r="I1561" t="s">
        <v>661</v>
      </c>
      <c r="J1561">
        <v>2.5</v>
      </c>
      <c r="K1561" t="s">
        <v>1085</v>
      </c>
      <c r="L1561">
        <v>225000</v>
      </c>
      <c r="M1561">
        <v>2.23</v>
      </c>
      <c r="N1561">
        <v>42.744618298659852</v>
      </c>
      <c r="O1561" t="s">
        <v>592</v>
      </c>
      <c r="P1561" t="s">
        <v>627</v>
      </c>
      <c r="Q1561" t="s">
        <v>586</v>
      </c>
      <c r="R1561" t="s">
        <v>712</v>
      </c>
      <c r="S1561" t="s">
        <v>712</v>
      </c>
      <c r="T1561">
        <v>41</v>
      </c>
    </row>
    <row r="1562" spans="1:20" x14ac:dyDescent="0.25">
      <c r="A1562" t="s">
        <v>2796</v>
      </c>
      <c r="B1562" t="s">
        <v>150</v>
      </c>
      <c r="C1562" t="s">
        <v>607</v>
      </c>
      <c r="D1562" t="s">
        <v>741</v>
      </c>
      <c r="E1562" t="s">
        <v>1194</v>
      </c>
      <c r="F1562">
        <v>4.8915696446207662</v>
      </c>
      <c r="G1562">
        <v>44.998770684584308</v>
      </c>
      <c r="H1562" t="s">
        <v>1195</v>
      </c>
      <c r="I1562" t="s">
        <v>661</v>
      </c>
      <c r="J1562">
        <v>3</v>
      </c>
      <c r="K1562" t="s">
        <v>933</v>
      </c>
      <c r="L1562">
        <v>225000</v>
      </c>
      <c r="M1562">
        <v>2.36</v>
      </c>
      <c r="N1562">
        <v>44.998770684584308</v>
      </c>
      <c r="O1562" t="s">
        <v>592</v>
      </c>
      <c r="P1562" t="s">
        <v>627</v>
      </c>
      <c r="Q1562" t="s">
        <v>586</v>
      </c>
      <c r="R1562" t="s">
        <v>712</v>
      </c>
      <c r="S1562" t="s">
        <v>712</v>
      </c>
      <c r="T1562">
        <v>36</v>
      </c>
    </row>
    <row r="1563" spans="1:20" x14ac:dyDescent="0.25">
      <c r="A1563" t="s">
        <v>2797</v>
      </c>
      <c r="B1563" t="s">
        <v>39</v>
      </c>
      <c r="C1563" t="s">
        <v>586</v>
      </c>
      <c r="D1563" t="s">
        <v>714</v>
      </c>
      <c r="E1563" t="s">
        <v>715</v>
      </c>
      <c r="F1563">
        <v>1.0378304016923627</v>
      </c>
      <c r="G1563">
        <v>22.541356164383576</v>
      </c>
      <c r="H1563" t="s">
        <v>644</v>
      </c>
      <c r="I1563" t="s">
        <v>716</v>
      </c>
      <c r="J1563">
        <v>5</v>
      </c>
      <c r="K1563" t="s">
        <v>612</v>
      </c>
      <c r="L1563">
        <v>1475000</v>
      </c>
      <c r="M1563">
        <v>2.08</v>
      </c>
      <c r="N1563">
        <v>22.541356164383576</v>
      </c>
      <c r="O1563" t="s">
        <v>592</v>
      </c>
      <c r="P1563" t="s">
        <v>593</v>
      </c>
      <c r="Q1563" t="s">
        <v>586</v>
      </c>
      <c r="R1563" t="s">
        <v>712</v>
      </c>
      <c r="S1563" t="s">
        <v>594</v>
      </c>
      <c r="T1563">
        <v>86</v>
      </c>
    </row>
    <row r="1564" spans="1:20" x14ac:dyDescent="0.25">
      <c r="A1564" t="s">
        <v>2798</v>
      </c>
      <c r="B1564" t="s">
        <v>39</v>
      </c>
      <c r="C1564" t="s">
        <v>586</v>
      </c>
      <c r="D1564" t="s">
        <v>714</v>
      </c>
      <c r="E1564" t="s">
        <v>715</v>
      </c>
      <c r="F1564">
        <v>1.9506071786689232</v>
      </c>
      <c r="G1564">
        <v>24.834336986301398</v>
      </c>
      <c r="H1564" t="s">
        <v>644</v>
      </c>
      <c r="I1564" t="s">
        <v>716</v>
      </c>
      <c r="J1564">
        <v>5</v>
      </c>
      <c r="K1564" t="s">
        <v>956</v>
      </c>
      <c r="L1564">
        <v>1550000</v>
      </c>
      <c r="M1564">
        <v>2.2000000000000002</v>
      </c>
      <c r="N1564">
        <v>24.834336986301398</v>
      </c>
      <c r="O1564" t="s">
        <v>592</v>
      </c>
      <c r="P1564" t="s">
        <v>593</v>
      </c>
      <c r="Q1564" t="s">
        <v>586</v>
      </c>
      <c r="R1564" t="s">
        <v>712</v>
      </c>
      <c r="S1564" t="s">
        <v>594</v>
      </c>
      <c r="T1564">
        <v>78</v>
      </c>
    </row>
    <row r="1565" spans="1:20" x14ac:dyDescent="0.25">
      <c r="A1565" t="s">
        <v>2799</v>
      </c>
      <c r="B1565" t="s">
        <v>39</v>
      </c>
      <c r="C1565" t="s">
        <v>586</v>
      </c>
      <c r="D1565" t="s">
        <v>714</v>
      </c>
      <c r="E1565" t="s">
        <v>715</v>
      </c>
      <c r="F1565">
        <v>2.8187489854615397</v>
      </c>
      <c r="G1565">
        <v>22.226542465753418</v>
      </c>
      <c r="H1565" t="s">
        <v>644</v>
      </c>
      <c r="I1565" t="s">
        <v>716</v>
      </c>
      <c r="J1565">
        <v>5</v>
      </c>
      <c r="K1565" t="s">
        <v>1334</v>
      </c>
      <c r="L1565">
        <v>5210000</v>
      </c>
      <c r="M1565">
        <v>2.2800000000000002</v>
      </c>
      <c r="N1565">
        <v>22.226542465753418</v>
      </c>
      <c r="O1565" t="s">
        <v>592</v>
      </c>
      <c r="P1565" t="s">
        <v>593</v>
      </c>
      <c r="Q1565" t="s">
        <v>586</v>
      </c>
      <c r="R1565">
        <v>50000</v>
      </c>
      <c r="S1565" t="s">
        <v>594</v>
      </c>
      <c r="T1565">
        <v>71</v>
      </c>
    </row>
    <row r="1566" spans="1:20" x14ac:dyDescent="0.25">
      <c r="A1566" t="s">
        <v>2800</v>
      </c>
      <c r="B1566" t="s">
        <v>39</v>
      </c>
      <c r="C1566" t="s">
        <v>586</v>
      </c>
      <c r="D1566" t="s">
        <v>714</v>
      </c>
      <c r="E1566" t="s">
        <v>715</v>
      </c>
      <c r="F1566">
        <v>3.6616174392704774</v>
      </c>
      <c r="G1566">
        <v>22.72955890410957</v>
      </c>
      <c r="H1566" t="s">
        <v>644</v>
      </c>
      <c r="I1566" t="s">
        <v>716</v>
      </c>
      <c r="J1566">
        <v>5</v>
      </c>
      <c r="K1566" t="s">
        <v>1220</v>
      </c>
      <c r="L1566">
        <v>5475000</v>
      </c>
      <c r="M1566">
        <v>2.38</v>
      </c>
      <c r="N1566">
        <v>22.72955890410957</v>
      </c>
      <c r="O1566" t="s">
        <v>592</v>
      </c>
      <c r="P1566" t="s">
        <v>593</v>
      </c>
      <c r="Q1566" t="s">
        <v>586</v>
      </c>
      <c r="R1566">
        <v>160000</v>
      </c>
      <c r="S1566" t="s">
        <v>594</v>
      </c>
      <c r="T1566">
        <v>63</v>
      </c>
    </row>
    <row r="1567" spans="1:20" x14ac:dyDescent="0.25">
      <c r="A1567" t="s">
        <v>2801</v>
      </c>
      <c r="B1567" t="s">
        <v>446</v>
      </c>
      <c r="C1567" t="s">
        <v>586</v>
      </c>
      <c r="D1567" t="s">
        <v>608</v>
      </c>
      <c r="E1567" t="s">
        <v>671</v>
      </c>
      <c r="F1567">
        <v>0.52788467484034962</v>
      </c>
      <c r="G1567">
        <v>21.070512933341433</v>
      </c>
      <c r="H1567" t="s">
        <v>2604</v>
      </c>
      <c r="I1567" t="s">
        <v>885</v>
      </c>
      <c r="J1567">
        <v>2.25</v>
      </c>
      <c r="K1567" t="s">
        <v>1005</v>
      </c>
      <c r="L1567">
        <v>935000</v>
      </c>
      <c r="M1567">
        <v>1.55</v>
      </c>
      <c r="N1567">
        <v>21.070512933341433</v>
      </c>
      <c r="O1567" t="s">
        <v>592</v>
      </c>
      <c r="P1567" t="s">
        <v>621</v>
      </c>
      <c r="Q1567" t="s">
        <v>586</v>
      </c>
      <c r="R1567" t="s">
        <v>712</v>
      </c>
      <c r="S1567" t="s">
        <v>599</v>
      </c>
      <c r="T1567">
        <v>91</v>
      </c>
    </row>
    <row r="1568" spans="1:20" x14ac:dyDescent="0.25">
      <c r="A1568" t="s">
        <v>2802</v>
      </c>
      <c r="B1568" t="s">
        <v>446</v>
      </c>
      <c r="C1568" t="s">
        <v>586</v>
      </c>
      <c r="D1568" t="s">
        <v>608</v>
      </c>
      <c r="E1568" t="s">
        <v>671</v>
      </c>
      <c r="F1568">
        <v>1.4814699601725871</v>
      </c>
      <c r="G1568">
        <v>21.621689161565925</v>
      </c>
      <c r="H1568" t="s">
        <v>2604</v>
      </c>
      <c r="I1568" t="s">
        <v>885</v>
      </c>
      <c r="J1568">
        <v>3</v>
      </c>
      <c r="K1568" t="s">
        <v>1001</v>
      </c>
      <c r="L1568">
        <v>960000</v>
      </c>
      <c r="M1568">
        <v>1.7000000000000002</v>
      </c>
      <c r="N1568">
        <v>21.621689161565925</v>
      </c>
      <c r="O1568" t="s">
        <v>592</v>
      </c>
      <c r="P1568" t="s">
        <v>621</v>
      </c>
      <c r="Q1568" t="s">
        <v>586</v>
      </c>
      <c r="R1568" t="s">
        <v>712</v>
      </c>
      <c r="S1568" t="s">
        <v>599</v>
      </c>
      <c r="T1568">
        <v>81</v>
      </c>
    </row>
    <row r="1569" spans="1:20" x14ac:dyDescent="0.25">
      <c r="A1569" t="s">
        <v>2803</v>
      </c>
      <c r="B1569" t="s">
        <v>446</v>
      </c>
      <c r="C1569" t="s">
        <v>586</v>
      </c>
      <c r="D1569" t="s">
        <v>608</v>
      </c>
      <c r="E1569" t="s">
        <v>671</v>
      </c>
      <c r="F1569">
        <v>2.4093319136153184</v>
      </c>
      <c r="G1569">
        <v>20.854075907090053</v>
      </c>
      <c r="H1569" t="s">
        <v>2604</v>
      </c>
      <c r="I1569" t="s">
        <v>885</v>
      </c>
      <c r="J1569">
        <v>3</v>
      </c>
      <c r="K1569" t="s">
        <v>803</v>
      </c>
      <c r="L1569">
        <v>200000</v>
      </c>
      <c r="M1569">
        <v>1.84</v>
      </c>
      <c r="N1569">
        <v>20.854075907090053</v>
      </c>
      <c r="O1569" t="s">
        <v>592</v>
      </c>
      <c r="P1569" t="s">
        <v>621</v>
      </c>
      <c r="Q1569" t="s">
        <v>586</v>
      </c>
      <c r="R1569" t="s">
        <v>712</v>
      </c>
      <c r="S1569" t="s">
        <v>599</v>
      </c>
      <c r="T1569">
        <v>68</v>
      </c>
    </row>
    <row r="1570" spans="1:20" x14ac:dyDescent="0.25">
      <c r="A1570" t="s">
        <v>2804</v>
      </c>
      <c r="B1570" t="s">
        <v>446</v>
      </c>
      <c r="C1570" t="s">
        <v>586</v>
      </c>
      <c r="D1570" t="s">
        <v>608</v>
      </c>
      <c r="E1570" t="s">
        <v>671</v>
      </c>
      <c r="F1570">
        <v>3.3109800116342747</v>
      </c>
      <c r="G1570">
        <v>25.780974587793025</v>
      </c>
      <c r="H1570" t="s">
        <v>2604</v>
      </c>
      <c r="I1570" t="s">
        <v>885</v>
      </c>
      <c r="J1570">
        <v>3</v>
      </c>
      <c r="K1570" t="s">
        <v>1387</v>
      </c>
      <c r="L1570">
        <v>210000</v>
      </c>
      <c r="M1570">
        <v>2.0300000000000002</v>
      </c>
      <c r="N1570">
        <v>25.780974587793025</v>
      </c>
      <c r="O1570" t="s">
        <v>592</v>
      </c>
      <c r="P1570" t="s">
        <v>621</v>
      </c>
      <c r="Q1570" t="s">
        <v>586</v>
      </c>
      <c r="R1570" t="s">
        <v>712</v>
      </c>
      <c r="S1570" t="s">
        <v>599</v>
      </c>
      <c r="T1570">
        <v>59</v>
      </c>
    </row>
    <row r="1571" spans="1:20" x14ac:dyDescent="0.25">
      <c r="A1571" t="s">
        <v>2805</v>
      </c>
      <c r="B1571" t="s">
        <v>446</v>
      </c>
      <c r="C1571" t="s">
        <v>586</v>
      </c>
      <c r="D1571" t="s">
        <v>608</v>
      </c>
      <c r="E1571" t="s">
        <v>671</v>
      </c>
      <c r="F1571">
        <v>4.1870514998719877</v>
      </c>
      <c r="G1571">
        <v>34.887723176686606</v>
      </c>
      <c r="H1571" t="s">
        <v>2604</v>
      </c>
      <c r="I1571" t="s">
        <v>885</v>
      </c>
      <c r="J1571">
        <v>3</v>
      </c>
      <c r="K1571" t="s">
        <v>1765</v>
      </c>
      <c r="L1571">
        <v>215000</v>
      </c>
      <c r="M1571">
        <v>2.2400000000000002</v>
      </c>
      <c r="N1571">
        <v>34.887723176686606</v>
      </c>
      <c r="O1571" t="s">
        <v>592</v>
      </c>
      <c r="P1571" t="s">
        <v>621</v>
      </c>
      <c r="Q1571" t="s">
        <v>586</v>
      </c>
      <c r="R1571" t="s">
        <v>712</v>
      </c>
      <c r="S1571" t="s">
        <v>599</v>
      </c>
      <c r="T1571">
        <v>50</v>
      </c>
    </row>
    <row r="1572" spans="1:20" x14ac:dyDescent="0.25">
      <c r="A1572" t="s">
        <v>2806</v>
      </c>
      <c r="B1572" t="s">
        <v>447</v>
      </c>
      <c r="C1572" t="s">
        <v>607</v>
      </c>
      <c r="D1572" t="s">
        <v>608</v>
      </c>
      <c r="E1572" t="s">
        <v>609</v>
      </c>
      <c r="F1572">
        <v>8.0455820111311083E-2</v>
      </c>
      <c r="G1572">
        <v>57.15896542576553</v>
      </c>
      <c r="H1572" t="s">
        <v>2807</v>
      </c>
      <c r="I1572" t="s">
        <v>611</v>
      </c>
      <c r="J1572">
        <v>3</v>
      </c>
      <c r="K1572" t="s">
        <v>950</v>
      </c>
      <c r="L1572">
        <v>105000</v>
      </c>
      <c r="M1572">
        <v>2.15</v>
      </c>
      <c r="N1572">
        <v>57.15896542576553</v>
      </c>
      <c r="O1572" t="s">
        <v>592</v>
      </c>
      <c r="P1572" t="s">
        <v>613</v>
      </c>
      <c r="Q1572" t="s">
        <v>586</v>
      </c>
      <c r="R1572" t="s">
        <v>712</v>
      </c>
      <c r="S1572" t="s">
        <v>712</v>
      </c>
      <c r="T1572">
        <v>99</v>
      </c>
    </row>
    <row r="1573" spans="1:20" x14ac:dyDescent="0.25">
      <c r="A1573" t="s">
        <v>2808</v>
      </c>
      <c r="B1573" t="s">
        <v>447</v>
      </c>
      <c r="C1573" t="s">
        <v>607</v>
      </c>
      <c r="D1573" t="s">
        <v>608</v>
      </c>
      <c r="E1573" t="s">
        <v>609</v>
      </c>
      <c r="F1573">
        <v>1.0474508033337615</v>
      </c>
      <c r="G1573">
        <v>55.190044554443254</v>
      </c>
      <c r="H1573" t="s">
        <v>2807</v>
      </c>
      <c r="I1573" t="s">
        <v>611</v>
      </c>
      <c r="J1573">
        <v>3</v>
      </c>
      <c r="K1573" t="s">
        <v>612</v>
      </c>
      <c r="L1573">
        <v>105000</v>
      </c>
      <c r="M1573">
        <v>2.3000000000000003</v>
      </c>
      <c r="N1573">
        <v>55.190044554443254</v>
      </c>
      <c r="O1573" t="s">
        <v>592</v>
      </c>
      <c r="P1573" t="s">
        <v>613</v>
      </c>
      <c r="Q1573" t="s">
        <v>586</v>
      </c>
      <c r="R1573" t="s">
        <v>712</v>
      </c>
      <c r="S1573" t="s">
        <v>712</v>
      </c>
      <c r="T1573">
        <v>84</v>
      </c>
    </row>
    <row r="1574" spans="1:20" x14ac:dyDescent="0.25">
      <c r="A1574" t="s">
        <v>2809</v>
      </c>
      <c r="B1574" t="s">
        <v>447</v>
      </c>
      <c r="C1574" t="s">
        <v>607</v>
      </c>
      <c r="D1574" t="s">
        <v>608</v>
      </c>
      <c r="E1574" t="s">
        <v>609</v>
      </c>
      <c r="F1574">
        <v>1.9847554800179781</v>
      </c>
      <c r="G1574">
        <v>53.564876031678146</v>
      </c>
      <c r="H1574" t="s">
        <v>2807</v>
      </c>
      <c r="I1574" t="s">
        <v>611</v>
      </c>
      <c r="J1574">
        <v>3</v>
      </c>
      <c r="K1574" t="s">
        <v>956</v>
      </c>
      <c r="L1574">
        <v>110000</v>
      </c>
      <c r="M1574">
        <v>2.4500000000000002</v>
      </c>
      <c r="N1574">
        <v>53.564876031678146</v>
      </c>
      <c r="O1574" t="s">
        <v>592</v>
      </c>
      <c r="P1574" t="s">
        <v>613</v>
      </c>
      <c r="Q1574" t="s">
        <v>586</v>
      </c>
      <c r="R1574" t="s">
        <v>712</v>
      </c>
      <c r="S1574" t="s">
        <v>712</v>
      </c>
      <c r="T1574">
        <v>69</v>
      </c>
    </row>
    <row r="1575" spans="1:20" x14ac:dyDescent="0.25">
      <c r="A1575" t="s">
        <v>2810</v>
      </c>
      <c r="B1575" t="s">
        <v>448</v>
      </c>
      <c r="C1575" t="s">
        <v>607</v>
      </c>
      <c r="D1575" t="s">
        <v>608</v>
      </c>
      <c r="E1575" t="s">
        <v>609</v>
      </c>
      <c r="F1575">
        <v>8.0470259369820926E-2</v>
      </c>
      <c r="G1575">
        <v>63.325521226074329</v>
      </c>
      <c r="H1575" t="s">
        <v>1920</v>
      </c>
      <c r="I1575" t="s">
        <v>611</v>
      </c>
      <c r="J1575">
        <v>3.25</v>
      </c>
      <c r="K1575" t="s">
        <v>950</v>
      </c>
      <c r="L1575">
        <v>155000</v>
      </c>
      <c r="M1575">
        <v>1.75</v>
      </c>
      <c r="N1575">
        <v>63.325521226074329</v>
      </c>
      <c r="O1575" t="s">
        <v>592</v>
      </c>
      <c r="P1575" t="s">
        <v>613</v>
      </c>
      <c r="Q1575" t="s">
        <v>586</v>
      </c>
      <c r="R1575" t="s">
        <v>712</v>
      </c>
      <c r="S1575" t="s">
        <v>614</v>
      </c>
      <c r="T1575">
        <v>94</v>
      </c>
    </row>
    <row r="1576" spans="1:20" x14ac:dyDescent="0.25">
      <c r="A1576" t="s">
        <v>2811</v>
      </c>
      <c r="B1576" t="s">
        <v>448</v>
      </c>
      <c r="C1576" t="s">
        <v>607</v>
      </c>
      <c r="D1576" t="s">
        <v>608</v>
      </c>
      <c r="E1576" t="s">
        <v>609</v>
      </c>
      <c r="F1576">
        <v>1.0469299914059511</v>
      </c>
      <c r="G1576">
        <v>63.796339810766867</v>
      </c>
      <c r="H1576" t="s">
        <v>1920</v>
      </c>
      <c r="I1576" t="s">
        <v>611</v>
      </c>
      <c r="J1576">
        <v>3.25</v>
      </c>
      <c r="K1576" t="s">
        <v>612</v>
      </c>
      <c r="L1576">
        <v>165000</v>
      </c>
      <c r="M1576">
        <v>1.9000000000000001</v>
      </c>
      <c r="N1576">
        <v>63.796339810766867</v>
      </c>
      <c r="O1576" t="s">
        <v>592</v>
      </c>
      <c r="P1576" t="s">
        <v>613</v>
      </c>
      <c r="Q1576" t="s">
        <v>586</v>
      </c>
      <c r="R1576" t="s">
        <v>712</v>
      </c>
      <c r="S1576" t="s">
        <v>614</v>
      </c>
      <c r="T1576">
        <v>90</v>
      </c>
    </row>
    <row r="1577" spans="1:20" x14ac:dyDescent="0.25">
      <c r="A1577" t="s">
        <v>2812</v>
      </c>
      <c r="B1577" t="s">
        <v>448</v>
      </c>
      <c r="C1577" t="s">
        <v>607</v>
      </c>
      <c r="D1577" t="s">
        <v>608</v>
      </c>
      <c r="E1577" t="s">
        <v>609</v>
      </c>
      <c r="F1577">
        <v>1.9817790947144169</v>
      </c>
      <c r="G1577">
        <v>63.767323363058367</v>
      </c>
      <c r="H1577" t="s">
        <v>1920</v>
      </c>
      <c r="I1577" t="s">
        <v>611</v>
      </c>
      <c r="J1577">
        <v>3.25</v>
      </c>
      <c r="K1577" t="s">
        <v>956</v>
      </c>
      <c r="L1577">
        <v>170000</v>
      </c>
      <c r="M1577">
        <v>2.0499999999999998</v>
      </c>
      <c r="N1577">
        <v>63.767323363058367</v>
      </c>
      <c r="O1577" t="s">
        <v>592</v>
      </c>
      <c r="P1577" t="s">
        <v>613</v>
      </c>
      <c r="Q1577" t="s">
        <v>586</v>
      </c>
      <c r="R1577" t="s">
        <v>712</v>
      </c>
      <c r="S1577" t="s">
        <v>614</v>
      </c>
      <c r="T1577">
        <v>79</v>
      </c>
    </row>
    <row r="1578" spans="1:20" x14ac:dyDescent="0.25">
      <c r="A1578" t="s">
        <v>2813</v>
      </c>
      <c r="B1578" t="s">
        <v>449</v>
      </c>
      <c r="C1578" t="s">
        <v>586</v>
      </c>
      <c r="D1578" t="s">
        <v>623</v>
      </c>
      <c r="E1578" t="s">
        <v>2814</v>
      </c>
      <c r="F1578">
        <v>0.32912548247789031</v>
      </c>
      <c r="G1578">
        <v>51.554368851872368</v>
      </c>
      <c r="H1578" t="s">
        <v>2461</v>
      </c>
      <c r="I1578" t="s">
        <v>661</v>
      </c>
      <c r="J1578">
        <v>3</v>
      </c>
      <c r="K1578" t="s">
        <v>710</v>
      </c>
      <c r="L1578">
        <v>145000</v>
      </c>
      <c r="M1578">
        <v>1.8</v>
      </c>
      <c r="N1578">
        <v>51.554368851872368</v>
      </c>
      <c r="O1578" t="s">
        <v>592</v>
      </c>
      <c r="P1578" t="s">
        <v>745</v>
      </c>
      <c r="Q1578" t="s">
        <v>586</v>
      </c>
      <c r="R1578" t="s">
        <v>712</v>
      </c>
      <c r="S1578" t="s">
        <v>712</v>
      </c>
      <c r="T1578">
        <v>98</v>
      </c>
    </row>
    <row r="1579" spans="1:20" x14ac:dyDescent="0.25">
      <c r="A1579" t="s">
        <v>2815</v>
      </c>
      <c r="B1579" t="s">
        <v>449</v>
      </c>
      <c r="C1579" t="s">
        <v>586</v>
      </c>
      <c r="D1579" t="s">
        <v>623</v>
      </c>
      <c r="E1579" t="s">
        <v>2814</v>
      </c>
      <c r="F1579">
        <v>1.2961561022030101</v>
      </c>
      <c r="G1579">
        <v>52.065282844278627</v>
      </c>
      <c r="H1579" t="s">
        <v>2461</v>
      </c>
      <c r="I1579" t="s">
        <v>661</v>
      </c>
      <c r="J1579">
        <v>3</v>
      </c>
      <c r="K1579" t="s">
        <v>758</v>
      </c>
      <c r="L1579">
        <v>150000</v>
      </c>
      <c r="M1579">
        <v>1.95</v>
      </c>
      <c r="N1579">
        <v>52.065282844278627</v>
      </c>
      <c r="O1579" t="s">
        <v>592</v>
      </c>
      <c r="P1579" t="s">
        <v>745</v>
      </c>
      <c r="Q1579" t="s">
        <v>586</v>
      </c>
      <c r="R1579" t="s">
        <v>712</v>
      </c>
      <c r="S1579" t="s">
        <v>712</v>
      </c>
      <c r="T1579">
        <v>88</v>
      </c>
    </row>
    <row r="1580" spans="1:20" x14ac:dyDescent="0.25">
      <c r="A1580" t="s">
        <v>2816</v>
      </c>
      <c r="B1580" t="s">
        <v>449</v>
      </c>
      <c r="C1580" t="s">
        <v>586</v>
      </c>
      <c r="D1580" t="s">
        <v>623</v>
      </c>
      <c r="E1580" t="s">
        <v>2814</v>
      </c>
      <c r="F1580">
        <v>2.2346722387114202</v>
      </c>
      <c r="G1580">
        <v>52.257256017789658</v>
      </c>
      <c r="H1580" t="s">
        <v>2461</v>
      </c>
      <c r="I1580" t="s">
        <v>661</v>
      </c>
      <c r="J1580">
        <v>3</v>
      </c>
      <c r="K1580" t="s">
        <v>972</v>
      </c>
      <c r="L1580">
        <v>155000</v>
      </c>
      <c r="M1580">
        <v>2.1</v>
      </c>
      <c r="N1580">
        <v>52.257256017789658</v>
      </c>
      <c r="O1580" t="s">
        <v>592</v>
      </c>
      <c r="P1580" t="s">
        <v>745</v>
      </c>
      <c r="Q1580" t="s">
        <v>586</v>
      </c>
      <c r="R1580" t="s">
        <v>712</v>
      </c>
      <c r="S1580" t="s">
        <v>712</v>
      </c>
      <c r="T1580">
        <v>79</v>
      </c>
    </row>
    <row r="1581" spans="1:20" x14ac:dyDescent="0.25">
      <c r="A1581" t="s">
        <v>2817</v>
      </c>
      <c r="B1581" t="s">
        <v>449</v>
      </c>
      <c r="C1581" t="s">
        <v>586</v>
      </c>
      <c r="D1581" t="s">
        <v>623</v>
      </c>
      <c r="E1581" t="s">
        <v>2814</v>
      </c>
      <c r="F1581">
        <v>3.1461535596491199</v>
      </c>
      <c r="G1581">
        <v>52.936065188236526</v>
      </c>
      <c r="H1581" t="s">
        <v>2461</v>
      </c>
      <c r="I1581" t="s">
        <v>661</v>
      </c>
      <c r="J1581">
        <v>3</v>
      </c>
      <c r="K1581" t="s">
        <v>938</v>
      </c>
      <c r="L1581">
        <v>160000</v>
      </c>
      <c r="M1581">
        <v>2.25</v>
      </c>
      <c r="N1581">
        <v>52.936065188236526</v>
      </c>
      <c r="O1581" t="s">
        <v>592</v>
      </c>
      <c r="P1581" t="s">
        <v>745</v>
      </c>
      <c r="Q1581" t="s">
        <v>586</v>
      </c>
      <c r="R1581">
        <v>20000</v>
      </c>
      <c r="S1581" t="s">
        <v>712</v>
      </c>
      <c r="T1581">
        <v>71</v>
      </c>
    </row>
    <row r="1582" spans="1:20" x14ac:dyDescent="0.25">
      <c r="A1582" t="s">
        <v>2818</v>
      </c>
      <c r="B1582" t="s">
        <v>450</v>
      </c>
      <c r="C1582" t="s">
        <v>607</v>
      </c>
      <c r="D1582" t="s">
        <v>608</v>
      </c>
      <c r="E1582" t="s">
        <v>1142</v>
      </c>
      <c r="F1582">
        <v>2.9413196608617689</v>
      </c>
      <c r="G1582">
        <v>43.517550684931507</v>
      </c>
      <c r="H1582" t="s">
        <v>1033</v>
      </c>
      <c r="I1582" t="s">
        <v>611</v>
      </c>
      <c r="J1582">
        <v>2.15</v>
      </c>
      <c r="K1582" t="s">
        <v>1334</v>
      </c>
      <c r="L1582">
        <v>710000</v>
      </c>
      <c r="M1582">
        <v>2.15</v>
      </c>
      <c r="N1582">
        <v>43.517550684931507</v>
      </c>
      <c r="O1582" t="s">
        <v>592</v>
      </c>
      <c r="P1582" t="s">
        <v>613</v>
      </c>
      <c r="Q1582" t="s">
        <v>586</v>
      </c>
      <c r="R1582" t="s">
        <v>712</v>
      </c>
      <c r="S1582" t="s">
        <v>594</v>
      </c>
      <c r="T1582">
        <v>61</v>
      </c>
    </row>
    <row r="1583" spans="1:20" x14ac:dyDescent="0.25">
      <c r="A1583" t="s">
        <v>2819</v>
      </c>
      <c r="B1583" t="s">
        <v>451</v>
      </c>
      <c r="C1583" t="s">
        <v>586</v>
      </c>
      <c r="D1583" t="s">
        <v>770</v>
      </c>
      <c r="E1583" t="s">
        <v>2820</v>
      </c>
      <c r="F1583">
        <v>0.65045661869415894</v>
      </c>
      <c r="G1583">
        <v>37.397369096873099</v>
      </c>
      <c r="H1583" t="s">
        <v>2821</v>
      </c>
      <c r="I1583" t="s">
        <v>1037</v>
      </c>
      <c r="J1583">
        <v>4</v>
      </c>
      <c r="K1583" t="s">
        <v>787</v>
      </c>
      <c r="L1583">
        <v>400000</v>
      </c>
      <c r="M1583">
        <v>1.6400000000000001</v>
      </c>
      <c r="N1583">
        <v>37.397369096873099</v>
      </c>
      <c r="O1583" t="s">
        <v>592</v>
      </c>
      <c r="P1583" t="s">
        <v>613</v>
      </c>
      <c r="Q1583" t="s">
        <v>586</v>
      </c>
      <c r="R1583" t="s">
        <v>712</v>
      </c>
      <c r="S1583" t="s">
        <v>712</v>
      </c>
      <c r="T1583">
        <v>88</v>
      </c>
    </row>
    <row r="1584" spans="1:20" x14ac:dyDescent="0.25">
      <c r="A1584" t="s">
        <v>2822</v>
      </c>
      <c r="B1584" t="s">
        <v>451</v>
      </c>
      <c r="C1584" t="s">
        <v>586</v>
      </c>
      <c r="D1584" t="s">
        <v>770</v>
      </c>
      <c r="E1584" t="s">
        <v>2820</v>
      </c>
      <c r="F1584">
        <v>1.5943398837468654</v>
      </c>
      <c r="G1584">
        <v>35.696326195382674</v>
      </c>
      <c r="H1584" t="s">
        <v>2821</v>
      </c>
      <c r="I1584" t="s">
        <v>1037</v>
      </c>
      <c r="J1584">
        <v>4</v>
      </c>
      <c r="K1584" t="s">
        <v>905</v>
      </c>
      <c r="L1584">
        <v>415000</v>
      </c>
      <c r="M1584">
        <v>1.78</v>
      </c>
      <c r="N1584">
        <v>35.696326195382674</v>
      </c>
      <c r="O1584" t="s">
        <v>592</v>
      </c>
      <c r="P1584" t="s">
        <v>613</v>
      </c>
      <c r="Q1584" t="s">
        <v>586</v>
      </c>
      <c r="R1584" t="s">
        <v>712</v>
      </c>
      <c r="S1584" t="s">
        <v>712</v>
      </c>
      <c r="T1584">
        <v>75</v>
      </c>
    </row>
    <row r="1585" spans="1:20" x14ac:dyDescent="0.25">
      <c r="A1585" t="s">
        <v>2823</v>
      </c>
      <c r="B1585" t="s">
        <v>451</v>
      </c>
      <c r="C1585" t="s">
        <v>586</v>
      </c>
      <c r="D1585" t="s">
        <v>770</v>
      </c>
      <c r="E1585" t="s">
        <v>2820</v>
      </c>
      <c r="F1585">
        <v>2.5032674182707124</v>
      </c>
      <c r="G1585">
        <v>36.049474956522602</v>
      </c>
      <c r="H1585" t="s">
        <v>2821</v>
      </c>
      <c r="I1585" t="s">
        <v>1037</v>
      </c>
      <c r="J1585">
        <v>4</v>
      </c>
      <c r="K1585" t="s">
        <v>734</v>
      </c>
      <c r="L1585">
        <v>430000</v>
      </c>
      <c r="M1585">
        <v>1.94</v>
      </c>
      <c r="N1585">
        <v>36.049474956522602</v>
      </c>
      <c r="O1585" t="s">
        <v>592</v>
      </c>
      <c r="P1585" t="s">
        <v>613</v>
      </c>
      <c r="Q1585" t="s">
        <v>586</v>
      </c>
      <c r="R1585" t="s">
        <v>712</v>
      </c>
      <c r="S1585" t="s">
        <v>712</v>
      </c>
      <c r="T1585">
        <v>66</v>
      </c>
    </row>
    <row r="1586" spans="1:20" x14ac:dyDescent="0.25">
      <c r="A1586" t="s">
        <v>2824</v>
      </c>
      <c r="B1586" t="s">
        <v>451</v>
      </c>
      <c r="C1586" t="s">
        <v>586</v>
      </c>
      <c r="D1586" t="s">
        <v>770</v>
      </c>
      <c r="E1586" t="s">
        <v>2820</v>
      </c>
      <c r="F1586">
        <v>3.3790506607370214</v>
      </c>
      <c r="G1586">
        <v>37.626246825126742</v>
      </c>
      <c r="H1586" t="s">
        <v>2821</v>
      </c>
      <c r="I1586" t="s">
        <v>1037</v>
      </c>
      <c r="J1586">
        <v>4</v>
      </c>
      <c r="K1586" t="s">
        <v>838</v>
      </c>
      <c r="L1586">
        <v>450000</v>
      </c>
      <c r="M1586">
        <v>2.1</v>
      </c>
      <c r="N1586">
        <v>37.626246825126742</v>
      </c>
      <c r="O1586" t="s">
        <v>592</v>
      </c>
      <c r="P1586" t="s">
        <v>613</v>
      </c>
      <c r="Q1586" t="s">
        <v>586</v>
      </c>
      <c r="R1586" t="s">
        <v>712</v>
      </c>
      <c r="S1586" t="s">
        <v>712</v>
      </c>
      <c r="T1586">
        <v>60</v>
      </c>
    </row>
    <row r="1587" spans="1:20" x14ac:dyDescent="0.25">
      <c r="A1587" t="s">
        <v>2825</v>
      </c>
      <c r="B1587" t="s">
        <v>451</v>
      </c>
      <c r="C1587" t="s">
        <v>586</v>
      </c>
      <c r="D1587" t="s">
        <v>770</v>
      </c>
      <c r="E1587" t="s">
        <v>2820</v>
      </c>
      <c r="F1587">
        <v>4.2231082988674951</v>
      </c>
      <c r="G1587">
        <v>35.661622169371697</v>
      </c>
      <c r="H1587" t="s">
        <v>2821</v>
      </c>
      <c r="I1587" t="s">
        <v>1037</v>
      </c>
      <c r="J1587">
        <v>4</v>
      </c>
      <c r="K1587" t="s">
        <v>1350</v>
      </c>
      <c r="L1587">
        <v>340000</v>
      </c>
      <c r="M1587">
        <v>2.2000000000000002</v>
      </c>
      <c r="N1587">
        <v>35.661622169371697</v>
      </c>
      <c r="O1587" t="s">
        <v>592</v>
      </c>
      <c r="P1587" t="s">
        <v>613</v>
      </c>
      <c r="Q1587" t="s">
        <v>586</v>
      </c>
      <c r="R1587" t="s">
        <v>712</v>
      </c>
      <c r="S1587" t="s">
        <v>712</v>
      </c>
      <c r="T1587">
        <v>55</v>
      </c>
    </row>
    <row r="1588" spans="1:20" x14ac:dyDescent="0.25">
      <c r="A1588" t="s">
        <v>2826</v>
      </c>
      <c r="B1588" t="s">
        <v>452</v>
      </c>
      <c r="C1588" t="s">
        <v>586</v>
      </c>
      <c r="D1588" t="s">
        <v>1523</v>
      </c>
      <c r="E1588" t="s">
        <v>2827</v>
      </c>
      <c r="F1588">
        <v>0.56573276028289265</v>
      </c>
      <c r="G1588">
        <v>7.2069240461814177</v>
      </c>
      <c r="H1588" t="s">
        <v>2828</v>
      </c>
      <c r="I1588" t="s">
        <v>721</v>
      </c>
      <c r="J1588">
        <v>5</v>
      </c>
      <c r="K1588" t="s">
        <v>744</v>
      </c>
      <c r="L1588">
        <v>495000</v>
      </c>
      <c r="M1588">
        <v>1.3</v>
      </c>
      <c r="N1588">
        <v>7.2069240461814177</v>
      </c>
      <c r="O1588" t="s">
        <v>592</v>
      </c>
      <c r="P1588" t="s">
        <v>593</v>
      </c>
      <c r="Q1588" t="s">
        <v>586</v>
      </c>
      <c r="R1588" t="s">
        <v>712</v>
      </c>
      <c r="S1588" t="s">
        <v>635</v>
      </c>
      <c r="T1588">
        <v>94</v>
      </c>
    </row>
    <row r="1589" spans="1:20" x14ac:dyDescent="0.25">
      <c r="A1589" t="s">
        <v>2829</v>
      </c>
      <c r="B1589" t="s">
        <v>452</v>
      </c>
      <c r="C1589" t="s">
        <v>586</v>
      </c>
      <c r="D1589" t="s">
        <v>1523</v>
      </c>
      <c r="E1589" t="s">
        <v>2827</v>
      </c>
      <c r="F1589">
        <v>1.4998108266909056</v>
      </c>
      <c r="G1589">
        <v>11.26146862995736</v>
      </c>
      <c r="H1589" t="s">
        <v>2828</v>
      </c>
      <c r="I1589" t="s">
        <v>721</v>
      </c>
      <c r="J1589">
        <v>5</v>
      </c>
      <c r="K1589" t="s">
        <v>634</v>
      </c>
      <c r="L1589">
        <v>520000</v>
      </c>
      <c r="M1589">
        <v>1.49</v>
      </c>
      <c r="N1589">
        <v>11.26146862995736</v>
      </c>
      <c r="O1589" t="s">
        <v>592</v>
      </c>
      <c r="P1589" t="s">
        <v>593</v>
      </c>
      <c r="Q1589" t="s">
        <v>586</v>
      </c>
      <c r="R1589">
        <v>150000</v>
      </c>
      <c r="S1589" t="s">
        <v>635</v>
      </c>
      <c r="T1589">
        <v>81</v>
      </c>
    </row>
    <row r="1590" spans="1:20" x14ac:dyDescent="0.25">
      <c r="A1590" t="s">
        <v>2830</v>
      </c>
      <c r="B1590" t="s">
        <v>452</v>
      </c>
      <c r="C1590" t="s">
        <v>586</v>
      </c>
      <c r="D1590" t="s">
        <v>1523</v>
      </c>
      <c r="E1590" t="s">
        <v>2827</v>
      </c>
      <c r="F1590">
        <v>2.3927753427307188</v>
      </c>
      <c r="G1590">
        <v>14.152955066456375</v>
      </c>
      <c r="H1590" t="s">
        <v>2828</v>
      </c>
      <c r="I1590" t="s">
        <v>721</v>
      </c>
      <c r="J1590">
        <v>5</v>
      </c>
      <c r="K1590" t="s">
        <v>959</v>
      </c>
      <c r="L1590">
        <v>545000</v>
      </c>
      <c r="M1590">
        <v>1.67</v>
      </c>
      <c r="N1590">
        <v>14.152955066456375</v>
      </c>
      <c r="O1590" t="s">
        <v>592</v>
      </c>
      <c r="P1590" t="s">
        <v>593</v>
      </c>
      <c r="Q1590" t="s">
        <v>586</v>
      </c>
      <c r="R1590" t="s">
        <v>712</v>
      </c>
      <c r="S1590" t="s">
        <v>635</v>
      </c>
      <c r="T1590">
        <v>76</v>
      </c>
    </row>
    <row r="1591" spans="1:20" x14ac:dyDescent="0.25">
      <c r="A1591" t="s">
        <v>2831</v>
      </c>
      <c r="B1591" t="s">
        <v>453</v>
      </c>
      <c r="C1591" t="s">
        <v>586</v>
      </c>
      <c r="D1591" t="s">
        <v>1523</v>
      </c>
      <c r="E1591" t="s">
        <v>2832</v>
      </c>
      <c r="F1591">
        <v>0.41235504351708852</v>
      </c>
      <c r="G1591">
        <v>25.593173151826655</v>
      </c>
      <c r="H1591" t="s">
        <v>1030</v>
      </c>
      <c r="I1591" t="s">
        <v>673</v>
      </c>
      <c r="J1591">
        <v>4</v>
      </c>
      <c r="K1591" t="s">
        <v>686</v>
      </c>
      <c r="L1591">
        <v>695000</v>
      </c>
      <c r="M1591">
        <v>1.97</v>
      </c>
      <c r="N1591">
        <v>25.593173151826655</v>
      </c>
      <c r="O1591" t="s">
        <v>592</v>
      </c>
      <c r="P1591" t="s">
        <v>593</v>
      </c>
      <c r="Q1591" t="s">
        <v>586</v>
      </c>
      <c r="R1591" t="s">
        <v>712</v>
      </c>
      <c r="S1591" t="s">
        <v>712</v>
      </c>
      <c r="T1591">
        <v>91</v>
      </c>
    </row>
    <row r="1592" spans="1:20" x14ac:dyDescent="0.25">
      <c r="A1592" t="s">
        <v>2833</v>
      </c>
      <c r="B1592" t="s">
        <v>453</v>
      </c>
      <c r="C1592" t="s">
        <v>586</v>
      </c>
      <c r="D1592" t="s">
        <v>1523</v>
      </c>
      <c r="E1592" t="s">
        <v>2832</v>
      </c>
      <c r="F1592">
        <v>1.381797024923149</v>
      </c>
      <c r="G1592">
        <v>27.169601027961022</v>
      </c>
      <c r="H1592" t="s">
        <v>1030</v>
      </c>
      <c r="I1592" t="s">
        <v>673</v>
      </c>
      <c r="J1592">
        <v>3</v>
      </c>
      <c r="K1592" t="s">
        <v>946</v>
      </c>
      <c r="L1592">
        <v>685000</v>
      </c>
      <c r="M1592">
        <v>2.14</v>
      </c>
      <c r="N1592">
        <v>27.169601027961022</v>
      </c>
      <c r="O1592" t="s">
        <v>592</v>
      </c>
      <c r="P1592" t="s">
        <v>593</v>
      </c>
      <c r="Q1592" t="s">
        <v>586</v>
      </c>
      <c r="R1592" t="s">
        <v>712</v>
      </c>
      <c r="S1592" t="s">
        <v>712</v>
      </c>
      <c r="T1592">
        <v>74</v>
      </c>
    </row>
    <row r="1593" spans="1:20" x14ac:dyDescent="0.25">
      <c r="A1593" t="s">
        <v>2834</v>
      </c>
      <c r="B1593" t="s">
        <v>453</v>
      </c>
      <c r="C1593" t="s">
        <v>586</v>
      </c>
      <c r="D1593" t="s">
        <v>1523</v>
      </c>
      <c r="E1593" t="s">
        <v>2832</v>
      </c>
      <c r="F1593">
        <v>2.3229541566756136</v>
      </c>
      <c r="G1593">
        <v>28.99770771438348</v>
      </c>
      <c r="H1593" t="s">
        <v>1030</v>
      </c>
      <c r="I1593" t="s">
        <v>673</v>
      </c>
      <c r="J1593">
        <v>3</v>
      </c>
      <c r="K1593" t="s">
        <v>747</v>
      </c>
      <c r="L1593">
        <v>700000</v>
      </c>
      <c r="M1593">
        <v>2.31</v>
      </c>
      <c r="N1593">
        <v>28.99770771438348</v>
      </c>
      <c r="O1593" t="s">
        <v>592</v>
      </c>
      <c r="P1593" t="s">
        <v>593</v>
      </c>
      <c r="Q1593" t="s">
        <v>586</v>
      </c>
      <c r="R1593" t="s">
        <v>712</v>
      </c>
      <c r="S1593" t="s">
        <v>712</v>
      </c>
      <c r="T1593">
        <v>64</v>
      </c>
    </row>
    <row r="1594" spans="1:20" x14ac:dyDescent="0.25">
      <c r="A1594" t="s">
        <v>2835</v>
      </c>
      <c r="B1594" t="s">
        <v>453</v>
      </c>
      <c r="C1594" t="s">
        <v>586</v>
      </c>
      <c r="D1594" t="s">
        <v>1523</v>
      </c>
      <c r="E1594" t="s">
        <v>2832</v>
      </c>
      <c r="F1594">
        <v>3.2373009032379163</v>
      </c>
      <c r="G1594">
        <v>29.465206284608179</v>
      </c>
      <c r="H1594" t="s">
        <v>1030</v>
      </c>
      <c r="I1594" t="s">
        <v>673</v>
      </c>
      <c r="J1594">
        <v>3</v>
      </c>
      <c r="K1594" t="s">
        <v>815</v>
      </c>
      <c r="L1594">
        <v>720000</v>
      </c>
      <c r="M1594">
        <v>2.4500000000000002</v>
      </c>
      <c r="N1594">
        <v>29.465206284608179</v>
      </c>
      <c r="O1594" t="s">
        <v>592</v>
      </c>
      <c r="P1594" t="s">
        <v>593</v>
      </c>
      <c r="Q1594" t="s">
        <v>586</v>
      </c>
      <c r="R1594" t="s">
        <v>712</v>
      </c>
      <c r="S1594" t="s">
        <v>712</v>
      </c>
      <c r="T1594">
        <v>52</v>
      </c>
    </row>
    <row r="1595" spans="1:20" x14ac:dyDescent="0.25">
      <c r="A1595" t="s">
        <v>2836</v>
      </c>
      <c r="B1595" t="s">
        <v>454</v>
      </c>
      <c r="C1595" t="s">
        <v>586</v>
      </c>
      <c r="D1595" t="s">
        <v>1523</v>
      </c>
      <c r="E1595" t="s">
        <v>2832</v>
      </c>
      <c r="F1595">
        <v>0.56545944593147102</v>
      </c>
      <c r="G1595">
        <v>-2.7814453833305608</v>
      </c>
      <c r="H1595" t="s">
        <v>784</v>
      </c>
      <c r="I1595" t="s">
        <v>661</v>
      </c>
      <c r="J1595">
        <v>5</v>
      </c>
      <c r="K1595" t="s">
        <v>744</v>
      </c>
      <c r="L1595">
        <v>460000</v>
      </c>
      <c r="M1595">
        <v>1.19</v>
      </c>
      <c r="N1595">
        <v>-2.7814453833305608</v>
      </c>
      <c r="O1595" t="s">
        <v>592</v>
      </c>
      <c r="P1595" t="s">
        <v>593</v>
      </c>
      <c r="Q1595" t="s">
        <v>586</v>
      </c>
      <c r="R1595" t="s">
        <v>712</v>
      </c>
      <c r="S1595" t="s">
        <v>652</v>
      </c>
      <c r="T1595">
        <v>89</v>
      </c>
    </row>
    <row r="1596" spans="1:20" x14ac:dyDescent="0.25">
      <c r="A1596" t="s">
        <v>2837</v>
      </c>
      <c r="B1596" t="s">
        <v>454</v>
      </c>
      <c r="C1596" t="s">
        <v>586</v>
      </c>
      <c r="D1596" t="s">
        <v>1523</v>
      </c>
      <c r="E1596" t="s">
        <v>2832</v>
      </c>
      <c r="F1596">
        <v>1.4990273728195296</v>
      </c>
      <c r="G1596">
        <v>-0.51964927315166776</v>
      </c>
      <c r="H1596" t="s">
        <v>784</v>
      </c>
      <c r="I1596" t="s">
        <v>661</v>
      </c>
      <c r="J1596">
        <v>5</v>
      </c>
      <c r="K1596" t="s">
        <v>634</v>
      </c>
      <c r="L1596">
        <v>485000</v>
      </c>
      <c r="M1596">
        <v>1.36</v>
      </c>
      <c r="N1596">
        <v>-0.51964927315166776</v>
      </c>
      <c r="O1596" t="s">
        <v>592</v>
      </c>
      <c r="P1596" t="s">
        <v>593</v>
      </c>
      <c r="Q1596" t="s">
        <v>586</v>
      </c>
      <c r="R1596" t="s">
        <v>712</v>
      </c>
      <c r="S1596" t="s">
        <v>652</v>
      </c>
      <c r="T1596">
        <v>92</v>
      </c>
    </row>
    <row r="1597" spans="1:20" x14ac:dyDescent="0.25">
      <c r="A1597" t="s">
        <v>2838</v>
      </c>
      <c r="B1597" t="s">
        <v>454</v>
      </c>
      <c r="C1597" t="s">
        <v>586</v>
      </c>
      <c r="D1597" t="s">
        <v>1523</v>
      </c>
      <c r="E1597" t="s">
        <v>2832</v>
      </c>
      <c r="F1597">
        <v>2.39149628897502</v>
      </c>
      <c r="G1597">
        <v>-0.45542298081755472</v>
      </c>
      <c r="H1597" t="s">
        <v>784</v>
      </c>
      <c r="I1597" t="s">
        <v>661</v>
      </c>
      <c r="J1597">
        <v>5</v>
      </c>
      <c r="K1597" t="s">
        <v>959</v>
      </c>
      <c r="L1597">
        <v>505000</v>
      </c>
      <c r="M1597">
        <v>1.51</v>
      </c>
      <c r="N1597">
        <v>-0.45542298081755472</v>
      </c>
      <c r="O1597" t="s">
        <v>592</v>
      </c>
      <c r="P1597" t="s">
        <v>593</v>
      </c>
      <c r="Q1597" t="s">
        <v>586</v>
      </c>
      <c r="R1597" t="s">
        <v>712</v>
      </c>
      <c r="S1597" t="s">
        <v>652</v>
      </c>
      <c r="T1597">
        <v>83</v>
      </c>
    </row>
    <row r="1598" spans="1:20" x14ac:dyDescent="0.25">
      <c r="A1598" t="s">
        <v>2839</v>
      </c>
      <c r="B1598" t="s">
        <v>84</v>
      </c>
      <c r="C1598" t="s">
        <v>586</v>
      </c>
      <c r="D1598" t="s">
        <v>601</v>
      </c>
      <c r="E1598" t="s">
        <v>924</v>
      </c>
      <c r="F1598">
        <v>2.5375677261022882</v>
      </c>
      <c r="G1598">
        <v>10.450690695073117</v>
      </c>
      <c r="H1598" t="s">
        <v>692</v>
      </c>
      <c r="I1598" t="s">
        <v>925</v>
      </c>
      <c r="J1598">
        <v>3</v>
      </c>
      <c r="K1598" t="s">
        <v>734</v>
      </c>
      <c r="L1598">
        <v>615000</v>
      </c>
      <c r="M1598">
        <v>2.15</v>
      </c>
      <c r="N1598">
        <v>10.450690695073117</v>
      </c>
      <c r="O1598" t="s">
        <v>592</v>
      </c>
      <c r="P1598" t="s">
        <v>593</v>
      </c>
      <c r="Q1598" t="s">
        <v>586</v>
      </c>
      <c r="R1598" t="s">
        <v>712</v>
      </c>
      <c r="S1598" t="s">
        <v>712</v>
      </c>
      <c r="T1598">
        <v>69</v>
      </c>
    </row>
    <row r="1599" spans="1:20" x14ac:dyDescent="0.25">
      <c r="A1599" t="s">
        <v>2840</v>
      </c>
      <c r="B1599" t="s">
        <v>455</v>
      </c>
      <c r="C1599" t="s">
        <v>586</v>
      </c>
      <c r="D1599" t="s">
        <v>608</v>
      </c>
      <c r="E1599" t="s">
        <v>789</v>
      </c>
      <c r="F1599">
        <v>0.98044279010547497</v>
      </c>
      <c r="G1599">
        <v>102.51738356164384</v>
      </c>
      <c r="H1599" t="s">
        <v>610</v>
      </c>
      <c r="I1599" t="s">
        <v>611</v>
      </c>
      <c r="J1599">
        <v>2.6</v>
      </c>
      <c r="K1599" t="s">
        <v>646</v>
      </c>
      <c r="L1599">
        <v>50000</v>
      </c>
      <c r="M1599">
        <v>2.6</v>
      </c>
      <c r="N1599">
        <v>102.51738356164384</v>
      </c>
      <c r="O1599" t="s">
        <v>592</v>
      </c>
      <c r="P1599" t="s">
        <v>613</v>
      </c>
      <c r="Q1599" t="s">
        <v>586</v>
      </c>
      <c r="R1599" t="s">
        <v>712</v>
      </c>
      <c r="S1599" t="s">
        <v>712</v>
      </c>
      <c r="T1599">
        <v>86</v>
      </c>
    </row>
    <row r="1600" spans="1:20" x14ac:dyDescent="0.25">
      <c r="A1600" t="s">
        <v>2841</v>
      </c>
      <c r="B1600" t="s">
        <v>456</v>
      </c>
      <c r="C1600" t="s">
        <v>586</v>
      </c>
      <c r="D1600" t="s">
        <v>990</v>
      </c>
      <c r="E1600" t="s">
        <v>2842</v>
      </c>
      <c r="F1600">
        <v>0.82017243005538187</v>
      </c>
      <c r="G1600">
        <v>12.069068321169475</v>
      </c>
      <c r="H1600" t="s">
        <v>1477</v>
      </c>
      <c r="I1600" t="s">
        <v>611</v>
      </c>
      <c r="J1600">
        <v>2</v>
      </c>
      <c r="K1600" t="s">
        <v>984</v>
      </c>
      <c r="L1600">
        <v>890000</v>
      </c>
      <c r="M1600">
        <v>1.69</v>
      </c>
      <c r="N1600">
        <v>12.069068321169475</v>
      </c>
      <c r="O1600" t="s">
        <v>592</v>
      </c>
      <c r="P1600" t="s">
        <v>593</v>
      </c>
      <c r="Q1600" t="s">
        <v>586</v>
      </c>
      <c r="R1600">
        <v>125000</v>
      </c>
      <c r="S1600" t="s">
        <v>652</v>
      </c>
      <c r="T1600">
        <v>87</v>
      </c>
    </row>
    <row r="1601" spans="1:20" x14ac:dyDescent="0.25">
      <c r="A1601" t="s">
        <v>2843</v>
      </c>
      <c r="B1601" t="s">
        <v>456</v>
      </c>
      <c r="C1601" t="s">
        <v>586</v>
      </c>
      <c r="D1601" t="s">
        <v>990</v>
      </c>
      <c r="E1601" t="s">
        <v>2842</v>
      </c>
      <c r="F1601">
        <v>2.6392118908889808</v>
      </c>
      <c r="G1601">
        <v>15.034386735326377</v>
      </c>
      <c r="H1601" t="s">
        <v>1477</v>
      </c>
      <c r="I1601" t="s">
        <v>611</v>
      </c>
      <c r="J1601">
        <v>5</v>
      </c>
      <c r="K1601" t="s">
        <v>669</v>
      </c>
      <c r="L1601">
        <v>625000</v>
      </c>
      <c r="M1601">
        <v>2.04</v>
      </c>
      <c r="N1601">
        <v>15.034386735326377</v>
      </c>
      <c r="O1601" t="s">
        <v>592</v>
      </c>
      <c r="P1601" t="s">
        <v>593</v>
      </c>
      <c r="Q1601" t="s">
        <v>586</v>
      </c>
      <c r="R1601">
        <v>200000</v>
      </c>
      <c r="S1601" t="s">
        <v>652</v>
      </c>
      <c r="T1601">
        <v>79</v>
      </c>
    </row>
    <row r="1602" spans="1:20" x14ac:dyDescent="0.25">
      <c r="A1602" t="s">
        <v>2844</v>
      </c>
      <c r="B1602" t="s">
        <v>456</v>
      </c>
      <c r="C1602" t="s">
        <v>586</v>
      </c>
      <c r="D1602" t="s">
        <v>990</v>
      </c>
      <c r="E1602" t="s">
        <v>2842</v>
      </c>
      <c r="F1602">
        <v>3.4947150724005942</v>
      </c>
      <c r="G1602">
        <v>18.886731700098469</v>
      </c>
      <c r="H1602" t="s">
        <v>1477</v>
      </c>
      <c r="I1602" t="s">
        <v>611</v>
      </c>
      <c r="J1602">
        <v>5</v>
      </c>
      <c r="K1602" t="s">
        <v>1163</v>
      </c>
      <c r="L1602">
        <v>685000</v>
      </c>
      <c r="M1602">
        <v>2.2200000000000002</v>
      </c>
      <c r="N1602">
        <v>18.886731700098469</v>
      </c>
      <c r="O1602" t="s">
        <v>592</v>
      </c>
      <c r="P1602" t="s">
        <v>593</v>
      </c>
      <c r="Q1602" t="s">
        <v>586</v>
      </c>
      <c r="R1602">
        <v>30000</v>
      </c>
      <c r="S1602" t="s">
        <v>652</v>
      </c>
      <c r="T1602">
        <v>72</v>
      </c>
    </row>
    <row r="1603" spans="1:20" x14ac:dyDescent="0.25">
      <c r="A1603" t="s">
        <v>2845</v>
      </c>
      <c r="B1603" t="s">
        <v>456</v>
      </c>
      <c r="C1603" t="s">
        <v>586</v>
      </c>
      <c r="D1603" t="s">
        <v>990</v>
      </c>
      <c r="E1603" t="s">
        <v>2842</v>
      </c>
      <c r="F1603">
        <v>4.3156169476408559</v>
      </c>
      <c r="G1603">
        <v>16.244473562470276</v>
      </c>
      <c r="H1603" t="s">
        <v>1477</v>
      </c>
      <c r="I1603" t="s">
        <v>611</v>
      </c>
      <c r="J1603">
        <v>5</v>
      </c>
      <c r="K1603" t="s">
        <v>722</v>
      </c>
      <c r="L1603">
        <v>3235000</v>
      </c>
      <c r="M1603">
        <v>2.31</v>
      </c>
      <c r="N1603">
        <v>16.244473562470276</v>
      </c>
      <c r="O1603" t="s">
        <v>592</v>
      </c>
      <c r="P1603" t="s">
        <v>593</v>
      </c>
      <c r="Q1603" t="s">
        <v>586</v>
      </c>
      <c r="R1603">
        <v>60000</v>
      </c>
      <c r="S1603" t="s">
        <v>652</v>
      </c>
      <c r="T1603">
        <v>67</v>
      </c>
    </row>
    <row r="1604" spans="1:20" x14ac:dyDescent="0.25">
      <c r="A1604" t="s">
        <v>2846</v>
      </c>
      <c r="B1604" t="s">
        <v>457</v>
      </c>
      <c r="C1604" t="s">
        <v>586</v>
      </c>
      <c r="D1604" t="s">
        <v>623</v>
      </c>
      <c r="E1604" t="s">
        <v>624</v>
      </c>
      <c r="F1604">
        <v>2.2146103249907072</v>
      </c>
      <c r="G1604">
        <v>33.326167123287661</v>
      </c>
      <c r="H1604" t="s">
        <v>2847</v>
      </c>
      <c r="I1604" t="s">
        <v>2848</v>
      </c>
      <c r="J1604">
        <v>4</v>
      </c>
      <c r="K1604" t="s">
        <v>972</v>
      </c>
      <c r="L1604">
        <v>375000</v>
      </c>
      <c r="M1604">
        <v>2.09</v>
      </c>
      <c r="N1604">
        <v>33.326167123287661</v>
      </c>
      <c r="O1604" t="s">
        <v>592</v>
      </c>
      <c r="P1604" t="s">
        <v>745</v>
      </c>
      <c r="Q1604" t="s">
        <v>586</v>
      </c>
      <c r="R1604" t="s">
        <v>712</v>
      </c>
      <c r="S1604" t="s">
        <v>712</v>
      </c>
      <c r="T1604">
        <v>79</v>
      </c>
    </row>
    <row r="1605" spans="1:20" x14ac:dyDescent="0.25">
      <c r="A1605" t="s">
        <v>2849</v>
      </c>
      <c r="B1605" t="s">
        <v>149</v>
      </c>
      <c r="C1605" t="s">
        <v>607</v>
      </c>
      <c r="D1605" t="s">
        <v>608</v>
      </c>
      <c r="E1605" t="s">
        <v>1142</v>
      </c>
      <c r="F1605">
        <v>1.0545376676444107</v>
      </c>
      <c r="G1605">
        <v>50.780167123287654</v>
      </c>
      <c r="H1605" t="s">
        <v>1033</v>
      </c>
      <c r="I1605" t="s">
        <v>885</v>
      </c>
      <c r="J1605">
        <v>2</v>
      </c>
      <c r="K1605" t="s">
        <v>612</v>
      </c>
      <c r="L1605">
        <v>300000</v>
      </c>
      <c r="M1605">
        <v>2</v>
      </c>
      <c r="N1605">
        <v>50.780167123287654</v>
      </c>
      <c r="O1605" t="s">
        <v>592</v>
      </c>
      <c r="P1605" t="s">
        <v>613</v>
      </c>
      <c r="Q1605" t="s">
        <v>586</v>
      </c>
      <c r="R1605" t="s">
        <v>712</v>
      </c>
      <c r="S1605" t="s">
        <v>614</v>
      </c>
      <c r="T1605">
        <v>83</v>
      </c>
    </row>
    <row r="1606" spans="1:20" x14ac:dyDescent="0.25">
      <c r="A1606" t="s">
        <v>2850</v>
      </c>
      <c r="B1606" t="s">
        <v>432</v>
      </c>
      <c r="C1606" t="s">
        <v>607</v>
      </c>
      <c r="D1606" t="s">
        <v>608</v>
      </c>
      <c r="E1606" t="s">
        <v>1142</v>
      </c>
      <c r="F1606">
        <v>1.0489864773367461</v>
      </c>
      <c r="G1606">
        <v>36.75573662901661</v>
      </c>
      <c r="H1606" t="s">
        <v>1041</v>
      </c>
      <c r="I1606" t="s">
        <v>820</v>
      </c>
      <c r="J1606">
        <v>3</v>
      </c>
      <c r="K1606" t="s">
        <v>612</v>
      </c>
      <c r="L1606">
        <v>310000</v>
      </c>
      <c r="M1606">
        <v>2.3000000000000003</v>
      </c>
      <c r="N1606">
        <v>36.75573662901661</v>
      </c>
      <c r="O1606" t="s">
        <v>592</v>
      </c>
      <c r="P1606" t="s">
        <v>613</v>
      </c>
      <c r="Q1606" t="s">
        <v>586</v>
      </c>
      <c r="R1606" t="s">
        <v>712</v>
      </c>
      <c r="S1606" t="s">
        <v>594</v>
      </c>
      <c r="T1606">
        <v>84</v>
      </c>
    </row>
    <row r="1607" spans="1:20" x14ac:dyDescent="0.25">
      <c r="A1607" t="s">
        <v>2851</v>
      </c>
      <c r="B1607" t="s">
        <v>163</v>
      </c>
      <c r="C1607" t="s">
        <v>607</v>
      </c>
      <c r="D1607" t="s">
        <v>608</v>
      </c>
      <c r="E1607" t="s">
        <v>1142</v>
      </c>
      <c r="F1607">
        <v>2.0099771977746932</v>
      </c>
      <c r="G1607">
        <v>24.735877859248912</v>
      </c>
      <c r="H1607" t="s">
        <v>672</v>
      </c>
      <c r="I1607" t="s">
        <v>611</v>
      </c>
      <c r="J1607">
        <v>2</v>
      </c>
      <c r="K1607" t="s">
        <v>956</v>
      </c>
      <c r="L1607">
        <v>275000</v>
      </c>
      <c r="M1607">
        <v>2.0499999999999998</v>
      </c>
      <c r="N1607">
        <v>24.735877859248912</v>
      </c>
      <c r="O1607" t="s">
        <v>592</v>
      </c>
      <c r="P1607" t="s">
        <v>613</v>
      </c>
      <c r="Q1607" t="s">
        <v>586</v>
      </c>
      <c r="R1607" t="s">
        <v>712</v>
      </c>
      <c r="S1607" t="s">
        <v>878</v>
      </c>
      <c r="T1607">
        <v>74</v>
      </c>
    </row>
    <row r="1608" spans="1:20" x14ac:dyDescent="0.25">
      <c r="A1608" t="s">
        <v>2852</v>
      </c>
      <c r="B1608" t="s">
        <v>433</v>
      </c>
      <c r="C1608" t="s">
        <v>607</v>
      </c>
      <c r="D1608" t="s">
        <v>608</v>
      </c>
      <c r="E1608" t="s">
        <v>1142</v>
      </c>
      <c r="F1608">
        <v>1.614764239157588</v>
      </c>
      <c r="G1608">
        <v>66.094000000000008</v>
      </c>
      <c r="H1608" t="s">
        <v>610</v>
      </c>
      <c r="I1608" t="s">
        <v>885</v>
      </c>
      <c r="J1608">
        <v>2.25</v>
      </c>
      <c r="K1608" t="s">
        <v>905</v>
      </c>
      <c r="L1608">
        <v>150000</v>
      </c>
      <c r="M1608">
        <v>2.25</v>
      </c>
      <c r="N1608">
        <v>66.094000000000008</v>
      </c>
      <c r="O1608" t="s">
        <v>592</v>
      </c>
      <c r="P1608" t="s">
        <v>613</v>
      </c>
      <c r="Q1608" t="s">
        <v>586</v>
      </c>
      <c r="R1608" t="s">
        <v>712</v>
      </c>
      <c r="S1608" t="s">
        <v>594</v>
      </c>
      <c r="T1608">
        <v>81</v>
      </c>
    </row>
    <row r="1609" spans="1:20" x14ac:dyDescent="0.25">
      <c r="A1609" t="s">
        <v>2853</v>
      </c>
      <c r="B1609" t="s">
        <v>434</v>
      </c>
      <c r="C1609" t="s">
        <v>607</v>
      </c>
      <c r="D1609" t="s">
        <v>608</v>
      </c>
      <c r="E1609" t="s">
        <v>1142</v>
      </c>
      <c r="F1609">
        <v>0.16353989033816269</v>
      </c>
      <c r="G1609">
        <v>41.356643835616438</v>
      </c>
      <c r="H1609" t="s">
        <v>610</v>
      </c>
      <c r="I1609" t="s">
        <v>1591</v>
      </c>
      <c r="J1609">
        <v>2</v>
      </c>
      <c r="K1609" t="s">
        <v>749</v>
      </c>
      <c r="L1609">
        <v>210000</v>
      </c>
      <c r="M1609">
        <v>1.85</v>
      </c>
      <c r="N1609">
        <v>41.356643835616438</v>
      </c>
      <c r="O1609" t="s">
        <v>592</v>
      </c>
      <c r="P1609" t="s">
        <v>613</v>
      </c>
      <c r="Q1609" t="s">
        <v>586</v>
      </c>
      <c r="R1609" t="s">
        <v>712</v>
      </c>
      <c r="S1609" t="s">
        <v>878</v>
      </c>
      <c r="T1609">
        <v>99</v>
      </c>
    </row>
    <row r="1610" spans="1:20" x14ac:dyDescent="0.25">
      <c r="A1610" t="s">
        <v>2854</v>
      </c>
      <c r="B1610" t="s">
        <v>434</v>
      </c>
      <c r="C1610" t="s">
        <v>607</v>
      </c>
      <c r="D1610" t="s">
        <v>608</v>
      </c>
      <c r="E1610" t="s">
        <v>1142</v>
      </c>
      <c r="F1610">
        <v>2.0865650865907734</v>
      </c>
      <c r="G1610">
        <v>48.290397260273956</v>
      </c>
      <c r="H1610" t="s">
        <v>610</v>
      </c>
      <c r="I1610" t="s">
        <v>1591</v>
      </c>
      <c r="J1610">
        <v>2.25</v>
      </c>
      <c r="K1610" t="s">
        <v>651</v>
      </c>
      <c r="L1610">
        <v>210000</v>
      </c>
      <c r="M1610">
        <v>2.15</v>
      </c>
      <c r="N1610">
        <v>48.290397260273956</v>
      </c>
      <c r="O1610" t="s">
        <v>592</v>
      </c>
      <c r="P1610" t="s">
        <v>613</v>
      </c>
      <c r="Q1610" t="s">
        <v>586</v>
      </c>
      <c r="R1610" t="s">
        <v>712</v>
      </c>
      <c r="S1610" t="s">
        <v>878</v>
      </c>
      <c r="T1610">
        <v>74</v>
      </c>
    </row>
    <row r="1611" spans="1:20" x14ac:dyDescent="0.25">
      <c r="A1611" t="s">
        <v>2855</v>
      </c>
      <c r="B1611" t="s">
        <v>435</v>
      </c>
      <c r="C1611" t="s">
        <v>607</v>
      </c>
      <c r="D1611" t="s">
        <v>608</v>
      </c>
      <c r="E1611" t="s">
        <v>1142</v>
      </c>
      <c r="F1611">
        <v>0.56421663089864382</v>
      </c>
      <c r="G1611">
        <v>53.522275679109988</v>
      </c>
      <c r="H1611" t="s">
        <v>1143</v>
      </c>
      <c r="I1611" t="s">
        <v>611</v>
      </c>
      <c r="J1611">
        <v>5</v>
      </c>
      <c r="K1611" t="s">
        <v>744</v>
      </c>
      <c r="L1611">
        <v>40000</v>
      </c>
      <c r="M1611">
        <v>1.75</v>
      </c>
      <c r="N1611">
        <v>53.522275679109988</v>
      </c>
      <c r="O1611" t="s">
        <v>592</v>
      </c>
      <c r="P1611" t="s">
        <v>613</v>
      </c>
      <c r="Q1611" t="s">
        <v>586</v>
      </c>
      <c r="R1611" t="s">
        <v>712</v>
      </c>
      <c r="S1611" t="s">
        <v>878</v>
      </c>
      <c r="T1611">
        <v>90</v>
      </c>
    </row>
    <row r="1612" spans="1:20" x14ac:dyDescent="0.25">
      <c r="A1612" t="s">
        <v>2856</v>
      </c>
      <c r="B1612" t="s">
        <v>436</v>
      </c>
      <c r="C1612" t="s">
        <v>586</v>
      </c>
      <c r="D1612" t="s">
        <v>587</v>
      </c>
      <c r="E1612" t="s">
        <v>1245</v>
      </c>
      <c r="F1612">
        <v>8.0444364079900604E-2</v>
      </c>
      <c r="G1612">
        <v>63.868772602739732</v>
      </c>
      <c r="H1612" t="s">
        <v>1792</v>
      </c>
      <c r="I1612" t="s">
        <v>2756</v>
      </c>
      <c r="J1612">
        <v>2</v>
      </c>
      <c r="K1612" t="s">
        <v>950</v>
      </c>
      <c r="L1612">
        <v>110000</v>
      </c>
      <c r="M1612">
        <v>2</v>
      </c>
      <c r="N1612">
        <v>63.868772602739732</v>
      </c>
      <c r="O1612" t="s">
        <v>592</v>
      </c>
      <c r="P1612" t="s">
        <v>593</v>
      </c>
      <c r="Q1612" t="s">
        <v>586</v>
      </c>
      <c r="R1612" t="s">
        <v>712</v>
      </c>
      <c r="S1612" t="s">
        <v>712</v>
      </c>
      <c r="T1612">
        <v>83</v>
      </c>
    </row>
    <row r="1613" spans="1:20" x14ac:dyDescent="0.25">
      <c r="A1613" t="s">
        <v>2857</v>
      </c>
      <c r="B1613" t="s">
        <v>436</v>
      </c>
      <c r="C1613" t="s">
        <v>586</v>
      </c>
      <c r="D1613" t="s">
        <v>587</v>
      </c>
      <c r="E1613" t="s">
        <v>1245</v>
      </c>
      <c r="F1613">
        <v>1.9612129545077124</v>
      </c>
      <c r="G1613">
        <v>78.214767123287672</v>
      </c>
      <c r="H1613" t="s">
        <v>1792</v>
      </c>
      <c r="I1613" t="s">
        <v>2756</v>
      </c>
      <c r="J1613">
        <v>4</v>
      </c>
      <c r="K1613" t="s">
        <v>956</v>
      </c>
      <c r="L1613">
        <v>115000</v>
      </c>
      <c r="M1613">
        <v>2.41</v>
      </c>
      <c r="N1613">
        <v>78.214767123287672</v>
      </c>
      <c r="O1613" t="s">
        <v>592</v>
      </c>
      <c r="P1613" t="s">
        <v>593</v>
      </c>
      <c r="Q1613" t="s">
        <v>586</v>
      </c>
      <c r="R1613" t="s">
        <v>712</v>
      </c>
      <c r="S1613" t="s">
        <v>712</v>
      </c>
      <c r="T1613">
        <v>21</v>
      </c>
    </row>
    <row r="1614" spans="1:20" x14ac:dyDescent="0.25">
      <c r="A1614" t="s">
        <v>2858</v>
      </c>
      <c r="B1614" t="s">
        <v>437</v>
      </c>
      <c r="C1614" t="s">
        <v>607</v>
      </c>
      <c r="D1614" t="s">
        <v>642</v>
      </c>
      <c r="E1614" t="s">
        <v>2758</v>
      </c>
      <c r="F1614">
        <v>1.2846156639603605</v>
      </c>
      <c r="G1614">
        <v>46.846189901401701</v>
      </c>
      <c r="H1614" t="s">
        <v>869</v>
      </c>
      <c r="I1614" t="s">
        <v>661</v>
      </c>
      <c r="J1614">
        <v>5</v>
      </c>
      <c r="K1614" t="s">
        <v>758</v>
      </c>
      <c r="L1614">
        <v>425000</v>
      </c>
      <c r="M1614">
        <v>1.9000000000000001</v>
      </c>
      <c r="N1614">
        <v>46.846189901401701</v>
      </c>
      <c r="O1614" t="s">
        <v>592</v>
      </c>
      <c r="P1614" t="s">
        <v>627</v>
      </c>
      <c r="Q1614" t="s">
        <v>586</v>
      </c>
      <c r="R1614" t="s">
        <v>712</v>
      </c>
      <c r="S1614" t="s">
        <v>712</v>
      </c>
      <c r="T1614">
        <v>90</v>
      </c>
    </row>
    <row r="1615" spans="1:20" x14ac:dyDescent="0.25">
      <c r="A1615" t="s">
        <v>2859</v>
      </c>
      <c r="B1615" t="s">
        <v>437</v>
      </c>
      <c r="C1615" t="s">
        <v>607</v>
      </c>
      <c r="D1615" t="s">
        <v>642</v>
      </c>
      <c r="E1615" t="s">
        <v>2758</v>
      </c>
      <c r="F1615">
        <v>3.067893225971229</v>
      </c>
      <c r="G1615">
        <v>48.119940869767895</v>
      </c>
      <c r="H1615" t="s">
        <v>869</v>
      </c>
      <c r="I1615" t="s">
        <v>661</v>
      </c>
      <c r="J1615">
        <v>5</v>
      </c>
      <c r="K1615" t="s">
        <v>938</v>
      </c>
      <c r="L1615">
        <v>470000</v>
      </c>
      <c r="M1615">
        <v>2.2000000000000002</v>
      </c>
      <c r="N1615">
        <v>48.119940869767895</v>
      </c>
      <c r="O1615" t="s">
        <v>592</v>
      </c>
      <c r="P1615" t="s">
        <v>627</v>
      </c>
      <c r="Q1615" t="s">
        <v>586</v>
      </c>
      <c r="R1615" t="s">
        <v>712</v>
      </c>
      <c r="S1615" t="s">
        <v>712</v>
      </c>
      <c r="T1615">
        <v>71</v>
      </c>
    </row>
    <row r="1616" spans="1:20" x14ac:dyDescent="0.25">
      <c r="A1616" t="s">
        <v>2860</v>
      </c>
      <c r="B1616" t="s">
        <v>438</v>
      </c>
      <c r="C1616" t="s">
        <v>607</v>
      </c>
      <c r="D1616" t="s">
        <v>608</v>
      </c>
      <c r="E1616" t="s">
        <v>1321</v>
      </c>
      <c r="F1616">
        <v>0.64986458621156351</v>
      </c>
      <c r="G1616">
        <v>39.874397260273973</v>
      </c>
      <c r="H1616" t="s">
        <v>610</v>
      </c>
      <c r="I1616" t="s">
        <v>611</v>
      </c>
      <c r="J1616">
        <v>4</v>
      </c>
      <c r="K1616" t="s">
        <v>787</v>
      </c>
      <c r="L1616">
        <v>575000</v>
      </c>
      <c r="M1616">
        <v>1.9000000000000001</v>
      </c>
      <c r="N1616">
        <v>39.874397260273973</v>
      </c>
      <c r="O1616" t="s">
        <v>592</v>
      </c>
      <c r="P1616" t="s">
        <v>621</v>
      </c>
      <c r="Q1616" t="s">
        <v>586</v>
      </c>
      <c r="R1616" t="s">
        <v>712</v>
      </c>
      <c r="S1616" t="s">
        <v>878</v>
      </c>
      <c r="T1616">
        <v>95</v>
      </c>
    </row>
    <row r="1617" spans="1:20" x14ac:dyDescent="0.25">
      <c r="A1617" t="s">
        <v>2861</v>
      </c>
      <c r="B1617" t="s">
        <v>439</v>
      </c>
      <c r="C1617" t="s">
        <v>586</v>
      </c>
      <c r="D1617" t="s">
        <v>608</v>
      </c>
      <c r="E1617" t="s">
        <v>1142</v>
      </c>
      <c r="F1617">
        <v>1.0477482866223664</v>
      </c>
      <c r="G1617">
        <v>110.26678082191783</v>
      </c>
      <c r="H1617" t="s">
        <v>1045</v>
      </c>
      <c r="I1617" t="s">
        <v>611</v>
      </c>
      <c r="J1617">
        <v>3</v>
      </c>
      <c r="K1617" t="s">
        <v>612</v>
      </c>
      <c r="L1617">
        <v>180000</v>
      </c>
      <c r="M1617">
        <v>2.6</v>
      </c>
      <c r="N1617">
        <v>110.26678082191783</v>
      </c>
      <c r="O1617" t="s">
        <v>592</v>
      </c>
      <c r="P1617" t="s">
        <v>613</v>
      </c>
      <c r="Q1617" t="s">
        <v>586</v>
      </c>
      <c r="R1617" t="s">
        <v>712</v>
      </c>
      <c r="S1617" t="s">
        <v>712</v>
      </c>
      <c r="T1617">
        <v>85</v>
      </c>
    </row>
    <row r="1618" spans="1:20" x14ac:dyDescent="0.25">
      <c r="A1618" t="s">
        <v>2862</v>
      </c>
      <c r="B1618" t="s">
        <v>440</v>
      </c>
      <c r="C1618" t="s">
        <v>586</v>
      </c>
      <c r="D1618" t="s">
        <v>608</v>
      </c>
      <c r="E1618" t="s">
        <v>756</v>
      </c>
      <c r="F1618">
        <v>8.0460773930264462E-2</v>
      </c>
      <c r="G1618">
        <v>119.86417241817642</v>
      </c>
      <c r="H1618" t="s">
        <v>1045</v>
      </c>
      <c r="I1618" t="s">
        <v>1709</v>
      </c>
      <c r="J1618">
        <v>2.75</v>
      </c>
      <c r="K1618" t="s">
        <v>950</v>
      </c>
      <c r="L1618">
        <v>65000</v>
      </c>
      <c r="M1618">
        <v>2.4000000000000004</v>
      </c>
      <c r="N1618">
        <v>119.86417241817642</v>
      </c>
      <c r="O1618" t="s">
        <v>592</v>
      </c>
      <c r="P1618" t="s">
        <v>613</v>
      </c>
      <c r="Q1618" t="s">
        <v>586</v>
      </c>
      <c r="R1618" t="s">
        <v>712</v>
      </c>
      <c r="S1618" t="s">
        <v>712</v>
      </c>
      <c r="T1618">
        <v>94</v>
      </c>
    </row>
    <row r="1619" spans="1:20" x14ac:dyDescent="0.25">
      <c r="A1619" t="s">
        <v>2863</v>
      </c>
      <c r="B1619" t="s">
        <v>138</v>
      </c>
      <c r="C1619" t="s">
        <v>586</v>
      </c>
      <c r="D1619" t="s">
        <v>1124</v>
      </c>
      <c r="E1619" t="s">
        <v>1154</v>
      </c>
      <c r="F1619">
        <v>1.3053155127220819</v>
      </c>
      <c r="G1619">
        <v>14.079207690985807</v>
      </c>
      <c r="H1619" t="s">
        <v>1064</v>
      </c>
      <c r="I1619" t="s">
        <v>721</v>
      </c>
      <c r="J1619">
        <v>2</v>
      </c>
      <c r="K1619" t="s">
        <v>758</v>
      </c>
      <c r="L1619">
        <v>255000</v>
      </c>
      <c r="M1619">
        <v>1.55</v>
      </c>
      <c r="N1619">
        <v>14.079207690985807</v>
      </c>
      <c r="O1619" t="s">
        <v>592</v>
      </c>
      <c r="P1619" t="s">
        <v>711</v>
      </c>
      <c r="Q1619" t="s">
        <v>586</v>
      </c>
      <c r="R1619" t="s">
        <v>712</v>
      </c>
      <c r="S1619" t="s">
        <v>712</v>
      </c>
      <c r="T1619">
        <v>81</v>
      </c>
    </row>
    <row r="1620" spans="1:20" x14ac:dyDescent="0.25">
      <c r="A1620" t="s">
        <v>2864</v>
      </c>
      <c r="B1620" t="s">
        <v>138</v>
      </c>
      <c r="C1620" t="s">
        <v>586</v>
      </c>
      <c r="D1620" t="s">
        <v>1124</v>
      </c>
      <c r="E1620" t="s">
        <v>1154</v>
      </c>
      <c r="F1620">
        <v>0.32947941393962299</v>
      </c>
      <c r="G1620">
        <v>14.066186614603083</v>
      </c>
      <c r="H1620" t="s">
        <v>1064</v>
      </c>
      <c r="I1620" t="s">
        <v>721</v>
      </c>
      <c r="J1620">
        <v>2</v>
      </c>
      <c r="K1620" t="s">
        <v>710</v>
      </c>
      <c r="L1620">
        <v>245000</v>
      </c>
      <c r="M1620">
        <v>1.4000000000000001</v>
      </c>
      <c r="N1620">
        <v>14.066186614603083</v>
      </c>
      <c r="O1620" t="s">
        <v>592</v>
      </c>
      <c r="P1620" t="s">
        <v>711</v>
      </c>
      <c r="Q1620" t="s">
        <v>586</v>
      </c>
      <c r="R1620" t="s">
        <v>712</v>
      </c>
      <c r="S1620" t="s">
        <v>712</v>
      </c>
      <c r="T1620">
        <v>94</v>
      </c>
    </row>
    <row r="1621" spans="1:20" x14ac:dyDescent="0.25">
      <c r="A1621" t="s">
        <v>2865</v>
      </c>
      <c r="B1621" t="s">
        <v>138</v>
      </c>
      <c r="C1621" t="s">
        <v>586</v>
      </c>
      <c r="D1621" t="s">
        <v>1124</v>
      </c>
      <c r="E1621" t="s">
        <v>1154</v>
      </c>
      <c r="F1621">
        <v>2.2612055283549184</v>
      </c>
      <c r="G1621">
        <v>13.930832963159002</v>
      </c>
      <c r="H1621" t="s">
        <v>1064</v>
      </c>
      <c r="I1621" t="s">
        <v>721</v>
      </c>
      <c r="J1621">
        <v>2</v>
      </c>
      <c r="K1621" t="s">
        <v>972</v>
      </c>
      <c r="L1621">
        <v>260000</v>
      </c>
      <c r="M1621">
        <v>1.7000000000000002</v>
      </c>
      <c r="N1621">
        <v>13.930832963159002</v>
      </c>
      <c r="O1621" t="s">
        <v>592</v>
      </c>
      <c r="P1621" t="s">
        <v>711</v>
      </c>
      <c r="Q1621" t="s">
        <v>586</v>
      </c>
      <c r="R1621" t="s">
        <v>712</v>
      </c>
      <c r="S1621" t="s">
        <v>712</v>
      </c>
      <c r="T1621">
        <v>70</v>
      </c>
    </row>
    <row r="1622" spans="1:20" x14ac:dyDescent="0.25">
      <c r="A1622" t="s">
        <v>2866</v>
      </c>
      <c r="B1622" t="s">
        <v>430</v>
      </c>
      <c r="C1622" t="s">
        <v>586</v>
      </c>
      <c r="D1622" t="s">
        <v>805</v>
      </c>
      <c r="E1622" t="s">
        <v>1104</v>
      </c>
      <c r="F1622">
        <v>2.5258298235186789</v>
      </c>
      <c r="G1622">
        <v>3.2930385991886579</v>
      </c>
      <c r="H1622" t="s">
        <v>1271</v>
      </c>
      <c r="I1622" t="s">
        <v>2731</v>
      </c>
      <c r="J1622">
        <v>2</v>
      </c>
      <c r="K1622" t="s">
        <v>1055</v>
      </c>
      <c r="L1622">
        <v>180000</v>
      </c>
      <c r="M1622">
        <v>1.8900000000000001</v>
      </c>
      <c r="N1622">
        <v>3.2930385991886579</v>
      </c>
      <c r="O1622" t="s">
        <v>592</v>
      </c>
      <c r="P1622" t="s">
        <v>711</v>
      </c>
      <c r="Q1622" t="s">
        <v>586</v>
      </c>
      <c r="R1622" t="s">
        <v>712</v>
      </c>
      <c r="S1622" t="s">
        <v>712</v>
      </c>
      <c r="T1622">
        <v>73</v>
      </c>
    </row>
    <row r="1623" spans="1:20" x14ac:dyDescent="0.25">
      <c r="A1623" t="s">
        <v>2867</v>
      </c>
      <c r="B1623" t="s">
        <v>430</v>
      </c>
      <c r="C1623" t="s">
        <v>586</v>
      </c>
      <c r="D1623" t="s">
        <v>805</v>
      </c>
      <c r="E1623" t="s">
        <v>1104</v>
      </c>
      <c r="F1623">
        <v>3.3951102228025887</v>
      </c>
      <c r="G1623">
        <v>4.6682226389447301</v>
      </c>
      <c r="H1623" t="s">
        <v>1271</v>
      </c>
      <c r="I1623" t="s">
        <v>2731</v>
      </c>
      <c r="J1623">
        <v>3</v>
      </c>
      <c r="K1623" t="s">
        <v>762</v>
      </c>
      <c r="L1623">
        <v>180000</v>
      </c>
      <c r="M1623">
        <v>2.0499999999999998</v>
      </c>
      <c r="N1623">
        <v>4.6682226389447301</v>
      </c>
      <c r="O1623" t="s">
        <v>592</v>
      </c>
      <c r="P1623" t="s">
        <v>711</v>
      </c>
      <c r="Q1623" t="s">
        <v>586</v>
      </c>
      <c r="R1623" t="s">
        <v>712</v>
      </c>
      <c r="S1623" t="s">
        <v>712</v>
      </c>
      <c r="T1623">
        <v>73</v>
      </c>
    </row>
    <row r="1624" spans="1:20" x14ac:dyDescent="0.25">
      <c r="A1624" t="s">
        <v>2868</v>
      </c>
      <c r="B1624" t="s">
        <v>430</v>
      </c>
      <c r="C1624" t="s">
        <v>586</v>
      </c>
      <c r="D1624" t="s">
        <v>805</v>
      </c>
      <c r="E1624" t="s">
        <v>1104</v>
      </c>
      <c r="F1624">
        <v>4.2717765409737032</v>
      </c>
      <c r="G1624">
        <v>2.7839752977908194</v>
      </c>
      <c r="H1624" t="s">
        <v>1271</v>
      </c>
      <c r="I1624" t="s">
        <v>2731</v>
      </c>
      <c r="J1624">
        <v>3</v>
      </c>
      <c r="K1624" t="s">
        <v>1240</v>
      </c>
      <c r="L1624">
        <v>180000</v>
      </c>
      <c r="M1624">
        <v>2.15</v>
      </c>
      <c r="N1624">
        <v>2.7839752977908194</v>
      </c>
      <c r="O1624" t="s">
        <v>592</v>
      </c>
      <c r="P1624" t="s">
        <v>711</v>
      </c>
      <c r="Q1624" t="s">
        <v>586</v>
      </c>
      <c r="R1624" t="s">
        <v>712</v>
      </c>
      <c r="S1624" t="s">
        <v>712</v>
      </c>
      <c r="T1624">
        <v>65</v>
      </c>
    </row>
    <row r="1625" spans="1:20" x14ac:dyDescent="0.25">
      <c r="A1625" t="s">
        <v>2869</v>
      </c>
      <c r="B1625" t="s">
        <v>458</v>
      </c>
      <c r="C1625" t="s">
        <v>586</v>
      </c>
      <c r="D1625" t="s">
        <v>1523</v>
      </c>
      <c r="E1625" t="s">
        <v>2870</v>
      </c>
      <c r="F1625">
        <v>1.2931226061096521</v>
      </c>
      <c r="G1625">
        <v>10.362537793729466</v>
      </c>
      <c r="H1625" t="s">
        <v>709</v>
      </c>
      <c r="I1625" t="s">
        <v>661</v>
      </c>
      <c r="J1625">
        <v>4</v>
      </c>
      <c r="K1625" t="s">
        <v>758</v>
      </c>
      <c r="L1625">
        <v>1000000</v>
      </c>
      <c r="M1625">
        <v>1.44</v>
      </c>
      <c r="N1625">
        <v>10.362537793729466</v>
      </c>
      <c r="O1625" t="s">
        <v>592</v>
      </c>
      <c r="P1625" t="s">
        <v>593</v>
      </c>
      <c r="Q1625" t="s">
        <v>586</v>
      </c>
      <c r="R1625">
        <v>60000</v>
      </c>
      <c r="S1625" t="s">
        <v>652</v>
      </c>
      <c r="T1625">
        <v>83</v>
      </c>
    </row>
    <row r="1626" spans="1:20" x14ac:dyDescent="0.25">
      <c r="A1626" t="s">
        <v>2871</v>
      </c>
      <c r="B1626" t="s">
        <v>458</v>
      </c>
      <c r="C1626" t="s">
        <v>586</v>
      </c>
      <c r="D1626" t="s">
        <v>1523</v>
      </c>
      <c r="E1626" t="s">
        <v>2870</v>
      </c>
      <c r="F1626">
        <v>3.0747695805209871</v>
      </c>
      <c r="G1626">
        <v>18.197442907104765</v>
      </c>
      <c r="H1626" t="s">
        <v>709</v>
      </c>
      <c r="I1626" t="s">
        <v>661</v>
      </c>
      <c r="J1626">
        <v>5</v>
      </c>
      <c r="K1626" t="s">
        <v>938</v>
      </c>
      <c r="L1626">
        <v>1080000</v>
      </c>
      <c r="M1626">
        <v>1.81</v>
      </c>
      <c r="N1626">
        <v>18.197442907104765</v>
      </c>
      <c r="O1626" t="s">
        <v>592</v>
      </c>
      <c r="P1626" t="s">
        <v>593</v>
      </c>
      <c r="Q1626" t="s">
        <v>586</v>
      </c>
      <c r="R1626">
        <v>10000</v>
      </c>
      <c r="S1626" t="s">
        <v>652</v>
      </c>
      <c r="T1626">
        <v>71</v>
      </c>
    </row>
    <row r="1627" spans="1:20" x14ac:dyDescent="0.25">
      <c r="A1627" t="s">
        <v>2872</v>
      </c>
      <c r="B1627" t="s">
        <v>458</v>
      </c>
      <c r="C1627" t="s">
        <v>586</v>
      </c>
      <c r="D1627" t="s">
        <v>1523</v>
      </c>
      <c r="E1627" t="s">
        <v>2870</v>
      </c>
      <c r="F1627">
        <v>3.9138571685754542</v>
      </c>
      <c r="G1627">
        <v>19.617440204312153</v>
      </c>
      <c r="H1627" t="s">
        <v>709</v>
      </c>
      <c r="I1627" t="s">
        <v>661</v>
      </c>
      <c r="J1627">
        <v>5</v>
      </c>
      <c r="K1627" t="s">
        <v>1085</v>
      </c>
      <c r="L1627">
        <v>1135000</v>
      </c>
      <c r="M1627">
        <v>1.95</v>
      </c>
      <c r="N1627">
        <v>19.617440204312153</v>
      </c>
      <c r="O1627" t="s">
        <v>592</v>
      </c>
      <c r="P1627" t="s">
        <v>593</v>
      </c>
      <c r="Q1627" t="s">
        <v>586</v>
      </c>
      <c r="R1627" t="s">
        <v>712</v>
      </c>
      <c r="S1627" t="s">
        <v>652</v>
      </c>
      <c r="T1627">
        <v>68</v>
      </c>
    </row>
    <row r="1628" spans="1:20" x14ac:dyDescent="0.25">
      <c r="A1628" t="s">
        <v>2873</v>
      </c>
      <c r="B1628" t="s">
        <v>458</v>
      </c>
      <c r="C1628" t="s">
        <v>586</v>
      </c>
      <c r="D1628" t="s">
        <v>1523</v>
      </c>
      <c r="E1628" t="s">
        <v>2870</v>
      </c>
      <c r="F1628">
        <v>4.7199095444758505</v>
      </c>
      <c r="G1628">
        <v>20.954739241491382</v>
      </c>
      <c r="H1628" t="s">
        <v>709</v>
      </c>
      <c r="I1628" t="s">
        <v>661</v>
      </c>
      <c r="J1628">
        <v>5</v>
      </c>
      <c r="K1628" t="s">
        <v>933</v>
      </c>
      <c r="L1628">
        <v>1190000</v>
      </c>
      <c r="M1628">
        <v>2.0699999999999998</v>
      </c>
      <c r="N1628">
        <v>20.954739241491382</v>
      </c>
      <c r="O1628" t="s">
        <v>592</v>
      </c>
      <c r="P1628" t="s">
        <v>593</v>
      </c>
      <c r="Q1628" t="s">
        <v>586</v>
      </c>
      <c r="R1628" t="s">
        <v>712</v>
      </c>
      <c r="S1628" t="s">
        <v>652</v>
      </c>
      <c r="T1628">
        <v>59</v>
      </c>
    </row>
    <row r="1629" spans="1:20" x14ac:dyDescent="0.25">
      <c r="A1629" t="s">
        <v>2874</v>
      </c>
      <c r="B1629" t="s">
        <v>164</v>
      </c>
      <c r="C1629" t="s">
        <v>586</v>
      </c>
      <c r="D1629" t="s">
        <v>587</v>
      </c>
      <c r="E1629" t="s">
        <v>1245</v>
      </c>
      <c r="F1629">
        <v>1.0406113690621075</v>
      </c>
      <c r="G1629">
        <v>72.471879737875767</v>
      </c>
      <c r="H1629" t="s">
        <v>1246</v>
      </c>
      <c r="I1629" t="s">
        <v>1247</v>
      </c>
      <c r="J1629">
        <v>4</v>
      </c>
      <c r="K1629" t="s">
        <v>612</v>
      </c>
      <c r="L1629">
        <v>80000</v>
      </c>
      <c r="M1629">
        <v>2.0300000000000002</v>
      </c>
      <c r="N1629">
        <v>72.471879737875767</v>
      </c>
      <c r="O1629" t="s">
        <v>592</v>
      </c>
      <c r="P1629" t="s">
        <v>593</v>
      </c>
      <c r="Q1629" t="s">
        <v>586</v>
      </c>
      <c r="R1629" t="s">
        <v>712</v>
      </c>
      <c r="S1629" t="s">
        <v>712</v>
      </c>
      <c r="T1629">
        <v>59</v>
      </c>
    </row>
    <row r="1630" spans="1:20" x14ac:dyDescent="0.25">
      <c r="A1630" t="s">
        <v>2875</v>
      </c>
      <c r="B1630" t="s">
        <v>164</v>
      </c>
      <c r="C1630" t="s">
        <v>586</v>
      </c>
      <c r="D1630" t="s">
        <v>587</v>
      </c>
      <c r="E1630" t="s">
        <v>1245</v>
      </c>
      <c r="F1630">
        <v>1.9631168291103591</v>
      </c>
      <c r="G1630">
        <v>83.304676697771811</v>
      </c>
      <c r="H1630" t="s">
        <v>1246</v>
      </c>
      <c r="I1630" t="s">
        <v>1247</v>
      </c>
      <c r="J1630">
        <v>4</v>
      </c>
      <c r="K1630" t="s">
        <v>956</v>
      </c>
      <c r="L1630">
        <v>90000</v>
      </c>
      <c r="M1630">
        <v>2.29</v>
      </c>
      <c r="N1630">
        <v>83.304676697771811</v>
      </c>
      <c r="O1630" t="s">
        <v>592</v>
      </c>
      <c r="P1630" t="s">
        <v>593</v>
      </c>
      <c r="Q1630" t="s">
        <v>586</v>
      </c>
      <c r="R1630" t="s">
        <v>712</v>
      </c>
      <c r="S1630" t="s">
        <v>712</v>
      </c>
      <c r="T1630">
        <v>38</v>
      </c>
    </row>
    <row r="1631" spans="1:20" x14ac:dyDescent="0.25">
      <c r="A1631" t="s">
        <v>2876</v>
      </c>
      <c r="B1631" t="s">
        <v>164</v>
      </c>
      <c r="C1631" t="s">
        <v>586</v>
      </c>
      <c r="D1631" t="s">
        <v>587</v>
      </c>
      <c r="E1631" t="s">
        <v>1245</v>
      </c>
      <c r="F1631">
        <v>8.0455570076264041E-2</v>
      </c>
      <c r="G1631">
        <v>53.063002739726016</v>
      </c>
      <c r="H1631" t="s">
        <v>2235</v>
      </c>
      <c r="I1631" t="s">
        <v>2756</v>
      </c>
      <c r="J1631">
        <v>2</v>
      </c>
      <c r="K1631" t="s">
        <v>950</v>
      </c>
      <c r="L1631">
        <v>65000</v>
      </c>
      <c r="M1631">
        <v>1.95</v>
      </c>
      <c r="N1631">
        <v>53.063002739726016</v>
      </c>
      <c r="O1631" t="s">
        <v>592</v>
      </c>
      <c r="P1631" t="s">
        <v>593</v>
      </c>
      <c r="Q1631" t="s">
        <v>586</v>
      </c>
      <c r="R1631" t="s">
        <v>712</v>
      </c>
      <c r="S1631" t="s">
        <v>712</v>
      </c>
      <c r="T1631">
        <v>89</v>
      </c>
    </row>
    <row r="1632" spans="1:20" x14ac:dyDescent="0.25">
      <c r="A1632" t="s">
        <v>2877</v>
      </c>
      <c r="B1632" t="s">
        <v>164</v>
      </c>
      <c r="C1632" t="s">
        <v>586</v>
      </c>
      <c r="D1632" t="s">
        <v>587</v>
      </c>
      <c r="E1632" t="s">
        <v>1245</v>
      </c>
      <c r="F1632">
        <v>1.0544374186837437</v>
      </c>
      <c r="G1632">
        <v>62.118186301369846</v>
      </c>
      <c r="H1632" t="s">
        <v>2235</v>
      </c>
      <c r="I1632" t="s">
        <v>2756</v>
      </c>
      <c r="J1632">
        <v>2</v>
      </c>
      <c r="K1632" t="s">
        <v>612</v>
      </c>
      <c r="L1632">
        <v>65000</v>
      </c>
      <c r="M1632">
        <v>2.15</v>
      </c>
      <c r="N1632">
        <v>62.118186301369846</v>
      </c>
      <c r="O1632" t="s">
        <v>592</v>
      </c>
      <c r="P1632" t="s">
        <v>593</v>
      </c>
      <c r="Q1632" t="s">
        <v>586</v>
      </c>
      <c r="R1632" t="s">
        <v>712</v>
      </c>
      <c r="S1632" t="s">
        <v>712</v>
      </c>
      <c r="T1632">
        <v>51</v>
      </c>
    </row>
    <row r="1633" spans="1:20" x14ac:dyDescent="0.25">
      <c r="A1633" t="s">
        <v>2878</v>
      </c>
      <c r="B1633" t="s">
        <v>117</v>
      </c>
      <c r="C1633" t="s">
        <v>607</v>
      </c>
      <c r="D1633" t="s">
        <v>741</v>
      </c>
      <c r="E1633" t="s">
        <v>1079</v>
      </c>
      <c r="F1633">
        <v>1.1316481356517063</v>
      </c>
      <c r="G1633">
        <v>18.646819935208715</v>
      </c>
      <c r="H1633" t="s">
        <v>767</v>
      </c>
      <c r="I1633" t="s">
        <v>937</v>
      </c>
      <c r="J1633">
        <v>3</v>
      </c>
      <c r="K1633" t="s">
        <v>598</v>
      </c>
      <c r="L1633">
        <v>175000</v>
      </c>
      <c r="M1633">
        <v>1.8</v>
      </c>
      <c r="N1633">
        <v>18.646819935208715</v>
      </c>
      <c r="O1633" t="s">
        <v>592</v>
      </c>
      <c r="P1633" t="s">
        <v>745</v>
      </c>
      <c r="Q1633" t="s">
        <v>586</v>
      </c>
      <c r="R1633" t="s">
        <v>712</v>
      </c>
      <c r="S1633" t="s">
        <v>712</v>
      </c>
      <c r="T1633">
        <v>82</v>
      </c>
    </row>
    <row r="1634" spans="1:20" x14ac:dyDescent="0.25">
      <c r="A1634" t="s">
        <v>2879</v>
      </c>
      <c r="B1634" t="s">
        <v>117</v>
      </c>
      <c r="C1634" t="s">
        <v>607</v>
      </c>
      <c r="D1634" t="s">
        <v>741</v>
      </c>
      <c r="E1634" t="s">
        <v>1079</v>
      </c>
      <c r="F1634">
        <v>2.9826419153974899</v>
      </c>
      <c r="G1634">
        <v>17.195790668084896</v>
      </c>
      <c r="H1634" t="s">
        <v>767</v>
      </c>
      <c r="I1634" t="s">
        <v>937</v>
      </c>
      <c r="J1634">
        <v>3</v>
      </c>
      <c r="K1634" t="s">
        <v>727</v>
      </c>
      <c r="L1634">
        <v>180000</v>
      </c>
      <c r="M1634">
        <v>2.1</v>
      </c>
      <c r="N1634">
        <v>17.195790668084896</v>
      </c>
      <c r="O1634" t="s">
        <v>592</v>
      </c>
      <c r="P1634" t="s">
        <v>745</v>
      </c>
      <c r="Q1634" t="s">
        <v>586</v>
      </c>
      <c r="R1634" t="s">
        <v>712</v>
      </c>
      <c r="S1634" t="s">
        <v>712</v>
      </c>
      <c r="T1634">
        <v>62</v>
      </c>
    </row>
    <row r="1635" spans="1:20" x14ac:dyDescent="0.25">
      <c r="A1635" t="s">
        <v>2880</v>
      </c>
      <c r="B1635" t="s">
        <v>459</v>
      </c>
      <c r="C1635" t="s">
        <v>586</v>
      </c>
      <c r="D1635" t="s">
        <v>666</v>
      </c>
      <c r="E1635" t="s">
        <v>667</v>
      </c>
      <c r="F1635">
        <v>1.4974630546017484</v>
      </c>
      <c r="G1635">
        <v>37.838153424657527</v>
      </c>
      <c r="H1635" t="s">
        <v>1797</v>
      </c>
      <c r="I1635" t="s">
        <v>1382</v>
      </c>
      <c r="J1635">
        <v>5</v>
      </c>
      <c r="K1635" t="s">
        <v>634</v>
      </c>
      <c r="L1635">
        <v>345000</v>
      </c>
      <c r="M1635">
        <v>2.13</v>
      </c>
      <c r="N1635">
        <v>37.838153424657527</v>
      </c>
      <c r="O1635" t="s">
        <v>592</v>
      </c>
      <c r="P1635" t="s">
        <v>593</v>
      </c>
      <c r="Q1635" t="s">
        <v>586</v>
      </c>
      <c r="R1635">
        <v>30000</v>
      </c>
      <c r="S1635" t="s">
        <v>878</v>
      </c>
      <c r="T1635">
        <v>81</v>
      </c>
    </row>
    <row r="1636" spans="1:20" x14ac:dyDescent="0.25">
      <c r="A1636" t="s">
        <v>2881</v>
      </c>
      <c r="B1636" t="s">
        <v>459</v>
      </c>
      <c r="C1636" t="s">
        <v>586</v>
      </c>
      <c r="D1636" t="s">
        <v>666</v>
      </c>
      <c r="E1636" t="s">
        <v>667</v>
      </c>
      <c r="F1636">
        <v>4.0586791654655805</v>
      </c>
      <c r="G1636">
        <v>37.869079452054777</v>
      </c>
      <c r="H1636" t="s">
        <v>1797</v>
      </c>
      <c r="I1636" t="s">
        <v>1382</v>
      </c>
      <c r="J1636">
        <v>5</v>
      </c>
      <c r="K1636" t="s">
        <v>1133</v>
      </c>
      <c r="L1636">
        <v>395000</v>
      </c>
      <c r="M1636">
        <v>2.38</v>
      </c>
      <c r="N1636">
        <v>37.869079452054777</v>
      </c>
      <c r="O1636" t="s">
        <v>592</v>
      </c>
      <c r="P1636" t="s">
        <v>593</v>
      </c>
      <c r="Q1636" t="s">
        <v>586</v>
      </c>
      <c r="R1636" t="s">
        <v>712</v>
      </c>
      <c r="S1636" t="s">
        <v>878</v>
      </c>
      <c r="T1636">
        <v>53</v>
      </c>
    </row>
    <row r="1637" spans="1:20" x14ac:dyDescent="0.25">
      <c r="A1637" t="s">
        <v>2882</v>
      </c>
      <c r="B1637" t="s">
        <v>458</v>
      </c>
      <c r="C1637" t="s">
        <v>586</v>
      </c>
      <c r="D1637" t="s">
        <v>1523</v>
      </c>
      <c r="E1637" t="s">
        <v>2870</v>
      </c>
      <c r="F1637">
        <v>0.3297318809472834</v>
      </c>
      <c r="G1637">
        <v>10.72867306144316</v>
      </c>
      <c r="H1637" t="s">
        <v>709</v>
      </c>
      <c r="I1637" t="s">
        <v>661</v>
      </c>
      <c r="J1637">
        <v>3</v>
      </c>
      <c r="K1637" t="s">
        <v>710</v>
      </c>
      <c r="L1637">
        <v>970000</v>
      </c>
      <c r="M1637">
        <v>1.3</v>
      </c>
      <c r="N1637">
        <v>10.72867306144316</v>
      </c>
      <c r="O1637" t="s">
        <v>592</v>
      </c>
      <c r="P1637" t="s">
        <v>593</v>
      </c>
      <c r="Q1637" t="s">
        <v>586</v>
      </c>
      <c r="R1637">
        <v>30000</v>
      </c>
      <c r="S1637" t="s">
        <v>652</v>
      </c>
      <c r="T1637">
        <v>87</v>
      </c>
    </row>
    <row r="1638" spans="1:20" x14ac:dyDescent="0.25">
      <c r="A1638" t="s">
        <v>2883</v>
      </c>
      <c r="B1638" t="s">
        <v>458</v>
      </c>
      <c r="C1638" t="s">
        <v>586</v>
      </c>
      <c r="D1638" t="s">
        <v>1523</v>
      </c>
      <c r="E1638" t="s">
        <v>2870</v>
      </c>
      <c r="F1638">
        <v>2.2204333080326912</v>
      </c>
      <c r="G1638">
        <v>14.629494063858894</v>
      </c>
      <c r="H1638" t="s">
        <v>709</v>
      </c>
      <c r="I1638" t="s">
        <v>661</v>
      </c>
      <c r="J1638">
        <v>4</v>
      </c>
      <c r="K1638" t="s">
        <v>972</v>
      </c>
      <c r="L1638">
        <v>1040000</v>
      </c>
      <c r="M1638">
        <v>1.6300000000000001</v>
      </c>
      <c r="N1638">
        <v>14.629494063858894</v>
      </c>
      <c r="O1638" t="s">
        <v>592</v>
      </c>
      <c r="P1638" t="s">
        <v>593</v>
      </c>
      <c r="Q1638" t="s">
        <v>586</v>
      </c>
      <c r="R1638" t="s">
        <v>712</v>
      </c>
      <c r="S1638" t="s">
        <v>652</v>
      </c>
      <c r="T1638">
        <v>75</v>
      </c>
    </row>
    <row r="1639" spans="1:20" x14ac:dyDescent="0.25">
      <c r="A1639" t="s">
        <v>2884</v>
      </c>
      <c r="B1639" t="s">
        <v>164</v>
      </c>
      <c r="C1639" t="s">
        <v>586</v>
      </c>
      <c r="D1639" t="s">
        <v>587</v>
      </c>
      <c r="E1639" t="s">
        <v>1245</v>
      </c>
      <c r="F1639">
        <v>2.0073069935611141</v>
      </c>
      <c r="G1639">
        <v>65.847726027397258</v>
      </c>
      <c r="H1639" t="s">
        <v>2235</v>
      </c>
      <c r="I1639" t="s">
        <v>2756</v>
      </c>
      <c r="J1639">
        <v>2</v>
      </c>
      <c r="K1639" t="s">
        <v>956</v>
      </c>
      <c r="L1639">
        <v>65000</v>
      </c>
      <c r="M1639">
        <v>2.29</v>
      </c>
      <c r="N1639">
        <v>65.847726027397258</v>
      </c>
      <c r="O1639" t="s">
        <v>592</v>
      </c>
      <c r="P1639" t="s">
        <v>593</v>
      </c>
      <c r="Q1639" t="s">
        <v>586</v>
      </c>
      <c r="R1639" t="s">
        <v>712</v>
      </c>
      <c r="S1639" t="s">
        <v>712</v>
      </c>
      <c r="T1639">
        <v>30</v>
      </c>
    </row>
    <row r="1640" spans="1:20" x14ac:dyDescent="0.25">
      <c r="A1640" t="s">
        <v>2885</v>
      </c>
      <c r="B1640" t="s">
        <v>460</v>
      </c>
      <c r="C1640" t="s">
        <v>607</v>
      </c>
      <c r="D1640" t="s">
        <v>587</v>
      </c>
      <c r="E1640" t="s">
        <v>751</v>
      </c>
      <c r="F1640">
        <v>1.7596261544599225</v>
      </c>
      <c r="G1640">
        <v>16.603014910118286</v>
      </c>
      <c r="H1640" t="s">
        <v>2886</v>
      </c>
      <c r="I1640" t="s">
        <v>611</v>
      </c>
      <c r="J1640">
        <v>4</v>
      </c>
      <c r="K1640" t="s">
        <v>1114</v>
      </c>
      <c r="L1640">
        <v>65000</v>
      </c>
      <c r="M1640" t="s">
        <v>712</v>
      </c>
      <c r="N1640">
        <v>16.603014910118286</v>
      </c>
      <c r="O1640" t="s">
        <v>592</v>
      </c>
      <c r="P1640" t="s">
        <v>593</v>
      </c>
      <c r="Q1640" t="s">
        <v>586</v>
      </c>
      <c r="R1640" t="s">
        <v>712</v>
      </c>
      <c r="S1640" t="s">
        <v>712</v>
      </c>
      <c r="T1640">
        <v>78</v>
      </c>
    </row>
    <row r="1641" spans="1:20" x14ac:dyDescent="0.25">
      <c r="A1641" t="s">
        <v>2887</v>
      </c>
      <c r="B1641" t="s">
        <v>78</v>
      </c>
      <c r="C1641" t="s">
        <v>586</v>
      </c>
      <c r="D1641" t="s">
        <v>900</v>
      </c>
      <c r="E1641" t="s">
        <v>901</v>
      </c>
      <c r="F1641">
        <v>3.5796455362042585</v>
      </c>
      <c r="G1641">
        <v>30.016354264286239</v>
      </c>
      <c r="H1641" t="s">
        <v>902</v>
      </c>
      <c r="I1641" t="s">
        <v>661</v>
      </c>
      <c r="J1641">
        <v>2</v>
      </c>
      <c r="K1641" t="s">
        <v>684</v>
      </c>
      <c r="L1641">
        <v>780000</v>
      </c>
      <c r="M1641">
        <v>2</v>
      </c>
      <c r="N1641">
        <v>30.016354264286239</v>
      </c>
      <c r="O1641" t="s">
        <v>592</v>
      </c>
      <c r="P1641" t="s">
        <v>593</v>
      </c>
      <c r="Q1641" t="s">
        <v>586</v>
      </c>
      <c r="R1641" t="s">
        <v>712</v>
      </c>
      <c r="S1641" t="s">
        <v>712</v>
      </c>
      <c r="T1641">
        <v>43</v>
      </c>
    </row>
    <row r="1642" spans="1:20" x14ac:dyDescent="0.25">
      <c r="A1642" t="s">
        <v>2888</v>
      </c>
      <c r="B1642" t="s">
        <v>78</v>
      </c>
      <c r="C1642" t="s">
        <v>586</v>
      </c>
      <c r="D1642" t="s">
        <v>900</v>
      </c>
      <c r="E1642" t="s">
        <v>901</v>
      </c>
      <c r="F1642">
        <v>4.4886057029282114</v>
      </c>
      <c r="G1642">
        <v>38.296584106009469</v>
      </c>
      <c r="H1642" t="s">
        <v>902</v>
      </c>
      <c r="I1642" t="s">
        <v>661</v>
      </c>
      <c r="J1642">
        <v>2</v>
      </c>
      <c r="K1642" t="s">
        <v>701</v>
      </c>
      <c r="L1642">
        <v>800000</v>
      </c>
      <c r="M1642">
        <v>2.2000000000000002</v>
      </c>
      <c r="N1642">
        <v>38.296584106009469</v>
      </c>
      <c r="O1642" t="s">
        <v>592</v>
      </c>
      <c r="P1642" t="s">
        <v>593</v>
      </c>
      <c r="Q1642" t="s">
        <v>586</v>
      </c>
      <c r="R1642" t="s">
        <v>712</v>
      </c>
      <c r="S1642" t="s">
        <v>712</v>
      </c>
      <c r="T1642">
        <v>37</v>
      </c>
    </row>
    <row r="1643" spans="1:20" x14ac:dyDescent="0.25">
      <c r="A1643" t="s">
        <v>2889</v>
      </c>
      <c r="B1643" t="s">
        <v>22</v>
      </c>
      <c r="C1643" t="s">
        <v>586</v>
      </c>
      <c r="D1643" t="s">
        <v>601</v>
      </c>
      <c r="E1643" t="s">
        <v>602</v>
      </c>
      <c r="F1643">
        <v>3.6101831325355799E-2</v>
      </c>
      <c r="G1643">
        <v>0.16055616438357401</v>
      </c>
      <c r="H1643" t="s">
        <v>802</v>
      </c>
      <c r="I1643" t="s">
        <v>597</v>
      </c>
      <c r="J1643">
        <v>3</v>
      </c>
      <c r="K1643" t="s">
        <v>1008</v>
      </c>
      <c r="L1643">
        <v>955000</v>
      </c>
      <c r="M1643">
        <v>1.33</v>
      </c>
      <c r="N1643">
        <v>0.16055616438357401</v>
      </c>
      <c r="O1643" t="s">
        <v>592</v>
      </c>
      <c r="P1643" t="s">
        <v>593</v>
      </c>
      <c r="Q1643" t="s">
        <v>586</v>
      </c>
      <c r="R1643">
        <v>40000</v>
      </c>
      <c r="S1643" t="s">
        <v>599</v>
      </c>
      <c r="T1643">
        <v>99</v>
      </c>
    </row>
    <row r="1644" spans="1:20" x14ac:dyDescent="0.25">
      <c r="A1644" t="s">
        <v>2890</v>
      </c>
      <c r="B1644" t="s">
        <v>22</v>
      </c>
      <c r="C1644" t="s">
        <v>586</v>
      </c>
      <c r="D1644" t="s">
        <v>601</v>
      </c>
      <c r="E1644" t="s">
        <v>602</v>
      </c>
      <c r="F1644">
        <v>1.9499280485871822</v>
      </c>
      <c r="G1644">
        <v>1.1194520547963549E-2</v>
      </c>
      <c r="H1644" t="s">
        <v>802</v>
      </c>
      <c r="I1644" t="s">
        <v>597</v>
      </c>
      <c r="J1644">
        <v>3</v>
      </c>
      <c r="K1644" t="s">
        <v>898</v>
      </c>
      <c r="L1644">
        <v>1065000</v>
      </c>
      <c r="M1644">
        <v>1.58</v>
      </c>
      <c r="N1644">
        <v>1.1194520547963549E-2</v>
      </c>
      <c r="O1644" t="s">
        <v>592</v>
      </c>
      <c r="P1644" t="s">
        <v>593</v>
      </c>
      <c r="Q1644" t="s">
        <v>586</v>
      </c>
      <c r="R1644" t="s">
        <v>712</v>
      </c>
      <c r="S1644" t="s">
        <v>599</v>
      </c>
      <c r="T1644">
        <v>78</v>
      </c>
    </row>
    <row r="1645" spans="1:20" x14ac:dyDescent="0.25">
      <c r="A1645" t="s">
        <v>2891</v>
      </c>
      <c r="B1645" t="s">
        <v>22</v>
      </c>
      <c r="C1645" t="s">
        <v>586</v>
      </c>
      <c r="D1645" t="s">
        <v>601</v>
      </c>
      <c r="E1645" t="s">
        <v>602</v>
      </c>
      <c r="F1645">
        <v>2.8230882705560987</v>
      </c>
      <c r="G1645">
        <v>-0.88144109589041175</v>
      </c>
      <c r="H1645" t="s">
        <v>802</v>
      </c>
      <c r="I1645" t="s">
        <v>597</v>
      </c>
      <c r="J1645">
        <v>4</v>
      </c>
      <c r="K1645" t="s">
        <v>978</v>
      </c>
      <c r="L1645">
        <v>1125000</v>
      </c>
      <c r="M1645">
        <v>1.7000000000000002</v>
      </c>
      <c r="N1645">
        <v>-0.88144109589041175</v>
      </c>
      <c r="O1645" t="s">
        <v>592</v>
      </c>
      <c r="P1645" t="s">
        <v>593</v>
      </c>
      <c r="Q1645" t="s">
        <v>586</v>
      </c>
      <c r="R1645">
        <v>25000</v>
      </c>
      <c r="S1645" t="s">
        <v>599</v>
      </c>
      <c r="T1645">
        <v>75</v>
      </c>
    </row>
    <row r="1646" spans="1:20" x14ac:dyDescent="0.25">
      <c r="A1646" t="s">
        <v>2892</v>
      </c>
      <c r="B1646" t="s">
        <v>22</v>
      </c>
      <c r="C1646" t="s">
        <v>586</v>
      </c>
      <c r="D1646" t="s">
        <v>601</v>
      </c>
      <c r="E1646" t="s">
        <v>602</v>
      </c>
      <c r="F1646">
        <v>3.2070313740019918</v>
      </c>
      <c r="G1646">
        <v>-0.82437808219177899</v>
      </c>
      <c r="H1646" t="s">
        <v>802</v>
      </c>
      <c r="I1646" t="s">
        <v>597</v>
      </c>
      <c r="J1646">
        <v>5</v>
      </c>
      <c r="K1646" t="s">
        <v>1387</v>
      </c>
      <c r="L1646">
        <v>1885000</v>
      </c>
      <c r="M1646">
        <v>1.76</v>
      </c>
      <c r="N1646">
        <v>-0.82437808219177899</v>
      </c>
      <c r="O1646" t="s">
        <v>592</v>
      </c>
      <c r="P1646" t="s">
        <v>593</v>
      </c>
      <c r="Q1646" t="s">
        <v>586</v>
      </c>
      <c r="R1646">
        <v>200000</v>
      </c>
      <c r="S1646" t="s">
        <v>599</v>
      </c>
      <c r="T1646">
        <v>76</v>
      </c>
    </row>
    <row r="1647" spans="1:20" x14ac:dyDescent="0.25">
      <c r="A1647" t="s">
        <v>2893</v>
      </c>
      <c r="B1647" t="s">
        <v>22</v>
      </c>
      <c r="C1647" t="s">
        <v>586</v>
      </c>
      <c r="D1647" t="s">
        <v>601</v>
      </c>
      <c r="E1647" t="s">
        <v>602</v>
      </c>
      <c r="F1647">
        <v>3.622405465402025</v>
      </c>
      <c r="G1647">
        <v>0.60379726027397496</v>
      </c>
      <c r="H1647" t="s">
        <v>802</v>
      </c>
      <c r="I1647" t="s">
        <v>597</v>
      </c>
      <c r="J1647">
        <v>5</v>
      </c>
      <c r="K1647" t="s">
        <v>1046</v>
      </c>
      <c r="L1647">
        <v>1190000</v>
      </c>
      <c r="M1647">
        <v>1.83</v>
      </c>
      <c r="N1647">
        <v>0.60379726027397496</v>
      </c>
      <c r="O1647" t="s">
        <v>592</v>
      </c>
      <c r="P1647" t="s">
        <v>593</v>
      </c>
      <c r="Q1647" t="s">
        <v>586</v>
      </c>
      <c r="R1647" t="s">
        <v>712</v>
      </c>
      <c r="S1647" t="s">
        <v>599</v>
      </c>
      <c r="T1647">
        <v>74</v>
      </c>
    </row>
    <row r="1648" spans="1:20" x14ac:dyDescent="0.25">
      <c r="A1648" t="s">
        <v>2894</v>
      </c>
      <c r="B1648" t="s">
        <v>22</v>
      </c>
      <c r="C1648" t="s">
        <v>586</v>
      </c>
      <c r="D1648" t="s">
        <v>601</v>
      </c>
      <c r="E1648" t="s">
        <v>602</v>
      </c>
      <c r="F1648">
        <v>4.0295342929666669</v>
      </c>
      <c r="G1648">
        <v>-0.22599999999999287</v>
      </c>
      <c r="H1648" t="s">
        <v>802</v>
      </c>
      <c r="I1648" t="s">
        <v>597</v>
      </c>
      <c r="J1648">
        <v>5</v>
      </c>
      <c r="K1648" t="s">
        <v>1765</v>
      </c>
      <c r="L1648">
        <v>1950000</v>
      </c>
      <c r="M1648">
        <v>1.87</v>
      </c>
      <c r="N1648">
        <v>-0.22599999999999287</v>
      </c>
      <c r="O1648" t="s">
        <v>592</v>
      </c>
      <c r="P1648" t="s">
        <v>593</v>
      </c>
      <c r="Q1648" t="s">
        <v>586</v>
      </c>
      <c r="R1648">
        <v>25000</v>
      </c>
      <c r="S1648" t="s">
        <v>599</v>
      </c>
      <c r="T1648">
        <v>71</v>
      </c>
    </row>
    <row r="1649" spans="1:20" x14ac:dyDescent="0.25">
      <c r="A1649" t="s">
        <v>2895</v>
      </c>
      <c r="B1649" t="s">
        <v>22</v>
      </c>
      <c r="C1649" t="s">
        <v>586</v>
      </c>
      <c r="D1649" t="s">
        <v>601</v>
      </c>
      <c r="E1649" t="s">
        <v>602</v>
      </c>
      <c r="F1649">
        <v>4.5202749280889734</v>
      </c>
      <c r="G1649">
        <v>1.4299999999999979</v>
      </c>
      <c r="H1649" t="s">
        <v>802</v>
      </c>
      <c r="I1649" t="s">
        <v>597</v>
      </c>
      <c r="J1649">
        <v>4</v>
      </c>
      <c r="K1649" t="s">
        <v>1176</v>
      </c>
      <c r="L1649">
        <v>1255000</v>
      </c>
      <c r="M1649">
        <v>1.93</v>
      </c>
      <c r="N1649">
        <v>1.4299999999999979</v>
      </c>
      <c r="O1649" t="s">
        <v>592</v>
      </c>
      <c r="P1649" t="s">
        <v>593</v>
      </c>
      <c r="Q1649" t="s">
        <v>586</v>
      </c>
      <c r="R1649">
        <v>20000</v>
      </c>
      <c r="S1649" t="s">
        <v>599</v>
      </c>
      <c r="T1649">
        <v>63</v>
      </c>
    </row>
    <row r="1650" spans="1:20" x14ac:dyDescent="0.25">
      <c r="A1650" t="s">
        <v>2896</v>
      </c>
      <c r="B1650" t="s">
        <v>22</v>
      </c>
      <c r="C1650" t="s">
        <v>586</v>
      </c>
      <c r="D1650" t="s">
        <v>601</v>
      </c>
      <c r="E1650" t="s">
        <v>602</v>
      </c>
      <c r="F1650">
        <v>2.6805067838443848</v>
      </c>
      <c r="G1650">
        <v>0.45805753424656981</v>
      </c>
      <c r="H1650" t="s">
        <v>644</v>
      </c>
      <c r="I1650" t="s">
        <v>703</v>
      </c>
      <c r="J1650">
        <v>5</v>
      </c>
      <c r="K1650" t="s">
        <v>605</v>
      </c>
      <c r="L1650">
        <v>7240000</v>
      </c>
      <c r="M1650">
        <v>1.99</v>
      </c>
      <c r="N1650">
        <v>0.45805753424656981</v>
      </c>
      <c r="O1650" t="s">
        <v>592</v>
      </c>
      <c r="P1650" t="s">
        <v>593</v>
      </c>
      <c r="Q1650" t="s">
        <v>586</v>
      </c>
      <c r="R1650">
        <v>60000</v>
      </c>
      <c r="S1650" t="s">
        <v>599</v>
      </c>
      <c r="T1650">
        <v>80</v>
      </c>
    </row>
    <row r="1651" spans="1:20" x14ac:dyDescent="0.25">
      <c r="A1651" t="s">
        <v>2897</v>
      </c>
      <c r="B1651" t="s">
        <v>110</v>
      </c>
      <c r="C1651" t="s">
        <v>586</v>
      </c>
      <c r="D1651" t="s">
        <v>741</v>
      </c>
      <c r="E1651" t="s">
        <v>1052</v>
      </c>
      <c r="F1651">
        <v>0.32943926694324333</v>
      </c>
      <c r="G1651">
        <v>23.132372622946296</v>
      </c>
      <c r="H1651" t="s">
        <v>633</v>
      </c>
      <c r="I1651" t="s">
        <v>1053</v>
      </c>
      <c r="J1651">
        <v>2.25</v>
      </c>
      <c r="K1651" t="s">
        <v>710</v>
      </c>
      <c r="L1651">
        <v>535000</v>
      </c>
      <c r="M1651">
        <v>1.6500000000000001</v>
      </c>
      <c r="N1651">
        <v>23.132372622946296</v>
      </c>
      <c r="O1651" t="s">
        <v>592</v>
      </c>
      <c r="P1651" t="s">
        <v>745</v>
      </c>
      <c r="Q1651" t="s">
        <v>586</v>
      </c>
      <c r="R1651" t="s">
        <v>712</v>
      </c>
      <c r="S1651" t="s">
        <v>712</v>
      </c>
      <c r="T1651">
        <v>93</v>
      </c>
    </row>
    <row r="1652" spans="1:20" x14ac:dyDescent="0.25">
      <c r="A1652" t="s">
        <v>2898</v>
      </c>
      <c r="B1652" t="s">
        <v>46</v>
      </c>
      <c r="C1652" t="s">
        <v>586</v>
      </c>
      <c r="D1652" t="s">
        <v>608</v>
      </c>
      <c r="E1652" t="s">
        <v>760</v>
      </c>
      <c r="F1652">
        <v>0.61089649192191409</v>
      </c>
      <c r="G1652">
        <v>16.885300148416714</v>
      </c>
      <c r="H1652" t="s">
        <v>761</v>
      </c>
      <c r="I1652" t="s">
        <v>619</v>
      </c>
      <c r="J1652">
        <v>2</v>
      </c>
      <c r="K1652" t="s">
        <v>948</v>
      </c>
      <c r="L1652">
        <v>2495000</v>
      </c>
      <c r="M1652">
        <v>1.47</v>
      </c>
      <c r="N1652">
        <v>16.885300148416714</v>
      </c>
      <c r="O1652" t="s">
        <v>592</v>
      </c>
      <c r="P1652" t="s">
        <v>621</v>
      </c>
      <c r="Q1652" t="s">
        <v>586</v>
      </c>
      <c r="R1652">
        <v>100000</v>
      </c>
      <c r="S1652" t="s">
        <v>652</v>
      </c>
      <c r="T1652">
        <v>87</v>
      </c>
    </row>
    <row r="1653" spans="1:20" x14ac:dyDescent="0.25">
      <c r="A1653" t="s">
        <v>2899</v>
      </c>
      <c r="B1653" t="s">
        <v>110</v>
      </c>
      <c r="C1653" t="s">
        <v>586</v>
      </c>
      <c r="D1653" t="s">
        <v>741</v>
      </c>
      <c r="E1653" t="s">
        <v>1052</v>
      </c>
      <c r="F1653">
        <v>1.3050873408180139</v>
      </c>
      <c r="G1653">
        <v>23.845225832118967</v>
      </c>
      <c r="H1653" t="s">
        <v>633</v>
      </c>
      <c r="I1653" t="s">
        <v>1053</v>
      </c>
      <c r="J1653">
        <v>2</v>
      </c>
      <c r="K1653" t="s">
        <v>758</v>
      </c>
      <c r="L1653">
        <v>540000</v>
      </c>
      <c r="M1653">
        <v>1.8</v>
      </c>
      <c r="N1653">
        <v>23.845225832118967</v>
      </c>
      <c r="O1653" t="s">
        <v>592</v>
      </c>
      <c r="P1653" t="s">
        <v>745</v>
      </c>
      <c r="Q1653" t="s">
        <v>586</v>
      </c>
      <c r="R1653">
        <v>200000</v>
      </c>
      <c r="S1653" t="s">
        <v>712</v>
      </c>
      <c r="T1653">
        <v>76</v>
      </c>
    </row>
    <row r="1654" spans="1:20" x14ac:dyDescent="0.25">
      <c r="A1654" t="s">
        <v>2900</v>
      </c>
      <c r="B1654" t="s">
        <v>46</v>
      </c>
      <c r="C1654" t="s">
        <v>586</v>
      </c>
      <c r="D1654" t="s">
        <v>608</v>
      </c>
      <c r="E1654" t="s">
        <v>760</v>
      </c>
      <c r="F1654">
        <v>1.5733921695271671</v>
      </c>
      <c r="G1654">
        <v>19.295293595115638</v>
      </c>
      <c r="H1654" t="s">
        <v>761</v>
      </c>
      <c r="I1654" t="s">
        <v>619</v>
      </c>
      <c r="J1654">
        <v>2.25</v>
      </c>
      <c r="K1654" t="s">
        <v>800</v>
      </c>
      <c r="L1654">
        <v>2550000</v>
      </c>
      <c r="M1654">
        <v>1.6400000000000001</v>
      </c>
      <c r="N1654">
        <v>19.295293595115638</v>
      </c>
      <c r="O1654" t="s">
        <v>592</v>
      </c>
      <c r="P1654" t="s">
        <v>621</v>
      </c>
      <c r="Q1654" t="s">
        <v>586</v>
      </c>
      <c r="R1654" t="s">
        <v>712</v>
      </c>
      <c r="S1654" t="s">
        <v>652</v>
      </c>
      <c r="T1654">
        <v>77</v>
      </c>
    </row>
    <row r="1655" spans="1:20" x14ac:dyDescent="0.25">
      <c r="A1655" t="s">
        <v>2901</v>
      </c>
      <c r="B1655" t="s">
        <v>46</v>
      </c>
      <c r="C1655" t="s">
        <v>586</v>
      </c>
      <c r="D1655" t="s">
        <v>608</v>
      </c>
      <c r="E1655" t="s">
        <v>760</v>
      </c>
      <c r="F1655">
        <v>4.097946258149177</v>
      </c>
      <c r="G1655">
        <v>27.935441686706163</v>
      </c>
      <c r="H1655" t="s">
        <v>761</v>
      </c>
      <c r="I1655" t="s">
        <v>619</v>
      </c>
      <c r="J1655">
        <v>5</v>
      </c>
      <c r="K1655" t="s">
        <v>1240</v>
      </c>
      <c r="L1655">
        <v>3065000</v>
      </c>
      <c r="M1655">
        <v>2.13</v>
      </c>
      <c r="N1655">
        <v>27.935441686706163</v>
      </c>
      <c r="O1655" t="s">
        <v>592</v>
      </c>
      <c r="P1655" t="s">
        <v>621</v>
      </c>
      <c r="Q1655" t="s">
        <v>586</v>
      </c>
      <c r="R1655">
        <v>90000</v>
      </c>
      <c r="S1655" t="s">
        <v>652</v>
      </c>
      <c r="T1655">
        <v>71</v>
      </c>
    </row>
    <row r="1656" spans="1:20" x14ac:dyDescent="0.25">
      <c r="A1656" t="s">
        <v>2902</v>
      </c>
      <c r="B1656" t="s">
        <v>239</v>
      </c>
      <c r="C1656" t="s">
        <v>586</v>
      </c>
      <c r="D1656" t="s">
        <v>608</v>
      </c>
      <c r="E1656" t="s">
        <v>609</v>
      </c>
      <c r="F1656">
        <v>5.555299306909324E-3</v>
      </c>
      <c r="G1656">
        <v>18.646421917808208</v>
      </c>
      <c r="H1656" t="s">
        <v>610</v>
      </c>
      <c r="I1656" t="s">
        <v>1709</v>
      </c>
      <c r="J1656">
        <v>5</v>
      </c>
      <c r="K1656" t="s">
        <v>995</v>
      </c>
      <c r="L1656">
        <v>350000</v>
      </c>
      <c r="M1656">
        <v>1.68</v>
      </c>
      <c r="N1656">
        <v>18.646421917808208</v>
      </c>
      <c r="O1656" t="s">
        <v>592</v>
      </c>
      <c r="P1656" t="s">
        <v>621</v>
      </c>
      <c r="Q1656" t="s">
        <v>586</v>
      </c>
      <c r="R1656">
        <v>20000</v>
      </c>
      <c r="S1656" t="s">
        <v>635</v>
      </c>
      <c r="T1656">
        <v>96</v>
      </c>
    </row>
    <row r="1657" spans="1:20" x14ac:dyDescent="0.25">
      <c r="A1657" t="s">
        <v>2903</v>
      </c>
      <c r="B1657" t="s">
        <v>239</v>
      </c>
      <c r="C1657" t="s">
        <v>586</v>
      </c>
      <c r="D1657" t="s">
        <v>608</v>
      </c>
      <c r="E1657" t="s">
        <v>609</v>
      </c>
      <c r="F1657">
        <v>1.9118721312622384</v>
      </c>
      <c r="G1657">
        <v>21.098435616438358</v>
      </c>
      <c r="H1657" t="s">
        <v>610</v>
      </c>
      <c r="I1657" t="s">
        <v>1709</v>
      </c>
      <c r="J1657">
        <v>5</v>
      </c>
      <c r="K1657" t="s">
        <v>729</v>
      </c>
      <c r="L1657">
        <v>1045000</v>
      </c>
      <c r="M1657">
        <v>1.92</v>
      </c>
      <c r="N1657">
        <v>21.098435616438358</v>
      </c>
      <c r="O1657" t="s">
        <v>592</v>
      </c>
      <c r="P1657" t="s">
        <v>621</v>
      </c>
      <c r="Q1657" t="s">
        <v>586</v>
      </c>
      <c r="R1657">
        <v>200000</v>
      </c>
      <c r="S1657" t="s">
        <v>635</v>
      </c>
      <c r="T1657">
        <v>83</v>
      </c>
    </row>
    <row r="1658" spans="1:20" x14ac:dyDescent="0.25">
      <c r="A1658" t="s">
        <v>2904</v>
      </c>
      <c r="B1658" t="s">
        <v>239</v>
      </c>
      <c r="C1658" t="s">
        <v>586</v>
      </c>
      <c r="D1658" t="s">
        <v>608</v>
      </c>
      <c r="E1658" t="s">
        <v>609</v>
      </c>
      <c r="F1658">
        <v>2.804424375645127</v>
      </c>
      <c r="G1658">
        <v>21.113098630136975</v>
      </c>
      <c r="H1658" t="s">
        <v>610</v>
      </c>
      <c r="I1658" t="s">
        <v>1709</v>
      </c>
      <c r="J1658">
        <v>5</v>
      </c>
      <c r="K1658" t="s">
        <v>817</v>
      </c>
      <c r="L1658">
        <v>380000</v>
      </c>
      <c r="M1658">
        <v>2.0300000000000002</v>
      </c>
      <c r="N1658">
        <v>21.113098630136975</v>
      </c>
      <c r="O1658" t="s">
        <v>592</v>
      </c>
      <c r="P1658" t="s">
        <v>621</v>
      </c>
      <c r="Q1658" t="s">
        <v>586</v>
      </c>
      <c r="R1658" t="s">
        <v>712</v>
      </c>
      <c r="S1658" t="s">
        <v>635</v>
      </c>
      <c r="T1658">
        <v>76</v>
      </c>
    </row>
    <row r="1659" spans="1:20" x14ac:dyDescent="0.25">
      <c r="A1659" t="s">
        <v>2905</v>
      </c>
      <c r="B1659" t="s">
        <v>239</v>
      </c>
      <c r="C1659" t="s">
        <v>586</v>
      </c>
      <c r="D1659" t="s">
        <v>608</v>
      </c>
      <c r="E1659" t="s">
        <v>609</v>
      </c>
      <c r="F1659">
        <v>3.6591483462113263</v>
      </c>
      <c r="G1659">
        <v>23.019813698630131</v>
      </c>
      <c r="H1659" t="s">
        <v>610</v>
      </c>
      <c r="I1659" t="s">
        <v>1709</v>
      </c>
      <c r="J1659">
        <v>5</v>
      </c>
      <c r="K1659" t="s">
        <v>620</v>
      </c>
      <c r="L1659">
        <v>100000</v>
      </c>
      <c r="M1659">
        <v>2.15</v>
      </c>
      <c r="N1659">
        <v>23.019813698630131</v>
      </c>
      <c r="O1659" t="s">
        <v>592</v>
      </c>
      <c r="P1659" t="s">
        <v>621</v>
      </c>
      <c r="Q1659" t="s">
        <v>586</v>
      </c>
      <c r="R1659" t="s">
        <v>712</v>
      </c>
      <c r="S1659" t="s">
        <v>635</v>
      </c>
      <c r="T1659">
        <v>70</v>
      </c>
    </row>
    <row r="1660" spans="1:20" x14ac:dyDescent="0.25">
      <c r="A1660" t="s">
        <v>2906</v>
      </c>
      <c r="B1660" t="s">
        <v>239</v>
      </c>
      <c r="C1660" t="s">
        <v>586</v>
      </c>
      <c r="D1660" t="s">
        <v>608</v>
      </c>
      <c r="E1660" t="s">
        <v>609</v>
      </c>
      <c r="F1660">
        <v>4.4792258515753947</v>
      </c>
      <c r="G1660">
        <v>27.893786301369872</v>
      </c>
      <c r="H1660" t="s">
        <v>610</v>
      </c>
      <c r="I1660" t="s">
        <v>1709</v>
      </c>
      <c r="J1660">
        <v>5</v>
      </c>
      <c r="K1660" t="s">
        <v>1023</v>
      </c>
      <c r="L1660">
        <v>150000</v>
      </c>
      <c r="M1660">
        <v>2.27</v>
      </c>
      <c r="N1660">
        <v>27.893786301369872</v>
      </c>
      <c r="O1660" t="s">
        <v>592</v>
      </c>
      <c r="P1660" t="s">
        <v>621</v>
      </c>
      <c r="Q1660" t="s">
        <v>586</v>
      </c>
      <c r="R1660" t="s">
        <v>712</v>
      </c>
      <c r="S1660" t="s">
        <v>635</v>
      </c>
      <c r="T1660">
        <v>64</v>
      </c>
    </row>
    <row r="1661" spans="1:20" x14ac:dyDescent="0.25">
      <c r="A1661" t="s">
        <v>2907</v>
      </c>
      <c r="B1661" t="s">
        <v>239</v>
      </c>
      <c r="C1661" t="s">
        <v>586</v>
      </c>
      <c r="D1661" t="s">
        <v>608</v>
      </c>
      <c r="E1661" t="s">
        <v>609</v>
      </c>
      <c r="F1661">
        <v>5.5552991693449509E-3</v>
      </c>
      <c r="G1661">
        <v>18.646421917808208</v>
      </c>
      <c r="H1661" t="s">
        <v>610</v>
      </c>
      <c r="I1661" t="s">
        <v>1053</v>
      </c>
      <c r="J1661">
        <v>2</v>
      </c>
      <c r="K1661" t="s">
        <v>995</v>
      </c>
      <c r="L1661">
        <v>40000</v>
      </c>
      <c r="M1661">
        <v>1.68</v>
      </c>
      <c r="N1661">
        <v>18.646421917808208</v>
      </c>
      <c r="O1661" t="s">
        <v>592</v>
      </c>
      <c r="P1661" t="s">
        <v>621</v>
      </c>
      <c r="Q1661" t="s">
        <v>586</v>
      </c>
      <c r="R1661" t="s">
        <v>712</v>
      </c>
      <c r="S1661" t="s">
        <v>635</v>
      </c>
      <c r="T1661">
        <v>96</v>
      </c>
    </row>
    <row r="1662" spans="1:20" x14ac:dyDescent="0.25">
      <c r="A1662" t="s">
        <v>2908</v>
      </c>
      <c r="B1662" t="s">
        <v>239</v>
      </c>
      <c r="C1662" t="s">
        <v>586</v>
      </c>
      <c r="D1662" t="s">
        <v>608</v>
      </c>
      <c r="E1662" t="s">
        <v>609</v>
      </c>
      <c r="F1662">
        <v>1.9378442750880218</v>
      </c>
      <c r="G1662">
        <v>21.098435616438358</v>
      </c>
      <c r="H1662" t="s">
        <v>610</v>
      </c>
      <c r="I1662" t="s">
        <v>1053</v>
      </c>
      <c r="J1662">
        <v>3</v>
      </c>
      <c r="K1662" t="s">
        <v>729</v>
      </c>
      <c r="L1662">
        <v>40000</v>
      </c>
      <c r="M1662">
        <v>1.92</v>
      </c>
      <c r="N1662">
        <v>21.098435616438358</v>
      </c>
      <c r="O1662" t="s">
        <v>592</v>
      </c>
      <c r="P1662" t="s">
        <v>621</v>
      </c>
      <c r="Q1662" t="s">
        <v>586</v>
      </c>
      <c r="R1662" t="s">
        <v>712</v>
      </c>
      <c r="S1662" t="s">
        <v>635</v>
      </c>
      <c r="T1662">
        <v>72</v>
      </c>
    </row>
    <row r="1663" spans="1:20" x14ac:dyDescent="0.25">
      <c r="A1663" t="s">
        <v>2909</v>
      </c>
      <c r="B1663" t="s">
        <v>239</v>
      </c>
      <c r="C1663" t="s">
        <v>586</v>
      </c>
      <c r="D1663" t="s">
        <v>608</v>
      </c>
      <c r="E1663" t="s">
        <v>609</v>
      </c>
      <c r="F1663">
        <v>3.6591483462113263</v>
      </c>
      <c r="G1663">
        <v>23.019813698630131</v>
      </c>
      <c r="H1663" t="s">
        <v>610</v>
      </c>
      <c r="I1663" t="s">
        <v>1053</v>
      </c>
      <c r="J1663">
        <v>5</v>
      </c>
      <c r="K1663" t="s">
        <v>620</v>
      </c>
      <c r="L1663">
        <v>180000</v>
      </c>
      <c r="M1663">
        <v>2.15</v>
      </c>
      <c r="N1663">
        <v>23.019813698630131</v>
      </c>
      <c r="O1663" t="s">
        <v>592</v>
      </c>
      <c r="P1663" t="s">
        <v>621</v>
      </c>
      <c r="Q1663" t="s">
        <v>586</v>
      </c>
      <c r="R1663" t="s">
        <v>712</v>
      </c>
      <c r="S1663" t="s">
        <v>635</v>
      </c>
      <c r="T1663">
        <v>66</v>
      </c>
    </row>
    <row r="1664" spans="1:20" x14ac:dyDescent="0.25">
      <c r="A1664" t="s">
        <v>2910</v>
      </c>
      <c r="B1664" t="s">
        <v>102</v>
      </c>
      <c r="C1664" t="s">
        <v>586</v>
      </c>
      <c r="D1664" t="s">
        <v>805</v>
      </c>
      <c r="E1664" t="s">
        <v>806</v>
      </c>
      <c r="F1664">
        <v>2.8055847837337864</v>
      </c>
      <c r="G1664">
        <v>11.003485298693839</v>
      </c>
      <c r="H1664" t="s">
        <v>1010</v>
      </c>
      <c r="I1664" t="s">
        <v>1011</v>
      </c>
      <c r="J1664">
        <v>5</v>
      </c>
      <c r="K1664" t="s">
        <v>817</v>
      </c>
      <c r="L1664">
        <v>2235000</v>
      </c>
      <c r="M1664">
        <v>2.02</v>
      </c>
      <c r="N1664">
        <v>11.003485298693839</v>
      </c>
      <c r="O1664" t="s">
        <v>592</v>
      </c>
      <c r="P1664" t="s">
        <v>593</v>
      </c>
      <c r="Q1664" t="s">
        <v>586</v>
      </c>
      <c r="R1664">
        <v>25000</v>
      </c>
      <c r="S1664" t="s">
        <v>652</v>
      </c>
      <c r="T1664">
        <v>79</v>
      </c>
    </row>
    <row r="1665" spans="1:20" x14ac:dyDescent="0.25">
      <c r="A1665" t="s">
        <v>2911</v>
      </c>
      <c r="B1665" t="s">
        <v>102</v>
      </c>
      <c r="C1665" t="s">
        <v>586</v>
      </c>
      <c r="D1665" t="s">
        <v>805</v>
      </c>
      <c r="E1665" t="s">
        <v>806</v>
      </c>
      <c r="F1665">
        <v>4.4825681692308965</v>
      </c>
      <c r="G1665">
        <v>12.093655498212685</v>
      </c>
      <c r="H1665" t="s">
        <v>1010</v>
      </c>
      <c r="I1665" t="s">
        <v>1011</v>
      </c>
      <c r="J1665">
        <v>5</v>
      </c>
      <c r="K1665" t="s">
        <v>1023</v>
      </c>
      <c r="L1665">
        <v>2460000</v>
      </c>
      <c r="M1665">
        <v>2.29</v>
      </c>
      <c r="N1665">
        <v>12.093655498212685</v>
      </c>
      <c r="O1665" t="s">
        <v>592</v>
      </c>
      <c r="P1665" t="s">
        <v>593</v>
      </c>
      <c r="Q1665" t="s">
        <v>586</v>
      </c>
      <c r="R1665">
        <v>20000</v>
      </c>
      <c r="S1665" t="s">
        <v>652</v>
      </c>
      <c r="T1665">
        <v>68</v>
      </c>
    </row>
    <row r="1666" spans="1:20" x14ac:dyDescent="0.25">
      <c r="A1666" t="s">
        <v>2912</v>
      </c>
      <c r="B1666" t="s">
        <v>83</v>
      </c>
      <c r="C1666" t="s">
        <v>586</v>
      </c>
      <c r="D1666" t="s">
        <v>805</v>
      </c>
      <c r="E1666" t="s">
        <v>858</v>
      </c>
      <c r="F1666">
        <v>3.6100980426788457E-2</v>
      </c>
      <c r="G1666">
        <v>-6.7100552081698073</v>
      </c>
      <c r="H1666" t="s">
        <v>918</v>
      </c>
      <c r="I1666" t="s">
        <v>919</v>
      </c>
      <c r="J1666">
        <v>5</v>
      </c>
      <c r="K1666" t="s">
        <v>1008</v>
      </c>
      <c r="L1666">
        <v>490000</v>
      </c>
      <c r="M1666">
        <v>1.1500000000000001</v>
      </c>
      <c r="N1666">
        <v>-6.7100552081698073</v>
      </c>
      <c r="O1666" t="s">
        <v>592</v>
      </c>
      <c r="P1666" t="s">
        <v>711</v>
      </c>
      <c r="Q1666" t="s">
        <v>586</v>
      </c>
      <c r="R1666" t="s">
        <v>712</v>
      </c>
      <c r="S1666" t="s">
        <v>712</v>
      </c>
      <c r="T1666">
        <v>98</v>
      </c>
    </row>
    <row r="1667" spans="1:20" x14ac:dyDescent="0.25">
      <c r="A1667" t="s">
        <v>2913</v>
      </c>
      <c r="B1667" t="s">
        <v>83</v>
      </c>
      <c r="C1667" t="s">
        <v>586</v>
      </c>
      <c r="D1667" t="s">
        <v>805</v>
      </c>
      <c r="E1667" t="s">
        <v>858</v>
      </c>
      <c r="F1667">
        <v>1.9072830357644559</v>
      </c>
      <c r="G1667">
        <v>-7.5529085888062619</v>
      </c>
      <c r="H1667" t="s">
        <v>918</v>
      </c>
      <c r="I1667" t="s">
        <v>919</v>
      </c>
      <c r="J1667">
        <v>5</v>
      </c>
      <c r="K1667" t="s">
        <v>898</v>
      </c>
      <c r="L1667">
        <v>490000</v>
      </c>
      <c r="M1667">
        <v>1.44</v>
      </c>
      <c r="N1667">
        <v>-7.5529085888062619</v>
      </c>
      <c r="O1667" t="s">
        <v>592</v>
      </c>
      <c r="P1667" t="s">
        <v>711</v>
      </c>
      <c r="Q1667" t="s">
        <v>586</v>
      </c>
      <c r="R1667">
        <v>20000</v>
      </c>
      <c r="S1667" t="s">
        <v>712</v>
      </c>
      <c r="T1667">
        <v>90</v>
      </c>
    </row>
    <row r="1668" spans="1:20" x14ac:dyDescent="0.25">
      <c r="A1668" t="s">
        <v>2914</v>
      </c>
      <c r="B1668" t="s">
        <v>83</v>
      </c>
      <c r="C1668" t="s">
        <v>586</v>
      </c>
      <c r="D1668" t="s">
        <v>805</v>
      </c>
      <c r="E1668" t="s">
        <v>858</v>
      </c>
      <c r="F1668">
        <v>2.7819400864383912</v>
      </c>
      <c r="G1668">
        <v>-6.596039522504249</v>
      </c>
      <c r="H1668" t="s">
        <v>918</v>
      </c>
      <c r="I1668" t="s">
        <v>919</v>
      </c>
      <c r="J1668">
        <v>5</v>
      </c>
      <c r="K1668" t="s">
        <v>978</v>
      </c>
      <c r="L1668">
        <v>380000</v>
      </c>
      <c r="M1668">
        <v>1.6</v>
      </c>
      <c r="N1668">
        <v>-6.596039522504249</v>
      </c>
      <c r="O1668" t="s">
        <v>592</v>
      </c>
      <c r="P1668" t="s">
        <v>711</v>
      </c>
      <c r="Q1668" t="s">
        <v>586</v>
      </c>
      <c r="R1668" t="s">
        <v>712</v>
      </c>
      <c r="S1668" t="s">
        <v>712</v>
      </c>
      <c r="T1668">
        <v>81</v>
      </c>
    </row>
    <row r="1669" spans="1:20" x14ac:dyDescent="0.25">
      <c r="A1669" t="s">
        <v>2915</v>
      </c>
      <c r="B1669" t="s">
        <v>61</v>
      </c>
      <c r="C1669" t="s">
        <v>586</v>
      </c>
      <c r="D1669" t="s">
        <v>623</v>
      </c>
      <c r="E1669" t="s">
        <v>826</v>
      </c>
      <c r="F1669">
        <v>3.0767173019093121</v>
      </c>
      <c r="G1669">
        <v>143.87735022858479</v>
      </c>
      <c r="H1669" t="s">
        <v>827</v>
      </c>
      <c r="I1669" t="s">
        <v>828</v>
      </c>
      <c r="J1669">
        <v>4.75</v>
      </c>
      <c r="K1669" t="s">
        <v>938</v>
      </c>
      <c r="L1669">
        <v>12000</v>
      </c>
      <c r="M1669">
        <v>3.5500000000000003</v>
      </c>
      <c r="N1669">
        <v>143.87735022858479</v>
      </c>
      <c r="O1669" t="s">
        <v>592</v>
      </c>
      <c r="P1669" t="s">
        <v>745</v>
      </c>
      <c r="Q1669" t="s">
        <v>586</v>
      </c>
      <c r="R1669" t="s">
        <v>712</v>
      </c>
      <c r="S1669" t="s">
        <v>712</v>
      </c>
      <c r="T1669">
        <v>58</v>
      </c>
    </row>
    <row r="1670" spans="1:20" x14ac:dyDescent="0.25">
      <c r="A1670" t="s">
        <v>2916</v>
      </c>
      <c r="B1670" t="s">
        <v>61</v>
      </c>
      <c r="C1670" t="s">
        <v>586</v>
      </c>
      <c r="D1670" t="s">
        <v>623</v>
      </c>
      <c r="E1670" t="s">
        <v>826</v>
      </c>
      <c r="F1670">
        <v>3.9166176301747173</v>
      </c>
      <c r="G1670">
        <v>141.68325382465184</v>
      </c>
      <c r="H1670" t="s">
        <v>827</v>
      </c>
      <c r="I1670" t="s">
        <v>828</v>
      </c>
      <c r="J1670">
        <v>4.75</v>
      </c>
      <c r="K1670" t="s">
        <v>1085</v>
      </c>
      <c r="L1670">
        <v>12000</v>
      </c>
      <c r="M1670">
        <v>3.65</v>
      </c>
      <c r="N1670">
        <v>141.68325382465184</v>
      </c>
      <c r="O1670" t="s">
        <v>592</v>
      </c>
      <c r="P1670" t="s">
        <v>745</v>
      </c>
      <c r="Q1670" t="s">
        <v>586</v>
      </c>
      <c r="R1670" t="s">
        <v>712</v>
      </c>
      <c r="S1670" t="s">
        <v>712</v>
      </c>
      <c r="T1670">
        <v>50</v>
      </c>
    </row>
    <row r="1671" spans="1:20" x14ac:dyDescent="0.25">
      <c r="A1671" t="s">
        <v>2917</v>
      </c>
      <c r="B1671" t="s">
        <v>461</v>
      </c>
      <c r="C1671" t="s">
        <v>586</v>
      </c>
      <c r="D1671" t="s">
        <v>1124</v>
      </c>
      <c r="E1671" t="s">
        <v>1314</v>
      </c>
      <c r="F1671">
        <v>2.4036365390303041</v>
      </c>
      <c r="G1671">
        <v>13.693446058269277</v>
      </c>
      <c r="H1671" t="s">
        <v>1926</v>
      </c>
      <c r="I1671" t="s">
        <v>919</v>
      </c>
      <c r="J1671">
        <v>3</v>
      </c>
      <c r="K1671" t="s">
        <v>1013</v>
      </c>
      <c r="L1671">
        <v>890000</v>
      </c>
      <c r="M1671">
        <v>1.71</v>
      </c>
      <c r="N1671">
        <v>13.693446058269277</v>
      </c>
      <c r="O1671" t="s">
        <v>592</v>
      </c>
      <c r="P1671" t="s">
        <v>711</v>
      </c>
      <c r="Q1671" t="s">
        <v>586</v>
      </c>
      <c r="R1671" t="s">
        <v>712</v>
      </c>
      <c r="S1671" t="s">
        <v>712</v>
      </c>
      <c r="T1671">
        <v>59</v>
      </c>
    </row>
    <row r="1672" spans="1:20" x14ac:dyDescent="0.25">
      <c r="A1672" t="s">
        <v>2918</v>
      </c>
      <c r="B1672" t="s">
        <v>461</v>
      </c>
      <c r="C1672" t="s">
        <v>586</v>
      </c>
      <c r="D1672" t="s">
        <v>1124</v>
      </c>
      <c r="E1672" t="s">
        <v>1314</v>
      </c>
      <c r="F1672">
        <v>3.317537993992282</v>
      </c>
      <c r="G1672">
        <v>13.832691137232512</v>
      </c>
      <c r="H1672" t="s">
        <v>1926</v>
      </c>
      <c r="I1672" t="s">
        <v>919</v>
      </c>
      <c r="J1672">
        <v>3</v>
      </c>
      <c r="K1672" t="s">
        <v>824</v>
      </c>
      <c r="L1672">
        <v>705000</v>
      </c>
      <c r="M1672">
        <v>1.85</v>
      </c>
      <c r="N1672">
        <v>13.832691137232512</v>
      </c>
      <c r="O1672" t="s">
        <v>592</v>
      </c>
      <c r="P1672" t="s">
        <v>711</v>
      </c>
      <c r="Q1672" t="s">
        <v>586</v>
      </c>
      <c r="R1672" t="s">
        <v>712</v>
      </c>
      <c r="S1672" t="s">
        <v>712</v>
      </c>
      <c r="T1672">
        <v>49</v>
      </c>
    </row>
    <row r="1673" spans="1:20" x14ac:dyDescent="0.25">
      <c r="A1673" t="s">
        <v>2919</v>
      </c>
      <c r="B1673" t="s">
        <v>80</v>
      </c>
      <c r="C1673" t="s">
        <v>586</v>
      </c>
      <c r="D1673" t="s">
        <v>601</v>
      </c>
      <c r="E1673" t="s">
        <v>773</v>
      </c>
      <c r="F1673">
        <v>1.2996009510523145</v>
      </c>
      <c r="G1673">
        <v>1.8261534246575284</v>
      </c>
      <c r="H1673" t="s">
        <v>644</v>
      </c>
      <c r="I1673" t="s">
        <v>908</v>
      </c>
      <c r="J1673">
        <v>3</v>
      </c>
      <c r="K1673" t="s">
        <v>758</v>
      </c>
      <c r="L1673">
        <v>245000</v>
      </c>
      <c r="M1673">
        <v>1.82</v>
      </c>
      <c r="N1673">
        <v>1.8261534246575284</v>
      </c>
      <c r="O1673" t="s">
        <v>592</v>
      </c>
      <c r="P1673" t="s">
        <v>593</v>
      </c>
      <c r="Q1673" t="s">
        <v>586</v>
      </c>
      <c r="R1673" t="s">
        <v>712</v>
      </c>
      <c r="S1673" t="s">
        <v>712</v>
      </c>
      <c r="T1673">
        <v>85</v>
      </c>
    </row>
    <row r="1674" spans="1:20" x14ac:dyDescent="0.25">
      <c r="A1674" t="s">
        <v>2920</v>
      </c>
      <c r="B1674" t="s">
        <v>80</v>
      </c>
      <c r="C1674" t="s">
        <v>586</v>
      </c>
      <c r="D1674" t="s">
        <v>601</v>
      </c>
      <c r="E1674" t="s">
        <v>773</v>
      </c>
      <c r="F1674">
        <v>2.2412246375278557</v>
      </c>
      <c r="G1674">
        <v>0.73027945205479394</v>
      </c>
      <c r="H1674" t="s">
        <v>644</v>
      </c>
      <c r="I1674" t="s">
        <v>908</v>
      </c>
      <c r="J1674">
        <v>3</v>
      </c>
      <c r="K1674" t="s">
        <v>972</v>
      </c>
      <c r="L1674">
        <v>250000</v>
      </c>
      <c r="M1674">
        <v>1.9000000000000001</v>
      </c>
      <c r="N1674">
        <v>0.73027945205479394</v>
      </c>
      <c r="O1674" t="s">
        <v>592</v>
      </c>
      <c r="P1674" t="s">
        <v>593</v>
      </c>
      <c r="Q1674" t="s">
        <v>586</v>
      </c>
      <c r="R1674" t="s">
        <v>712</v>
      </c>
      <c r="S1674" t="s">
        <v>712</v>
      </c>
      <c r="T1674">
        <v>72</v>
      </c>
    </row>
    <row r="1675" spans="1:20" x14ac:dyDescent="0.25">
      <c r="A1675" t="s">
        <v>2921</v>
      </c>
      <c r="B1675" t="s">
        <v>80</v>
      </c>
      <c r="C1675" t="s">
        <v>586</v>
      </c>
      <c r="D1675" t="s">
        <v>601</v>
      </c>
      <c r="E1675" t="s">
        <v>773</v>
      </c>
      <c r="F1675">
        <v>3.1565048215050968</v>
      </c>
      <c r="G1675">
        <v>1.2960027397260321</v>
      </c>
      <c r="H1675" t="s">
        <v>644</v>
      </c>
      <c r="I1675" t="s">
        <v>908</v>
      </c>
      <c r="J1675">
        <v>3</v>
      </c>
      <c r="K1675" t="s">
        <v>938</v>
      </c>
      <c r="L1675">
        <v>255000</v>
      </c>
      <c r="M1675">
        <v>2</v>
      </c>
      <c r="N1675">
        <v>1.2960027397260321</v>
      </c>
      <c r="O1675" t="s">
        <v>592</v>
      </c>
      <c r="P1675" t="s">
        <v>593</v>
      </c>
      <c r="Q1675" t="s">
        <v>586</v>
      </c>
      <c r="R1675" t="s">
        <v>712</v>
      </c>
      <c r="S1675" t="s">
        <v>712</v>
      </c>
      <c r="T1675">
        <v>62</v>
      </c>
    </row>
    <row r="1676" spans="1:20" x14ac:dyDescent="0.25">
      <c r="A1676" t="s">
        <v>2922</v>
      </c>
      <c r="B1676" t="s">
        <v>462</v>
      </c>
      <c r="C1676" t="s">
        <v>607</v>
      </c>
      <c r="D1676" t="s">
        <v>608</v>
      </c>
      <c r="E1676" t="s">
        <v>1392</v>
      </c>
      <c r="F1676">
        <v>0.77394988398849451</v>
      </c>
      <c r="G1676">
        <v>48.913397893744737</v>
      </c>
      <c r="H1676" t="s">
        <v>1010</v>
      </c>
      <c r="I1676" t="s">
        <v>885</v>
      </c>
      <c r="J1676">
        <v>3</v>
      </c>
      <c r="K1676" t="s">
        <v>1168</v>
      </c>
      <c r="L1676">
        <v>100000</v>
      </c>
      <c r="M1676">
        <v>2.0499999999999998</v>
      </c>
      <c r="N1676">
        <v>48.913397893744737</v>
      </c>
      <c r="O1676" t="s">
        <v>592</v>
      </c>
      <c r="P1676" t="s">
        <v>613</v>
      </c>
      <c r="Q1676" t="s">
        <v>586</v>
      </c>
      <c r="R1676" t="s">
        <v>712</v>
      </c>
      <c r="S1676" t="s">
        <v>594</v>
      </c>
      <c r="T1676">
        <v>93</v>
      </c>
    </row>
    <row r="1677" spans="1:20" x14ac:dyDescent="0.25">
      <c r="A1677" t="s">
        <v>2923</v>
      </c>
      <c r="B1677" t="s">
        <v>462</v>
      </c>
      <c r="C1677" t="s">
        <v>607</v>
      </c>
      <c r="D1677" t="s">
        <v>608</v>
      </c>
      <c r="E1677" t="s">
        <v>1392</v>
      </c>
      <c r="F1677">
        <v>1.7287381418570844</v>
      </c>
      <c r="G1677">
        <v>47.688592910648239</v>
      </c>
      <c r="H1677" t="s">
        <v>1010</v>
      </c>
      <c r="I1677" t="s">
        <v>885</v>
      </c>
      <c r="J1677">
        <v>3</v>
      </c>
      <c r="K1677" t="s">
        <v>1496</v>
      </c>
      <c r="L1677">
        <v>115000</v>
      </c>
      <c r="M1677">
        <v>2.2000000000000002</v>
      </c>
      <c r="N1677">
        <v>47.688592910648239</v>
      </c>
      <c r="O1677" t="s">
        <v>592</v>
      </c>
      <c r="P1677" t="s">
        <v>613</v>
      </c>
      <c r="Q1677" t="s">
        <v>586</v>
      </c>
      <c r="R1677" t="s">
        <v>712</v>
      </c>
      <c r="S1677" t="s">
        <v>594</v>
      </c>
      <c r="T1677">
        <v>81</v>
      </c>
    </row>
    <row r="1678" spans="1:20" x14ac:dyDescent="0.25">
      <c r="A1678" t="s">
        <v>2924</v>
      </c>
      <c r="B1678" t="s">
        <v>462</v>
      </c>
      <c r="C1678" t="s">
        <v>607</v>
      </c>
      <c r="D1678" t="s">
        <v>608</v>
      </c>
      <c r="E1678" t="s">
        <v>1392</v>
      </c>
      <c r="F1678">
        <v>2.6248951007601873</v>
      </c>
      <c r="G1678">
        <v>46.573539525848574</v>
      </c>
      <c r="H1678" t="s">
        <v>1010</v>
      </c>
      <c r="I1678" t="s">
        <v>885</v>
      </c>
      <c r="J1678">
        <v>4</v>
      </c>
      <c r="K1678" t="s">
        <v>1498</v>
      </c>
      <c r="L1678">
        <v>115000</v>
      </c>
      <c r="M1678">
        <v>2.35</v>
      </c>
      <c r="N1678">
        <v>46.573539525848574</v>
      </c>
      <c r="O1678" t="s">
        <v>592</v>
      </c>
      <c r="P1678" t="s">
        <v>613</v>
      </c>
      <c r="Q1678" t="s">
        <v>586</v>
      </c>
      <c r="R1678" t="s">
        <v>712</v>
      </c>
      <c r="S1678" t="s">
        <v>594</v>
      </c>
      <c r="T1678">
        <v>76</v>
      </c>
    </row>
    <row r="1679" spans="1:20" x14ac:dyDescent="0.25">
      <c r="A1679" t="s">
        <v>2925</v>
      </c>
      <c r="B1679" t="s">
        <v>462</v>
      </c>
      <c r="C1679" t="s">
        <v>607</v>
      </c>
      <c r="D1679" t="s">
        <v>608</v>
      </c>
      <c r="E1679" t="s">
        <v>1392</v>
      </c>
      <c r="F1679">
        <v>3.5018457314882623</v>
      </c>
      <c r="G1679">
        <v>42.083576866955454</v>
      </c>
      <c r="H1679" t="s">
        <v>1010</v>
      </c>
      <c r="I1679" t="s">
        <v>885</v>
      </c>
      <c r="J1679">
        <v>4</v>
      </c>
      <c r="K1679" t="s">
        <v>1804</v>
      </c>
      <c r="L1679">
        <v>115000</v>
      </c>
      <c r="M1679">
        <v>2.4500000000000002</v>
      </c>
      <c r="N1679">
        <v>42.083576866955454</v>
      </c>
      <c r="O1679" t="s">
        <v>592</v>
      </c>
      <c r="P1679" t="s">
        <v>613</v>
      </c>
      <c r="Q1679" t="s">
        <v>586</v>
      </c>
      <c r="R1679" t="s">
        <v>712</v>
      </c>
      <c r="S1679" t="s">
        <v>594</v>
      </c>
      <c r="T1679">
        <v>69</v>
      </c>
    </row>
    <row r="1680" spans="1:20" x14ac:dyDescent="0.25">
      <c r="A1680" t="s">
        <v>2926</v>
      </c>
      <c r="B1680" t="s">
        <v>50</v>
      </c>
      <c r="C1680" t="s">
        <v>586</v>
      </c>
      <c r="D1680" t="s">
        <v>587</v>
      </c>
      <c r="E1680" t="s">
        <v>778</v>
      </c>
      <c r="F1680">
        <v>3.2356875836911065</v>
      </c>
      <c r="G1680">
        <v>10.871043800931179</v>
      </c>
      <c r="H1680" t="s">
        <v>779</v>
      </c>
      <c r="I1680" t="s">
        <v>733</v>
      </c>
      <c r="J1680">
        <v>5</v>
      </c>
      <c r="K1680" t="s">
        <v>824</v>
      </c>
      <c r="L1680">
        <v>4515000</v>
      </c>
      <c r="M1680">
        <v>2.29</v>
      </c>
      <c r="N1680">
        <v>10.871043800931179</v>
      </c>
      <c r="O1680" t="s">
        <v>592</v>
      </c>
      <c r="P1680" t="s">
        <v>593</v>
      </c>
      <c r="Q1680" t="s">
        <v>586</v>
      </c>
      <c r="R1680">
        <v>20000</v>
      </c>
      <c r="S1680" t="s">
        <v>652</v>
      </c>
      <c r="T1680">
        <v>65</v>
      </c>
    </row>
    <row r="1681" spans="1:20" x14ac:dyDescent="0.25">
      <c r="A1681" t="s">
        <v>2927</v>
      </c>
      <c r="B1681" t="s">
        <v>463</v>
      </c>
      <c r="C1681" t="s">
        <v>607</v>
      </c>
      <c r="D1681" t="s">
        <v>608</v>
      </c>
      <c r="E1681" t="s">
        <v>850</v>
      </c>
      <c r="F1681">
        <v>8.0471534396235472E-2</v>
      </c>
      <c r="G1681">
        <v>41.090441095890419</v>
      </c>
      <c r="H1681" t="s">
        <v>1033</v>
      </c>
      <c r="I1681" t="s">
        <v>1709</v>
      </c>
      <c r="J1681">
        <v>3</v>
      </c>
      <c r="K1681" t="s">
        <v>950</v>
      </c>
      <c r="L1681">
        <v>110000</v>
      </c>
      <c r="M1681">
        <v>1.75</v>
      </c>
      <c r="N1681">
        <v>41.090441095890419</v>
      </c>
      <c r="O1681" t="s">
        <v>592</v>
      </c>
      <c r="P1681" t="s">
        <v>613</v>
      </c>
      <c r="Q1681" t="s">
        <v>586</v>
      </c>
      <c r="R1681" t="s">
        <v>712</v>
      </c>
      <c r="S1681" t="s">
        <v>878</v>
      </c>
      <c r="T1681">
        <v>98</v>
      </c>
    </row>
    <row r="1682" spans="1:20" x14ac:dyDescent="0.25">
      <c r="A1682" t="s">
        <v>2928</v>
      </c>
      <c r="B1682" t="s">
        <v>463</v>
      </c>
      <c r="C1682" t="s">
        <v>607</v>
      </c>
      <c r="D1682" t="s">
        <v>608</v>
      </c>
      <c r="E1682" t="s">
        <v>850</v>
      </c>
      <c r="F1682">
        <v>1.0487583631158888</v>
      </c>
      <c r="G1682">
        <v>43.322783561643831</v>
      </c>
      <c r="H1682" t="s">
        <v>1033</v>
      </c>
      <c r="I1682" t="s">
        <v>1709</v>
      </c>
      <c r="J1682">
        <v>3</v>
      </c>
      <c r="K1682" t="s">
        <v>612</v>
      </c>
      <c r="L1682">
        <v>115000</v>
      </c>
      <c r="M1682">
        <v>1.9000000000000001</v>
      </c>
      <c r="N1682">
        <v>43.322783561643831</v>
      </c>
      <c r="O1682" t="s">
        <v>592</v>
      </c>
      <c r="P1682" t="s">
        <v>613</v>
      </c>
      <c r="Q1682" t="s">
        <v>586</v>
      </c>
      <c r="R1682" t="s">
        <v>712</v>
      </c>
      <c r="S1682" t="s">
        <v>878</v>
      </c>
      <c r="T1682">
        <v>85</v>
      </c>
    </row>
    <row r="1683" spans="1:20" x14ac:dyDescent="0.25">
      <c r="A1683" t="s">
        <v>2929</v>
      </c>
      <c r="B1683" t="s">
        <v>463</v>
      </c>
      <c r="C1683" t="s">
        <v>607</v>
      </c>
      <c r="D1683" t="s">
        <v>608</v>
      </c>
      <c r="E1683" t="s">
        <v>850</v>
      </c>
      <c r="F1683">
        <v>1.9874319784763415</v>
      </c>
      <c r="G1683">
        <v>45.068369863013679</v>
      </c>
      <c r="H1683" t="s">
        <v>1033</v>
      </c>
      <c r="I1683" t="s">
        <v>1709</v>
      </c>
      <c r="J1683">
        <v>3</v>
      </c>
      <c r="K1683" t="s">
        <v>956</v>
      </c>
      <c r="L1683">
        <v>120000</v>
      </c>
      <c r="M1683">
        <v>2.0499999999999998</v>
      </c>
      <c r="N1683">
        <v>45.068369863013679</v>
      </c>
      <c r="O1683" t="s">
        <v>592</v>
      </c>
      <c r="P1683" t="s">
        <v>613</v>
      </c>
      <c r="Q1683" t="s">
        <v>586</v>
      </c>
      <c r="R1683" t="s">
        <v>712</v>
      </c>
      <c r="S1683" t="s">
        <v>878</v>
      </c>
      <c r="T1683">
        <v>73</v>
      </c>
    </row>
    <row r="1684" spans="1:20" x14ac:dyDescent="0.25">
      <c r="A1684" t="s">
        <v>2930</v>
      </c>
      <c r="B1684" t="s">
        <v>63</v>
      </c>
      <c r="C1684" t="s">
        <v>586</v>
      </c>
      <c r="D1684" t="s">
        <v>587</v>
      </c>
      <c r="E1684" t="s">
        <v>836</v>
      </c>
      <c r="F1684">
        <v>5.5552803371546802E-3</v>
      </c>
      <c r="G1684">
        <v>37.8122811628294</v>
      </c>
      <c r="H1684" t="s">
        <v>792</v>
      </c>
      <c r="I1684" t="s">
        <v>661</v>
      </c>
      <c r="J1684">
        <v>5</v>
      </c>
      <c r="K1684" t="s">
        <v>995</v>
      </c>
      <c r="L1684">
        <v>2280000</v>
      </c>
      <c r="M1684">
        <v>1.53</v>
      </c>
      <c r="N1684">
        <v>37.8122811628294</v>
      </c>
      <c r="O1684" t="s">
        <v>592</v>
      </c>
      <c r="P1684" t="s">
        <v>593</v>
      </c>
      <c r="Q1684" t="s">
        <v>586</v>
      </c>
      <c r="R1684" t="s">
        <v>712</v>
      </c>
      <c r="S1684" t="s">
        <v>712</v>
      </c>
      <c r="T1684">
        <v>94</v>
      </c>
    </row>
    <row r="1685" spans="1:20" x14ac:dyDescent="0.25">
      <c r="A1685" t="s">
        <v>2931</v>
      </c>
      <c r="B1685" t="s">
        <v>63</v>
      </c>
      <c r="C1685" t="s">
        <v>586</v>
      </c>
      <c r="D1685" t="s">
        <v>587</v>
      </c>
      <c r="E1685" t="s">
        <v>836</v>
      </c>
      <c r="F1685">
        <v>1.9111889059435796</v>
      </c>
      <c r="G1685">
        <v>37.411000822359554</v>
      </c>
      <c r="H1685" t="s">
        <v>792</v>
      </c>
      <c r="I1685" t="s">
        <v>661</v>
      </c>
      <c r="J1685">
        <v>5</v>
      </c>
      <c r="K1685" t="s">
        <v>729</v>
      </c>
      <c r="L1685">
        <v>4075000</v>
      </c>
      <c r="M1685">
        <v>1.83</v>
      </c>
      <c r="N1685">
        <v>37.411000822359554</v>
      </c>
      <c r="O1685" t="s">
        <v>592</v>
      </c>
      <c r="P1685" t="s">
        <v>593</v>
      </c>
      <c r="Q1685" t="s">
        <v>586</v>
      </c>
      <c r="R1685">
        <v>60000</v>
      </c>
      <c r="S1685" t="s">
        <v>712</v>
      </c>
      <c r="T1685">
        <v>80</v>
      </c>
    </row>
    <row r="1686" spans="1:20" x14ac:dyDescent="0.25">
      <c r="A1686" t="s">
        <v>2932</v>
      </c>
      <c r="B1686" t="s">
        <v>464</v>
      </c>
      <c r="C1686" t="s">
        <v>586</v>
      </c>
      <c r="D1686" t="s">
        <v>642</v>
      </c>
      <c r="E1686" t="s">
        <v>2933</v>
      </c>
      <c r="F1686">
        <v>0.81979104669511293</v>
      </c>
      <c r="G1686">
        <v>-4.9776453534698062</v>
      </c>
      <c r="H1686" t="s">
        <v>2934</v>
      </c>
      <c r="I1686" t="s">
        <v>2935</v>
      </c>
      <c r="J1686">
        <v>2</v>
      </c>
      <c r="K1686" t="s">
        <v>984</v>
      </c>
      <c r="L1686">
        <v>455000</v>
      </c>
      <c r="M1686">
        <v>1.5</v>
      </c>
      <c r="N1686">
        <v>-4.9776453534698062</v>
      </c>
      <c r="O1686" t="s">
        <v>592</v>
      </c>
      <c r="P1686" t="s">
        <v>711</v>
      </c>
      <c r="Q1686" t="s">
        <v>586</v>
      </c>
      <c r="R1686" t="s">
        <v>712</v>
      </c>
      <c r="S1686" t="s">
        <v>712</v>
      </c>
      <c r="T1686">
        <v>84</v>
      </c>
    </row>
    <row r="1687" spans="1:20" x14ac:dyDescent="0.25">
      <c r="A1687" t="s">
        <v>2936</v>
      </c>
      <c r="B1687" t="s">
        <v>464</v>
      </c>
      <c r="C1687" t="s">
        <v>586</v>
      </c>
      <c r="D1687" t="s">
        <v>642</v>
      </c>
      <c r="E1687" t="s">
        <v>2933</v>
      </c>
      <c r="F1687">
        <v>1.7852153866024338</v>
      </c>
      <c r="G1687">
        <v>-6.267205289213873</v>
      </c>
      <c r="H1687" t="s">
        <v>2934</v>
      </c>
      <c r="I1687" t="s">
        <v>2935</v>
      </c>
      <c r="J1687">
        <v>2</v>
      </c>
      <c r="K1687" t="s">
        <v>1114</v>
      </c>
      <c r="L1687">
        <v>460000</v>
      </c>
      <c r="M1687">
        <v>1.6500000000000001</v>
      </c>
      <c r="N1687">
        <v>-6.267205289213873</v>
      </c>
      <c r="O1687" t="s">
        <v>592</v>
      </c>
      <c r="P1687" t="s">
        <v>711</v>
      </c>
      <c r="Q1687" t="s">
        <v>586</v>
      </c>
      <c r="R1687" t="s">
        <v>712</v>
      </c>
      <c r="S1687" t="s">
        <v>712</v>
      </c>
      <c r="T1687">
        <v>75</v>
      </c>
    </row>
    <row r="1688" spans="1:20" x14ac:dyDescent="0.25">
      <c r="A1688" t="s">
        <v>2937</v>
      </c>
      <c r="B1688" t="s">
        <v>151</v>
      </c>
      <c r="C1688" t="s">
        <v>586</v>
      </c>
      <c r="D1688" t="s">
        <v>608</v>
      </c>
      <c r="E1688" t="s">
        <v>1199</v>
      </c>
      <c r="F1688">
        <v>3.6089539318139255E-2</v>
      </c>
      <c r="G1688">
        <v>84.443186301369892</v>
      </c>
      <c r="H1688" t="s">
        <v>1045</v>
      </c>
      <c r="I1688" t="s">
        <v>885</v>
      </c>
      <c r="J1688">
        <v>3</v>
      </c>
      <c r="K1688" t="s">
        <v>1008</v>
      </c>
      <c r="L1688">
        <v>330000</v>
      </c>
      <c r="M1688">
        <v>2.2000000000000002</v>
      </c>
      <c r="N1688">
        <v>84.443186301369892</v>
      </c>
      <c r="O1688" t="s">
        <v>592</v>
      </c>
      <c r="P1688" t="s">
        <v>613</v>
      </c>
      <c r="Q1688" t="s">
        <v>586</v>
      </c>
      <c r="R1688" t="s">
        <v>712</v>
      </c>
      <c r="S1688" t="s">
        <v>712</v>
      </c>
      <c r="T1688">
        <v>99</v>
      </c>
    </row>
    <row r="1689" spans="1:20" x14ac:dyDescent="0.25">
      <c r="A1689" t="s">
        <v>2938</v>
      </c>
      <c r="B1689" t="s">
        <v>151</v>
      </c>
      <c r="C1689" t="s">
        <v>586</v>
      </c>
      <c r="D1689" t="s">
        <v>608</v>
      </c>
      <c r="E1689" t="s">
        <v>1199</v>
      </c>
      <c r="F1689">
        <v>1.0029168113474358</v>
      </c>
      <c r="G1689">
        <v>91.393983561643836</v>
      </c>
      <c r="H1689" t="s">
        <v>1045</v>
      </c>
      <c r="I1689" t="s">
        <v>885</v>
      </c>
      <c r="J1689">
        <v>3</v>
      </c>
      <c r="K1689" t="s">
        <v>920</v>
      </c>
      <c r="L1689">
        <v>330000</v>
      </c>
      <c r="M1689">
        <v>2.4000000000000004</v>
      </c>
      <c r="N1689">
        <v>91.393983561643836</v>
      </c>
      <c r="O1689" t="s">
        <v>592</v>
      </c>
      <c r="P1689" t="s">
        <v>613</v>
      </c>
      <c r="Q1689" t="s">
        <v>586</v>
      </c>
      <c r="R1689" t="s">
        <v>712</v>
      </c>
      <c r="S1689" t="s">
        <v>712</v>
      </c>
      <c r="T1689">
        <v>80</v>
      </c>
    </row>
    <row r="1690" spans="1:20" x14ac:dyDescent="0.25">
      <c r="A1690" t="s">
        <v>2939</v>
      </c>
      <c r="B1690" t="s">
        <v>151</v>
      </c>
      <c r="C1690" t="s">
        <v>586</v>
      </c>
      <c r="D1690" t="s">
        <v>608</v>
      </c>
      <c r="E1690" t="s">
        <v>1199</v>
      </c>
      <c r="F1690">
        <v>1.9395658706846135</v>
      </c>
      <c r="G1690">
        <v>97.846794520547959</v>
      </c>
      <c r="H1690" t="s">
        <v>1045</v>
      </c>
      <c r="I1690" t="s">
        <v>885</v>
      </c>
      <c r="J1690">
        <v>3</v>
      </c>
      <c r="K1690" t="s">
        <v>898</v>
      </c>
      <c r="L1690">
        <v>330000</v>
      </c>
      <c r="M1690">
        <v>2.6</v>
      </c>
      <c r="N1690">
        <v>97.846794520547959</v>
      </c>
      <c r="O1690" t="s">
        <v>592</v>
      </c>
      <c r="P1690" t="s">
        <v>613</v>
      </c>
      <c r="Q1690" t="s">
        <v>586</v>
      </c>
      <c r="R1690">
        <v>50000</v>
      </c>
      <c r="S1690" t="s">
        <v>712</v>
      </c>
      <c r="T1690">
        <v>69</v>
      </c>
    </row>
    <row r="1691" spans="1:20" x14ac:dyDescent="0.25">
      <c r="A1691" t="s">
        <v>2940</v>
      </c>
      <c r="B1691" t="s">
        <v>151</v>
      </c>
      <c r="C1691" t="s">
        <v>586</v>
      </c>
      <c r="D1691" t="s">
        <v>608</v>
      </c>
      <c r="E1691" t="s">
        <v>1199</v>
      </c>
      <c r="F1691">
        <v>3.7291624026234214</v>
      </c>
      <c r="G1691">
        <v>101.99569863013697</v>
      </c>
      <c r="H1691" t="s">
        <v>1045</v>
      </c>
      <c r="I1691" t="s">
        <v>885</v>
      </c>
      <c r="J1691">
        <v>3</v>
      </c>
      <c r="K1691" t="s">
        <v>1046</v>
      </c>
      <c r="L1691">
        <v>330000</v>
      </c>
      <c r="M1691">
        <v>2.9000000000000004</v>
      </c>
      <c r="N1691">
        <v>101.99569863013697</v>
      </c>
      <c r="O1691" t="s">
        <v>592</v>
      </c>
      <c r="P1691" t="s">
        <v>613</v>
      </c>
      <c r="Q1691" t="s">
        <v>586</v>
      </c>
      <c r="R1691" t="s">
        <v>712</v>
      </c>
      <c r="S1691" t="s">
        <v>712</v>
      </c>
      <c r="T1691">
        <v>52</v>
      </c>
    </row>
    <row r="1692" spans="1:20" x14ac:dyDescent="0.25">
      <c r="A1692" t="s">
        <v>2941</v>
      </c>
      <c r="B1692" t="s">
        <v>151</v>
      </c>
      <c r="C1692" t="s">
        <v>586</v>
      </c>
      <c r="D1692" t="s">
        <v>608</v>
      </c>
      <c r="E1692" t="s">
        <v>1199</v>
      </c>
      <c r="F1692">
        <v>4.5827709044346472</v>
      </c>
      <c r="G1692">
        <v>102.12860273972603</v>
      </c>
      <c r="H1692" t="s">
        <v>1045</v>
      </c>
      <c r="I1692" t="s">
        <v>885</v>
      </c>
      <c r="J1692">
        <v>3</v>
      </c>
      <c r="K1692" t="s">
        <v>1176</v>
      </c>
      <c r="L1692">
        <v>330000</v>
      </c>
      <c r="M1692">
        <v>3</v>
      </c>
      <c r="N1692">
        <v>102.12860273972603</v>
      </c>
      <c r="O1692" t="s">
        <v>592</v>
      </c>
      <c r="P1692" t="s">
        <v>613</v>
      </c>
      <c r="Q1692" t="s">
        <v>586</v>
      </c>
      <c r="R1692" t="s">
        <v>712</v>
      </c>
      <c r="S1692" t="s">
        <v>712</v>
      </c>
      <c r="T1692">
        <v>45</v>
      </c>
    </row>
    <row r="1693" spans="1:20" x14ac:dyDescent="0.25">
      <c r="A1693" t="s">
        <v>2942</v>
      </c>
      <c r="B1693" t="s">
        <v>465</v>
      </c>
      <c r="C1693" t="s">
        <v>586</v>
      </c>
      <c r="D1693" t="s">
        <v>608</v>
      </c>
      <c r="E1693" t="s">
        <v>609</v>
      </c>
      <c r="F1693">
        <v>3.6091816273131822E-2</v>
      </c>
      <c r="G1693">
        <v>75.124955987139131</v>
      </c>
      <c r="H1693" t="s">
        <v>892</v>
      </c>
      <c r="I1693" t="s">
        <v>885</v>
      </c>
      <c r="J1693">
        <v>3</v>
      </c>
      <c r="K1693" t="s">
        <v>1008</v>
      </c>
      <c r="L1693">
        <v>110000</v>
      </c>
      <c r="M1693">
        <v>2.5</v>
      </c>
      <c r="N1693">
        <v>75.124955987139131</v>
      </c>
      <c r="O1693" t="s">
        <v>592</v>
      </c>
      <c r="P1693" t="s">
        <v>613</v>
      </c>
      <c r="Q1693" t="s">
        <v>586</v>
      </c>
      <c r="R1693" t="s">
        <v>712</v>
      </c>
      <c r="S1693" t="s">
        <v>712</v>
      </c>
      <c r="T1693">
        <v>98</v>
      </c>
    </row>
    <row r="1694" spans="1:20" x14ac:dyDescent="0.25">
      <c r="A1694" t="s">
        <v>2943</v>
      </c>
      <c r="B1694" t="s">
        <v>465</v>
      </c>
      <c r="C1694" t="s">
        <v>586</v>
      </c>
      <c r="D1694" t="s">
        <v>608</v>
      </c>
      <c r="E1694" t="s">
        <v>609</v>
      </c>
      <c r="F1694">
        <v>1.0038229530043978</v>
      </c>
      <c r="G1694">
        <v>83.647035383672772</v>
      </c>
      <c r="H1694" t="s">
        <v>892</v>
      </c>
      <c r="I1694" t="s">
        <v>885</v>
      </c>
      <c r="J1694">
        <v>3</v>
      </c>
      <c r="K1694" t="s">
        <v>920</v>
      </c>
      <c r="L1694">
        <v>115000</v>
      </c>
      <c r="M1694">
        <v>2.75</v>
      </c>
      <c r="N1694">
        <v>83.647035383672772</v>
      </c>
      <c r="O1694" t="s">
        <v>592</v>
      </c>
      <c r="P1694" t="s">
        <v>613</v>
      </c>
      <c r="Q1694" t="s">
        <v>586</v>
      </c>
      <c r="R1694" t="s">
        <v>712</v>
      </c>
      <c r="S1694" t="s">
        <v>712</v>
      </c>
      <c r="T1694">
        <v>81</v>
      </c>
    </row>
    <row r="1695" spans="1:20" x14ac:dyDescent="0.25">
      <c r="A1695" t="s">
        <v>2944</v>
      </c>
      <c r="B1695" t="s">
        <v>465</v>
      </c>
      <c r="C1695" t="s">
        <v>586</v>
      </c>
      <c r="D1695" t="s">
        <v>608</v>
      </c>
      <c r="E1695" t="s">
        <v>609</v>
      </c>
      <c r="F1695">
        <v>1.9414196531446677</v>
      </c>
      <c r="G1695">
        <v>92.523893057811662</v>
      </c>
      <c r="H1695" t="s">
        <v>892</v>
      </c>
      <c r="I1695" t="s">
        <v>885</v>
      </c>
      <c r="J1695">
        <v>3</v>
      </c>
      <c r="K1695" t="s">
        <v>898</v>
      </c>
      <c r="L1695">
        <v>120000</v>
      </c>
      <c r="M1695">
        <v>3</v>
      </c>
      <c r="N1695">
        <v>92.523893057811662</v>
      </c>
      <c r="O1695" t="s">
        <v>592</v>
      </c>
      <c r="P1695" t="s">
        <v>613</v>
      </c>
      <c r="Q1695" t="s">
        <v>586</v>
      </c>
      <c r="R1695" t="s">
        <v>712</v>
      </c>
      <c r="S1695" t="s">
        <v>712</v>
      </c>
      <c r="T1695">
        <v>67</v>
      </c>
    </row>
    <row r="1696" spans="1:20" x14ac:dyDescent="0.25">
      <c r="A1696" t="s">
        <v>2945</v>
      </c>
      <c r="B1696" t="s">
        <v>465</v>
      </c>
      <c r="C1696" t="s">
        <v>586</v>
      </c>
      <c r="D1696" t="s">
        <v>608</v>
      </c>
      <c r="E1696" t="s">
        <v>609</v>
      </c>
      <c r="F1696">
        <v>2.8510511550641726</v>
      </c>
      <c r="G1696">
        <v>97.516813100569351</v>
      </c>
      <c r="H1696" t="s">
        <v>892</v>
      </c>
      <c r="I1696" t="s">
        <v>885</v>
      </c>
      <c r="J1696">
        <v>3</v>
      </c>
      <c r="K1696" t="s">
        <v>978</v>
      </c>
      <c r="L1696">
        <v>125000</v>
      </c>
      <c r="M1696">
        <v>3.2</v>
      </c>
      <c r="N1696">
        <v>97.516813100569351</v>
      </c>
      <c r="O1696" t="s">
        <v>592</v>
      </c>
      <c r="P1696" t="s">
        <v>613</v>
      </c>
      <c r="Q1696" t="s">
        <v>586</v>
      </c>
      <c r="R1696" t="s">
        <v>712</v>
      </c>
      <c r="S1696" t="s">
        <v>712</v>
      </c>
      <c r="T1696">
        <v>53</v>
      </c>
    </row>
    <row r="1697" spans="1:20" x14ac:dyDescent="0.25">
      <c r="A1697" t="s">
        <v>2946</v>
      </c>
      <c r="B1697" t="s">
        <v>465</v>
      </c>
      <c r="C1697" t="s">
        <v>586</v>
      </c>
      <c r="D1697" t="s">
        <v>608</v>
      </c>
      <c r="E1697" t="s">
        <v>609</v>
      </c>
      <c r="F1697">
        <v>3.7146497262189664</v>
      </c>
      <c r="G1697">
        <v>94.9531841977239</v>
      </c>
      <c r="H1697" t="s">
        <v>892</v>
      </c>
      <c r="I1697" t="s">
        <v>885</v>
      </c>
      <c r="J1697">
        <v>3.25</v>
      </c>
      <c r="K1697" t="s">
        <v>1046</v>
      </c>
      <c r="L1697">
        <v>130000</v>
      </c>
      <c r="M1697">
        <v>3.3000000000000003</v>
      </c>
      <c r="N1697">
        <v>94.9531841977239</v>
      </c>
      <c r="O1697" t="s">
        <v>592</v>
      </c>
      <c r="P1697" t="s">
        <v>613</v>
      </c>
      <c r="Q1697" t="s">
        <v>586</v>
      </c>
      <c r="R1697" t="s">
        <v>712</v>
      </c>
      <c r="S1697" t="s">
        <v>712</v>
      </c>
      <c r="T1697">
        <v>45</v>
      </c>
    </row>
    <row r="1698" spans="1:20" x14ac:dyDescent="0.25">
      <c r="A1698" t="s">
        <v>2947</v>
      </c>
      <c r="B1698" t="s">
        <v>465</v>
      </c>
      <c r="C1698" t="s">
        <v>586</v>
      </c>
      <c r="D1698" t="s">
        <v>608</v>
      </c>
      <c r="E1698" t="s">
        <v>609</v>
      </c>
      <c r="F1698">
        <v>4.5471449171332257</v>
      </c>
      <c r="G1698">
        <v>93.767697487133489</v>
      </c>
      <c r="H1698" t="s">
        <v>892</v>
      </c>
      <c r="I1698" t="s">
        <v>885</v>
      </c>
      <c r="J1698">
        <v>3.375</v>
      </c>
      <c r="K1698" t="s">
        <v>1176</v>
      </c>
      <c r="L1698">
        <v>140000</v>
      </c>
      <c r="M1698">
        <v>3.4000000000000004</v>
      </c>
      <c r="N1698">
        <v>93.767697487133489</v>
      </c>
      <c r="O1698" t="s">
        <v>592</v>
      </c>
      <c r="P1698" t="s">
        <v>613</v>
      </c>
      <c r="Q1698" t="s">
        <v>586</v>
      </c>
      <c r="R1698" t="s">
        <v>712</v>
      </c>
      <c r="S1698" t="s">
        <v>712</v>
      </c>
      <c r="T1698">
        <v>38</v>
      </c>
    </row>
    <row r="1699" spans="1:20" x14ac:dyDescent="0.25">
      <c r="A1699" t="s">
        <v>2948</v>
      </c>
      <c r="B1699" t="s">
        <v>465</v>
      </c>
      <c r="C1699" t="s">
        <v>586</v>
      </c>
      <c r="D1699" t="s">
        <v>608</v>
      </c>
      <c r="E1699" t="s">
        <v>609</v>
      </c>
      <c r="F1699">
        <v>3.6091848677259362E-2</v>
      </c>
      <c r="G1699">
        <v>96.722961643835603</v>
      </c>
      <c r="H1699" t="s">
        <v>1045</v>
      </c>
      <c r="I1699" t="s">
        <v>611</v>
      </c>
      <c r="J1699">
        <v>2.2999999999999998</v>
      </c>
      <c r="K1699" t="s">
        <v>1008</v>
      </c>
      <c r="L1699">
        <v>235000</v>
      </c>
      <c r="M1699">
        <v>2.3000000000000003</v>
      </c>
      <c r="N1699">
        <v>96.722961643835603</v>
      </c>
      <c r="O1699" t="s">
        <v>592</v>
      </c>
      <c r="P1699" t="s">
        <v>613</v>
      </c>
      <c r="Q1699" t="s">
        <v>586</v>
      </c>
      <c r="R1699" t="s">
        <v>712</v>
      </c>
      <c r="S1699" t="s">
        <v>712</v>
      </c>
      <c r="T1699">
        <v>94</v>
      </c>
    </row>
    <row r="1700" spans="1:20" x14ac:dyDescent="0.25">
      <c r="A1700" t="s">
        <v>2949</v>
      </c>
      <c r="B1700" t="s">
        <v>465</v>
      </c>
      <c r="C1700" t="s">
        <v>586</v>
      </c>
      <c r="D1700" t="s">
        <v>608</v>
      </c>
      <c r="E1700" t="s">
        <v>609</v>
      </c>
      <c r="F1700">
        <v>1.0076541968627564</v>
      </c>
      <c r="G1700">
        <v>99.027364383561661</v>
      </c>
      <c r="H1700" t="s">
        <v>1045</v>
      </c>
      <c r="I1700" t="s">
        <v>611</v>
      </c>
      <c r="J1700">
        <v>2.4500000000000002</v>
      </c>
      <c r="K1700" t="s">
        <v>920</v>
      </c>
      <c r="L1700">
        <v>235000</v>
      </c>
      <c r="M1700">
        <v>2.4500000000000002</v>
      </c>
      <c r="N1700">
        <v>99.027364383561661</v>
      </c>
      <c r="O1700" t="s">
        <v>592</v>
      </c>
      <c r="P1700" t="s">
        <v>613</v>
      </c>
      <c r="Q1700" t="s">
        <v>586</v>
      </c>
      <c r="R1700" t="s">
        <v>712</v>
      </c>
      <c r="S1700" t="s">
        <v>712</v>
      </c>
      <c r="T1700">
        <v>79</v>
      </c>
    </row>
    <row r="1701" spans="1:20" x14ac:dyDescent="0.25">
      <c r="A1701" t="s">
        <v>2950</v>
      </c>
      <c r="B1701" t="s">
        <v>465</v>
      </c>
      <c r="C1701" t="s">
        <v>586</v>
      </c>
      <c r="D1701" t="s">
        <v>608</v>
      </c>
      <c r="E1701" t="s">
        <v>609</v>
      </c>
      <c r="F1701">
        <v>1.9503333003062742</v>
      </c>
      <c r="G1701">
        <v>100.82245205479454</v>
      </c>
      <c r="H1701" t="s">
        <v>1045</v>
      </c>
      <c r="I1701" t="s">
        <v>611</v>
      </c>
      <c r="J1701">
        <v>2.6</v>
      </c>
      <c r="K1701" t="s">
        <v>898</v>
      </c>
      <c r="L1701">
        <v>235000</v>
      </c>
      <c r="M1701">
        <v>2.6</v>
      </c>
      <c r="N1701">
        <v>100.82245205479454</v>
      </c>
      <c r="O1701" t="s">
        <v>592</v>
      </c>
      <c r="P1701" t="s">
        <v>613</v>
      </c>
      <c r="Q1701" t="s">
        <v>586</v>
      </c>
      <c r="R1701" t="s">
        <v>712</v>
      </c>
      <c r="S1701" t="s">
        <v>712</v>
      </c>
      <c r="T1701">
        <v>65</v>
      </c>
    </row>
    <row r="1702" spans="1:20" x14ac:dyDescent="0.25">
      <c r="A1702" t="s">
        <v>2951</v>
      </c>
      <c r="B1702" t="s">
        <v>465</v>
      </c>
      <c r="C1702" t="s">
        <v>586</v>
      </c>
      <c r="D1702" t="s">
        <v>608</v>
      </c>
      <c r="E1702" t="s">
        <v>609</v>
      </c>
      <c r="F1702">
        <v>2.8600074421603368</v>
      </c>
      <c r="G1702">
        <v>107.53163013698628</v>
      </c>
      <c r="H1702" t="s">
        <v>1045</v>
      </c>
      <c r="I1702" t="s">
        <v>611</v>
      </c>
      <c r="J1702">
        <v>2.8</v>
      </c>
      <c r="K1702" t="s">
        <v>978</v>
      </c>
      <c r="L1702">
        <v>235000</v>
      </c>
      <c r="M1702">
        <v>2.8000000000000003</v>
      </c>
      <c r="N1702">
        <v>107.53163013698628</v>
      </c>
      <c r="O1702" t="s">
        <v>592</v>
      </c>
      <c r="P1702" t="s">
        <v>613</v>
      </c>
      <c r="Q1702" t="s">
        <v>586</v>
      </c>
      <c r="R1702" t="s">
        <v>712</v>
      </c>
      <c r="S1702" t="s">
        <v>712</v>
      </c>
      <c r="T1702">
        <v>52</v>
      </c>
    </row>
    <row r="1703" spans="1:20" x14ac:dyDescent="0.25">
      <c r="A1703" t="s">
        <v>2952</v>
      </c>
      <c r="B1703" t="s">
        <v>465</v>
      </c>
      <c r="C1703" t="s">
        <v>586</v>
      </c>
      <c r="D1703" t="s">
        <v>608</v>
      </c>
      <c r="E1703" t="s">
        <v>609</v>
      </c>
      <c r="F1703">
        <v>3.732792139542549</v>
      </c>
      <c r="G1703">
        <v>115.6234383561644</v>
      </c>
      <c r="H1703" t="s">
        <v>1045</v>
      </c>
      <c r="I1703" t="s">
        <v>611</v>
      </c>
      <c r="J1703">
        <v>3</v>
      </c>
      <c r="K1703" t="s">
        <v>1046</v>
      </c>
      <c r="L1703">
        <v>235000</v>
      </c>
      <c r="M1703">
        <v>3</v>
      </c>
      <c r="N1703">
        <v>115.6234383561644</v>
      </c>
      <c r="O1703" t="s">
        <v>592</v>
      </c>
      <c r="P1703" t="s">
        <v>613</v>
      </c>
      <c r="Q1703" t="s">
        <v>586</v>
      </c>
      <c r="R1703" t="s">
        <v>712</v>
      </c>
      <c r="S1703" t="s">
        <v>712</v>
      </c>
      <c r="T1703">
        <v>44</v>
      </c>
    </row>
    <row r="1704" spans="1:20" x14ac:dyDescent="0.25">
      <c r="A1704" t="s">
        <v>2953</v>
      </c>
      <c r="B1704" t="s">
        <v>465</v>
      </c>
      <c r="C1704" t="s">
        <v>586</v>
      </c>
      <c r="D1704" t="s">
        <v>608</v>
      </c>
      <c r="E1704" t="s">
        <v>609</v>
      </c>
      <c r="F1704">
        <v>4.5868475561606701</v>
      </c>
      <c r="G1704">
        <v>116.05842465753426</v>
      </c>
      <c r="H1704" t="s">
        <v>1045</v>
      </c>
      <c r="I1704" t="s">
        <v>611</v>
      </c>
      <c r="J1704">
        <v>3</v>
      </c>
      <c r="K1704" t="s">
        <v>1176</v>
      </c>
      <c r="L1704">
        <v>235000</v>
      </c>
      <c r="M1704">
        <v>3.1</v>
      </c>
      <c r="N1704">
        <v>116.05842465753426</v>
      </c>
      <c r="O1704" t="s">
        <v>592</v>
      </c>
      <c r="P1704" t="s">
        <v>613</v>
      </c>
      <c r="Q1704" t="s">
        <v>586</v>
      </c>
      <c r="R1704" t="s">
        <v>712</v>
      </c>
      <c r="S1704" t="s">
        <v>712</v>
      </c>
      <c r="T1704">
        <v>37</v>
      </c>
    </row>
    <row r="1705" spans="1:20" x14ac:dyDescent="0.25">
      <c r="A1705" t="s">
        <v>2954</v>
      </c>
      <c r="B1705" t="s">
        <v>108</v>
      </c>
      <c r="C1705" t="s">
        <v>586</v>
      </c>
      <c r="D1705" t="s">
        <v>608</v>
      </c>
      <c r="E1705" t="s">
        <v>756</v>
      </c>
      <c r="F1705">
        <v>3.6091816273131822E-2</v>
      </c>
      <c r="G1705">
        <v>84.443186301369892</v>
      </c>
      <c r="H1705" t="s">
        <v>1045</v>
      </c>
      <c r="I1705" t="s">
        <v>611</v>
      </c>
      <c r="J1705">
        <v>3</v>
      </c>
      <c r="K1705" t="s">
        <v>1008</v>
      </c>
      <c r="L1705">
        <v>200000</v>
      </c>
      <c r="M1705">
        <v>2.2000000000000002</v>
      </c>
      <c r="N1705">
        <v>84.443186301369892</v>
      </c>
      <c r="O1705" t="s">
        <v>592</v>
      </c>
      <c r="P1705" t="s">
        <v>613</v>
      </c>
      <c r="Q1705" t="s">
        <v>586</v>
      </c>
      <c r="R1705" t="s">
        <v>712</v>
      </c>
      <c r="S1705" t="s">
        <v>712</v>
      </c>
      <c r="T1705">
        <v>96</v>
      </c>
    </row>
    <row r="1706" spans="1:20" x14ac:dyDescent="0.25">
      <c r="A1706" t="s">
        <v>2955</v>
      </c>
      <c r="B1706" t="s">
        <v>108</v>
      </c>
      <c r="C1706" t="s">
        <v>586</v>
      </c>
      <c r="D1706" t="s">
        <v>608</v>
      </c>
      <c r="E1706" t="s">
        <v>756</v>
      </c>
      <c r="F1706">
        <v>1.0038229530043978</v>
      </c>
      <c r="G1706">
        <v>91.393983561643836</v>
      </c>
      <c r="H1706" t="s">
        <v>1045</v>
      </c>
      <c r="I1706" t="s">
        <v>611</v>
      </c>
      <c r="J1706">
        <v>3</v>
      </c>
      <c r="K1706" t="s">
        <v>920</v>
      </c>
      <c r="L1706">
        <v>200000</v>
      </c>
      <c r="M1706">
        <v>2.4000000000000004</v>
      </c>
      <c r="N1706">
        <v>91.393983561643836</v>
      </c>
      <c r="O1706" t="s">
        <v>592</v>
      </c>
      <c r="P1706" t="s">
        <v>613</v>
      </c>
      <c r="Q1706" t="s">
        <v>586</v>
      </c>
      <c r="R1706" t="s">
        <v>712</v>
      </c>
      <c r="S1706" t="s">
        <v>712</v>
      </c>
      <c r="T1706">
        <v>78</v>
      </c>
    </row>
    <row r="1707" spans="1:20" x14ac:dyDescent="0.25">
      <c r="A1707" t="s">
        <v>2956</v>
      </c>
      <c r="B1707" t="s">
        <v>108</v>
      </c>
      <c r="C1707" t="s">
        <v>586</v>
      </c>
      <c r="D1707" t="s">
        <v>608</v>
      </c>
      <c r="E1707" t="s">
        <v>756</v>
      </c>
      <c r="F1707">
        <v>1.9414196531446677</v>
      </c>
      <c r="G1707">
        <v>97.846794520547959</v>
      </c>
      <c r="H1707" t="s">
        <v>1045</v>
      </c>
      <c r="I1707" t="s">
        <v>611</v>
      </c>
      <c r="J1707">
        <v>3</v>
      </c>
      <c r="K1707" t="s">
        <v>898</v>
      </c>
      <c r="L1707">
        <v>200000</v>
      </c>
      <c r="M1707">
        <v>2.6</v>
      </c>
      <c r="N1707">
        <v>97.846794520547959</v>
      </c>
      <c r="O1707" t="s">
        <v>592</v>
      </c>
      <c r="P1707" t="s">
        <v>613</v>
      </c>
      <c r="Q1707" t="s">
        <v>586</v>
      </c>
      <c r="R1707" t="s">
        <v>712</v>
      </c>
      <c r="S1707" t="s">
        <v>712</v>
      </c>
      <c r="T1707">
        <v>62</v>
      </c>
    </row>
    <row r="1708" spans="1:20" x14ac:dyDescent="0.25">
      <c r="A1708" t="s">
        <v>2957</v>
      </c>
      <c r="B1708" t="s">
        <v>108</v>
      </c>
      <c r="C1708" t="s">
        <v>586</v>
      </c>
      <c r="D1708" t="s">
        <v>608</v>
      </c>
      <c r="E1708" t="s">
        <v>756</v>
      </c>
      <c r="F1708">
        <v>2.8510511550641726</v>
      </c>
      <c r="G1708">
        <v>104.2173424657534</v>
      </c>
      <c r="H1708" t="s">
        <v>1045</v>
      </c>
      <c r="I1708" t="s">
        <v>611</v>
      </c>
      <c r="J1708">
        <v>3</v>
      </c>
      <c r="K1708" t="s">
        <v>978</v>
      </c>
      <c r="L1708">
        <v>200000</v>
      </c>
      <c r="M1708">
        <v>2.8000000000000003</v>
      </c>
      <c r="N1708">
        <v>104.2173424657534</v>
      </c>
      <c r="O1708" t="s">
        <v>592</v>
      </c>
      <c r="P1708" t="s">
        <v>613</v>
      </c>
      <c r="Q1708" t="s">
        <v>586</v>
      </c>
      <c r="R1708" t="s">
        <v>712</v>
      </c>
      <c r="S1708" t="s">
        <v>712</v>
      </c>
      <c r="T1708">
        <v>45</v>
      </c>
    </row>
    <row r="1709" spans="1:20" x14ac:dyDescent="0.25">
      <c r="A1709" t="s">
        <v>2958</v>
      </c>
      <c r="B1709" t="s">
        <v>108</v>
      </c>
      <c r="C1709" t="s">
        <v>586</v>
      </c>
      <c r="D1709" t="s">
        <v>608</v>
      </c>
      <c r="E1709" t="s">
        <v>756</v>
      </c>
      <c r="F1709">
        <v>4.5868475561606701</v>
      </c>
      <c r="G1709">
        <v>102.12860273972603</v>
      </c>
      <c r="H1709" t="s">
        <v>1045</v>
      </c>
      <c r="I1709" t="s">
        <v>611</v>
      </c>
      <c r="J1709">
        <v>3</v>
      </c>
      <c r="K1709" t="s">
        <v>1176</v>
      </c>
      <c r="L1709">
        <v>200000</v>
      </c>
      <c r="M1709">
        <v>3</v>
      </c>
      <c r="N1709">
        <v>102.12860273972603</v>
      </c>
      <c r="O1709" t="s">
        <v>592</v>
      </c>
      <c r="P1709" t="s">
        <v>613</v>
      </c>
      <c r="Q1709" t="s">
        <v>586</v>
      </c>
      <c r="R1709" t="s">
        <v>712</v>
      </c>
      <c r="S1709" t="s">
        <v>712</v>
      </c>
      <c r="T1709">
        <v>29</v>
      </c>
    </row>
    <row r="1710" spans="1:20" x14ac:dyDescent="0.25">
      <c r="A1710" t="s">
        <v>2959</v>
      </c>
      <c r="B1710" t="s">
        <v>466</v>
      </c>
      <c r="C1710" t="s">
        <v>586</v>
      </c>
      <c r="D1710" t="s">
        <v>608</v>
      </c>
      <c r="E1710" t="s">
        <v>1199</v>
      </c>
      <c r="F1710">
        <v>3.6091096002697345E-2</v>
      </c>
      <c r="G1710">
        <v>109.96942294456562</v>
      </c>
      <c r="H1710" t="s">
        <v>1143</v>
      </c>
      <c r="I1710" t="s">
        <v>2960</v>
      </c>
      <c r="J1710">
        <v>2.25</v>
      </c>
      <c r="K1710" t="s">
        <v>1008</v>
      </c>
      <c r="L1710">
        <v>75000</v>
      </c>
      <c r="M1710">
        <v>2.25</v>
      </c>
      <c r="N1710">
        <v>109.96942294456562</v>
      </c>
      <c r="O1710" t="s">
        <v>592</v>
      </c>
      <c r="P1710" t="s">
        <v>613</v>
      </c>
      <c r="Q1710" t="s">
        <v>586</v>
      </c>
      <c r="R1710">
        <v>25000</v>
      </c>
      <c r="S1710" t="s">
        <v>712</v>
      </c>
      <c r="T1710">
        <v>9</v>
      </c>
    </row>
    <row r="1711" spans="1:20" x14ac:dyDescent="0.25">
      <c r="A1711" t="s">
        <v>2961</v>
      </c>
      <c r="B1711" t="s">
        <v>466</v>
      </c>
      <c r="C1711" t="s">
        <v>586</v>
      </c>
      <c r="D1711" t="s">
        <v>608</v>
      </c>
      <c r="E1711" t="s">
        <v>1199</v>
      </c>
      <c r="F1711">
        <v>1.0078952099787513</v>
      </c>
      <c r="G1711">
        <v>107.67582789200361</v>
      </c>
      <c r="H1711" t="s">
        <v>1143</v>
      </c>
      <c r="I1711" t="s">
        <v>2960</v>
      </c>
      <c r="J1711">
        <v>2.375</v>
      </c>
      <c r="K1711" t="s">
        <v>920</v>
      </c>
      <c r="L1711">
        <v>75000</v>
      </c>
      <c r="M1711">
        <v>2.375</v>
      </c>
      <c r="N1711">
        <v>107.67582789200361</v>
      </c>
      <c r="O1711" t="s">
        <v>592</v>
      </c>
      <c r="P1711" t="s">
        <v>613</v>
      </c>
      <c r="Q1711" t="s">
        <v>586</v>
      </c>
      <c r="R1711" t="s">
        <v>712</v>
      </c>
      <c r="S1711" t="s">
        <v>712</v>
      </c>
      <c r="T1711">
        <v>77</v>
      </c>
    </row>
    <row r="1712" spans="1:20" x14ac:dyDescent="0.25">
      <c r="A1712" t="s">
        <v>2962</v>
      </c>
      <c r="B1712" t="s">
        <v>466</v>
      </c>
      <c r="C1712" t="s">
        <v>586</v>
      </c>
      <c r="D1712" t="s">
        <v>608</v>
      </c>
      <c r="E1712" t="s">
        <v>1199</v>
      </c>
      <c r="F1712">
        <v>1.9492529906514922</v>
      </c>
      <c r="G1712">
        <v>117.51652194273893</v>
      </c>
      <c r="H1712" t="s">
        <v>1143</v>
      </c>
      <c r="I1712" t="s">
        <v>2960</v>
      </c>
      <c r="J1712">
        <v>2.625</v>
      </c>
      <c r="K1712" t="s">
        <v>898</v>
      </c>
      <c r="L1712">
        <v>75000</v>
      </c>
      <c r="M1712">
        <v>2.625</v>
      </c>
      <c r="N1712">
        <v>117.51652194273893</v>
      </c>
      <c r="O1712" t="s">
        <v>592</v>
      </c>
      <c r="P1712" t="s">
        <v>613</v>
      </c>
      <c r="Q1712" t="s">
        <v>586</v>
      </c>
      <c r="R1712" t="s">
        <v>712</v>
      </c>
      <c r="S1712" t="s">
        <v>712</v>
      </c>
      <c r="T1712">
        <v>60</v>
      </c>
    </row>
    <row r="1713" spans="1:20" x14ac:dyDescent="0.25">
      <c r="A1713" t="s">
        <v>2963</v>
      </c>
      <c r="B1713" t="s">
        <v>466</v>
      </c>
      <c r="C1713" t="s">
        <v>586</v>
      </c>
      <c r="D1713" t="s">
        <v>608</v>
      </c>
      <c r="E1713" t="s">
        <v>1199</v>
      </c>
      <c r="F1713">
        <v>2.8618002873959973</v>
      </c>
      <c r="G1713">
        <v>119.76660572999072</v>
      </c>
      <c r="H1713" t="s">
        <v>1143</v>
      </c>
      <c r="I1713" t="s">
        <v>2960</v>
      </c>
      <c r="J1713">
        <v>2.75</v>
      </c>
      <c r="K1713" t="s">
        <v>978</v>
      </c>
      <c r="L1713">
        <v>75000</v>
      </c>
      <c r="M1713">
        <v>2.8000000000000003</v>
      </c>
      <c r="N1713">
        <v>119.76660572999072</v>
      </c>
      <c r="O1713" t="s">
        <v>592</v>
      </c>
      <c r="P1713" t="s">
        <v>613</v>
      </c>
      <c r="Q1713" t="s">
        <v>586</v>
      </c>
      <c r="R1713" t="s">
        <v>712</v>
      </c>
      <c r="S1713" t="s">
        <v>712</v>
      </c>
      <c r="T1713">
        <v>45</v>
      </c>
    </row>
    <row r="1714" spans="1:20" x14ac:dyDescent="0.25">
      <c r="A1714" t="s">
        <v>2964</v>
      </c>
      <c r="B1714" t="s">
        <v>466</v>
      </c>
      <c r="C1714" t="s">
        <v>586</v>
      </c>
      <c r="D1714" t="s">
        <v>608</v>
      </c>
      <c r="E1714" t="s">
        <v>1199</v>
      </c>
      <c r="F1714">
        <v>3.7330224698955887</v>
      </c>
      <c r="G1714">
        <v>116.08645611857366</v>
      </c>
      <c r="H1714" t="s">
        <v>1143</v>
      </c>
      <c r="I1714" t="s">
        <v>2960</v>
      </c>
      <c r="J1714">
        <v>3</v>
      </c>
      <c r="K1714" t="s">
        <v>1046</v>
      </c>
      <c r="L1714">
        <v>75000</v>
      </c>
      <c r="M1714">
        <v>2.9000000000000004</v>
      </c>
      <c r="N1714">
        <v>116.08645611857366</v>
      </c>
      <c r="O1714" t="s">
        <v>592</v>
      </c>
      <c r="P1714" t="s">
        <v>613</v>
      </c>
      <c r="Q1714" t="s">
        <v>586</v>
      </c>
      <c r="R1714" t="s">
        <v>712</v>
      </c>
      <c r="S1714" t="s">
        <v>712</v>
      </c>
      <c r="T1714">
        <v>34</v>
      </c>
    </row>
    <row r="1715" spans="1:20" x14ac:dyDescent="0.25">
      <c r="A1715" t="s">
        <v>2965</v>
      </c>
      <c r="B1715" t="s">
        <v>466</v>
      </c>
      <c r="C1715" t="s">
        <v>586</v>
      </c>
      <c r="D1715" t="s">
        <v>608</v>
      </c>
      <c r="E1715" t="s">
        <v>1199</v>
      </c>
      <c r="F1715">
        <v>4.5888763772155476</v>
      </c>
      <c r="G1715">
        <v>115.09545342330108</v>
      </c>
      <c r="H1715" t="s">
        <v>1143</v>
      </c>
      <c r="I1715" t="s">
        <v>2960</v>
      </c>
      <c r="J1715">
        <v>3</v>
      </c>
      <c r="K1715" t="s">
        <v>1176</v>
      </c>
      <c r="L1715">
        <v>75000</v>
      </c>
      <c r="M1715">
        <v>3</v>
      </c>
      <c r="N1715">
        <v>115.09545342330108</v>
      </c>
      <c r="O1715" t="s">
        <v>592</v>
      </c>
      <c r="P1715" t="s">
        <v>613</v>
      </c>
      <c r="Q1715" t="s">
        <v>586</v>
      </c>
      <c r="R1715" t="s">
        <v>712</v>
      </c>
      <c r="S1715" t="s">
        <v>712</v>
      </c>
      <c r="T1715">
        <v>27</v>
      </c>
    </row>
    <row r="1716" spans="1:20" x14ac:dyDescent="0.25">
      <c r="A1716" t="s">
        <v>2966</v>
      </c>
      <c r="B1716" t="s">
        <v>467</v>
      </c>
      <c r="C1716" t="s">
        <v>607</v>
      </c>
      <c r="D1716" t="s">
        <v>2967</v>
      </c>
      <c r="E1716" t="s">
        <v>2968</v>
      </c>
      <c r="F1716">
        <v>5.555213930120954E-3</v>
      </c>
      <c r="G1716">
        <v>39.581129904299964</v>
      </c>
      <c r="H1716" t="s">
        <v>902</v>
      </c>
      <c r="I1716" t="s">
        <v>611</v>
      </c>
      <c r="J1716">
        <v>4</v>
      </c>
      <c r="K1716" t="s">
        <v>995</v>
      </c>
      <c r="L1716">
        <v>530000</v>
      </c>
      <c r="M1716">
        <v>1.52</v>
      </c>
      <c r="N1716">
        <v>39.581129904299964</v>
      </c>
      <c r="O1716" t="s">
        <v>592</v>
      </c>
      <c r="P1716" t="s">
        <v>593</v>
      </c>
      <c r="Q1716" t="s">
        <v>586</v>
      </c>
      <c r="R1716" t="s">
        <v>712</v>
      </c>
      <c r="S1716" t="s">
        <v>712</v>
      </c>
      <c r="T1716">
        <v>94</v>
      </c>
    </row>
    <row r="1717" spans="1:20" x14ac:dyDescent="0.25">
      <c r="A1717" t="s">
        <v>2969</v>
      </c>
      <c r="B1717" t="s">
        <v>467</v>
      </c>
      <c r="C1717" t="s">
        <v>607</v>
      </c>
      <c r="D1717" t="s">
        <v>2967</v>
      </c>
      <c r="E1717" t="s">
        <v>2968</v>
      </c>
      <c r="F1717">
        <v>0.97921887431423016</v>
      </c>
      <c r="G1717">
        <v>40.623314137624789</v>
      </c>
      <c r="H1717" t="s">
        <v>902</v>
      </c>
      <c r="I1717" t="s">
        <v>611</v>
      </c>
      <c r="J1717">
        <v>4</v>
      </c>
      <c r="K1717" t="s">
        <v>646</v>
      </c>
      <c r="L1717">
        <v>550000</v>
      </c>
      <c r="M1717">
        <v>1.68</v>
      </c>
      <c r="N1717">
        <v>40.623314137624789</v>
      </c>
      <c r="O1717" t="s">
        <v>592</v>
      </c>
      <c r="P1717" t="s">
        <v>593</v>
      </c>
      <c r="Q1717" t="s">
        <v>586</v>
      </c>
      <c r="R1717" t="s">
        <v>712</v>
      </c>
      <c r="S1717" t="s">
        <v>712</v>
      </c>
      <c r="T1717">
        <v>92</v>
      </c>
    </row>
    <row r="1718" spans="1:20" x14ac:dyDescent="0.25">
      <c r="A1718" t="s">
        <v>2970</v>
      </c>
      <c r="B1718" t="s">
        <v>467</v>
      </c>
      <c r="C1718" t="s">
        <v>607</v>
      </c>
      <c r="D1718" t="s">
        <v>2967</v>
      </c>
      <c r="E1718" t="s">
        <v>2968</v>
      </c>
      <c r="F1718">
        <v>1.9088846582172201</v>
      </c>
      <c r="G1718">
        <v>42.285924547543338</v>
      </c>
      <c r="H1718" t="s">
        <v>902</v>
      </c>
      <c r="I1718" t="s">
        <v>611</v>
      </c>
      <c r="J1718">
        <v>5</v>
      </c>
      <c r="K1718" t="s">
        <v>729</v>
      </c>
      <c r="L1718">
        <v>570000</v>
      </c>
      <c r="M1718">
        <v>1.85</v>
      </c>
      <c r="N1718">
        <v>42.285924547543338</v>
      </c>
      <c r="O1718" t="s">
        <v>592</v>
      </c>
      <c r="P1718" t="s">
        <v>593</v>
      </c>
      <c r="Q1718" t="s">
        <v>586</v>
      </c>
      <c r="R1718">
        <v>20000</v>
      </c>
      <c r="S1718" t="s">
        <v>712</v>
      </c>
      <c r="T1718">
        <v>84</v>
      </c>
    </row>
    <row r="1719" spans="1:20" x14ac:dyDescent="0.25">
      <c r="A1719" t="s">
        <v>2971</v>
      </c>
      <c r="B1719" t="s">
        <v>467</v>
      </c>
      <c r="C1719" t="s">
        <v>607</v>
      </c>
      <c r="D1719" t="s">
        <v>2967</v>
      </c>
      <c r="E1719" t="s">
        <v>2968</v>
      </c>
      <c r="F1719">
        <v>2.7989933788429715</v>
      </c>
      <c r="G1719">
        <v>43.865859727209866</v>
      </c>
      <c r="H1719" t="s">
        <v>902</v>
      </c>
      <c r="I1719" t="s">
        <v>611</v>
      </c>
      <c r="J1719">
        <v>5</v>
      </c>
      <c r="K1719" t="s">
        <v>817</v>
      </c>
      <c r="L1719">
        <v>600000</v>
      </c>
      <c r="M1719">
        <v>2.02</v>
      </c>
      <c r="N1719">
        <v>43.865859727209866</v>
      </c>
      <c r="O1719" t="s">
        <v>592</v>
      </c>
      <c r="P1719" t="s">
        <v>593</v>
      </c>
      <c r="Q1719" t="s">
        <v>586</v>
      </c>
      <c r="R1719">
        <v>30000</v>
      </c>
      <c r="S1719" t="s">
        <v>712</v>
      </c>
      <c r="T1719">
        <v>75</v>
      </c>
    </row>
    <row r="1720" spans="1:20" x14ac:dyDescent="0.25">
      <c r="A1720" t="s">
        <v>2972</v>
      </c>
      <c r="B1720" t="s">
        <v>467</v>
      </c>
      <c r="C1720" t="s">
        <v>607</v>
      </c>
      <c r="D1720" t="s">
        <v>2967</v>
      </c>
      <c r="E1720" t="s">
        <v>2968</v>
      </c>
      <c r="F1720">
        <v>3.6516289210172754</v>
      </c>
      <c r="G1720">
        <v>43.884893857337289</v>
      </c>
      <c r="H1720" t="s">
        <v>902</v>
      </c>
      <c r="I1720" t="s">
        <v>611</v>
      </c>
      <c r="J1720">
        <v>5</v>
      </c>
      <c r="K1720" t="s">
        <v>620</v>
      </c>
      <c r="L1720">
        <v>630000</v>
      </c>
      <c r="M1720">
        <v>2.16</v>
      </c>
      <c r="N1720">
        <v>43.884893857337289</v>
      </c>
      <c r="O1720" t="s">
        <v>592</v>
      </c>
      <c r="P1720" t="s">
        <v>593</v>
      </c>
      <c r="Q1720" t="s">
        <v>586</v>
      </c>
      <c r="R1720" t="s">
        <v>712</v>
      </c>
      <c r="S1720" t="s">
        <v>712</v>
      </c>
      <c r="T1720">
        <v>69</v>
      </c>
    </row>
    <row r="1721" spans="1:20" x14ac:dyDescent="0.25">
      <c r="A1721" t="s">
        <v>2973</v>
      </c>
      <c r="B1721" t="s">
        <v>468</v>
      </c>
      <c r="C1721" t="s">
        <v>607</v>
      </c>
      <c r="D1721" t="s">
        <v>608</v>
      </c>
      <c r="E1721" t="s">
        <v>1032</v>
      </c>
      <c r="F1721">
        <v>8.0476364534038364E-2</v>
      </c>
      <c r="G1721">
        <v>45.837786128501953</v>
      </c>
      <c r="H1721" t="s">
        <v>761</v>
      </c>
      <c r="I1721" t="s">
        <v>611</v>
      </c>
      <c r="J1721">
        <v>4</v>
      </c>
      <c r="K1721" t="s">
        <v>950</v>
      </c>
      <c r="L1721">
        <v>80000</v>
      </c>
      <c r="M1721">
        <v>1.6</v>
      </c>
      <c r="N1721">
        <v>45.837786128501953</v>
      </c>
      <c r="O1721" t="s">
        <v>592</v>
      </c>
      <c r="P1721" t="s">
        <v>613</v>
      </c>
      <c r="Q1721" t="s">
        <v>586</v>
      </c>
      <c r="R1721" t="s">
        <v>712</v>
      </c>
      <c r="S1721" t="s">
        <v>712</v>
      </c>
      <c r="T1721">
        <v>97</v>
      </c>
    </row>
    <row r="1722" spans="1:20" x14ac:dyDescent="0.25">
      <c r="A1722" t="s">
        <v>2974</v>
      </c>
      <c r="B1722" t="s">
        <v>468</v>
      </c>
      <c r="C1722" t="s">
        <v>607</v>
      </c>
      <c r="D1722" t="s">
        <v>608</v>
      </c>
      <c r="E1722" t="s">
        <v>1032</v>
      </c>
      <c r="F1722">
        <v>1.0423558926507521</v>
      </c>
      <c r="G1722">
        <v>46.070537342715021</v>
      </c>
      <c r="H1722" t="s">
        <v>761</v>
      </c>
      <c r="I1722" t="s">
        <v>611</v>
      </c>
      <c r="J1722">
        <v>4</v>
      </c>
      <c r="K1722" t="s">
        <v>612</v>
      </c>
      <c r="L1722">
        <v>80000</v>
      </c>
      <c r="M1722">
        <v>1.75</v>
      </c>
      <c r="N1722">
        <v>46.070537342715021</v>
      </c>
      <c r="O1722" t="s">
        <v>592</v>
      </c>
      <c r="P1722" t="s">
        <v>613</v>
      </c>
      <c r="Q1722" t="s">
        <v>586</v>
      </c>
      <c r="R1722" t="s">
        <v>712</v>
      </c>
      <c r="S1722" t="s">
        <v>712</v>
      </c>
      <c r="T1722">
        <v>90</v>
      </c>
    </row>
    <row r="1723" spans="1:20" x14ac:dyDescent="0.25">
      <c r="A1723" t="s">
        <v>2975</v>
      </c>
      <c r="B1723" t="s">
        <v>468</v>
      </c>
      <c r="C1723" t="s">
        <v>607</v>
      </c>
      <c r="D1723" t="s">
        <v>608</v>
      </c>
      <c r="E1723" t="s">
        <v>1032</v>
      </c>
      <c r="F1723">
        <v>1.9667578415634077</v>
      </c>
      <c r="G1723">
        <v>50.986045986450733</v>
      </c>
      <c r="H1723" t="s">
        <v>761</v>
      </c>
      <c r="I1723" t="s">
        <v>611</v>
      </c>
      <c r="J1723">
        <v>4</v>
      </c>
      <c r="K1723" t="s">
        <v>956</v>
      </c>
      <c r="L1723">
        <v>80000</v>
      </c>
      <c r="M1723">
        <v>1.95</v>
      </c>
      <c r="N1723">
        <v>50.986045986450733</v>
      </c>
      <c r="O1723" t="s">
        <v>592</v>
      </c>
      <c r="P1723" t="s">
        <v>613</v>
      </c>
      <c r="Q1723" t="s">
        <v>586</v>
      </c>
      <c r="R1723" t="s">
        <v>712</v>
      </c>
      <c r="S1723" t="s">
        <v>712</v>
      </c>
      <c r="T1723">
        <v>77</v>
      </c>
    </row>
    <row r="1724" spans="1:20" x14ac:dyDescent="0.25">
      <c r="A1724" t="s">
        <v>2976</v>
      </c>
      <c r="B1724" t="s">
        <v>469</v>
      </c>
      <c r="C1724" t="s">
        <v>607</v>
      </c>
      <c r="D1724" t="s">
        <v>863</v>
      </c>
      <c r="E1724" t="s">
        <v>2977</v>
      </c>
      <c r="F1724">
        <v>0.81953540544841996</v>
      </c>
      <c r="G1724">
        <v>33.891965360546216</v>
      </c>
      <c r="H1724" t="s">
        <v>2934</v>
      </c>
      <c r="I1724" t="s">
        <v>611</v>
      </c>
      <c r="J1724">
        <v>2</v>
      </c>
      <c r="K1724" t="s">
        <v>984</v>
      </c>
      <c r="L1724">
        <v>205000</v>
      </c>
      <c r="M1724">
        <v>1.87</v>
      </c>
      <c r="N1724">
        <v>33.891965360546216</v>
      </c>
      <c r="O1724" t="s">
        <v>592</v>
      </c>
      <c r="P1724" t="s">
        <v>711</v>
      </c>
      <c r="Q1724" t="s">
        <v>586</v>
      </c>
      <c r="R1724">
        <v>135000</v>
      </c>
      <c r="S1724" t="s">
        <v>712</v>
      </c>
      <c r="T1724">
        <v>85</v>
      </c>
    </row>
    <row r="1725" spans="1:20" x14ac:dyDescent="0.25">
      <c r="A1725" t="s">
        <v>2978</v>
      </c>
      <c r="B1725" t="s">
        <v>469</v>
      </c>
      <c r="C1725" t="s">
        <v>607</v>
      </c>
      <c r="D1725" t="s">
        <v>863</v>
      </c>
      <c r="E1725" t="s">
        <v>2977</v>
      </c>
      <c r="F1725">
        <v>1.7708682617204228</v>
      </c>
      <c r="G1725">
        <v>27.457734931299306</v>
      </c>
      <c r="H1725" t="s">
        <v>2934</v>
      </c>
      <c r="I1725" t="s">
        <v>611</v>
      </c>
      <c r="J1725">
        <v>3</v>
      </c>
      <c r="K1725" t="s">
        <v>1114</v>
      </c>
      <c r="L1725">
        <v>205000</v>
      </c>
      <c r="M1725">
        <v>1.97</v>
      </c>
      <c r="N1725">
        <v>27.457734931299306</v>
      </c>
      <c r="O1725" t="s">
        <v>592</v>
      </c>
      <c r="P1725" t="s">
        <v>711</v>
      </c>
      <c r="Q1725" t="s">
        <v>586</v>
      </c>
      <c r="R1725" t="s">
        <v>712</v>
      </c>
      <c r="S1725" t="s">
        <v>712</v>
      </c>
      <c r="T1725">
        <v>83</v>
      </c>
    </row>
    <row r="1726" spans="1:20" x14ac:dyDescent="0.25">
      <c r="A1726" t="s">
        <v>2979</v>
      </c>
      <c r="B1726" t="s">
        <v>469</v>
      </c>
      <c r="C1726" t="s">
        <v>607</v>
      </c>
      <c r="D1726" t="s">
        <v>863</v>
      </c>
      <c r="E1726" t="s">
        <v>2977</v>
      </c>
      <c r="F1726">
        <v>2.6970778099164963</v>
      </c>
      <c r="G1726">
        <v>30.222257027504696</v>
      </c>
      <c r="H1726" t="s">
        <v>2934</v>
      </c>
      <c r="I1726" t="s">
        <v>611</v>
      </c>
      <c r="J1726">
        <v>3</v>
      </c>
      <c r="K1726" t="s">
        <v>669</v>
      </c>
      <c r="L1726">
        <v>210000</v>
      </c>
      <c r="M1726">
        <v>2.16</v>
      </c>
      <c r="N1726">
        <v>30.222257027504696</v>
      </c>
      <c r="O1726" t="s">
        <v>592</v>
      </c>
      <c r="P1726" t="s">
        <v>711</v>
      </c>
      <c r="Q1726" t="s">
        <v>586</v>
      </c>
      <c r="R1726" t="s">
        <v>712</v>
      </c>
      <c r="S1726" t="s">
        <v>712</v>
      </c>
      <c r="T1726">
        <v>75</v>
      </c>
    </row>
    <row r="1727" spans="1:20" x14ac:dyDescent="0.25">
      <c r="A1727" t="s">
        <v>2980</v>
      </c>
      <c r="B1727" t="s">
        <v>469</v>
      </c>
      <c r="C1727" t="s">
        <v>607</v>
      </c>
      <c r="D1727" t="s">
        <v>863</v>
      </c>
      <c r="E1727" t="s">
        <v>2977</v>
      </c>
      <c r="F1727">
        <v>3.5966086317472339</v>
      </c>
      <c r="G1727">
        <v>30.664467748838842</v>
      </c>
      <c r="H1727" t="s">
        <v>2934</v>
      </c>
      <c r="I1727" t="s">
        <v>611</v>
      </c>
      <c r="J1727">
        <v>3</v>
      </c>
      <c r="K1727" t="s">
        <v>1163</v>
      </c>
      <c r="L1727">
        <v>215000</v>
      </c>
      <c r="M1727">
        <v>2.31</v>
      </c>
      <c r="N1727">
        <v>30.664467748838842</v>
      </c>
      <c r="O1727" t="s">
        <v>592</v>
      </c>
      <c r="P1727" t="s">
        <v>711</v>
      </c>
      <c r="Q1727" t="s">
        <v>586</v>
      </c>
      <c r="R1727" t="s">
        <v>712</v>
      </c>
      <c r="S1727" t="s">
        <v>712</v>
      </c>
      <c r="T1727">
        <v>69</v>
      </c>
    </row>
    <row r="1728" spans="1:20" x14ac:dyDescent="0.25">
      <c r="A1728" t="s">
        <v>2981</v>
      </c>
      <c r="B1728" t="s">
        <v>469</v>
      </c>
      <c r="C1728" t="s">
        <v>607</v>
      </c>
      <c r="D1728" t="s">
        <v>863</v>
      </c>
      <c r="E1728" t="s">
        <v>2977</v>
      </c>
      <c r="F1728">
        <v>4.4702795351917892</v>
      </c>
      <c r="G1728">
        <v>32.77976803510807</v>
      </c>
      <c r="H1728" t="s">
        <v>2934</v>
      </c>
      <c r="I1728" t="s">
        <v>611</v>
      </c>
      <c r="J1728">
        <v>3</v>
      </c>
      <c r="K1728" t="s">
        <v>722</v>
      </c>
      <c r="L1728">
        <v>220000</v>
      </c>
      <c r="M1728">
        <v>2.4500000000000002</v>
      </c>
      <c r="N1728">
        <v>32.77976803510807</v>
      </c>
      <c r="O1728" t="s">
        <v>592</v>
      </c>
      <c r="P1728" t="s">
        <v>711</v>
      </c>
      <c r="Q1728" t="s">
        <v>586</v>
      </c>
      <c r="R1728" t="s">
        <v>712</v>
      </c>
      <c r="S1728" t="s">
        <v>712</v>
      </c>
      <c r="T1728">
        <v>65</v>
      </c>
    </row>
    <row r="1729" spans="1:20" x14ac:dyDescent="0.25">
      <c r="A1729" t="s">
        <v>2982</v>
      </c>
      <c r="B1729" t="s">
        <v>470</v>
      </c>
      <c r="C1729" t="s">
        <v>586</v>
      </c>
      <c r="D1729" t="s">
        <v>587</v>
      </c>
      <c r="E1729" t="s">
        <v>588</v>
      </c>
      <c r="F1729">
        <v>8.0444364079900604E-2</v>
      </c>
      <c r="G1729">
        <v>65.54284931506848</v>
      </c>
      <c r="H1729" t="s">
        <v>1718</v>
      </c>
      <c r="I1729" t="s">
        <v>2983</v>
      </c>
      <c r="J1729">
        <v>2</v>
      </c>
      <c r="K1729" t="s">
        <v>950</v>
      </c>
      <c r="L1729">
        <v>40000</v>
      </c>
      <c r="M1729">
        <v>1.97</v>
      </c>
      <c r="N1729">
        <v>65.54284931506848</v>
      </c>
      <c r="O1729" t="s">
        <v>592</v>
      </c>
      <c r="P1729" t="s">
        <v>593</v>
      </c>
      <c r="Q1729" t="s">
        <v>586</v>
      </c>
      <c r="R1729" t="s">
        <v>712</v>
      </c>
      <c r="S1729" t="s">
        <v>712</v>
      </c>
      <c r="T1729">
        <v>86</v>
      </c>
    </row>
    <row r="1730" spans="1:20" x14ac:dyDescent="0.25">
      <c r="A1730" t="s">
        <v>2984</v>
      </c>
      <c r="B1730" t="s">
        <v>470</v>
      </c>
      <c r="C1730" t="s">
        <v>586</v>
      </c>
      <c r="D1730" t="s">
        <v>587</v>
      </c>
      <c r="E1730" t="s">
        <v>588</v>
      </c>
      <c r="F1730">
        <v>1.0535135594240397</v>
      </c>
      <c r="G1730">
        <v>73.020054794520561</v>
      </c>
      <c r="H1730" t="s">
        <v>1718</v>
      </c>
      <c r="I1730" t="s">
        <v>2983</v>
      </c>
      <c r="J1730">
        <v>2</v>
      </c>
      <c r="K1730" t="s">
        <v>612</v>
      </c>
      <c r="L1730">
        <v>45000</v>
      </c>
      <c r="M1730">
        <v>2.1800000000000002</v>
      </c>
      <c r="N1730">
        <v>73.020054794520561</v>
      </c>
      <c r="O1730" t="s">
        <v>592</v>
      </c>
      <c r="P1730" t="s">
        <v>593</v>
      </c>
      <c r="Q1730" t="s">
        <v>586</v>
      </c>
      <c r="R1730" t="s">
        <v>712</v>
      </c>
      <c r="S1730" t="s">
        <v>712</v>
      </c>
      <c r="T1730">
        <v>42</v>
      </c>
    </row>
    <row r="1731" spans="1:20" x14ac:dyDescent="0.25">
      <c r="A1731" t="s">
        <v>2985</v>
      </c>
      <c r="B1731" t="s">
        <v>470</v>
      </c>
      <c r="C1731" t="s">
        <v>586</v>
      </c>
      <c r="D1731" t="s">
        <v>587</v>
      </c>
      <c r="E1731" t="s">
        <v>588</v>
      </c>
      <c r="F1731">
        <v>1.9612129545077124</v>
      </c>
      <c r="G1731">
        <v>80.013219178082196</v>
      </c>
      <c r="H1731" t="s">
        <v>1718</v>
      </c>
      <c r="I1731" t="s">
        <v>2983</v>
      </c>
      <c r="J1731">
        <v>4</v>
      </c>
      <c r="K1731" t="s">
        <v>956</v>
      </c>
      <c r="L1731">
        <v>45000</v>
      </c>
      <c r="M1731">
        <v>2.39</v>
      </c>
      <c r="N1731">
        <v>80.013219178082196</v>
      </c>
      <c r="O1731" t="s">
        <v>592</v>
      </c>
      <c r="P1731" t="s">
        <v>593</v>
      </c>
      <c r="Q1731" t="s">
        <v>586</v>
      </c>
      <c r="R1731" t="s">
        <v>712</v>
      </c>
      <c r="S1731" t="s">
        <v>712</v>
      </c>
      <c r="T1731">
        <v>39</v>
      </c>
    </row>
    <row r="1732" spans="1:20" x14ac:dyDescent="0.25">
      <c r="A1732" t="s">
        <v>2986</v>
      </c>
      <c r="B1732" t="s">
        <v>471</v>
      </c>
      <c r="C1732" t="s">
        <v>586</v>
      </c>
      <c r="D1732" t="s">
        <v>587</v>
      </c>
      <c r="E1732" t="s">
        <v>588</v>
      </c>
      <c r="F1732">
        <v>8.0492071668539431E-2</v>
      </c>
      <c r="G1732">
        <v>-0.66814264607411022</v>
      </c>
      <c r="H1732" t="s">
        <v>792</v>
      </c>
      <c r="I1732" t="s">
        <v>661</v>
      </c>
      <c r="J1732">
        <v>5</v>
      </c>
      <c r="K1732" t="s">
        <v>950</v>
      </c>
      <c r="L1732">
        <v>960000</v>
      </c>
      <c r="M1732">
        <v>1.1599999999999999</v>
      </c>
      <c r="N1732">
        <v>-0.66814264607411022</v>
      </c>
      <c r="O1732" t="s">
        <v>592</v>
      </c>
      <c r="P1732" t="s">
        <v>593</v>
      </c>
      <c r="Q1732" t="s">
        <v>586</v>
      </c>
      <c r="R1732" t="s">
        <v>712</v>
      </c>
      <c r="S1732" t="s">
        <v>594</v>
      </c>
      <c r="T1732">
        <v>97</v>
      </c>
    </row>
    <row r="1733" spans="1:20" x14ac:dyDescent="0.25">
      <c r="A1733" t="s">
        <v>2987</v>
      </c>
      <c r="B1733" t="s">
        <v>471</v>
      </c>
      <c r="C1733" t="s">
        <v>586</v>
      </c>
      <c r="D1733" t="s">
        <v>587</v>
      </c>
      <c r="E1733" t="s">
        <v>588</v>
      </c>
      <c r="F1733">
        <v>1.0370754544464373</v>
      </c>
      <c r="G1733">
        <v>-0.84565061585446522</v>
      </c>
      <c r="H1733" t="s">
        <v>792</v>
      </c>
      <c r="I1733" t="s">
        <v>661</v>
      </c>
      <c r="J1733">
        <v>5</v>
      </c>
      <c r="K1733" t="s">
        <v>612</v>
      </c>
      <c r="L1733">
        <v>1010000</v>
      </c>
      <c r="M1733">
        <v>1.31</v>
      </c>
      <c r="N1733">
        <v>-0.84565061585446522</v>
      </c>
      <c r="O1733" t="s">
        <v>592</v>
      </c>
      <c r="P1733" t="s">
        <v>593</v>
      </c>
      <c r="Q1733" t="s">
        <v>586</v>
      </c>
      <c r="R1733">
        <v>100000</v>
      </c>
      <c r="S1733" t="s">
        <v>594</v>
      </c>
      <c r="T1733">
        <v>87</v>
      </c>
    </row>
    <row r="1734" spans="1:20" x14ac:dyDescent="0.25">
      <c r="A1734" t="s">
        <v>2988</v>
      </c>
      <c r="B1734" t="s">
        <v>471</v>
      </c>
      <c r="C1734" t="s">
        <v>586</v>
      </c>
      <c r="D1734" t="s">
        <v>587</v>
      </c>
      <c r="E1734" t="s">
        <v>588</v>
      </c>
      <c r="F1734">
        <v>1.9490732526935757</v>
      </c>
      <c r="G1734">
        <v>-2.1227972021268915</v>
      </c>
      <c r="H1734" t="s">
        <v>792</v>
      </c>
      <c r="I1734" t="s">
        <v>661</v>
      </c>
      <c r="J1734">
        <v>5</v>
      </c>
      <c r="K1734" t="s">
        <v>956</v>
      </c>
      <c r="L1734">
        <v>1060000</v>
      </c>
      <c r="M1734">
        <v>1.45</v>
      </c>
      <c r="N1734">
        <v>-2.1227972021268915</v>
      </c>
      <c r="O1734" t="s">
        <v>592</v>
      </c>
      <c r="P1734" t="s">
        <v>593</v>
      </c>
      <c r="Q1734" t="s">
        <v>586</v>
      </c>
      <c r="R1734">
        <v>50000</v>
      </c>
      <c r="S1734" t="s">
        <v>594</v>
      </c>
      <c r="T1734">
        <v>80</v>
      </c>
    </row>
    <row r="1735" spans="1:20" x14ac:dyDescent="0.25">
      <c r="A1735" t="s">
        <v>2989</v>
      </c>
      <c r="B1735" t="s">
        <v>471</v>
      </c>
      <c r="C1735" t="s">
        <v>586</v>
      </c>
      <c r="D1735" t="s">
        <v>587</v>
      </c>
      <c r="E1735" t="s">
        <v>588</v>
      </c>
      <c r="F1735">
        <v>2.8220874067774764</v>
      </c>
      <c r="G1735">
        <v>0.93698037751033247</v>
      </c>
      <c r="H1735" t="s">
        <v>792</v>
      </c>
      <c r="I1735" t="s">
        <v>661</v>
      </c>
      <c r="J1735">
        <v>5</v>
      </c>
      <c r="K1735" t="s">
        <v>1334</v>
      </c>
      <c r="L1735">
        <v>1115000</v>
      </c>
      <c r="M1735">
        <v>1.6300000000000001</v>
      </c>
      <c r="N1735">
        <v>0.93698037751033247</v>
      </c>
      <c r="O1735" t="s">
        <v>592</v>
      </c>
      <c r="P1735" t="s">
        <v>593</v>
      </c>
      <c r="Q1735" t="s">
        <v>586</v>
      </c>
      <c r="R1735">
        <v>75000</v>
      </c>
      <c r="S1735" t="s">
        <v>594</v>
      </c>
      <c r="T1735">
        <v>74</v>
      </c>
    </row>
    <row r="1736" spans="1:20" x14ac:dyDescent="0.25">
      <c r="A1736" t="s">
        <v>2990</v>
      </c>
      <c r="B1736" t="s">
        <v>471</v>
      </c>
      <c r="C1736" t="s">
        <v>586</v>
      </c>
      <c r="D1736" t="s">
        <v>587</v>
      </c>
      <c r="E1736" t="s">
        <v>588</v>
      </c>
      <c r="F1736">
        <v>3.6523624650111066</v>
      </c>
      <c r="G1736">
        <v>6.6715052027994881</v>
      </c>
      <c r="H1736" t="s">
        <v>792</v>
      </c>
      <c r="I1736" t="s">
        <v>661</v>
      </c>
      <c r="J1736">
        <v>5</v>
      </c>
      <c r="K1736" t="s">
        <v>1220</v>
      </c>
      <c r="L1736">
        <v>1175000</v>
      </c>
      <c r="M1736">
        <v>1.82</v>
      </c>
      <c r="N1736">
        <v>6.6715052027994881</v>
      </c>
      <c r="O1736" t="s">
        <v>592</v>
      </c>
      <c r="P1736" t="s">
        <v>593</v>
      </c>
      <c r="Q1736" t="s">
        <v>586</v>
      </c>
      <c r="R1736">
        <v>30000</v>
      </c>
      <c r="S1736" t="s">
        <v>594</v>
      </c>
      <c r="T1736">
        <v>70</v>
      </c>
    </row>
    <row r="1737" spans="1:20" x14ac:dyDescent="0.25">
      <c r="A1737" t="s">
        <v>2991</v>
      </c>
      <c r="B1737" t="s">
        <v>471</v>
      </c>
      <c r="C1737" t="s">
        <v>586</v>
      </c>
      <c r="D1737" t="s">
        <v>587</v>
      </c>
      <c r="E1737" t="s">
        <v>588</v>
      </c>
      <c r="F1737">
        <v>4.4628041873969941</v>
      </c>
      <c r="G1737">
        <v>8.2383705803379605</v>
      </c>
      <c r="H1737" t="s">
        <v>792</v>
      </c>
      <c r="I1737" t="s">
        <v>661</v>
      </c>
      <c r="J1737">
        <v>5</v>
      </c>
      <c r="K1737" t="s">
        <v>717</v>
      </c>
      <c r="L1737">
        <v>1235000</v>
      </c>
      <c r="M1737">
        <v>1.95</v>
      </c>
      <c r="N1737">
        <v>8.2383705803379605</v>
      </c>
      <c r="O1737" t="s">
        <v>592</v>
      </c>
      <c r="P1737" t="s">
        <v>593</v>
      </c>
      <c r="Q1737" t="s">
        <v>586</v>
      </c>
      <c r="R1737" t="s">
        <v>712</v>
      </c>
      <c r="S1737" t="s">
        <v>594</v>
      </c>
      <c r="T1737">
        <v>64</v>
      </c>
    </row>
    <row r="1738" spans="1:20" x14ac:dyDescent="0.25">
      <c r="A1738" t="s">
        <v>2992</v>
      </c>
      <c r="B1738" t="s">
        <v>461</v>
      </c>
      <c r="C1738" t="s">
        <v>586</v>
      </c>
      <c r="D1738" t="s">
        <v>1124</v>
      </c>
      <c r="E1738" t="s">
        <v>1314</v>
      </c>
      <c r="F1738">
        <v>0.49450725946598545</v>
      </c>
      <c r="G1738">
        <v>16.600275087785654</v>
      </c>
      <c r="H1738" t="s">
        <v>1926</v>
      </c>
      <c r="I1738" t="s">
        <v>919</v>
      </c>
      <c r="J1738">
        <v>3</v>
      </c>
      <c r="K1738" t="s">
        <v>807</v>
      </c>
      <c r="L1738">
        <v>840000</v>
      </c>
      <c r="M1738">
        <v>1.45</v>
      </c>
      <c r="N1738">
        <v>16.600275087785654</v>
      </c>
      <c r="O1738" t="s">
        <v>592</v>
      </c>
      <c r="P1738" t="s">
        <v>711</v>
      </c>
      <c r="Q1738" t="s">
        <v>586</v>
      </c>
      <c r="R1738" t="s">
        <v>712</v>
      </c>
      <c r="S1738" t="s">
        <v>712</v>
      </c>
      <c r="T1738">
        <v>87</v>
      </c>
    </row>
    <row r="1739" spans="1:20" x14ac:dyDescent="0.25">
      <c r="A1739" t="s">
        <v>2993</v>
      </c>
      <c r="B1739" t="s">
        <v>461</v>
      </c>
      <c r="C1739" t="s">
        <v>586</v>
      </c>
      <c r="D1739" t="s">
        <v>1124</v>
      </c>
      <c r="E1739" t="s">
        <v>1314</v>
      </c>
      <c r="F1739">
        <v>1.4631804601865444</v>
      </c>
      <c r="G1739">
        <v>19.279087257068795</v>
      </c>
      <c r="H1739" t="s">
        <v>1926</v>
      </c>
      <c r="I1739" t="s">
        <v>919</v>
      </c>
      <c r="J1739">
        <v>3</v>
      </c>
      <c r="K1739" t="s">
        <v>780</v>
      </c>
      <c r="L1739">
        <v>860000</v>
      </c>
      <c r="M1739">
        <v>1.62</v>
      </c>
      <c r="N1739">
        <v>19.279087257068795</v>
      </c>
      <c r="O1739" t="s">
        <v>592</v>
      </c>
      <c r="P1739" t="s">
        <v>711</v>
      </c>
      <c r="Q1739" t="s">
        <v>586</v>
      </c>
      <c r="R1739" t="s">
        <v>712</v>
      </c>
      <c r="S1739" t="s">
        <v>712</v>
      </c>
      <c r="T1739">
        <v>71</v>
      </c>
    </row>
    <row r="1740" spans="1:20" x14ac:dyDescent="0.25">
      <c r="A1740" t="s">
        <v>2994</v>
      </c>
      <c r="B1740" t="s">
        <v>49</v>
      </c>
      <c r="C1740" t="s">
        <v>586</v>
      </c>
      <c r="D1740" t="s">
        <v>601</v>
      </c>
      <c r="E1740" t="s">
        <v>773</v>
      </c>
      <c r="F1740">
        <v>0.11934926155612113</v>
      </c>
      <c r="G1740">
        <v>0.37509599017837569</v>
      </c>
      <c r="H1740" t="s">
        <v>774</v>
      </c>
      <c r="I1740" t="s">
        <v>1011</v>
      </c>
      <c r="J1740">
        <v>3</v>
      </c>
      <c r="K1740" t="s">
        <v>1105</v>
      </c>
      <c r="L1740">
        <v>120000</v>
      </c>
      <c r="M1740">
        <v>1.21</v>
      </c>
      <c r="N1740">
        <v>0.37509599017837569</v>
      </c>
      <c r="O1740" t="s">
        <v>592</v>
      </c>
      <c r="P1740" t="s">
        <v>593</v>
      </c>
      <c r="Q1740" t="s">
        <v>586</v>
      </c>
      <c r="R1740" t="s">
        <v>712</v>
      </c>
      <c r="S1740" t="s">
        <v>712</v>
      </c>
      <c r="T1740">
        <v>95</v>
      </c>
    </row>
    <row r="1741" spans="1:20" x14ac:dyDescent="0.25">
      <c r="A1741" t="s">
        <v>2995</v>
      </c>
      <c r="B1741" t="s">
        <v>49</v>
      </c>
      <c r="C1741" t="s">
        <v>586</v>
      </c>
      <c r="D1741" t="s">
        <v>601</v>
      </c>
      <c r="E1741" t="s">
        <v>773</v>
      </c>
      <c r="F1741">
        <v>1.0908195571437431</v>
      </c>
      <c r="G1741">
        <v>-1.026243077022726</v>
      </c>
      <c r="H1741" t="s">
        <v>774</v>
      </c>
      <c r="I1741" t="s">
        <v>1011</v>
      </c>
      <c r="J1741">
        <v>3</v>
      </c>
      <c r="K1741" t="s">
        <v>987</v>
      </c>
      <c r="L1741">
        <v>125000</v>
      </c>
      <c r="M1741">
        <v>1.34</v>
      </c>
      <c r="N1741">
        <v>-1.026243077022726</v>
      </c>
      <c r="O1741" t="s">
        <v>592</v>
      </c>
      <c r="P1741" t="s">
        <v>593</v>
      </c>
      <c r="Q1741" t="s">
        <v>586</v>
      </c>
      <c r="R1741" t="s">
        <v>712</v>
      </c>
      <c r="S1741" t="s">
        <v>712</v>
      </c>
      <c r="T1741">
        <v>73</v>
      </c>
    </row>
    <row r="1742" spans="1:20" x14ac:dyDescent="0.25">
      <c r="A1742" t="s">
        <v>2996</v>
      </c>
      <c r="B1742" t="s">
        <v>49</v>
      </c>
      <c r="C1742" t="s">
        <v>586</v>
      </c>
      <c r="D1742" t="s">
        <v>601</v>
      </c>
      <c r="E1742" t="s">
        <v>773</v>
      </c>
      <c r="F1742">
        <v>2.9493818396768154</v>
      </c>
      <c r="G1742">
        <v>2.2498917252468109</v>
      </c>
      <c r="H1742" t="s">
        <v>774</v>
      </c>
      <c r="I1742" t="s">
        <v>1011</v>
      </c>
      <c r="J1742">
        <v>3</v>
      </c>
      <c r="K1742" t="s">
        <v>1066</v>
      </c>
      <c r="L1742">
        <v>130000</v>
      </c>
      <c r="M1742">
        <v>1.67</v>
      </c>
      <c r="N1742">
        <v>2.2498917252468109</v>
      </c>
      <c r="O1742" t="s">
        <v>592</v>
      </c>
      <c r="P1742" t="s">
        <v>593</v>
      </c>
      <c r="Q1742" t="s">
        <v>586</v>
      </c>
      <c r="R1742" t="s">
        <v>712</v>
      </c>
      <c r="S1742" t="s">
        <v>712</v>
      </c>
      <c r="T1742">
        <v>70</v>
      </c>
    </row>
    <row r="1743" spans="1:20" x14ac:dyDescent="0.25">
      <c r="A1743" t="s">
        <v>2997</v>
      </c>
      <c r="B1743" t="s">
        <v>49</v>
      </c>
      <c r="C1743" t="s">
        <v>586</v>
      </c>
      <c r="D1743" t="s">
        <v>601</v>
      </c>
      <c r="E1743" t="s">
        <v>773</v>
      </c>
      <c r="F1743">
        <v>0.11934925683141917</v>
      </c>
      <c r="G1743">
        <v>1.3750959901783766</v>
      </c>
      <c r="H1743" t="s">
        <v>774</v>
      </c>
      <c r="I1743" t="s">
        <v>775</v>
      </c>
      <c r="J1743">
        <v>2</v>
      </c>
      <c r="K1743" t="s">
        <v>1105</v>
      </c>
      <c r="L1743">
        <v>1055000</v>
      </c>
      <c r="M1743">
        <v>1.22</v>
      </c>
      <c r="N1743">
        <v>1.3750959901783766</v>
      </c>
      <c r="O1743" t="s">
        <v>592</v>
      </c>
      <c r="P1743" t="s">
        <v>593</v>
      </c>
      <c r="Q1743" t="s">
        <v>586</v>
      </c>
      <c r="R1743">
        <v>25000</v>
      </c>
      <c r="S1743" t="s">
        <v>712</v>
      </c>
      <c r="T1743">
        <v>95</v>
      </c>
    </row>
    <row r="1744" spans="1:20" x14ac:dyDescent="0.25">
      <c r="A1744" t="s">
        <v>2998</v>
      </c>
      <c r="B1744" t="s">
        <v>49</v>
      </c>
      <c r="C1744" t="s">
        <v>586</v>
      </c>
      <c r="D1744" t="s">
        <v>601</v>
      </c>
      <c r="E1744" t="s">
        <v>773</v>
      </c>
      <c r="F1744">
        <v>1.0978145668831478</v>
      </c>
      <c r="G1744">
        <v>-2.6243077022725103E-2</v>
      </c>
      <c r="H1744" t="s">
        <v>774</v>
      </c>
      <c r="I1744" t="s">
        <v>775</v>
      </c>
      <c r="J1744">
        <v>2</v>
      </c>
      <c r="K1744" t="s">
        <v>987</v>
      </c>
      <c r="L1744">
        <v>1070000</v>
      </c>
      <c r="M1744">
        <v>1.35</v>
      </c>
      <c r="N1744">
        <v>-2.6243077022725103E-2</v>
      </c>
      <c r="O1744" t="s">
        <v>592</v>
      </c>
      <c r="P1744" t="s">
        <v>593</v>
      </c>
      <c r="Q1744" t="s">
        <v>586</v>
      </c>
      <c r="R1744" t="s">
        <v>712</v>
      </c>
      <c r="S1744" t="s">
        <v>712</v>
      </c>
      <c r="T1744">
        <v>67</v>
      </c>
    </row>
    <row r="1745" spans="1:20" x14ac:dyDescent="0.25">
      <c r="A1745" t="s">
        <v>2999</v>
      </c>
      <c r="B1745" t="s">
        <v>49</v>
      </c>
      <c r="C1745" t="s">
        <v>586</v>
      </c>
      <c r="D1745" t="s">
        <v>601</v>
      </c>
      <c r="E1745" t="s">
        <v>773</v>
      </c>
      <c r="F1745">
        <v>2.994783235157592</v>
      </c>
      <c r="G1745">
        <v>5.2498917252468136</v>
      </c>
      <c r="H1745" t="s">
        <v>774</v>
      </c>
      <c r="I1745" t="s">
        <v>775</v>
      </c>
      <c r="J1745">
        <v>2</v>
      </c>
      <c r="K1745" t="s">
        <v>1066</v>
      </c>
      <c r="L1745">
        <v>1105000</v>
      </c>
      <c r="M1745">
        <v>1.7000000000000002</v>
      </c>
      <c r="N1745">
        <v>5.2498917252468136</v>
      </c>
      <c r="O1745" t="s">
        <v>592</v>
      </c>
      <c r="P1745" t="s">
        <v>593</v>
      </c>
      <c r="Q1745" t="s">
        <v>586</v>
      </c>
      <c r="R1745">
        <v>40000</v>
      </c>
      <c r="S1745" t="s">
        <v>712</v>
      </c>
      <c r="T1745">
        <v>62</v>
      </c>
    </row>
    <row r="1746" spans="1:20" x14ac:dyDescent="0.25">
      <c r="A1746" t="s">
        <v>3000</v>
      </c>
      <c r="B1746" t="s">
        <v>472</v>
      </c>
      <c r="C1746" t="s">
        <v>607</v>
      </c>
      <c r="D1746" t="s">
        <v>608</v>
      </c>
      <c r="E1746" t="s">
        <v>1321</v>
      </c>
      <c r="F1746">
        <v>8.0466371697322556E-2</v>
      </c>
      <c r="G1746">
        <v>87.186060114626727</v>
      </c>
      <c r="H1746" t="s">
        <v>761</v>
      </c>
      <c r="I1746" t="s">
        <v>885</v>
      </c>
      <c r="J1746">
        <v>5.5</v>
      </c>
      <c r="K1746" t="s">
        <v>950</v>
      </c>
      <c r="L1746">
        <v>50000</v>
      </c>
      <c r="M1746">
        <v>2.25</v>
      </c>
      <c r="N1746">
        <v>87.186060114626727</v>
      </c>
      <c r="O1746" t="s">
        <v>592</v>
      </c>
      <c r="P1746" t="s">
        <v>613</v>
      </c>
      <c r="Q1746" t="s">
        <v>586</v>
      </c>
      <c r="R1746" t="s">
        <v>712</v>
      </c>
      <c r="S1746" t="s">
        <v>1098</v>
      </c>
      <c r="T1746">
        <v>98</v>
      </c>
    </row>
    <row r="1747" spans="1:20" x14ac:dyDescent="0.25">
      <c r="A1747" t="s">
        <v>3001</v>
      </c>
      <c r="B1747" t="s">
        <v>472</v>
      </c>
      <c r="C1747" t="s">
        <v>607</v>
      </c>
      <c r="D1747" t="s">
        <v>608</v>
      </c>
      <c r="E1747" t="s">
        <v>1321</v>
      </c>
      <c r="F1747">
        <v>1.0316623224795303</v>
      </c>
      <c r="G1747">
        <v>87.722576974312986</v>
      </c>
      <c r="H1747" t="s">
        <v>761</v>
      </c>
      <c r="I1747" t="s">
        <v>885</v>
      </c>
      <c r="J1747">
        <v>5.5</v>
      </c>
      <c r="K1747" t="s">
        <v>612</v>
      </c>
      <c r="L1747">
        <v>55000</v>
      </c>
      <c r="M1747">
        <v>2.4000000000000004</v>
      </c>
      <c r="N1747">
        <v>87.722576974312986</v>
      </c>
      <c r="O1747" t="s">
        <v>592</v>
      </c>
      <c r="P1747" t="s">
        <v>613</v>
      </c>
      <c r="Q1747" t="s">
        <v>586</v>
      </c>
      <c r="R1747" t="s">
        <v>712</v>
      </c>
      <c r="S1747" t="s">
        <v>1098</v>
      </c>
      <c r="T1747">
        <v>93</v>
      </c>
    </row>
    <row r="1748" spans="1:20" x14ac:dyDescent="0.25">
      <c r="A1748" t="s">
        <v>3002</v>
      </c>
      <c r="B1748" t="s">
        <v>472</v>
      </c>
      <c r="C1748" t="s">
        <v>607</v>
      </c>
      <c r="D1748" t="s">
        <v>608</v>
      </c>
      <c r="E1748" t="s">
        <v>1321</v>
      </c>
      <c r="F1748">
        <v>1.9346163868193569</v>
      </c>
      <c r="G1748">
        <v>82.950440746582103</v>
      </c>
      <c r="H1748" t="s">
        <v>761</v>
      </c>
      <c r="I1748" t="s">
        <v>885</v>
      </c>
      <c r="J1748">
        <v>5.5</v>
      </c>
      <c r="K1748" t="s">
        <v>956</v>
      </c>
      <c r="L1748">
        <v>55000</v>
      </c>
      <c r="M1748">
        <v>2.5</v>
      </c>
      <c r="N1748">
        <v>82.950440746582103</v>
      </c>
      <c r="O1748" t="s">
        <v>592</v>
      </c>
      <c r="P1748" t="s">
        <v>613</v>
      </c>
      <c r="Q1748" t="s">
        <v>586</v>
      </c>
      <c r="R1748" t="s">
        <v>712</v>
      </c>
      <c r="S1748" t="s">
        <v>1098</v>
      </c>
      <c r="T1748">
        <v>83</v>
      </c>
    </row>
    <row r="1749" spans="1:20" x14ac:dyDescent="0.25">
      <c r="A1749" t="s">
        <v>3003</v>
      </c>
      <c r="B1749" t="s">
        <v>473</v>
      </c>
      <c r="C1749" t="s">
        <v>607</v>
      </c>
      <c r="D1749" t="s">
        <v>608</v>
      </c>
      <c r="E1749" t="s">
        <v>609</v>
      </c>
      <c r="F1749">
        <v>8.0489198141356535E-2</v>
      </c>
      <c r="G1749">
        <v>93.608975342465769</v>
      </c>
      <c r="H1749" t="s">
        <v>1792</v>
      </c>
      <c r="I1749" t="s">
        <v>611</v>
      </c>
      <c r="J1749">
        <v>4</v>
      </c>
      <c r="K1749" t="s">
        <v>950</v>
      </c>
      <c r="L1749">
        <v>5000</v>
      </c>
      <c r="M1749">
        <v>2.2000000000000002</v>
      </c>
      <c r="N1749">
        <v>93.608975342465769</v>
      </c>
      <c r="O1749" t="s">
        <v>592</v>
      </c>
      <c r="P1749" t="s">
        <v>613</v>
      </c>
      <c r="Q1749" t="s">
        <v>586</v>
      </c>
      <c r="R1749" t="s">
        <v>712</v>
      </c>
      <c r="S1749" t="s">
        <v>878</v>
      </c>
      <c r="T1749">
        <v>99</v>
      </c>
    </row>
    <row r="1750" spans="1:20" x14ac:dyDescent="0.25">
      <c r="A1750" t="s">
        <v>3004</v>
      </c>
      <c r="B1750" t="s">
        <v>473</v>
      </c>
      <c r="C1750" t="s">
        <v>607</v>
      </c>
      <c r="D1750" t="s">
        <v>608</v>
      </c>
      <c r="E1750" t="s">
        <v>609</v>
      </c>
      <c r="F1750">
        <v>1.0434375952619614</v>
      </c>
      <c r="G1750">
        <v>90.082772602739709</v>
      </c>
      <c r="H1750" t="s">
        <v>1792</v>
      </c>
      <c r="I1750" t="s">
        <v>611</v>
      </c>
      <c r="J1750">
        <v>4</v>
      </c>
      <c r="K1750" t="s">
        <v>612</v>
      </c>
      <c r="L1750">
        <v>5000</v>
      </c>
      <c r="M1750">
        <v>2.3000000000000003</v>
      </c>
      <c r="N1750">
        <v>90.082772602739709</v>
      </c>
      <c r="O1750" t="s">
        <v>592</v>
      </c>
      <c r="P1750" t="s">
        <v>613</v>
      </c>
      <c r="Q1750" t="s">
        <v>586</v>
      </c>
      <c r="R1750" t="s">
        <v>712</v>
      </c>
      <c r="S1750" t="s">
        <v>878</v>
      </c>
      <c r="T1750">
        <v>89</v>
      </c>
    </row>
    <row r="1751" spans="1:20" x14ac:dyDescent="0.25">
      <c r="A1751" t="s">
        <v>3005</v>
      </c>
      <c r="B1751" t="s">
        <v>473</v>
      </c>
      <c r="C1751" t="s">
        <v>607</v>
      </c>
      <c r="D1751" t="s">
        <v>608</v>
      </c>
      <c r="E1751" t="s">
        <v>609</v>
      </c>
      <c r="F1751">
        <v>1.9689841682080365</v>
      </c>
      <c r="G1751">
        <v>86.074876712328759</v>
      </c>
      <c r="H1751" t="s">
        <v>1792</v>
      </c>
      <c r="I1751" t="s">
        <v>611</v>
      </c>
      <c r="J1751">
        <v>4</v>
      </c>
      <c r="K1751" t="s">
        <v>956</v>
      </c>
      <c r="L1751">
        <v>5000</v>
      </c>
      <c r="M1751">
        <v>2.4000000000000004</v>
      </c>
      <c r="N1751">
        <v>86.074876712328759</v>
      </c>
      <c r="O1751" t="s">
        <v>592</v>
      </c>
      <c r="P1751" t="s">
        <v>613</v>
      </c>
      <c r="Q1751" t="s">
        <v>586</v>
      </c>
      <c r="R1751" t="s">
        <v>712</v>
      </c>
      <c r="S1751" t="s">
        <v>878</v>
      </c>
      <c r="T1751">
        <v>80</v>
      </c>
    </row>
    <row r="1752" spans="1:20" x14ac:dyDescent="0.25">
      <c r="A1752" t="s">
        <v>3006</v>
      </c>
      <c r="B1752" t="s">
        <v>474</v>
      </c>
      <c r="C1752" t="s">
        <v>607</v>
      </c>
      <c r="D1752" t="s">
        <v>608</v>
      </c>
      <c r="E1752" t="s">
        <v>1321</v>
      </c>
      <c r="F1752">
        <v>0.32889730870066508</v>
      </c>
      <c r="G1752">
        <v>70.673443835616439</v>
      </c>
      <c r="H1752" t="s">
        <v>1033</v>
      </c>
      <c r="I1752" t="s">
        <v>1709</v>
      </c>
      <c r="J1752">
        <v>7.5</v>
      </c>
      <c r="K1752" t="s">
        <v>710</v>
      </c>
      <c r="L1752">
        <v>105000</v>
      </c>
      <c r="M1752">
        <v>2.1</v>
      </c>
      <c r="N1752">
        <v>70.673443835616439</v>
      </c>
      <c r="O1752" t="s">
        <v>592</v>
      </c>
      <c r="P1752" t="s">
        <v>613</v>
      </c>
      <c r="Q1752" t="s">
        <v>586</v>
      </c>
      <c r="R1752" t="s">
        <v>712</v>
      </c>
      <c r="S1752" t="s">
        <v>594</v>
      </c>
      <c r="T1752">
        <v>91</v>
      </c>
    </row>
    <row r="1753" spans="1:20" x14ac:dyDescent="0.25">
      <c r="A1753" t="s">
        <v>3007</v>
      </c>
      <c r="B1753" t="s">
        <v>474</v>
      </c>
      <c r="C1753" t="s">
        <v>607</v>
      </c>
      <c r="D1753" t="s">
        <v>608</v>
      </c>
      <c r="E1753" t="s">
        <v>1321</v>
      </c>
      <c r="F1753">
        <v>1.2656180998212931</v>
      </c>
      <c r="G1753">
        <v>67.438739726027407</v>
      </c>
      <c r="H1753" t="s">
        <v>1033</v>
      </c>
      <c r="I1753" t="s">
        <v>1709</v>
      </c>
      <c r="J1753">
        <v>7.5</v>
      </c>
      <c r="K1753" t="s">
        <v>758</v>
      </c>
      <c r="L1753">
        <v>105000</v>
      </c>
      <c r="M1753">
        <v>2.2000000000000002</v>
      </c>
      <c r="N1753">
        <v>67.438739726027407</v>
      </c>
      <c r="O1753" t="s">
        <v>592</v>
      </c>
      <c r="P1753" t="s">
        <v>613</v>
      </c>
      <c r="Q1753" t="s">
        <v>586</v>
      </c>
      <c r="R1753" t="s">
        <v>712</v>
      </c>
      <c r="S1753" t="s">
        <v>594</v>
      </c>
      <c r="T1753">
        <v>83</v>
      </c>
    </row>
    <row r="1754" spans="1:20" x14ac:dyDescent="0.25">
      <c r="A1754" t="s">
        <v>3008</v>
      </c>
      <c r="B1754" t="s">
        <v>474</v>
      </c>
      <c r="C1754" t="s">
        <v>607</v>
      </c>
      <c r="D1754" t="s">
        <v>608</v>
      </c>
      <c r="E1754" t="s">
        <v>1321</v>
      </c>
      <c r="F1754">
        <v>2.1426254865203322</v>
      </c>
      <c r="G1754">
        <v>68.821397260273983</v>
      </c>
      <c r="H1754" t="s">
        <v>1033</v>
      </c>
      <c r="I1754" t="s">
        <v>1709</v>
      </c>
      <c r="J1754">
        <v>7.5</v>
      </c>
      <c r="K1754" t="s">
        <v>972</v>
      </c>
      <c r="L1754">
        <v>100000</v>
      </c>
      <c r="M1754">
        <v>2.35</v>
      </c>
      <c r="N1754">
        <v>68.821397260273983</v>
      </c>
      <c r="O1754" t="s">
        <v>592</v>
      </c>
      <c r="P1754" t="s">
        <v>613</v>
      </c>
      <c r="Q1754" t="s">
        <v>586</v>
      </c>
      <c r="R1754">
        <v>30000</v>
      </c>
      <c r="S1754" t="s">
        <v>594</v>
      </c>
      <c r="T1754">
        <v>74</v>
      </c>
    </row>
    <row r="1755" spans="1:20" x14ac:dyDescent="0.25">
      <c r="A1755" t="s">
        <v>3009</v>
      </c>
      <c r="B1755" t="s">
        <v>475</v>
      </c>
      <c r="C1755" t="s">
        <v>586</v>
      </c>
      <c r="D1755" t="s">
        <v>1095</v>
      </c>
      <c r="E1755" t="s">
        <v>3010</v>
      </c>
      <c r="F1755">
        <v>1.9513375887480073</v>
      </c>
      <c r="G1755">
        <v>14.380293150684921</v>
      </c>
      <c r="H1755" t="s">
        <v>3011</v>
      </c>
      <c r="I1755" t="s">
        <v>611</v>
      </c>
      <c r="J1755">
        <v>5</v>
      </c>
      <c r="K1755" t="s">
        <v>956</v>
      </c>
      <c r="L1755">
        <v>550000</v>
      </c>
      <c r="M1755">
        <v>1.77</v>
      </c>
      <c r="N1755">
        <v>14.380293150684921</v>
      </c>
      <c r="O1755" t="s">
        <v>592</v>
      </c>
      <c r="P1755" t="s">
        <v>593</v>
      </c>
      <c r="Q1755" t="s">
        <v>586</v>
      </c>
      <c r="R1755" t="s">
        <v>712</v>
      </c>
      <c r="S1755" t="s">
        <v>712</v>
      </c>
      <c r="T1755">
        <v>68</v>
      </c>
    </row>
    <row r="1756" spans="1:20" x14ac:dyDescent="0.25">
      <c r="A1756" t="s">
        <v>3012</v>
      </c>
      <c r="B1756" t="s">
        <v>475</v>
      </c>
      <c r="C1756" t="s">
        <v>586</v>
      </c>
      <c r="D1756" t="s">
        <v>1095</v>
      </c>
      <c r="E1756" t="s">
        <v>3010</v>
      </c>
      <c r="F1756">
        <v>2.825701710811797</v>
      </c>
      <c r="G1756">
        <v>16.540093150684921</v>
      </c>
      <c r="H1756" t="s">
        <v>3011</v>
      </c>
      <c r="I1756" t="s">
        <v>611</v>
      </c>
      <c r="J1756">
        <v>5</v>
      </c>
      <c r="K1756" t="s">
        <v>1334</v>
      </c>
      <c r="L1756">
        <v>580000</v>
      </c>
      <c r="M1756">
        <v>1.93</v>
      </c>
      <c r="N1756">
        <v>16.540093150684921</v>
      </c>
      <c r="O1756" t="s">
        <v>592</v>
      </c>
      <c r="P1756" t="s">
        <v>593</v>
      </c>
      <c r="Q1756" t="s">
        <v>586</v>
      </c>
      <c r="R1756" t="s">
        <v>712</v>
      </c>
      <c r="S1756" t="s">
        <v>712</v>
      </c>
      <c r="T1756">
        <v>60</v>
      </c>
    </row>
    <row r="1757" spans="1:20" x14ac:dyDescent="0.25">
      <c r="A1757" t="s">
        <v>3013</v>
      </c>
      <c r="B1757" t="s">
        <v>475</v>
      </c>
      <c r="C1757" t="s">
        <v>586</v>
      </c>
      <c r="D1757" t="s">
        <v>1095</v>
      </c>
      <c r="E1757" t="s">
        <v>3010</v>
      </c>
      <c r="F1757">
        <v>3.6637511947465184</v>
      </c>
      <c r="G1757">
        <v>17.232328767123285</v>
      </c>
      <c r="H1757" t="s">
        <v>3011</v>
      </c>
      <c r="I1757" t="s">
        <v>611</v>
      </c>
      <c r="J1757">
        <v>5</v>
      </c>
      <c r="K1757" t="s">
        <v>1220</v>
      </c>
      <c r="L1757">
        <v>610000</v>
      </c>
      <c r="M1757">
        <v>2.06</v>
      </c>
      <c r="N1757">
        <v>17.232328767123285</v>
      </c>
      <c r="O1757" t="s">
        <v>592</v>
      </c>
      <c r="P1757" t="s">
        <v>593</v>
      </c>
      <c r="Q1757" t="s">
        <v>586</v>
      </c>
      <c r="R1757" t="s">
        <v>712</v>
      </c>
      <c r="S1757" t="s">
        <v>712</v>
      </c>
      <c r="T1757">
        <v>58</v>
      </c>
    </row>
    <row r="1758" spans="1:20" x14ac:dyDescent="0.25">
      <c r="A1758" t="s">
        <v>3014</v>
      </c>
      <c r="B1758" t="s">
        <v>475</v>
      </c>
      <c r="C1758" t="s">
        <v>586</v>
      </c>
      <c r="D1758" t="s">
        <v>1095</v>
      </c>
      <c r="E1758" t="s">
        <v>3010</v>
      </c>
      <c r="F1758">
        <v>4.4679867627279179</v>
      </c>
      <c r="G1758">
        <v>20.337526027397267</v>
      </c>
      <c r="H1758" t="s">
        <v>3011</v>
      </c>
      <c r="I1758" t="s">
        <v>611</v>
      </c>
      <c r="J1758">
        <v>5</v>
      </c>
      <c r="K1758" t="s">
        <v>717</v>
      </c>
      <c r="L1758">
        <v>640000</v>
      </c>
      <c r="M1758">
        <v>2.19</v>
      </c>
      <c r="N1758">
        <v>20.337526027397267</v>
      </c>
      <c r="O1758" t="s">
        <v>592</v>
      </c>
      <c r="P1758" t="s">
        <v>593</v>
      </c>
      <c r="Q1758" t="s">
        <v>586</v>
      </c>
      <c r="R1758" t="s">
        <v>712</v>
      </c>
      <c r="S1758" t="s">
        <v>712</v>
      </c>
      <c r="T1758">
        <v>53</v>
      </c>
    </row>
    <row r="1759" spans="1:20" x14ac:dyDescent="0.25">
      <c r="A1759" t="s">
        <v>3015</v>
      </c>
      <c r="B1759" t="s">
        <v>75</v>
      </c>
      <c r="C1759" t="s">
        <v>586</v>
      </c>
      <c r="D1759" t="s">
        <v>805</v>
      </c>
      <c r="E1759" t="s">
        <v>887</v>
      </c>
      <c r="F1759">
        <v>0.1193276871478744</v>
      </c>
      <c r="G1759">
        <v>-0.81591780821916871</v>
      </c>
      <c r="H1759" t="s">
        <v>888</v>
      </c>
      <c r="I1759" t="s">
        <v>889</v>
      </c>
      <c r="J1759">
        <v>2.25</v>
      </c>
      <c r="K1759" t="s">
        <v>1105</v>
      </c>
      <c r="L1759">
        <v>1540000</v>
      </c>
      <c r="M1759">
        <v>1.41</v>
      </c>
      <c r="N1759">
        <v>-0.81591780821916871</v>
      </c>
      <c r="O1759" t="s">
        <v>592</v>
      </c>
      <c r="P1759" t="s">
        <v>593</v>
      </c>
      <c r="Q1759" t="s">
        <v>586</v>
      </c>
      <c r="R1759">
        <v>100000</v>
      </c>
      <c r="S1759" t="s">
        <v>712</v>
      </c>
      <c r="T1759">
        <v>97</v>
      </c>
    </row>
    <row r="1760" spans="1:20" x14ac:dyDescent="0.25">
      <c r="A1760" t="s">
        <v>3016</v>
      </c>
      <c r="B1760" t="s">
        <v>75</v>
      </c>
      <c r="C1760" t="s">
        <v>586</v>
      </c>
      <c r="D1760" t="s">
        <v>805</v>
      </c>
      <c r="E1760" t="s">
        <v>887</v>
      </c>
      <c r="F1760">
        <v>1.0766278876465087</v>
      </c>
      <c r="G1760">
        <v>2.8288630136986459</v>
      </c>
      <c r="H1760" t="s">
        <v>888</v>
      </c>
      <c r="I1760" t="s">
        <v>889</v>
      </c>
      <c r="J1760">
        <v>5</v>
      </c>
      <c r="K1760" t="s">
        <v>987</v>
      </c>
      <c r="L1760">
        <v>1535000</v>
      </c>
      <c r="M1760">
        <v>1.57</v>
      </c>
      <c r="N1760">
        <v>2.8288630136986459</v>
      </c>
      <c r="O1760" t="s">
        <v>592</v>
      </c>
      <c r="P1760" t="s">
        <v>593</v>
      </c>
      <c r="Q1760" t="s">
        <v>586</v>
      </c>
      <c r="R1760">
        <v>400000</v>
      </c>
      <c r="S1760" t="s">
        <v>712</v>
      </c>
      <c r="T1760">
        <v>92</v>
      </c>
    </row>
    <row r="1761" spans="1:20" x14ac:dyDescent="0.25">
      <c r="A1761" t="s">
        <v>3017</v>
      </c>
      <c r="B1761" t="s">
        <v>75</v>
      </c>
      <c r="C1761" t="s">
        <v>586</v>
      </c>
      <c r="D1761" t="s">
        <v>805</v>
      </c>
      <c r="E1761" t="s">
        <v>887</v>
      </c>
      <c r="F1761">
        <v>2.8651751183674197</v>
      </c>
      <c r="G1761">
        <v>0.3180136986301374</v>
      </c>
      <c r="H1761" t="s">
        <v>888</v>
      </c>
      <c r="I1761" t="s">
        <v>889</v>
      </c>
      <c r="J1761">
        <v>5</v>
      </c>
      <c r="K1761" t="s">
        <v>1066</v>
      </c>
      <c r="L1761">
        <v>1535000</v>
      </c>
      <c r="M1761">
        <v>1.8</v>
      </c>
      <c r="N1761">
        <v>0.3180136986301374</v>
      </c>
      <c r="O1761" t="s">
        <v>592</v>
      </c>
      <c r="P1761" t="s">
        <v>593</v>
      </c>
      <c r="Q1761" t="s">
        <v>586</v>
      </c>
      <c r="R1761" t="s">
        <v>712</v>
      </c>
      <c r="S1761" t="s">
        <v>712</v>
      </c>
      <c r="T1761">
        <v>77</v>
      </c>
    </row>
    <row r="1762" spans="1:20" x14ac:dyDescent="0.25">
      <c r="A1762" t="s">
        <v>3018</v>
      </c>
      <c r="B1762" t="s">
        <v>75</v>
      </c>
      <c r="C1762" t="s">
        <v>586</v>
      </c>
      <c r="D1762" t="s">
        <v>805</v>
      </c>
      <c r="E1762" t="s">
        <v>887</v>
      </c>
      <c r="F1762">
        <v>3.7043005430487459</v>
      </c>
      <c r="G1762">
        <v>0.98230136986301453</v>
      </c>
      <c r="H1762" t="s">
        <v>888</v>
      </c>
      <c r="I1762" t="s">
        <v>889</v>
      </c>
      <c r="J1762">
        <v>5</v>
      </c>
      <c r="K1762" t="s">
        <v>1418</v>
      </c>
      <c r="L1762">
        <v>1520000</v>
      </c>
      <c r="M1762">
        <v>1.92</v>
      </c>
      <c r="N1762">
        <v>0.98230136986301453</v>
      </c>
      <c r="O1762" t="s">
        <v>592</v>
      </c>
      <c r="P1762" t="s">
        <v>593</v>
      </c>
      <c r="Q1762" t="s">
        <v>586</v>
      </c>
      <c r="R1762" t="s">
        <v>712</v>
      </c>
      <c r="S1762" t="s">
        <v>712</v>
      </c>
      <c r="T1762">
        <v>70</v>
      </c>
    </row>
    <row r="1763" spans="1:20" x14ac:dyDescent="0.25">
      <c r="A1763" t="s">
        <v>3019</v>
      </c>
      <c r="B1763" t="s">
        <v>75</v>
      </c>
      <c r="C1763" t="s">
        <v>586</v>
      </c>
      <c r="D1763" t="s">
        <v>805</v>
      </c>
      <c r="E1763" t="s">
        <v>887</v>
      </c>
      <c r="F1763">
        <v>4.5102250698765367</v>
      </c>
      <c r="G1763">
        <v>2.0274630136986271</v>
      </c>
      <c r="H1763" t="s">
        <v>888</v>
      </c>
      <c r="I1763" t="s">
        <v>889</v>
      </c>
      <c r="J1763">
        <v>5</v>
      </c>
      <c r="K1763" t="s">
        <v>785</v>
      </c>
      <c r="L1763">
        <v>1275000</v>
      </c>
      <c r="M1763">
        <v>2.02</v>
      </c>
      <c r="N1763">
        <v>2.0274630136986271</v>
      </c>
      <c r="O1763" t="s">
        <v>592</v>
      </c>
      <c r="P1763" t="s">
        <v>593</v>
      </c>
      <c r="Q1763" t="s">
        <v>586</v>
      </c>
      <c r="R1763" t="s">
        <v>712</v>
      </c>
      <c r="S1763" t="s">
        <v>712</v>
      </c>
      <c r="T1763">
        <v>64</v>
      </c>
    </row>
    <row r="1764" spans="1:20" x14ac:dyDescent="0.25">
      <c r="A1764" t="s">
        <v>3020</v>
      </c>
      <c r="B1764" t="s">
        <v>476</v>
      </c>
      <c r="C1764" t="s">
        <v>607</v>
      </c>
      <c r="D1764" t="s">
        <v>642</v>
      </c>
      <c r="E1764" t="s">
        <v>3021</v>
      </c>
      <c r="F1764">
        <v>1.7831331717236756</v>
      </c>
      <c r="G1764">
        <v>41.161027397260284</v>
      </c>
      <c r="H1764" t="s">
        <v>610</v>
      </c>
      <c r="I1764" t="s">
        <v>1037</v>
      </c>
      <c r="J1764">
        <v>2</v>
      </c>
      <c r="K1764" t="s">
        <v>1114</v>
      </c>
      <c r="L1764">
        <v>165000</v>
      </c>
      <c r="M1764">
        <v>2.1</v>
      </c>
      <c r="N1764">
        <v>41.161027397260284</v>
      </c>
      <c r="O1764" t="s">
        <v>592</v>
      </c>
      <c r="P1764" t="s">
        <v>745</v>
      </c>
      <c r="Q1764" t="s">
        <v>586</v>
      </c>
      <c r="R1764" t="s">
        <v>712</v>
      </c>
      <c r="S1764" t="s">
        <v>712</v>
      </c>
      <c r="T1764">
        <v>77</v>
      </c>
    </row>
    <row r="1765" spans="1:20" x14ac:dyDescent="0.25">
      <c r="A1765" t="s">
        <v>3022</v>
      </c>
      <c r="B1765" t="s">
        <v>476</v>
      </c>
      <c r="C1765" t="s">
        <v>607</v>
      </c>
      <c r="D1765" t="s">
        <v>642</v>
      </c>
      <c r="E1765" t="s">
        <v>3021</v>
      </c>
      <c r="F1765">
        <v>2.719505729283751</v>
      </c>
      <c r="G1765">
        <v>45.584726027397274</v>
      </c>
      <c r="H1765" t="s">
        <v>610</v>
      </c>
      <c r="I1765" t="s">
        <v>1037</v>
      </c>
      <c r="J1765">
        <v>2.25</v>
      </c>
      <c r="K1765" t="s">
        <v>669</v>
      </c>
      <c r="L1765">
        <v>165000</v>
      </c>
      <c r="M1765">
        <v>2.25</v>
      </c>
      <c r="N1765">
        <v>45.584726027397274</v>
      </c>
      <c r="O1765" t="s">
        <v>592</v>
      </c>
      <c r="P1765" t="s">
        <v>745</v>
      </c>
      <c r="Q1765" t="s">
        <v>586</v>
      </c>
      <c r="R1765" t="s">
        <v>712</v>
      </c>
      <c r="S1765" t="s">
        <v>712</v>
      </c>
      <c r="T1765">
        <v>67</v>
      </c>
    </row>
    <row r="1766" spans="1:20" x14ac:dyDescent="0.25">
      <c r="A1766" t="s">
        <v>3023</v>
      </c>
      <c r="B1766" t="s">
        <v>477</v>
      </c>
      <c r="C1766" t="s">
        <v>586</v>
      </c>
      <c r="D1766" t="s">
        <v>741</v>
      </c>
      <c r="E1766" t="s">
        <v>2339</v>
      </c>
      <c r="F1766">
        <v>0.41176870092214191</v>
      </c>
      <c r="G1766">
        <v>28.172186964394296</v>
      </c>
      <c r="H1766" t="s">
        <v>2821</v>
      </c>
      <c r="I1766" t="s">
        <v>1137</v>
      </c>
      <c r="J1766">
        <v>4</v>
      </c>
      <c r="K1766" t="s">
        <v>686</v>
      </c>
      <c r="L1766">
        <v>445000</v>
      </c>
      <c r="M1766">
        <v>1.55</v>
      </c>
      <c r="N1766">
        <v>28.172186964394296</v>
      </c>
      <c r="O1766" t="s">
        <v>592</v>
      </c>
      <c r="P1766" t="s">
        <v>621</v>
      </c>
      <c r="Q1766" t="s">
        <v>586</v>
      </c>
      <c r="R1766" t="s">
        <v>712</v>
      </c>
      <c r="S1766" t="s">
        <v>712</v>
      </c>
      <c r="T1766">
        <v>95</v>
      </c>
    </row>
    <row r="1767" spans="1:20" x14ac:dyDescent="0.25">
      <c r="A1767" t="s">
        <v>3024</v>
      </c>
      <c r="B1767" t="s">
        <v>477</v>
      </c>
      <c r="C1767" t="s">
        <v>586</v>
      </c>
      <c r="D1767" t="s">
        <v>741</v>
      </c>
      <c r="E1767" t="s">
        <v>2339</v>
      </c>
      <c r="F1767">
        <v>1.3726200592875335</v>
      </c>
      <c r="G1767">
        <v>25.310546900856302</v>
      </c>
      <c r="H1767" t="s">
        <v>2821</v>
      </c>
      <c r="I1767" t="s">
        <v>1137</v>
      </c>
      <c r="J1767">
        <v>4</v>
      </c>
      <c r="K1767" t="s">
        <v>946</v>
      </c>
      <c r="L1767">
        <v>465000</v>
      </c>
      <c r="M1767">
        <v>1.67</v>
      </c>
      <c r="N1767">
        <v>25.310546900856302</v>
      </c>
      <c r="O1767" t="s">
        <v>592</v>
      </c>
      <c r="P1767" t="s">
        <v>621</v>
      </c>
      <c r="Q1767" t="s">
        <v>586</v>
      </c>
      <c r="R1767" t="s">
        <v>712</v>
      </c>
      <c r="S1767" t="s">
        <v>712</v>
      </c>
      <c r="T1767">
        <v>88</v>
      </c>
    </row>
    <row r="1768" spans="1:20" x14ac:dyDescent="0.25">
      <c r="A1768" t="s">
        <v>3025</v>
      </c>
      <c r="B1768" t="s">
        <v>477</v>
      </c>
      <c r="C1768" t="s">
        <v>586</v>
      </c>
      <c r="D1768" t="s">
        <v>741</v>
      </c>
      <c r="E1768" t="s">
        <v>2339</v>
      </c>
      <c r="F1768">
        <v>2.2974470955223274</v>
      </c>
      <c r="G1768">
        <v>28.249306189478297</v>
      </c>
      <c r="H1768" t="s">
        <v>2821</v>
      </c>
      <c r="I1768" t="s">
        <v>1137</v>
      </c>
      <c r="J1768">
        <v>4</v>
      </c>
      <c r="K1768" t="s">
        <v>747</v>
      </c>
      <c r="L1768">
        <v>485000</v>
      </c>
      <c r="M1768">
        <v>1.85</v>
      </c>
      <c r="N1768">
        <v>28.249306189478297</v>
      </c>
      <c r="O1768" t="s">
        <v>592</v>
      </c>
      <c r="P1768" t="s">
        <v>621</v>
      </c>
      <c r="Q1768" t="s">
        <v>586</v>
      </c>
      <c r="R1768">
        <v>10000</v>
      </c>
      <c r="S1768" t="s">
        <v>712</v>
      </c>
      <c r="T1768">
        <v>78</v>
      </c>
    </row>
    <row r="1769" spans="1:20" x14ac:dyDescent="0.25">
      <c r="A1769" t="s">
        <v>3026</v>
      </c>
      <c r="B1769" t="s">
        <v>477</v>
      </c>
      <c r="C1769" t="s">
        <v>586</v>
      </c>
      <c r="D1769" t="s">
        <v>741</v>
      </c>
      <c r="E1769" t="s">
        <v>2339</v>
      </c>
      <c r="F1769">
        <v>3.1887878732948192</v>
      </c>
      <c r="G1769">
        <v>33.888552979347075</v>
      </c>
      <c r="H1769" t="s">
        <v>2821</v>
      </c>
      <c r="I1769" t="s">
        <v>1137</v>
      </c>
      <c r="J1769">
        <v>4</v>
      </c>
      <c r="K1769" t="s">
        <v>815</v>
      </c>
      <c r="L1769">
        <v>505000</v>
      </c>
      <c r="M1769">
        <v>2.0499999999999998</v>
      </c>
      <c r="N1769">
        <v>33.888552979347075</v>
      </c>
      <c r="O1769" t="s">
        <v>592</v>
      </c>
      <c r="P1769" t="s">
        <v>621</v>
      </c>
      <c r="Q1769" t="s">
        <v>586</v>
      </c>
      <c r="R1769" t="s">
        <v>712</v>
      </c>
      <c r="S1769" t="s">
        <v>712</v>
      </c>
      <c r="T1769">
        <v>69</v>
      </c>
    </row>
    <row r="1770" spans="1:20" x14ac:dyDescent="0.25">
      <c r="A1770" t="s">
        <v>3027</v>
      </c>
      <c r="B1770" t="s">
        <v>477</v>
      </c>
      <c r="C1770" t="s">
        <v>586</v>
      </c>
      <c r="D1770" t="s">
        <v>741</v>
      </c>
      <c r="E1770" t="s">
        <v>2339</v>
      </c>
      <c r="F1770">
        <v>4.0481369803694758</v>
      </c>
      <c r="G1770">
        <v>36.520106741941902</v>
      </c>
      <c r="H1770" t="s">
        <v>2821</v>
      </c>
      <c r="I1770" t="s">
        <v>1137</v>
      </c>
      <c r="J1770">
        <v>4</v>
      </c>
      <c r="K1770" t="s">
        <v>1043</v>
      </c>
      <c r="L1770">
        <v>520000</v>
      </c>
      <c r="M1770">
        <v>2.2000000000000002</v>
      </c>
      <c r="N1770">
        <v>36.520106741941902</v>
      </c>
      <c r="O1770" t="s">
        <v>592</v>
      </c>
      <c r="P1770" t="s">
        <v>621</v>
      </c>
      <c r="Q1770" t="s">
        <v>586</v>
      </c>
      <c r="R1770" t="s">
        <v>712</v>
      </c>
      <c r="S1770" t="s">
        <v>712</v>
      </c>
      <c r="T1770">
        <v>61</v>
      </c>
    </row>
    <row r="1771" spans="1:20" x14ac:dyDescent="0.25">
      <c r="A1771" t="s">
        <v>3028</v>
      </c>
      <c r="B1771" t="s">
        <v>478</v>
      </c>
      <c r="C1771" t="s">
        <v>586</v>
      </c>
      <c r="D1771" t="s">
        <v>795</v>
      </c>
      <c r="E1771" t="s">
        <v>3029</v>
      </c>
      <c r="F1771">
        <v>0.16359490184386635</v>
      </c>
      <c r="G1771">
        <v>11.97573337952309</v>
      </c>
      <c r="H1771" t="s">
        <v>932</v>
      </c>
      <c r="I1771" t="s">
        <v>1233</v>
      </c>
      <c r="J1771">
        <v>2.25</v>
      </c>
      <c r="K1771" t="s">
        <v>749</v>
      </c>
      <c r="L1771">
        <v>560000</v>
      </c>
      <c r="M1771">
        <v>1.7000000000000002</v>
      </c>
      <c r="N1771">
        <v>11.97573337952309</v>
      </c>
      <c r="O1771" t="s">
        <v>592</v>
      </c>
      <c r="P1771" t="s">
        <v>711</v>
      </c>
      <c r="Q1771" t="s">
        <v>586</v>
      </c>
      <c r="R1771" t="s">
        <v>712</v>
      </c>
      <c r="S1771" t="s">
        <v>712</v>
      </c>
      <c r="T1771">
        <v>95</v>
      </c>
    </row>
    <row r="1772" spans="1:20" x14ac:dyDescent="0.25">
      <c r="A1772" t="s">
        <v>3030</v>
      </c>
      <c r="B1772" t="s">
        <v>478</v>
      </c>
      <c r="C1772" t="s">
        <v>586</v>
      </c>
      <c r="D1772" t="s">
        <v>795</v>
      </c>
      <c r="E1772" t="s">
        <v>3029</v>
      </c>
      <c r="F1772">
        <v>1.1375894078557096</v>
      </c>
      <c r="G1772">
        <v>10.285101884375081</v>
      </c>
      <c r="H1772" t="s">
        <v>932</v>
      </c>
      <c r="I1772" t="s">
        <v>1233</v>
      </c>
      <c r="J1772">
        <v>2.25</v>
      </c>
      <c r="K1772" t="s">
        <v>598</v>
      </c>
      <c r="L1772">
        <v>575000</v>
      </c>
      <c r="M1772">
        <v>1.85</v>
      </c>
      <c r="N1772">
        <v>10.285101884375081</v>
      </c>
      <c r="O1772" t="s">
        <v>592</v>
      </c>
      <c r="P1772" t="s">
        <v>711</v>
      </c>
      <c r="Q1772" t="s">
        <v>586</v>
      </c>
      <c r="R1772" t="s">
        <v>712</v>
      </c>
      <c r="S1772" t="s">
        <v>712</v>
      </c>
      <c r="T1772">
        <v>78</v>
      </c>
    </row>
    <row r="1773" spans="1:20" x14ac:dyDescent="0.25">
      <c r="A1773" t="s">
        <v>3031</v>
      </c>
      <c r="B1773" t="s">
        <v>478</v>
      </c>
      <c r="C1773" t="s">
        <v>586</v>
      </c>
      <c r="D1773" t="s">
        <v>795</v>
      </c>
      <c r="E1773" t="s">
        <v>3029</v>
      </c>
      <c r="F1773">
        <v>2.0832737700647095</v>
      </c>
      <c r="G1773">
        <v>8.9279790281588269</v>
      </c>
      <c r="H1773" t="s">
        <v>932</v>
      </c>
      <c r="I1773" t="s">
        <v>1233</v>
      </c>
      <c r="J1773">
        <v>2.5</v>
      </c>
      <c r="K1773" t="s">
        <v>651</v>
      </c>
      <c r="L1773">
        <v>585000</v>
      </c>
      <c r="M1773">
        <v>2</v>
      </c>
      <c r="N1773">
        <v>8.9279790281588269</v>
      </c>
      <c r="O1773" t="s">
        <v>592</v>
      </c>
      <c r="P1773" t="s">
        <v>711</v>
      </c>
      <c r="Q1773" t="s">
        <v>586</v>
      </c>
      <c r="R1773" t="s">
        <v>712</v>
      </c>
      <c r="S1773" t="s">
        <v>712</v>
      </c>
      <c r="T1773">
        <v>67</v>
      </c>
    </row>
    <row r="1774" spans="1:20" x14ac:dyDescent="0.25">
      <c r="A1774" t="s">
        <v>3032</v>
      </c>
      <c r="B1774" t="s">
        <v>479</v>
      </c>
      <c r="C1774" t="s">
        <v>586</v>
      </c>
      <c r="D1774" t="s">
        <v>1251</v>
      </c>
      <c r="E1774" t="s">
        <v>3033</v>
      </c>
      <c r="F1774">
        <v>0.32961594225016044</v>
      </c>
      <c r="G1774">
        <v>14.685945205479456</v>
      </c>
      <c r="H1774" t="s">
        <v>2847</v>
      </c>
      <c r="I1774" t="s">
        <v>2960</v>
      </c>
      <c r="J1774">
        <v>3</v>
      </c>
      <c r="K1774" t="s">
        <v>710</v>
      </c>
      <c r="L1774">
        <v>310000</v>
      </c>
      <c r="M1774">
        <v>1.85</v>
      </c>
      <c r="N1774">
        <v>14.685945205479456</v>
      </c>
      <c r="O1774" t="s">
        <v>592</v>
      </c>
      <c r="P1774" t="s">
        <v>593</v>
      </c>
      <c r="Q1774" t="s">
        <v>586</v>
      </c>
      <c r="R1774" t="s">
        <v>712</v>
      </c>
      <c r="S1774" t="s">
        <v>712</v>
      </c>
      <c r="T1774">
        <v>94</v>
      </c>
    </row>
    <row r="1775" spans="1:20" x14ac:dyDescent="0.25">
      <c r="A1775" t="s">
        <v>3034</v>
      </c>
      <c r="B1775" t="s">
        <v>479</v>
      </c>
      <c r="C1775" t="s">
        <v>586</v>
      </c>
      <c r="D1775" t="s">
        <v>1251</v>
      </c>
      <c r="E1775" t="s">
        <v>3033</v>
      </c>
      <c r="F1775">
        <v>1.2992668774693754</v>
      </c>
      <c r="G1775">
        <v>17.29146575342466</v>
      </c>
      <c r="H1775" t="s">
        <v>2847</v>
      </c>
      <c r="I1775" t="s">
        <v>2960</v>
      </c>
      <c r="J1775">
        <v>3</v>
      </c>
      <c r="K1775" t="s">
        <v>758</v>
      </c>
      <c r="L1775">
        <v>320000</v>
      </c>
      <c r="M1775">
        <v>1.95</v>
      </c>
      <c r="N1775">
        <v>17.29146575342466</v>
      </c>
      <c r="O1775" t="s">
        <v>592</v>
      </c>
      <c r="P1775" t="s">
        <v>593</v>
      </c>
      <c r="Q1775" t="s">
        <v>586</v>
      </c>
      <c r="R1775" t="s">
        <v>712</v>
      </c>
      <c r="S1775" t="s">
        <v>712</v>
      </c>
      <c r="T1775">
        <v>83</v>
      </c>
    </row>
    <row r="1776" spans="1:20" x14ac:dyDescent="0.25">
      <c r="A1776" t="s">
        <v>3035</v>
      </c>
      <c r="B1776" t="s">
        <v>479</v>
      </c>
      <c r="C1776" t="s">
        <v>586</v>
      </c>
      <c r="D1776" t="s">
        <v>1251</v>
      </c>
      <c r="E1776" t="s">
        <v>3033</v>
      </c>
      <c r="F1776">
        <v>2.2406944060755398</v>
      </c>
      <c r="G1776">
        <v>13.206846575342478</v>
      </c>
      <c r="H1776" t="s">
        <v>2847</v>
      </c>
      <c r="I1776" t="s">
        <v>2960</v>
      </c>
      <c r="J1776">
        <v>3</v>
      </c>
      <c r="K1776" t="s">
        <v>972</v>
      </c>
      <c r="L1776">
        <v>330000</v>
      </c>
      <c r="M1776">
        <v>2</v>
      </c>
      <c r="N1776">
        <v>13.206846575342478</v>
      </c>
      <c r="O1776" t="s">
        <v>592</v>
      </c>
      <c r="P1776" t="s">
        <v>593</v>
      </c>
      <c r="Q1776" t="s">
        <v>586</v>
      </c>
      <c r="R1776" t="s">
        <v>712</v>
      </c>
      <c r="S1776" t="s">
        <v>712</v>
      </c>
      <c r="T1776">
        <v>72</v>
      </c>
    </row>
    <row r="1777" spans="1:20" x14ac:dyDescent="0.25">
      <c r="A1777" t="s">
        <v>3036</v>
      </c>
      <c r="B1777" t="s">
        <v>479</v>
      </c>
      <c r="C1777" t="s">
        <v>586</v>
      </c>
      <c r="D1777" t="s">
        <v>1251</v>
      </c>
      <c r="E1777" t="s">
        <v>3033</v>
      </c>
      <c r="F1777">
        <v>3.1556171485112734</v>
      </c>
      <c r="G1777">
        <v>9.7661205479451887</v>
      </c>
      <c r="H1777" t="s">
        <v>2847</v>
      </c>
      <c r="I1777" t="s">
        <v>2960</v>
      </c>
      <c r="J1777">
        <v>3</v>
      </c>
      <c r="K1777" t="s">
        <v>938</v>
      </c>
      <c r="L1777">
        <v>340000</v>
      </c>
      <c r="M1777">
        <v>2.0499999999999998</v>
      </c>
      <c r="N1777">
        <v>9.7661205479451887</v>
      </c>
      <c r="O1777" t="s">
        <v>592</v>
      </c>
      <c r="P1777" t="s">
        <v>593</v>
      </c>
      <c r="Q1777" t="s">
        <v>586</v>
      </c>
      <c r="R1777" t="s">
        <v>712</v>
      </c>
      <c r="S1777" t="s">
        <v>712</v>
      </c>
      <c r="T1777">
        <v>60</v>
      </c>
    </row>
    <row r="1778" spans="1:20" x14ac:dyDescent="0.25">
      <c r="A1778" t="s">
        <v>3037</v>
      </c>
      <c r="B1778" t="s">
        <v>479</v>
      </c>
      <c r="C1778" t="s">
        <v>586</v>
      </c>
      <c r="D1778" t="s">
        <v>1251</v>
      </c>
      <c r="E1778" t="s">
        <v>3033</v>
      </c>
      <c r="F1778">
        <v>4.0444851033272258</v>
      </c>
      <c r="G1778">
        <v>9.189498630136983</v>
      </c>
      <c r="H1778" t="s">
        <v>2847</v>
      </c>
      <c r="I1778" t="s">
        <v>2960</v>
      </c>
      <c r="J1778">
        <v>3</v>
      </c>
      <c r="K1778" t="s">
        <v>1085</v>
      </c>
      <c r="L1778">
        <v>350000</v>
      </c>
      <c r="M1778">
        <v>2.13</v>
      </c>
      <c r="N1778">
        <v>9.189498630136983</v>
      </c>
      <c r="O1778" t="s">
        <v>592</v>
      </c>
      <c r="P1778" t="s">
        <v>593</v>
      </c>
      <c r="Q1778" t="s">
        <v>586</v>
      </c>
      <c r="R1778" t="s">
        <v>712</v>
      </c>
      <c r="S1778" t="s">
        <v>712</v>
      </c>
      <c r="T1778">
        <v>52</v>
      </c>
    </row>
    <row r="1779" spans="1:20" x14ac:dyDescent="0.25">
      <c r="A1779" t="s">
        <v>3038</v>
      </c>
      <c r="B1779" t="s">
        <v>479</v>
      </c>
      <c r="C1779" t="s">
        <v>586</v>
      </c>
      <c r="D1779" t="s">
        <v>1251</v>
      </c>
      <c r="E1779" t="s">
        <v>3033</v>
      </c>
      <c r="F1779">
        <v>4.9075674956987445</v>
      </c>
      <c r="G1779">
        <v>10.585331506849327</v>
      </c>
      <c r="H1779" t="s">
        <v>2847</v>
      </c>
      <c r="I1779" t="s">
        <v>2960</v>
      </c>
      <c r="J1779">
        <v>3</v>
      </c>
      <c r="K1779" t="s">
        <v>933</v>
      </c>
      <c r="L1779">
        <v>365000</v>
      </c>
      <c r="M1779">
        <v>2.2000000000000002</v>
      </c>
      <c r="N1779">
        <v>10.585331506849327</v>
      </c>
      <c r="O1779" t="s">
        <v>592</v>
      </c>
      <c r="P1779" t="s">
        <v>593</v>
      </c>
      <c r="Q1779" t="s">
        <v>586</v>
      </c>
      <c r="R1779" t="s">
        <v>712</v>
      </c>
      <c r="S1779" t="s">
        <v>712</v>
      </c>
      <c r="T1779">
        <v>44</v>
      </c>
    </row>
    <row r="1780" spans="1:20" x14ac:dyDescent="0.25">
      <c r="A1780" t="s">
        <v>3039</v>
      </c>
      <c r="B1780" t="s">
        <v>111</v>
      </c>
      <c r="C1780" t="s">
        <v>586</v>
      </c>
      <c r="D1780" t="s">
        <v>608</v>
      </c>
      <c r="E1780" t="s">
        <v>789</v>
      </c>
      <c r="F1780">
        <v>1.4679323024400028</v>
      </c>
      <c r="G1780">
        <v>9.7269173567497536</v>
      </c>
      <c r="H1780" t="s">
        <v>676</v>
      </c>
      <c r="I1780" t="s">
        <v>611</v>
      </c>
      <c r="J1780">
        <v>4</v>
      </c>
      <c r="K1780" t="s">
        <v>1001</v>
      </c>
      <c r="L1780">
        <v>415000</v>
      </c>
      <c r="M1780">
        <v>1.53</v>
      </c>
      <c r="N1780">
        <v>9.7269173567497536</v>
      </c>
      <c r="O1780" t="s">
        <v>592</v>
      </c>
      <c r="P1780" t="s">
        <v>621</v>
      </c>
      <c r="Q1780" t="s">
        <v>586</v>
      </c>
      <c r="R1780" t="s">
        <v>712</v>
      </c>
      <c r="S1780" t="s">
        <v>635</v>
      </c>
      <c r="T1780">
        <v>84</v>
      </c>
    </row>
    <row r="1781" spans="1:20" x14ac:dyDescent="0.25">
      <c r="A1781" t="s">
        <v>3040</v>
      </c>
      <c r="B1781" t="s">
        <v>165</v>
      </c>
      <c r="C1781" t="s">
        <v>586</v>
      </c>
      <c r="D1781" t="s">
        <v>1251</v>
      </c>
      <c r="E1781" t="s">
        <v>1252</v>
      </c>
      <c r="F1781">
        <v>0.65167264587531104</v>
      </c>
      <c r="G1781">
        <v>29.448748464817776</v>
      </c>
      <c r="H1781" t="s">
        <v>1253</v>
      </c>
      <c r="I1781" t="s">
        <v>611</v>
      </c>
      <c r="J1781">
        <v>3.25</v>
      </c>
      <c r="K1781" t="s">
        <v>787</v>
      </c>
      <c r="L1781">
        <v>50000</v>
      </c>
      <c r="M1781">
        <v>2.1</v>
      </c>
      <c r="N1781">
        <v>29.448748464817776</v>
      </c>
      <c r="O1781" t="s">
        <v>592</v>
      </c>
      <c r="P1781" t="s">
        <v>711</v>
      </c>
      <c r="Q1781" t="s">
        <v>586</v>
      </c>
      <c r="R1781" t="s">
        <v>712</v>
      </c>
      <c r="S1781" t="s">
        <v>712</v>
      </c>
      <c r="T1781">
        <v>86</v>
      </c>
    </row>
    <row r="1782" spans="1:20" x14ac:dyDescent="0.25">
      <c r="A1782" t="s">
        <v>3041</v>
      </c>
      <c r="B1782" t="s">
        <v>165</v>
      </c>
      <c r="C1782" t="s">
        <v>586</v>
      </c>
      <c r="D1782" t="s">
        <v>1251</v>
      </c>
      <c r="E1782" t="s">
        <v>1252</v>
      </c>
      <c r="F1782">
        <v>1.6029067260842476</v>
      </c>
      <c r="G1782">
        <v>27.971328251693883</v>
      </c>
      <c r="H1782" t="s">
        <v>1253</v>
      </c>
      <c r="I1782" t="s">
        <v>611</v>
      </c>
      <c r="J1782">
        <v>3.25</v>
      </c>
      <c r="K1782" t="s">
        <v>905</v>
      </c>
      <c r="L1782">
        <v>50000</v>
      </c>
      <c r="M1782">
        <v>2.25</v>
      </c>
      <c r="N1782">
        <v>27.971328251693883</v>
      </c>
      <c r="O1782" t="s">
        <v>592</v>
      </c>
      <c r="P1782" t="s">
        <v>711</v>
      </c>
      <c r="Q1782" t="s">
        <v>586</v>
      </c>
      <c r="R1782" t="s">
        <v>712</v>
      </c>
      <c r="S1782" t="s">
        <v>712</v>
      </c>
      <c r="T1782">
        <v>70</v>
      </c>
    </row>
    <row r="1783" spans="1:20" x14ac:dyDescent="0.25">
      <c r="A1783" t="s">
        <v>3042</v>
      </c>
      <c r="B1783" t="s">
        <v>165</v>
      </c>
      <c r="C1783" t="s">
        <v>586</v>
      </c>
      <c r="D1783" t="s">
        <v>1251</v>
      </c>
      <c r="E1783" t="s">
        <v>1252</v>
      </c>
      <c r="F1783">
        <v>3.4176813487067847</v>
      </c>
      <c r="G1783">
        <v>23.053786077009299</v>
      </c>
      <c r="H1783" t="s">
        <v>1253</v>
      </c>
      <c r="I1783" t="s">
        <v>611</v>
      </c>
      <c r="J1783">
        <v>3.25</v>
      </c>
      <c r="K1783" t="s">
        <v>838</v>
      </c>
      <c r="L1783">
        <v>55000</v>
      </c>
      <c r="M1783">
        <v>2.5</v>
      </c>
      <c r="N1783">
        <v>23.053786077009299</v>
      </c>
      <c r="O1783" t="s">
        <v>592</v>
      </c>
      <c r="P1783" t="s">
        <v>711</v>
      </c>
      <c r="Q1783" t="s">
        <v>586</v>
      </c>
      <c r="R1783" t="s">
        <v>712</v>
      </c>
      <c r="S1783" t="s">
        <v>712</v>
      </c>
      <c r="T1783">
        <v>47</v>
      </c>
    </row>
    <row r="1784" spans="1:20" x14ac:dyDescent="0.25">
      <c r="A1784" t="s">
        <v>3043</v>
      </c>
      <c r="B1784" t="s">
        <v>165</v>
      </c>
      <c r="C1784" t="s">
        <v>586</v>
      </c>
      <c r="D1784" t="s">
        <v>1251</v>
      </c>
      <c r="E1784" t="s">
        <v>1252</v>
      </c>
      <c r="F1784">
        <v>4.2829416379283023</v>
      </c>
      <c r="G1784">
        <v>21.906012108418249</v>
      </c>
      <c r="H1784" t="s">
        <v>1253</v>
      </c>
      <c r="I1784" t="s">
        <v>611</v>
      </c>
      <c r="J1784">
        <v>3.25</v>
      </c>
      <c r="K1784" t="s">
        <v>1350</v>
      </c>
      <c r="L1784">
        <v>60000</v>
      </c>
      <c r="M1784">
        <v>2.6</v>
      </c>
      <c r="N1784">
        <v>21.906012108418249</v>
      </c>
      <c r="O1784" t="s">
        <v>592</v>
      </c>
      <c r="P1784" t="s">
        <v>711</v>
      </c>
      <c r="Q1784" t="s">
        <v>586</v>
      </c>
      <c r="R1784" t="s">
        <v>712</v>
      </c>
      <c r="S1784" t="s">
        <v>712</v>
      </c>
      <c r="T1784">
        <v>39</v>
      </c>
    </row>
    <row r="1785" spans="1:20" x14ac:dyDescent="0.25">
      <c r="A1785" t="s">
        <v>3044</v>
      </c>
      <c r="B1785" t="s">
        <v>480</v>
      </c>
      <c r="C1785" t="s">
        <v>607</v>
      </c>
      <c r="D1785" t="s">
        <v>741</v>
      </c>
      <c r="E1785" t="s">
        <v>3045</v>
      </c>
      <c r="F1785">
        <v>0.7330573930871862</v>
      </c>
      <c r="G1785">
        <v>71.400164437036779</v>
      </c>
      <c r="H1785" t="s">
        <v>720</v>
      </c>
      <c r="I1785" t="s">
        <v>611</v>
      </c>
      <c r="J1785">
        <v>3</v>
      </c>
      <c r="K1785" t="s">
        <v>861</v>
      </c>
      <c r="L1785">
        <v>120000</v>
      </c>
      <c r="M1785">
        <v>2.25</v>
      </c>
      <c r="N1785">
        <v>71.400164437036779</v>
      </c>
      <c r="O1785" t="s">
        <v>592</v>
      </c>
      <c r="P1785" t="s">
        <v>745</v>
      </c>
      <c r="Q1785" t="s">
        <v>586</v>
      </c>
      <c r="R1785" t="s">
        <v>712</v>
      </c>
      <c r="S1785" t="s">
        <v>712</v>
      </c>
      <c r="T1785">
        <v>90</v>
      </c>
    </row>
    <row r="1786" spans="1:20" x14ac:dyDescent="0.25">
      <c r="A1786" t="s">
        <v>3046</v>
      </c>
      <c r="B1786" t="s">
        <v>480</v>
      </c>
      <c r="C1786" t="s">
        <v>607</v>
      </c>
      <c r="D1786" t="s">
        <v>741</v>
      </c>
      <c r="E1786" t="s">
        <v>3045</v>
      </c>
      <c r="F1786">
        <v>1.6844789841976484</v>
      </c>
      <c r="G1786">
        <v>70.110378604427211</v>
      </c>
      <c r="H1786" t="s">
        <v>720</v>
      </c>
      <c r="I1786" t="s">
        <v>611</v>
      </c>
      <c r="J1786">
        <v>3</v>
      </c>
      <c r="K1786" t="s">
        <v>682</v>
      </c>
      <c r="L1786">
        <v>120000</v>
      </c>
      <c r="M1786">
        <v>2.4000000000000004</v>
      </c>
      <c r="N1786">
        <v>70.110378604427211</v>
      </c>
      <c r="O1786" t="s">
        <v>592</v>
      </c>
      <c r="P1786" t="s">
        <v>745</v>
      </c>
      <c r="Q1786" t="s">
        <v>586</v>
      </c>
      <c r="R1786" t="s">
        <v>712</v>
      </c>
      <c r="S1786" t="s">
        <v>712</v>
      </c>
      <c r="T1786">
        <v>78</v>
      </c>
    </row>
    <row r="1787" spans="1:20" x14ac:dyDescent="0.25">
      <c r="A1787" t="s">
        <v>3047</v>
      </c>
      <c r="B1787" t="s">
        <v>481</v>
      </c>
      <c r="C1787" t="s">
        <v>586</v>
      </c>
      <c r="D1787" t="s">
        <v>1139</v>
      </c>
      <c r="E1787" t="s">
        <v>3048</v>
      </c>
      <c r="F1787">
        <v>0.2466350594464064</v>
      </c>
      <c r="G1787">
        <v>13.205849315068496</v>
      </c>
      <c r="H1787" t="s">
        <v>2584</v>
      </c>
      <c r="I1787" t="s">
        <v>2960</v>
      </c>
      <c r="J1787">
        <v>3</v>
      </c>
      <c r="K1787" t="s">
        <v>694</v>
      </c>
      <c r="L1787">
        <v>310000</v>
      </c>
      <c r="M1787">
        <v>1.8</v>
      </c>
      <c r="N1787">
        <v>13.205849315068496</v>
      </c>
      <c r="O1787" t="s">
        <v>592</v>
      </c>
      <c r="P1787" t="s">
        <v>593</v>
      </c>
      <c r="Q1787" t="s">
        <v>586</v>
      </c>
      <c r="R1787" t="s">
        <v>712</v>
      </c>
      <c r="S1787" t="s">
        <v>712</v>
      </c>
      <c r="T1787">
        <v>94</v>
      </c>
    </row>
    <row r="1788" spans="1:20" x14ac:dyDescent="0.25">
      <c r="A1788" t="s">
        <v>3049</v>
      </c>
      <c r="B1788" t="s">
        <v>481</v>
      </c>
      <c r="C1788" t="s">
        <v>586</v>
      </c>
      <c r="D1788" t="s">
        <v>1139</v>
      </c>
      <c r="E1788" t="s">
        <v>3048</v>
      </c>
      <c r="F1788">
        <v>1.2157384707693784</v>
      </c>
      <c r="G1788">
        <v>16.26443835616438</v>
      </c>
      <c r="H1788" t="s">
        <v>2584</v>
      </c>
      <c r="I1788" t="s">
        <v>2960</v>
      </c>
      <c r="J1788">
        <v>3</v>
      </c>
      <c r="K1788" t="s">
        <v>764</v>
      </c>
      <c r="L1788">
        <v>375000</v>
      </c>
      <c r="M1788">
        <v>1.9000000000000001</v>
      </c>
      <c r="N1788">
        <v>16.26443835616438</v>
      </c>
      <c r="O1788" t="s">
        <v>592</v>
      </c>
      <c r="P1788" t="s">
        <v>593</v>
      </c>
      <c r="Q1788" t="s">
        <v>586</v>
      </c>
      <c r="R1788" t="s">
        <v>712</v>
      </c>
      <c r="S1788" t="s">
        <v>712</v>
      </c>
      <c r="T1788">
        <v>73</v>
      </c>
    </row>
    <row r="1789" spans="1:20" x14ac:dyDescent="0.25">
      <c r="A1789" t="s">
        <v>3050</v>
      </c>
      <c r="B1789" t="s">
        <v>481</v>
      </c>
      <c r="C1789" t="s">
        <v>586</v>
      </c>
      <c r="D1789" t="s">
        <v>1139</v>
      </c>
      <c r="E1789" t="s">
        <v>3048</v>
      </c>
      <c r="F1789">
        <v>2.156247654133578</v>
      </c>
      <c r="G1789">
        <v>18.928049315068485</v>
      </c>
      <c r="H1789" t="s">
        <v>2584</v>
      </c>
      <c r="I1789" t="s">
        <v>2960</v>
      </c>
      <c r="J1789">
        <v>3</v>
      </c>
      <c r="K1789" t="s">
        <v>699</v>
      </c>
      <c r="L1789">
        <v>380000</v>
      </c>
      <c r="M1789">
        <v>2</v>
      </c>
      <c r="N1789">
        <v>18.928049315068485</v>
      </c>
      <c r="O1789" t="s">
        <v>592</v>
      </c>
      <c r="P1789" t="s">
        <v>593</v>
      </c>
      <c r="Q1789" t="s">
        <v>586</v>
      </c>
      <c r="R1789">
        <v>100000</v>
      </c>
      <c r="S1789" t="s">
        <v>712</v>
      </c>
      <c r="T1789">
        <v>57</v>
      </c>
    </row>
    <row r="1790" spans="1:20" x14ac:dyDescent="0.25">
      <c r="A1790" t="s">
        <v>3051</v>
      </c>
      <c r="B1790" t="s">
        <v>481</v>
      </c>
      <c r="C1790" t="s">
        <v>586</v>
      </c>
      <c r="D1790" t="s">
        <v>1139</v>
      </c>
      <c r="E1790" t="s">
        <v>3048</v>
      </c>
      <c r="F1790">
        <v>3.0700778381770712</v>
      </c>
      <c r="G1790">
        <v>21.221487671232886</v>
      </c>
      <c r="H1790" t="s">
        <v>2584</v>
      </c>
      <c r="I1790" t="s">
        <v>2960</v>
      </c>
      <c r="J1790">
        <v>3</v>
      </c>
      <c r="K1790" t="s">
        <v>591</v>
      </c>
      <c r="L1790">
        <v>395000</v>
      </c>
      <c r="M1790">
        <v>2.1</v>
      </c>
      <c r="N1790">
        <v>21.221487671232886</v>
      </c>
      <c r="O1790" t="s">
        <v>592</v>
      </c>
      <c r="P1790" t="s">
        <v>593</v>
      </c>
      <c r="Q1790" t="s">
        <v>586</v>
      </c>
      <c r="R1790">
        <v>100000</v>
      </c>
      <c r="S1790" t="s">
        <v>712</v>
      </c>
      <c r="T1790">
        <v>47</v>
      </c>
    </row>
    <row r="1791" spans="1:20" x14ac:dyDescent="0.25">
      <c r="A1791" t="s">
        <v>3052</v>
      </c>
      <c r="B1791" t="s">
        <v>481</v>
      </c>
      <c r="C1791" t="s">
        <v>586</v>
      </c>
      <c r="D1791" t="s">
        <v>1139</v>
      </c>
      <c r="E1791" t="s">
        <v>3048</v>
      </c>
      <c r="F1791">
        <v>3.9577937263557739</v>
      </c>
      <c r="G1791">
        <v>23.903983561643848</v>
      </c>
      <c r="H1791" t="s">
        <v>2584</v>
      </c>
      <c r="I1791" t="s">
        <v>2960</v>
      </c>
      <c r="J1791">
        <v>3</v>
      </c>
      <c r="K1791" t="s">
        <v>725</v>
      </c>
      <c r="L1791">
        <v>410000</v>
      </c>
      <c r="M1791">
        <v>2.2000000000000002</v>
      </c>
      <c r="N1791">
        <v>23.903983561643848</v>
      </c>
      <c r="O1791" t="s">
        <v>592</v>
      </c>
      <c r="P1791" t="s">
        <v>593</v>
      </c>
      <c r="Q1791" t="s">
        <v>586</v>
      </c>
      <c r="R1791" t="s">
        <v>712</v>
      </c>
      <c r="S1791" t="s">
        <v>712</v>
      </c>
      <c r="T1791">
        <v>36</v>
      </c>
    </row>
    <row r="1792" spans="1:20" x14ac:dyDescent="0.25">
      <c r="A1792" t="s">
        <v>3053</v>
      </c>
      <c r="B1792" t="s">
        <v>481</v>
      </c>
      <c r="C1792" t="s">
        <v>586</v>
      </c>
      <c r="D1792" t="s">
        <v>1139</v>
      </c>
      <c r="E1792" t="s">
        <v>3048</v>
      </c>
      <c r="F1792">
        <v>4.8200504292195339</v>
      </c>
      <c r="G1792">
        <v>28.343073972602717</v>
      </c>
      <c r="H1792" t="s">
        <v>2584</v>
      </c>
      <c r="I1792" t="s">
        <v>2960</v>
      </c>
      <c r="J1792">
        <v>3</v>
      </c>
      <c r="K1792" t="s">
        <v>834</v>
      </c>
      <c r="L1792">
        <v>420000</v>
      </c>
      <c r="M1792">
        <v>2.3000000000000003</v>
      </c>
      <c r="N1792">
        <v>28.343073972602717</v>
      </c>
      <c r="O1792" t="s">
        <v>592</v>
      </c>
      <c r="P1792" t="s">
        <v>593</v>
      </c>
      <c r="Q1792" t="s">
        <v>586</v>
      </c>
      <c r="R1792">
        <v>100000</v>
      </c>
      <c r="S1792" t="s">
        <v>712</v>
      </c>
      <c r="T1792">
        <v>30</v>
      </c>
    </row>
    <row r="1793" spans="1:20" x14ac:dyDescent="0.25">
      <c r="A1793" t="s">
        <v>3054</v>
      </c>
      <c r="B1793" t="s">
        <v>482</v>
      </c>
      <c r="C1793" t="s">
        <v>586</v>
      </c>
      <c r="D1793" t="s">
        <v>608</v>
      </c>
      <c r="E1793" t="s">
        <v>1392</v>
      </c>
      <c r="F1793">
        <v>0.52281349884524897</v>
      </c>
      <c r="G1793">
        <v>33.233789041095882</v>
      </c>
      <c r="H1793" t="s">
        <v>784</v>
      </c>
      <c r="I1793" t="s">
        <v>611</v>
      </c>
      <c r="J1793">
        <v>4</v>
      </c>
      <c r="K1793" t="s">
        <v>1005</v>
      </c>
      <c r="L1793">
        <v>80000</v>
      </c>
      <c r="M1793">
        <v>1.6500000000000001</v>
      </c>
      <c r="N1793">
        <v>33.233789041095882</v>
      </c>
      <c r="O1793" t="s">
        <v>592</v>
      </c>
      <c r="P1793" t="s">
        <v>613</v>
      </c>
      <c r="Q1793" t="s">
        <v>586</v>
      </c>
      <c r="R1793" t="s">
        <v>712</v>
      </c>
      <c r="S1793" t="s">
        <v>712</v>
      </c>
      <c r="T1793">
        <v>94</v>
      </c>
    </row>
    <row r="1794" spans="1:20" x14ac:dyDescent="0.25">
      <c r="A1794" t="s">
        <v>3055</v>
      </c>
      <c r="B1794" t="s">
        <v>482</v>
      </c>
      <c r="C1794" t="s">
        <v>586</v>
      </c>
      <c r="D1794" t="s">
        <v>608</v>
      </c>
      <c r="E1794" t="s">
        <v>1392</v>
      </c>
      <c r="F1794">
        <v>1.4652964818218008</v>
      </c>
      <c r="G1794">
        <v>39.27652602739726</v>
      </c>
      <c r="H1794" t="s">
        <v>784</v>
      </c>
      <c r="I1794" t="s">
        <v>611</v>
      </c>
      <c r="J1794">
        <v>4</v>
      </c>
      <c r="K1794" t="s">
        <v>1001</v>
      </c>
      <c r="L1794">
        <v>85000</v>
      </c>
      <c r="M1794">
        <v>1.85</v>
      </c>
      <c r="N1794">
        <v>39.27652602739726</v>
      </c>
      <c r="O1794" t="s">
        <v>592</v>
      </c>
      <c r="P1794" t="s">
        <v>613</v>
      </c>
      <c r="Q1794" t="s">
        <v>586</v>
      </c>
      <c r="R1794" t="s">
        <v>712</v>
      </c>
      <c r="S1794" t="s">
        <v>712</v>
      </c>
      <c r="T1794">
        <v>84</v>
      </c>
    </row>
    <row r="1795" spans="1:20" x14ac:dyDescent="0.25">
      <c r="A1795" t="s">
        <v>3056</v>
      </c>
      <c r="B1795" t="s">
        <v>482</v>
      </c>
      <c r="C1795" t="s">
        <v>586</v>
      </c>
      <c r="D1795" t="s">
        <v>608</v>
      </c>
      <c r="E1795" t="s">
        <v>1392</v>
      </c>
      <c r="F1795">
        <v>2.3728407317605815</v>
      </c>
      <c r="G1795">
        <v>40.01986301369864</v>
      </c>
      <c r="H1795" t="s">
        <v>784</v>
      </c>
      <c r="I1795" t="s">
        <v>611</v>
      </c>
      <c r="J1795">
        <v>4</v>
      </c>
      <c r="K1795" t="s">
        <v>803</v>
      </c>
      <c r="L1795">
        <v>90000</v>
      </c>
      <c r="M1795">
        <v>2</v>
      </c>
      <c r="N1795">
        <v>40.01986301369864</v>
      </c>
      <c r="O1795" t="s">
        <v>592</v>
      </c>
      <c r="P1795" t="s">
        <v>613</v>
      </c>
      <c r="Q1795" t="s">
        <v>586</v>
      </c>
      <c r="R1795" t="s">
        <v>712</v>
      </c>
      <c r="S1795" t="s">
        <v>712</v>
      </c>
      <c r="T1795">
        <v>78</v>
      </c>
    </row>
    <row r="1796" spans="1:20" x14ac:dyDescent="0.25">
      <c r="A1796" t="s">
        <v>3057</v>
      </c>
      <c r="B1796" t="s">
        <v>482</v>
      </c>
      <c r="C1796" t="s">
        <v>586</v>
      </c>
      <c r="D1796" t="s">
        <v>608</v>
      </c>
      <c r="E1796" t="s">
        <v>1392</v>
      </c>
      <c r="F1796">
        <v>3.2478942715808699</v>
      </c>
      <c r="G1796">
        <v>41.39687123287672</v>
      </c>
      <c r="H1796" t="s">
        <v>784</v>
      </c>
      <c r="I1796" t="s">
        <v>611</v>
      </c>
      <c r="J1796">
        <v>4</v>
      </c>
      <c r="K1796" t="s">
        <v>1387</v>
      </c>
      <c r="L1796">
        <v>95000</v>
      </c>
      <c r="M1796">
        <v>2.15</v>
      </c>
      <c r="N1796">
        <v>41.39687123287672</v>
      </c>
      <c r="O1796" t="s">
        <v>592</v>
      </c>
      <c r="P1796" t="s">
        <v>613</v>
      </c>
      <c r="Q1796" t="s">
        <v>586</v>
      </c>
      <c r="R1796">
        <v>25000</v>
      </c>
      <c r="S1796" t="s">
        <v>712</v>
      </c>
      <c r="T1796">
        <v>70</v>
      </c>
    </row>
    <row r="1797" spans="1:20" x14ac:dyDescent="0.25">
      <c r="A1797" t="s">
        <v>3058</v>
      </c>
      <c r="B1797" t="s">
        <v>170</v>
      </c>
      <c r="C1797" t="s">
        <v>586</v>
      </c>
      <c r="D1797" t="s">
        <v>900</v>
      </c>
      <c r="E1797" t="s">
        <v>1273</v>
      </c>
      <c r="F1797">
        <v>1.2174097911496311</v>
      </c>
      <c r="G1797">
        <v>29.78908767123287</v>
      </c>
      <c r="H1797" t="s">
        <v>1274</v>
      </c>
      <c r="I1797" t="s">
        <v>721</v>
      </c>
      <c r="J1797">
        <v>2.75</v>
      </c>
      <c r="K1797" t="s">
        <v>764</v>
      </c>
      <c r="L1797">
        <v>110000</v>
      </c>
      <c r="M1797">
        <v>1.93</v>
      </c>
      <c r="N1797">
        <v>29.78908767123287</v>
      </c>
      <c r="O1797" t="s">
        <v>592</v>
      </c>
      <c r="P1797" t="s">
        <v>593</v>
      </c>
      <c r="Q1797" t="s">
        <v>586</v>
      </c>
      <c r="R1797" t="s">
        <v>712</v>
      </c>
      <c r="S1797" t="s">
        <v>712</v>
      </c>
      <c r="T1797">
        <v>82</v>
      </c>
    </row>
    <row r="1798" spans="1:20" x14ac:dyDescent="0.25">
      <c r="A1798" t="s">
        <v>3059</v>
      </c>
      <c r="B1798" t="s">
        <v>170</v>
      </c>
      <c r="C1798" t="s">
        <v>586</v>
      </c>
      <c r="D1798" t="s">
        <v>900</v>
      </c>
      <c r="E1798" t="s">
        <v>1273</v>
      </c>
      <c r="F1798">
        <v>2.1346917097075337</v>
      </c>
      <c r="G1798">
        <v>33.522939726027403</v>
      </c>
      <c r="H1798" t="s">
        <v>1274</v>
      </c>
      <c r="I1798" t="s">
        <v>721</v>
      </c>
      <c r="J1798">
        <v>4</v>
      </c>
      <c r="K1798" t="s">
        <v>699</v>
      </c>
      <c r="L1798">
        <v>745000</v>
      </c>
      <c r="M1798">
        <v>2.0699999999999998</v>
      </c>
      <c r="N1798">
        <v>33.522939726027403</v>
      </c>
      <c r="O1798" t="s">
        <v>592</v>
      </c>
      <c r="P1798" t="s">
        <v>593</v>
      </c>
      <c r="Q1798" t="s">
        <v>586</v>
      </c>
      <c r="R1798" t="s">
        <v>712</v>
      </c>
      <c r="S1798" t="s">
        <v>712</v>
      </c>
      <c r="T1798">
        <v>77</v>
      </c>
    </row>
    <row r="1799" spans="1:20" x14ac:dyDescent="0.25">
      <c r="A1799" t="s">
        <v>3060</v>
      </c>
      <c r="B1799" t="s">
        <v>170</v>
      </c>
      <c r="C1799" t="s">
        <v>586</v>
      </c>
      <c r="D1799" t="s">
        <v>900</v>
      </c>
      <c r="E1799" t="s">
        <v>1273</v>
      </c>
      <c r="F1799">
        <v>3.0270957523444033</v>
      </c>
      <c r="G1799">
        <v>33.268156164383591</v>
      </c>
      <c r="H1799" t="s">
        <v>1274</v>
      </c>
      <c r="I1799" t="s">
        <v>721</v>
      </c>
      <c r="J1799">
        <v>4</v>
      </c>
      <c r="K1799" t="s">
        <v>591</v>
      </c>
      <c r="L1799">
        <v>745000</v>
      </c>
      <c r="M1799">
        <v>2.1800000000000002</v>
      </c>
      <c r="N1799">
        <v>33.268156164383591</v>
      </c>
      <c r="O1799" t="s">
        <v>592</v>
      </c>
      <c r="P1799" t="s">
        <v>593</v>
      </c>
      <c r="Q1799" t="s">
        <v>586</v>
      </c>
      <c r="R1799">
        <v>15000</v>
      </c>
      <c r="S1799" t="s">
        <v>712</v>
      </c>
      <c r="T1799">
        <v>63</v>
      </c>
    </row>
    <row r="1800" spans="1:20" x14ac:dyDescent="0.25">
      <c r="A1800" t="s">
        <v>3061</v>
      </c>
      <c r="B1800" t="s">
        <v>483</v>
      </c>
      <c r="C1800" t="s">
        <v>586</v>
      </c>
      <c r="D1800" t="s">
        <v>608</v>
      </c>
      <c r="E1800" t="s">
        <v>1032</v>
      </c>
      <c r="F1800">
        <v>1.5226554693695156</v>
      </c>
      <c r="G1800">
        <v>20.147191780821917</v>
      </c>
      <c r="H1800" t="s">
        <v>610</v>
      </c>
      <c r="I1800" t="s">
        <v>721</v>
      </c>
      <c r="J1800">
        <v>3</v>
      </c>
      <c r="K1800" t="s">
        <v>634</v>
      </c>
      <c r="L1800">
        <v>415000</v>
      </c>
      <c r="M1800">
        <v>1.8</v>
      </c>
      <c r="N1800">
        <v>20.147191780821917</v>
      </c>
      <c r="O1800" t="s">
        <v>592</v>
      </c>
      <c r="P1800" t="s">
        <v>613</v>
      </c>
      <c r="Q1800" t="s">
        <v>586</v>
      </c>
      <c r="R1800" t="s">
        <v>712</v>
      </c>
      <c r="S1800" t="s">
        <v>712</v>
      </c>
      <c r="T1800">
        <v>84</v>
      </c>
    </row>
    <row r="1801" spans="1:20" x14ac:dyDescent="0.25">
      <c r="A1801" t="s">
        <v>3062</v>
      </c>
      <c r="B1801" t="s">
        <v>483</v>
      </c>
      <c r="C1801" t="s">
        <v>586</v>
      </c>
      <c r="D1801" t="s">
        <v>608</v>
      </c>
      <c r="E1801" t="s">
        <v>1032</v>
      </c>
      <c r="F1801">
        <v>2.4482265430462875</v>
      </c>
      <c r="G1801">
        <v>28.429753424657523</v>
      </c>
      <c r="H1801" t="s">
        <v>610</v>
      </c>
      <c r="I1801" t="s">
        <v>721</v>
      </c>
      <c r="J1801">
        <v>3</v>
      </c>
      <c r="K1801" t="s">
        <v>959</v>
      </c>
      <c r="L1801">
        <v>430000</v>
      </c>
      <c r="M1801">
        <v>2</v>
      </c>
      <c r="N1801">
        <v>28.429753424657523</v>
      </c>
      <c r="O1801" t="s">
        <v>592</v>
      </c>
      <c r="P1801" t="s">
        <v>613</v>
      </c>
      <c r="Q1801" t="s">
        <v>586</v>
      </c>
      <c r="R1801" t="s">
        <v>712</v>
      </c>
      <c r="S1801" t="s">
        <v>712</v>
      </c>
      <c r="T1801">
        <v>76</v>
      </c>
    </row>
    <row r="1802" spans="1:20" x14ac:dyDescent="0.25">
      <c r="A1802" t="s">
        <v>3063</v>
      </c>
      <c r="B1802" t="s">
        <v>484</v>
      </c>
      <c r="C1802" t="s">
        <v>607</v>
      </c>
      <c r="D1802" t="s">
        <v>637</v>
      </c>
      <c r="E1802" t="s">
        <v>3064</v>
      </c>
      <c r="F1802">
        <v>0.81494648414953696</v>
      </c>
      <c r="G1802">
        <v>42.093260721738645</v>
      </c>
      <c r="H1802" t="s">
        <v>3065</v>
      </c>
      <c r="I1802" t="s">
        <v>611</v>
      </c>
      <c r="J1802">
        <v>4</v>
      </c>
      <c r="K1802" t="s">
        <v>984</v>
      </c>
      <c r="L1802">
        <v>895000</v>
      </c>
      <c r="M1802">
        <v>2.3000000000000003</v>
      </c>
      <c r="N1802">
        <v>42.093260721738645</v>
      </c>
      <c r="O1802" t="s">
        <v>592</v>
      </c>
      <c r="P1802" t="s">
        <v>593</v>
      </c>
      <c r="Q1802" t="s">
        <v>586</v>
      </c>
      <c r="R1802">
        <v>100000</v>
      </c>
      <c r="S1802" t="s">
        <v>594</v>
      </c>
      <c r="T1802">
        <v>92</v>
      </c>
    </row>
    <row r="1803" spans="1:20" x14ac:dyDescent="0.25">
      <c r="A1803" t="s">
        <v>3066</v>
      </c>
      <c r="B1803" t="s">
        <v>484</v>
      </c>
      <c r="C1803" t="s">
        <v>607</v>
      </c>
      <c r="D1803" t="s">
        <v>637</v>
      </c>
      <c r="E1803" t="s">
        <v>3064</v>
      </c>
      <c r="F1803">
        <v>2.6658553452308444</v>
      </c>
      <c r="G1803">
        <v>46.717826203622707</v>
      </c>
      <c r="H1803" t="s">
        <v>3065</v>
      </c>
      <c r="I1803" t="s">
        <v>611</v>
      </c>
      <c r="J1803">
        <v>4</v>
      </c>
      <c r="K1803" t="s">
        <v>669</v>
      </c>
      <c r="L1803">
        <v>1015000</v>
      </c>
      <c r="M1803">
        <v>2.61</v>
      </c>
      <c r="N1803">
        <v>46.717826203622707</v>
      </c>
      <c r="O1803" t="s">
        <v>592</v>
      </c>
      <c r="P1803" t="s">
        <v>593</v>
      </c>
      <c r="Q1803" t="s">
        <v>586</v>
      </c>
      <c r="R1803" t="s">
        <v>712</v>
      </c>
      <c r="S1803" t="s">
        <v>594</v>
      </c>
      <c r="T1803">
        <v>77</v>
      </c>
    </row>
    <row r="1804" spans="1:20" x14ac:dyDescent="0.25">
      <c r="A1804" t="s">
        <v>3067</v>
      </c>
      <c r="B1804" t="s">
        <v>484</v>
      </c>
      <c r="C1804" t="s">
        <v>607</v>
      </c>
      <c r="D1804" t="s">
        <v>637</v>
      </c>
      <c r="E1804" t="s">
        <v>3064</v>
      </c>
      <c r="F1804">
        <v>3.488997383881248</v>
      </c>
      <c r="G1804">
        <v>51.831912669628501</v>
      </c>
      <c r="H1804" t="s">
        <v>3065</v>
      </c>
      <c r="I1804" t="s">
        <v>611</v>
      </c>
      <c r="J1804">
        <v>5</v>
      </c>
      <c r="K1804" t="s">
        <v>1163</v>
      </c>
      <c r="L1804">
        <v>1080000</v>
      </c>
      <c r="M1804">
        <v>2.77</v>
      </c>
      <c r="N1804">
        <v>51.831912669628501</v>
      </c>
      <c r="O1804" t="s">
        <v>592</v>
      </c>
      <c r="P1804" t="s">
        <v>593</v>
      </c>
      <c r="Q1804" t="s">
        <v>586</v>
      </c>
      <c r="R1804" t="s">
        <v>712</v>
      </c>
      <c r="S1804" t="s">
        <v>594</v>
      </c>
      <c r="T1804">
        <v>73</v>
      </c>
    </row>
    <row r="1805" spans="1:20" x14ac:dyDescent="0.25">
      <c r="A1805" t="s">
        <v>3068</v>
      </c>
      <c r="B1805" t="s">
        <v>485</v>
      </c>
      <c r="C1805" t="s">
        <v>586</v>
      </c>
      <c r="D1805" t="s">
        <v>608</v>
      </c>
      <c r="E1805" t="s">
        <v>3069</v>
      </c>
      <c r="F1805">
        <v>0.99962511656980291</v>
      </c>
      <c r="G1805">
        <v>28.996733812041132</v>
      </c>
      <c r="H1805" t="s">
        <v>720</v>
      </c>
      <c r="I1805" t="s">
        <v>721</v>
      </c>
      <c r="J1805">
        <v>4</v>
      </c>
      <c r="K1805" t="s">
        <v>920</v>
      </c>
      <c r="L1805">
        <v>180000</v>
      </c>
      <c r="M1805">
        <v>1.6500000000000001</v>
      </c>
      <c r="N1805">
        <v>28.996733812041132</v>
      </c>
      <c r="O1805" t="s">
        <v>592</v>
      </c>
      <c r="P1805" t="s">
        <v>621</v>
      </c>
      <c r="Q1805" t="s">
        <v>586</v>
      </c>
      <c r="R1805" t="s">
        <v>712</v>
      </c>
      <c r="S1805" t="s">
        <v>712</v>
      </c>
      <c r="T1805">
        <v>85</v>
      </c>
    </row>
    <row r="1806" spans="1:20" x14ac:dyDescent="0.25">
      <c r="A1806" t="s">
        <v>3070</v>
      </c>
      <c r="B1806" t="s">
        <v>485</v>
      </c>
      <c r="C1806" t="s">
        <v>586</v>
      </c>
      <c r="D1806" t="s">
        <v>608</v>
      </c>
      <c r="E1806" t="s">
        <v>3069</v>
      </c>
      <c r="F1806">
        <v>2.8174307089671555</v>
      </c>
      <c r="G1806">
        <v>24.140756290085051</v>
      </c>
      <c r="H1806" t="s">
        <v>720</v>
      </c>
      <c r="I1806" t="s">
        <v>721</v>
      </c>
      <c r="J1806">
        <v>4</v>
      </c>
      <c r="K1806" t="s">
        <v>978</v>
      </c>
      <c r="L1806">
        <v>200000</v>
      </c>
      <c r="M1806">
        <v>1.9000000000000001</v>
      </c>
      <c r="N1806">
        <v>24.140756290085051</v>
      </c>
      <c r="O1806" t="s">
        <v>592</v>
      </c>
      <c r="P1806" t="s">
        <v>621</v>
      </c>
      <c r="Q1806" t="s">
        <v>586</v>
      </c>
      <c r="R1806" t="s">
        <v>712</v>
      </c>
      <c r="S1806" t="s">
        <v>712</v>
      </c>
      <c r="T1806">
        <v>59</v>
      </c>
    </row>
    <row r="1807" spans="1:20" x14ac:dyDescent="0.25">
      <c r="A1807" t="s">
        <v>3071</v>
      </c>
      <c r="B1807" t="s">
        <v>485</v>
      </c>
      <c r="C1807" t="s">
        <v>586</v>
      </c>
      <c r="D1807" t="s">
        <v>608</v>
      </c>
      <c r="E1807" t="s">
        <v>3069</v>
      </c>
      <c r="F1807">
        <v>3.6773680997037492</v>
      </c>
      <c r="G1807">
        <v>25.807235996972345</v>
      </c>
      <c r="H1807" t="s">
        <v>720</v>
      </c>
      <c r="I1807" t="s">
        <v>721</v>
      </c>
      <c r="J1807">
        <v>4</v>
      </c>
      <c r="K1807" t="s">
        <v>1046</v>
      </c>
      <c r="L1807">
        <v>210000</v>
      </c>
      <c r="M1807">
        <v>2.0499999999999998</v>
      </c>
      <c r="N1807">
        <v>25.807235996972345</v>
      </c>
      <c r="O1807" t="s">
        <v>592</v>
      </c>
      <c r="P1807" t="s">
        <v>621</v>
      </c>
      <c r="Q1807" t="s">
        <v>586</v>
      </c>
      <c r="R1807" t="s">
        <v>712</v>
      </c>
      <c r="S1807" t="s">
        <v>712</v>
      </c>
      <c r="T1807">
        <v>48</v>
      </c>
    </row>
    <row r="1808" spans="1:20" x14ac:dyDescent="0.25">
      <c r="A1808" t="s">
        <v>3072</v>
      </c>
      <c r="B1808" t="s">
        <v>111</v>
      </c>
      <c r="C1808" t="s">
        <v>586</v>
      </c>
      <c r="D1808" t="s">
        <v>608</v>
      </c>
      <c r="E1808" t="s">
        <v>789</v>
      </c>
      <c r="F1808">
        <v>2.3770743272082777</v>
      </c>
      <c r="G1808">
        <v>7.1322037731811561</v>
      </c>
      <c r="H1808" t="s">
        <v>676</v>
      </c>
      <c r="I1808" t="s">
        <v>611</v>
      </c>
      <c r="J1808">
        <v>4</v>
      </c>
      <c r="K1808" t="s">
        <v>803</v>
      </c>
      <c r="L1808">
        <v>435000</v>
      </c>
      <c r="M1808">
        <v>1.6500000000000001</v>
      </c>
      <c r="N1808">
        <v>7.1322037731811561</v>
      </c>
      <c r="O1808" t="s">
        <v>592</v>
      </c>
      <c r="P1808" t="s">
        <v>621</v>
      </c>
      <c r="Q1808" t="s">
        <v>586</v>
      </c>
      <c r="R1808" t="s">
        <v>712</v>
      </c>
      <c r="S1808" t="s">
        <v>635</v>
      </c>
      <c r="T1808">
        <v>76</v>
      </c>
    </row>
    <row r="1809" spans="1:20" x14ac:dyDescent="0.25">
      <c r="A1809" t="s">
        <v>3073</v>
      </c>
      <c r="B1809" t="s">
        <v>111</v>
      </c>
      <c r="C1809" t="s">
        <v>586</v>
      </c>
      <c r="D1809" t="s">
        <v>608</v>
      </c>
      <c r="E1809" t="s">
        <v>789</v>
      </c>
      <c r="F1809">
        <v>3.2533629061608909</v>
      </c>
      <c r="G1809">
        <v>13.318012926121314</v>
      </c>
      <c r="H1809" t="s">
        <v>676</v>
      </c>
      <c r="I1809" t="s">
        <v>611</v>
      </c>
      <c r="J1809">
        <v>4</v>
      </c>
      <c r="K1809" t="s">
        <v>1387</v>
      </c>
      <c r="L1809">
        <v>450000</v>
      </c>
      <c r="M1809">
        <v>1.85</v>
      </c>
      <c r="N1809">
        <v>13.318012926121314</v>
      </c>
      <c r="O1809" t="s">
        <v>592</v>
      </c>
      <c r="P1809" t="s">
        <v>621</v>
      </c>
      <c r="Q1809" t="s">
        <v>586</v>
      </c>
      <c r="R1809" t="s">
        <v>712</v>
      </c>
      <c r="S1809" t="s">
        <v>635</v>
      </c>
      <c r="T1809">
        <v>69</v>
      </c>
    </row>
    <row r="1810" spans="1:20" x14ac:dyDescent="0.25">
      <c r="A1810" t="s">
        <v>3074</v>
      </c>
      <c r="B1810" t="s">
        <v>111</v>
      </c>
      <c r="C1810" t="s">
        <v>586</v>
      </c>
      <c r="D1810" t="s">
        <v>608</v>
      </c>
      <c r="E1810" t="s">
        <v>789</v>
      </c>
      <c r="F1810">
        <v>4.0980599384555561</v>
      </c>
      <c r="G1810">
        <v>16.633509745088016</v>
      </c>
      <c r="H1810" t="s">
        <v>676</v>
      </c>
      <c r="I1810" t="s">
        <v>611</v>
      </c>
      <c r="J1810">
        <v>4</v>
      </c>
      <c r="K1810" t="s">
        <v>1765</v>
      </c>
      <c r="L1810">
        <v>470000</v>
      </c>
      <c r="M1810">
        <v>2</v>
      </c>
      <c r="N1810">
        <v>16.633509745088016</v>
      </c>
      <c r="O1810" t="s">
        <v>592</v>
      </c>
      <c r="P1810" t="s">
        <v>621</v>
      </c>
      <c r="Q1810" t="s">
        <v>586</v>
      </c>
      <c r="R1810">
        <v>40000</v>
      </c>
      <c r="S1810" t="s">
        <v>635</v>
      </c>
      <c r="T1810">
        <v>62</v>
      </c>
    </row>
    <row r="1811" spans="1:20" x14ac:dyDescent="0.25">
      <c r="A1811" t="s">
        <v>3075</v>
      </c>
      <c r="B1811" t="s">
        <v>486</v>
      </c>
      <c r="C1811" t="s">
        <v>586</v>
      </c>
      <c r="D1811" t="s">
        <v>1124</v>
      </c>
      <c r="E1811" t="s">
        <v>3076</v>
      </c>
      <c r="F1811">
        <v>1.765729418425636</v>
      </c>
      <c r="G1811">
        <v>27.874123905608748</v>
      </c>
      <c r="H1811" t="s">
        <v>802</v>
      </c>
      <c r="I1811" t="s">
        <v>661</v>
      </c>
      <c r="J1811">
        <v>2.4500000000000002</v>
      </c>
      <c r="K1811" t="s">
        <v>1114</v>
      </c>
      <c r="L1811">
        <v>345000</v>
      </c>
      <c r="M1811">
        <v>2.4500000000000002</v>
      </c>
      <c r="N1811">
        <v>27.874123905608748</v>
      </c>
      <c r="O1811" t="s">
        <v>592</v>
      </c>
      <c r="P1811" t="s">
        <v>3077</v>
      </c>
      <c r="Q1811" t="s">
        <v>607</v>
      </c>
      <c r="R1811" t="s">
        <v>712</v>
      </c>
      <c r="S1811" t="s">
        <v>652</v>
      </c>
      <c r="T1811">
        <v>69</v>
      </c>
    </row>
    <row r="1812" spans="1:20" x14ac:dyDescent="0.25">
      <c r="A1812" t="s">
        <v>3078</v>
      </c>
      <c r="B1812" t="s">
        <v>486</v>
      </c>
      <c r="C1812" t="s">
        <v>586</v>
      </c>
      <c r="D1812" t="s">
        <v>1124</v>
      </c>
      <c r="E1812" t="s">
        <v>3076</v>
      </c>
      <c r="F1812">
        <v>2.6906259574362643</v>
      </c>
      <c r="G1812">
        <v>35.088682303536345</v>
      </c>
      <c r="H1812" t="s">
        <v>802</v>
      </c>
      <c r="I1812" t="s">
        <v>661</v>
      </c>
      <c r="J1812">
        <v>2.6</v>
      </c>
      <c r="K1812" t="s">
        <v>669</v>
      </c>
      <c r="L1812">
        <v>355000</v>
      </c>
      <c r="M1812">
        <v>2.6</v>
      </c>
      <c r="N1812">
        <v>35.088682303536345</v>
      </c>
      <c r="O1812" t="s">
        <v>592</v>
      </c>
      <c r="P1812" t="s">
        <v>3077</v>
      </c>
      <c r="Q1812" t="s">
        <v>607</v>
      </c>
      <c r="R1812" t="s">
        <v>712</v>
      </c>
      <c r="S1812" t="s">
        <v>652</v>
      </c>
      <c r="T1812">
        <v>58</v>
      </c>
    </row>
    <row r="1813" spans="1:20" x14ac:dyDescent="0.25">
      <c r="A1813" t="s">
        <v>3079</v>
      </c>
      <c r="B1813" t="s">
        <v>486</v>
      </c>
      <c r="C1813" t="s">
        <v>586</v>
      </c>
      <c r="D1813" t="s">
        <v>1124</v>
      </c>
      <c r="E1813" t="s">
        <v>3076</v>
      </c>
      <c r="F1813">
        <v>4.4490221059196005</v>
      </c>
      <c r="G1813">
        <v>44.185146301571663</v>
      </c>
      <c r="H1813" t="s">
        <v>802</v>
      </c>
      <c r="I1813" t="s">
        <v>661</v>
      </c>
      <c r="J1813">
        <v>2.8</v>
      </c>
      <c r="K1813" t="s">
        <v>722</v>
      </c>
      <c r="L1813">
        <v>375000</v>
      </c>
      <c r="M1813">
        <v>2.8000000000000003</v>
      </c>
      <c r="N1813">
        <v>44.185146301571663</v>
      </c>
      <c r="O1813" t="s">
        <v>592</v>
      </c>
      <c r="P1813" t="s">
        <v>3077</v>
      </c>
      <c r="Q1813" t="s">
        <v>607</v>
      </c>
      <c r="R1813" t="s">
        <v>712</v>
      </c>
      <c r="S1813" t="s">
        <v>652</v>
      </c>
      <c r="T1813">
        <v>44</v>
      </c>
    </row>
    <row r="1814" spans="1:20" x14ac:dyDescent="0.25">
      <c r="A1814" t="s">
        <v>3080</v>
      </c>
      <c r="B1814" t="s">
        <v>483</v>
      </c>
      <c r="C1814" t="s">
        <v>586</v>
      </c>
      <c r="D1814" t="s">
        <v>608</v>
      </c>
      <c r="E1814" t="s">
        <v>1032</v>
      </c>
      <c r="F1814">
        <v>0.56928532678794286</v>
      </c>
      <c r="G1814">
        <v>16.610906849315054</v>
      </c>
      <c r="H1814" t="s">
        <v>610</v>
      </c>
      <c r="I1814" t="s">
        <v>721</v>
      </c>
      <c r="J1814">
        <v>3</v>
      </c>
      <c r="K1814" t="s">
        <v>744</v>
      </c>
      <c r="L1814">
        <v>405000</v>
      </c>
      <c r="M1814">
        <v>1.6500000000000001</v>
      </c>
      <c r="N1814">
        <v>16.610906849315054</v>
      </c>
      <c r="O1814" t="s">
        <v>592</v>
      </c>
      <c r="P1814" t="s">
        <v>613</v>
      </c>
      <c r="Q1814" t="s">
        <v>586</v>
      </c>
      <c r="R1814" t="s">
        <v>712</v>
      </c>
      <c r="S1814" t="s">
        <v>712</v>
      </c>
      <c r="T1814">
        <v>92</v>
      </c>
    </row>
    <row r="1815" spans="1:20" x14ac:dyDescent="0.25">
      <c r="A1815" t="s">
        <v>3081</v>
      </c>
      <c r="B1815" t="s">
        <v>483</v>
      </c>
      <c r="C1815" t="s">
        <v>586</v>
      </c>
      <c r="D1815" t="s">
        <v>608</v>
      </c>
      <c r="E1815" t="s">
        <v>1032</v>
      </c>
      <c r="F1815">
        <v>3.347379090718833</v>
      </c>
      <c r="G1815">
        <v>22.198465753424635</v>
      </c>
      <c r="H1815" t="s">
        <v>610</v>
      </c>
      <c r="I1815" t="s">
        <v>721</v>
      </c>
      <c r="J1815">
        <v>3</v>
      </c>
      <c r="K1815" t="s">
        <v>1038</v>
      </c>
      <c r="L1815">
        <v>440000</v>
      </c>
      <c r="M1815">
        <v>2.0499999999999998</v>
      </c>
      <c r="N1815">
        <v>22.198465753424635</v>
      </c>
      <c r="O1815" t="s">
        <v>592</v>
      </c>
      <c r="P1815" t="s">
        <v>613</v>
      </c>
      <c r="Q1815" t="s">
        <v>586</v>
      </c>
      <c r="R1815" t="s">
        <v>712</v>
      </c>
      <c r="S1815" t="s">
        <v>712</v>
      </c>
      <c r="T1815">
        <v>69</v>
      </c>
    </row>
    <row r="1816" spans="1:20" x14ac:dyDescent="0.25">
      <c r="A1816" t="s">
        <v>3082</v>
      </c>
      <c r="B1816" t="s">
        <v>483</v>
      </c>
      <c r="C1816" t="s">
        <v>586</v>
      </c>
      <c r="D1816" t="s">
        <v>608</v>
      </c>
      <c r="E1816" t="s">
        <v>1032</v>
      </c>
      <c r="F1816">
        <v>4.2206929727609497</v>
      </c>
      <c r="G1816">
        <v>22.893104109589025</v>
      </c>
      <c r="H1816" t="s">
        <v>610</v>
      </c>
      <c r="I1816" t="s">
        <v>721</v>
      </c>
      <c r="J1816">
        <v>3</v>
      </c>
      <c r="K1816" t="s">
        <v>1133</v>
      </c>
      <c r="L1816">
        <v>455000</v>
      </c>
      <c r="M1816">
        <v>2.15</v>
      </c>
      <c r="N1816">
        <v>22.893104109589025</v>
      </c>
      <c r="O1816" t="s">
        <v>592</v>
      </c>
      <c r="P1816" t="s">
        <v>613</v>
      </c>
      <c r="Q1816" t="s">
        <v>586</v>
      </c>
      <c r="R1816" t="s">
        <v>712</v>
      </c>
      <c r="S1816" t="s">
        <v>712</v>
      </c>
      <c r="T1816">
        <v>64</v>
      </c>
    </row>
    <row r="1817" spans="1:20" x14ac:dyDescent="0.25">
      <c r="A1817" t="s">
        <v>3083</v>
      </c>
      <c r="B1817" t="s">
        <v>484</v>
      </c>
      <c r="C1817" t="s">
        <v>607</v>
      </c>
      <c r="D1817" t="s">
        <v>637</v>
      </c>
      <c r="E1817" t="s">
        <v>3064</v>
      </c>
      <c r="F1817">
        <v>1.7578375273452389</v>
      </c>
      <c r="G1817">
        <v>45.561216943659353</v>
      </c>
      <c r="H1817" t="s">
        <v>3065</v>
      </c>
      <c r="I1817" t="s">
        <v>611</v>
      </c>
      <c r="J1817">
        <v>4</v>
      </c>
      <c r="K1817" t="s">
        <v>1114</v>
      </c>
      <c r="L1817">
        <v>955000</v>
      </c>
      <c r="M1817">
        <v>2.4700000000000002</v>
      </c>
      <c r="N1817">
        <v>45.561216943659353</v>
      </c>
      <c r="O1817" t="s">
        <v>592</v>
      </c>
      <c r="P1817" t="s">
        <v>593</v>
      </c>
      <c r="Q1817" t="s">
        <v>586</v>
      </c>
      <c r="R1817" t="s">
        <v>712</v>
      </c>
      <c r="S1817" t="s">
        <v>594</v>
      </c>
      <c r="T1817">
        <v>84</v>
      </c>
    </row>
    <row r="1818" spans="1:20" x14ac:dyDescent="0.25">
      <c r="A1818" t="s">
        <v>3084</v>
      </c>
      <c r="B1818" t="s">
        <v>485</v>
      </c>
      <c r="C1818" t="s">
        <v>586</v>
      </c>
      <c r="D1818" t="s">
        <v>608</v>
      </c>
      <c r="E1818" t="s">
        <v>3069</v>
      </c>
      <c r="F1818">
        <v>3.6098367979799616E-2</v>
      </c>
      <c r="G1818">
        <v>28.798185964084212</v>
      </c>
      <c r="H1818" t="s">
        <v>720</v>
      </c>
      <c r="I1818" t="s">
        <v>721</v>
      </c>
      <c r="J1818">
        <v>4</v>
      </c>
      <c r="K1818" t="s">
        <v>1008</v>
      </c>
      <c r="L1818">
        <v>180000</v>
      </c>
      <c r="M1818">
        <v>1.5</v>
      </c>
      <c r="N1818">
        <v>28.798185964084212</v>
      </c>
      <c r="O1818" t="s">
        <v>592</v>
      </c>
      <c r="P1818" t="s">
        <v>621</v>
      </c>
      <c r="Q1818" t="s">
        <v>586</v>
      </c>
      <c r="R1818" t="s">
        <v>712</v>
      </c>
      <c r="S1818" t="s">
        <v>712</v>
      </c>
      <c r="T1818">
        <v>95</v>
      </c>
    </row>
    <row r="1819" spans="1:20" x14ac:dyDescent="0.25">
      <c r="A1819" t="s">
        <v>3085</v>
      </c>
      <c r="B1819" t="s">
        <v>485</v>
      </c>
      <c r="C1819" t="s">
        <v>586</v>
      </c>
      <c r="D1819" t="s">
        <v>608</v>
      </c>
      <c r="E1819" t="s">
        <v>3069</v>
      </c>
      <c r="F1819">
        <v>1.9253319800056421</v>
      </c>
      <c r="G1819">
        <v>28.995825048896773</v>
      </c>
      <c r="H1819" t="s">
        <v>720</v>
      </c>
      <c r="I1819" t="s">
        <v>721</v>
      </c>
      <c r="J1819">
        <v>4</v>
      </c>
      <c r="K1819" t="s">
        <v>898</v>
      </c>
      <c r="L1819">
        <v>190000</v>
      </c>
      <c r="M1819">
        <v>1.8</v>
      </c>
      <c r="N1819">
        <v>28.995825048896773</v>
      </c>
      <c r="O1819" t="s">
        <v>592</v>
      </c>
      <c r="P1819" t="s">
        <v>621</v>
      </c>
      <c r="Q1819" t="s">
        <v>586</v>
      </c>
      <c r="R1819" t="s">
        <v>712</v>
      </c>
      <c r="S1819" t="s">
        <v>712</v>
      </c>
      <c r="T1819">
        <v>72</v>
      </c>
    </row>
    <row r="1820" spans="1:20" x14ac:dyDescent="0.25">
      <c r="A1820" t="s">
        <v>3086</v>
      </c>
      <c r="B1820" t="s">
        <v>487</v>
      </c>
      <c r="C1820" t="s">
        <v>607</v>
      </c>
      <c r="D1820" t="s">
        <v>608</v>
      </c>
      <c r="E1820" t="s">
        <v>609</v>
      </c>
      <c r="F1820">
        <v>8.0474312174032572E-2</v>
      </c>
      <c r="G1820">
        <v>51.60845205479454</v>
      </c>
      <c r="H1820" t="s">
        <v>1033</v>
      </c>
      <c r="I1820" t="s">
        <v>611</v>
      </c>
      <c r="J1820">
        <v>3</v>
      </c>
      <c r="K1820" t="s">
        <v>950</v>
      </c>
      <c r="L1820">
        <v>135000</v>
      </c>
      <c r="M1820">
        <v>1.85</v>
      </c>
      <c r="N1820">
        <v>51.60845205479454</v>
      </c>
      <c r="O1820" t="s">
        <v>592</v>
      </c>
      <c r="P1820" t="s">
        <v>613</v>
      </c>
      <c r="Q1820" t="s">
        <v>586</v>
      </c>
      <c r="R1820" t="s">
        <v>712</v>
      </c>
      <c r="S1820" t="s">
        <v>594</v>
      </c>
      <c r="T1820">
        <v>98</v>
      </c>
    </row>
    <row r="1821" spans="1:20" x14ac:dyDescent="0.25">
      <c r="A1821" t="s">
        <v>3087</v>
      </c>
      <c r="B1821" t="s">
        <v>487</v>
      </c>
      <c r="C1821" t="s">
        <v>607</v>
      </c>
      <c r="D1821" t="s">
        <v>608</v>
      </c>
      <c r="E1821" t="s">
        <v>609</v>
      </c>
      <c r="F1821">
        <v>1.0489864773367461</v>
      </c>
      <c r="G1821">
        <v>54.236315068493155</v>
      </c>
      <c r="H1821" t="s">
        <v>1033</v>
      </c>
      <c r="I1821" t="s">
        <v>611</v>
      </c>
      <c r="J1821">
        <v>3</v>
      </c>
      <c r="K1821" t="s">
        <v>612</v>
      </c>
      <c r="L1821">
        <v>135000</v>
      </c>
      <c r="M1821">
        <v>2</v>
      </c>
      <c r="N1821">
        <v>54.236315068493155</v>
      </c>
      <c r="O1821" t="s">
        <v>592</v>
      </c>
      <c r="P1821" t="s">
        <v>613</v>
      </c>
      <c r="Q1821" t="s">
        <v>586</v>
      </c>
      <c r="R1821" t="s">
        <v>712</v>
      </c>
      <c r="S1821" t="s">
        <v>594</v>
      </c>
      <c r="T1821">
        <v>87</v>
      </c>
    </row>
    <row r="1822" spans="1:20" x14ac:dyDescent="0.25">
      <c r="A1822" t="s">
        <v>3088</v>
      </c>
      <c r="B1822" t="s">
        <v>488</v>
      </c>
      <c r="C1822" t="s">
        <v>586</v>
      </c>
      <c r="D1822" t="s">
        <v>1124</v>
      </c>
      <c r="E1822" t="s">
        <v>3089</v>
      </c>
      <c r="F1822">
        <v>1.303086548601859</v>
      </c>
      <c r="G1822">
        <v>14.517833625073816</v>
      </c>
      <c r="H1822" t="s">
        <v>3090</v>
      </c>
      <c r="I1822" t="s">
        <v>1137</v>
      </c>
      <c r="J1822">
        <v>2.25</v>
      </c>
      <c r="K1822" t="s">
        <v>758</v>
      </c>
      <c r="L1822">
        <v>165000</v>
      </c>
      <c r="M1822">
        <v>1.7000000000000002</v>
      </c>
      <c r="N1822">
        <v>14.517833625073816</v>
      </c>
      <c r="O1822" t="s">
        <v>592</v>
      </c>
      <c r="P1822" t="s">
        <v>711</v>
      </c>
      <c r="Q1822" t="s">
        <v>586</v>
      </c>
      <c r="R1822" t="s">
        <v>712</v>
      </c>
      <c r="S1822" t="s">
        <v>712</v>
      </c>
      <c r="T1822">
        <v>77</v>
      </c>
    </row>
    <row r="1823" spans="1:20" x14ac:dyDescent="0.25">
      <c r="A1823" t="s">
        <v>3091</v>
      </c>
      <c r="B1823" t="s">
        <v>488</v>
      </c>
      <c r="C1823" t="s">
        <v>586</v>
      </c>
      <c r="D1823" t="s">
        <v>1124</v>
      </c>
      <c r="E1823" t="s">
        <v>3089</v>
      </c>
      <c r="F1823">
        <v>2.254869769397124</v>
      </c>
      <c r="G1823">
        <v>14.612576421084622</v>
      </c>
      <c r="H1823" t="s">
        <v>3090</v>
      </c>
      <c r="I1823" t="s">
        <v>1137</v>
      </c>
      <c r="J1823">
        <v>2.25</v>
      </c>
      <c r="K1823" t="s">
        <v>972</v>
      </c>
      <c r="L1823">
        <v>170000</v>
      </c>
      <c r="M1823">
        <v>1.85</v>
      </c>
      <c r="N1823">
        <v>14.612576421084622</v>
      </c>
      <c r="O1823" t="s">
        <v>592</v>
      </c>
      <c r="P1823" t="s">
        <v>711</v>
      </c>
      <c r="Q1823" t="s">
        <v>586</v>
      </c>
      <c r="R1823" t="s">
        <v>712</v>
      </c>
      <c r="S1823" t="s">
        <v>712</v>
      </c>
      <c r="T1823">
        <v>65</v>
      </c>
    </row>
    <row r="1824" spans="1:20" x14ac:dyDescent="0.25">
      <c r="A1824" t="s">
        <v>3092</v>
      </c>
      <c r="B1824" t="s">
        <v>488</v>
      </c>
      <c r="C1824" t="s">
        <v>586</v>
      </c>
      <c r="D1824" t="s">
        <v>1124</v>
      </c>
      <c r="E1824" t="s">
        <v>3089</v>
      </c>
      <c r="F1824">
        <v>3.1740128486404062</v>
      </c>
      <c r="G1824">
        <v>15.162739946184089</v>
      </c>
      <c r="H1824" t="s">
        <v>3090</v>
      </c>
      <c r="I1824" t="s">
        <v>1137</v>
      </c>
      <c r="J1824">
        <v>2.5</v>
      </c>
      <c r="K1824" t="s">
        <v>938</v>
      </c>
      <c r="L1824">
        <v>175000</v>
      </c>
      <c r="M1824">
        <v>2</v>
      </c>
      <c r="N1824">
        <v>15.162739946184089</v>
      </c>
      <c r="O1824" t="s">
        <v>592</v>
      </c>
      <c r="P1824" t="s">
        <v>711</v>
      </c>
      <c r="Q1824" t="s">
        <v>586</v>
      </c>
      <c r="R1824" t="s">
        <v>712</v>
      </c>
      <c r="S1824" t="s">
        <v>712</v>
      </c>
      <c r="T1824">
        <v>48</v>
      </c>
    </row>
    <row r="1825" spans="1:20" x14ac:dyDescent="0.25">
      <c r="A1825" t="s">
        <v>3093</v>
      </c>
      <c r="B1825" t="s">
        <v>460</v>
      </c>
      <c r="C1825" t="s">
        <v>607</v>
      </c>
      <c r="D1825" t="s">
        <v>587</v>
      </c>
      <c r="E1825" t="s">
        <v>751</v>
      </c>
      <c r="F1825">
        <v>0.81574875076456066</v>
      </c>
      <c r="G1825">
        <v>14.79270866412441</v>
      </c>
      <c r="H1825" t="s">
        <v>2886</v>
      </c>
      <c r="I1825" t="s">
        <v>611</v>
      </c>
      <c r="J1825">
        <v>4</v>
      </c>
      <c r="K1825" t="s">
        <v>984</v>
      </c>
      <c r="L1825">
        <v>65000</v>
      </c>
      <c r="M1825" t="s">
        <v>712</v>
      </c>
      <c r="N1825">
        <v>14.79270866412441</v>
      </c>
      <c r="O1825" t="s">
        <v>592</v>
      </c>
      <c r="P1825" t="s">
        <v>593</v>
      </c>
      <c r="Q1825" t="s">
        <v>586</v>
      </c>
      <c r="R1825" t="s">
        <v>712</v>
      </c>
      <c r="S1825" t="s">
        <v>712</v>
      </c>
      <c r="T1825">
        <v>90</v>
      </c>
    </row>
    <row r="1826" spans="1:20" x14ac:dyDescent="0.25">
      <c r="A1826" t="s">
        <v>3094</v>
      </c>
      <c r="B1826" t="s">
        <v>460</v>
      </c>
      <c r="C1826" t="s">
        <v>607</v>
      </c>
      <c r="D1826" t="s">
        <v>587</v>
      </c>
      <c r="E1826" t="s">
        <v>751</v>
      </c>
      <c r="F1826">
        <v>2.66868147966587</v>
      </c>
      <c r="G1826">
        <v>19.328656268005972</v>
      </c>
      <c r="H1826" t="s">
        <v>2886</v>
      </c>
      <c r="I1826" t="s">
        <v>611</v>
      </c>
      <c r="J1826">
        <v>4</v>
      </c>
      <c r="K1826" t="s">
        <v>669</v>
      </c>
      <c r="L1826">
        <v>70000</v>
      </c>
      <c r="M1826" t="s">
        <v>712</v>
      </c>
      <c r="N1826">
        <v>19.328656268005972</v>
      </c>
      <c r="O1826" t="s">
        <v>592</v>
      </c>
      <c r="P1826" t="s">
        <v>593</v>
      </c>
      <c r="Q1826" t="s">
        <v>586</v>
      </c>
      <c r="R1826" t="s">
        <v>712</v>
      </c>
      <c r="S1826" t="s">
        <v>712</v>
      </c>
      <c r="T1826">
        <v>68</v>
      </c>
    </row>
    <row r="1827" spans="1:20" x14ac:dyDescent="0.25">
      <c r="A1827" t="s">
        <v>3095</v>
      </c>
      <c r="B1827" t="s">
        <v>460</v>
      </c>
      <c r="C1827" t="s">
        <v>607</v>
      </c>
      <c r="D1827" t="s">
        <v>587</v>
      </c>
      <c r="E1827" t="s">
        <v>751</v>
      </c>
      <c r="F1827">
        <v>3.5447368324819428</v>
      </c>
      <c r="G1827">
        <v>23.205522778051545</v>
      </c>
      <c r="H1827" t="s">
        <v>2886</v>
      </c>
      <c r="I1827" t="s">
        <v>611</v>
      </c>
      <c r="J1827">
        <v>4</v>
      </c>
      <c r="K1827" t="s">
        <v>1163</v>
      </c>
      <c r="L1827">
        <v>70000</v>
      </c>
      <c r="M1827" t="s">
        <v>712</v>
      </c>
      <c r="N1827">
        <v>23.205522778051545</v>
      </c>
      <c r="O1827" t="s">
        <v>592</v>
      </c>
      <c r="P1827" t="s">
        <v>593</v>
      </c>
      <c r="Q1827" t="s">
        <v>586</v>
      </c>
      <c r="R1827" t="s">
        <v>712</v>
      </c>
      <c r="S1827" t="s">
        <v>712</v>
      </c>
      <c r="T1827">
        <v>62</v>
      </c>
    </row>
    <row r="1828" spans="1:20" x14ac:dyDescent="0.25">
      <c r="A1828" t="s">
        <v>3096</v>
      </c>
      <c r="B1828" t="s">
        <v>460</v>
      </c>
      <c r="C1828" t="s">
        <v>607</v>
      </c>
      <c r="D1828" t="s">
        <v>587</v>
      </c>
      <c r="E1828" t="s">
        <v>751</v>
      </c>
      <c r="F1828">
        <v>4.3895056449658449</v>
      </c>
      <c r="G1828">
        <v>31.528088118201893</v>
      </c>
      <c r="H1828" t="s">
        <v>2886</v>
      </c>
      <c r="I1828" t="s">
        <v>611</v>
      </c>
      <c r="J1828">
        <v>4</v>
      </c>
      <c r="K1828" t="s">
        <v>722</v>
      </c>
      <c r="L1828">
        <v>75000</v>
      </c>
      <c r="M1828" t="s">
        <v>712</v>
      </c>
      <c r="N1828">
        <v>31.528088118201893</v>
      </c>
      <c r="O1828" t="s">
        <v>592</v>
      </c>
      <c r="P1828" t="s">
        <v>593</v>
      </c>
      <c r="Q1828" t="s">
        <v>586</v>
      </c>
      <c r="R1828" t="s">
        <v>712</v>
      </c>
      <c r="S1828" t="s">
        <v>712</v>
      </c>
      <c r="T1828">
        <v>57</v>
      </c>
    </row>
    <row r="1829" spans="1:20" x14ac:dyDescent="0.25">
      <c r="A1829" t="s">
        <v>3097</v>
      </c>
      <c r="B1829" t="s">
        <v>78</v>
      </c>
      <c r="C1829" t="s">
        <v>586</v>
      </c>
      <c r="D1829" t="s">
        <v>900</v>
      </c>
      <c r="E1829" t="s">
        <v>901</v>
      </c>
      <c r="F1829">
        <v>1.7043118746532953</v>
      </c>
      <c r="G1829">
        <v>24.4095620053427</v>
      </c>
      <c r="H1829" t="s">
        <v>902</v>
      </c>
      <c r="I1829" t="s">
        <v>661</v>
      </c>
      <c r="J1829">
        <v>2</v>
      </c>
      <c r="K1829" t="s">
        <v>682</v>
      </c>
      <c r="L1829">
        <v>745000</v>
      </c>
      <c r="M1829">
        <v>1.6500000000000001</v>
      </c>
      <c r="N1829">
        <v>24.4095620053427</v>
      </c>
      <c r="O1829" t="s">
        <v>592</v>
      </c>
      <c r="P1829" t="s">
        <v>593</v>
      </c>
      <c r="Q1829" t="s">
        <v>586</v>
      </c>
      <c r="R1829">
        <v>75000</v>
      </c>
      <c r="S1829" t="s">
        <v>712</v>
      </c>
      <c r="T1829">
        <v>68</v>
      </c>
    </row>
    <row r="1830" spans="1:20" x14ac:dyDescent="0.25">
      <c r="A1830" t="s">
        <v>3098</v>
      </c>
      <c r="B1830" t="s">
        <v>78</v>
      </c>
      <c r="C1830" t="s">
        <v>586</v>
      </c>
      <c r="D1830" t="s">
        <v>900</v>
      </c>
      <c r="E1830" t="s">
        <v>901</v>
      </c>
      <c r="F1830">
        <v>2.6515457010413979</v>
      </c>
      <c r="G1830">
        <v>29.171350269416397</v>
      </c>
      <c r="H1830" t="s">
        <v>902</v>
      </c>
      <c r="I1830" t="s">
        <v>661</v>
      </c>
      <c r="J1830">
        <v>2</v>
      </c>
      <c r="K1830" t="s">
        <v>930</v>
      </c>
      <c r="L1830">
        <v>760000</v>
      </c>
      <c r="M1830">
        <v>1.85</v>
      </c>
      <c r="N1830">
        <v>29.171350269416397</v>
      </c>
      <c r="O1830" t="s">
        <v>592</v>
      </c>
      <c r="P1830" t="s">
        <v>593</v>
      </c>
      <c r="Q1830" t="s">
        <v>586</v>
      </c>
      <c r="R1830" t="s">
        <v>712</v>
      </c>
      <c r="S1830" t="s">
        <v>712</v>
      </c>
      <c r="T1830">
        <v>56</v>
      </c>
    </row>
    <row r="1831" spans="1:20" x14ac:dyDescent="0.25">
      <c r="A1831" t="s">
        <v>3099</v>
      </c>
      <c r="B1831" t="s">
        <v>489</v>
      </c>
      <c r="C1831" t="s">
        <v>586</v>
      </c>
      <c r="D1831" t="s">
        <v>900</v>
      </c>
      <c r="E1831" t="s">
        <v>3100</v>
      </c>
      <c r="F1831">
        <v>0.4945503683856971</v>
      </c>
      <c r="G1831">
        <v>27.910195180839771</v>
      </c>
      <c r="H1831" t="s">
        <v>928</v>
      </c>
      <c r="I1831" t="s">
        <v>611</v>
      </c>
      <c r="J1831">
        <v>3</v>
      </c>
      <c r="K1831" t="s">
        <v>807</v>
      </c>
      <c r="L1831">
        <v>210000</v>
      </c>
      <c r="M1831">
        <v>1.6300000000000001</v>
      </c>
      <c r="N1831">
        <v>27.910195180839771</v>
      </c>
      <c r="O1831" t="s">
        <v>592</v>
      </c>
      <c r="P1831" t="s">
        <v>711</v>
      </c>
      <c r="Q1831" t="s">
        <v>586</v>
      </c>
      <c r="R1831" t="s">
        <v>712</v>
      </c>
      <c r="S1831" t="s">
        <v>712</v>
      </c>
      <c r="T1831">
        <v>98</v>
      </c>
    </row>
    <row r="1832" spans="1:20" x14ac:dyDescent="0.25">
      <c r="A1832" t="s">
        <v>3101</v>
      </c>
      <c r="B1832" t="s">
        <v>489</v>
      </c>
      <c r="C1832" t="s">
        <v>586</v>
      </c>
      <c r="D1832" t="s">
        <v>900</v>
      </c>
      <c r="E1832" t="s">
        <v>3100</v>
      </c>
      <c r="F1832">
        <v>1.4632352363312484</v>
      </c>
      <c r="G1832">
        <v>25.92378496738381</v>
      </c>
      <c r="H1832" t="s">
        <v>928</v>
      </c>
      <c r="I1832" t="s">
        <v>611</v>
      </c>
      <c r="J1832">
        <v>3</v>
      </c>
      <c r="K1832" t="s">
        <v>780</v>
      </c>
      <c r="L1832">
        <v>220000</v>
      </c>
      <c r="M1832">
        <v>1.77</v>
      </c>
      <c r="N1832">
        <v>25.92378496738381</v>
      </c>
      <c r="O1832" t="s">
        <v>592</v>
      </c>
      <c r="P1832" t="s">
        <v>711</v>
      </c>
      <c r="Q1832" t="s">
        <v>586</v>
      </c>
      <c r="R1832" t="s">
        <v>712</v>
      </c>
      <c r="S1832" t="s">
        <v>712</v>
      </c>
      <c r="T1832">
        <v>85</v>
      </c>
    </row>
    <row r="1833" spans="1:20" x14ac:dyDescent="0.25">
      <c r="A1833" t="s">
        <v>3102</v>
      </c>
      <c r="B1833" t="s">
        <v>489</v>
      </c>
      <c r="C1833" t="s">
        <v>586</v>
      </c>
      <c r="D1833" t="s">
        <v>900</v>
      </c>
      <c r="E1833" t="s">
        <v>3100</v>
      </c>
      <c r="F1833">
        <v>2.4033326485016033</v>
      </c>
      <c r="G1833">
        <v>25.918110437858608</v>
      </c>
      <c r="H1833" t="s">
        <v>928</v>
      </c>
      <c r="I1833" t="s">
        <v>611</v>
      </c>
      <c r="J1833">
        <v>3</v>
      </c>
      <c r="K1833" t="s">
        <v>1013</v>
      </c>
      <c r="L1833">
        <v>230000</v>
      </c>
      <c r="M1833">
        <v>1.93</v>
      </c>
      <c r="N1833">
        <v>25.918110437858608</v>
      </c>
      <c r="O1833" t="s">
        <v>592</v>
      </c>
      <c r="P1833" t="s">
        <v>711</v>
      </c>
      <c r="Q1833" t="s">
        <v>586</v>
      </c>
      <c r="R1833" t="s">
        <v>712</v>
      </c>
      <c r="S1833" t="s">
        <v>712</v>
      </c>
      <c r="T1833">
        <v>76</v>
      </c>
    </row>
    <row r="1834" spans="1:20" x14ac:dyDescent="0.25">
      <c r="A1834" t="s">
        <v>3103</v>
      </c>
      <c r="B1834" t="s">
        <v>489</v>
      </c>
      <c r="C1834" t="s">
        <v>586</v>
      </c>
      <c r="D1834" t="s">
        <v>900</v>
      </c>
      <c r="E1834" t="s">
        <v>3100</v>
      </c>
      <c r="F1834">
        <v>3.3160823365054939</v>
      </c>
      <c r="G1834">
        <v>28.093060701326866</v>
      </c>
      <c r="H1834" t="s">
        <v>928</v>
      </c>
      <c r="I1834" t="s">
        <v>611</v>
      </c>
      <c r="J1834">
        <v>3</v>
      </c>
      <c r="K1834" t="s">
        <v>824</v>
      </c>
      <c r="L1834">
        <v>240000</v>
      </c>
      <c r="M1834">
        <v>2.1</v>
      </c>
      <c r="N1834">
        <v>28.093060701326866</v>
      </c>
      <c r="O1834" t="s">
        <v>592</v>
      </c>
      <c r="P1834" t="s">
        <v>711</v>
      </c>
      <c r="Q1834" t="s">
        <v>586</v>
      </c>
      <c r="R1834" t="s">
        <v>712</v>
      </c>
      <c r="S1834" t="s">
        <v>712</v>
      </c>
      <c r="T1834">
        <v>68</v>
      </c>
    </row>
    <row r="1835" spans="1:20" x14ac:dyDescent="0.25">
      <c r="A1835" t="s">
        <v>3104</v>
      </c>
      <c r="B1835" t="s">
        <v>489</v>
      </c>
      <c r="C1835" t="s">
        <v>586</v>
      </c>
      <c r="D1835" t="s">
        <v>900</v>
      </c>
      <c r="E1835" t="s">
        <v>3100</v>
      </c>
      <c r="F1835">
        <v>4.2019489475031007</v>
      </c>
      <c r="G1835">
        <v>26.750494113869628</v>
      </c>
      <c r="H1835" t="s">
        <v>928</v>
      </c>
      <c r="I1835" t="s">
        <v>611</v>
      </c>
      <c r="J1835">
        <v>3</v>
      </c>
      <c r="K1835" t="s">
        <v>1319</v>
      </c>
      <c r="L1835">
        <v>245000</v>
      </c>
      <c r="M1835">
        <v>2.21</v>
      </c>
      <c r="N1835">
        <v>26.750494113869628</v>
      </c>
      <c r="O1835" t="s">
        <v>592</v>
      </c>
      <c r="P1835" t="s">
        <v>711</v>
      </c>
      <c r="Q1835" t="s">
        <v>586</v>
      </c>
      <c r="R1835" t="s">
        <v>712</v>
      </c>
      <c r="S1835" t="s">
        <v>712</v>
      </c>
      <c r="T1835">
        <v>63</v>
      </c>
    </row>
    <row r="1836" spans="1:20" x14ac:dyDescent="0.25">
      <c r="A1836" t="s">
        <v>3105</v>
      </c>
      <c r="B1836" t="s">
        <v>490</v>
      </c>
      <c r="C1836" t="s">
        <v>586</v>
      </c>
      <c r="D1836" t="s">
        <v>642</v>
      </c>
      <c r="E1836" t="s">
        <v>1361</v>
      </c>
      <c r="F1836">
        <v>0.81776222925167164</v>
      </c>
      <c r="G1836">
        <v>50.047172602739721</v>
      </c>
      <c r="H1836" t="s">
        <v>1274</v>
      </c>
      <c r="I1836" t="s">
        <v>721</v>
      </c>
      <c r="J1836">
        <v>3</v>
      </c>
      <c r="K1836" t="s">
        <v>984</v>
      </c>
      <c r="L1836">
        <v>165000</v>
      </c>
      <c r="M1836">
        <v>1.95</v>
      </c>
      <c r="N1836">
        <v>50.047172602739721</v>
      </c>
      <c r="O1836" t="s">
        <v>592</v>
      </c>
      <c r="P1836" t="s">
        <v>613</v>
      </c>
      <c r="Q1836" t="s">
        <v>586</v>
      </c>
      <c r="R1836" t="s">
        <v>712</v>
      </c>
      <c r="S1836" t="s">
        <v>712</v>
      </c>
      <c r="T1836">
        <v>85</v>
      </c>
    </row>
    <row r="1837" spans="1:20" x14ac:dyDescent="0.25">
      <c r="A1837" t="s">
        <v>3106</v>
      </c>
      <c r="B1837" t="s">
        <v>490</v>
      </c>
      <c r="C1837" t="s">
        <v>586</v>
      </c>
      <c r="D1837" t="s">
        <v>642</v>
      </c>
      <c r="E1837" t="s">
        <v>1361</v>
      </c>
      <c r="F1837">
        <v>1.7725001306766714</v>
      </c>
      <c r="G1837">
        <v>52.459156164383572</v>
      </c>
      <c r="H1837" t="s">
        <v>1274</v>
      </c>
      <c r="I1837" t="s">
        <v>721</v>
      </c>
      <c r="J1837">
        <v>3</v>
      </c>
      <c r="K1837" t="s">
        <v>1114</v>
      </c>
      <c r="L1837">
        <v>165000</v>
      </c>
      <c r="M1837">
        <v>2.1</v>
      </c>
      <c r="N1837">
        <v>52.459156164383572</v>
      </c>
      <c r="O1837" t="s">
        <v>592</v>
      </c>
      <c r="P1837" t="s">
        <v>613</v>
      </c>
      <c r="Q1837" t="s">
        <v>586</v>
      </c>
      <c r="R1837" t="s">
        <v>712</v>
      </c>
      <c r="S1837" t="s">
        <v>712</v>
      </c>
      <c r="T1837">
        <v>75</v>
      </c>
    </row>
    <row r="1838" spans="1:20" x14ac:dyDescent="0.25">
      <c r="A1838" t="s">
        <v>3107</v>
      </c>
      <c r="B1838" t="s">
        <v>490</v>
      </c>
      <c r="C1838" t="s">
        <v>586</v>
      </c>
      <c r="D1838" t="s">
        <v>642</v>
      </c>
      <c r="E1838" t="s">
        <v>1361</v>
      </c>
      <c r="F1838">
        <v>2.7001858859347672</v>
      </c>
      <c r="G1838">
        <v>54.712832876712334</v>
      </c>
      <c r="H1838" t="s">
        <v>1274</v>
      </c>
      <c r="I1838" t="s">
        <v>721</v>
      </c>
      <c r="J1838">
        <v>3</v>
      </c>
      <c r="K1838" t="s">
        <v>669</v>
      </c>
      <c r="L1838">
        <v>175000</v>
      </c>
      <c r="M1838">
        <v>2.25</v>
      </c>
      <c r="N1838">
        <v>54.712832876712334</v>
      </c>
      <c r="O1838" t="s">
        <v>592</v>
      </c>
      <c r="P1838" t="s">
        <v>613</v>
      </c>
      <c r="Q1838" t="s">
        <v>586</v>
      </c>
      <c r="R1838" t="s">
        <v>712</v>
      </c>
      <c r="S1838" t="s">
        <v>712</v>
      </c>
      <c r="T1838">
        <v>58</v>
      </c>
    </row>
    <row r="1839" spans="1:20" x14ac:dyDescent="0.25">
      <c r="A1839" t="s">
        <v>3108</v>
      </c>
      <c r="B1839" t="s">
        <v>490</v>
      </c>
      <c r="C1839" t="s">
        <v>586</v>
      </c>
      <c r="D1839" t="s">
        <v>642</v>
      </c>
      <c r="E1839" t="s">
        <v>1361</v>
      </c>
      <c r="F1839">
        <v>3.6013825497835263</v>
      </c>
      <c r="G1839">
        <v>57.958079452054804</v>
      </c>
      <c r="H1839" t="s">
        <v>1274</v>
      </c>
      <c r="I1839" t="s">
        <v>721</v>
      </c>
      <c r="J1839">
        <v>3</v>
      </c>
      <c r="K1839" t="s">
        <v>1163</v>
      </c>
      <c r="L1839">
        <v>180000</v>
      </c>
      <c r="M1839">
        <v>2.4000000000000004</v>
      </c>
      <c r="N1839">
        <v>57.958079452054804</v>
      </c>
      <c r="O1839" t="s">
        <v>592</v>
      </c>
      <c r="P1839" t="s">
        <v>613</v>
      </c>
      <c r="Q1839" t="s">
        <v>586</v>
      </c>
      <c r="R1839" t="s">
        <v>712</v>
      </c>
      <c r="S1839" t="s">
        <v>712</v>
      </c>
      <c r="T1839">
        <v>46</v>
      </c>
    </row>
    <row r="1840" spans="1:20" x14ac:dyDescent="0.25">
      <c r="A1840" t="s">
        <v>3109</v>
      </c>
      <c r="B1840" t="s">
        <v>491</v>
      </c>
      <c r="C1840" t="s">
        <v>586</v>
      </c>
      <c r="D1840" t="s">
        <v>587</v>
      </c>
      <c r="E1840" t="s">
        <v>3110</v>
      </c>
      <c r="F1840">
        <v>0.89583011986758521</v>
      </c>
      <c r="G1840">
        <v>-4.7782556768064977</v>
      </c>
      <c r="H1840" t="s">
        <v>761</v>
      </c>
      <c r="I1840" t="s">
        <v>661</v>
      </c>
      <c r="J1840">
        <v>5</v>
      </c>
      <c r="K1840" t="s">
        <v>640</v>
      </c>
      <c r="L1840">
        <v>720000</v>
      </c>
      <c r="M1840">
        <v>1.33</v>
      </c>
      <c r="N1840">
        <v>-4.7782556768064977</v>
      </c>
      <c r="O1840" t="s">
        <v>592</v>
      </c>
      <c r="P1840" t="s">
        <v>593</v>
      </c>
      <c r="Q1840" t="s">
        <v>586</v>
      </c>
      <c r="R1840" t="s">
        <v>712</v>
      </c>
      <c r="S1840" t="s">
        <v>635</v>
      </c>
      <c r="T1840">
        <v>90</v>
      </c>
    </row>
    <row r="1841" spans="1:20" x14ac:dyDescent="0.25">
      <c r="A1841" t="s">
        <v>3111</v>
      </c>
      <c r="B1841" t="s">
        <v>167</v>
      </c>
      <c r="C1841" t="s">
        <v>586</v>
      </c>
      <c r="D1841" t="s">
        <v>830</v>
      </c>
      <c r="E1841" t="s">
        <v>927</v>
      </c>
      <c r="F1841">
        <v>8.0506257307261728E-2</v>
      </c>
      <c r="G1841">
        <v>-2.5904459511033817</v>
      </c>
      <c r="H1841" t="s">
        <v>1258</v>
      </c>
      <c r="I1841" t="s">
        <v>1152</v>
      </c>
      <c r="J1841">
        <v>5</v>
      </c>
      <c r="K1841" t="s">
        <v>950</v>
      </c>
      <c r="L1841">
        <v>1015000</v>
      </c>
      <c r="M1841">
        <v>1.41</v>
      </c>
      <c r="N1841">
        <v>-2.5904459511033817</v>
      </c>
      <c r="O1841" t="s">
        <v>592</v>
      </c>
      <c r="P1841" t="s">
        <v>593</v>
      </c>
      <c r="Q1841" t="s">
        <v>586</v>
      </c>
      <c r="R1841">
        <v>50000</v>
      </c>
      <c r="S1841" t="s">
        <v>599</v>
      </c>
      <c r="T1841">
        <v>89</v>
      </c>
    </row>
    <row r="1842" spans="1:20" x14ac:dyDescent="0.25">
      <c r="A1842" t="s">
        <v>3112</v>
      </c>
      <c r="B1842" t="s">
        <v>167</v>
      </c>
      <c r="C1842" t="s">
        <v>586</v>
      </c>
      <c r="D1842" t="s">
        <v>830</v>
      </c>
      <c r="E1842" t="s">
        <v>927</v>
      </c>
      <c r="F1842">
        <v>1.9515149866635912</v>
      </c>
      <c r="G1842">
        <v>-4.1794732628771758</v>
      </c>
      <c r="H1842" t="s">
        <v>1258</v>
      </c>
      <c r="I1842" t="s">
        <v>1152</v>
      </c>
      <c r="J1842">
        <v>5</v>
      </c>
      <c r="K1842" t="s">
        <v>956</v>
      </c>
      <c r="L1842">
        <v>1125000</v>
      </c>
      <c r="M1842">
        <v>1.72</v>
      </c>
      <c r="N1842">
        <v>-4.1794732628771758</v>
      </c>
      <c r="O1842" t="s">
        <v>592</v>
      </c>
      <c r="P1842" t="s">
        <v>593</v>
      </c>
      <c r="Q1842" t="s">
        <v>586</v>
      </c>
      <c r="R1842">
        <v>30000</v>
      </c>
      <c r="S1842" t="s">
        <v>599</v>
      </c>
      <c r="T1842">
        <v>88</v>
      </c>
    </row>
    <row r="1843" spans="1:20" x14ac:dyDescent="0.25">
      <c r="A1843" t="s">
        <v>3113</v>
      </c>
      <c r="B1843" t="s">
        <v>167</v>
      </c>
      <c r="C1843" t="s">
        <v>586</v>
      </c>
      <c r="D1843" t="s">
        <v>830</v>
      </c>
      <c r="E1843" t="s">
        <v>927</v>
      </c>
      <c r="F1843">
        <v>1.0381825826393962</v>
      </c>
      <c r="G1843">
        <v>-3.911249315068499</v>
      </c>
      <c r="H1843" t="s">
        <v>1097</v>
      </c>
      <c r="I1843" t="s">
        <v>1260</v>
      </c>
      <c r="J1843">
        <v>5</v>
      </c>
      <c r="K1843" t="s">
        <v>612</v>
      </c>
      <c r="L1843">
        <v>790000</v>
      </c>
      <c r="M1843">
        <v>1.49</v>
      </c>
      <c r="N1843">
        <v>-3.911249315068499</v>
      </c>
      <c r="O1843" t="s">
        <v>592</v>
      </c>
      <c r="P1843" t="s">
        <v>593</v>
      </c>
      <c r="Q1843" t="s">
        <v>586</v>
      </c>
      <c r="R1843" t="s">
        <v>712</v>
      </c>
      <c r="S1843" t="s">
        <v>599</v>
      </c>
      <c r="T1843">
        <v>91</v>
      </c>
    </row>
    <row r="1844" spans="1:20" x14ac:dyDescent="0.25">
      <c r="A1844" t="s">
        <v>3114</v>
      </c>
      <c r="B1844" t="s">
        <v>167</v>
      </c>
      <c r="C1844" t="s">
        <v>586</v>
      </c>
      <c r="D1844" t="s">
        <v>830</v>
      </c>
      <c r="E1844" t="s">
        <v>927</v>
      </c>
      <c r="F1844">
        <v>3.6631030765378356</v>
      </c>
      <c r="G1844">
        <v>-5.0219863013698518</v>
      </c>
      <c r="H1844" t="s">
        <v>1097</v>
      </c>
      <c r="I1844" t="s">
        <v>1260</v>
      </c>
      <c r="J1844">
        <v>5</v>
      </c>
      <c r="K1844" t="s">
        <v>1220</v>
      </c>
      <c r="L1844">
        <v>910000</v>
      </c>
      <c r="M1844">
        <v>1.8</v>
      </c>
      <c r="N1844">
        <v>-5.0219863013698518</v>
      </c>
      <c r="O1844" t="s">
        <v>592</v>
      </c>
      <c r="P1844" t="s">
        <v>593</v>
      </c>
      <c r="Q1844" t="s">
        <v>586</v>
      </c>
      <c r="R1844" t="s">
        <v>712</v>
      </c>
      <c r="S1844" t="s">
        <v>599</v>
      </c>
      <c r="T1844">
        <v>66</v>
      </c>
    </row>
    <row r="1845" spans="1:20" x14ac:dyDescent="0.25">
      <c r="A1845" t="s">
        <v>3115</v>
      </c>
      <c r="B1845" t="s">
        <v>167</v>
      </c>
      <c r="C1845" t="s">
        <v>586</v>
      </c>
      <c r="D1845" t="s">
        <v>830</v>
      </c>
      <c r="E1845" t="s">
        <v>927</v>
      </c>
      <c r="F1845">
        <v>1.9489386658328574</v>
      </c>
      <c r="G1845">
        <v>15.998054794520545</v>
      </c>
      <c r="H1845" t="s">
        <v>1097</v>
      </c>
      <c r="I1845" t="s">
        <v>1260</v>
      </c>
      <c r="J1845">
        <v>5</v>
      </c>
      <c r="K1845" t="s">
        <v>956</v>
      </c>
      <c r="L1845">
        <v>95000</v>
      </c>
      <c r="M1845">
        <v>1.8</v>
      </c>
      <c r="N1845">
        <v>15.998054794520545</v>
      </c>
      <c r="O1845" t="s">
        <v>592</v>
      </c>
      <c r="P1845" t="s">
        <v>1261</v>
      </c>
      <c r="Q1845" t="s">
        <v>586</v>
      </c>
      <c r="R1845" t="s">
        <v>712</v>
      </c>
      <c r="S1845" t="s">
        <v>599</v>
      </c>
      <c r="T1845">
        <v>76</v>
      </c>
    </row>
    <row r="1846" spans="1:20" x14ac:dyDescent="0.25">
      <c r="A1846" t="s">
        <v>3116</v>
      </c>
      <c r="B1846" t="s">
        <v>491</v>
      </c>
      <c r="C1846" t="s">
        <v>586</v>
      </c>
      <c r="D1846" t="s">
        <v>587</v>
      </c>
      <c r="E1846" t="s">
        <v>3110</v>
      </c>
      <c r="F1846">
        <v>1.8293644775366744</v>
      </c>
      <c r="G1846">
        <v>-7.7007914804063438</v>
      </c>
      <c r="H1846" t="s">
        <v>761</v>
      </c>
      <c r="I1846" t="s">
        <v>661</v>
      </c>
      <c r="J1846">
        <v>5</v>
      </c>
      <c r="K1846" t="s">
        <v>658</v>
      </c>
      <c r="L1846">
        <v>755000</v>
      </c>
      <c r="M1846">
        <v>1.45</v>
      </c>
      <c r="N1846">
        <v>-7.7007914804063438</v>
      </c>
      <c r="O1846" t="s">
        <v>592</v>
      </c>
      <c r="P1846" t="s">
        <v>593</v>
      </c>
      <c r="Q1846" t="s">
        <v>586</v>
      </c>
      <c r="R1846">
        <v>45000</v>
      </c>
      <c r="S1846" t="s">
        <v>635</v>
      </c>
      <c r="T1846">
        <v>83</v>
      </c>
    </row>
    <row r="1847" spans="1:20" x14ac:dyDescent="0.25">
      <c r="A1847" t="s">
        <v>3117</v>
      </c>
      <c r="B1847" t="s">
        <v>491</v>
      </c>
      <c r="C1847" t="s">
        <v>586</v>
      </c>
      <c r="D1847" t="s">
        <v>587</v>
      </c>
      <c r="E1847" t="s">
        <v>3110</v>
      </c>
      <c r="F1847">
        <v>2.7221230685072588</v>
      </c>
      <c r="G1847">
        <v>-8.7771220023786114</v>
      </c>
      <c r="H1847" t="s">
        <v>761</v>
      </c>
      <c r="I1847" t="s">
        <v>661</v>
      </c>
      <c r="J1847">
        <v>5</v>
      </c>
      <c r="K1847" t="s">
        <v>626</v>
      </c>
      <c r="L1847">
        <v>790000</v>
      </c>
      <c r="M1847">
        <v>1.59</v>
      </c>
      <c r="N1847">
        <v>-8.7771220023786114</v>
      </c>
      <c r="O1847" t="s">
        <v>592</v>
      </c>
      <c r="P1847" t="s">
        <v>593</v>
      </c>
      <c r="Q1847" t="s">
        <v>586</v>
      </c>
      <c r="R1847">
        <v>10000</v>
      </c>
      <c r="S1847" t="s">
        <v>635</v>
      </c>
      <c r="T1847">
        <v>76</v>
      </c>
    </row>
    <row r="1848" spans="1:20" x14ac:dyDescent="0.25">
      <c r="A1848" t="s">
        <v>3118</v>
      </c>
      <c r="B1848" t="s">
        <v>491</v>
      </c>
      <c r="C1848" t="s">
        <v>586</v>
      </c>
      <c r="D1848" t="s">
        <v>587</v>
      </c>
      <c r="E1848" t="s">
        <v>3110</v>
      </c>
      <c r="F1848">
        <v>3.5774876035409244</v>
      </c>
      <c r="G1848">
        <v>-4.5747338899412293</v>
      </c>
      <c r="H1848" t="s">
        <v>761</v>
      </c>
      <c r="I1848" t="s">
        <v>661</v>
      </c>
      <c r="J1848">
        <v>5</v>
      </c>
      <c r="K1848" t="s">
        <v>753</v>
      </c>
      <c r="L1848">
        <v>830000</v>
      </c>
      <c r="M1848">
        <v>1.77</v>
      </c>
      <c r="N1848">
        <v>-4.5747338899412293</v>
      </c>
      <c r="O1848" t="s">
        <v>592</v>
      </c>
      <c r="P1848" t="s">
        <v>593</v>
      </c>
      <c r="Q1848" t="s">
        <v>586</v>
      </c>
      <c r="R1848">
        <v>180000</v>
      </c>
      <c r="S1848" t="s">
        <v>635</v>
      </c>
      <c r="T1848">
        <v>72</v>
      </c>
    </row>
    <row r="1849" spans="1:20" x14ac:dyDescent="0.25">
      <c r="A1849" t="s">
        <v>3119</v>
      </c>
      <c r="B1849" t="s">
        <v>167</v>
      </c>
      <c r="C1849" t="s">
        <v>586</v>
      </c>
      <c r="D1849" t="s">
        <v>830</v>
      </c>
      <c r="E1849" t="s">
        <v>927</v>
      </c>
      <c r="F1849">
        <v>3.7981015238401468</v>
      </c>
      <c r="G1849">
        <v>9.2068865533548649</v>
      </c>
      <c r="H1849" t="s">
        <v>1258</v>
      </c>
      <c r="I1849" t="s">
        <v>1152</v>
      </c>
      <c r="J1849">
        <v>3</v>
      </c>
      <c r="K1849" t="s">
        <v>1220</v>
      </c>
      <c r="L1849">
        <v>1225000</v>
      </c>
      <c r="M1849">
        <v>2.15</v>
      </c>
      <c r="N1849">
        <v>9.2068865533548649</v>
      </c>
      <c r="O1849" t="s">
        <v>592</v>
      </c>
      <c r="P1849" t="s">
        <v>593</v>
      </c>
      <c r="Q1849" t="s">
        <v>586</v>
      </c>
      <c r="R1849">
        <v>30000</v>
      </c>
      <c r="S1849" t="s">
        <v>599</v>
      </c>
      <c r="T1849">
        <v>64</v>
      </c>
    </row>
    <row r="1850" spans="1:20" x14ac:dyDescent="0.25">
      <c r="A1850" t="s">
        <v>3120</v>
      </c>
      <c r="B1850" t="s">
        <v>167</v>
      </c>
      <c r="C1850" t="s">
        <v>586</v>
      </c>
      <c r="D1850" t="s">
        <v>830</v>
      </c>
      <c r="E1850" t="s">
        <v>927</v>
      </c>
      <c r="F1850">
        <v>8.0505628580747765E-2</v>
      </c>
      <c r="G1850">
        <v>-3.9694301369863183</v>
      </c>
      <c r="H1850" t="s">
        <v>1097</v>
      </c>
      <c r="I1850" t="s">
        <v>1260</v>
      </c>
      <c r="J1850">
        <v>5</v>
      </c>
      <c r="K1850" t="s">
        <v>950</v>
      </c>
      <c r="L1850">
        <v>735000</v>
      </c>
      <c r="M1850">
        <v>1.3800000000000001</v>
      </c>
      <c r="N1850">
        <v>-3.9694301369863183</v>
      </c>
      <c r="O1850" t="s">
        <v>592</v>
      </c>
      <c r="P1850" t="s">
        <v>593</v>
      </c>
      <c r="Q1850" t="s">
        <v>586</v>
      </c>
      <c r="R1850" t="s">
        <v>712</v>
      </c>
      <c r="S1850" t="s">
        <v>599</v>
      </c>
      <c r="T1850">
        <v>97</v>
      </c>
    </row>
    <row r="1851" spans="1:20" x14ac:dyDescent="0.25">
      <c r="A1851" t="s">
        <v>3121</v>
      </c>
      <c r="B1851" t="s">
        <v>167</v>
      </c>
      <c r="C1851" t="s">
        <v>586</v>
      </c>
      <c r="D1851" t="s">
        <v>830</v>
      </c>
      <c r="E1851" t="s">
        <v>927</v>
      </c>
      <c r="F1851">
        <v>2.8251773719296271</v>
      </c>
      <c r="G1851">
        <v>-5.1903013698630041</v>
      </c>
      <c r="H1851" t="s">
        <v>1097</v>
      </c>
      <c r="I1851" t="s">
        <v>1260</v>
      </c>
      <c r="J1851">
        <v>5</v>
      </c>
      <c r="K1851" t="s">
        <v>1334</v>
      </c>
      <c r="L1851">
        <v>855000</v>
      </c>
      <c r="M1851">
        <v>1.7000000000000002</v>
      </c>
      <c r="N1851">
        <v>-5.1903013698630041</v>
      </c>
      <c r="O1851" t="s">
        <v>592</v>
      </c>
      <c r="P1851" t="s">
        <v>593</v>
      </c>
      <c r="Q1851" t="s">
        <v>586</v>
      </c>
      <c r="R1851">
        <v>250000</v>
      </c>
      <c r="S1851" t="s">
        <v>599</v>
      </c>
      <c r="T1851">
        <v>72</v>
      </c>
    </row>
    <row r="1852" spans="1:20" x14ac:dyDescent="0.25">
      <c r="A1852" t="s">
        <v>3122</v>
      </c>
      <c r="B1852" t="s">
        <v>167</v>
      </c>
      <c r="C1852" t="s">
        <v>586</v>
      </c>
      <c r="D1852" t="s">
        <v>830</v>
      </c>
      <c r="E1852" t="s">
        <v>927</v>
      </c>
      <c r="F1852">
        <v>4.7571492060903564</v>
      </c>
      <c r="G1852" t="s">
        <v>712</v>
      </c>
      <c r="H1852" t="s">
        <v>1097</v>
      </c>
      <c r="I1852" t="s">
        <v>1260</v>
      </c>
      <c r="J1852">
        <v>2.125</v>
      </c>
      <c r="K1852" t="s">
        <v>717</v>
      </c>
      <c r="L1852">
        <v>940000</v>
      </c>
      <c r="M1852">
        <v>2.2389999999999999</v>
      </c>
      <c r="N1852" t="s">
        <v>712</v>
      </c>
      <c r="O1852" t="s">
        <v>592</v>
      </c>
      <c r="P1852" t="s">
        <v>593</v>
      </c>
      <c r="Q1852" t="s">
        <v>586</v>
      </c>
      <c r="R1852" t="s">
        <v>712</v>
      </c>
      <c r="S1852" t="s">
        <v>599</v>
      </c>
      <c r="T1852">
        <v>37</v>
      </c>
    </row>
    <row r="1853" spans="1:20" x14ac:dyDescent="0.25">
      <c r="A1853" t="s">
        <v>3123</v>
      </c>
      <c r="B1853" t="s">
        <v>167</v>
      </c>
      <c r="C1853" t="s">
        <v>586</v>
      </c>
      <c r="D1853" t="s">
        <v>830</v>
      </c>
      <c r="E1853" t="s">
        <v>927</v>
      </c>
      <c r="F1853">
        <v>8.0493997144964788E-2</v>
      </c>
      <c r="G1853">
        <v>17.030569863013699</v>
      </c>
      <c r="H1853" t="s">
        <v>1097</v>
      </c>
      <c r="I1853" t="s">
        <v>1260</v>
      </c>
      <c r="J1853">
        <v>5</v>
      </c>
      <c r="K1853" t="s">
        <v>950</v>
      </c>
      <c r="L1853">
        <v>85000</v>
      </c>
      <c r="M1853">
        <v>1.59</v>
      </c>
      <c r="N1853">
        <v>17.030569863013699</v>
      </c>
      <c r="O1853" t="s">
        <v>592</v>
      </c>
      <c r="P1853" t="s">
        <v>1261</v>
      </c>
      <c r="Q1853" t="s">
        <v>586</v>
      </c>
      <c r="R1853" t="s">
        <v>712</v>
      </c>
      <c r="S1853" t="s">
        <v>599</v>
      </c>
      <c r="T1853">
        <v>87</v>
      </c>
    </row>
    <row r="1854" spans="1:20" x14ac:dyDescent="0.25">
      <c r="A1854" t="s">
        <v>3124</v>
      </c>
      <c r="B1854" t="s">
        <v>167</v>
      </c>
      <c r="C1854" t="s">
        <v>586</v>
      </c>
      <c r="D1854" t="s">
        <v>830</v>
      </c>
      <c r="E1854" t="s">
        <v>927</v>
      </c>
      <c r="F1854">
        <v>2.8214616627026046</v>
      </c>
      <c r="G1854">
        <v>19.809698630136996</v>
      </c>
      <c r="H1854" t="s">
        <v>1097</v>
      </c>
      <c r="I1854" t="s">
        <v>1260</v>
      </c>
      <c r="J1854">
        <v>5</v>
      </c>
      <c r="K1854" t="s">
        <v>1334</v>
      </c>
      <c r="L1854">
        <v>100000</v>
      </c>
      <c r="M1854">
        <v>1.95</v>
      </c>
      <c r="N1854">
        <v>19.809698630136996</v>
      </c>
      <c r="O1854" t="s">
        <v>592</v>
      </c>
      <c r="P1854" t="s">
        <v>1261</v>
      </c>
      <c r="Q1854" t="s">
        <v>586</v>
      </c>
      <c r="R1854" t="s">
        <v>712</v>
      </c>
      <c r="S1854" t="s">
        <v>599</v>
      </c>
      <c r="T1854">
        <v>65</v>
      </c>
    </row>
    <row r="1855" spans="1:20" x14ac:dyDescent="0.25">
      <c r="A1855" t="s">
        <v>3125</v>
      </c>
      <c r="B1855" t="s">
        <v>167</v>
      </c>
      <c r="C1855" t="s">
        <v>586</v>
      </c>
      <c r="D1855" t="s">
        <v>830</v>
      </c>
      <c r="E1855" t="s">
        <v>927</v>
      </c>
      <c r="F1855">
        <v>3.6570159469966295</v>
      </c>
      <c r="G1855">
        <v>19.978013698630125</v>
      </c>
      <c r="H1855" t="s">
        <v>1097</v>
      </c>
      <c r="I1855" t="s">
        <v>1260</v>
      </c>
      <c r="J1855">
        <v>5</v>
      </c>
      <c r="K1855" t="s">
        <v>1220</v>
      </c>
      <c r="L1855">
        <v>105000</v>
      </c>
      <c r="M1855">
        <v>2.0499999999999998</v>
      </c>
      <c r="N1855">
        <v>19.978013698630125</v>
      </c>
      <c r="O1855" t="s">
        <v>592</v>
      </c>
      <c r="P1855" t="s">
        <v>1261</v>
      </c>
      <c r="Q1855" t="s">
        <v>586</v>
      </c>
      <c r="R1855" t="s">
        <v>712</v>
      </c>
      <c r="S1855" t="s">
        <v>599</v>
      </c>
      <c r="T1855">
        <v>58</v>
      </c>
    </row>
    <row r="1856" spans="1:20" x14ac:dyDescent="0.25">
      <c r="A1856" t="s">
        <v>3126</v>
      </c>
      <c r="B1856" t="s">
        <v>152</v>
      </c>
      <c r="C1856" t="s">
        <v>586</v>
      </c>
      <c r="D1856" t="s">
        <v>601</v>
      </c>
      <c r="E1856" t="s">
        <v>924</v>
      </c>
      <c r="F1856">
        <v>2.9461980476145451</v>
      </c>
      <c r="G1856">
        <v>-1.8221629642293902</v>
      </c>
      <c r="H1856" t="s">
        <v>1041</v>
      </c>
      <c r="I1856" t="s">
        <v>1202</v>
      </c>
      <c r="J1856">
        <v>2</v>
      </c>
      <c r="K1856" t="s">
        <v>1334</v>
      </c>
      <c r="L1856">
        <v>400000</v>
      </c>
      <c r="M1856">
        <v>2</v>
      </c>
      <c r="N1856">
        <v>-1.8221629642293902</v>
      </c>
      <c r="O1856" t="s">
        <v>592</v>
      </c>
      <c r="P1856" t="s">
        <v>711</v>
      </c>
      <c r="Q1856" t="s">
        <v>586</v>
      </c>
      <c r="R1856" t="s">
        <v>712</v>
      </c>
      <c r="S1856" t="s">
        <v>712</v>
      </c>
      <c r="T1856">
        <v>44</v>
      </c>
    </row>
    <row r="1857" spans="1:20" x14ac:dyDescent="0.25">
      <c r="A1857" t="s">
        <v>3127</v>
      </c>
      <c r="B1857" t="s">
        <v>153</v>
      </c>
      <c r="C1857" t="s">
        <v>586</v>
      </c>
      <c r="D1857" t="s">
        <v>608</v>
      </c>
      <c r="E1857" t="s">
        <v>1204</v>
      </c>
      <c r="F1857">
        <v>2.3899991660493667</v>
      </c>
      <c r="G1857">
        <v>34.429753424657527</v>
      </c>
      <c r="H1857" t="s">
        <v>963</v>
      </c>
      <c r="I1857" t="s">
        <v>611</v>
      </c>
      <c r="J1857">
        <v>5</v>
      </c>
      <c r="K1857" t="s">
        <v>959</v>
      </c>
      <c r="L1857">
        <v>375000</v>
      </c>
      <c r="M1857">
        <v>2.06</v>
      </c>
      <c r="N1857">
        <v>34.429753424657527</v>
      </c>
      <c r="O1857" t="s">
        <v>592</v>
      </c>
      <c r="P1857" t="s">
        <v>621</v>
      </c>
      <c r="Q1857" t="s">
        <v>586</v>
      </c>
      <c r="R1857" t="s">
        <v>712</v>
      </c>
      <c r="S1857" t="s">
        <v>594</v>
      </c>
      <c r="T1857">
        <v>76</v>
      </c>
    </row>
    <row r="1858" spans="1:20" x14ac:dyDescent="0.25">
      <c r="A1858" t="s">
        <v>3128</v>
      </c>
      <c r="B1858" t="s">
        <v>153</v>
      </c>
      <c r="C1858" t="s">
        <v>586</v>
      </c>
      <c r="D1858" t="s">
        <v>608</v>
      </c>
      <c r="E1858" t="s">
        <v>1204</v>
      </c>
      <c r="F1858">
        <v>4.0623176887370249</v>
      </c>
      <c r="G1858">
        <v>39.893104109589018</v>
      </c>
      <c r="H1858" t="s">
        <v>963</v>
      </c>
      <c r="I1858" t="s">
        <v>611</v>
      </c>
      <c r="J1858">
        <v>5</v>
      </c>
      <c r="K1858" t="s">
        <v>1133</v>
      </c>
      <c r="L1858">
        <v>415000</v>
      </c>
      <c r="M1858">
        <v>2.3199999999999998</v>
      </c>
      <c r="N1858">
        <v>39.893104109589018</v>
      </c>
      <c r="O1858" t="s">
        <v>592</v>
      </c>
      <c r="P1858" t="s">
        <v>621</v>
      </c>
      <c r="Q1858" t="s">
        <v>586</v>
      </c>
      <c r="R1858" t="s">
        <v>712</v>
      </c>
      <c r="S1858" t="s">
        <v>594</v>
      </c>
      <c r="T1858">
        <v>62</v>
      </c>
    </row>
    <row r="1859" spans="1:20" x14ac:dyDescent="0.25">
      <c r="A1859" t="s">
        <v>3129</v>
      </c>
      <c r="B1859" t="s">
        <v>492</v>
      </c>
      <c r="C1859" t="s">
        <v>586</v>
      </c>
      <c r="D1859" t="s">
        <v>1090</v>
      </c>
      <c r="E1859" t="s">
        <v>1091</v>
      </c>
      <c r="F1859">
        <v>0.16364409106229577</v>
      </c>
      <c r="G1859">
        <v>42.994745382303101</v>
      </c>
      <c r="H1859" t="s">
        <v>1683</v>
      </c>
      <c r="I1859" t="s">
        <v>611</v>
      </c>
      <c r="J1859">
        <v>4</v>
      </c>
      <c r="K1859" t="s">
        <v>749</v>
      </c>
      <c r="L1859">
        <v>235000</v>
      </c>
      <c r="M1859">
        <v>1.6500000000000001</v>
      </c>
      <c r="N1859">
        <v>42.994745382303101</v>
      </c>
      <c r="O1859" t="s">
        <v>592</v>
      </c>
      <c r="P1859" t="s">
        <v>593</v>
      </c>
      <c r="Q1859" t="s">
        <v>586</v>
      </c>
      <c r="R1859" t="s">
        <v>712</v>
      </c>
      <c r="S1859" t="s">
        <v>712</v>
      </c>
      <c r="T1859">
        <v>98</v>
      </c>
    </row>
    <row r="1860" spans="1:20" x14ac:dyDescent="0.25">
      <c r="A1860" t="s">
        <v>3130</v>
      </c>
      <c r="B1860" t="s">
        <v>492</v>
      </c>
      <c r="C1860" t="s">
        <v>586</v>
      </c>
      <c r="D1860" t="s">
        <v>1090</v>
      </c>
      <c r="E1860" t="s">
        <v>1091</v>
      </c>
      <c r="F1860">
        <v>2.0527902961055076</v>
      </c>
      <c r="G1860">
        <v>49.144515559922588</v>
      </c>
      <c r="H1860" t="s">
        <v>1683</v>
      </c>
      <c r="I1860" t="s">
        <v>611</v>
      </c>
      <c r="J1860">
        <v>4</v>
      </c>
      <c r="K1860" t="s">
        <v>651</v>
      </c>
      <c r="L1860">
        <v>250000</v>
      </c>
      <c r="M1860">
        <v>2</v>
      </c>
      <c r="N1860">
        <v>49.144515559922588</v>
      </c>
      <c r="O1860" t="s">
        <v>592</v>
      </c>
      <c r="P1860" t="s">
        <v>593</v>
      </c>
      <c r="Q1860" t="s">
        <v>586</v>
      </c>
      <c r="R1860" t="s">
        <v>712</v>
      </c>
      <c r="S1860" t="s">
        <v>712</v>
      </c>
      <c r="T1860">
        <v>83</v>
      </c>
    </row>
    <row r="1861" spans="1:20" x14ac:dyDescent="0.25">
      <c r="A1861" t="s">
        <v>3131</v>
      </c>
      <c r="B1861" t="s">
        <v>493</v>
      </c>
      <c r="C1861" t="s">
        <v>586</v>
      </c>
      <c r="D1861" t="s">
        <v>1075</v>
      </c>
      <c r="E1861" t="s">
        <v>1076</v>
      </c>
      <c r="F1861">
        <v>0.81425458737489886</v>
      </c>
      <c r="G1861">
        <v>147.60707789166884</v>
      </c>
      <c r="H1861" t="s">
        <v>774</v>
      </c>
      <c r="I1861" t="s">
        <v>721</v>
      </c>
      <c r="J1861">
        <v>2.25</v>
      </c>
      <c r="K1861" t="s">
        <v>984</v>
      </c>
      <c r="L1861">
        <v>260000</v>
      </c>
      <c r="M1861">
        <v>2.74</v>
      </c>
      <c r="N1861">
        <v>147.60707789166884</v>
      </c>
      <c r="O1861" t="s">
        <v>592</v>
      </c>
      <c r="P1861" t="s">
        <v>593</v>
      </c>
      <c r="Q1861" t="s">
        <v>586</v>
      </c>
      <c r="R1861" t="s">
        <v>712</v>
      </c>
      <c r="S1861" t="s">
        <v>712</v>
      </c>
      <c r="T1861">
        <v>66</v>
      </c>
    </row>
    <row r="1862" spans="1:20" x14ac:dyDescent="0.25">
      <c r="A1862" t="s">
        <v>3132</v>
      </c>
      <c r="B1862" t="s">
        <v>493</v>
      </c>
      <c r="C1862" t="s">
        <v>586</v>
      </c>
      <c r="D1862" t="s">
        <v>1075</v>
      </c>
      <c r="E1862" t="s">
        <v>1076</v>
      </c>
      <c r="F1862">
        <v>1.7673915545145364</v>
      </c>
      <c r="G1862">
        <v>158.01008551715722</v>
      </c>
      <c r="H1862" t="s">
        <v>774</v>
      </c>
      <c r="I1862" t="s">
        <v>721</v>
      </c>
      <c r="J1862">
        <v>2.5</v>
      </c>
      <c r="K1862" t="s">
        <v>1114</v>
      </c>
      <c r="L1862">
        <v>265000</v>
      </c>
      <c r="M1862">
        <v>2.99</v>
      </c>
      <c r="N1862">
        <v>158.01008551715722</v>
      </c>
      <c r="O1862" t="s">
        <v>592</v>
      </c>
      <c r="P1862" t="s">
        <v>593</v>
      </c>
      <c r="Q1862" t="s">
        <v>586</v>
      </c>
      <c r="R1862" t="s">
        <v>712</v>
      </c>
      <c r="S1862" t="s">
        <v>712</v>
      </c>
      <c r="T1862">
        <v>46</v>
      </c>
    </row>
    <row r="1863" spans="1:20" x14ac:dyDescent="0.25">
      <c r="A1863" t="s">
        <v>3133</v>
      </c>
      <c r="B1863" t="s">
        <v>493</v>
      </c>
      <c r="C1863" t="s">
        <v>586</v>
      </c>
      <c r="D1863" t="s">
        <v>1075</v>
      </c>
      <c r="E1863" t="s">
        <v>1076</v>
      </c>
      <c r="F1863">
        <v>2.6805570901338145</v>
      </c>
      <c r="G1863">
        <v>165.2539928238086</v>
      </c>
      <c r="H1863" t="s">
        <v>774</v>
      </c>
      <c r="I1863" t="s">
        <v>721</v>
      </c>
      <c r="J1863">
        <v>3</v>
      </c>
      <c r="K1863" t="s">
        <v>669</v>
      </c>
      <c r="L1863">
        <v>275000</v>
      </c>
      <c r="M1863">
        <v>3.21</v>
      </c>
      <c r="N1863">
        <v>165.2539928238086</v>
      </c>
      <c r="O1863" t="s">
        <v>592</v>
      </c>
      <c r="P1863" t="s">
        <v>593</v>
      </c>
      <c r="Q1863" t="s">
        <v>586</v>
      </c>
      <c r="R1863" t="s">
        <v>712</v>
      </c>
      <c r="S1863" t="s">
        <v>712</v>
      </c>
      <c r="T1863">
        <v>35</v>
      </c>
    </row>
    <row r="1864" spans="1:20" x14ac:dyDescent="0.25">
      <c r="A1864" t="s">
        <v>3134</v>
      </c>
      <c r="B1864" t="s">
        <v>493</v>
      </c>
      <c r="C1864" t="s">
        <v>586</v>
      </c>
      <c r="D1864" t="s">
        <v>1075</v>
      </c>
      <c r="E1864" t="s">
        <v>1076</v>
      </c>
      <c r="F1864">
        <v>3.5729456670037609</v>
      </c>
      <c r="G1864">
        <v>169.62965329778413</v>
      </c>
      <c r="H1864" t="s">
        <v>774</v>
      </c>
      <c r="I1864" t="s">
        <v>721</v>
      </c>
      <c r="J1864">
        <v>3</v>
      </c>
      <c r="K1864" t="s">
        <v>1163</v>
      </c>
      <c r="L1864">
        <v>280000</v>
      </c>
      <c r="M1864">
        <v>3.39</v>
      </c>
      <c r="N1864">
        <v>169.62965329778413</v>
      </c>
      <c r="O1864" t="s">
        <v>592</v>
      </c>
      <c r="P1864" t="s">
        <v>593</v>
      </c>
      <c r="Q1864" t="s">
        <v>586</v>
      </c>
      <c r="R1864" t="s">
        <v>712</v>
      </c>
      <c r="S1864" t="s">
        <v>712</v>
      </c>
      <c r="T1864">
        <v>28</v>
      </c>
    </row>
    <row r="1865" spans="1:20" x14ac:dyDescent="0.25">
      <c r="A1865" t="s">
        <v>3135</v>
      </c>
      <c r="B1865" t="s">
        <v>493</v>
      </c>
      <c r="C1865" t="s">
        <v>586</v>
      </c>
      <c r="D1865" t="s">
        <v>1075</v>
      </c>
      <c r="E1865" t="s">
        <v>1076</v>
      </c>
      <c r="F1865">
        <v>4.4155526039902009</v>
      </c>
      <c r="G1865">
        <v>174.37906683565538</v>
      </c>
      <c r="H1865" t="s">
        <v>774</v>
      </c>
      <c r="I1865" t="s">
        <v>721</v>
      </c>
      <c r="J1865">
        <v>3.25</v>
      </c>
      <c r="K1865" t="s">
        <v>722</v>
      </c>
      <c r="L1865">
        <v>290000</v>
      </c>
      <c r="M1865">
        <v>3.5500000000000003</v>
      </c>
      <c r="N1865">
        <v>174.37906683565538</v>
      </c>
      <c r="O1865" t="s">
        <v>592</v>
      </c>
      <c r="P1865" t="s">
        <v>593</v>
      </c>
      <c r="Q1865" t="s">
        <v>586</v>
      </c>
      <c r="R1865" t="s">
        <v>712</v>
      </c>
      <c r="S1865" t="s">
        <v>712</v>
      </c>
      <c r="T1865">
        <v>25</v>
      </c>
    </row>
    <row r="1866" spans="1:20" x14ac:dyDescent="0.25">
      <c r="A1866" t="s">
        <v>3136</v>
      </c>
      <c r="B1866" t="s">
        <v>494</v>
      </c>
      <c r="C1866" t="s">
        <v>586</v>
      </c>
      <c r="D1866" t="s">
        <v>1075</v>
      </c>
      <c r="E1866" t="s">
        <v>756</v>
      </c>
      <c r="F1866">
        <v>0.81247426295790282</v>
      </c>
      <c r="G1866">
        <v>155.422029569855</v>
      </c>
      <c r="H1866" t="s">
        <v>3137</v>
      </c>
      <c r="I1866" t="s">
        <v>721</v>
      </c>
      <c r="J1866">
        <v>3</v>
      </c>
      <c r="K1866" t="s">
        <v>984</v>
      </c>
      <c r="L1866">
        <v>250000</v>
      </c>
      <c r="M1866">
        <v>2.92</v>
      </c>
      <c r="N1866">
        <v>155.422029569855</v>
      </c>
      <c r="O1866" t="s">
        <v>592</v>
      </c>
      <c r="P1866" t="s">
        <v>593</v>
      </c>
      <c r="Q1866" t="s">
        <v>586</v>
      </c>
      <c r="R1866" t="s">
        <v>712</v>
      </c>
      <c r="S1866" t="s">
        <v>712</v>
      </c>
      <c r="T1866">
        <v>69</v>
      </c>
    </row>
    <row r="1867" spans="1:20" x14ac:dyDescent="0.25">
      <c r="A1867" t="s">
        <v>3138</v>
      </c>
      <c r="B1867" t="s">
        <v>494</v>
      </c>
      <c r="C1867" t="s">
        <v>586</v>
      </c>
      <c r="D1867" t="s">
        <v>1075</v>
      </c>
      <c r="E1867" t="s">
        <v>756</v>
      </c>
      <c r="F1867">
        <v>1.7605330826015675</v>
      </c>
      <c r="G1867">
        <v>167.52348137035224</v>
      </c>
      <c r="H1867" t="s">
        <v>3137</v>
      </c>
      <c r="I1867" t="s">
        <v>721</v>
      </c>
      <c r="J1867">
        <v>3</v>
      </c>
      <c r="K1867" t="s">
        <v>1114</v>
      </c>
      <c r="L1867">
        <v>260000</v>
      </c>
      <c r="M1867">
        <v>3.19</v>
      </c>
      <c r="N1867">
        <v>167.52348137035224</v>
      </c>
      <c r="O1867" t="s">
        <v>592</v>
      </c>
      <c r="P1867" t="s">
        <v>593</v>
      </c>
      <c r="Q1867" t="s">
        <v>586</v>
      </c>
      <c r="R1867" t="s">
        <v>712</v>
      </c>
      <c r="S1867" t="s">
        <v>712</v>
      </c>
      <c r="T1867">
        <v>48</v>
      </c>
    </row>
    <row r="1868" spans="1:20" x14ac:dyDescent="0.25">
      <c r="A1868" t="s">
        <v>3139</v>
      </c>
      <c r="B1868" t="s">
        <v>494</v>
      </c>
      <c r="C1868" t="s">
        <v>586</v>
      </c>
      <c r="D1868" t="s">
        <v>1075</v>
      </c>
      <c r="E1868" t="s">
        <v>756</v>
      </c>
      <c r="F1868">
        <v>2.6805570901338145</v>
      </c>
      <c r="G1868">
        <v>171.46271051924609</v>
      </c>
      <c r="H1868" t="s">
        <v>3137</v>
      </c>
      <c r="I1868" t="s">
        <v>721</v>
      </c>
      <c r="J1868">
        <v>3</v>
      </c>
      <c r="K1868" t="s">
        <v>669</v>
      </c>
      <c r="L1868">
        <v>265000</v>
      </c>
      <c r="M1868">
        <v>3.38</v>
      </c>
      <c r="N1868">
        <v>171.46271051924609</v>
      </c>
      <c r="O1868" t="s">
        <v>592</v>
      </c>
      <c r="P1868" t="s">
        <v>593</v>
      </c>
      <c r="Q1868" t="s">
        <v>586</v>
      </c>
      <c r="R1868" t="s">
        <v>712</v>
      </c>
      <c r="S1868" t="s">
        <v>712</v>
      </c>
      <c r="T1868">
        <v>34</v>
      </c>
    </row>
    <row r="1869" spans="1:20" x14ac:dyDescent="0.25">
      <c r="A1869" t="s">
        <v>3140</v>
      </c>
      <c r="B1869" t="s">
        <v>494</v>
      </c>
      <c r="C1869" t="s">
        <v>586</v>
      </c>
      <c r="D1869" t="s">
        <v>1075</v>
      </c>
      <c r="E1869" t="s">
        <v>756</v>
      </c>
      <c r="F1869">
        <v>3.5584048175851337</v>
      </c>
      <c r="G1869">
        <v>176.55446678708134</v>
      </c>
      <c r="H1869" t="s">
        <v>3137</v>
      </c>
      <c r="I1869" t="s">
        <v>721</v>
      </c>
      <c r="J1869">
        <v>3.25</v>
      </c>
      <c r="K1869" t="s">
        <v>1163</v>
      </c>
      <c r="L1869">
        <v>275000</v>
      </c>
      <c r="M1869">
        <v>3.5700000000000003</v>
      </c>
      <c r="N1869">
        <v>176.55446678708134</v>
      </c>
      <c r="O1869" t="s">
        <v>592</v>
      </c>
      <c r="P1869" t="s">
        <v>593</v>
      </c>
      <c r="Q1869" t="s">
        <v>586</v>
      </c>
      <c r="R1869" t="s">
        <v>712</v>
      </c>
      <c r="S1869" t="s">
        <v>712</v>
      </c>
      <c r="T1869">
        <v>28</v>
      </c>
    </row>
    <row r="1870" spans="1:20" x14ac:dyDescent="0.25">
      <c r="A1870" t="s">
        <v>3141</v>
      </c>
      <c r="B1870" t="s">
        <v>494</v>
      </c>
      <c r="C1870" t="s">
        <v>586</v>
      </c>
      <c r="D1870" t="s">
        <v>1075</v>
      </c>
      <c r="E1870" t="s">
        <v>756</v>
      </c>
      <c r="F1870">
        <v>4.3936041659004239</v>
      </c>
      <c r="G1870">
        <v>180.2997220472885</v>
      </c>
      <c r="H1870" t="s">
        <v>3137</v>
      </c>
      <c r="I1870" t="s">
        <v>721</v>
      </c>
      <c r="J1870">
        <v>3.5</v>
      </c>
      <c r="K1870" t="s">
        <v>722</v>
      </c>
      <c r="L1870">
        <v>285000</v>
      </c>
      <c r="M1870">
        <v>3.72</v>
      </c>
      <c r="N1870">
        <v>180.2997220472885</v>
      </c>
      <c r="O1870" t="s">
        <v>592</v>
      </c>
      <c r="P1870" t="s">
        <v>593</v>
      </c>
      <c r="Q1870" t="s">
        <v>586</v>
      </c>
      <c r="R1870" t="s">
        <v>712</v>
      </c>
      <c r="S1870" t="s">
        <v>712</v>
      </c>
      <c r="T1870">
        <v>25</v>
      </c>
    </row>
    <row r="1871" spans="1:20" x14ac:dyDescent="0.25">
      <c r="A1871" t="s">
        <v>3142</v>
      </c>
      <c r="B1871" t="s">
        <v>495</v>
      </c>
      <c r="C1871" t="s">
        <v>586</v>
      </c>
      <c r="D1871" t="s">
        <v>1251</v>
      </c>
      <c r="E1871" t="s">
        <v>3143</v>
      </c>
      <c r="F1871">
        <v>0.81460356214246599</v>
      </c>
      <c r="G1871">
        <v>35.799537509005241</v>
      </c>
      <c r="H1871" t="s">
        <v>2821</v>
      </c>
      <c r="I1871" t="s">
        <v>611</v>
      </c>
      <c r="J1871">
        <v>3</v>
      </c>
      <c r="K1871" t="s">
        <v>984</v>
      </c>
      <c r="L1871">
        <v>160000</v>
      </c>
      <c r="M1871">
        <v>1.6500000000000001</v>
      </c>
      <c r="N1871">
        <v>35.799537509005241</v>
      </c>
      <c r="O1871" t="s">
        <v>592</v>
      </c>
      <c r="P1871" t="s">
        <v>711</v>
      </c>
      <c r="Q1871" t="s">
        <v>586</v>
      </c>
      <c r="R1871" t="s">
        <v>712</v>
      </c>
      <c r="S1871" t="s">
        <v>712</v>
      </c>
      <c r="T1871">
        <v>86</v>
      </c>
    </row>
    <row r="1872" spans="1:20" x14ac:dyDescent="0.25">
      <c r="A1872" t="s">
        <v>3144</v>
      </c>
      <c r="B1872" t="s">
        <v>495</v>
      </c>
      <c r="C1872" t="s">
        <v>586</v>
      </c>
      <c r="D1872" t="s">
        <v>1251</v>
      </c>
      <c r="E1872" t="s">
        <v>3143</v>
      </c>
      <c r="F1872">
        <v>1.765111140571034</v>
      </c>
      <c r="G1872">
        <v>35.075457336550308</v>
      </c>
      <c r="H1872" t="s">
        <v>2821</v>
      </c>
      <c r="I1872" t="s">
        <v>611</v>
      </c>
      <c r="J1872">
        <v>3</v>
      </c>
      <c r="K1872" t="s">
        <v>1114</v>
      </c>
      <c r="L1872">
        <v>165000</v>
      </c>
      <c r="M1872">
        <v>1.8</v>
      </c>
      <c r="N1872">
        <v>35.075457336550308</v>
      </c>
      <c r="O1872" t="s">
        <v>592</v>
      </c>
      <c r="P1872" t="s">
        <v>711</v>
      </c>
      <c r="Q1872" t="s">
        <v>586</v>
      </c>
      <c r="R1872" t="s">
        <v>712</v>
      </c>
      <c r="S1872" t="s">
        <v>712</v>
      </c>
      <c r="T1872">
        <v>74</v>
      </c>
    </row>
    <row r="1873" spans="1:20" x14ac:dyDescent="0.25">
      <c r="A1873" t="s">
        <v>3145</v>
      </c>
      <c r="B1873" t="s">
        <v>495</v>
      </c>
      <c r="C1873" t="s">
        <v>586</v>
      </c>
      <c r="D1873" t="s">
        <v>1251</v>
      </c>
      <c r="E1873" t="s">
        <v>3143</v>
      </c>
      <c r="F1873">
        <v>2.7039144639300821</v>
      </c>
      <c r="G1873">
        <v>39.43575579273444</v>
      </c>
      <c r="H1873" t="s">
        <v>2821</v>
      </c>
      <c r="I1873" t="s">
        <v>611</v>
      </c>
      <c r="J1873">
        <v>2.5</v>
      </c>
      <c r="K1873" t="s">
        <v>669</v>
      </c>
      <c r="L1873">
        <v>175000</v>
      </c>
      <c r="M1873">
        <v>2</v>
      </c>
      <c r="N1873">
        <v>39.43575579273444</v>
      </c>
      <c r="O1873" t="s">
        <v>592</v>
      </c>
      <c r="P1873" t="s">
        <v>711</v>
      </c>
      <c r="Q1873" t="s">
        <v>586</v>
      </c>
      <c r="R1873" t="s">
        <v>712</v>
      </c>
      <c r="S1873" t="s">
        <v>712</v>
      </c>
      <c r="T1873">
        <v>61</v>
      </c>
    </row>
    <row r="1874" spans="1:20" x14ac:dyDescent="0.25">
      <c r="A1874" t="s">
        <v>3146</v>
      </c>
      <c r="B1874" t="s">
        <v>495</v>
      </c>
      <c r="C1874" t="s">
        <v>586</v>
      </c>
      <c r="D1874" t="s">
        <v>1251</v>
      </c>
      <c r="E1874" t="s">
        <v>3143</v>
      </c>
      <c r="F1874">
        <v>3.6114229752139182</v>
      </c>
      <c r="G1874">
        <v>45.258191829442993</v>
      </c>
      <c r="H1874" t="s">
        <v>2821</v>
      </c>
      <c r="I1874" t="s">
        <v>611</v>
      </c>
      <c r="J1874">
        <v>2.5</v>
      </c>
      <c r="K1874" t="s">
        <v>1163</v>
      </c>
      <c r="L1874">
        <v>180000</v>
      </c>
      <c r="M1874">
        <v>2.2000000000000002</v>
      </c>
      <c r="N1874">
        <v>45.258191829442993</v>
      </c>
      <c r="O1874" t="s">
        <v>592</v>
      </c>
      <c r="P1874" t="s">
        <v>711</v>
      </c>
      <c r="Q1874" t="s">
        <v>586</v>
      </c>
      <c r="R1874" t="s">
        <v>712</v>
      </c>
      <c r="S1874" t="s">
        <v>712</v>
      </c>
      <c r="T1874">
        <v>53</v>
      </c>
    </row>
    <row r="1875" spans="1:20" x14ac:dyDescent="0.25">
      <c r="A1875" t="s">
        <v>3147</v>
      </c>
      <c r="B1875" t="s">
        <v>495</v>
      </c>
      <c r="C1875" t="s">
        <v>586</v>
      </c>
      <c r="D1875" t="s">
        <v>1251</v>
      </c>
      <c r="E1875" t="s">
        <v>3143</v>
      </c>
      <c r="F1875">
        <v>4.4945907492600634</v>
      </c>
      <c r="G1875">
        <v>43.73892468833531</v>
      </c>
      <c r="H1875" t="s">
        <v>2821</v>
      </c>
      <c r="I1875" t="s">
        <v>611</v>
      </c>
      <c r="J1875">
        <v>2.5</v>
      </c>
      <c r="K1875" t="s">
        <v>722</v>
      </c>
      <c r="L1875">
        <v>190000</v>
      </c>
      <c r="M1875">
        <v>2.3000000000000003</v>
      </c>
      <c r="N1875">
        <v>43.73892468833531</v>
      </c>
      <c r="O1875" t="s">
        <v>592</v>
      </c>
      <c r="P1875" t="s">
        <v>711</v>
      </c>
      <c r="Q1875" t="s">
        <v>586</v>
      </c>
      <c r="R1875" t="s">
        <v>712</v>
      </c>
      <c r="S1875" t="s">
        <v>712</v>
      </c>
      <c r="T1875">
        <v>46</v>
      </c>
    </row>
    <row r="1876" spans="1:20" x14ac:dyDescent="0.25">
      <c r="A1876" t="s">
        <v>3148</v>
      </c>
      <c r="B1876" t="s">
        <v>496</v>
      </c>
      <c r="C1876" t="s">
        <v>586</v>
      </c>
      <c r="D1876" t="s">
        <v>795</v>
      </c>
      <c r="E1876" t="s">
        <v>3149</v>
      </c>
      <c r="F1876">
        <v>0.24667661833804738</v>
      </c>
      <c r="G1876">
        <v>14.292397260273981</v>
      </c>
      <c r="H1876" t="s">
        <v>1120</v>
      </c>
      <c r="I1876" t="s">
        <v>619</v>
      </c>
      <c r="J1876">
        <v>5</v>
      </c>
      <c r="K1876" t="s">
        <v>694</v>
      </c>
      <c r="L1876">
        <v>760000</v>
      </c>
      <c r="M1876">
        <v>1.79</v>
      </c>
      <c r="N1876">
        <v>14.292397260273981</v>
      </c>
      <c r="O1876" t="s">
        <v>592</v>
      </c>
      <c r="P1876" t="s">
        <v>593</v>
      </c>
      <c r="Q1876" t="s">
        <v>586</v>
      </c>
      <c r="R1876" t="s">
        <v>712</v>
      </c>
      <c r="S1876" t="s">
        <v>712</v>
      </c>
      <c r="T1876">
        <v>95</v>
      </c>
    </row>
    <row r="1877" spans="1:20" x14ac:dyDescent="0.25">
      <c r="A1877" t="s">
        <v>3150</v>
      </c>
      <c r="B1877" t="s">
        <v>496</v>
      </c>
      <c r="C1877" t="s">
        <v>586</v>
      </c>
      <c r="D1877" t="s">
        <v>795</v>
      </c>
      <c r="E1877" t="s">
        <v>3149</v>
      </c>
      <c r="F1877">
        <v>1.202751928826854</v>
      </c>
      <c r="G1877">
        <v>19.269123287671231</v>
      </c>
      <c r="H1877" t="s">
        <v>1120</v>
      </c>
      <c r="I1877" t="s">
        <v>619</v>
      </c>
      <c r="J1877">
        <v>5</v>
      </c>
      <c r="K1877" t="s">
        <v>764</v>
      </c>
      <c r="L1877">
        <v>795000</v>
      </c>
      <c r="M1877">
        <v>1.9000000000000001</v>
      </c>
      <c r="N1877">
        <v>19.269123287671231</v>
      </c>
      <c r="O1877" t="s">
        <v>592</v>
      </c>
      <c r="P1877" t="s">
        <v>593</v>
      </c>
      <c r="Q1877" t="s">
        <v>586</v>
      </c>
      <c r="R1877" t="s">
        <v>712</v>
      </c>
      <c r="S1877" t="s">
        <v>712</v>
      </c>
      <c r="T1877">
        <v>87</v>
      </c>
    </row>
    <row r="1878" spans="1:20" x14ac:dyDescent="0.25">
      <c r="A1878" t="s">
        <v>3151</v>
      </c>
      <c r="B1878" t="s">
        <v>496</v>
      </c>
      <c r="C1878" t="s">
        <v>586</v>
      </c>
      <c r="D1878" t="s">
        <v>795</v>
      </c>
      <c r="E1878" t="s">
        <v>3149</v>
      </c>
      <c r="F1878">
        <v>2.1151112361419915</v>
      </c>
      <c r="G1878">
        <v>21.138772602739706</v>
      </c>
      <c r="H1878" t="s">
        <v>1120</v>
      </c>
      <c r="I1878" t="s">
        <v>619</v>
      </c>
      <c r="J1878">
        <v>5</v>
      </c>
      <c r="K1878" t="s">
        <v>699</v>
      </c>
      <c r="L1878">
        <v>835000</v>
      </c>
      <c r="M1878">
        <v>1.99</v>
      </c>
      <c r="N1878">
        <v>21.138772602739706</v>
      </c>
      <c r="O1878" t="s">
        <v>592</v>
      </c>
      <c r="P1878" t="s">
        <v>593</v>
      </c>
      <c r="Q1878" t="s">
        <v>586</v>
      </c>
      <c r="R1878">
        <v>15000</v>
      </c>
      <c r="S1878" t="s">
        <v>712</v>
      </c>
      <c r="T1878">
        <v>80</v>
      </c>
    </row>
    <row r="1879" spans="1:20" x14ac:dyDescent="0.25">
      <c r="A1879" t="s">
        <v>3152</v>
      </c>
      <c r="B1879" t="s">
        <v>496</v>
      </c>
      <c r="C1879" t="s">
        <v>586</v>
      </c>
      <c r="D1879" t="s">
        <v>795</v>
      </c>
      <c r="E1879" t="s">
        <v>3149</v>
      </c>
      <c r="F1879">
        <v>2.9882663620326695</v>
      </c>
      <c r="G1879">
        <v>20.28404657534244</v>
      </c>
      <c r="H1879" t="s">
        <v>1120</v>
      </c>
      <c r="I1879" t="s">
        <v>619</v>
      </c>
      <c r="J1879">
        <v>5</v>
      </c>
      <c r="K1879" t="s">
        <v>591</v>
      </c>
      <c r="L1879">
        <v>885000</v>
      </c>
      <c r="M1879">
        <v>2.0699999999999998</v>
      </c>
      <c r="N1879">
        <v>20.28404657534244</v>
      </c>
      <c r="O1879" t="s">
        <v>592</v>
      </c>
      <c r="P1879" t="s">
        <v>593</v>
      </c>
      <c r="Q1879" t="s">
        <v>586</v>
      </c>
      <c r="R1879" t="s">
        <v>712</v>
      </c>
      <c r="S1879" t="s">
        <v>712</v>
      </c>
      <c r="T1879">
        <v>69</v>
      </c>
    </row>
    <row r="1880" spans="1:20" x14ac:dyDescent="0.25">
      <c r="A1880" t="s">
        <v>3153</v>
      </c>
      <c r="B1880" t="s">
        <v>496</v>
      </c>
      <c r="C1880" t="s">
        <v>586</v>
      </c>
      <c r="D1880" t="s">
        <v>795</v>
      </c>
      <c r="E1880" t="s">
        <v>3149</v>
      </c>
      <c r="F1880">
        <v>3.8248925599123704</v>
      </c>
      <c r="G1880">
        <v>21.823605479452056</v>
      </c>
      <c r="H1880" t="s">
        <v>1120</v>
      </c>
      <c r="I1880" t="s">
        <v>619</v>
      </c>
      <c r="J1880">
        <v>5</v>
      </c>
      <c r="K1880" t="s">
        <v>725</v>
      </c>
      <c r="L1880">
        <v>920000</v>
      </c>
      <c r="M1880">
        <v>2.16</v>
      </c>
      <c r="N1880">
        <v>21.823605479452056</v>
      </c>
      <c r="O1880" t="s">
        <v>592</v>
      </c>
      <c r="P1880" t="s">
        <v>593</v>
      </c>
      <c r="Q1880" t="s">
        <v>586</v>
      </c>
      <c r="R1880" t="s">
        <v>712</v>
      </c>
      <c r="S1880" t="s">
        <v>712</v>
      </c>
      <c r="T1880">
        <v>61</v>
      </c>
    </row>
    <row r="1881" spans="1:20" x14ac:dyDescent="0.25">
      <c r="A1881" t="s">
        <v>3154</v>
      </c>
      <c r="B1881" t="s">
        <v>455</v>
      </c>
      <c r="C1881" t="s">
        <v>586</v>
      </c>
      <c r="D1881" t="s">
        <v>608</v>
      </c>
      <c r="E1881" t="s">
        <v>789</v>
      </c>
      <c r="F1881">
        <v>5.5550843590619972E-3</v>
      </c>
      <c r="G1881">
        <v>93.665328767123285</v>
      </c>
      <c r="H1881" t="s">
        <v>610</v>
      </c>
      <c r="I1881" t="s">
        <v>611</v>
      </c>
      <c r="J1881">
        <v>2.4</v>
      </c>
      <c r="K1881" t="s">
        <v>995</v>
      </c>
      <c r="L1881">
        <v>50000</v>
      </c>
      <c r="M1881">
        <v>2.4000000000000004</v>
      </c>
      <c r="N1881">
        <v>93.665328767123285</v>
      </c>
      <c r="O1881" t="s">
        <v>592</v>
      </c>
      <c r="P1881" t="s">
        <v>613</v>
      </c>
      <c r="Q1881" t="s">
        <v>586</v>
      </c>
      <c r="R1881" t="s">
        <v>712</v>
      </c>
      <c r="S1881" t="s">
        <v>712</v>
      </c>
      <c r="T1881">
        <v>99</v>
      </c>
    </row>
    <row r="1882" spans="1:20" x14ac:dyDescent="0.25">
      <c r="A1882" t="s">
        <v>3155</v>
      </c>
      <c r="B1882" t="s">
        <v>455</v>
      </c>
      <c r="C1882" t="s">
        <v>586</v>
      </c>
      <c r="D1882" t="s">
        <v>608</v>
      </c>
      <c r="E1882" t="s">
        <v>789</v>
      </c>
      <c r="F1882">
        <v>1.9334686234569585</v>
      </c>
      <c r="G1882">
        <v>112.11447397260272</v>
      </c>
      <c r="H1882" t="s">
        <v>610</v>
      </c>
      <c r="I1882" t="s">
        <v>611</v>
      </c>
      <c r="J1882">
        <v>2.8</v>
      </c>
      <c r="K1882" t="s">
        <v>729</v>
      </c>
      <c r="L1882">
        <v>50000</v>
      </c>
      <c r="M1882">
        <v>2.8000000000000003</v>
      </c>
      <c r="N1882">
        <v>112.11447397260272</v>
      </c>
      <c r="O1882" t="s">
        <v>592</v>
      </c>
      <c r="P1882" t="s">
        <v>613</v>
      </c>
      <c r="Q1882" t="s">
        <v>586</v>
      </c>
      <c r="R1882" t="s">
        <v>712</v>
      </c>
      <c r="S1882" t="s">
        <v>712</v>
      </c>
      <c r="T1882">
        <v>74</v>
      </c>
    </row>
    <row r="1883" spans="1:20" x14ac:dyDescent="0.25">
      <c r="A1883" t="s">
        <v>3156</v>
      </c>
      <c r="B1883" t="s">
        <v>497</v>
      </c>
      <c r="C1883" t="s">
        <v>607</v>
      </c>
      <c r="D1883" t="s">
        <v>608</v>
      </c>
      <c r="E1883" t="s">
        <v>1321</v>
      </c>
      <c r="F1883">
        <v>2.56402497449045</v>
      </c>
      <c r="G1883">
        <v>47.273375318111199</v>
      </c>
      <c r="H1883" t="s">
        <v>1000</v>
      </c>
      <c r="I1883" t="s">
        <v>611</v>
      </c>
      <c r="J1883">
        <v>2</v>
      </c>
      <c r="K1883" t="s">
        <v>734</v>
      </c>
      <c r="L1883">
        <v>130000</v>
      </c>
      <c r="M1883">
        <v>2.1</v>
      </c>
      <c r="N1883">
        <v>47.273375318111199</v>
      </c>
      <c r="O1883" t="s">
        <v>592</v>
      </c>
      <c r="P1883" t="s">
        <v>613</v>
      </c>
      <c r="Q1883" t="s">
        <v>586</v>
      </c>
      <c r="R1883" t="s">
        <v>712</v>
      </c>
      <c r="S1883" t="s">
        <v>712</v>
      </c>
      <c r="T1883">
        <v>70</v>
      </c>
    </row>
    <row r="1884" spans="1:20" x14ac:dyDescent="0.25">
      <c r="A1884" t="s">
        <v>3157</v>
      </c>
      <c r="B1884" t="s">
        <v>152</v>
      </c>
      <c r="C1884" t="s">
        <v>586</v>
      </c>
      <c r="D1884" t="s">
        <v>601</v>
      </c>
      <c r="E1884" t="s">
        <v>924</v>
      </c>
      <c r="F1884">
        <v>8.0478141582691634E-2</v>
      </c>
      <c r="G1884">
        <v>-3.722012474267089</v>
      </c>
      <c r="H1884" t="s">
        <v>1041</v>
      </c>
      <c r="I1884" t="s">
        <v>1202</v>
      </c>
      <c r="J1884">
        <v>2</v>
      </c>
      <c r="K1884" t="s">
        <v>950</v>
      </c>
      <c r="L1884">
        <v>370000</v>
      </c>
      <c r="M1884">
        <v>1.6</v>
      </c>
      <c r="N1884">
        <v>-3.722012474267089</v>
      </c>
      <c r="O1884" t="s">
        <v>592</v>
      </c>
      <c r="P1884" t="s">
        <v>711</v>
      </c>
      <c r="Q1884" t="s">
        <v>586</v>
      </c>
      <c r="R1884" t="s">
        <v>712</v>
      </c>
      <c r="S1884" t="s">
        <v>712</v>
      </c>
      <c r="T1884">
        <v>98</v>
      </c>
    </row>
    <row r="1885" spans="1:20" x14ac:dyDescent="0.25">
      <c r="A1885" t="s">
        <v>3158</v>
      </c>
      <c r="B1885" t="s">
        <v>152</v>
      </c>
      <c r="C1885" t="s">
        <v>586</v>
      </c>
      <c r="D1885" t="s">
        <v>601</v>
      </c>
      <c r="E1885" t="s">
        <v>924</v>
      </c>
      <c r="F1885">
        <v>2.0109758964202342</v>
      </c>
      <c r="G1885">
        <v>5.3379429439323278</v>
      </c>
      <c r="H1885" t="s">
        <v>1041</v>
      </c>
      <c r="I1885" t="s">
        <v>1202</v>
      </c>
      <c r="J1885">
        <v>2</v>
      </c>
      <c r="K1885" t="s">
        <v>956</v>
      </c>
      <c r="L1885">
        <v>390000</v>
      </c>
      <c r="M1885">
        <v>1.95</v>
      </c>
      <c r="N1885">
        <v>5.3379429439323278</v>
      </c>
      <c r="O1885" t="s">
        <v>592</v>
      </c>
      <c r="P1885" t="s">
        <v>711</v>
      </c>
      <c r="Q1885" t="s">
        <v>586</v>
      </c>
      <c r="R1885" t="s">
        <v>712</v>
      </c>
      <c r="S1885" t="s">
        <v>712</v>
      </c>
      <c r="T1885">
        <v>50</v>
      </c>
    </row>
    <row r="1886" spans="1:20" x14ac:dyDescent="0.25">
      <c r="A1886" t="s">
        <v>3159</v>
      </c>
      <c r="B1886" t="s">
        <v>153</v>
      </c>
      <c r="C1886" t="s">
        <v>586</v>
      </c>
      <c r="D1886" t="s">
        <v>608</v>
      </c>
      <c r="E1886" t="s">
        <v>1204</v>
      </c>
      <c r="F1886">
        <v>1.4983123342603273</v>
      </c>
      <c r="G1886">
        <v>36.147191780821906</v>
      </c>
      <c r="H1886" t="s">
        <v>963</v>
      </c>
      <c r="I1886" t="s">
        <v>611</v>
      </c>
      <c r="J1886">
        <v>5</v>
      </c>
      <c r="K1886" t="s">
        <v>634</v>
      </c>
      <c r="L1886">
        <v>355000</v>
      </c>
      <c r="M1886">
        <v>1.96</v>
      </c>
      <c r="N1886">
        <v>36.147191780821906</v>
      </c>
      <c r="O1886" t="s">
        <v>592</v>
      </c>
      <c r="P1886" t="s">
        <v>621</v>
      </c>
      <c r="Q1886" t="s">
        <v>586</v>
      </c>
      <c r="R1886" t="s">
        <v>712</v>
      </c>
      <c r="S1886" t="s">
        <v>594</v>
      </c>
      <c r="T1886">
        <v>85</v>
      </c>
    </row>
    <row r="1887" spans="1:20" x14ac:dyDescent="0.25">
      <c r="A1887" t="s">
        <v>3160</v>
      </c>
      <c r="B1887" t="s">
        <v>153</v>
      </c>
      <c r="C1887" t="s">
        <v>586</v>
      </c>
      <c r="D1887" t="s">
        <v>608</v>
      </c>
      <c r="E1887" t="s">
        <v>1204</v>
      </c>
      <c r="F1887">
        <v>3.2403890752348676</v>
      </c>
      <c r="G1887">
        <v>36.198465753424649</v>
      </c>
      <c r="H1887" t="s">
        <v>963</v>
      </c>
      <c r="I1887" t="s">
        <v>611</v>
      </c>
      <c r="J1887">
        <v>5</v>
      </c>
      <c r="K1887" t="s">
        <v>1038</v>
      </c>
      <c r="L1887">
        <v>395000</v>
      </c>
      <c r="M1887">
        <v>2.19</v>
      </c>
      <c r="N1887">
        <v>36.198465753424649</v>
      </c>
      <c r="O1887" t="s">
        <v>592</v>
      </c>
      <c r="P1887" t="s">
        <v>621</v>
      </c>
      <c r="Q1887" t="s">
        <v>586</v>
      </c>
      <c r="R1887">
        <v>25000</v>
      </c>
      <c r="S1887" t="s">
        <v>594</v>
      </c>
      <c r="T1887">
        <v>68</v>
      </c>
    </row>
    <row r="1888" spans="1:20" x14ac:dyDescent="0.25">
      <c r="A1888" t="s">
        <v>3161</v>
      </c>
      <c r="B1888" t="s">
        <v>492</v>
      </c>
      <c r="C1888" t="s">
        <v>586</v>
      </c>
      <c r="D1888" t="s">
        <v>1090</v>
      </c>
      <c r="E1888" t="s">
        <v>1091</v>
      </c>
      <c r="F1888">
        <v>1.1266380276315244</v>
      </c>
      <c r="G1888">
        <v>48.784419620675457</v>
      </c>
      <c r="H1888" t="s">
        <v>1683</v>
      </c>
      <c r="I1888" t="s">
        <v>611</v>
      </c>
      <c r="J1888">
        <v>4</v>
      </c>
      <c r="K1888" t="s">
        <v>598</v>
      </c>
      <c r="L1888">
        <v>245000</v>
      </c>
      <c r="M1888">
        <v>1.85</v>
      </c>
      <c r="N1888">
        <v>48.784419620675457</v>
      </c>
      <c r="O1888" t="s">
        <v>592</v>
      </c>
      <c r="P1888" t="s">
        <v>593</v>
      </c>
      <c r="Q1888" t="s">
        <v>586</v>
      </c>
      <c r="R1888" t="s">
        <v>712</v>
      </c>
      <c r="S1888" t="s">
        <v>712</v>
      </c>
      <c r="T1888">
        <v>91</v>
      </c>
    </row>
    <row r="1889" spans="1:20" x14ac:dyDescent="0.25">
      <c r="A1889" t="s">
        <v>3162</v>
      </c>
      <c r="B1889" t="s">
        <v>492</v>
      </c>
      <c r="C1889" t="s">
        <v>586</v>
      </c>
      <c r="D1889" t="s">
        <v>1090</v>
      </c>
      <c r="E1889" t="s">
        <v>1091</v>
      </c>
      <c r="F1889">
        <v>2.9455237354221873</v>
      </c>
      <c r="G1889">
        <v>54.50980623666635</v>
      </c>
      <c r="H1889" t="s">
        <v>1683</v>
      </c>
      <c r="I1889" t="s">
        <v>611</v>
      </c>
      <c r="J1889">
        <v>4</v>
      </c>
      <c r="K1889" t="s">
        <v>727</v>
      </c>
      <c r="L1889">
        <v>265000</v>
      </c>
      <c r="M1889">
        <v>2.2000000000000002</v>
      </c>
      <c r="N1889">
        <v>54.50980623666635</v>
      </c>
      <c r="O1889" t="s">
        <v>592</v>
      </c>
      <c r="P1889" t="s">
        <v>593</v>
      </c>
      <c r="Q1889" t="s">
        <v>586</v>
      </c>
      <c r="R1889" t="s">
        <v>712</v>
      </c>
      <c r="S1889" t="s">
        <v>712</v>
      </c>
      <c r="T1889">
        <v>74</v>
      </c>
    </row>
    <row r="1890" spans="1:20" x14ac:dyDescent="0.25">
      <c r="A1890" t="s">
        <v>3163</v>
      </c>
      <c r="B1890" t="s">
        <v>487</v>
      </c>
      <c r="C1890" t="s">
        <v>607</v>
      </c>
      <c r="D1890" t="s">
        <v>608</v>
      </c>
      <c r="E1890" t="s">
        <v>609</v>
      </c>
      <c r="F1890">
        <v>1.9879801084261959</v>
      </c>
      <c r="G1890">
        <v>56.413353424657522</v>
      </c>
      <c r="H1890" t="s">
        <v>1033</v>
      </c>
      <c r="I1890" t="s">
        <v>611</v>
      </c>
      <c r="J1890">
        <v>3</v>
      </c>
      <c r="K1890" t="s">
        <v>956</v>
      </c>
      <c r="L1890">
        <v>135000</v>
      </c>
      <c r="M1890">
        <v>2.15</v>
      </c>
      <c r="N1890">
        <v>56.413353424657522</v>
      </c>
      <c r="O1890" t="s">
        <v>592</v>
      </c>
      <c r="P1890" t="s">
        <v>613</v>
      </c>
      <c r="Q1890" t="s">
        <v>586</v>
      </c>
      <c r="R1890" t="s">
        <v>712</v>
      </c>
      <c r="S1890" t="s">
        <v>594</v>
      </c>
      <c r="T1890">
        <v>74</v>
      </c>
    </row>
    <row r="1891" spans="1:20" x14ac:dyDescent="0.25">
      <c r="A1891" t="s">
        <v>3164</v>
      </c>
      <c r="B1891" t="s">
        <v>488</v>
      </c>
      <c r="C1891" t="s">
        <v>586</v>
      </c>
      <c r="D1891" t="s">
        <v>1124</v>
      </c>
      <c r="E1891" t="s">
        <v>3089</v>
      </c>
      <c r="F1891">
        <v>0.32939317493932935</v>
      </c>
      <c r="G1891">
        <v>19.119586258657773</v>
      </c>
      <c r="H1891" t="s">
        <v>3090</v>
      </c>
      <c r="I1891" t="s">
        <v>1137</v>
      </c>
      <c r="J1891">
        <v>2</v>
      </c>
      <c r="K1891" t="s">
        <v>710</v>
      </c>
      <c r="L1891">
        <v>165000</v>
      </c>
      <c r="M1891">
        <v>1.6</v>
      </c>
      <c r="N1891">
        <v>19.119586258657773</v>
      </c>
      <c r="O1891" t="s">
        <v>592</v>
      </c>
      <c r="P1891" t="s">
        <v>711</v>
      </c>
      <c r="Q1891" t="s">
        <v>586</v>
      </c>
      <c r="R1891" t="s">
        <v>712</v>
      </c>
      <c r="S1891" t="s">
        <v>712</v>
      </c>
      <c r="T1891">
        <v>90</v>
      </c>
    </row>
    <row r="1892" spans="1:20" x14ac:dyDescent="0.25">
      <c r="A1892" t="s">
        <v>3165</v>
      </c>
      <c r="B1892" t="s">
        <v>488</v>
      </c>
      <c r="C1892" t="s">
        <v>586</v>
      </c>
      <c r="D1892" t="s">
        <v>1124</v>
      </c>
      <c r="E1892" t="s">
        <v>3089</v>
      </c>
      <c r="F1892">
        <v>4.0757217972764446</v>
      </c>
      <c r="G1892">
        <v>12.626912731917074</v>
      </c>
      <c r="H1892" t="s">
        <v>3090</v>
      </c>
      <c r="I1892" t="s">
        <v>1137</v>
      </c>
      <c r="J1892">
        <v>2.5</v>
      </c>
      <c r="K1892" t="s">
        <v>1085</v>
      </c>
      <c r="L1892">
        <v>180000</v>
      </c>
      <c r="M1892">
        <v>2.1</v>
      </c>
      <c r="N1892">
        <v>12.626912731917074</v>
      </c>
      <c r="O1892" t="s">
        <v>592</v>
      </c>
      <c r="P1892" t="s">
        <v>711</v>
      </c>
      <c r="Q1892" t="s">
        <v>586</v>
      </c>
      <c r="R1892" t="s">
        <v>712</v>
      </c>
      <c r="S1892" t="s">
        <v>712</v>
      </c>
      <c r="T1892">
        <v>35</v>
      </c>
    </row>
    <row r="1893" spans="1:20" x14ac:dyDescent="0.25">
      <c r="A1893" t="s">
        <v>3166</v>
      </c>
      <c r="B1893" t="s">
        <v>166</v>
      </c>
      <c r="C1893" t="s">
        <v>586</v>
      </c>
      <c r="D1893" t="s">
        <v>608</v>
      </c>
      <c r="E1893" t="s">
        <v>1255</v>
      </c>
      <c r="F1893">
        <v>0.52209671488909004</v>
      </c>
      <c r="G1893">
        <v>21.32014867353902</v>
      </c>
      <c r="H1893" t="s">
        <v>1256</v>
      </c>
      <c r="I1893" t="s">
        <v>721</v>
      </c>
      <c r="J1893">
        <v>5</v>
      </c>
      <c r="K1893" t="s">
        <v>1005</v>
      </c>
      <c r="L1893">
        <v>1385000</v>
      </c>
      <c r="M1893">
        <v>1.8800000000000001</v>
      </c>
      <c r="N1893">
        <v>21.32014867353902</v>
      </c>
      <c r="O1893" t="s">
        <v>592</v>
      </c>
      <c r="P1893" t="s">
        <v>621</v>
      </c>
      <c r="Q1893" t="s">
        <v>586</v>
      </c>
      <c r="R1893">
        <v>190000</v>
      </c>
      <c r="S1893" t="s">
        <v>652</v>
      </c>
      <c r="T1893">
        <v>89</v>
      </c>
    </row>
    <row r="1894" spans="1:20" x14ac:dyDescent="0.25">
      <c r="A1894" t="s">
        <v>3167</v>
      </c>
      <c r="B1894" t="s">
        <v>166</v>
      </c>
      <c r="C1894" t="s">
        <v>586</v>
      </c>
      <c r="D1894" t="s">
        <v>608</v>
      </c>
      <c r="E1894" t="s">
        <v>1255</v>
      </c>
      <c r="F1894">
        <v>2.3509816958389078</v>
      </c>
      <c r="G1894">
        <v>28.156309616861886</v>
      </c>
      <c r="H1894" t="s">
        <v>1256</v>
      </c>
      <c r="I1894" t="s">
        <v>721</v>
      </c>
      <c r="J1894">
        <v>5</v>
      </c>
      <c r="K1894" t="s">
        <v>803</v>
      </c>
      <c r="L1894">
        <v>835000</v>
      </c>
      <c r="M1894">
        <v>2.2800000000000002</v>
      </c>
      <c r="N1894">
        <v>28.156309616861886</v>
      </c>
      <c r="O1894" t="s">
        <v>592</v>
      </c>
      <c r="P1894" t="s">
        <v>621</v>
      </c>
      <c r="Q1894" t="s">
        <v>586</v>
      </c>
      <c r="R1894">
        <v>30000</v>
      </c>
      <c r="S1894" t="s">
        <v>652</v>
      </c>
      <c r="T1894">
        <v>75</v>
      </c>
    </row>
    <row r="1895" spans="1:20" x14ac:dyDescent="0.25">
      <c r="A1895" t="s">
        <v>3168</v>
      </c>
      <c r="B1895" t="s">
        <v>166</v>
      </c>
      <c r="C1895" t="s">
        <v>586</v>
      </c>
      <c r="D1895" t="s">
        <v>608</v>
      </c>
      <c r="E1895" t="s">
        <v>1255</v>
      </c>
      <c r="F1895">
        <v>3.1976252112904215</v>
      </c>
      <c r="G1895">
        <v>27.545965732800948</v>
      </c>
      <c r="H1895" t="s">
        <v>1256</v>
      </c>
      <c r="I1895" t="s">
        <v>721</v>
      </c>
      <c r="J1895">
        <v>5</v>
      </c>
      <c r="K1895" t="s">
        <v>1387</v>
      </c>
      <c r="L1895">
        <v>880000</v>
      </c>
      <c r="M1895">
        <v>2.42</v>
      </c>
      <c r="N1895">
        <v>27.545965732800948</v>
      </c>
      <c r="O1895" t="s">
        <v>592</v>
      </c>
      <c r="P1895" t="s">
        <v>621</v>
      </c>
      <c r="Q1895" t="s">
        <v>586</v>
      </c>
      <c r="R1895">
        <v>50000</v>
      </c>
      <c r="S1895" t="s">
        <v>652</v>
      </c>
      <c r="T1895">
        <v>69</v>
      </c>
    </row>
    <row r="1896" spans="1:20" x14ac:dyDescent="0.25">
      <c r="A1896" t="s">
        <v>3169</v>
      </c>
      <c r="B1896" t="s">
        <v>166</v>
      </c>
      <c r="C1896" t="s">
        <v>586</v>
      </c>
      <c r="D1896" t="s">
        <v>608</v>
      </c>
      <c r="E1896" t="s">
        <v>1255</v>
      </c>
      <c r="F1896">
        <v>4.0283095764406935</v>
      </c>
      <c r="G1896">
        <v>25.859319703544603</v>
      </c>
      <c r="H1896" t="s">
        <v>1256</v>
      </c>
      <c r="I1896" t="s">
        <v>721</v>
      </c>
      <c r="J1896">
        <v>5</v>
      </c>
      <c r="K1896" t="s">
        <v>1765</v>
      </c>
      <c r="L1896">
        <v>925000</v>
      </c>
      <c r="M1896">
        <v>2.52</v>
      </c>
      <c r="N1896">
        <v>25.859319703544603</v>
      </c>
      <c r="O1896" t="s">
        <v>592</v>
      </c>
      <c r="P1896" t="s">
        <v>621</v>
      </c>
      <c r="Q1896" t="s">
        <v>586</v>
      </c>
      <c r="R1896" t="s">
        <v>712</v>
      </c>
      <c r="S1896" t="s">
        <v>652</v>
      </c>
      <c r="T1896">
        <v>64</v>
      </c>
    </row>
    <row r="1897" spans="1:20" x14ac:dyDescent="0.25">
      <c r="A1897" t="s">
        <v>3170</v>
      </c>
      <c r="B1897" t="s">
        <v>459</v>
      </c>
      <c r="C1897" t="s">
        <v>586</v>
      </c>
      <c r="D1897" t="s">
        <v>666</v>
      </c>
      <c r="E1897" t="s">
        <v>667</v>
      </c>
      <c r="F1897">
        <v>0.56496309992953819</v>
      </c>
      <c r="G1897">
        <v>35.261205479452038</v>
      </c>
      <c r="H1897" t="s">
        <v>1797</v>
      </c>
      <c r="I1897" t="s">
        <v>1382</v>
      </c>
      <c r="J1897">
        <v>5</v>
      </c>
      <c r="K1897" t="s">
        <v>744</v>
      </c>
      <c r="L1897">
        <v>325000</v>
      </c>
      <c r="M1897">
        <v>2.0300000000000002</v>
      </c>
      <c r="N1897">
        <v>35.261205479452038</v>
      </c>
      <c r="O1897" t="s">
        <v>592</v>
      </c>
      <c r="P1897" t="s">
        <v>593</v>
      </c>
      <c r="Q1897" t="s">
        <v>586</v>
      </c>
      <c r="R1897" t="s">
        <v>712</v>
      </c>
      <c r="S1897" t="s">
        <v>878</v>
      </c>
      <c r="T1897">
        <v>93</v>
      </c>
    </row>
    <row r="1898" spans="1:20" x14ac:dyDescent="0.25">
      <c r="A1898" t="s">
        <v>3171</v>
      </c>
      <c r="B1898" t="s">
        <v>459</v>
      </c>
      <c r="C1898" t="s">
        <v>586</v>
      </c>
      <c r="D1898" t="s">
        <v>666</v>
      </c>
      <c r="E1898" t="s">
        <v>667</v>
      </c>
      <c r="F1898">
        <v>2.3883161759000449</v>
      </c>
      <c r="G1898">
        <v>37.409509589041079</v>
      </c>
      <c r="H1898" t="s">
        <v>1797</v>
      </c>
      <c r="I1898" t="s">
        <v>1382</v>
      </c>
      <c r="J1898">
        <v>5</v>
      </c>
      <c r="K1898" t="s">
        <v>959</v>
      </c>
      <c r="L1898">
        <v>360000</v>
      </c>
      <c r="M1898">
        <v>2.21</v>
      </c>
      <c r="N1898">
        <v>37.409509589041079</v>
      </c>
      <c r="O1898" t="s">
        <v>592</v>
      </c>
      <c r="P1898" t="s">
        <v>593</v>
      </c>
      <c r="Q1898" t="s">
        <v>586</v>
      </c>
      <c r="R1898" t="s">
        <v>712</v>
      </c>
      <c r="S1898" t="s">
        <v>878</v>
      </c>
      <c r="T1898">
        <v>71</v>
      </c>
    </row>
    <row r="1899" spans="1:20" x14ac:dyDescent="0.25">
      <c r="A1899" t="s">
        <v>3172</v>
      </c>
      <c r="B1899" t="s">
        <v>459</v>
      </c>
      <c r="C1899" t="s">
        <v>586</v>
      </c>
      <c r="D1899" t="s">
        <v>666</v>
      </c>
      <c r="E1899" t="s">
        <v>667</v>
      </c>
      <c r="F1899">
        <v>3.2411842705334752</v>
      </c>
      <c r="G1899">
        <v>36.43933698630137</v>
      </c>
      <c r="H1899" t="s">
        <v>1797</v>
      </c>
      <c r="I1899" t="s">
        <v>1382</v>
      </c>
      <c r="J1899">
        <v>5</v>
      </c>
      <c r="K1899" t="s">
        <v>1038</v>
      </c>
      <c r="L1899">
        <v>380000</v>
      </c>
      <c r="M1899">
        <v>2.29</v>
      </c>
      <c r="N1899">
        <v>36.43933698630137</v>
      </c>
      <c r="O1899" t="s">
        <v>592</v>
      </c>
      <c r="P1899" t="s">
        <v>593</v>
      </c>
      <c r="Q1899" t="s">
        <v>586</v>
      </c>
      <c r="R1899">
        <v>180000</v>
      </c>
      <c r="S1899" t="s">
        <v>878</v>
      </c>
      <c r="T1899">
        <v>62</v>
      </c>
    </row>
    <row r="1900" spans="1:20" x14ac:dyDescent="0.25">
      <c r="A1900" t="s">
        <v>3173</v>
      </c>
      <c r="B1900" t="s">
        <v>84</v>
      </c>
      <c r="C1900" t="s">
        <v>586</v>
      </c>
      <c r="D1900" t="s">
        <v>601</v>
      </c>
      <c r="E1900" t="s">
        <v>924</v>
      </c>
      <c r="F1900">
        <v>0.65324487627816796</v>
      </c>
      <c r="G1900">
        <v>7.8920917342630847</v>
      </c>
      <c r="H1900" t="s">
        <v>692</v>
      </c>
      <c r="I1900" t="s">
        <v>925</v>
      </c>
      <c r="J1900">
        <v>3</v>
      </c>
      <c r="K1900" t="s">
        <v>787</v>
      </c>
      <c r="L1900">
        <v>585000</v>
      </c>
      <c r="M1900">
        <v>1.8</v>
      </c>
      <c r="N1900">
        <v>7.8920917342630847</v>
      </c>
      <c r="O1900" t="s">
        <v>592</v>
      </c>
      <c r="P1900" t="s">
        <v>593</v>
      </c>
      <c r="Q1900" t="s">
        <v>586</v>
      </c>
      <c r="R1900" t="s">
        <v>712</v>
      </c>
      <c r="S1900" t="s">
        <v>712</v>
      </c>
      <c r="T1900">
        <v>78</v>
      </c>
    </row>
    <row r="1901" spans="1:20" x14ac:dyDescent="0.25">
      <c r="A1901" t="s">
        <v>3174</v>
      </c>
      <c r="B1901" t="s">
        <v>456</v>
      </c>
      <c r="C1901" t="s">
        <v>586</v>
      </c>
      <c r="D1901" t="s">
        <v>990</v>
      </c>
      <c r="E1901" t="s">
        <v>2842</v>
      </c>
      <c r="F1901">
        <v>1.746525552348738</v>
      </c>
      <c r="G1901">
        <v>10.907210013793822</v>
      </c>
      <c r="H1901" t="s">
        <v>1477</v>
      </c>
      <c r="I1901" t="s">
        <v>611</v>
      </c>
      <c r="J1901">
        <v>5</v>
      </c>
      <c r="K1901" t="s">
        <v>1114</v>
      </c>
      <c r="L1901">
        <v>805000</v>
      </c>
      <c r="M1901">
        <v>1.84</v>
      </c>
      <c r="N1901">
        <v>10.907210013793822</v>
      </c>
      <c r="O1901" t="s">
        <v>592</v>
      </c>
      <c r="P1901" t="s">
        <v>593</v>
      </c>
      <c r="Q1901" t="s">
        <v>586</v>
      </c>
      <c r="R1901" t="s">
        <v>712</v>
      </c>
      <c r="S1901" t="s">
        <v>652</v>
      </c>
      <c r="T1901">
        <v>88</v>
      </c>
    </row>
    <row r="1902" spans="1:20" x14ac:dyDescent="0.25">
      <c r="A1902" t="s">
        <v>3175</v>
      </c>
      <c r="B1902" t="s">
        <v>457</v>
      </c>
      <c r="C1902" t="s">
        <v>586</v>
      </c>
      <c r="D1902" t="s">
        <v>623</v>
      </c>
      <c r="E1902" t="s">
        <v>624</v>
      </c>
      <c r="F1902">
        <v>0.32920036815616072</v>
      </c>
      <c r="G1902">
        <v>30.787917808219191</v>
      </c>
      <c r="H1902" t="s">
        <v>2847</v>
      </c>
      <c r="I1902" t="s">
        <v>2848</v>
      </c>
      <c r="J1902">
        <v>4</v>
      </c>
      <c r="K1902" t="s">
        <v>710</v>
      </c>
      <c r="L1902">
        <v>315000</v>
      </c>
      <c r="M1902">
        <v>1.86</v>
      </c>
      <c r="N1902">
        <v>30.787917808219191</v>
      </c>
      <c r="O1902" t="s">
        <v>592</v>
      </c>
      <c r="P1902" t="s">
        <v>745</v>
      </c>
      <c r="Q1902" t="s">
        <v>586</v>
      </c>
      <c r="R1902" t="s">
        <v>712</v>
      </c>
      <c r="S1902" t="s">
        <v>712</v>
      </c>
      <c r="T1902">
        <v>97</v>
      </c>
    </row>
    <row r="1903" spans="1:20" x14ac:dyDescent="0.25">
      <c r="A1903" t="s">
        <v>3176</v>
      </c>
      <c r="B1903" t="s">
        <v>457</v>
      </c>
      <c r="C1903" t="s">
        <v>586</v>
      </c>
      <c r="D1903" t="s">
        <v>623</v>
      </c>
      <c r="E1903" t="s">
        <v>624</v>
      </c>
      <c r="F1903">
        <v>1.2899224080416312</v>
      </c>
      <c r="G1903">
        <v>32.2991917808219</v>
      </c>
      <c r="H1903" t="s">
        <v>2847</v>
      </c>
      <c r="I1903" t="s">
        <v>2848</v>
      </c>
      <c r="J1903">
        <v>4</v>
      </c>
      <c r="K1903" t="s">
        <v>758</v>
      </c>
      <c r="L1903">
        <v>345000</v>
      </c>
      <c r="M1903">
        <v>1.98</v>
      </c>
      <c r="N1903">
        <v>32.2991917808219</v>
      </c>
      <c r="O1903" t="s">
        <v>592</v>
      </c>
      <c r="P1903" t="s">
        <v>745</v>
      </c>
      <c r="Q1903" t="s">
        <v>586</v>
      </c>
      <c r="R1903" t="s">
        <v>712</v>
      </c>
      <c r="S1903" t="s">
        <v>712</v>
      </c>
      <c r="T1903">
        <v>88</v>
      </c>
    </row>
    <row r="1904" spans="1:20" x14ac:dyDescent="0.25">
      <c r="A1904" t="s">
        <v>3177</v>
      </c>
      <c r="B1904" t="s">
        <v>457</v>
      </c>
      <c r="C1904" t="s">
        <v>586</v>
      </c>
      <c r="D1904" t="s">
        <v>623</v>
      </c>
      <c r="E1904" t="s">
        <v>624</v>
      </c>
      <c r="F1904">
        <v>3.1057730328303284</v>
      </c>
      <c r="G1904">
        <v>34.430065753424643</v>
      </c>
      <c r="H1904" t="s">
        <v>2847</v>
      </c>
      <c r="I1904" t="s">
        <v>2848</v>
      </c>
      <c r="J1904">
        <v>4</v>
      </c>
      <c r="K1904" t="s">
        <v>938</v>
      </c>
      <c r="L1904">
        <v>405000</v>
      </c>
      <c r="M1904">
        <v>2.21</v>
      </c>
      <c r="N1904">
        <v>34.430065753424643</v>
      </c>
      <c r="O1904" t="s">
        <v>592</v>
      </c>
      <c r="P1904" t="s">
        <v>745</v>
      </c>
      <c r="Q1904" t="s">
        <v>586</v>
      </c>
      <c r="R1904" t="s">
        <v>712</v>
      </c>
      <c r="S1904" t="s">
        <v>712</v>
      </c>
      <c r="T1904">
        <v>69</v>
      </c>
    </row>
    <row r="1905" spans="1:20" x14ac:dyDescent="0.25">
      <c r="A1905" t="s">
        <v>3178</v>
      </c>
      <c r="B1905" t="s">
        <v>491</v>
      </c>
      <c r="C1905" t="s">
        <v>586</v>
      </c>
      <c r="D1905" t="s">
        <v>587</v>
      </c>
      <c r="E1905" t="s">
        <v>3110</v>
      </c>
      <c r="F1905">
        <v>4.3985815735352665</v>
      </c>
      <c r="G1905">
        <v>2.4041135486967846</v>
      </c>
      <c r="H1905" t="s">
        <v>761</v>
      </c>
      <c r="I1905" t="s">
        <v>661</v>
      </c>
      <c r="J1905">
        <v>5</v>
      </c>
      <c r="K1905" t="s">
        <v>1174</v>
      </c>
      <c r="L1905">
        <v>870000</v>
      </c>
      <c r="M1905">
        <v>1.95</v>
      </c>
      <c r="N1905">
        <v>2.4041135486967846</v>
      </c>
      <c r="O1905" t="s">
        <v>592</v>
      </c>
      <c r="P1905" t="s">
        <v>593</v>
      </c>
      <c r="Q1905" t="s">
        <v>586</v>
      </c>
      <c r="R1905">
        <v>40000</v>
      </c>
      <c r="S1905" t="s">
        <v>635</v>
      </c>
      <c r="T1905">
        <v>66</v>
      </c>
    </row>
    <row r="1906" spans="1:20" x14ac:dyDescent="0.25">
      <c r="A1906" t="s">
        <v>3179</v>
      </c>
      <c r="B1906" t="s">
        <v>167</v>
      </c>
      <c r="C1906" t="s">
        <v>586</v>
      </c>
      <c r="D1906" t="s">
        <v>830</v>
      </c>
      <c r="E1906" t="s">
        <v>927</v>
      </c>
      <c r="F1906">
        <v>2.825967214063188</v>
      </c>
      <c r="G1906">
        <v>-1.9771174120278845</v>
      </c>
      <c r="H1906" t="s">
        <v>1258</v>
      </c>
      <c r="I1906" t="s">
        <v>1152</v>
      </c>
      <c r="J1906">
        <v>5</v>
      </c>
      <c r="K1906" t="s">
        <v>1334</v>
      </c>
      <c r="L1906">
        <v>1170000</v>
      </c>
      <c r="M1906">
        <v>1.9000000000000001</v>
      </c>
      <c r="N1906">
        <v>-1.9771174120278845</v>
      </c>
      <c r="O1906" t="s">
        <v>592</v>
      </c>
      <c r="P1906" t="s">
        <v>593</v>
      </c>
      <c r="Q1906" t="s">
        <v>586</v>
      </c>
      <c r="R1906" t="s">
        <v>712</v>
      </c>
      <c r="S1906" t="s">
        <v>599</v>
      </c>
      <c r="T1906">
        <v>80</v>
      </c>
    </row>
    <row r="1907" spans="1:20" x14ac:dyDescent="0.25">
      <c r="A1907" t="s">
        <v>3180</v>
      </c>
      <c r="B1907" t="s">
        <v>167</v>
      </c>
      <c r="C1907" t="s">
        <v>586</v>
      </c>
      <c r="D1907" t="s">
        <v>830</v>
      </c>
      <c r="E1907" t="s">
        <v>927</v>
      </c>
      <c r="F1907">
        <v>1.9511823272740181</v>
      </c>
      <c r="G1907">
        <v>-6.0019452054794531</v>
      </c>
      <c r="H1907" t="s">
        <v>1097</v>
      </c>
      <c r="I1907" t="s">
        <v>1260</v>
      </c>
      <c r="J1907">
        <v>5</v>
      </c>
      <c r="K1907" t="s">
        <v>956</v>
      </c>
      <c r="L1907">
        <v>815000</v>
      </c>
      <c r="M1907">
        <v>1.58</v>
      </c>
      <c r="N1907">
        <v>-6.0019452054794531</v>
      </c>
      <c r="O1907" t="s">
        <v>592</v>
      </c>
      <c r="P1907" t="s">
        <v>593</v>
      </c>
      <c r="Q1907" t="s">
        <v>586</v>
      </c>
      <c r="R1907" t="s">
        <v>712</v>
      </c>
      <c r="S1907" t="s">
        <v>599</v>
      </c>
      <c r="T1907">
        <v>81</v>
      </c>
    </row>
    <row r="1908" spans="1:20" x14ac:dyDescent="0.25">
      <c r="A1908" t="s">
        <v>3181</v>
      </c>
      <c r="B1908" t="s">
        <v>167</v>
      </c>
      <c r="C1908" t="s">
        <v>586</v>
      </c>
      <c r="D1908" t="s">
        <v>830</v>
      </c>
      <c r="E1908" t="s">
        <v>927</v>
      </c>
      <c r="F1908">
        <v>4.6519909399399362</v>
      </c>
      <c r="G1908">
        <v>37.479726027397241</v>
      </c>
      <c r="H1908" t="s">
        <v>1097</v>
      </c>
      <c r="I1908" t="s">
        <v>1260</v>
      </c>
      <c r="J1908">
        <v>3</v>
      </c>
      <c r="K1908" t="s">
        <v>717</v>
      </c>
      <c r="L1908">
        <v>110000</v>
      </c>
      <c r="M1908">
        <v>2.3000000000000003</v>
      </c>
      <c r="N1908">
        <v>37.479726027397241</v>
      </c>
      <c r="O1908" t="s">
        <v>592</v>
      </c>
      <c r="P1908" t="s">
        <v>1261</v>
      </c>
      <c r="Q1908" t="s">
        <v>586</v>
      </c>
      <c r="R1908" t="s">
        <v>712</v>
      </c>
      <c r="S1908" t="s">
        <v>599</v>
      </c>
      <c r="T1908">
        <v>38</v>
      </c>
    </row>
    <row r="1909" spans="1:20" x14ac:dyDescent="0.25">
      <c r="A1909" t="s">
        <v>3182</v>
      </c>
      <c r="B1909" t="s">
        <v>498</v>
      </c>
      <c r="C1909" t="s">
        <v>607</v>
      </c>
      <c r="D1909" t="s">
        <v>608</v>
      </c>
      <c r="E1909" t="s">
        <v>1321</v>
      </c>
      <c r="F1909">
        <v>1.1147774484327764</v>
      </c>
      <c r="G1909">
        <v>67.01786411878885</v>
      </c>
      <c r="H1909" t="s">
        <v>639</v>
      </c>
      <c r="I1909" t="s">
        <v>611</v>
      </c>
      <c r="J1909">
        <v>5.5</v>
      </c>
      <c r="K1909" t="s">
        <v>598</v>
      </c>
      <c r="L1909">
        <v>25000</v>
      </c>
      <c r="M1909">
        <v>2.5</v>
      </c>
      <c r="N1909">
        <v>67.01786411878885</v>
      </c>
      <c r="O1909" t="s">
        <v>592</v>
      </c>
      <c r="P1909" t="s">
        <v>613</v>
      </c>
      <c r="Q1909" t="s">
        <v>586</v>
      </c>
      <c r="R1909" t="s">
        <v>712</v>
      </c>
      <c r="S1909" t="s">
        <v>712</v>
      </c>
      <c r="T1909">
        <v>94</v>
      </c>
    </row>
    <row r="1910" spans="1:20" x14ac:dyDescent="0.25">
      <c r="A1910" t="s">
        <v>3183</v>
      </c>
      <c r="B1910" t="s">
        <v>498</v>
      </c>
      <c r="C1910" t="s">
        <v>607</v>
      </c>
      <c r="D1910" t="s">
        <v>608</v>
      </c>
      <c r="E1910" t="s">
        <v>1321</v>
      </c>
      <c r="F1910">
        <v>2.0282875585260798</v>
      </c>
      <c r="G1910">
        <v>71.699059721253121</v>
      </c>
      <c r="H1910" t="s">
        <v>639</v>
      </c>
      <c r="I1910" t="s">
        <v>611</v>
      </c>
      <c r="J1910">
        <v>5</v>
      </c>
      <c r="K1910" t="s">
        <v>651</v>
      </c>
      <c r="L1910">
        <v>50000</v>
      </c>
      <c r="M1910">
        <v>2.7</v>
      </c>
      <c r="N1910">
        <v>71.699059721253121</v>
      </c>
      <c r="O1910" t="s">
        <v>592</v>
      </c>
      <c r="P1910" t="s">
        <v>613</v>
      </c>
      <c r="Q1910" t="s">
        <v>586</v>
      </c>
      <c r="R1910" t="s">
        <v>712</v>
      </c>
      <c r="S1910" t="s">
        <v>712</v>
      </c>
      <c r="T1910">
        <v>84</v>
      </c>
    </row>
    <row r="1911" spans="1:20" x14ac:dyDescent="0.25">
      <c r="A1911" t="s">
        <v>3184</v>
      </c>
      <c r="B1911" t="s">
        <v>499</v>
      </c>
      <c r="C1911" t="s">
        <v>607</v>
      </c>
      <c r="D1911" t="s">
        <v>608</v>
      </c>
      <c r="E1911" t="s">
        <v>1321</v>
      </c>
      <c r="F1911">
        <v>0.56368751653162474</v>
      </c>
      <c r="G1911">
        <v>62.534339726027397</v>
      </c>
      <c r="H1911" t="s">
        <v>610</v>
      </c>
      <c r="I1911" t="s">
        <v>1034</v>
      </c>
      <c r="J1911">
        <v>5</v>
      </c>
      <c r="K1911" t="s">
        <v>744</v>
      </c>
      <c r="L1911">
        <v>50000</v>
      </c>
      <c r="M1911">
        <v>2.1</v>
      </c>
      <c r="N1911">
        <v>62.534339726027397</v>
      </c>
      <c r="O1911" t="s">
        <v>592</v>
      </c>
      <c r="P1911" t="s">
        <v>613</v>
      </c>
      <c r="Q1911" t="s">
        <v>586</v>
      </c>
      <c r="R1911" t="s">
        <v>712</v>
      </c>
      <c r="S1911" t="s">
        <v>712</v>
      </c>
      <c r="T1911">
        <v>98</v>
      </c>
    </row>
    <row r="1912" spans="1:20" x14ac:dyDescent="0.25">
      <c r="A1912" t="s">
        <v>3185</v>
      </c>
      <c r="B1912" t="s">
        <v>500</v>
      </c>
      <c r="C1912" t="s">
        <v>586</v>
      </c>
      <c r="D1912" t="s">
        <v>642</v>
      </c>
      <c r="E1912" t="s">
        <v>3186</v>
      </c>
      <c r="F1912">
        <v>0.81686165206194794</v>
      </c>
      <c r="G1912">
        <v>-10.84868659242213</v>
      </c>
      <c r="H1912" t="s">
        <v>3187</v>
      </c>
      <c r="I1912" t="s">
        <v>885</v>
      </c>
      <c r="J1912">
        <v>3</v>
      </c>
      <c r="K1912" t="s">
        <v>984</v>
      </c>
      <c r="L1912">
        <v>430000</v>
      </c>
      <c r="M1912">
        <v>2</v>
      </c>
      <c r="N1912">
        <v>-10.84868659242213</v>
      </c>
      <c r="O1912" t="s">
        <v>592</v>
      </c>
      <c r="P1912" t="s">
        <v>613</v>
      </c>
      <c r="Q1912" t="s">
        <v>586</v>
      </c>
      <c r="R1912" t="s">
        <v>712</v>
      </c>
      <c r="S1912" t="s">
        <v>712</v>
      </c>
      <c r="T1912">
        <v>91</v>
      </c>
    </row>
    <row r="1913" spans="1:20" x14ac:dyDescent="0.25">
      <c r="A1913" t="s">
        <v>3188</v>
      </c>
      <c r="B1913" t="s">
        <v>500</v>
      </c>
      <c r="C1913" t="s">
        <v>586</v>
      </c>
      <c r="D1913" t="s">
        <v>642</v>
      </c>
      <c r="E1913" t="s">
        <v>3186</v>
      </c>
      <c r="F1913">
        <v>1.7770770126784392</v>
      </c>
      <c r="G1913">
        <v>30.049624298468224</v>
      </c>
      <c r="H1913" t="s">
        <v>2821</v>
      </c>
      <c r="I1913" t="s">
        <v>721</v>
      </c>
      <c r="J1913">
        <v>2.5</v>
      </c>
      <c r="K1913" t="s">
        <v>1114</v>
      </c>
      <c r="L1913">
        <v>205000</v>
      </c>
      <c r="M1913">
        <v>1.75</v>
      </c>
      <c r="N1913">
        <v>30.049624298468224</v>
      </c>
      <c r="O1913" t="s">
        <v>592</v>
      </c>
      <c r="P1913" t="s">
        <v>745</v>
      </c>
      <c r="Q1913" t="s">
        <v>586</v>
      </c>
      <c r="R1913" t="s">
        <v>712</v>
      </c>
      <c r="S1913" t="s">
        <v>712</v>
      </c>
      <c r="T1913">
        <v>79</v>
      </c>
    </row>
    <row r="1914" spans="1:20" x14ac:dyDescent="0.25">
      <c r="A1914" t="s">
        <v>3189</v>
      </c>
      <c r="B1914" t="s">
        <v>501</v>
      </c>
      <c r="C1914" t="s">
        <v>607</v>
      </c>
      <c r="D1914" t="s">
        <v>608</v>
      </c>
      <c r="E1914" t="s">
        <v>1321</v>
      </c>
      <c r="F1914">
        <v>0.73218179993434618</v>
      </c>
      <c r="G1914">
        <v>44.662324324738577</v>
      </c>
      <c r="H1914" t="s">
        <v>761</v>
      </c>
      <c r="I1914" t="s">
        <v>1034</v>
      </c>
      <c r="J1914">
        <v>4</v>
      </c>
      <c r="K1914" t="s">
        <v>861</v>
      </c>
      <c r="L1914">
        <v>1025000</v>
      </c>
      <c r="M1914">
        <v>1.8</v>
      </c>
      <c r="N1914">
        <v>44.662324324738577</v>
      </c>
      <c r="O1914" t="s">
        <v>592</v>
      </c>
      <c r="P1914" t="s">
        <v>621</v>
      </c>
      <c r="Q1914" t="s">
        <v>586</v>
      </c>
      <c r="R1914">
        <v>20000</v>
      </c>
      <c r="S1914" t="s">
        <v>594</v>
      </c>
      <c r="T1914">
        <v>94</v>
      </c>
    </row>
    <row r="1915" spans="1:20" x14ac:dyDescent="0.25">
      <c r="A1915" t="s">
        <v>3190</v>
      </c>
      <c r="B1915" t="s">
        <v>501</v>
      </c>
      <c r="C1915" t="s">
        <v>607</v>
      </c>
      <c r="D1915" t="s">
        <v>608</v>
      </c>
      <c r="E1915" t="s">
        <v>1321</v>
      </c>
      <c r="F1915">
        <v>1.7016800945616632</v>
      </c>
      <c r="G1915">
        <v>49.788563316136148</v>
      </c>
      <c r="H1915" t="s">
        <v>761</v>
      </c>
      <c r="I1915" t="s">
        <v>1034</v>
      </c>
      <c r="J1915">
        <v>2</v>
      </c>
      <c r="K1915" t="s">
        <v>682</v>
      </c>
      <c r="L1915">
        <v>1030000</v>
      </c>
      <c r="M1915">
        <v>2</v>
      </c>
      <c r="N1915">
        <v>49.788563316136148</v>
      </c>
      <c r="O1915" t="s">
        <v>592</v>
      </c>
      <c r="P1915" t="s">
        <v>621</v>
      </c>
      <c r="Q1915" t="s">
        <v>586</v>
      </c>
      <c r="R1915" t="s">
        <v>712</v>
      </c>
      <c r="S1915" t="s">
        <v>594</v>
      </c>
      <c r="T1915">
        <v>71</v>
      </c>
    </row>
    <row r="1916" spans="1:20" x14ac:dyDescent="0.25">
      <c r="A1916" t="s">
        <v>3191</v>
      </c>
      <c r="B1916" t="s">
        <v>502</v>
      </c>
      <c r="C1916" t="s">
        <v>607</v>
      </c>
      <c r="D1916" t="s">
        <v>608</v>
      </c>
      <c r="E1916" t="s">
        <v>1321</v>
      </c>
      <c r="F1916">
        <v>0.65404916352425135</v>
      </c>
      <c r="G1916">
        <v>46.133931506849322</v>
      </c>
      <c r="H1916" t="s">
        <v>610</v>
      </c>
      <c r="I1916" t="s">
        <v>2417</v>
      </c>
      <c r="J1916">
        <v>2</v>
      </c>
      <c r="K1916" t="s">
        <v>787</v>
      </c>
      <c r="L1916">
        <v>50000</v>
      </c>
      <c r="M1916">
        <v>2</v>
      </c>
      <c r="N1916">
        <v>46.133931506849322</v>
      </c>
      <c r="O1916" t="s">
        <v>592</v>
      </c>
      <c r="P1916" t="s">
        <v>613</v>
      </c>
      <c r="Q1916" t="s">
        <v>586</v>
      </c>
      <c r="R1916" t="s">
        <v>712</v>
      </c>
      <c r="S1916" t="s">
        <v>712</v>
      </c>
      <c r="T1916">
        <v>92</v>
      </c>
    </row>
    <row r="1917" spans="1:20" x14ac:dyDescent="0.25">
      <c r="A1917" t="s">
        <v>3192</v>
      </c>
      <c r="B1917" t="s">
        <v>502</v>
      </c>
      <c r="C1917" t="s">
        <v>607</v>
      </c>
      <c r="D1917" t="s">
        <v>608</v>
      </c>
      <c r="E1917" t="s">
        <v>1321</v>
      </c>
      <c r="F1917">
        <v>1.6047203398041692</v>
      </c>
      <c r="G1917">
        <v>50.526128767123282</v>
      </c>
      <c r="H1917" t="s">
        <v>610</v>
      </c>
      <c r="I1917" t="s">
        <v>2417</v>
      </c>
      <c r="J1917">
        <v>3</v>
      </c>
      <c r="K1917" t="s">
        <v>905</v>
      </c>
      <c r="L1917">
        <v>50000</v>
      </c>
      <c r="M1917">
        <v>2.15</v>
      </c>
      <c r="N1917">
        <v>50.526128767123282</v>
      </c>
      <c r="O1917" t="s">
        <v>592</v>
      </c>
      <c r="P1917" t="s">
        <v>613</v>
      </c>
      <c r="Q1917" t="s">
        <v>586</v>
      </c>
      <c r="R1917" t="s">
        <v>712</v>
      </c>
      <c r="S1917" t="s">
        <v>712</v>
      </c>
      <c r="T1917">
        <v>83</v>
      </c>
    </row>
    <row r="1918" spans="1:20" x14ac:dyDescent="0.25">
      <c r="A1918" t="s">
        <v>3193</v>
      </c>
      <c r="B1918" t="s">
        <v>498</v>
      </c>
      <c r="C1918" t="s">
        <v>607</v>
      </c>
      <c r="D1918" t="s">
        <v>608</v>
      </c>
      <c r="E1918" t="s">
        <v>1321</v>
      </c>
      <c r="F1918">
        <v>0.16355211698185146</v>
      </c>
      <c r="G1918">
        <v>62.561309286063405</v>
      </c>
      <c r="H1918" t="s">
        <v>639</v>
      </c>
      <c r="I1918" t="s">
        <v>611</v>
      </c>
      <c r="J1918">
        <v>5.5</v>
      </c>
      <c r="K1918" t="s">
        <v>749</v>
      </c>
      <c r="L1918">
        <v>25000</v>
      </c>
      <c r="M1918">
        <v>2.3000000000000003</v>
      </c>
      <c r="N1918">
        <v>62.561309286063405</v>
      </c>
      <c r="O1918" t="s">
        <v>592</v>
      </c>
      <c r="P1918" t="s">
        <v>613</v>
      </c>
      <c r="Q1918" t="s">
        <v>586</v>
      </c>
      <c r="R1918" t="s">
        <v>712</v>
      </c>
      <c r="S1918" t="s">
        <v>712</v>
      </c>
      <c r="T1918">
        <v>97</v>
      </c>
    </row>
    <row r="1919" spans="1:20" x14ac:dyDescent="0.25">
      <c r="A1919" t="s">
        <v>3194</v>
      </c>
      <c r="B1919" t="s">
        <v>500</v>
      </c>
      <c r="C1919" t="s">
        <v>586</v>
      </c>
      <c r="D1919" t="s">
        <v>642</v>
      </c>
      <c r="E1919" t="s">
        <v>3186</v>
      </c>
      <c r="F1919">
        <v>1.7702615934540353</v>
      </c>
      <c r="G1919">
        <v>-9.355553110355519</v>
      </c>
      <c r="H1919" t="s">
        <v>3187</v>
      </c>
      <c r="I1919" t="s">
        <v>885</v>
      </c>
      <c r="J1919">
        <v>3</v>
      </c>
      <c r="K1919" t="s">
        <v>1114</v>
      </c>
      <c r="L1919">
        <v>445000</v>
      </c>
      <c r="M1919">
        <v>2.15</v>
      </c>
      <c r="N1919">
        <v>-9.355553110355519</v>
      </c>
      <c r="O1919" t="s">
        <v>592</v>
      </c>
      <c r="P1919" t="s">
        <v>613</v>
      </c>
      <c r="Q1919" t="s">
        <v>586</v>
      </c>
      <c r="R1919" t="s">
        <v>712</v>
      </c>
      <c r="S1919" t="s">
        <v>712</v>
      </c>
      <c r="T1919">
        <v>83</v>
      </c>
    </row>
    <row r="1920" spans="1:20" x14ac:dyDescent="0.25">
      <c r="A1920" t="s">
        <v>3195</v>
      </c>
      <c r="B1920" t="s">
        <v>500</v>
      </c>
      <c r="C1920" t="s">
        <v>586</v>
      </c>
      <c r="D1920" t="s">
        <v>642</v>
      </c>
      <c r="E1920" t="s">
        <v>3186</v>
      </c>
      <c r="F1920">
        <v>0.81804565236040272</v>
      </c>
      <c r="G1920">
        <v>25.310915855958861</v>
      </c>
      <c r="H1920" t="s">
        <v>2821</v>
      </c>
      <c r="I1920" t="s">
        <v>721</v>
      </c>
      <c r="J1920">
        <v>2.5</v>
      </c>
      <c r="K1920" t="s">
        <v>984</v>
      </c>
      <c r="L1920">
        <v>200000</v>
      </c>
      <c r="M1920">
        <v>1.55</v>
      </c>
      <c r="N1920">
        <v>25.310915855958861</v>
      </c>
      <c r="O1920" t="s">
        <v>592</v>
      </c>
      <c r="P1920" t="s">
        <v>745</v>
      </c>
      <c r="Q1920" t="s">
        <v>586</v>
      </c>
      <c r="R1920" t="s">
        <v>712</v>
      </c>
      <c r="S1920" t="s">
        <v>712</v>
      </c>
      <c r="T1920">
        <v>88</v>
      </c>
    </row>
    <row r="1921" spans="1:20" x14ac:dyDescent="0.25">
      <c r="A1921" t="s">
        <v>3196</v>
      </c>
      <c r="B1921" t="s">
        <v>503</v>
      </c>
      <c r="C1921" t="s">
        <v>586</v>
      </c>
      <c r="D1921" t="s">
        <v>1075</v>
      </c>
      <c r="E1921" t="s">
        <v>3197</v>
      </c>
      <c r="F1921">
        <v>0.72948626364542135</v>
      </c>
      <c r="G1921">
        <v>4.7571123287671213</v>
      </c>
      <c r="H1921" t="s">
        <v>1190</v>
      </c>
      <c r="I1921" t="s">
        <v>877</v>
      </c>
      <c r="J1921">
        <v>5</v>
      </c>
      <c r="K1921" t="s">
        <v>861</v>
      </c>
      <c r="L1921">
        <v>345000</v>
      </c>
      <c r="M1921">
        <v>1.47</v>
      </c>
      <c r="N1921">
        <v>4.7571123287671213</v>
      </c>
      <c r="O1921" t="s">
        <v>592</v>
      </c>
      <c r="P1921" t="s">
        <v>593</v>
      </c>
      <c r="Q1921" t="s">
        <v>586</v>
      </c>
      <c r="R1921">
        <v>5000</v>
      </c>
      <c r="S1921" t="s">
        <v>652</v>
      </c>
      <c r="T1921">
        <v>86</v>
      </c>
    </row>
    <row r="1922" spans="1:20" x14ac:dyDescent="0.25">
      <c r="A1922" t="s">
        <v>3198</v>
      </c>
      <c r="B1922" t="s">
        <v>503</v>
      </c>
      <c r="C1922" t="s">
        <v>586</v>
      </c>
      <c r="D1922" t="s">
        <v>1075</v>
      </c>
      <c r="E1922" t="s">
        <v>3197</v>
      </c>
      <c r="F1922">
        <v>1.6621564672064431</v>
      </c>
      <c r="G1922">
        <v>4.6657506849315133</v>
      </c>
      <c r="H1922" t="s">
        <v>1190</v>
      </c>
      <c r="I1922" t="s">
        <v>877</v>
      </c>
      <c r="J1922">
        <v>5</v>
      </c>
      <c r="K1922" t="s">
        <v>682</v>
      </c>
      <c r="L1922">
        <v>365000</v>
      </c>
      <c r="M1922">
        <v>1.6</v>
      </c>
      <c r="N1922">
        <v>4.6657506849315133</v>
      </c>
      <c r="O1922" t="s">
        <v>592</v>
      </c>
      <c r="P1922" t="s">
        <v>593</v>
      </c>
      <c r="Q1922" t="s">
        <v>586</v>
      </c>
      <c r="R1922" t="s">
        <v>712</v>
      </c>
      <c r="S1922" t="s">
        <v>652</v>
      </c>
      <c r="T1922">
        <v>80</v>
      </c>
    </row>
    <row r="1923" spans="1:20" x14ac:dyDescent="0.25">
      <c r="A1923" t="s">
        <v>3199</v>
      </c>
      <c r="B1923" t="s">
        <v>503</v>
      </c>
      <c r="C1923" t="s">
        <v>586</v>
      </c>
      <c r="D1923" t="s">
        <v>1075</v>
      </c>
      <c r="E1923" t="s">
        <v>3197</v>
      </c>
      <c r="F1923">
        <v>2.5558795212499579</v>
      </c>
      <c r="G1923">
        <v>5.3946767123287609</v>
      </c>
      <c r="H1923" t="s">
        <v>1190</v>
      </c>
      <c r="I1923" t="s">
        <v>877</v>
      </c>
      <c r="J1923">
        <v>5</v>
      </c>
      <c r="K1923" t="s">
        <v>930</v>
      </c>
      <c r="L1923">
        <v>380000</v>
      </c>
      <c r="M1923">
        <v>1.74</v>
      </c>
      <c r="N1923">
        <v>5.3946767123287609</v>
      </c>
      <c r="O1923" t="s">
        <v>592</v>
      </c>
      <c r="P1923" t="s">
        <v>593</v>
      </c>
      <c r="Q1923" t="s">
        <v>586</v>
      </c>
      <c r="R1923" t="s">
        <v>712</v>
      </c>
      <c r="S1923" t="s">
        <v>652</v>
      </c>
      <c r="T1923">
        <v>73</v>
      </c>
    </row>
    <row r="1924" spans="1:20" x14ac:dyDescent="0.25">
      <c r="A1924" t="s">
        <v>3200</v>
      </c>
      <c r="B1924" t="s">
        <v>503</v>
      </c>
      <c r="C1924" t="s">
        <v>586</v>
      </c>
      <c r="D1924" t="s">
        <v>1075</v>
      </c>
      <c r="E1924" t="s">
        <v>3197</v>
      </c>
      <c r="F1924">
        <v>3.4141252997046654</v>
      </c>
      <c r="G1924">
        <v>9.0020794520547796</v>
      </c>
      <c r="H1924" t="s">
        <v>1190</v>
      </c>
      <c r="I1924" t="s">
        <v>877</v>
      </c>
      <c r="J1924">
        <v>5</v>
      </c>
      <c r="K1924" t="s">
        <v>684</v>
      </c>
      <c r="L1924">
        <v>400000</v>
      </c>
      <c r="M1924">
        <v>1.9000000000000001</v>
      </c>
      <c r="N1924">
        <v>9.0020794520547796</v>
      </c>
      <c r="O1924" t="s">
        <v>592</v>
      </c>
      <c r="P1924" t="s">
        <v>593</v>
      </c>
      <c r="Q1924" t="s">
        <v>586</v>
      </c>
      <c r="R1924">
        <v>400000</v>
      </c>
      <c r="S1924" t="s">
        <v>652</v>
      </c>
      <c r="T1924">
        <v>76</v>
      </c>
    </row>
    <row r="1925" spans="1:20" x14ac:dyDescent="0.25">
      <c r="A1925" t="s">
        <v>3201</v>
      </c>
      <c r="B1925" t="s">
        <v>503</v>
      </c>
      <c r="C1925" t="s">
        <v>586</v>
      </c>
      <c r="D1925" t="s">
        <v>1075</v>
      </c>
      <c r="E1925" t="s">
        <v>3197</v>
      </c>
      <c r="F1925">
        <v>4.2384653756939308</v>
      </c>
      <c r="G1925">
        <v>10.718008219178099</v>
      </c>
      <c r="H1925" t="s">
        <v>1190</v>
      </c>
      <c r="I1925" t="s">
        <v>877</v>
      </c>
      <c r="J1925">
        <v>5</v>
      </c>
      <c r="K1925" t="s">
        <v>701</v>
      </c>
      <c r="L1925">
        <v>415000</v>
      </c>
      <c r="M1925">
        <v>2.02</v>
      </c>
      <c r="N1925">
        <v>10.718008219178099</v>
      </c>
      <c r="O1925" t="s">
        <v>592</v>
      </c>
      <c r="P1925" t="s">
        <v>593</v>
      </c>
      <c r="Q1925" t="s">
        <v>586</v>
      </c>
      <c r="R1925" t="s">
        <v>712</v>
      </c>
      <c r="S1925" t="s">
        <v>652</v>
      </c>
      <c r="T1925">
        <v>57</v>
      </c>
    </row>
    <row r="1926" spans="1:20" x14ac:dyDescent="0.25">
      <c r="A1926" t="s">
        <v>3202</v>
      </c>
      <c r="B1926" t="s">
        <v>503</v>
      </c>
      <c r="C1926" t="s">
        <v>586</v>
      </c>
      <c r="D1926" t="s">
        <v>1075</v>
      </c>
      <c r="E1926" t="s">
        <v>3197</v>
      </c>
      <c r="F1926">
        <v>5.55517735751343E-3</v>
      </c>
      <c r="G1926">
        <v>9.1817397260274056</v>
      </c>
      <c r="H1926" t="s">
        <v>1190</v>
      </c>
      <c r="I1926" t="s">
        <v>661</v>
      </c>
      <c r="J1926">
        <v>5</v>
      </c>
      <c r="K1926" t="s">
        <v>995</v>
      </c>
      <c r="L1926">
        <v>310000</v>
      </c>
      <c r="M1926">
        <v>1.42</v>
      </c>
      <c r="N1926">
        <v>9.1817397260274056</v>
      </c>
      <c r="O1926" t="s">
        <v>592</v>
      </c>
      <c r="P1926" t="s">
        <v>593</v>
      </c>
      <c r="Q1926" t="s">
        <v>586</v>
      </c>
      <c r="R1926" t="s">
        <v>712</v>
      </c>
      <c r="S1926" t="s">
        <v>652</v>
      </c>
      <c r="T1926">
        <v>96</v>
      </c>
    </row>
    <row r="1927" spans="1:20" x14ac:dyDescent="0.25">
      <c r="A1927" t="s">
        <v>3203</v>
      </c>
      <c r="B1927" t="s">
        <v>503</v>
      </c>
      <c r="C1927" t="s">
        <v>586</v>
      </c>
      <c r="D1927" t="s">
        <v>1075</v>
      </c>
      <c r="E1927" t="s">
        <v>3197</v>
      </c>
      <c r="F1927">
        <v>0.97648578411114484</v>
      </c>
      <c r="G1927">
        <v>9.5199726027397347</v>
      </c>
      <c r="H1927" t="s">
        <v>1190</v>
      </c>
      <c r="I1927" t="s">
        <v>661</v>
      </c>
      <c r="J1927">
        <v>5</v>
      </c>
      <c r="K1927" t="s">
        <v>646</v>
      </c>
      <c r="L1927">
        <v>310000</v>
      </c>
      <c r="M1927">
        <v>1.55</v>
      </c>
      <c r="N1927">
        <v>9.5199726027397347</v>
      </c>
      <c r="O1927" t="s">
        <v>592</v>
      </c>
      <c r="P1927" t="s">
        <v>593</v>
      </c>
      <c r="Q1927" t="s">
        <v>586</v>
      </c>
      <c r="R1927" t="s">
        <v>712</v>
      </c>
      <c r="S1927" t="s">
        <v>652</v>
      </c>
      <c r="T1927">
        <v>81</v>
      </c>
    </row>
    <row r="1928" spans="1:20" x14ac:dyDescent="0.25">
      <c r="A1928" t="s">
        <v>3204</v>
      </c>
      <c r="B1928" t="s">
        <v>503</v>
      </c>
      <c r="C1928" t="s">
        <v>586</v>
      </c>
      <c r="D1928" t="s">
        <v>1075</v>
      </c>
      <c r="E1928" t="s">
        <v>3197</v>
      </c>
      <c r="F1928">
        <v>1.9096135437600172</v>
      </c>
      <c r="G1928">
        <v>11.330057534246585</v>
      </c>
      <c r="H1928" t="s">
        <v>1190</v>
      </c>
      <c r="I1928" t="s">
        <v>661</v>
      </c>
      <c r="J1928">
        <v>5</v>
      </c>
      <c r="K1928" t="s">
        <v>729</v>
      </c>
      <c r="L1928">
        <v>310000</v>
      </c>
      <c r="M1928">
        <v>1.7000000000000002</v>
      </c>
      <c r="N1928">
        <v>11.330057534246585</v>
      </c>
      <c r="O1928" t="s">
        <v>592</v>
      </c>
      <c r="P1928" t="s">
        <v>593</v>
      </c>
      <c r="Q1928" t="s">
        <v>586</v>
      </c>
      <c r="R1928" t="s">
        <v>712</v>
      </c>
      <c r="S1928" t="s">
        <v>652</v>
      </c>
      <c r="T1928">
        <v>77</v>
      </c>
    </row>
    <row r="1929" spans="1:20" x14ac:dyDescent="0.25">
      <c r="A1929" t="s">
        <v>3205</v>
      </c>
      <c r="B1929" t="s">
        <v>503</v>
      </c>
      <c r="C1929" t="s">
        <v>586</v>
      </c>
      <c r="D1929" t="s">
        <v>1075</v>
      </c>
      <c r="E1929" t="s">
        <v>3197</v>
      </c>
      <c r="F1929">
        <v>2.8039811388976852</v>
      </c>
      <c r="G1929">
        <v>13.04184383561644</v>
      </c>
      <c r="H1929" t="s">
        <v>1190</v>
      </c>
      <c r="I1929" t="s">
        <v>661</v>
      </c>
      <c r="J1929">
        <v>5</v>
      </c>
      <c r="K1929" t="s">
        <v>817</v>
      </c>
      <c r="L1929">
        <v>310000</v>
      </c>
      <c r="M1929">
        <v>1.85</v>
      </c>
      <c r="N1929">
        <v>13.04184383561644</v>
      </c>
      <c r="O1929" t="s">
        <v>592</v>
      </c>
      <c r="P1929" t="s">
        <v>593</v>
      </c>
      <c r="Q1929" t="s">
        <v>586</v>
      </c>
      <c r="R1929" t="s">
        <v>712</v>
      </c>
      <c r="S1929" t="s">
        <v>652</v>
      </c>
      <c r="T1929">
        <v>69</v>
      </c>
    </row>
    <row r="1930" spans="1:20" x14ac:dyDescent="0.25">
      <c r="A1930" t="s">
        <v>3206</v>
      </c>
      <c r="B1930" t="s">
        <v>503</v>
      </c>
      <c r="C1930" t="s">
        <v>586</v>
      </c>
      <c r="D1930" t="s">
        <v>1075</v>
      </c>
      <c r="E1930" t="s">
        <v>3197</v>
      </c>
      <c r="F1930">
        <v>3.65497890660202</v>
      </c>
      <c r="G1930">
        <v>15.069673972602748</v>
      </c>
      <c r="H1930" t="s">
        <v>1190</v>
      </c>
      <c r="I1930" t="s">
        <v>661</v>
      </c>
      <c r="J1930">
        <v>5</v>
      </c>
      <c r="K1930" t="s">
        <v>620</v>
      </c>
      <c r="L1930">
        <v>310000</v>
      </c>
      <c r="M1930">
        <v>1.99</v>
      </c>
      <c r="N1930">
        <v>15.069673972602748</v>
      </c>
      <c r="O1930" t="s">
        <v>592</v>
      </c>
      <c r="P1930" t="s">
        <v>593</v>
      </c>
      <c r="Q1930" t="s">
        <v>586</v>
      </c>
      <c r="R1930">
        <v>10000</v>
      </c>
      <c r="S1930" t="s">
        <v>652</v>
      </c>
      <c r="T1930">
        <v>69</v>
      </c>
    </row>
    <row r="1931" spans="1:20" x14ac:dyDescent="0.25">
      <c r="A1931" t="s">
        <v>3207</v>
      </c>
      <c r="B1931" t="s">
        <v>503</v>
      </c>
      <c r="C1931" t="s">
        <v>586</v>
      </c>
      <c r="D1931" t="s">
        <v>1075</v>
      </c>
      <c r="E1931" t="s">
        <v>3197</v>
      </c>
      <c r="F1931">
        <v>4.4862146966115244</v>
      </c>
      <c r="G1931">
        <v>15.409690410958898</v>
      </c>
      <c r="H1931" t="s">
        <v>1190</v>
      </c>
      <c r="I1931" t="s">
        <v>661</v>
      </c>
      <c r="J1931">
        <v>5</v>
      </c>
      <c r="K1931" t="s">
        <v>1023</v>
      </c>
      <c r="L1931">
        <v>310000</v>
      </c>
      <c r="M1931">
        <v>2.09</v>
      </c>
      <c r="N1931">
        <v>15.409690410958898</v>
      </c>
      <c r="O1931" t="s">
        <v>592</v>
      </c>
      <c r="P1931" t="s">
        <v>593</v>
      </c>
      <c r="Q1931" t="s">
        <v>586</v>
      </c>
      <c r="R1931">
        <v>5000</v>
      </c>
      <c r="S1931" t="s">
        <v>652</v>
      </c>
      <c r="T1931">
        <v>50</v>
      </c>
    </row>
    <row r="1932" spans="1:20" x14ac:dyDescent="0.25">
      <c r="A1932" t="s">
        <v>3208</v>
      </c>
      <c r="B1932" t="s">
        <v>233</v>
      </c>
      <c r="C1932" t="s">
        <v>586</v>
      </c>
      <c r="D1932" t="s">
        <v>741</v>
      </c>
      <c r="E1932" t="s">
        <v>1666</v>
      </c>
      <c r="F1932">
        <v>1.5303583308749462</v>
      </c>
      <c r="G1932">
        <v>13.44151549203132</v>
      </c>
      <c r="H1932" t="s">
        <v>596</v>
      </c>
      <c r="I1932" t="s">
        <v>721</v>
      </c>
      <c r="J1932">
        <v>2.5</v>
      </c>
      <c r="K1932" t="s">
        <v>634</v>
      </c>
      <c r="L1932">
        <v>125000</v>
      </c>
      <c r="M1932">
        <v>2</v>
      </c>
      <c r="N1932">
        <v>13.44151549203132</v>
      </c>
      <c r="O1932" t="s">
        <v>592</v>
      </c>
      <c r="P1932" t="s">
        <v>745</v>
      </c>
      <c r="Q1932" t="s">
        <v>586</v>
      </c>
      <c r="R1932" t="s">
        <v>712</v>
      </c>
      <c r="S1932" t="s">
        <v>712</v>
      </c>
      <c r="T1932">
        <v>78</v>
      </c>
    </row>
    <row r="1933" spans="1:20" x14ac:dyDescent="0.25">
      <c r="A1933" t="s">
        <v>3209</v>
      </c>
      <c r="B1933" t="s">
        <v>112</v>
      </c>
      <c r="C1933" t="s">
        <v>607</v>
      </c>
      <c r="D1933" t="s">
        <v>623</v>
      </c>
      <c r="E1933" t="s">
        <v>624</v>
      </c>
      <c r="F1933">
        <v>1.2860431951392528</v>
      </c>
      <c r="G1933">
        <v>121.34507487995636</v>
      </c>
      <c r="H1933" t="s">
        <v>709</v>
      </c>
      <c r="I1933" t="s">
        <v>716</v>
      </c>
      <c r="J1933">
        <v>4</v>
      </c>
      <c r="K1933" t="s">
        <v>758</v>
      </c>
      <c r="L1933">
        <v>245000</v>
      </c>
      <c r="M1933">
        <v>2.6</v>
      </c>
      <c r="N1933">
        <v>121.34507487995636</v>
      </c>
      <c r="O1933" t="s">
        <v>592</v>
      </c>
      <c r="P1933" t="s">
        <v>745</v>
      </c>
      <c r="Q1933" t="s">
        <v>586</v>
      </c>
      <c r="R1933" t="s">
        <v>712</v>
      </c>
      <c r="S1933" t="s">
        <v>712</v>
      </c>
      <c r="T1933">
        <v>84</v>
      </c>
    </row>
    <row r="1934" spans="1:20" x14ac:dyDescent="0.25">
      <c r="A1934" t="s">
        <v>3210</v>
      </c>
      <c r="B1934" t="s">
        <v>112</v>
      </c>
      <c r="C1934" t="s">
        <v>607</v>
      </c>
      <c r="D1934" t="s">
        <v>623</v>
      </c>
      <c r="E1934" t="s">
        <v>624</v>
      </c>
      <c r="F1934">
        <v>3.9474590711308135</v>
      </c>
      <c r="G1934">
        <v>134.77986176173169</v>
      </c>
      <c r="H1934" t="s">
        <v>709</v>
      </c>
      <c r="I1934" t="s">
        <v>716</v>
      </c>
      <c r="J1934">
        <v>4</v>
      </c>
      <c r="K1934" t="s">
        <v>1085</v>
      </c>
      <c r="L1934">
        <v>275000</v>
      </c>
      <c r="M1934">
        <v>3.15</v>
      </c>
      <c r="N1934">
        <v>134.77986176173169</v>
      </c>
      <c r="O1934" t="s">
        <v>592</v>
      </c>
      <c r="P1934" t="s">
        <v>745</v>
      </c>
      <c r="Q1934" t="s">
        <v>586</v>
      </c>
      <c r="R1934" t="s">
        <v>712</v>
      </c>
      <c r="S1934" t="s">
        <v>712</v>
      </c>
      <c r="T1934">
        <v>64</v>
      </c>
    </row>
    <row r="1935" spans="1:20" x14ac:dyDescent="0.25">
      <c r="A1935" t="s">
        <v>3211</v>
      </c>
      <c r="B1935" t="s">
        <v>112</v>
      </c>
      <c r="C1935" t="s">
        <v>607</v>
      </c>
      <c r="D1935" t="s">
        <v>623</v>
      </c>
      <c r="E1935" t="s">
        <v>624</v>
      </c>
      <c r="F1935">
        <v>2.207139614346274</v>
      </c>
      <c r="G1935">
        <v>126.68845849043635</v>
      </c>
      <c r="H1935" t="s">
        <v>709</v>
      </c>
      <c r="I1935" t="s">
        <v>716</v>
      </c>
      <c r="J1935">
        <v>4</v>
      </c>
      <c r="K1935" t="s">
        <v>972</v>
      </c>
      <c r="L1935">
        <v>250000</v>
      </c>
      <c r="M1935">
        <v>2.8000000000000003</v>
      </c>
      <c r="N1935">
        <v>126.68845849043635</v>
      </c>
      <c r="O1935" t="s">
        <v>592</v>
      </c>
      <c r="P1935" t="s">
        <v>745</v>
      </c>
      <c r="Q1935" t="s">
        <v>586</v>
      </c>
      <c r="R1935">
        <v>40000</v>
      </c>
      <c r="S1935" t="s">
        <v>712</v>
      </c>
      <c r="T1935">
        <v>76</v>
      </c>
    </row>
    <row r="1936" spans="1:20" x14ac:dyDescent="0.25">
      <c r="A1936" t="s">
        <v>3212</v>
      </c>
      <c r="B1936" t="s">
        <v>486</v>
      </c>
      <c r="C1936" t="s">
        <v>586</v>
      </c>
      <c r="D1936" t="s">
        <v>1124</v>
      </c>
      <c r="E1936" t="s">
        <v>3076</v>
      </c>
      <c r="F1936">
        <v>0.80921736782933851</v>
      </c>
      <c r="G1936">
        <v>18.960068638850871</v>
      </c>
      <c r="H1936" t="s">
        <v>802</v>
      </c>
      <c r="I1936" t="s">
        <v>661</v>
      </c>
      <c r="J1936">
        <v>3.5</v>
      </c>
      <c r="K1936" t="s">
        <v>984</v>
      </c>
      <c r="L1936">
        <v>335000</v>
      </c>
      <c r="M1936">
        <v>2.25</v>
      </c>
      <c r="N1936">
        <v>18.960068638850871</v>
      </c>
      <c r="O1936" t="s">
        <v>592</v>
      </c>
      <c r="P1936" t="s">
        <v>3077</v>
      </c>
      <c r="Q1936" t="s">
        <v>607</v>
      </c>
      <c r="R1936" t="s">
        <v>712</v>
      </c>
      <c r="S1936" t="s">
        <v>652</v>
      </c>
      <c r="T1936">
        <v>86</v>
      </c>
    </row>
    <row r="1937" spans="1:20" x14ac:dyDescent="0.25">
      <c r="A1937" t="s">
        <v>3213</v>
      </c>
      <c r="B1937" t="s">
        <v>486</v>
      </c>
      <c r="C1937" t="s">
        <v>586</v>
      </c>
      <c r="D1937" t="s">
        <v>1124</v>
      </c>
      <c r="E1937" t="s">
        <v>3076</v>
      </c>
      <c r="F1937">
        <v>3.586008911132831</v>
      </c>
      <c r="G1937">
        <v>39.636914302554025</v>
      </c>
      <c r="H1937" t="s">
        <v>802</v>
      </c>
      <c r="I1937" t="s">
        <v>661</v>
      </c>
      <c r="J1937">
        <v>2.7</v>
      </c>
      <c r="K1937" t="s">
        <v>1163</v>
      </c>
      <c r="L1937">
        <v>365000</v>
      </c>
      <c r="M1937">
        <v>2.7</v>
      </c>
      <c r="N1937">
        <v>39.636914302554025</v>
      </c>
      <c r="O1937" t="s">
        <v>592</v>
      </c>
      <c r="P1937" t="s">
        <v>3077</v>
      </c>
      <c r="Q1937" t="s">
        <v>607</v>
      </c>
      <c r="R1937" t="s">
        <v>712</v>
      </c>
      <c r="S1937" t="s">
        <v>652</v>
      </c>
      <c r="T1937">
        <v>50</v>
      </c>
    </row>
    <row r="1938" spans="1:20" x14ac:dyDescent="0.25">
      <c r="A1938" t="s">
        <v>3214</v>
      </c>
      <c r="B1938" t="s">
        <v>57</v>
      </c>
      <c r="C1938" t="s">
        <v>586</v>
      </c>
      <c r="D1938" t="s">
        <v>805</v>
      </c>
      <c r="E1938" t="s">
        <v>806</v>
      </c>
      <c r="F1938">
        <v>2.3643930743023063</v>
      </c>
      <c r="G1938">
        <v>6.7814797158831208</v>
      </c>
      <c r="H1938" t="s">
        <v>603</v>
      </c>
      <c r="I1938" t="s">
        <v>625</v>
      </c>
      <c r="J1938">
        <v>5</v>
      </c>
      <c r="K1938" t="s">
        <v>1013</v>
      </c>
      <c r="L1938">
        <v>8235000</v>
      </c>
      <c r="M1938">
        <v>2.06</v>
      </c>
      <c r="N1938">
        <v>6.7814797158831208</v>
      </c>
      <c r="O1938" t="s">
        <v>592</v>
      </c>
      <c r="P1938" t="s">
        <v>593</v>
      </c>
      <c r="Q1938" t="s">
        <v>586</v>
      </c>
      <c r="R1938">
        <v>140000</v>
      </c>
      <c r="S1938" t="s">
        <v>599</v>
      </c>
      <c r="T1938">
        <v>84</v>
      </c>
    </row>
    <row r="1939" spans="1:20" x14ac:dyDescent="0.25">
      <c r="A1939" t="s">
        <v>3215</v>
      </c>
      <c r="B1939" t="s">
        <v>77</v>
      </c>
      <c r="C1939" t="s">
        <v>586</v>
      </c>
      <c r="D1939" t="s">
        <v>894</v>
      </c>
      <c r="E1939" t="s">
        <v>895</v>
      </c>
      <c r="F1939">
        <v>3.6101505287352224E-2</v>
      </c>
      <c r="G1939">
        <v>1.5623619855375193</v>
      </c>
      <c r="H1939" t="s">
        <v>896</v>
      </c>
      <c r="I1939" t="s">
        <v>897</v>
      </c>
      <c r="J1939">
        <v>2.25</v>
      </c>
      <c r="K1939" t="s">
        <v>1008</v>
      </c>
      <c r="L1939">
        <v>1725000</v>
      </c>
      <c r="M1939">
        <v>1.17</v>
      </c>
      <c r="N1939">
        <v>1.5623619855375193</v>
      </c>
      <c r="O1939" t="s">
        <v>592</v>
      </c>
      <c r="P1939" t="s">
        <v>593</v>
      </c>
      <c r="Q1939" t="s">
        <v>586</v>
      </c>
      <c r="R1939" t="s">
        <v>712</v>
      </c>
      <c r="S1939" t="s">
        <v>652</v>
      </c>
      <c r="T1939">
        <v>99</v>
      </c>
    </row>
    <row r="1940" spans="1:20" x14ac:dyDescent="0.25">
      <c r="A1940" t="s">
        <v>3216</v>
      </c>
      <c r="B1940" t="s">
        <v>77</v>
      </c>
      <c r="C1940" t="s">
        <v>586</v>
      </c>
      <c r="D1940" t="s">
        <v>894</v>
      </c>
      <c r="E1940" t="s">
        <v>895</v>
      </c>
      <c r="F1940">
        <v>4.4272787851054334</v>
      </c>
      <c r="G1940">
        <v>11.995412412513872</v>
      </c>
      <c r="H1940" t="s">
        <v>896</v>
      </c>
      <c r="I1940" t="s">
        <v>897</v>
      </c>
      <c r="J1940">
        <v>5</v>
      </c>
      <c r="K1940" t="s">
        <v>1176</v>
      </c>
      <c r="L1940">
        <v>1500000</v>
      </c>
      <c r="M1940">
        <v>1.97</v>
      </c>
      <c r="N1940">
        <v>11.995412412513872</v>
      </c>
      <c r="O1940" t="s">
        <v>592</v>
      </c>
      <c r="P1940" t="s">
        <v>593</v>
      </c>
      <c r="Q1940" t="s">
        <v>586</v>
      </c>
      <c r="R1940">
        <v>15000</v>
      </c>
      <c r="S1940" t="s">
        <v>652</v>
      </c>
      <c r="T1940">
        <v>67</v>
      </c>
    </row>
    <row r="1941" spans="1:20" x14ac:dyDescent="0.25">
      <c r="A1941" t="s">
        <v>3217</v>
      </c>
      <c r="B1941" t="s">
        <v>212</v>
      </c>
      <c r="C1941" t="s">
        <v>586</v>
      </c>
      <c r="D1941" t="s">
        <v>741</v>
      </c>
      <c r="E1941" t="s">
        <v>1052</v>
      </c>
      <c r="F1941">
        <v>0.81983587763181776</v>
      </c>
      <c r="G1941">
        <v>19.400272448151611</v>
      </c>
      <c r="H1941" t="s">
        <v>633</v>
      </c>
      <c r="I1941" t="s">
        <v>1053</v>
      </c>
      <c r="J1941">
        <v>2</v>
      </c>
      <c r="K1941" t="s">
        <v>984</v>
      </c>
      <c r="L1941">
        <v>340000</v>
      </c>
      <c r="M1941">
        <v>1.55</v>
      </c>
      <c r="N1941">
        <v>19.400272448151611</v>
      </c>
      <c r="O1941" t="s">
        <v>592</v>
      </c>
      <c r="P1941" t="s">
        <v>745</v>
      </c>
      <c r="Q1941" t="s">
        <v>586</v>
      </c>
      <c r="R1941" t="s">
        <v>712</v>
      </c>
      <c r="S1941" t="s">
        <v>712</v>
      </c>
      <c r="T1941">
        <v>83</v>
      </c>
    </row>
    <row r="1942" spans="1:20" x14ac:dyDescent="0.25">
      <c r="A1942" t="s">
        <v>3218</v>
      </c>
      <c r="B1942" t="s">
        <v>504</v>
      </c>
      <c r="C1942" t="s">
        <v>586</v>
      </c>
      <c r="D1942" t="s">
        <v>587</v>
      </c>
      <c r="E1942" t="s">
        <v>756</v>
      </c>
      <c r="F1942">
        <v>8.0449817754919953E-2</v>
      </c>
      <c r="G1942">
        <v>97.376457811899513</v>
      </c>
      <c r="H1942" t="s">
        <v>692</v>
      </c>
      <c r="I1942" t="s">
        <v>611</v>
      </c>
      <c r="J1942">
        <v>2.375</v>
      </c>
      <c r="K1942" t="s">
        <v>950</v>
      </c>
      <c r="L1942">
        <v>195000</v>
      </c>
      <c r="M1942">
        <v>2.57</v>
      </c>
      <c r="N1942">
        <v>97.376457811899513</v>
      </c>
      <c r="O1942" t="s">
        <v>592</v>
      </c>
      <c r="P1942" t="s">
        <v>593</v>
      </c>
      <c r="Q1942" t="s">
        <v>586</v>
      </c>
      <c r="R1942" t="s">
        <v>712</v>
      </c>
      <c r="S1942" t="s">
        <v>712</v>
      </c>
      <c r="T1942">
        <v>100</v>
      </c>
    </row>
    <row r="1943" spans="1:20" x14ac:dyDescent="0.25">
      <c r="A1943" t="s">
        <v>3219</v>
      </c>
      <c r="B1943" t="s">
        <v>504</v>
      </c>
      <c r="C1943" t="s">
        <v>586</v>
      </c>
      <c r="D1943" t="s">
        <v>587</v>
      </c>
      <c r="E1943" t="s">
        <v>756</v>
      </c>
      <c r="F1943">
        <v>1.0495664526398278</v>
      </c>
      <c r="G1943">
        <v>110.49064259905595</v>
      </c>
      <c r="H1943" t="s">
        <v>692</v>
      </c>
      <c r="I1943" t="s">
        <v>611</v>
      </c>
      <c r="J1943">
        <v>2.625</v>
      </c>
      <c r="K1943" t="s">
        <v>612</v>
      </c>
      <c r="L1943">
        <v>195000</v>
      </c>
      <c r="M1943">
        <v>2.87</v>
      </c>
      <c r="N1943">
        <v>110.49064259905595</v>
      </c>
      <c r="O1943" t="s">
        <v>592</v>
      </c>
      <c r="P1943" t="s">
        <v>593</v>
      </c>
      <c r="Q1943" t="s">
        <v>586</v>
      </c>
      <c r="R1943" t="s">
        <v>712</v>
      </c>
      <c r="S1943" t="s">
        <v>712</v>
      </c>
      <c r="T1943">
        <v>84</v>
      </c>
    </row>
    <row r="1944" spans="1:20" x14ac:dyDescent="0.25">
      <c r="A1944" t="s">
        <v>3220</v>
      </c>
      <c r="B1944" t="s">
        <v>504</v>
      </c>
      <c r="C1944" t="s">
        <v>586</v>
      </c>
      <c r="D1944" t="s">
        <v>587</v>
      </c>
      <c r="E1944" t="s">
        <v>756</v>
      </c>
      <c r="F1944">
        <v>1.9416392836152019</v>
      </c>
      <c r="G1944">
        <v>114.00965677867238</v>
      </c>
      <c r="H1944" t="s">
        <v>692</v>
      </c>
      <c r="I1944" t="s">
        <v>611</v>
      </c>
      <c r="J1944">
        <v>5</v>
      </c>
      <c r="K1944" t="s">
        <v>956</v>
      </c>
      <c r="L1944">
        <v>200000</v>
      </c>
      <c r="M1944">
        <v>3.0700000000000003</v>
      </c>
      <c r="N1944">
        <v>114.00965677867238</v>
      </c>
      <c r="O1944" t="s">
        <v>592</v>
      </c>
      <c r="P1944" t="s">
        <v>593</v>
      </c>
      <c r="Q1944" t="s">
        <v>586</v>
      </c>
      <c r="R1944" t="s">
        <v>712</v>
      </c>
      <c r="S1944" t="s">
        <v>712</v>
      </c>
      <c r="T1944">
        <v>77</v>
      </c>
    </row>
    <row r="1945" spans="1:20" x14ac:dyDescent="0.25">
      <c r="A1945" t="s">
        <v>3221</v>
      </c>
      <c r="B1945" t="s">
        <v>505</v>
      </c>
      <c r="C1945" t="s">
        <v>586</v>
      </c>
      <c r="D1945" t="s">
        <v>642</v>
      </c>
      <c r="E1945" t="s">
        <v>3222</v>
      </c>
      <c r="F1945">
        <v>0.57053798767865649</v>
      </c>
      <c r="G1945">
        <v>67.321684931506837</v>
      </c>
      <c r="H1945" t="s">
        <v>1120</v>
      </c>
      <c r="I1945" t="s">
        <v>3223</v>
      </c>
      <c r="J1945">
        <v>2.75</v>
      </c>
      <c r="K1945" t="s">
        <v>744</v>
      </c>
      <c r="L1945">
        <v>275000</v>
      </c>
      <c r="M1945">
        <v>2.3000000000000003</v>
      </c>
      <c r="N1945">
        <v>67.321684931506837</v>
      </c>
      <c r="O1945" t="s">
        <v>592</v>
      </c>
      <c r="P1945" t="s">
        <v>745</v>
      </c>
      <c r="Q1945" t="s">
        <v>586</v>
      </c>
      <c r="R1945" t="s">
        <v>712</v>
      </c>
      <c r="S1945" t="s">
        <v>712</v>
      </c>
      <c r="T1945">
        <v>89</v>
      </c>
    </row>
    <row r="1946" spans="1:20" x14ac:dyDescent="0.25">
      <c r="A1946" t="s">
        <v>3224</v>
      </c>
      <c r="B1946" t="s">
        <v>505</v>
      </c>
      <c r="C1946" t="s">
        <v>586</v>
      </c>
      <c r="D1946" t="s">
        <v>642</v>
      </c>
      <c r="E1946" t="s">
        <v>3222</v>
      </c>
      <c r="F1946">
        <v>1.5279115791304347</v>
      </c>
      <c r="G1946">
        <v>72.150358904109595</v>
      </c>
      <c r="H1946" t="s">
        <v>1120</v>
      </c>
      <c r="I1946" t="s">
        <v>3223</v>
      </c>
      <c r="J1946">
        <v>2.75</v>
      </c>
      <c r="K1946" t="s">
        <v>634</v>
      </c>
      <c r="L1946">
        <v>285000</v>
      </c>
      <c r="M1946">
        <v>2.4000000000000004</v>
      </c>
      <c r="N1946">
        <v>72.150358904109595</v>
      </c>
      <c r="O1946" t="s">
        <v>592</v>
      </c>
      <c r="P1946" t="s">
        <v>745</v>
      </c>
      <c r="Q1946" t="s">
        <v>586</v>
      </c>
      <c r="R1946" t="s">
        <v>712</v>
      </c>
      <c r="S1946" t="s">
        <v>712</v>
      </c>
      <c r="T1946">
        <v>73</v>
      </c>
    </row>
    <row r="1947" spans="1:20" x14ac:dyDescent="0.25">
      <c r="A1947" t="s">
        <v>3225</v>
      </c>
      <c r="B1947" t="s">
        <v>505</v>
      </c>
      <c r="C1947" t="s">
        <v>586</v>
      </c>
      <c r="D1947" t="s">
        <v>642</v>
      </c>
      <c r="E1947" t="s">
        <v>3222</v>
      </c>
      <c r="F1947">
        <v>2.4513339926688174</v>
      </c>
      <c r="G1947">
        <v>75.458564383561651</v>
      </c>
      <c r="H1947" t="s">
        <v>1120</v>
      </c>
      <c r="I1947" t="s">
        <v>3223</v>
      </c>
      <c r="J1947">
        <v>3</v>
      </c>
      <c r="K1947" t="s">
        <v>959</v>
      </c>
      <c r="L1947">
        <v>290000</v>
      </c>
      <c r="M1947">
        <v>2.5</v>
      </c>
      <c r="N1947">
        <v>75.458564383561651</v>
      </c>
      <c r="O1947" t="s">
        <v>592</v>
      </c>
      <c r="P1947" t="s">
        <v>745</v>
      </c>
      <c r="Q1947" t="s">
        <v>586</v>
      </c>
      <c r="R1947" t="s">
        <v>712</v>
      </c>
      <c r="S1947" t="s">
        <v>712</v>
      </c>
      <c r="T1947">
        <v>61</v>
      </c>
    </row>
    <row r="1948" spans="1:20" x14ac:dyDescent="0.25">
      <c r="A1948" t="s">
        <v>3226</v>
      </c>
      <c r="B1948" t="s">
        <v>506</v>
      </c>
      <c r="C1948" t="s">
        <v>586</v>
      </c>
      <c r="D1948" t="s">
        <v>608</v>
      </c>
      <c r="E1948" t="s">
        <v>1032</v>
      </c>
      <c r="F1948">
        <v>3.6099905901235047E-2</v>
      </c>
      <c r="G1948">
        <v>19.182172404232766</v>
      </c>
      <c r="H1948" t="s">
        <v>1256</v>
      </c>
      <c r="I1948" t="s">
        <v>611</v>
      </c>
      <c r="J1948">
        <v>5</v>
      </c>
      <c r="K1948" t="s">
        <v>1008</v>
      </c>
      <c r="L1948">
        <v>775000</v>
      </c>
      <c r="M1948">
        <v>1.9100000000000001</v>
      </c>
      <c r="N1948">
        <v>19.182172404232766</v>
      </c>
      <c r="O1948" t="s">
        <v>592</v>
      </c>
      <c r="P1948" t="s">
        <v>621</v>
      </c>
      <c r="Q1948" t="s">
        <v>586</v>
      </c>
      <c r="R1948" t="s">
        <v>712</v>
      </c>
      <c r="S1948" t="s">
        <v>635</v>
      </c>
      <c r="T1948">
        <v>96</v>
      </c>
    </row>
    <row r="1949" spans="1:20" x14ac:dyDescent="0.25">
      <c r="A1949" t="s">
        <v>3227</v>
      </c>
      <c r="B1949" t="s">
        <v>506</v>
      </c>
      <c r="C1949" t="s">
        <v>586</v>
      </c>
      <c r="D1949" t="s">
        <v>608</v>
      </c>
      <c r="E1949" t="s">
        <v>1032</v>
      </c>
      <c r="F1949">
        <v>0.99364517039217681</v>
      </c>
      <c r="G1949">
        <v>22.596404596591757</v>
      </c>
      <c r="H1949" t="s">
        <v>1256</v>
      </c>
      <c r="I1949" t="s">
        <v>611</v>
      </c>
      <c r="J1949">
        <v>5</v>
      </c>
      <c r="K1949" t="s">
        <v>920</v>
      </c>
      <c r="L1949">
        <v>815000</v>
      </c>
      <c r="M1949">
        <v>2.11</v>
      </c>
      <c r="N1949">
        <v>22.596404596591757</v>
      </c>
      <c r="O1949" t="s">
        <v>592</v>
      </c>
      <c r="P1949" t="s">
        <v>621</v>
      </c>
      <c r="Q1949" t="s">
        <v>586</v>
      </c>
      <c r="R1949">
        <v>165000</v>
      </c>
      <c r="S1949" t="s">
        <v>635</v>
      </c>
      <c r="T1949">
        <v>90</v>
      </c>
    </row>
    <row r="1950" spans="1:20" x14ac:dyDescent="0.25">
      <c r="A1950" t="s">
        <v>3228</v>
      </c>
      <c r="B1950" t="s">
        <v>506</v>
      </c>
      <c r="C1950" t="s">
        <v>586</v>
      </c>
      <c r="D1950" t="s">
        <v>608</v>
      </c>
      <c r="E1950" t="s">
        <v>1032</v>
      </c>
      <c r="F1950">
        <v>1.906487258304892</v>
      </c>
      <c r="G1950">
        <v>23.452742581472297</v>
      </c>
      <c r="H1950" t="s">
        <v>1256</v>
      </c>
      <c r="I1950" t="s">
        <v>611</v>
      </c>
      <c r="J1950">
        <v>5</v>
      </c>
      <c r="K1950" t="s">
        <v>898</v>
      </c>
      <c r="L1950">
        <v>855000</v>
      </c>
      <c r="M1950">
        <v>2.2800000000000002</v>
      </c>
      <c r="N1950">
        <v>23.452742581472297</v>
      </c>
      <c r="O1950" t="s">
        <v>592</v>
      </c>
      <c r="P1950" t="s">
        <v>621</v>
      </c>
      <c r="Q1950" t="s">
        <v>586</v>
      </c>
      <c r="R1950">
        <v>20000</v>
      </c>
      <c r="S1950" t="s">
        <v>635</v>
      </c>
      <c r="T1950">
        <v>84</v>
      </c>
    </row>
    <row r="1951" spans="1:20" x14ac:dyDescent="0.25">
      <c r="A1951" t="s">
        <v>3229</v>
      </c>
      <c r="B1951" t="s">
        <v>506</v>
      </c>
      <c r="C1951" t="s">
        <v>586</v>
      </c>
      <c r="D1951" t="s">
        <v>608</v>
      </c>
      <c r="E1951" t="s">
        <v>1032</v>
      </c>
      <c r="F1951">
        <v>2.7803962843390186</v>
      </c>
      <c r="G1951">
        <v>24.40525037592014</v>
      </c>
      <c r="H1951" t="s">
        <v>1256</v>
      </c>
      <c r="I1951" t="s">
        <v>611</v>
      </c>
      <c r="J1951">
        <v>5</v>
      </c>
      <c r="K1951" t="s">
        <v>978</v>
      </c>
      <c r="L1951">
        <v>900000</v>
      </c>
      <c r="M1951">
        <v>2.44</v>
      </c>
      <c r="N1951">
        <v>24.40525037592014</v>
      </c>
      <c r="O1951" t="s">
        <v>592</v>
      </c>
      <c r="P1951" t="s">
        <v>621</v>
      </c>
      <c r="Q1951" t="s">
        <v>586</v>
      </c>
      <c r="R1951">
        <v>75000</v>
      </c>
      <c r="S1951" t="s">
        <v>635</v>
      </c>
      <c r="T1951">
        <v>74</v>
      </c>
    </row>
    <row r="1952" spans="1:20" x14ac:dyDescent="0.25">
      <c r="A1952" t="s">
        <v>3230</v>
      </c>
      <c r="B1952" t="s">
        <v>506</v>
      </c>
      <c r="C1952" t="s">
        <v>586</v>
      </c>
      <c r="D1952" t="s">
        <v>608</v>
      </c>
      <c r="E1952" t="s">
        <v>1032</v>
      </c>
      <c r="F1952">
        <v>3.6179720975855725</v>
      </c>
      <c r="G1952">
        <v>24.730552912503924</v>
      </c>
      <c r="H1952" t="s">
        <v>1256</v>
      </c>
      <c r="I1952" t="s">
        <v>611</v>
      </c>
      <c r="J1952">
        <v>5</v>
      </c>
      <c r="K1952" t="s">
        <v>1046</v>
      </c>
      <c r="L1952">
        <v>945000</v>
      </c>
      <c r="M1952">
        <v>2.57</v>
      </c>
      <c r="N1952">
        <v>24.730552912503924</v>
      </c>
      <c r="O1952" t="s">
        <v>592</v>
      </c>
      <c r="P1952" t="s">
        <v>621</v>
      </c>
      <c r="Q1952" t="s">
        <v>586</v>
      </c>
      <c r="R1952">
        <v>100000</v>
      </c>
      <c r="S1952" t="s">
        <v>635</v>
      </c>
      <c r="T1952">
        <v>66</v>
      </c>
    </row>
    <row r="1953" spans="1:20" x14ac:dyDescent="0.25">
      <c r="A1953" t="s">
        <v>3231</v>
      </c>
      <c r="B1953" t="s">
        <v>507</v>
      </c>
      <c r="C1953" t="s">
        <v>586</v>
      </c>
      <c r="D1953" t="s">
        <v>608</v>
      </c>
      <c r="E1953" t="s">
        <v>3232</v>
      </c>
      <c r="F1953">
        <v>8.0476601462501823E-2</v>
      </c>
      <c r="G1953">
        <v>17.789990578656443</v>
      </c>
      <c r="H1953" t="s">
        <v>761</v>
      </c>
      <c r="I1953" t="s">
        <v>885</v>
      </c>
      <c r="J1953">
        <v>4</v>
      </c>
      <c r="K1953" t="s">
        <v>950</v>
      </c>
      <c r="L1953">
        <v>390000</v>
      </c>
      <c r="M1953">
        <v>1.4000000000000001</v>
      </c>
      <c r="N1953">
        <v>17.789990578656443</v>
      </c>
      <c r="O1953" t="s">
        <v>592</v>
      </c>
      <c r="P1953" t="s">
        <v>613</v>
      </c>
      <c r="Q1953" t="s">
        <v>586</v>
      </c>
      <c r="R1953" t="s">
        <v>712</v>
      </c>
      <c r="S1953" t="s">
        <v>712</v>
      </c>
      <c r="T1953">
        <v>97</v>
      </c>
    </row>
    <row r="1954" spans="1:20" x14ac:dyDescent="0.25">
      <c r="A1954" t="s">
        <v>3233</v>
      </c>
      <c r="B1954" t="s">
        <v>507</v>
      </c>
      <c r="C1954" t="s">
        <v>586</v>
      </c>
      <c r="D1954" t="s">
        <v>608</v>
      </c>
      <c r="E1954" t="s">
        <v>3232</v>
      </c>
      <c r="F1954">
        <v>1.0423847412100598</v>
      </c>
      <c r="G1954">
        <v>17.840323228988343</v>
      </c>
      <c r="H1954" t="s">
        <v>761</v>
      </c>
      <c r="I1954" t="s">
        <v>885</v>
      </c>
      <c r="J1954">
        <v>4</v>
      </c>
      <c r="K1954" t="s">
        <v>612</v>
      </c>
      <c r="L1954">
        <v>405000</v>
      </c>
      <c r="M1954">
        <v>1.55</v>
      </c>
      <c r="N1954">
        <v>17.840323228988343</v>
      </c>
      <c r="O1954" t="s">
        <v>592</v>
      </c>
      <c r="P1954" t="s">
        <v>613</v>
      </c>
      <c r="Q1954" t="s">
        <v>586</v>
      </c>
      <c r="R1954" t="s">
        <v>712</v>
      </c>
      <c r="S1954" t="s">
        <v>712</v>
      </c>
      <c r="T1954">
        <v>84</v>
      </c>
    </row>
    <row r="1955" spans="1:20" x14ac:dyDescent="0.25">
      <c r="A1955" t="s">
        <v>3234</v>
      </c>
      <c r="B1955" t="s">
        <v>507</v>
      </c>
      <c r="C1955" t="s">
        <v>586</v>
      </c>
      <c r="D1955" t="s">
        <v>608</v>
      </c>
      <c r="E1955" t="s">
        <v>3232</v>
      </c>
      <c r="F1955">
        <v>1.9670309336115877</v>
      </c>
      <c r="G1955">
        <v>17.707419007748015</v>
      </c>
      <c r="H1955" t="s">
        <v>761</v>
      </c>
      <c r="I1955" t="s">
        <v>885</v>
      </c>
      <c r="J1955">
        <v>4</v>
      </c>
      <c r="K1955" t="s">
        <v>956</v>
      </c>
      <c r="L1955">
        <v>425000</v>
      </c>
      <c r="M1955">
        <v>1.7000000000000002</v>
      </c>
      <c r="N1955">
        <v>17.707419007748015</v>
      </c>
      <c r="O1955" t="s">
        <v>592</v>
      </c>
      <c r="P1955" t="s">
        <v>613</v>
      </c>
      <c r="Q1955" t="s">
        <v>586</v>
      </c>
      <c r="R1955" t="s">
        <v>712</v>
      </c>
      <c r="S1955" t="s">
        <v>712</v>
      </c>
      <c r="T1955">
        <v>77</v>
      </c>
    </row>
    <row r="1956" spans="1:20" x14ac:dyDescent="0.25">
      <c r="A1956" t="s">
        <v>3235</v>
      </c>
      <c r="B1956" t="s">
        <v>507</v>
      </c>
      <c r="C1956" t="s">
        <v>586</v>
      </c>
      <c r="D1956" t="s">
        <v>608</v>
      </c>
      <c r="E1956" t="s">
        <v>3232</v>
      </c>
      <c r="F1956">
        <v>2.8582673550759301</v>
      </c>
      <c r="G1956">
        <v>17.700594148878768</v>
      </c>
      <c r="H1956" t="s">
        <v>761</v>
      </c>
      <c r="I1956" t="s">
        <v>885</v>
      </c>
      <c r="J1956">
        <v>4</v>
      </c>
      <c r="K1956" t="s">
        <v>1334</v>
      </c>
      <c r="L1956">
        <v>160000</v>
      </c>
      <c r="M1956">
        <v>1.85</v>
      </c>
      <c r="N1956">
        <v>17.700594148878768</v>
      </c>
      <c r="O1956" t="s">
        <v>592</v>
      </c>
      <c r="P1956" t="s">
        <v>613</v>
      </c>
      <c r="Q1956" t="s">
        <v>586</v>
      </c>
      <c r="R1956" t="s">
        <v>712</v>
      </c>
      <c r="S1956" t="s">
        <v>712</v>
      </c>
      <c r="T1956">
        <v>68</v>
      </c>
    </row>
    <row r="1957" spans="1:20" x14ac:dyDescent="0.25">
      <c r="A1957" t="s">
        <v>3236</v>
      </c>
      <c r="B1957" t="s">
        <v>507</v>
      </c>
      <c r="C1957" t="s">
        <v>586</v>
      </c>
      <c r="D1957" t="s">
        <v>608</v>
      </c>
      <c r="E1957" t="s">
        <v>3232</v>
      </c>
      <c r="F1957">
        <v>3.7175394143864247</v>
      </c>
      <c r="G1957">
        <v>19.333599558952173</v>
      </c>
      <c r="H1957" t="s">
        <v>761</v>
      </c>
      <c r="I1957" t="s">
        <v>885</v>
      </c>
      <c r="J1957">
        <v>4</v>
      </c>
      <c r="K1957" t="s">
        <v>1220</v>
      </c>
      <c r="L1957">
        <v>165000</v>
      </c>
      <c r="M1957">
        <v>2</v>
      </c>
      <c r="N1957">
        <v>19.333599558952173</v>
      </c>
      <c r="O1957" t="s">
        <v>592</v>
      </c>
      <c r="P1957" t="s">
        <v>613</v>
      </c>
      <c r="Q1957" t="s">
        <v>586</v>
      </c>
      <c r="R1957">
        <v>50000</v>
      </c>
      <c r="S1957" t="s">
        <v>712</v>
      </c>
      <c r="T1957">
        <v>59</v>
      </c>
    </row>
    <row r="1958" spans="1:20" x14ac:dyDescent="0.25">
      <c r="A1958" t="s">
        <v>3237</v>
      </c>
      <c r="B1958" t="s">
        <v>507</v>
      </c>
      <c r="C1958" t="s">
        <v>586</v>
      </c>
      <c r="D1958" t="s">
        <v>608</v>
      </c>
      <c r="E1958" t="s">
        <v>3232</v>
      </c>
      <c r="F1958">
        <v>4.5464702518285147</v>
      </c>
      <c r="G1958">
        <v>23.503665561938035</v>
      </c>
      <c r="H1958" t="s">
        <v>761</v>
      </c>
      <c r="I1958" t="s">
        <v>885</v>
      </c>
      <c r="J1958">
        <v>4</v>
      </c>
      <c r="K1958" t="s">
        <v>717</v>
      </c>
      <c r="L1958">
        <v>170000</v>
      </c>
      <c r="M1958">
        <v>2.15</v>
      </c>
      <c r="N1958">
        <v>23.503665561938035</v>
      </c>
      <c r="O1958" t="s">
        <v>592</v>
      </c>
      <c r="P1958" t="s">
        <v>613</v>
      </c>
      <c r="Q1958" t="s">
        <v>586</v>
      </c>
      <c r="R1958" t="s">
        <v>712</v>
      </c>
      <c r="S1958" t="s">
        <v>712</v>
      </c>
      <c r="T1958">
        <v>51</v>
      </c>
    </row>
    <row r="1959" spans="1:20" x14ac:dyDescent="0.25">
      <c r="A1959" t="s">
        <v>3238</v>
      </c>
      <c r="B1959" t="s">
        <v>508</v>
      </c>
      <c r="C1959" t="s">
        <v>607</v>
      </c>
      <c r="D1959" t="s">
        <v>608</v>
      </c>
      <c r="E1959" t="s">
        <v>977</v>
      </c>
      <c r="F1959">
        <v>8.0472328047381872E-2</v>
      </c>
      <c r="G1959">
        <v>47.503964637772356</v>
      </c>
      <c r="H1959" t="s">
        <v>1041</v>
      </c>
      <c r="I1959" t="s">
        <v>661</v>
      </c>
      <c r="J1959">
        <v>3</v>
      </c>
      <c r="K1959" t="s">
        <v>950</v>
      </c>
      <c r="L1959">
        <v>160000</v>
      </c>
      <c r="M1959">
        <v>2.25</v>
      </c>
      <c r="N1959">
        <v>47.503964637772356</v>
      </c>
      <c r="O1959" t="s">
        <v>592</v>
      </c>
      <c r="P1959" t="s">
        <v>621</v>
      </c>
      <c r="Q1959" t="s">
        <v>586</v>
      </c>
      <c r="R1959" t="s">
        <v>712</v>
      </c>
      <c r="S1959" t="s">
        <v>614</v>
      </c>
      <c r="T1959">
        <v>98</v>
      </c>
    </row>
    <row r="1960" spans="1:20" x14ac:dyDescent="0.25">
      <c r="A1960" t="s">
        <v>3239</v>
      </c>
      <c r="B1960" t="s">
        <v>508</v>
      </c>
      <c r="C1960" t="s">
        <v>607</v>
      </c>
      <c r="D1960" t="s">
        <v>608</v>
      </c>
      <c r="E1960" t="s">
        <v>977</v>
      </c>
      <c r="F1960">
        <v>1.0487988431362609</v>
      </c>
      <c r="G1960">
        <v>54.811529796558148</v>
      </c>
      <c r="H1960" t="s">
        <v>1041</v>
      </c>
      <c r="I1960" t="s">
        <v>661</v>
      </c>
      <c r="J1960">
        <v>3</v>
      </c>
      <c r="K1960" t="s">
        <v>612</v>
      </c>
      <c r="L1960">
        <v>165000</v>
      </c>
      <c r="M1960">
        <v>2.4500000000000002</v>
      </c>
      <c r="N1960">
        <v>54.811529796558148</v>
      </c>
      <c r="O1960" t="s">
        <v>592</v>
      </c>
      <c r="P1960" t="s">
        <v>621</v>
      </c>
      <c r="Q1960" t="s">
        <v>586</v>
      </c>
      <c r="R1960" t="s">
        <v>712</v>
      </c>
      <c r="S1960" t="s">
        <v>614</v>
      </c>
      <c r="T1960">
        <v>83</v>
      </c>
    </row>
    <row r="1961" spans="1:20" x14ac:dyDescent="0.25">
      <c r="A1961" t="s">
        <v>3240</v>
      </c>
      <c r="B1961" t="s">
        <v>508</v>
      </c>
      <c r="C1961" t="s">
        <v>607</v>
      </c>
      <c r="D1961" t="s">
        <v>608</v>
      </c>
      <c r="E1961" t="s">
        <v>977</v>
      </c>
      <c r="F1961">
        <v>1.9873631323822336</v>
      </c>
      <c r="G1961">
        <v>57.202040387753648</v>
      </c>
      <c r="H1961" t="s">
        <v>1041</v>
      </c>
      <c r="I1961" t="s">
        <v>661</v>
      </c>
      <c r="J1961">
        <v>3</v>
      </c>
      <c r="K1961" t="s">
        <v>956</v>
      </c>
      <c r="L1961">
        <v>175000</v>
      </c>
      <c r="M1961">
        <v>2.6</v>
      </c>
      <c r="N1961">
        <v>57.202040387753648</v>
      </c>
      <c r="O1961" t="s">
        <v>592</v>
      </c>
      <c r="P1961" t="s">
        <v>621</v>
      </c>
      <c r="Q1961" t="s">
        <v>586</v>
      </c>
      <c r="R1961" t="s">
        <v>712</v>
      </c>
      <c r="S1961" t="s">
        <v>614</v>
      </c>
      <c r="T1961">
        <v>74</v>
      </c>
    </row>
    <row r="1962" spans="1:20" x14ac:dyDescent="0.25">
      <c r="A1962" t="s">
        <v>3241</v>
      </c>
      <c r="B1962" t="s">
        <v>509</v>
      </c>
      <c r="C1962" t="s">
        <v>607</v>
      </c>
      <c r="D1962" t="s">
        <v>608</v>
      </c>
      <c r="E1962" t="s">
        <v>1321</v>
      </c>
      <c r="F1962">
        <v>8.0456896942509751E-2</v>
      </c>
      <c r="G1962">
        <v>53.876822526782185</v>
      </c>
      <c r="H1962" t="s">
        <v>1143</v>
      </c>
      <c r="I1962" t="s">
        <v>820</v>
      </c>
      <c r="J1962">
        <v>4</v>
      </c>
      <c r="K1962" t="s">
        <v>950</v>
      </c>
      <c r="L1962">
        <v>175000</v>
      </c>
      <c r="M1962">
        <v>1.7000000000000002</v>
      </c>
      <c r="N1962">
        <v>53.876822526782185</v>
      </c>
      <c r="O1962" t="s">
        <v>592</v>
      </c>
      <c r="P1962" t="s">
        <v>613</v>
      </c>
      <c r="Q1962" t="s">
        <v>586</v>
      </c>
      <c r="R1962" t="s">
        <v>712</v>
      </c>
      <c r="S1962" t="s">
        <v>594</v>
      </c>
      <c r="T1962">
        <v>97</v>
      </c>
    </row>
    <row r="1963" spans="1:20" x14ac:dyDescent="0.25">
      <c r="A1963" t="s">
        <v>3242</v>
      </c>
      <c r="B1963" t="s">
        <v>509</v>
      </c>
      <c r="C1963" t="s">
        <v>607</v>
      </c>
      <c r="D1963" t="s">
        <v>608</v>
      </c>
      <c r="E1963" t="s">
        <v>1321</v>
      </c>
      <c r="F1963">
        <v>1.047548140221116</v>
      </c>
      <c r="G1963">
        <v>54.111325212722591</v>
      </c>
      <c r="H1963" t="s">
        <v>1143</v>
      </c>
      <c r="I1963" t="s">
        <v>820</v>
      </c>
      <c r="J1963">
        <v>3</v>
      </c>
      <c r="K1963" t="s">
        <v>612</v>
      </c>
      <c r="L1963">
        <v>175000</v>
      </c>
      <c r="M1963">
        <v>1.85</v>
      </c>
      <c r="N1963">
        <v>54.111325212722591</v>
      </c>
      <c r="O1963" t="s">
        <v>592</v>
      </c>
      <c r="P1963" t="s">
        <v>613</v>
      </c>
      <c r="Q1963" t="s">
        <v>586</v>
      </c>
      <c r="R1963" t="s">
        <v>712</v>
      </c>
      <c r="S1963" t="s">
        <v>594</v>
      </c>
      <c r="T1963">
        <v>84</v>
      </c>
    </row>
    <row r="1964" spans="1:20" x14ac:dyDescent="0.25">
      <c r="A1964" t="s">
        <v>3243</v>
      </c>
      <c r="B1964" t="s">
        <v>509</v>
      </c>
      <c r="C1964" t="s">
        <v>607</v>
      </c>
      <c r="D1964" t="s">
        <v>608</v>
      </c>
      <c r="E1964" t="s">
        <v>1321</v>
      </c>
      <c r="F1964">
        <v>1.9850919641250502</v>
      </c>
      <c r="G1964">
        <v>54.014237264582391</v>
      </c>
      <c r="H1964" t="s">
        <v>1143</v>
      </c>
      <c r="I1964" t="s">
        <v>820</v>
      </c>
      <c r="J1964">
        <v>3</v>
      </c>
      <c r="K1964" t="s">
        <v>956</v>
      </c>
      <c r="L1964">
        <v>175000</v>
      </c>
      <c r="M1964">
        <v>2</v>
      </c>
      <c r="N1964">
        <v>54.014237264582391</v>
      </c>
      <c r="O1964" t="s">
        <v>592</v>
      </c>
      <c r="P1964" t="s">
        <v>613</v>
      </c>
      <c r="Q1964" t="s">
        <v>586</v>
      </c>
      <c r="R1964" t="s">
        <v>712</v>
      </c>
      <c r="S1964" t="s">
        <v>594</v>
      </c>
      <c r="T1964">
        <v>70</v>
      </c>
    </row>
    <row r="1965" spans="1:20" x14ac:dyDescent="0.25">
      <c r="A1965" t="s">
        <v>3244</v>
      </c>
      <c r="B1965" t="s">
        <v>510</v>
      </c>
      <c r="C1965" t="s">
        <v>586</v>
      </c>
      <c r="D1965" t="s">
        <v>707</v>
      </c>
      <c r="E1965" t="s">
        <v>3245</v>
      </c>
      <c r="F1965">
        <v>0.32943584646362545</v>
      </c>
      <c r="G1965">
        <v>-12.667882778638573</v>
      </c>
      <c r="H1965" t="s">
        <v>3246</v>
      </c>
      <c r="I1965" t="s">
        <v>721</v>
      </c>
      <c r="J1965">
        <v>3</v>
      </c>
      <c r="K1965" t="s">
        <v>710</v>
      </c>
      <c r="L1965">
        <v>885000</v>
      </c>
      <c r="M1965">
        <v>1.8800000000000001</v>
      </c>
      <c r="N1965">
        <v>-12.667882778638573</v>
      </c>
      <c r="O1965" t="s">
        <v>592</v>
      </c>
      <c r="P1965" t="s">
        <v>711</v>
      </c>
      <c r="Q1965" t="s">
        <v>586</v>
      </c>
      <c r="R1965" t="s">
        <v>712</v>
      </c>
      <c r="S1965" t="s">
        <v>599</v>
      </c>
      <c r="T1965">
        <v>99</v>
      </c>
    </row>
    <row r="1966" spans="1:20" x14ac:dyDescent="0.25">
      <c r="A1966" t="s">
        <v>3247</v>
      </c>
      <c r="B1966" t="s">
        <v>510</v>
      </c>
      <c r="C1966" t="s">
        <v>586</v>
      </c>
      <c r="D1966" t="s">
        <v>707</v>
      </c>
      <c r="E1966" t="s">
        <v>3245</v>
      </c>
      <c r="F1966">
        <v>1.2980995106227087</v>
      </c>
      <c r="G1966">
        <v>-10.141815816983701</v>
      </c>
      <c r="H1966" t="s">
        <v>3246</v>
      </c>
      <c r="I1966" t="s">
        <v>721</v>
      </c>
      <c r="J1966">
        <v>3</v>
      </c>
      <c r="K1966" t="s">
        <v>758</v>
      </c>
      <c r="L1966">
        <v>895000</v>
      </c>
      <c r="M1966">
        <v>2.04</v>
      </c>
      <c r="N1966">
        <v>-10.141815816983701</v>
      </c>
      <c r="O1966" t="s">
        <v>592</v>
      </c>
      <c r="P1966" t="s">
        <v>711</v>
      </c>
      <c r="Q1966" t="s">
        <v>586</v>
      </c>
      <c r="R1966" t="s">
        <v>712</v>
      </c>
      <c r="S1966" t="s">
        <v>599</v>
      </c>
      <c r="T1966">
        <v>87</v>
      </c>
    </row>
    <row r="1967" spans="1:20" x14ac:dyDescent="0.25">
      <c r="A1967" t="s">
        <v>3248</v>
      </c>
      <c r="B1967" t="s">
        <v>510</v>
      </c>
      <c r="C1967" t="s">
        <v>586</v>
      </c>
      <c r="D1967" t="s">
        <v>707</v>
      </c>
      <c r="E1967" t="s">
        <v>3245</v>
      </c>
      <c r="F1967">
        <v>2.2385801189076924</v>
      </c>
      <c r="G1967">
        <v>-13.724716960493666</v>
      </c>
      <c r="H1967" t="s">
        <v>3246</v>
      </c>
      <c r="I1967" t="s">
        <v>721</v>
      </c>
      <c r="J1967">
        <v>3</v>
      </c>
      <c r="K1967" t="s">
        <v>972</v>
      </c>
      <c r="L1967">
        <v>910000</v>
      </c>
      <c r="M1967">
        <v>2.14</v>
      </c>
      <c r="N1967">
        <v>-13.724716960493666</v>
      </c>
      <c r="O1967" t="s">
        <v>592</v>
      </c>
      <c r="P1967" t="s">
        <v>711</v>
      </c>
      <c r="Q1967" t="s">
        <v>586</v>
      </c>
      <c r="R1967" t="s">
        <v>712</v>
      </c>
      <c r="S1967" t="s">
        <v>599</v>
      </c>
      <c r="T1967">
        <v>79</v>
      </c>
    </row>
    <row r="1968" spans="1:20" x14ac:dyDescent="0.25">
      <c r="A1968" t="s">
        <v>3249</v>
      </c>
      <c r="B1968" t="s">
        <v>510</v>
      </c>
      <c r="C1968" t="s">
        <v>586</v>
      </c>
      <c r="D1968" t="s">
        <v>707</v>
      </c>
      <c r="E1968" t="s">
        <v>3245</v>
      </c>
      <c r="F1968">
        <v>3.1526502988945664</v>
      </c>
      <c r="G1968">
        <v>-15.030552450852364</v>
      </c>
      <c r="H1968" t="s">
        <v>3246</v>
      </c>
      <c r="I1968" t="s">
        <v>721</v>
      </c>
      <c r="J1968">
        <v>3</v>
      </c>
      <c r="K1968" t="s">
        <v>938</v>
      </c>
      <c r="L1968">
        <v>920000</v>
      </c>
      <c r="M1968">
        <v>2.25</v>
      </c>
      <c r="N1968">
        <v>-15.030552450852364</v>
      </c>
      <c r="O1968" t="s">
        <v>592</v>
      </c>
      <c r="P1968" t="s">
        <v>711</v>
      </c>
      <c r="Q1968" t="s">
        <v>586</v>
      </c>
      <c r="R1968" t="s">
        <v>712</v>
      </c>
      <c r="S1968" t="s">
        <v>599</v>
      </c>
      <c r="T1968">
        <v>70</v>
      </c>
    </row>
    <row r="1969" spans="1:20" x14ac:dyDescent="0.25">
      <c r="A1969" t="s">
        <v>3250</v>
      </c>
      <c r="B1969" t="s">
        <v>511</v>
      </c>
      <c r="C1969" t="s">
        <v>607</v>
      </c>
      <c r="D1969" t="s">
        <v>608</v>
      </c>
      <c r="E1969" t="s">
        <v>943</v>
      </c>
      <c r="F1969">
        <v>3.6091842052672768E-2</v>
      </c>
      <c r="G1969">
        <v>47.983805796775258</v>
      </c>
      <c r="H1969" t="s">
        <v>3251</v>
      </c>
      <c r="I1969" t="s">
        <v>885</v>
      </c>
      <c r="J1969">
        <v>4.75</v>
      </c>
      <c r="K1969" t="s">
        <v>1008</v>
      </c>
      <c r="L1969">
        <v>115000</v>
      </c>
      <c r="M1969">
        <v>2.25</v>
      </c>
      <c r="N1969">
        <v>47.983805796775258</v>
      </c>
      <c r="O1969" t="s">
        <v>592</v>
      </c>
      <c r="P1969" t="s">
        <v>613</v>
      </c>
      <c r="Q1969" t="s">
        <v>586</v>
      </c>
      <c r="R1969" t="s">
        <v>712</v>
      </c>
      <c r="S1969" t="s">
        <v>712</v>
      </c>
      <c r="T1969">
        <v>89</v>
      </c>
    </row>
    <row r="1970" spans="1:20" x14ac:dyDescent="0.25">
      <c r="A1970" t="s">
        <v>3252</v>
      </c>
      <c r="B1970" t="s">
        <v>511</v>
      </c>
      <c r="C1970" t="s">
        <v>607</v>
      </c>
      <c r="D1970" t="s">
        <v>608</v>
      </c>
      <c r="E1970" t="s">
        <v>943</v>
      </c>
      <c r="F1970">
        <v>1.0090628937321597</v>
      </c>
      <c r="G1970">
        <v>49.304779043484629</v>
      </c>
      <c r="H1970" t="s">
        <v>3251</v>
      </c>
      <c r="I1970" t="s">
        <v>885</v>
      </c>
      <c r="J1970">
        <v>2.25</v>
      </c>
      <c r="K1970" t="s">
        <v>920</v>
      </c>
      <c r="L1970">
        <v>120000</v>
      </c>
      <c r="M1970">
        <v>2.4000000000000004</v>
      </c>
      <c r="N1970">
        <v>49.304779043484629</v>
      </c>
      <c r="O1970" t="s">
        <v>592</v>
      </c>
      <c r="P1970" t="s">
        <v>613</v>
      </c>
      <c r="Q1970" t="s">
        <v>586</v>
      </c>
      <c r="R1970" t="s">
        <v>712</v>
      </c>
      <c r="S1970" t="s">
        <v>712</v>
      </c>
      <c r="T1970">
        <v>81</v>
      </c>
    </row>
    <row r="1971" spans="1:20" x14ac:dyDescent="0.25">
      <c r="A1971" t="s">
        <v>3253</v>
      </c>
      <c r="B1971" t="s">
        <v>511</v>
      </c>
      <c r="C1971" t="s">
        <v>607</v>
      </c>
      <c r="D1971" t="s">
        <v>608</v>
      </c>
      <c r="E1971" t="s">
        <v>943</v>
      </c>
      <c r="F1971">
        <v>1.958274638174762</v>
      </c>
      <c r="G1971">
        <v>50.816435349136228</v>
      </c>
      <c r="H1971" t="s">
        <v>3251</v>
      </c>
      <c r="I1971" t="s">
        <v>885</v>
      </c>
      <c r="J1971">
        <v>2.25</v>
      </c>
      <c r="K1971" t="s">
        <v>898</v>
      </c>
      <c r="L1971">
        <v>125000</v>
      </c>
      <c r="M1971">
        <v>2.5500000000000003</v>
      </c>
      <c r="N1971">
        <v>50.816435349136228</v>
      </c>
      <c r="O1971" t="s">
        <v>592</v>
      </c>
      <c r="P1971" t="s">
        <v>613</v>
      </c>
      <c r="Q1971" t="s">
        <v>586</v>
      </c>
      <c r="R1971" t="s">
        <v>712</v>
      </c>
      <c r="S1971" t="s">
        <v>712</v>
      </c>
      <c r="T1971">
        <v>66</v>
      </c>
    </row>
    <row r="1972" spans="1:20" x14ac:dyDescent="0.25">
      <c r="A1972" t="s">
        <v>3254</v>
      </c>
      <c r="B1972" t="s">
        <v>512</v>
      </c>
      <c r="C1972" t="s">
        <v>586</v>
      </c>
      <c r="D1972" t="s">
        <v>608</v>
      </c>
      <c r="E1972" t="s">
        <v>943</v>
      </c>
      <c r="F1972">
        <v>8.0459449772143213E-2</v>
      </c>
      <c r="G1972">
        <v>92.586570636548046</v>
      </c>
      <c r="H1972" t="s">
        <v>1092</v>
      </c>
      <c r="I1972" t="s">
        <v>611</v>
      </c>
      <c r="J1972">
        <v>2.35</v>
      </c>
      <c r="K1972" t="s">
        <v>950</v>
      </c>
      <c r="L1972">
        <v>50000</v>
      </c>
      <c r="M1972">
        <v>2.35</v>
      </c>
      <c r="N1972">
        <v>92.586570636548046</v>
      </c>
      <c r="O1972" t="s">
        <v>592</v>
      </c>
      <c r="P1972" t="s">
        <v>613</v>
      </c>
      <c r="Q1972" t="s">
        <v>586</v>
      </c>
      <c r="R1972" t="s">
        <v>712</v>
      </c>
      <c r="S1972" t="s">
        <v>712</v>
      </c>
      <c r="T1972">
        <v>99</v>
      </c>
    </row>
    <row r="1973" spans="1:20" x14ac:dyDescent="0.25">
      <c r="A1973" t="s">
        <v>3255</v>
      </c>
      <c r="B1973" t="s">
        <v>512</v>
      </c>
      <c r="C1973" t="s">
        <v>586</v>
      </c>
      <c r="D1973" t="s">
        <v>608</v>
      </c>
      <c r="E1973" t="s">
        <v>943</v>
      </c>
      <c r="F1973">
        <v>1.0508787172519252</v>
      </c>
      <c r="G1973">
        <v>96.329103241687775</v>
      </c>
      <c r="H1973" t="s">
        <v>1092</v>
      </c>
      <c r="I1973" t="s">
        <v>611</v>
      </c>
      <c r="J1973">
        <v>2.5499999999999998</v>
      </c>
      <c r="K1973" t="s">
        <v>612</v>
      </c>
      <c r="L1973">
        <v>50000</v>
      </c>
      <c r="M1973">
        <v>2.5500000000000003</v>
      </c>
      <c r="N1973">
        <v>96.329103241687775</v>
      </c>
      <c r="O1973" t="s">
        <v>592</v>
      </c>
      <c r="P1973" t="s">
        <v>613</v>
      </c>
      <c r="Q1973" t="s">
        <v>586</v>
      </c>
      <c r="R1973" t="s">
        <v>712</v>
      </c>
      <c r="S1973" t="s">
        <v>712</v>
      </c>
      <c r="T1973">
        <v>79</v>
      </c>
    </row>
    <row r="1974" spans="1:20" x14ac:dyDescent="0.25">
      <c r="A1974" t="s">
        <v>3256</v>
      </c>
      <c r="B1974" t="s">
        <v>512</v>
      </c>
      <c r="C1974" t="s">
        <v>586</v>
      </c>
      <c r="D1974" t="s">
        <v>608</v>
      </c>
      <c r="E1974" t="s">
        <v>943</v>
      </c>
      <c r="F1974">
        <v>1.9908291385902479</v>
      </c>
      <c r="G1974">
        <v>99.949941538257875</v>
      </c>
      <c r="H1974" t="s">
        <v>1092</v>
      </c>
      <c r="I1974" t="s">
        <v>611</v>
      </c>
      <c r="J1974">
        <v>2.75</v>
      </c>
      <c r="K1974" t="s">
        <v>956</v>
      </c>
      <c r="L1974">
        <v>50000</v>
      </c>
      <c r="M1974">
        <v>2.75</v>
      </c>
      <c r="N1974">
        <v>99.949941538257875</v>
      </c>
      <c r="O1974" t="s">
        <v>592</v>
      </c>
      <c r="P1974" t="s">
        <v>613</v>
      </c>
      <c r="Q1974" t="s">
        <v>586</v>
      </c>
      <c r="R1974" t="s">
        <v>712</v>
      </c>
      <c r="S1974" t="s">
        <v>712</v>
      </c>
      <c r="T1974">
        <v>65</v>
      </c>
    </row>
    <row r="1975" spans="1:20" x14ac:dyDescent="0.25">
      <c r="A1975" t="s">
        <v>3257</v>
      </c>
      <c r="B1975" t="s">
        <v>513</v>
      </c>
      <c r="C1975" t="s">
        <v>607</v>
      </c>
      <c r="D1975" t="s">
        <v>608</v>
      </c>
      <c r="E1975" t="s">
        <v>943</v>
      </c>
      <c r="F1975">
        <v>3.6094427581768188E-2</v>
      </c>
      <c r="G1975">
        <v>88.123032964794461</v>
      </c>
      <c r="H1975" t="s">
        <v>709</v>
      </c>
      <c r="I1975" t="s">
        <v>611</v>
      </c>
      <c r="J1975">
        <v>5</v>
      </c>
      <c r="K1975" t="s">
        <v>1008</v>
      </c>
      <c r="L1975">
        <v>185000</v>
      </c>
      <c r="M1975">
        <v>2</v>
      </c>
      <c r="N1975">
        <v>88.123032964794461</v>
      </c>
      <c r="O1975" t="s">
        <v>592</v>
      </c>
      <c r="P1975" t="s">
        <v>621</v>
      </c>
      <c r="Q1975" t="s">
        <v>586</v>
      </c>
      <c r="R1975" t="s">
        <v>712</v>
      </c>
      <c r="S1975" t="s">
        <v>594</v>
      </c>
      <c r="T1975">
        <v>97</v>
      </c>
    </row>
    <row r="1976" spans="1:20" x14ac:dyDescent="0.25">
      <c r="A1976" t="s">
        <v>3258</v>
      </c>
      <c r="B1976" t="s">
        <v>513</v>
      </c>
      <c r="C1976" t="s">
        <v>607</v>
      </c>
      <c r="D1976" t="s">
        <v>608</v>
      </c>
      <c r="E1976" t="s">
        <v>943</v>
      </c>
      <c r="F1976">
        <v>0.99140746417872849</v>
      </c>
      <c r="G1976">
        <v>88.400082894588721</v>
      </c>
      <c r="H1976" t="s">
        <v>709</v>
      </c>
      <c r="I1976" t="s">
        <v>611</v>
      </c>
      <c r="J1976">
        <v>5</v>
      </c>
      <c r="K1976" t="s">
        <v>920</v>
      </c>
      <c r="L1976">
        <v>195000</v>
      </c>
      <c r="M1976">
        <v>2.15</v>
      </c>
      <c r="N1976">
        <v>88.400082894588721</v>
      </c>
      <c r="O1976" t="s">
        <v>592</v>
      </c>
      <c r="P1976" t="s">
        <v>621</v>
      </c>
      <c r="Q1976" t="s">
        <v>586</v>
      </c>
      <c r="R1976" t="s">
        <v>712</v>
      </c>
      <c r="S1976" t="s">
        <v>594</v>
      </c>
      <c r="T1976">
        <v>90</v>
      </c>
    </row>
    <row r="1977" spans="1:20" x14ac:dyDescent="0.25">
      <c r="A1977" t="s">
        <v>3259</v>
      </c>
      <c r="B1977" t="s">
        <v>513</v>
      </c>
      <c r="C1977" t="s">
        <v>607</v>
      </c>
      <c r="D1977" t="s">
        <v>608</v>
      </c>
      <c r="E1977" t="s">
        <v>943</v>
      </c>
      <c r="F1977">
        <v>1.9013882851899828</v>
      </c>
      <c r="G1977">
        <v>88.3438269105133</v>
      </c>
      <c r="H1977" t="s">
        <v>709</v>
      </c>
      <c r="I1977" t="s">
        <v>611</v>
      </c>
      <c r="J1977">
        <v>5</v>
      </c>
      <c r="K1977" t="s">
        <v>898</v>
      </c>
      <c r="L1977">
        <v>205000</v>
      </c>
      <c r="M1977">
        <v>2.3000000000000003</v>
      </c>
      <c r="N1977">
        <v>88.3438269105133</v>
      </c>
      <c r="O1977" t="s">
        <v>592</v>
      </c>
      <c r="P1977" t="s">
        <v>621</v>
      </c>
      <c r="Q1977" t="s">
        <v>586</v>
      </c>
      <c r="R1977">
        <v>60000</v>
      </c>
      <c r="S1977" t="s">
        <v>594</v>
      </c>
      <c r="T1977">
        <v>83</v>
      </c>
    </row>
    <row r="1978" spans="1:20" x14ac:dyDescent="0.25">
      <c r="A1978" t="s">
        <v>3260</v>
      </c>
      <c r="B1978" t="s">
        <v>514</v>
      </c>
      <c r="C1978" t="s">
        <v>586</v>
      </c>
      <c r="D1978" t="s">
        <v>608</v>
      </c>
      <c r="E1978" t="s">
        <v>609</v>
      </c>
      <c r="F1978">
        <v>3.6091104725966022E-2</v>
      </c>
      <c r="G1978">
        <v>106.52487827015757</v>
      </c>
      <c r="H1978" t="s">
        <v>2886</v>
      </c>
      <c r="I1978" t="s">
        <v>611</v>
      </c>
      <c r="J1978">
        <v>3</v>
      </c>
      <c r="K1978" t="s">
        <v>1008</v>
      </c>
      <c r="L1978">
        <v>60000</v>
      </c>
      <c r="M1978">
        <v>2.2000000000000002</v>
      </c>
      <c r="N1978">
        <v>106.52487827015757</v>
      </c>
      <c r="O1978" t="s">
        <v>592</v>
      </c>
      <c r="P1978" t="s">
        <v>613</v>
      </c>
      <c r="Q1978" t="s">
        <v>586</v>
      </c>
      <c r="R1978" t="s">
        <v>712</v>
      </c>
      <c r="S1978" t="s">
        <v>712</v>
      </c>
      <c r="T1978">
        <v>99</v>
      </c>
    </row>
    <row r="1979" spans="1:20" x14ac:dyDescent="0.25">
      <c r="A1979" t="s">
        <v>3261</v>
      </c>
      <c r="B1979" t="s">
        <v>514</v>
      </c>
      <c r="C1979" t="s">
        <v>586</v>
      </c>
      <c r="D1979" t="s">
        <v>608</v>
      </c>
      <c r="E1979" t="s">
        <v>609</v>
      </c>
      <c r="F1979">
        <v>1.0035358550135671</v>
      </c>
      <c r="G1979">
        <v>111.77102936090138</v>
      </c>
      <c r="H1979" t="s">
        <v>2886</v>
      </c>
      <c r="I1979" t="s">
        <v>611</v>
      </c>
      <c r="J1979">
        <v>3</v>
      </c>
      <c r="K1979" t="s">
        <v>920</v>
      </c>
      <c r="L1979">
        <v>60000</v>
      </c>
      <c r="M1979">
        <v>2.4000000000000004</v>
      </c>
      <c r="N1979">
        <v>111.77102936090138</v>
      </c>
      <c r="O1979" t="s">
        <v>592</v>
      </c>
      <c r="P1979" t="s">
        <v>613</v>
      </c>
      <c r="Q1979" t="s">
        <v>586</v>
      </c>
      <c r="R1979" t="s">
        <v>712</v>
      </c>
      <c r="S1979" t="s">
        <v>712</v>
      </c>
      <c r="T1979">
        <v>85</v>
      </c>
    </row>
    <row r="1980" spans="1:20" x14ac:dyDescent="0.25">
      <c r="A1980" t="s">
        <v>3262</v>
      </c>
      <c r="B1980" t="s">
        <v>514</v>
      </c>
      <c r="C1980" t="s">
        <v>586</v>
      </c>
      <c r="D1980" t="s">
        <v>608</v>
      </c>
      <c r="E1980" t="s">
        <v>609</v>
      </c>
      <c r="F1980">
        <v>1.9408977518962571</v>
      </c>
      <c r="G1980">
        <v>116.68935172465149</v>
      </c>
      <c r="H1980" t="s">
        <v>2886</v>
      </c>
      <c r="I1980" t="s">
        <v>611</v>
      </c>
      <c r="J1980">
        <v>3</v>
      </c>
      <c r="K1980" t="s">
        <v>898</v>
      </c>
      <c r="L1980">
        <v>65000</v>
      </c>
      <c r="M1980">
        <v>2.6</v>
      </c>
      <c r="N1980">
        <v>116.68935172465149</v>
      </c>
      <c r="O1980" t="s">
        <v>592</v>
      </c>
      <c r="P1980" t="s">
        <v>613</v>
      </c>
      <c r="Q1980" t="s">
        <v>586</v>
      </c>
      <c r="R1980" t="s">
        <v>712</v>
      </c>
      <c r="S1980" t="s">
        <v>712</v>
      </c>
      <c r="T1980">
        <v>71</v>
      </c>
    </row>
    <row r="1981" spans="1:20" x14ac:dyDescent="0.25">
      <c r="A1981" t="s">
        <v>3263</v>
      </c>
      <c r="B1981" t="s">
        <v>515</v>
      </c>
      <c r="C1981" t="s">
        <v>586</v>
      </c>
      <c r="D1981" t="s">
        <v>642</v>
      </c>
      <c r="E1981" t="s">
        <v>2758</v>
      </c>
      <c r="F1981">
        <v>0.8178566529121174</v>
      </c>
      <c r="G1981">
        <v>43.159793799741777</v>
      </c>
      <c r="H1981" t="s">
        <v>720</v>
      </c>
      <c r="I1981" t="s">
        <v>721</v>
      </c>
      <c r="J1981">
        <v>3</v>
      </c>
      <c r="K1981" t="s">
        <v>984</v>
      </c>
      <c r="L1981">
        <v>100000</v>
      </c>
      <c r="M1981">
        <v>2</v>
      </c>
      <c r="N1981">
        <v>43.159793799741777</v>
      </c>
      <c r="O1981" t="s">
        <v>592</v>
      </c>
      <c r="P1981" t="s">
        <v>613</v>
      </c>
      <c r="Q1981" t="s">
        <v>586</v>
      </c>
      <c r="R1981" t="s">
        <v>712</v>
      </c>
      <c r="S1981" t="s">
        <v>712</v>
      </c>
      <c r="T1981">
        <v>72</v>
      </c>
    </row>
    <row r="1982" spans="1:20" x14ac:dyDescent="0.25">
      <c r="A1982" t="s">
        <v>3264</v>
      </c>
      <c r="B1982" t="s">
        <v>515</v>
      </c>
      <c r="C1982" t="s">
        <v>586</v>
      </c>
      <c r="D1982" t="s">
        <v>642</v>
      </c>
      <c r="E1982" t="s">
        <v>2758</v>
      </c>
      <c r="F1982">
        <v>1.7724200897699103</v>
      </c>
      <c r="G1982">
        <v>41.934827172423248</v>
      </c>
      <c r="H1982" t="s">
        <v>720</v>
      </c>
      <c r="I1982" t="s">
        <v>721</v>
      </c>
      <c r="J1982">
        <v>3</v>
      </c>
      <c r="K1982" t="s">
        <v>1114</v>
      </c>
      <c r="L1982">
        <v>100000</v>
      </c>
      <c r="M1982">
        <v>2.15</v>
      </c>
      <c r="N1982">
        <v>41.934827172423248</v>
      </c>
      <c r="O1982" t="s">
        <v>592</v>
      </c>
      <c r="P1982" t="s">
        <v>613</v>
      </c>
      <c r="Q1982" t="s">
        <v>586</v>
      </c>
      <c r="R1982" t="s">
        <v>712</v>
      </c>
      <c r="S1982" t="s">
        <v>712</v>
      </c>
      <c r="T1982">
        <v>52</v>
      </c>
    </row>
    <row r="1983" spans="1:20" x14ac:dyDescent="0.25">
      <c r="A1983" t="s">
        <v>3265</v>
      </c>
      <c r="B1983" t="s">
        <v>515</v>
      </c>
      <c r="C1983" t="s">
        <v>586</v>
      </c>
      <c r="D1983" t="s">
        <v>642</v>
      </c>
      <c r="E1983" t="s">
        <v>2758</v>
      </c>
      <c r="F1983">
        <v>2.6990510015328781</v>
      </c>
      <c r="G1983">
        <v>40.892810469530993</v>
      </c>
      <c r="H1983" t="s">
        <v>720</v>
      </c>
      <c r="I1983" t="s">
        <v>721</v>
      </c>
      <c r="J1983">
        <v>3</v>
      </c>
      <c r="K1983" t="s">
        <v>669</v>
      </c>
      <c r="L1983">
        <v>105000</v>
      </c>
      <c r="M1983">
        <v>2.3000000000000003</v>
      </c>
      <c r="N1983">
        <v>40.892810469530993</v>
      </c>
      <c r="O1983" t="s">
        <v>592</v>
      </c>
      <c r="P1983" t="s">
        <v>613</v>
      </c>
      <c r="Q1983" t="s">
        <v>586</v>
      </c>
      <c r="R1983" t="s">
        <v>712</v>
      </c>
      <c r="S1983" t="s">
        <v>712</v>
      </c>
      <c r="T1983">
        <v>39</v>
      </c>
    </row>
    <row r="1984" spans="1:20" x14ac:dyDescent="0.25">
      <c r="A1984" t="s">
        <v>3266</v>
      </c>
      <c r="B1984" t="s">
        <v>123</v>
      </c>
      <c r="C1984" t="s">
        <v>586</v>
      </c>
      <c r="D1984" t="s">
        <v>805</v>
      </c>
      <c r="E1984" t="s">
        <v>1104</v>
      </c>
      <c r="F1984">
        <v>1.0767319684119669</v>
      </c>
      <c r="G1984">
        <v>9.4561925767680641</v>
      </c>
      <c r="H1984" t="s">
        <v>709</v>
      </c>
      <c r="I1984" t="s">
        <v>661</v>
      </c>
      <c r="J1984">
        <v>5</v>
      </c>
      <c r="K1984" t="s">
        <v>987</v>
      </c>
      <c r="L1984">
        <v>40000</v>
      </c>
      <c r="M1984">
        <v>1.4000000000000001</v>
      </c>
      <c r="N1984">
        <v>9.4561925767680641</v>
      </c>
      <c r="O1984" t="s">
        <v>592</v>
      </c>
      <c r="P1984" t="s">
        <v>711</v>
      </c>
      <c r="Q1984" t="s">
        <v>586</v>
      </c>
      <c r="R1984" t="s">
        <v>712</v>
      </c>
      <c r="S1984" t="s">
        <v>712</v>
      </c>
      <c r="T1984">
        <v>89</v>
      </c>
    </row>
    <row r="1985" spans="1:20" x14ac:dyDescent="0.25">
      <c r="A1985" t="s">
        <v>3267</v>
      </c>
      <c r="B1985" t="s">
        <v>123</v>
      </c>
      <c r="C1985" t="s">
        <v>586</v>
      </c>
      <c r="D1985" t="s">
        <v>805</v>
      </c>
      <c r="E1985" t="s">
        <v>1104</v>
      </c>
      <c r="F1985">
        <v>1.9900698777709775</v>
      </c>
      <c r="G1985">
        <v>9.7498984346494169</v>
      </c>
      <c r="H1985" t="s">
        <v>709</v>
      </c>
      <c r="I1985" t="s">
        <v>661</v>
      </c>
      <c r="J1985">
        <v>5</v>
      </c>
      <c r="K1985" t="s">
        <v>776</v>
      </c>
      <c r="L1985">
        <v>40000</v>
      </c>
      <c r="M1985">
        <v>1.55</v>
      </c>
      <c r="N1985">
        <v>9.7498984346494169</v>
      </c>
      <c r="O1985" t="s">
        <v>592</v>
      </c>
      <c r="P1985" t="s">
        <v>711</v>
      </c>
      <c r="Q1985" t="s">
        <v>586</v>
      </c>
      <c r="R1985" t="s">
        <v>712</v>
      </c>
      <c r="S1985" t="s">
        <v>712</v>
      </c>
      <c r="T1985">
        <v>81</v>
      </c>
    </row>
    <row r="1986" spans="1:20" x14ac:dyDescent="0.25">
      <c r="A1986" t="s">
        <v>3268</v>
      </c>
      <c r="B1986" t="s">
        <v>123</v>
      </c>
      <c r="C1986" t="s">
        <v>586</v>
      </c>
      <c r="D1986" t="s">
        <v>805</v>
      </c>
      <c r="E1986" t="s">
        <v>1104</v>
      </c>
      <c r="F1986">
        <v>2.8648606556122496</v>
      </c>
      <c r="G1986">
        <v>14.976123126432729</v>
      </c>
      <c r="H1986" t="s">
        <v>709</v>
      </c>
      <c r="I1986" t="s">
        <v>661</v>
      </c>
      <c r="J1986">
        <v>5</v>
      </c>
      <c r="K1986" t="s">
        <v>1066</v>
      </c>
      <c r="L1986">
        <v>45000</v>
      </c>
      <c r="M1986">
        <v>1.75</v>
      </c>
      <c r="N1986">
        <v>14.976123126432729</v>
      </c>
      <c r="O1986" t="s">
        <v>592</v>
      </c>
      <c r="P1986" t="s">
        <v>711</v>
      </c>
      <c r="Q1986" t="s">
        <v>586</v>
      </c>
      <c r="R1986" t="s">
        <v>712</v>
      </c>
      <c r="S1986" t="s">
        <v>712</v>
      </c>
      <c r="T1986">
        <v>73</v>
      </c>
    </row>
    <row r="1987" spans="1:20" x14ac:dyDescent="0.25">
      <c r="A1987" t="s">
        <v>3269</v>
      </c>
      <c r="B1987" t="s">
        <v>123</v>
      </c>
      <c r="C1987" t="s">
        <v>586</v>
      </c>
      <c r="D1987" t="s">
        <v>805</v>
      </c>
      <c r="E1987" t="s">
        <v>1104</v>
      </c>
      <c r="F1987">
        <v>3.7035475456301179</v>
      </c>
      <c r="G1987">
        <v>16.833675091051536</v>
      </c>
      <c r="H1987" t="s">
        <v>709</v>
      </c>
      <c r="I1987" t="s">
        <v>661</v>
      </c>
      <c r="J1987">
        <v>5</v>
      </c>
      <c r="K1987" t="s">
        <v>1418</v>
      </c>
      <c r="L1987">
        <v>45000</v>
      </c>
      <c r="M1987">
        <v>1.9000000000000001</v>
      </c>
      <c r="N1987">
        <v>16.833675091051536</v>
      </c>
      <c r="O1987" t="s">
        <v>592</v>
      </c>
      <c r="P1987" t="s">
        <v>711</v>
      </c>
      <c r="Q1987" t="s">
        <v>586</v>
      </c>
      <c r="R1987" t="s">
        <v>712</v>
      </c>
      <c r="S1987" t="s">
        <v>712</v>
      </c>
      <c r="T1987">
        <v>65</v>
      </c>
    </row>
    <row r="1988" spans="1:20" x14ac:dyDescent="0.25">
      <c r="A1988" t="s">
        <v>3270</v>
      </c>
      <c r="B1988" t="s">
        <v>123</v>
      </c>
      <c r="C1988" t="s">
        <v>586</v>
      </c>
      <c r="D1988" t="s">
        <v>805</v>
      </c>
      <c r="E1988" t="s">
        <v>1104</v>
      </c>
      <c r="F1988">
        <v>4.508279831512759</v>
      </c>
      <c r="G1988">
        <v>21.320384504493983</v>
      </c>
      <c r="H1988" t="s">
        <v>709</v>
      </c>
      <c r="I1988" t="s">
        <v>661</v>
      </c>
      <c r="J1988">
        <v>5</v>
      </c>
      <c r="K1988" t="s">
        <v>785</v>
      </c>
      <c r="L1988">
        <v>45000</v>
      </c>
      <c r="M1988">
        <v>2.0499999999999998</v>
      </c>
      <c r="N1988">
        <v>21.320384504493983</v>
      </c>
      <c r="O1988" t="s">
        <v>592</v>
      </c>
      <c r="P1988" t="s">
        <v>711</v>
      </c>
      <c r="Q1988" t="s">
        <v>586</v>
      </c>
      <c r="R1988" t="s">
        <v>712</v>
      </c>
      <c r="S1988" t="s">
        <v>712</v>
      </c>
      <c r="T1988">
        <v>60</v>
      </c>
    </row>
    <row r="1989" spans="1:20" x14ac:dyDescent="0.25">
      <c r="A1989" t="s">
        <v>3271</v>
      </c>
      <c r="B1989" t="s">
        <v>516</v>
      </c>
      <c r="C1989" t="s">
        <v>586</v>
      </c>
      <c r="D1989" t="s">
        <v>587</v>
      </c>
      <c r="E1989" t="s">
        <v>3272</v>
      </c>
      <c r="F1989">
        <v>8.0449787621983862E-2</v>
      </c>
      <c r="G1989">
        <v>115.71655352229619</v>
      </c>
      <c r="H1989" t="s">
        <v>3273</v>
      </c>
      <c r="I1989" t="s">
        <v>721</v>
      </c>
      <c r="J1989">
        <v>2</v>
      </c>
      <c r="K1989" t="s">
        <v>950</v>
      </c>
      <c r="L1989">
        <v>130000</v>
      </c>
      <c r="M1989">
        <v>2.3000000000000003</v>
      </c>
      <c r="N1989">
        <v>115.71655352229619</v>
      </c>
      <c r="O1989" t="s">
        <v>592</v>
      </c>
      <c r="P1989" t="s">
        <v>593</v>
      </c>
      <c r="Q1989" t="s">
        <v>586</v>
      </c>
      <c r="R1989" t="s">
        <v>712</v>
      </c>
      <c r="S1989" t="s">
        <v>712</v>
      </c>
      <c r="T1989">
        <v>99</v>
      </c>
    </row>
    <row r="1990" spans="1:20" x14ac:dyDescent="0.25">
      <c r="A1990" t="s">
        <v>3274</v>
      </c>
      <c r="B1990" t="s">
        <v>516</v>
      </c>
      <c r="C1990" t="s">
        <v>586</v>
      </c>
      <c r="D1990" t="s">
        <v>587</v>
      </c>
      <c r="E1990" t="s">
        <v>3272</v>
      </c>
      <c r="F1990">
        <v>1.0522018689115749</v>
      </c>
      <c r="G1990">
        <v>114.7014344137023</v>
      </c>
      <c r="H1990" t="s">
        <v>3273</v>
      </c>
      <c r="I1990" t="s">
        <v>721</v>
      </c>
      <c r="J1990">
        <v>2.25</v>
      </c>
      <c r="K1990" t="s">
        <v>612</v>
      </c>
      <c r="L1990">
        <v>135000</v>
      </c>
      <c r="M1990">
        <v>2.44</v>
      </c>
      <c r="N1990">
        <v>114.7014344137023</v>
      </c>
      <c r="O1990" t="s">
        <v>592</v>
      </c>
      <c r="P1990" t="s">
        <v>593</v>
      </c>
      <c r="Q1990" t="s">
        <v>586</v>
      </c>
      <c r="R1990" t="s">
        <v>712</v>
      </c>
      <c r="S1990" t="s">
        <v>712</v>
      </c>
      <c r="T1990">
        <v>80</v>
      </c>
    </row>
    <row r="1991" spans="1:20" x14ac:dyDescent="0.25">
      <c r="A1991" t="s">
        <v>3275</v>
      </c>
      <c r="B1991" t="s">
        <v>516</v>
      </c>
      <c r="C1991" t="s">
        <v>586</v>
      </c>
      <c r="D1991" t="s">
        <v>587</v>
      </c>
      <c r="E1991" t="s">
        <v>3272</v>
      </c>
      <c r="F1991">
        <v>2.0007070483982305</v>
      </c>
      <c r="G1991">
        <v>121.36657588990558</v>
      </c>
      <c r="H1991" t="s">
        <v>3273</v>
      </c>
      <c r="I1991" t="s">
        <v>721</v>
      </c>
      <c r="J1991">
        <v>2.25</v>
      </c>
      <c r="K1991" t="s">
        <v>956</v>
      </c>
      <c r="L1991">
        <v>130000</v>
      </c>
      <c r="M1991">
        <v>2.66</v>
      </c>
      <c r="N1991">
        <v>121.36657588990558</v>
      </c>
      <c r="O1991" t="s">
        <v>592</v>
      </c>
      <c r="P1991" t="s">
        <v>593</v>
      </c>
      <c r="Q1991" t="s">
        <v>586</v>
      </c>
      <c r="R1991" t="s">
        <v>712</v>
      </c>
      <c r="S1991" t="s">
        <v>712</v>
      </c>
      <c r="T1991">
        <v>63</v>
      </c>
    </row>
    <row r="1992" spans="1:20" x14ac:dyDescent="0.25">
      <c r="A1992" t="s">
        <v>3276</v>
      </c>
      <c r="B1992" t="s">
        <v>516</v>
      </c>
      <c r="C1992" t="s">
        <v>586</v>
      </c>
      <c r="D1992" t="s">
        <v>587</v>
      </c>
      <c r="E1992" t="s">
        <v>3272</v>
      </c>
      <c r="F1992">
        <v>2.9148188010371623</v>
      </c>
      <c r="G1992">
        <v>127.04026960622767</v>
      </c>
      <c r="H1992" t="s">
        <v>3273</v>
      </c>
      <c r="I1992" t="s">
        <v>721</v>
      </c>
      <c r="J1992">
        <v>2.5</v>
      </c>
      <c r="K1992" t="s">
        <v>1334</v>
      </c>
      <c r="L1992">
        <v>135000</v>
      </c>
      <c r="M1992">
        <v>2.87</v>
      </c>
      <c r="N1992">
        <v>127.04026960622767</v>
      </c>
      <c r="O1992" t="s">
        <v>592</v>
      </c>
      <c r="P1992" t="s">
        <v>593</v>
      </c>
      <c r="Q1992" t="s">
        <v>586</v>
      </c>
      <c r="R1992" t="s">
        <v>712</v>
      </c>
      <c r="S1992" t="s">
        <v>712</v>
      </c>
      <c r="T1992">
        <v>47</v>
      </c>
    </row>
    <row r="1993" spans="1:20" x14ac:dyDescent="0.25">
      <c r="A1993" t="s">
        <v>3277</v>
      </c>
      <c r="B1993" t="s">
        <v>516</v>
      </c>
      <c r="C1993" t="s">
        <v>586</v>
      </c>
      <c r="D1993" t="s">
        <v>587</v>
      </c>
      <c r="E1993" t="s">
        <v>3272</v>
      </c>
      <c r="F1993">
        <v>3.6360994305792596</v>
      </c>
      <c r="G1993">
        <v>127.35108290409696</v>
      </c>
      <c r="H1993" t="s">
        <v>3273</v>
      </c>
      <c r="I1993" t="s">
        <v>721</v>
      </c>
      <c r="J1993">
        <v>5</v>
      </c>
      <c r="K1993" t="s">
        <v>1220</v>
      </c>
      <c r="L1993">
        <v>140000</v>
      </c>
      <c r="M1993">
        <v>3.0100000000000002</v>
      </c>
      <c r="N1993">
        <v>127.35108290409696</v>
      </c>
      <c r="O1993" t="s">
        <v>592</v>
      </c>
      <c r="P1993" t="s">
        <v>593</v>
      </c>
      <c r="Q1993" t="s">
        <v>586</v>
      </c>
      <c r="R1993" t="s">
        <v>712</v>
      </c>
      <c r="S1993" t="s">
        <v>712</v>
      </c>
      <c r="T1993">
        <v>41</v>
      </c>
    </row>
    <row r="1994" spans="1:20" x14ac:dyDescent="0.25">
      <c r="A1994" t="s">
        <v>3278</v>
      </c>
      <c r="B1994" t="s">
        <v>516</v>
      </c>
      <c r="C1994" t="s">
        <v>586</v>
      </c>
      <c r="D1994" t="s">
        <v>587</v>
      </c>
      <c r="E1994" t="s">
        <v>3272</v>
      </c>
      <c r="F1994">
        <v>4.6245913539756067</v>
      </c>
      <c r="G1994">
        <v>131.20719280824343</v>
      </c>
      <c r="H1994" t="s">
        <v>3273</v>
      </c>
      <c r="I1994" t="s">
        <v>721</v>
      </c>
      <c r="J1994">
        <v>3</v>
      </c>
      <c r="K1994" t="s">
        <v>717</v>
      </c>
      <c r="L1994">
        <v>150000</v>
      </c>
      <c r="M1994">
        <v>3.16</v>
      </c>
      <c r="N1994">
        <v>131.20719280824343</v>
      </c>
      <c r="O1994" t="s">
        <v>592</v>
      </c>
      <c r="P1994" t="s">
        <v>593</v>
      </c>
      <c r="Q1994" t="s">
        <v>586</v>
      </c>
      <c r="R1994" t="s">
        <v>712</v>
      </c>
      <c r="S1994" t="s">
        <v>712</v>
      </c>
      <c r="T1994">
        <v>28</v>
      </c>
    </row>
    <row r="1995" spans="1:20" x14ac:dyDescent="0.25">
      <c r="A1995" t="s">
        <v>3279</v>
      </c>
      <c r="B1995" t="s">
        <v>517</v>
      </c>
      <c r="C1995" t="s">
        <v>607</v>
      </c>
      <c r="D1995" t="s">
        <v>587</v>
      </c>
      <c r="E1995" t="s">
        <v>3272</v>
      </c>
      <c r="F1995">
        <v>0.16363252243468704</v>
      </c>
      <c r="G1995">
        <v>0.3079726027397145</v>
      </c>
      <c r="H1995" t="s">
        <v>1190</v>
      </c>
      <c r="I1995" t="s">
        <v>661</v>
      </c>
      <c r="J1995">
        <v>4</v>
      </c>
      <c r="K1995" t="s">
        <v>749</v>
      </c>
      <c r="L1995">
        <v>320000</v>
      </c>
      <c r="M1995">
        <v>1.41</v>
      </c>
      <c r="N1995">
        <v>0.3079726027397145</v>
      </c>
      <c r="O1995" t="s">
        <v>592</v>
      </c>
      <c r="P1995" t="s">
        <v>593</v>
      </c>
      <c r="Q1995" t="s">
        <v>586</v>
      </c>
      <c r="R1995" t="s">
        <v>712</v>
      </c>
      <c r="S1995" t="s">
        <v>712</v>
      </c>
      <c r="T1995">
        <v>96</v>
      </c>
    </row>
    <row r="1996" spans="1:20" x14ac:dyDescent="0.25">
      <c r="A1996" t="s">
        <v>3280</v>
      </c>
      <c r="B1996" t="s">
        <v>517</v>
      </c>
      <c r="C1996" t="s">
        <v>607</v>
      </c>
      <c r="D1996" t="s">
        <v>587</v>
      </c>
      <c r="E1996" t="s">
        <v>3272</v>
      </c>
      <c r="F1996">
        <v>1.1263410866934875</v>
      </c>
      <c r="G1996">
        <v>3.8250958904109789</v>
      </c>
      <c r="H1996" t="s">
        <v>1190</v>
      </c>
      <c r="I1996" t="s">
        <v>661</v>
      </c>
      <c r="J1996">
        <v>4</v>
      </c>
      <c r="K1996" t="s">
        <v>598</v>
      </c>
      <c r="L1996">
        <v>335000</v>
      </c>
      <c r="M1996">
        <v>1.57</v>
      </c>
      <c r="N1996">
        <v>3.8250958904109789</v>
      </c>
      <c r="O1996" t="s">
        <v>592</v>
      </c>
      <c r="P1996" t="s">
        <v>593</v>
      </c>
      <c r="Q1996" t="s">
        <v>586</v>
      </c>
      <c r="R1996">
        <v>60000</v>
      </c>
      <c r="S1996" t="s">
        <v>712</v>
      </c>
      <c r="T1996">
        <v>88</v>
      </c>
    </row>
    <row r="1997" spans="1:20" x14ac:dyDescent="0.25">
      <c r="A1997" t="s">
        <v>3281</v>
      </c>
      <c r="B1997" t="s">
        <v>517</v>
      </c>
      <c r="C1997" t="s">
        <v>607</v>
      </c>
      <c r="D1997" t="s">
        <v>587</v>
      </c>
      <c r="E1997" t="s">
        <v>3272</v>
      </c>
      <c r="F1997">
        <v>2.0518968088053269</v>
      </c>
      <c r="G1997">
        <v>6.9494246575342311</v>
      </c>
      <c r="H1997" t="s">
        <v>1190</v>
      </c>
      <c r="I1997" t="s">
        <v>661</v>
      </c>
      <c r="J1997">
        <v>4</v>
      </c>
      <c r="K1997" t="s">
        <v>651</v>
      </c>
      <c r="L1997">
        <v>345000</v>
      </c>
      <c r="M1997">
        <v>1.73</v>
      </c>
      <c r="N1997">
        <v>6.9494246575342311</v>
      </c>
      <c r="O1997" t="s">
        <v>592</v>
      </c>
      <c r="P1997" t="s">
        <v>593</v>
      </c>
      <c r="Q1997" t="s">
        <v>586</v>
      </c>
      <c r="R1997" t="s">
        <v>712</v>
      </c>
      <c r="S1997" t="s">
        <v>712</v>
      </c>
      <c r="T1997">
        <v>77</v>
      </c>
    </row>
    <row r="1998" spans="1:20" x14ac:dyDescent="0.25">
      <c r="A1998" t="s">
        <v>3282</v>
      </c>
      <c r="B1998" t="s">
        <v>517</v>
      </c>
      <c r="C1998" t="s">
        <v>607</v>
      </c>
      <c r="D1998" t="s">
        <v>587</v>
      </c>
      <c r="E1998" t="s">
        <v>3272</v>
      </c>
      <c r="F1998">
        <v>2.9436607455212309</v>
      </c>
      <c r="G1998">
        <v>8.0224027397260542</v>
      </c>
      <c r="H1998" t="s">
        <v>1190</v>
      </c>
      <c r="I1998" t="s">
        <v>661</v>
      </c>
      <c r="J1998">
        <v>4</v>
      </c>
      <c r="K1998" t="s">
        <v>727</v>
      </c>
      <c r="L1998">
        <v>360000</v>
      </c>
      <c r="M1998">
        <v>1.87</v>
      </c>
      <c r="N1998">
        <v>8.0224027397260542</v>
      </c>
      <c r="O1998" t="s">
        <v>592</v>
      </c>
      <c r="P1998" t="s">
        <v>593</v>
      </c>
      <c r="Q1998" t="s">
        <v>586</v>
      </c>
      <c r="R1998" t="s">
        <v>712</v>
      </c>
      <c r="S1998" t="s">
        <v>712</v>
      </c>
      <c r="T1998">
        <v>66</v>
      </c>
    </row>
    <row r="1999" spans="1:20" x14ac:dyDescent="0.25">
      <c r="A1999" t="s">
        <v>3283</v>
      </c>
      <c r="B1999" t="s">
        <v>517</v>
      </c>
      <c r="C1999" t="s">
        <v>607</v>
      </c>
      <c r="D1999" t="s">
        <v>587</v>
      </c>
      <c r="E1999" t="s">
        <v>3272</v>
      </c>
      <c r="F1999">
        <v>3.8030402544489292</v>
      </c>
      <c r="G1999">
        <v>10.656046575342426</v>
      </c>
      <c r="H1999" t="s">
        <v>1190</v>
      </c>
      <c r="I1999" t="s">
        <v>661</v>
      </c>
      <c r="J1999">
        <v>4</v>
      </c>
      <c r="K1999" t="s">
        <v>629</v>
      </c>
      <c r="L1999">
        <v>375000</v>
      </c>
      <c r="M1999">
        <v>2.0100000000000002</v>
      </c>
      <c r="N1999">
        <v>10.656046575342426</v>
      </c>
      <c r="O1999" t="s">
        <v>592</v>
      </c>
      <c r="P1999" t="s">
        <v>593</v>
      </c>
      <c r="Q1999" t="s">
        <v>586</v>
      </c>
      <c r="R1999" t="s">
        <v>712</v>
      </c>
      <c r="S1999" t="s">
        <v>712</v>
      </c>
      <c r="T1999">
        <v>58</v>
      </c>
    </row>
    <row r="2000" spans="1:20" x14ac:dyDescent="0.25">
      <c r="A2000" t="s">
        <v>3284</v>
      </c>
      <c r="B2000" t="s">
        <v>517</v>
      </c>
      <c r="C2000" t="s">
        <v>607</v>
      </c>
      <c r="D2000" t="s">
        <v>587</v>
      </c>
      <c r="E2000" t="s">
        <v>3272</v>
      </c>
      <c r="F2000">
        <v>4.6316886930059962</v>
      </c>
      <c r="G2000">
        <v>16.718687671232878</v>
      </c>
      <c r="H2000" t="s">
        <v>1190</v>
      </c>
      <c r="I2000" t="s">
        <v>661</v>
      </c>
      <c r="J2000">
        <v>4</v>
      </c>
      <c r="K2000" t="s">
        <v>797</v>
      </c>
      <c r="L2000">
        <v>390000</v>
      </c>
      <c r="M2000">
        <v>2.16</v>
      </c>
      <c r="N2000">
        <v>16.718687671232878</v>
      </c>
      <c r="O2000" t="s">
        <v>592</v>
      </c>
      <c r="P2000" t="s">
        <v>593</v>
      </c>
      <c r="Q2000" t="s">
        <v>586</v>
      </c>
      <c r="R2000" t="s">
        <v>712</v>
      </c>
      <c r="S2000" t="s">
        <v>712</v>
      </c>
      <c r="T2000">
        <v>52</v>
      </c>
    </row>
    <row r="2001" spans="1:20" x14ac:dyDescent="0.25">
      <c r="A2001" t="s">
        <v>3285</v>
      </c>
      <c r="B2001" t="s">
        <v>518</v>
      </c>
      <c r="C2001" t="s">
        <v>586</v>
      </c>
      <c r="D2001" t="s">
        <v>608</v>
      </c>
      <c r="E2001" t="s">
        <v>756</v>
      </c>
      <c r="F2001">
        <v>8.0460776531064537E-2</v>
      </c>
      <c r="G2001">
        <v>107.1050181807949</v>
      </c>
      <c r="H2001" t="s">
        <v>639</v>
      </c>
      <c r="I2001" t="s">
        <v>661</v>
      </c>
      <c r="J2001">
        <v>2.85</v>
      </c>
      <c r="K2001" t="s">
        <v>950</v>
      </c>
      <c r="L2001">
        <v>50000</v>
      </c>
      <c r="M2001">
        <v>2.85</v>
      </c>
      <c r="N2001">
        <v>107.1050181807949</v>
      </c>
      <c r="O2001" t="s">
        <v>592</v>
      </c>
      <c r="P2001" t="s">
        <v>613</v>
      </c>
      <c r="Q2001" t="s">
        <v>586</v>
      </c>
      <c r="R2001" t="s">
        <v>712</v>
      </c>
      <c r="S2001" t="s">
        <v>712</v>
      </c>
      <c r="T2001">
        <v>95</v>
      </c>
    </row>
    <row r="2002" spans="1:20" x14ac:dyDescent="0.25">
      <c r="A2002" t="s">
        <v>3286</v>
      </c>
      <c r="B2002" t="s">
        <v>518</v>
      </c>
      <c r="C2002" t="s">
        <v>586</v>
      </c>
      <c r="D2002" t="s">
        <v>608</v>
      </c>
      <c r="E2002" t="s">
        <v>756</v>
      </c>
      <c r="F2002">
        <v>1.0478688538644696</v>
      </c>
      <c r="G2002">
        <v>108.33202357213123</v>
      </c>
      <c r="H2002" t="s">
        <v>639</v>
      </c>
      <c r="I2002" t="s">
        <v>661</v>
      </c>
      <c r="J2002">
        <v>3</v>
      </c>
      <c r="K2002" t="s">
        <v>612</v>
      </c>
      <c r="L2002">
        <v>75000</v>
      </c>
      <c r="M2002">
        <v>3</v>
      </c>
      <c r="N2002">
        <v>108.33202357213123</v>
      </c>
      <c r="O2002" t="s">
        <v>592</v>
      </c>
      <c r="P2002" t="s">
        <v>613</v>
      </c>
      <c r="Q2002" t="s">
        <v>586</v>
      </c>
      <c r="R2002" t="s">
        <v>712</v>
      </c>
      <c r="S2002" t="s">
        <v>712</v>
      </c>
      <c r="T2002">
        <v>74</v>
      </c>
    </row>
    <row r="2003" spans="1:20" x14ac:dyDescent="0.25">
      <c r="A2003" t="s">
        <v>3287</v>
      </c>
      <c r="B2003" t="s">
        <v>518</v>
      </c>
      <c r="C2003" t="s">
        <v>586</v>
      </c>
      <c r="D2003" t="s">
        <v>608</v>
      </c>
      <c r="E2003" t="s">
        <v>756</v>
      </c>
      <c r="F2003">
        <v>1.9812123682541272</v>
      </c>
      <c r="G2003">
        <v>114.6965410025405</v>
      </c>
      <c r="H2003" t="s">
        <v>639</v>
      </c>
      <c r="I2003" t="s">
        <v>661</v>
      </c>
      <c r="J2003">
        <v>3.2</v>
      </c>
      <c r="K2003" t="s">
        <v>956</v>
      </c>
      <c r="L2003">
        <v>75000</v>
      </c>
      <c r="M2003">
        <v>3.2</v>
      </c>
      <c r="N2003">
        <v>114.6965410025405</v>
      </c>
      <c r="O2003" t="s">
        <v>592</v>
      </c>
      <c r="P2003" t="s">
        <v>613</v>
      </c>
      <c r="Q2003" t="s">
        <v>586</v>
      </c>
      <c r="R2003" t="s">
        <v>712</v>
      </c>
      <c r="S2003" t="s">
        <v>712</v>
      </c>
      <c r="T2003">
        <v>62</v>
      </c>
    </row>
    <row r="2004" spans="1:20" x14ac:dyDescent="0.25">
      <c r="A2004" t="s">
        <v>3288</v>
      </c>
      <c r="B2004" t="s">
        <v>519</v>
      </c>
      <c r="C2004" t="s">
        <v>586</v>
      </c>
      <c r="D2004" t="s">
        <v>601</v>
      </c>
      <c r="E2004" t="s">
        <v>924</v>
      </c>
      <c r="F2004">
        <v>0.89627355838454881</v>
      </c>
      <c r="G2004">
        <v>-8.6129041095890599</v>
      </c>
      <c r="H2004" t="s">
        <v>644</v>
      </c>
      <c r="I2004" t="s">
        <v>1709</v>
      </c>
      <c r="J2004">
        <v>5</v>
      </c>
      <c r="K2004" t="s">
        <v>640</v>
      </c>
      <c r="L2004">
        <v>985000</v>
      </c>
      <c r="M2004">
        <v>1.6600000000000001</v>
      </c>
      <c r="N2004">
        <v>-8.6129041095890599</v>
      </c>
      <c r="O2004" t="s">
        <v>592</v>
      </c>
      <c r="P2004" t="s">
        <v>593</v>
      </c>
      <c r="Q2004" t="s">
        <v>586</v>
      </c>
      <c r="R2004">
        <v>250000</v>
      </c>
      <c r="S2004" t="s">
        <v>652</v>
      </c>
      <c r="T2004">
        <v>90</v>
      </c>
    </row>
    <row r="2005" spans="1:20" x14ac:dyDescent="0.25">
      <c r="A2005" t="s">
        <v>3289</v>
      </c>
      <c r="B2005" t="s">
        <v>519</v>
      </c>
      <c r="C2005" t="s">
        <v>586</v>
      </c>
      <c r="D2005" t="s">
        <v>601</v>
      </c>
      <c r="E2005" t="s">
        <v>924</v>
      </c>
      <c r="F2005">
        <v>1.8303389391141967</v>
      </c>
      <c r="G2005">
        <v>-10.991627397260274</v>
      </c>
      <c r="H2005" t="s">
        <v>644</v>
      </c>
      <c r="I2005" t="s">
        <v>1709</v>
      </c>
      <c r="J2005">
        <v>5</v>
      </c>
      <c r="K2005" t="s">
        <v>658</v>
      </c>
      <c r="L2005">
        <v>1035000</v>
      </c>
      <c r="M2005">
        <v>1.72</v>
      </c>
      <c r="N2005">
        <v>-10.991627397260274</v>
      </c>
      <c r="O2005" t="s">
        <v>592</v>
      </c>
      <c r="P2005" t="s">
        <v>593</v>
      </c>
      <c r="Q2005" t="s">
        <v>586</v>
      </c>
      <c r="R2005">
        <v>30000</v>
      </c>
      <c r="S2005" t="s">
        <v>652</v>
      </c>
      <c r="T2005">
        <v>85</v>
      </c>
    </row>
    <row r="2006" spans="1:20" x14ac:dyDescent="0.25">
      <c r="A2006" t="s">
        <v>3290</v>
      </c>
      <c r="B2006" t="s">
        <v>519</v>
      </c>
      <c r="C2006" t="s">
        <v>586</v>
      </c>
      <c r="D2006" t="s">
        <v>601</v>
      </c>
      <c r="E2006" t="s">
        <v>924</v>
      </c>
      <c r="F2006">
        <v>2.7238250665312762</v>
      </c>
      <c r="G2006">
        <v>-13.69643561643834</v>
      </c>
      <c r="H2006" t="s">
        <v>644</v>
      </c>
      <c r="I2006" t="s">
        <v>1709</v>
      </c>
      <c r="J2006">
        <v>5</v>
      </c>
      <c r="K2006" t="s">
        <v>626</v>
      </c>
      <c r="L2006">
        <v>1085000</v>
      </c>
      <c r="M2006">
        <v>1.78</v>
      </c>
      <c r="N2006">
        <v>-13.69643561643834</v>
      </c>
      <c r="O2006" t="s">
        <v>592</v>
      </c>
      <c r="P2006" t="s">
        <v>593</v>
      </c>
      <c r="Q2006" t="s">
        <v>586</v>
      </c>
      <c r="R2006" t="s">
        <v>712</v>
      </c>
      <c r="S2006" t="s">
        <v>652</v>
      </c>
      <c r="T2006">
        <v>76</v>
      </c>
    </row>
    <row r="2007" spans="1:20" x14ac:dyDescent="0.25">
      <c r="A2007" t="s">
        <v>3291</v>
      </c>
      <c r="B2007" t="s">
        <v>519</v>
      </c>
      <c r="C2007" t="s">
        <v>586</v>
      </c>
      <c r="D2007" t="s">
        <v>601</v>
      </c>
      <c r="E2007" t="s">
        <v>924</v>
      </c>
      <c r="F2007">
        <v>3.580147643018865</v>
      </c>
      <c r="G2007">
        <v>-15.215210958904102</v>
      </c>
      <c r="H2007" t="s">
        <v>644</v>
      </c>
      <c r="I2007" t="s">
        <v>1709</v>
      </c>
      <c r="J2007">
        <v>5</v>
      </c>
      <c r="K2007" t="s">
        <v>753</v>
      </c>
      <c r="L2007">
        <v>1140000</v>
      </c>
      <c r="M2007">
        <v>1.85</v>
      </c>
      <c r="N2007">
        <v>-15.215210958904102</v>
      </c>
      <c r="O2007" t="s">
        <v>592</v>
      </c>
      <c r="P2007" t="s">
        <v>593</v>
      </c>
      <c r="Q2007" t="s">
        <v>586</v>
      </c>
      <c r="R2007">
        <v>30000</v>
      </c>
      <c r="S2007" t="s">
        <v>652</v>
      </c>
      <c r="T2007">
        <v>70</v>
      </c>
    </row>
    <row r="2008" spans="1:20" x14ac:dyDescent="0.25">
      <c r="A2008" t="s">
        <v>3292</v>
      </c>
      <c r="B2008" t="s">
        <v>519</v>
      </c>
      <c r="C2008" t="s">
        <v>586</v>
      </c>
      <c r="D2008" t="s">
        <v>601</v>
      </c>
      <c r="E2008" t="s">
        <v>924</v>
      </c>
      <c r="F2008">
        <v>4.4024124679325105</v>
      </c>
      <c r="G2008">
        <v>-14.06894794520548</v>
      </c>
      <c r="H2008" t="s">
        <v>644</v>
      </c>
      <c r="I2008" t="s">
        <v>1709</v>
      </c>
      <c r="J2008">
        <v>5</v>
      </c>
      <c r="K2008" t="s">
        <v>1174</v>
      </c>
      <c r="L2008">
        <v>1195000</v>
      </c>
      <c r="M2008">
        <v>1.93</v>
      </c>
      <c r="N2008">
        <v>-14.06894794520548</v>
      </c>
      <c r="O2008" t="s">
        <v>592</v>
      </c>
      <c r="P2008" t="s">
        <v>593</v>
      </c>
      <c r="Q2008" t="s">
        <v>586</v>
      </c>
      <c r="R2008" t="s">
        <v>712</v>
      </c>
      <c r="S2008" t="s">
        <v>652</v>
      </c>
      <c r="T2008">
        <v>63</v>
      </c>
    </row>
    <row r="2009" spans="1:20" x14ac:dyDescent="0.25">
      <c r="A2009" t="s">
        <v>3293</v>
      </c>
      <c r="B2009" t="s">
        <v>168</v>
      </c>
      <c r="C2009" t="s">
        <v>586</v>
      </c>
      <c r="D2009" t="s">
        <v>608</v>
      </c>
      <c r="E2009" t="s">
        <v>609</v>
      </c>
      <c r="F2009">
        <v>5.554049985052472E-3</v>
      </c>
      <c r="G2009">
        <v>14.945470765853152</v>
      </c>
      <c r="H2009" t="s">
        <v>1265</v>
      </c>
      <c r="I2009" t="s">
        <v>1037</v>
      </c>
      <c r="J2009">
        <v>5</v>
      </c>
      <c r="K2009" t="s">
        <v>995</v>
      </c>
      <c r="L2009">
        <v>1855000</v>
      </c>
      <c r="M2009">
        <v>1.42</v>
      </c>
      <c r="N2009">
        <v>14.945470765853152</v>
      </c>
      <c r="O2009" t="s">
        <v>592</v>
      </c>
      <c r="P2009" t="s">
        <v>621</v>
      </c>
      <c r="Q2009" t="s">
        <v>586</v>
      </c>
      <c r="R2009">
        <v>30000</v>
      </c>
      <c r="S2009" t="s">
        <v>599</v>
      </c>
      <c r="T2009">
        <v>97</v>
      </c>
    </row>
    <row r="2010" spans="1:20" x14ac:dyDescent="0.25">
      <c r="A2010" t="s">
        <v>3294</v>
      </c>
      <c r="B2010" t="s">
        <v>168</v>
      </c>
      <c r="C2010" t="s">
        <v>586</v>
      </c>
      <c r="D2010" t="s">
        <v>608</v>
      </c>
      <c r="E2010" t="s">
        <v>609</v>
      </c>
      <c r="F2010">
        <v>2.8053690283018486</v>
      </c>
      <c r="G2010">
        <v>18.329658017004459</v>
      </c>
      <c r="H2010" t="s">
        <v>1265</v>
      </c>
      <c r="I2010" t="s">
        <v>1037</v>
      </c>
      <c r="J2010">
        <v>5</v>
      </c>
      <c r="K2010" t="s">
        <v>817</v>
      </c>
      <c r="L2010">
        <v>515000</v>
      </c>
      <c r="M2010">
        <v>1.93</v>
      </c>
      <c r="N2010">
        <v>18.329658017004459</v>
      </c>
      <c r="O2010" t="s">
        <v>592</v>
      </c>
      <c r="P2010" t="s">
        <v>621</v>
      </c>
      <c r="Q2010" t="s">
        <v>586</v>
      </c>
      <c r="R2010" t="s">
        <v>712</v>
      </c>
      <c r="S2010" t="s">
        <v>599</v>
      </c>
      <c r="T2010">
        <v>75</v>
      </c>
    </row>
    <row r="2011" spans="1:20" x14ac:dyDescent="0.25">
      <c r="A2011" t="s">
        <v>3295</v>
      </c>
      <c r="B2011" t="s">
        <v>168</v>
      </c>
      <c r="C2011" t="s">
        <v>586</v>
      </c>
      <c r="D2011" t="s">
        <v>608</v>
      </c>
      <c r="E2011" t="s">
        <v>609</v>
      </c>
      <c r="F2011">
        <v>3.6595359795066513</v>
      </c>
      <c r="G2011">
        <v>21.546135133320799</v>
      </c>
      <c r="H2011" t="s">
        <v>1265</v>
      </c>
      <c r="I2011" t="s">
        <v>1037</v>
      </c>
      <c r="J2011">
        <v>5</v>
      </c>
      <c r="K2011" t="s">
        <v>620</v>
      </c>
      <c r="L2011">
        <v>580000</v>
      </c>
      <c r="M2011">
        <v>2.1</v>
      </c>
      <c r="N2011">
        <v>21.546135133320799</v>
      </c>
      <c r="O2011" t="s">
        <v>592</v>
      </c>
      <c r="P2011" t="s">
        <v>621</v>
      </c>
      <c r="Q2011" t="s">
        <v>586</v>
      </c>
      <c r="R2011" t="s">
        <v>712</v>
      </c>
      <c r="S2011" t="s">
        <v>599</v>
      </c>
      <c r="T2011">
        <v>68</v>
      </c>
    </row>
    <row r="2012" spans="1:20" x14ac:dyDescent="0.25">
      <c r="A2012" t="s">
        <v>3296</v>
      </c>
      <c r="B2012" t="s">
        <v>31</v>
      </c>
      <c r="C2012" t="s">
        <v>586</v>
      </c>
      <c r="D2012" t="s">
        <v>608</v>
      </c>
      <c r="E2012" t="s">
        <v>609</v>
      </c>
      <c r="F2012">
        <v>1.1669542521219787</v>
      </c>
      <c r="G2012">
        <v>39.123761908344726</v>
      </c>
      <c r="H2012" t="s">
        <v>660</v>
      </c>
      <c r="I2012" t="s">
        <v>661</v>
      </c>
      <c r="J2012">
        <v>2.38</v>
      </c>
      <c r="K2012" t="s">
        <v>1759</v>
      </c>
      <c r="L2012">
        <v>545000</v>
      </c>
      <c r="M2012">
        <v>2.38</v>
      </c>
      <c r="N2012">
        <v>39.123761908344726</v>
      </c>
      <c r="O2012" t="s">
        <v>592</v>
      </c>
      <c r="P2012" t="s">
        <v>975</v>
      </c>
      <c r="Q2012" t="s">
        <v>607</v>
      </c>
      <c r="R2012" t="s">
        <v>712</v>
      </c>
      <c r="S2012" t="s">
        <v>599</v>
      </c>
      <c r="T2012">
        <v>82</v>
      </c>
    </row>
    <row r="2013" spans="1:20" x14ac:dyDescent="0.25">
      <c r="A2013" t="s">
        <v>3297</v>
      </c>
      <c r="B2013" t="s">
        <v>31</v>
      </c>
      <c r="C2013" t="s">
        <v>586</v>
      </c>
      <c r="D2013" t="s">
        <v>608</v>
      </c>
      <c r="E2013" t="s">
        <v>609</v>
      </c>
      <c r="F2013">
        <v>2.1055837735522656</v>
      </c>
      <c r="G2013">
        <v>49.539365954587566</v>
      </c>
      <c r="H2013" t="s">
        <v>660</v>
      </c>
      <c r="I2013" t="s">
        <v>661</v>
      </c>
      <c r="J2013">
        <v>2.59</v>
      </c>
      <c r="K2013" t="s">
        <v>1794</v>
      </c>
      <c r="L2013">
        <v>555000</v>
      </c>
      <c r="M2013">
        <v>2.59</v>
      </c>
      <c r="N2013">
        <v>49.539365954587566</v>
      </c>
      <c r="O2013" t="s">
        <v>592</v>
      </c>
      <c r="P2013" t="s">
        <v>975</v>
      </c>
      <c r="Q2013" t="s">
        <v>607</v>
      </c>
      <c r="R2013" t="s">
        <v>712</v>
      </c>
      <c r="S2013" t="s">
        <v>599</v>
      </c>
      <c r="T2013">
        <v>69</v>
      </c>
    </row>
    <row r="2014" spans="1:20" x14ac:dyDescent="0.25">
      <c r="A2014" t="s">
        <v>3298</v>
      </c>
      <c r="B2014" t="s">
        <v>31</v>
      </c>
      <c r="C2014" t="s">
        <v>586</v>
      </c>
      <c r="D2014" t="s">
        <v>608</v>
      </c>
      <c r="E2014" t="s">
        <v>609</v>
      </c>
      <c r="F2014">
        <v>3.8919320418759313</v>
      </c>
      <c r="G2014">
        <v>61.514840329008315</v>
      </c>
      <c r="H2014" t="s">
        <v>660</v>
      </c>
      <c r="I2014" t="s">
        <v>661</v>
      </c>
      <c r="J2014">
        <v>2.82</v>
      </c>
      <c r="K2014" t="s">
        <v>2091</v>
      </c>
      <c r="L2014">
        <v>465000</v>
      </c>
      <c r="M2014">
        <v>2.82</v>
      </c>
      <c r="N2014">
        <v>61.514840329008315</v>
      </c>
      <c r="O2014" t="s">
        <v>592</v>
      </c>
      <c r="P2014" t="s">
        <v>975</v>
      </c>
      <c r="Q2014" t="s">
        <v>607</v>
      </c>
      <c r="R2014" t="s">
        <v>712</v>
      </c>
      <c r="S2014" t="s">
        <v>599</v>
      </c>
      <c r="T2014">
        <v>55</v>
      </c>
    </row>
    <row r="2015" spans="1:20" x14ac:dyDescent="0.25">
      <c r="A2015" t="s">
        <v>3299</v>
      </c>
      <c r="B2015" t="s">
        <v>31</v>
      </c>
      <c r="C2015" t="s">
        <v>586</v>
      </c>
      <c r="D2015" t="s">
        <v>608</v>
      </c>
      <c r="E2015" t="s">
        <v>609</v>
      </c>
      <c r="F2015">
        <v>4.7361548150296979</v>
      </c>
      <c r="G2015">
        <v>66.481484522245012</v>
      </c>
      <c r="H2015" t="s">
        <v>660</v>
      </c>
      <c r="I2015" t="s">
        <v>661</v>
      </c>
      <c r="J2015">
        <v>2.92</v>
      </c>
      <c r="K2015" t="s">
        <v>2093</v>
      </c>
      <c r="L2015">
        <v>480000</v>
      </c>
      <c r="M2015">
        <v>2.92</v>
      </c>
      <c r="N2015">
        <v>66.481484522245012</v>
      </c>
      <c r="O2015" t="s">
        <v>592</v>
      </c>
      <c r="P2015" t="s">
        <v>975</v>
      </c>
      <c r="Q2015" t="s">
        <v>607</v>
      </c>
      <c r="R2015" t="s">
        <v>712</v>
      </c>
      <c r="S2015" t="s">
        <v>599</v>
      </c>
      <c r="T2015">
        <v>49</v>
      </c>
    </row>
    <row r="2016" spans="1:20" x14ac:dyDescent="0.25">
      <c r="A2016" t="s">
        <v>3300</v>
      </c>
      <c r="B2016" t="s">
        <v>31</v>
      </c>
      <c r="C2016" t="s">
        <v>586</v>
      </c>
      <c r="D2016" t="s">
        <v>608</v>
      </c>
      <c r="E2016" t="s">
        <v>609</v>
      </c>
      <c r="F2016">
        <v>4.8905343899038876</v>
      </c>
      <c r="G2016">
        <v>21.324158904109591</v>
      </c>
      <c r="H2016" t="s">
        <v>660</v>
      </c>
      <c r="I2016" t="s">
        <v>661</v>
      </c>
      <c r="J2016">
        <v>2</v>
      </c>
      <c r="K2016" t="s">
        <v>2093</v>
      </c>
      <c r="L2016">
        <v>120000</v>
      </c>
      <c r="M2016">
        <v>2.13</v>
      </c>
      <c r="N2016">
        <v>21.324158904109591</v>
      </c>
      <c r="O2016" t="s">
        <v>592</v>
      </c>
      <c r="P2016" t="s">
        <v>621</v>
      </c>
      <c r="Q2016" t="s">
        <v>586</v>
      </c>
      <c r="R2016" t="s">
        <v>712</v>
      </c>
      <c r="S2016" t="s">
        <v>599</v>
      </c>
      <c r="T2016">
        <v>51</v>
      </c>
    </row>
    <row r="2017" spans="1:20" x14ac:dyDescent="0.25">
      <c r="A2017" t="s">
        <v>3301</v>
      </c>
      <c r="B2017" t="s">
        <v>520</v>
      </c>
      <c r="C2017" t="s">
        <v>586</v>
      </c>
      <c r="D2017" t="s">
        <v>1124</v>
      </c>
      <c r="E2017" t="s">
        <v>3302</v>
      </c>
      <c r="F2017">
        <v>1.4631580506118724</v>
      </c>
      <c r="G2017">
        <v>12.299028915581257</v>
      </c>
      <c r="H2017" t="s">
        <v>1258</v>
      </c>
      <c r="I2017" t="s">
        <v>1709</v>
      </c>
      <c r="J2017">
        <v>3</v>
      </c>
      <c r="K2017" t="s">
        <v>780</v>
      </c>
      <c r="L2017">
        <v>215000</v>
      </c>
      <c r="M2017">
        <v>1.8</v>
      </c>
      <c r="N2017">
        <v>12.299028915581257</v>
      </c>
      <c r="O2017" t="s">
        <v>592</v>
      </c>
      <c r="P2017" t="s">
        <v>711</v>
      </c>
      <c r="Q2017" t="s">
        <v>586</v>
      </c>
      <c r="R2017">
        <v>50000</v>
      </c>
      <c r="S2017" t="s">
        <v>712</v>
      </c>
      <c r="T2017">
        <v>85</v>
      </c>
    </row>
    <row r="2018" spans="1:20" x14ac:dyDescent="0.25">
      <c r="A2018" t="s">
        <v>3303</v>
      </c>
      <c r="B2018" t="s">
        <v>520</v>
      </c>
      <c r="C2018" t="s">
        <v>586</v>
      </c>
      <c r="D2018" t="s">
        <v>1124</v>
      </c>
      <c r="E2018" t="s">
        <v>3302</v>
      </c>
      <c r="F2018">
        <v>2.4037310995915946</v>
      </c>
      <c r="G2018">
        <v>6.0717327097693063</v>
      </c>
      <c r="H2018" t="s">
        <v>1258</v>
      </c>
      <c r="I2018" t="s">
        <v>1709</v>
      </c>
      <c r="J2018">
        <v>3</v>
      </c>
      <c r="K2018" t="s">
        <v>1013</v>
      </c>
      <c r="L2018">
        <v>220000</v>
      </c>
      <c r="M2018">
        <v>1.9000000000000001</v>
      </c>
      <c r="N2018">
        <v>6.0717327097693063</v>
      </c>
      <c r="O2018" t="s">
        <v>592</v>
      </c>
      <c r="P2018" t="s">
        <v>711</v>
      </c>
      <c r="Q2018" t="s">
        <v>586</v>
      </c>
      <c r="R2018" t="s">
        <v>712</v>
      </c>
      <c r="S2018" t="s">
        <v>712</v>
      </c>
      <c r="T2018">
        <v>78</v>
      </c>
    </row>
    <row r="2019" spans="1:20" x14ac:dyDescent="0.25">
      <c r="A2019" t="s">
        <v>3304</v>
      </c>
      <c r="B2019" t="s">
        <v>520</v>
      </c>
      <c r="C2019" t="s">
        <v>586</v>
      </c>
      <c r="D2019" t="s">
        <v>1124</v>
      </c>
      <c r="E2019" t="s">
        <v>3302</v>
      </c>
      <c r="F2019">
        <v>3.3176990825942294</v>
      </c>
      <c r="G2019">
        <v>1.0823034814251509</v>
      </c>
      <c r="H2019" t="s">
        <v>1258</v>
      </c>
      <c r="I2019" t="s">
        <v>1709</v>
      </c>
      <c r="J2019">
        <v>3</v>
      </c>
      <c r="K2019" t="s">
        <v>824</v>
      </c>
      <c r="L2019">
        <v>230000</v>
      </c>
      <c r="M2019">
        <v>2</v>
      </c>
      <c r="N2019">
        <v>1.0823034814251509</v>
      </c>
      <c r="O2019" t="s">
        <v>592</v>
      </c>
      <c r="P2019" t="s">
        <v>711</v>
      </c>
      <c r="Q2019" t="s">
        <v>586</v>
      </c>
      <c r="R2019" t="s">
        <v>712</v>
      </c>
      <c r="S2019" t="s">
        <v>712</v>
      </c>
      <c r="T2019">
        <v>72</v>
      </c>
    </row>
    <row r="2020" spans="1:20" x14ac:dyDescent="0.25">
      <c r="A2020" t="s">
        <v>3305</v>
      </c>
      <c r="B2020" t="s">
        <v>520</v>
      </c>
      <c r="C2020" t="s">
        <v>586</v>
      </c>
      <c r="D2020" t="s">
        <v>1124</v>
      </c>
      <c r="E2020" t="s">
        <v>3302</v>
      </c>
      <c r="F2020">
        <v>4.2054150961342316</v>
      </c>
      <c r="G2020">
        <v>-1.3494754534336018</v>
      </c>
      <c r="H2020" t="s">
        <v>1258</v>
      </c>
      <c r="I2020" t="s">
        <v>1709</v>
      </c>
      <c r="J2020">
        <v>3</v>
      </c>
      <c r="K2020" t="s">
        <v>1319</v>
      </c>
      <c r="L2020">
        <v>235000</v>
      </c>
      <c r="M2020">
        <v>2.1</v>
      </c>
      <c r="N2020">
        <v>-1.3494754534336018</v>
      </c>
      <c r="O2020" t="s">
        <v>592</v>
      </c>
      <c r="P2020" t="s">
        <v>711</v>
      </c>
      <c r="Q2020" t="s">
        <v>586</v>
      </c>
      <c r="R2020" t="s">
        <v>712</v>
      </c>
      <c r="S2020" t="s">
        <v>712</v>
      </c>
      <c r="T2020">
        <v>68</v>
      </c>
    </row>
    <row r="2021" spans="1:20" x14ac:dyDescent="0.25">
      <c r="A2021" t="s">
        <v>3306</v>
      </c>
      <c r="B2021" t="s">
        <v>520</v>
      </c>
      <c r="C2021" t="s">
        <v>586</v>
      </c>
      <c r="D2021" t="s">
        <v>1124</v>
      </c>
      <c r="E2021" t="s">
        <v>3302</v>
      </c>
      <c r="F2021">
        <v>0.49441614288065483</v>
      </c>
      <c r="G2021">
        <v>28.024512651784939</v>
      </c>
      <c r="H2021" t="s">
        <v>2307</v>
      </c>
      <c r="I2021" t="s">
        <v>1137</v>
      </c>
      <c r="J2021">
        <v>3</v>
      </c>
      <c r="K2021" t="s">
        <v>807</v>
      </c>
      <c r="L2021">
        <v>120000</v>
      </c>
      <c r="M2021">
        <v>1.6500000000000001</v>
      </c>
      <c r="N2021">
        <v>28.024512651784939</v>
      </c>
      <c r="O2021" t="s">
        <v>592</v>
      </c>
      <c r="P2021" t="s">
        <v>711</v>
      </c>
      <c r="Q2021" t="s">
        <v>586</v>
      </c>
      <c r="R2021" t="s">
        <v>712</v>
      </c>
      <c r="S2021" t="s">
        <v>712</v>
      </c>
      <c r="T2021">
        <v>89</v>
      </c>
    </row>
    <row r="2022" spans="1:20" x14ac:dyDescent="0.25">
      <c r="A2022" t="s">
        <v>3307</v>
      </c>
      <c r="B2022" t="s">
        <v>520</v>
      </c>
      <c r="C2022" t="s">
        <v>586</v>
      </c>
      <c r="D2022" t="s">
        <v>1124</v>
      </c>
      <c r="E2022" t="s">
        <v>3302</v>
      </c>
      <c r="F2022">
        <v>1.4628283037266017</v>
      </c>
      <c r="G2022">
        <v>28.449818279068474</v>
      </c>
      <c r="H2022" t="s">
        <v>2307</v>
      </c>
      <c r="I2022" t="s">
        <v>1137</v>
      </c>
      <c r="J2022">
        <v>3</v>
      </c>
      <c r="K2022" t="s">
        <v>780</v>
      </c>
      <c r="L2022">
        <v>120000</v>
      </c>
      <c r="M2022">
        <v>1.8</v>
      </c>
      <c r="N2022">
        <v>28.449818279068474</v>
      </c>
      <c r="O2022" t="s">
        <v>592</v>
      </c>
      <c r="P2022" t="s">
        <v>711</v>
      </c>
      <c r="Q2022" t="s">
        <v>586</v>
      </c>
      <c r="R2022" t="s">
        <v>712</v>
      </c>
      <c r="S2022" t="s">
        <v>712</v>
      </c>
      <c r="T2022">
        <v>75</v>
      </c>
    </row>
    <row r="2023" spans="1:20" x14ac:dyDescent="0.25">
      <c r="A2023" t="s">
        <v>3308</v>
      </c>
      <c r="B2023" t="s">
        <v>520</v>
      </c>
      <c r="C2023" t="s">
        <v>586</v>
      </c>
      <c r="D2023" t="s">
        <v>1124</v>
      </c>
      <c r="E2023" t="s">
        <v>3302</v>
      </c>
      <c r="F2023">
        <v>2.4027652416586962</v>
      </c>
      <c r="G2023">
        <v>28.587997335501282</v>
      </c>
      <c r="H2023" t="s">
        <v>2307</v>
      </c>
      <c r="I2023" t="s">
        <v>1137</v>
      </c>
      <c r="J2023">
        <v>3</v>
      </c>
      <c r="K2023" t="s">
        <v>1013</v>
      </c>
      <c r="L2023">
        <v>125000</v>
      </c>
      <c r="M2023">
        <v>1.95</v>
      </c>
      <c r="N2023">
        <v>28.587997335501282</v>
      </c>
      <c r="O2023" t="s">
        <v>592</v>
      </c>
      <c r="P2023" t="s">
        <v>711</v>
      </c>
      <c r="Q2023" t="s">
        <v>586</v>
      </c>
      <c r="R2023" t="s">
        <v>712</v>
      </c>
      <c r="S2023" t="s">
        <v>712</v>
      </c>
      <c r="T2023">
        <v>66</v>
      </c>
    </row>
    <row r="2024" spans="1:20" x14ac:dyDescent="0.25">
      <c r="A2024" t="s">
        <v>3309</v>
      </c>
      <c r="B2024" t="s">
        <v>55</v>
      </c>
      <c r="C2024" t="s">
        <v>586</v>
      </c>
      <c r="D2024" t="s">
        <v>795</v>
      </c>
      <c r="E2024" t="s">
        <v>796</v>
      </c>
      <c r="F2024">
        <v>0.16368743440097711</v>
      </c>
      <c r="G2024">
        <v>14.253687128294935</v>
      </c>
      <c r="H2024" t="s">
        <v>720</v>
      </c>
      <c r="I2024" t="s">
        <v>611</v>
      </c>
      <c r="J2024">
        <v>5</v>
      </c>
      <c r="K2024" t="s">
        <v>749</v>
      </c>
      <c r="L2024">
        <v>2590000</v>
      </c>
      <c r="M2024">
        <v>1.58</v>
      </c>
      <c r="N2024">
        <v>14.253687128294935</v>
      </c>
      <c r="O2024" t="s">
        <v>592</v>
      </c>
      <c r="P2024" t="s">
        <v>593</v>
      </c>
      <c r="Q2024" t="s">
        <v>586</v>
      </c>
      <c r="R2024">
        <v>1330000</v>
      </c>
      <c r="S2024" t="s">
        <v>712</v>
      </c>
      <c r="T2024">
        <v>96</v>
      </c>
    </row>
    <row r="2025" spans="1:20" x14ac:dyDescent="0.25">
      <c r="A2025" t="s">
        <v>3310</v>
      </c>
      <c r="B2025" t="s">
        <v>55</v>
      </c>
      <c r="C2025" t="s">
        <v>586</v>
      </c>
      <c r="D2025" t="s">
        <v>795</v>
      </c>
      <c r="E2025" t="s">
        <v>796</v>
      </c>
      <c r="F2025">
        <v>2.0341768984493189</v>
      </c>
      <c r="G2025">
        <v>18.609437664104789</v>
      </c>
      <c r="H2025" t="s">
        <v>720</v>
      </c>
      <c r="I2025" t="s">
        <v>611</v>
      </c>
      <c r="J2025">
        <v>5</v>
      </c>
      <c r="K2025" t="s">
        <v>651</v>
      </c>
      <c r="L2025">
        <v>2855000</v>
      </c>
      <c r="M2025">
        <v>1.95</v>
      </c>
      <c r="N2025">
        <v>18.609437664104789</v>
      </c>
      <c r="O2025" t="s">
        <v>592</v>
      </c>
      <c r="P2025" t="s">
        <v>593</v>
      </c>
      <c r="Q2025" t="s">
        <v>586</v>
      </c>
      <c r="R2025" t="s">
        <v>712</v>
      </c>
      <c r="S2025" t="s">
        <v>712</v>
      </c>
      <c r="T2025">
        <v>70</v>
      </c>
    </row>
    <row r="2026" spans="1:20" x14ac:dyDescent="0.25">
      <c r="A2026" t="s">
        <v>3311</v>
      </c>
      <c r="B2026" t="s">
        <v>55</v>
      </c>
      <c r="C2026" t="s">
        <v>586</v>
      </c>
      <c r="D2026" t="s">
        <v>795</v>
      </c>
      <c r="E2026" t="s">
        <v>796</v>
      </c>
      <c r="F2026">
        <v>2.9084306812795826</v>
      </c>
      <c r="G2026">
        <v>20.933599719732122</v>
      </c>
      <c r="H2026" t="s">
        <v>720</v>
      </c>
      <c r="I2026" t="s">
        <v>611</v>
      </c>
      <c r="J2026">
        <v>5</v>
      </c>
      <c r="K2026" t="s">
        <v>727</v>
      </c>
      <c r="L2026">
        <v>3005000</v>
      </c>
      <c r="M2026">
        <v>2.13</v>
      </c>
      <c r="N2026">
        <v>20.933599719732122</v>
      </c>
      <c r="O2026" t="s">
        <v>592</v>
      </c>
      <c r="P2026" t="s">
        <v>593</v>
      </c>
      <c r="Q2026" t="s">
        <v>586</v>
      </c>
      <c r="R2026">
        <v>90000</v>
      </c>
      <c r="S2026" t="s">
        <v>712</v>
      </c>
      <c r="T2026">
        <v>65</v>
      </c>
    </row>
    <row r="2027" spans="1:20" x14ac:dyDescent="0.25">
      <c r="A2027" t="s">
        <v>3312</v>
      </c>
      <c r="B2027" t="s">
        <v>521</v>
      </c>
      <c r="C2027" t="s">
        <v>607</v>
      </c>
      <c r="D2027" t="s">
        <v>608</v>
      </c>
      <c r="E2027" t="s">
        <v>609</v>
      </c>
      <c r="F2027">
        <v>8.0470875700795363E-2</v>
      </c>
      <c r="G2027">
        <v>91.154381259065318</v>
      </c>
      <c r="H2027" t="s">
        <v>2773</v>
      </c>
      <c r="I2027" t="s">
        <v>611</v>
      </c>
      <c r="J2027">
        <v>4</v>
      </c>
      <c r="K2027" t="s">
        <v>950</v>
      </c>
      <c r="L2027">
        <v>5000</v>
      </c>
      <c r="M2027">
        <v>2.5</v>
      </c>
      <c r="N2027">
        <v>91.154381259065318</v>
      </c>
      <c r="O2027" t="s">
        <v>592</v>
      </c>
      <c r="P2027" t="s">
        <v>613</v>
      </c>
      <c r="Q2027" t="s">
        <v>586</v>
      </c>
      <c r="R2027" t="s">
        <v>712</v>
      </c>
      <c r="S2027" t="s">
        <v>594</v>
      </c>
      <c r="T2027">
        <v>95</v>
      </c>
    </row>
    <row r="2028" spans="1:20" x14ac:dyDescent="0.25">
      <c r="A2028" t="s">
        <v>3313</v>
      </c>
      <c r="B2028" t="s">
        <v>521</v>
      </c>
      <c r="C2028" t="s">
        <v>607</v>
      </c>
      <c r="D2028" t="s">
        <v>608</v>
      </c>
      <c r="E2028" t="s">
        <v>609</v>
      </c>
      <c r="F2028">
        <v>1.0418961837935259</v>
      </c>
      <c r="G2028">
        <v>94.200905992298559</v>
      </c>
      <c r="H2028" t="s">
        <v>2773</v>
      </c>
      <c r="I2028" t="s">
        <v>611</v>
      </c>
      <c r="J2028">
        <v>4</v>
      </c>
      <c r="K2028" t="s">
        <v>612</v>
      </c>
      <c r="L2028">
        <v>5000</v>
      </c>
      <c r="M2028">
        <v>2.7</v>
      </c>
      <c r="N2028">
        <v>94.200905992298559</v>
      </c>
      <c r="O2028" t="s">
        <v>592</v>
      </c>
      <c r="P2028" t="s">
        <v>613</v>
      </c>
      <c r="Q2028" t="s">
        <v>586</v>
      </c>
      <c r="R2028" t="s">
        <v>712</v>
      </c>
      <c r="S2028" t="s">
        <v>594</v>
      </c>
      <c r="T2028">
        <v>86</v>
      </c>
    </row>
    <row r="2029" spans="1:20" x14ac:dyDescent="0.25">
      <c r="A2029" t="s">
        <v>3314</v>
      </c>
      <c r="B2029" t="s">
        <v>521</v>
      </c>
      <c r="C2029" t="s">
        <v>607</v>
      </c>
      <c r="D2029" t="s">
        <v>608</v>
      </c>
      <c r="E2029" t="s">
        <v>609</v>
      </c>
      <c r="F2029">
        <v>1.9657970175541475</v>
      </c>
      <c r="G2029">
        <v>97.613695798043338</v>
      </c>
      <c r="H2029" t="s">
        <v>2773</v>
      </c>
      <c r="I2029" t="s">
        <v>611</v>
      </c>
      <c r="J2029">
        <v>4</v>
      </c>
      <c r="K2029" t="s">
        <v>956</v>
      </c>
      <c r="L2029">
        <v>5000</v>
      </c>
      <c r="M2029">
        <v>2.9000000000000004</v>
      </c>
      <c r="N2029">
        <v>97.613695798043338</v>
      </c>
      <c r="O2029" t="s">
        <v>592</v>
      </c>
      <c r="P2029" t="s">
        <v>613</v>
      </c>
      <c r="Q2029" t="s">
        <v>586</v>
      </c>
      <c r="R2029" t="s">
        <v>712</v>
      </c>
      <c r="S2029" t="s">
        <v>594</v>
      </c>
      <c r="T2029">
        <v>73</v>
      </c>
    </row>
    <row r="2030" spans="1:20" x14ac:dyDescent="0.25">
      <c r="A2030" t="s">
        <v>3315</v>
      </c>
      <c r="B2030" t="s">
        <v>522</v>
      </c>
      <c r="C2030" t="s">
        <v>586</v>
      </c>
      <c r="D2030" t="s">
        <v>1291</v>
      </c>
      <c r="E2030" t="s">
        <v>2442</v>
      </c>
      <c r="F2030">
        <v>0.11930324105882095</v>
      </c>
      <c r="G2030">
        <v>40.595349440707928</v>
      </c>
      <c r="H2030" t="s">
        <v>3316</v>
      </c>
      <c r="I2030" t="s">
        <v>733</v>
      </c>
      <c r="J2030">
        <v>5</v>
      </c>
      <c r="K2030" t="s">
        <v>1105</v>
      </c>
      <c r="L2030">
        <v>1035000</v>
      </c>
      <c r="M2030">
        <v>2</v>
      </c>
      <c r="N2030">
        <v>40.595349440707928</v>
      </c>
      <c r="O2030" t="s">
        <v>592</v>
      </c>
      <c r="P2030" t="s">
        <v>711</v>
      </c>
      <c r="Q2030" t="s">
        <v>586</v>
      </c>
      <c r="R2030">
        <v>15000</v>
      </c>
      <c r="S2030" t="s">
        <v>712</v>
      </c>
      <c r="T2030">
        <v>88</v>
      </c>
    </row>
    <row r="2031" spans="1:20" x14ac:dyDescent="0.25">
      <c r="A2031" t="s">
        <v>3317</v>
      </c>
      <c r="B2031" t="s">
        <v>523</v>
      </c>
      <c r="C2031" t="s">
        <v>607</v>
      </c>
      <c r="D2031" t="s">
        <v>608</v>
      </c>
      <c r="E2031" t="s">
        <v>609</v>
      </c>
      <c r="F2031">
        <v>8.0466058248590877E-2</v>
      </c>
      <c r="G2031">
        <v>36.625268192843549</v>
      </c>
      <c r="H2031" t="s">
        <v>896</v>
      </c>
      <c r="I2031" t="s">
        <v>611</v>
      </c>
      <c r="J2031">
        <v>2</v>
      </c>
      <c r="K2031" t="s">
        <v>950</v>
      </c>
      <c r="L2031">
        <v>125000</v>
      </c>
      <c r="M2031">
        <v>1.55</v>
      </c>
      <c r="N2031">
        <v>36.625268192843549</v>
      </c>
      <c r="O2031" t="s">
        <v>592</v>
      </c>
      <c r="P2031" t="s">
        <v>613</v>
      </c>
      <c r="Q2031" t="s">
        <v>586</v>
      </c>
      <c r="R2031" t="s">
        <v>712</v>
      </c>
      <c r="S2031" t="s">
        <v>878</v>
      </c>
      <c r="T2031">
        <v>97</v>
      </c>
    </row>
    <row r="2032" spans="1:20" x14ac:dyDescent="0.25">
      <c r="A2032" t="s">
        <v>3318</v>
      </c>
      <c r="B2032" t="s">
        <v>523</v>
      </c>
      <c r="C2032" t="s">
        <v>607</v>
      </c>
      <c r="D2032" t="s">
        <v>608</v>
      </c>
      <c r="E2032" t="s">
        <v>609</v>
      </c>
      <c r="F2032">
        <v>1.0553287240902836</v>
      </c>
      <c r="G2032">
        <v>36.877809270481123</v>
      </c>
      <c r="H2032" t="s">
        <v>896</v>
      </c>
      <c r="I2032" t="s">
        <v>611</v>
      </c>
      <c r="J2032">
        <v>2</v>
      </c>
      <c r="K2032" t="s">
        <v>612</v>
      </c>
      <c r="L2032">
        <v>125000</v>
      </c>
      <c r="M2032">
        <v>1.7000000000000002</v>
      </c>
      <c r="N2032">
        <v>36.877809270481123</v>
      </c>
      <c r="O2032" t="s">
        <v>592</v>
      </c>
      <c r="P2032" t="s">
        <v>613</v>
      </c>
      <c r="Q2032" t="s">
        <v>586</v>
      </c>
      <c r="R2032" t="s">
        <v>712</v>
      </c>
      <c r="S2032" t="s">
        <v>878</v>
      </c>
      <c r="T2032">
        <v>72</v>
      </c>
    </row>
    <row r="2033" spans="1:20" x14ac:dyDescent="0.25">
      <c r="A2033" t="s">
        <v>3319</v>
      </c>
      <c r="B2033" t="s">
        <v>523</v>
      </c>
      <c r="C2033" t="s">
        <v>607</v>
      </c>
      <c r="D2033" t="s">
        <v>608</v>
      </c>
      <c r="E2033" t="s">
        <v>609</v>
      </c>
      <c r="F2033">
        <v>2.0091807821444752</v>
      </c>
      <c r="G2033">
        <v>41.719526959068133</v>
      </c>
      <c r="H2033" t="s">
        <v>896</v>
      </c>
      <c r="I2033" t="s">
        <v>611</v>
      </c>
      <c r="J2033">
        <v>2</v>
      </c>
      <c r="K2033" t="s">
        <v>956</v>
      </c>
      <c r="L2033">
        <v>125000</v>
      </c>
      <c r="M2033">
        <v>1.9000000000000001</v>
      </c>
      <c r="N2033">
        <v>41.719526959068133</v>
      </c>
      <c r="O2033" t="s">
        <v>592</v>
      </c>
      <c r="P2033" t="s">
        <v>613</v>
      </c>
      <c r="Q2033" t="s">
        <v>586</v>
      </c>
      <c r="R2033" t="s">
        <v>712</v>
      </c>
      <c r="S2033" t="s">
        <v>878</v>
      </c>
      <c r="T2033">
        <v>54</v>
      </c>
    </row>
    <row r="2034" spans="1:20" x14ac:dyDescent="0.25">
      <c r="A2034" t="s">
        <v>3320</v>
      </c>
      <c r="B2034" t="s">
        <v>30</v>
      </c>
      <c r="C2034" t="s">
        <v>586</v>
      </c>
      <c r="D2034" t="s">
        <v>654</v>
      </c>
      <c r="E2034" t="s">
        <v>655</v>
      </c>
      <c r="F2034">
        <v>0.89416510136920013</v>
      </c>
      <c r="G2034">
        <v>11.391479215813071</v>
      </c>
      <c r="H2034" t="s">
        <v>656</v>
      </c>
      <c r="I2034" t="s">
        <v>657</v>
      </c>
      <c r="J2034">
        <v>5</v>
      </c>
      <c r="K2034" t="s">
        <v>640</v>
      </c>
      <c r="L2034">
        <v>5425000</v>
      </c>
      <c r="M2034">
        <v>1.47</v>
      </c>
      <c r="N2034">
        <v>11.391479215813071</v>
      </c>
      <c r="O2034" t="s">
        <v>592</v>
      </c>
      <c r="P2034" t="s">
        <v>593</v>
      </c>
      <c r="Q2034" t="s">
        <v>586</v>
      </c>
      <c r="R2034">
        <v>20000</v>
      </c>
      <c r="S2034" t="s">
        <v>635</v>
      </c>
      <c r="T2034">
        <v>86</v>
      </c>
    </row>
    <row r="2035" spans="1:20" x14ac:dyDescent="0.25">
      <c r="A2035" t="s">
        <v>3321</v>
      </c>
      <c r="B2035" t="s">
        <v>30</v>
      </c>
      <c r="C2035" t="s">
        <v>586</v>
      </c>
      <c r="D2035" t="s">
        <v>654</v>
      </c>
      <c r="E2035" t="s">
        <v>655</v>
      </c>
      <c r="F2035">
        <v>3.5799581292689058</v>
      </c>
      <c r="G2035">
        <v>16.1421276626847</v>
      </c>
      <c r="H2035" t="s">
        <v>656</v>
      </c>
      <c r="I2035" t="s">
        <v>657</v>
      </c>
      <c r="J2035">
        <v>5</v>
      </c>
      <c r="K2035" t="s">
        <v>753</v>
      </c>
      <c r="L2035">
        <v>7580000</v>
      </c>
      <c r="M2035">
        <v>1.94</v>
      </c>
      <c r="N2035">
        <v>16.1421276626847</v>
      </c>
      <c r="O2035" t="s">
        <v>592</v>
      </c>
      <c r="P2035" t="s">
        <v>593</v>
      </c>
      <c r="Q2035" t="s">
        <v>586</v>
      </c>
      <c r="R2035">
        <v>25000</v>
      </c>
      <c r="S2035" t="s">
        <v>635</v>
      </c>
      <c r="T2035">
        <v>75</v>
      </c>
    </row>
    <row r="2036" spans="1:20" x14ac:dyDescent="0.25">
      <c r="A2036" t="s">
        <v>3322</v>
      </c>
      <c r="B2036" t="s">
        <v>45</v>
      </c>
      <c r="C2036" t="s">
        <v>607</v>
      </c>
      <c r="D2036" t="s">
        <v>587</v>
      </c>
      <c r="E2036" t="s">
        <v>756</v>
      </c>
      <c r="F2036">
        <v>0.32946675704574835</v>
      </c>
      <c r="G2036">
        <v>10.929643835616432</v>
      </c>
      <c r="H2036" t="s">
        <v>757</v>
      </c>
      <c r="I2036" t="s">
        <v>661</v>
      </c>
      <c r="J2036">
        <v>4</v>
      </c>
      <c r="K2036" t="s">
        <v>710</v>
      </c>
      <c r="L2036">
        <v>365000</v>
      </c>
      <c r="M2036">
        <v>1.6300000000000001</v>
      </c>
      <c r="N2036">
        <v>10.929643835616432</v>
      </c>
      <c r="O2036" t="s">
        <v>592</v>
      </c>
      <c r="P2036" t="s">
        <v>593</v>
      </c>
      <c r="Q2036" t="s">
        <v>586</v>
      </c>
      <c r="R2036" t="s">
        <v>712</v>
      </c>
      <c r="S2036" t="s">
        <v>712</v>
      </c>
      <c r="T2036">
        <v>89</v>
      </c>
    </row>
    <row r="2037" spans="1:20" x14ac:dyDescent="0.25">
      <c r="A2037" t="s">
        <v>3323</v>
      </c>
      <c r="B2037" t="s">
        <v>45</v>
      </c>
      <c r="C2037" t="s">
        <v>607</v>
      </c>
      <c r="D2037" t="s">
        <v>587</v>
      </c>
      <c r="E2037" t="s">
        <v>756</v>
      </c>
      <c r="F2037">
        <v>2.216785061400028</v>
      </c>
      <c r="G2037">
        <v>12.728849315068501</v>
      </c>
      <c r="H2037" t="s">
        <v>757</v>
      </c>
      <c r="I2037" t="s">
        <v>661</v>
      </c>
      <c r="J2037">
        <v>4</v>
      </c>
      <c r="K2037" t="s">
        <v>972</v>
      </c>
      <c r="L2037">
        <v>395000</v>
      </c>
      <c r="M2037">
        <v>1.86</v>
      </c>
      <c r="N2037">
        <v>12.728849315068501</v>
      </c>
      <c r="O2037" t="s">
        <v>592</v>
      </c>
      <c r="P2037" t="s">
        <v>593</v>
      </c>
      <c r="Q2037" t="s">
        <v>586</v>
      </c>
      <c r="R2037" t="s">
        <v>712</v>
      </c>
      <c r="S2037" t="s">
        <v>712</v>
      </c>
      <c r="T2037">
        <v>58</v>
      </c>
    </row>
    <row r="2038" spans="1:20" x14ac:dyDescent="0.25">
      <c r="A2038" t="s">
        <v>3324</v>
      </c>
      <c r="B2038" t="s">
        <v>45</v>
      </c>
      <c r="C2038" t="s">
        <v>607</v>
      </c>
      <c r="D2038" t="s">
        <v>587</v>
      </c>
      <c r="E2038" t="s">
        <v>756</v>
      </c>
      <c r="F2038">
        <v>3.1083282330646456</v>
      </c>
      <c r="G2038">
        <v>13.484027397260267</v>
      </c>
      <c r="H2038" t="s">
        <v>757</v>
      </c>
      <c r="I2038" t="s">
        <v>661</v>
      </c>
      <c r="J2038">
        <v>4</v>
      </c>
      <c r="K2038" t="s">
        <v>938</v>
      </c>
      <c r="L2038">
        <v>415000</v>
      </c>
      <c r="M2038">
        <v>1.98</v>
      </c>
      <c r="N2038">
        <v>13.484027397260267</v>
      </c>
      <c r="O2038" t="s">
        <v>592</v>
      </c>
      <c r="P2038" t="s">
        <v>593</v>
      </c>
      <c r="Q2038" t="s">
        <v>586</v>
      </c>
      <c r="R2038">
        <v>25000</v>
      </c>
      <c r="S2038" t="s">
        <v>712</v>
      </c>
      <c r="T2038">
        <v>47</v>
      </c>
    </row>
    <row r="2039" spans="1:20" x14ac:dyDescent="0.25">
      <c r="A2039" t="s">
        <v>3325</v>
      </c>
      <c r="B2039" t="s">
        <v>45</v>
      </c>
      <c r="C2039" t="s">
        <v>607</v>
      </c>
      <c r="D2039" t="s">
        <v>587</v>
      </c>
      <c r="E2039" t="s">
        <v>756</v>
      </c>
      <c r="F2039">
        <v>3.9674958601024657</v>
      </c>
      <c r="G2039">
        <v>17.002657534246566</v>
      </c>
      <c r="H2039" t="s">
        <v>757</v>
      </c>
      <c r="I2039" t="s">
        <v>661</v>
      </c>
      <c r="J2039">
        <v>4</v>
      </c>
      <c r="K2039" t="s">
        <v>1085</v>
      </c>
      <c r="L2039">
        <v>430000</v>
      </c>
      <c r="M2039">
        <v>2.11</v>
      </c>
      <c r="N2039">
        <v>17.002657534246566</v>
      </c>
      <c r="O2039" t="s">
        <v>592</v>
      </c>
      <c r="P2039" t="s">
        <v>593</v>
      </c>
      <c r="Q2039" t="s">
        <v>586</v>
      </c>
      <c r="R2039" t="s">
        <v>712</v>
      </c>
      <c r="S2039" t="s">
        <v>712</v>
      </c>
      <c r="T2039">
        <v>40</v>
      </c>
    </row>
    <row r="2040" spans="1:20" x14ac:dyDescent="0.25">
      <c r="A2040" t="s">
        <v>3326</v>
      </c>
      <c r="B2040" t="s">
        <v>524</v>
      </c>
      <c r="C2040" t="s">
        <v>607</v>
      </c>
      <c r="D2040" t="s">
        <v>714</v>
      </c>
      <c r="E2040" t="s">
        <v>3327</v>
      </c>
      <c r="F2040">
        <v>0.73656959566631131</v>
      </c>
      <c r="G2040">
        <v>82.738767123287644</v>
      </c>
      <c r="H2040" t="s">
        <v>1274</v>
      </c>
      <c r="I2040" t="s">
        <v>3328</v>
      </c>
      <c r="J2040">
        <v>2.125</v>
      </c>
      <c r="K2040" t="s">
        <v>861</v>
      </c>
      <c r="L2040">
        <v>85000</v>
      </c>
      <c r="M2040">
        <v>2.3199999999999998</v>
      </c>
      <c r="N2040">
        <v>82.738767123287644</v>
      </c>
      <c r="O2040" t="s">
        <v>592</v>
      </c>
      <c r="P2040" t="s">
        <v>711</v>
      </c>
      <c r="Q2040" t="s">
        <v>586</v>
      </c>
      <c r="R2040" t="s">
        <v>712</v>
      </c>
      <c r="S2040" t="s">
        <v>594</v>
      </c>
      <c r="T2040">
        <v>85</v>
      </c>
    </row>
    <row r="2041" spans="1:20" x14ac:dyDescent="0.25">
      <c r="A2041" t="s">
        <v>3329</v>
      </c>
      <c r="B2041" t="s">
        <v>524</v>
      </c>
      <c r="C2041" t="s">
        <v>607</v>
      </c>
      <c r="D2041" t="s">
        <v>714</v>
      </c>
      <c r="E2041" t="s">
        <v>3327</v>
      </c>
      <c r="F2041">
        <v>3.5368822768757289</v>
      </c>
      <c r="G2041">
        <v>95.217301369862994</v>
      </c>
      <c r="H2041" t="s">
        <v>1274</v>
      </c>
      <c r="I2041" t="s">
        <v>3328</v>
      </c>
      <c r="J2041">
        <v>2.6</v>
      </c>
      <c r="K2041" t="s">
        <v>684</v>
      </c>
      <c r="L2041">
        <v>90000</v>
      </c>
      <c r="M2041">
        <v>2.7600000000000002</v>
      </c>
      <c r="N2041">
        <v>95.217301369862994</v>
      </c>
      <c r="O2041" t="s">
        <v>592</v>
      </c>
      <c r="P2041" t="s">
        <v>711</v>
      </c>
      <c r="Q2041" t="s">
        <v>586</v>
      </c>
      <c r="R2041">
        <v>225000</v>
      </c>
      <c r="S2041" t="s">
        <v>594</v>
      </c>
      <c r="T2041">
        <v>48</v>
      </c>
    </row>
    <row r="2042" spans="1:20" x14ac:dyDescent="0.25">
      <c r="A2042" t="s">
        <v>3330</v>
      </c>
      <c r="B2042" t="s">
        <v>524</v>
      </c>
      <c r="C2042" t="s">
        <v>607</v>
      </c>
      <c r="D2042" t="s">
        <v>714</v>
      </c>
      <c r="E2042" t="s">
        <v>3327</v>
      </c>
      <c r="F2042">
        <v>5.2507393131978004</v>
      </c>
      <c r="G2042">
        <v>103.54195616438355</v>
      </c>
      <c r="H2042" t="s">
        <v>1274</v>
      </c>
      <c r="I2042" t="s">
        <v>3328</v>
      </c>
      <c r="J2042">
        <v>2.875</v>
      </c>
      <c r="K2042" t="s">
        <v>3331</v>
      </c>
      <c r="L2042">
        <v>95000</v>
      </c>
      <c r="M2042">
        <v>3</v>
      </c>
      <c r="N2042">
        <v>103.54195616438355</v>
      </c>
      <c r="O2042" t="s">
        <v>592</v>
      </c>
      <c r="P2042" t="s">
        <v>711</v>
      </c>
      <c r="Q2042" t="s">
        <v>586</v>
      </c>
      <c r="R2042" t="s">
        <v>712</v>
      </c>
      <c r="S2042" t="s">
        <v>594</v>
      </c>
      <c r="T2042">
        <v>35</v>
      </c>
    </row>
    <row r="2043" spans="1:20" x14ac:dyDescent="0.25">
      <c r="A2043" t="s">
        <v>3332</v>
      </c>
      <c r="B2043" t="s">
        <v>525</v>
      </c>
      <c r="C2043" t="s">
        <v>607</v>
      </c>
      <c r="D2043" t="s">
        <v>741</v>
      </c>
      <c r="E2043" t="s">
        <v>935</v>
      </c>
      <c r="F2043">
        <v>0.81650576981556866</v>
      </c>
      <c r="G2043">
        <v>33.998135230792784</v>
      </c>
      <c r="H2043" t="s">
        <v>589</v>
      </c>
      <c r="I2043" t="s">
        <v>661</v>
      </c>
      <c r="J2043">
        <v>3</v>
      </c>
      <c r="K2043" t="s">
        <v>984</v>
      </c>
      <c r="L2043">
        <v>100000</v>
      </c>
      <c r="M2043">
        <v>1.6</v>
      </c>
      <c r="N2043">
        <v>33.998135230792784</v>
      </c>
      <c r="O2043" t="s">
        <v>592</v>
      </c>
      <c r="P2043" t="s">
        <v>745</v>
      </c>
      <c r="Q2043" t="s">
        <v>586</v>
      </c>
      <c r="R2043" t="s">
        <v>712</v>
      </c>
      <c r="S2043" t="s">
        <v>594</v>
      </c>
      <c r="T2043">
        <v>87</v>
      </c>
    </row>
    <row r="2044" spans="1:20" x14ac:dyDescent="0.25">
      <c r="A2044" t="s">
        <v>3333</v>
      </c>
      <c r="B2044" t="s">
        <v>525</v>
      </c>
      <c r="C2044" t="s">
        <v>607</v>
      </c>
      <c r="D2044" t="s">
        <v>741</v>
      </c>
      <c r="E2044" t="s">
        <v>935</v>
      </c>
      <c r="F2044">
        <v>1.7693964058203471</v>
      </c>
      <c r="G2044">
        <v>34.084857585300178</v>
      </c>
      <c r="H2044" t="s">
        <v>589</v>
      </c>
      <c r="I2044" t="s">
        <v>661</v>
      </c>
      <c r="J2044">
        <v>3</v>
      </c>
      <c r="K2044" t="s">
        <v>1114</v>
      </c>
      <c r="L2044">
        <v>100000</v>
      </c>
      <c r="M2044">
        <v>1.75</v>
      </c>
      <c r="N2044">
        <v>34.084857585300178</v>
      </c>
      <c r="O2044" t="s">
        <v>592</v>
      </c>
      <c r="P2044" t="s">
        <v>745</v>
      </c>
      <c r="Q2044" t="s">
        <v>586</v>
      </c>
      <c r="R2044" t="s">
        <v>712</v>
      </c>
      <c r="S2044" t="s">
        <v>594</v>
      </c>
      <c r="T2044">
        <v>76</v>
      </c>
    </row>
    <row r="2045" spans="1:20" x14ac:dyDescent="0.25">
      <c r="A2045" t="s">
        <v>3334</v>
      </c>
      <c r="B2045" t="s">
        <v>525</v>
      </c>
      <c r="C2045" t="s">
        <v>607</v>
      </c>
      <c r="D2045" t="s">
        <v>741</v>
      </c>
      <c r="E2045" t="s">
        <v>935</v>
      </c>
      <c r="F2045">
        <v>2.6947121030588246</v>
      </c>
      <c r="G2045">
        <v>34.028140596846335</v>
      </c>
      <c r="H2045" t="s">
        <v>589</v>
      </c>
      <c r="I2045" t="s">
        <v>661</v>
      </c>
      <c r="J2045">
        <v>3</v>
      </c>
      <c r="K2045" t="s">
        <v>669</v>
      </c>
      <c r="L2045">
        <v>200000</v>
      </c>
      <c r="M2045">
        <v>1.9000000000000001</v>
      </c>
      <c r="N2045">
        <v>34.028140596846335</v>
      </c>
      <c r="O2045" t="s">
        <v>592</v>
      </c>
      <c r="P2045" t="s">
        <v>745</v>
      </c>
      <c r="Q2045" t="s">
        <v>586</v>
      </c>
      <c r="R2045" t="s">
        <v>712</v>
      </c>
      <c r="S2045" t="s">
        <v>594</v>
      </c>
      <c r="T2045">
        <v>66</v>
      </c>
    </row>
    <row r="2046" spans="1:20" x14ac:dyDescent="0.25">
      <c r="A2046" t="s">
        <v>3335</v>
      </c>
      <c r="B2046" t="s">
        <v>525</v>
      </c>
      <c r="C2046" t="s">
        <v>607</v>
      </c>
      <c r="D2046" t="s">
        <v>741</v>
      </c>
      <c r="E2046" t="s">
        <v>935</v>
      </c>
      <c r="F2046">
        <v>3.5932761787619958</v>
      </c>
      <c r="G2046">
        <v>30.138485891085274</v>
      </c>
      <c r="H2046" t="s">
        <v>589</v>
      </c>
      <c r="I2046" t="s">
        <v>661</v>
      </c>
      <c r="J2046">
        <v>3</v>
      </c>
      <c r="K2046" t="s">
        <v>1163</v>
      </c>
      <c r="L2046">
        <v>200000</v>
      </c>
      <c r="M2046">
        <v>2</v>
      </c>
      <c r="N2046">
        <v>30.138485891085274</v>
      </c>
      <c r="O2046" t="s">
        <v>592</v>
      </c>
      <c r="P2046" t="s">
        <v>745</v>
      </c>
      <c r="Q2046" t="s">
        <v>586</v>
      </c>
      <c r="R2046" t="s">
        <v>712</v>
      </c>
      <c r="S2046" t="s">
        <v>594</v>
      </c>
      <c r="T2046">
        <v>58</v>
      </c>
    </row>
    <row r="2047" spans="1:20" x14ac:dyDescent="0.25">
      <c r="A2047" t="s">
        <v>3336</v>
      </c>
      <c r="B2047" t="s">
        <v>526</v>
      </c>
      <c r="C2047" t="s">
        <v>607</v>
      </c>
      <c r="D2047" t="s">
        <v>608</v>
      </c>
      <c r="E2047" t="s">
        <v>980</v>
      </c>
      <c r="F2047">
        <v>0.52295891388936278</v>
      </c>
      <c r="G2047">
        <v>88.078223550770176</v>
      </c>
      <c r="H2047" t="s">
        <v>1393</v>
      </c>
      <c r="I2047" t="s">
        <v>611</v>
      </c>
      <c r="J2047">
        <v>4</v>
      </c>
      <c r="K2047" t="s">
        <v>1005</v>
      </c>
      <c r="L2047">
        <v>50000</v>
      </c>
      <c r="M2047">
        <v>2.9000000000000004</v>
      </c>
      <c r="N2047">
        <v>88.078223550770176</v>
      </c>
      <c r="O2047" t="s">
        <v>592</v>
      </c>
      <c r="P2047" t="s">
        <v>613</v>
      </c>
      <c r="Q2047" t="s">
        <v>586</v>
      </c>
      <c r="R2047" t="s">
        <v>712</v>
      </c>
      <c r="S2047" t="s">
        <v>712</v>
      </c>
      <c r="T2047">
        <v>85</v>
      </c>
    </row>
    <row r="2048" spans="1:20" x14ac:dyDescent="0.25">
      <c r="A2048" t="s">
        <v>3337</v>
      </c>
      <c r="B2048" t="s">
        <v>526</v>
      </c>
      <c r="C2048" t="s">
        <v>607</v>
      </c>
      <c r="D2048" t="s">
        <v>608</v>
      </c>
      <c r="E2048" t="s">
        <v>980</v>
      </c>
      <c r="F2048">
        <v>3.2480825100071087</v>
      </c>
      <c r="G2048">
        <v>79.828511602162422</v>
      </c>
      <c r="H2048" t="s">
        <v>1393</v>
      </c>
      <c r="I2048" t="s">
        <v>611</v>
      </c>
      <c r="J2048">
        <v>4</v>
      </c>
      <c r="K2048" t="s">
        <v>1387</v>
      </c>
      <c r="L2048">
        <v>60000</v>
      </c>
      <c r="M2048">
        <v>3.2</v>
      </c>
      <c r="N2048">
        <v>79.828511602162422</v>
      </c>
      <c r="O2048" t="s">
        <v>592</v>
      </c>
      <c r="P2048" t="s">
        <v>613</v>
      </c>
      <c r="Q2048" t="s">
        <v>586</v>
      </c>
      <c r="R2048" t="s">
        <v>712</v>
      </c>
      <c r="S2048" t="s">
        <v>712</v>
      </c>
      <c r="T2048">
        <v>74</v>
      </c>
    </row>
    <row r="2049" spans="1:20" x14ac:dyDescent="0.25">
      <c r="A2049" t="s">
        <v>3338</v>
      </c>
      <c r="B2049" t="s">
        <v>526</v>
      </c>
      <c r="C2049" t="s">
        <v>607</v>
      </c>
      <c r="D2049" t="s">
        <v>608</v>
      </c>
      <c r="E2049" t="s">
        <v>980</v>
      </c>
      <c r="F2049">
        <v>1.4656660369505086</v>
      </c>
      <c r="G2049">
        <v>84.665120709884206</v>
      </c>
      <c r="H2049" t="s">
        <v>1393</v>
      </c>
      <c r="I2049" t="s">
        <v>611</v>
      </c>
      <c r="J2049">
        <v>4</v>
      </c>
      <c r="K2049" t="s">
        <v>1001</v>
      </c>
      <c r="L2049">
        <v>55000</v>
      </c>
      <c r="M2049">
        <v>3</v>
      </c>
      <c r="N2049">
        <v>84.665120709884206</v>
      </c>
      <c r="O2049" t="s">
        <v>592</v>
      </c>
      <c r="P2049" t="s">
        <v>613</v>
      </c>
      <c r="Q2049" t="s">
        <v>586</v>
      </c>
      <c r="R2049" t="s">
        <v>712</v>
      </c>
      <c r="S2049" t="s">
        <v>712</v>
      </c>
      <c r="T2049">
        <v>88</v>
      </c>
    </row>
    <row r="2050" spans="1:20" x14ac:dyDescent="0.25">
      <c r="A2050" t="s">
        <v>3339</v>
      </c>
      <c r="B2050" t="s">
        <v>526</v>
      </c>
      <c r="C2050" t="s">
        <v>607</v>
      </c>
      <c r="D2050" t="s">
        <v>608</v>
      </c>
      <c r="E2050" t="s">
        <v>980</v>
      </c>
      <c r="F2050">
        <v>2.3732323867685468</v>
      </c>
      <c r="G2050">
        <v>81.499628116868735</v>
      </c>
      <c r="H2050" t="s">
        <v>1393</v>
      </c>
      <c r="I2050" t="s">
        <v>611</v>
      </c>
      <c r="J2050">
        <v>4</v>
      </c>
      <c r="K2050" t="s">
        <v>803</v>
      </c>
      <c r="L2050">
        <v>55000</v>
      </c>
      <c r="M2050">
        <v>3.1</v>
      </c>
      <c r="N2050">
        <v>81.499628116868735</v>
      </c>
      <c r="O2050" t="s">
        <v>592</v>
      </c>
      <c r="P2050" t="s">
        <v>613</v>
      </c>
      <c r="Q2050" t="s">
        <v>586</v>
      </c>
      <c r="R2050" t="s">
        <v>712</v>
      </c>
      <c r="S2050" t="s">
        <v>712</v>
      </c>
      <c r="T2050">
        <v>81</v>
      </c>
    </row>
    <row r="2051" spans="1:20" x14ac:dyDescent="0.25">
      <c r="A2051" t="s">
        <v>3340</v>
      </c>
      <c r="B2051" t="s">
        <v>527</v>
      </c>
      <c r="C2051" t="s">
        <v>586</v>
      </c>
      <c r="D2051" t="s">
        <v>587</v>
      </c>
      <c r="E2051" t="s">
        <v>675</v>
      </c>
      <c r="F2051">
        <v>0.64833882314200686</v>
      </c>
      <c r="G2051">
        <v>9.251041095890411</v>
      </c>
      <c r="H2051" t="s">
        <v>3341</v>
      </c>
      <c r="I2051" t="s">
        <v>661</v>
      </c>
      <c r="J2051">
        <v>5</v>
      </c>
      <c r="K2051" t="s">
        <v>787</v>
      </c>
      <c r="L2051">
        <v>510000</v>
      </c>
      <c r="M2051">
        <v>1.8</v>
      </c>
      <c r="N2051">
        <v>9.251041095890411</v>
      </c>
      <c r="O2051" t="s">
        <v>592</v>
      </c>
      <c r="P2051" t="s">
        <v>593</v>
      </c>
      <c r="Q2051" t="s">
        <v>586</v>
      </c>
      <c r="R2051" t="s">
        <v>712</v>
      </c>
      <c r="S2051" t="s">
        <v>712</v>
      </c>
      <c r="T2051">
        <v>94</v>
      </c>
    </row>
    <row r="2052" spans="1:20" x14ac:dyDescent="0.25">
      <c r="A2052" t="s">
        <v>3342</v>
      </c>
      <c r="B2052" t="s">
        <v>527</v>
      </c>
      <c r="C2052" t="s">
        <v>586</v>
      </c>
      <c r="D2052" t="s">
        <v>587</v>
      </c>
      <c r="E2052" t="s">
        <v>675</v>
      </c>
      <c r="F2052">
        <v>1.5821526033181621</v>
      </c>
      <c r="G2052">
        <v>8.9823342465753306</v>
      </c>
      <c r="H2052" t="s">
        <v>3341</v>
      </c>
      <c r="I2052" t="s">
        <v>661</v>
      </c>
      <c r="J2052">
        <v>5</v>
      </c>
      <c r="K2052" t="s">
        <v>905</v>
      </c>
      <c r="L2052">
        <v>535000</v>
      </c>
      <c r="M2052">
        <v>1.9000000000000001</v>
      </c>
      <c r="N2052">
        <v>8.9823342465753306</v>
      </c>
      <c r="O2052" t="s">
        <v>592</v>
      </c>
      <c r="P2052" t="s">
        <v>593</v>
      </c>
      <c r="Q2052" t="s">
        <v>586</v>
      </c>
      <c r="R2052" t="s">
        <v>712</v>
      </c>
      <c r="S2052" t="s">
        <v>712</v>
      </c>
      <c r="T2052">
        <v>86</v>
      </c>
    </row>
    <row r="2053" spans="1:20" x14ac:dyDescent="0.25">
      <c r="A2053" t="s">
        <v>3343</v>
      </c>
      <c r="B2053" t="s">
        <v>527</v>
      </c>
      <c r="C2053" t="s">
        <v>586</v>
      </c>
      <c r="D2053" t="s">
        <v>587</v>
      </c>
      <c r="E2053" t="s">
        <v>675</v>
      </c>
      <c r="F2053">
        <v>2.4750315763004567</v>
      </c>
      <c r="G2053">
        <v>8.6758273972602709</v>
      </c>
      <c r="H2053" t="s">
        <v>3341</v>
      </c>
      <c r="I2053" t="s">
        <v>661</v>
      </c>
      <c r="J2053">
        <v>5</v>
      </c>
      <c r="K2053" t="s">
        <v>734</v>
      </c>
      <c r="L2053">
        <v>565000</v>
      </c>
      <c r="M2053">
        <v>2</v>
      </c>
      <c r="N2053">
        <v>8.6758273972602709</v>
      </c>
      <c r="O2053" t="s">
        <v>592</v>
      </c>
      <c r="P2053" t="s">
        <v>593</v>
      </c>
      <c r="Q2053" t="s">
        <v>586</v>
      </c>
      <c r="R2053">
        <v>60000</v>
      </c>
      <c r="S2053" t="s">
        <v>712</v>
      </c>
      <c r="T2053">
        <v>78</v>
      </c>
    </row>
    <row r="2054" spans="1:20" x14ac:dyDescent="0.25">
      <c r="A2054" t="s">
        <v>3344</v>
      </c>
      <c r="B2054" t="s">
        <v>527</v>
      </c>
      <c r="C2054" t="s">
        <v>586</v>
      </c>
      <c r="D2054" t="s">
        <v>587</v>
      </c>
      <c r="E2054" t="s">
        <v>675</v>
      </c>
      <c r="F2054">
        <v>3.3307753039935042</v>
      </c>
      <c r="G2054">
        <v>13.315112328767098</v>
      </c>
      <c r="H2054" t="s">
        <v>3341</v>
      </c>
      <c r="I2054" t="s">
        <v>661</v>
      </c>
      <c r="J2054">
        <v>5</v>
      </c>
      <c r="K2054" t="s">
        <v>838</v>
      </c>
      <c r="L2054">
        <v>595000</v>
      </c>
      <c r="M2054">
        <v>2.15</v>
      </c>
      <c r="N2054">
        <v>13.315112328767098</v>
      </c>
      <c r="O2054" t="s">
        <v>592</v>
      </c>
      <c r="P2054" t="s">
        <v>593</v>
      </c>
      <c r="Q2054" t="s">
        <v>586</v>
      </c>
      <c r="R2054" t="s">
        <v>712</v>
      </c>
      <c r="S2054" t="s">
        <v>712</v>
      </c>
      <c r="T2054">
        <v>72</v>
      </c>
    </row>
    <row r="2055" spans="1:20" x14ac:dyDescent="0.25">
      <c r="A2055" t="s">
        <v>3345</v>
      </c>
      <c r="B2055" t="s">
        <v>527</v>
      </c>
      <c r="C2055" t="s">
        <v>586</v>
      </c>
      <c r="D2055" t="s">
        <v>587</v>
      </c>
      <c r="E2055" t="s">
        <v>675</v>
      </c>
      <c r="F2055">
        <v>4.1522950061869528</v>
      </c>
      <c r="G2055">
        <v>15.214515068493162</v>
      </c>
      <c r="H2055" t="s">
        <v>3341</v>
      </c>
      <c r="I2055" t="s">
        <v>661</v>
      </c>
      <c r="J2055">
        <v>5</v>
      </c>
      <c r="K2055" t="s">
        <v>1350</v>
      </c>
      <c r="L2055">
        <v>620000</v>
      </c>
      <c r="M2055">
        <v>2.25</v>
      </c>
      <c r="N2055">
        <v>15.214515068493162</v>
      </c>
      <c r="O2055" t="s">
        <v>592</v>
      </c>
      <c r="P2055" t="s">
        <v>593</v>
      </c>
      <c r="Q2055" t="s">
        <v>586</v>
      </c>
      <c r="R2055">
        <v>30000</v>
      </c>
      <c r="S2055" t="s">
        <v>712</v>
      </c>
      <c r="T2055">
        <v>67</v>
      </c>
    </row>
    <row r="2056" spans="1:20" x14ac:dyDescent="0.25">
      <c r="A2056" t="s">
        <v>3346</v>
      </c>
      <c r="B2056" t="s">
        <v>527</v>
      </c>
      <c r="C2056" t="s">
        <v>586</v>
      </c>
      <c r="D2056" t="s">
        <v>587</v>
      </c>
      <c r="E2056" t="s">
        <v>675</v>
      </c>
      <c r="F2056">
        <v>4.9417036683503941</v>
      </c>
      <c r="G2056">
        <v>21.191391780821924</v>
      </c>
      <c r="H2056" t="s">
        <v>3341</v>
      </c>
      <c r="I2056" t="s">
        <v>661</v>
      </c>
      <c r="J2056">
        <v>5</v>
      </c>
      <c r="K2056" t="s">
        <v>1456</v>
      </c>
      <c r="L2056">
        <v>655000</v>
      </c>
      <c r="M2056">
        <v>2.38</v>
      </c>
      <c r="N2056">
        <v>21.191391780821924</v>
      </c>
      <c r="O2056" t="s">
        <v>592</v>
      </c>
      <c r="P2056" t="s">
        <v>593</v>
      </c>
      <c r="Q2056" t="s">
        <v>586</v>
      </c>
      <c r="R2056">
        <v>80000</v>
      </c>
      <c r="S2056" t="s">
        <v>712</v>
      </c>
      <c r="T2056">
        <v>63</v>
      </c>
    </row>
    <row r="2057" spans="1:20" x14ac:dyDescent="0.25">
      <c r="A2057" t="s">
        <v>3347</v>
      </c>
      <c r="B2057" t="s">
        <v>528</v>
      </c>
      <c r="C2057" t="s">
        <v>586</v>
      </c>
      <c r="D2057" t="s">
        <v>623</v>
      </c>
      <c r="E2057" t="s">
        <v>2007</v>
      </c>
      <c r="F2057">
        <v>0.40890353288669423</v>
      </c>
      <c r="G2057">
        <v>77.703826779360526</v>
      </c>
      <c r="H2057" t="s">
        <v>1143</v>
      </c>
      <c r="I2057" t="s">
        <v>661</v>
      </c>
      <c r="J2057">
        <v>3</v>
      </c>
      <c r="K2057" t="s">
        <v>2513</v>
      </c>
      <c r="L2057">
        <v>125000</v>
      </c>
      <c r="M2057">
        <v>2</v>
      </c>
      <c r="N2057">
        <v>77.703826779360526</v>
      </c>
      <c r="O2057" t="s">
        <v>592</v>
      </c>
      <c r="P2057" t="s">
        <v>745</v>
      </c>
      <c r="Q2057" t="s">
        <v>586</v>
      </c>
      <c r="R2057" t="s">
        <v>712</v>
      </c>
      <c r="S2057" t="s">
        <v>712</v>
      </c>
      <c r="T2057">
        <v>96</v>
      </c>
    </row>
    <row r="2058" spans="1:20" x14ac:dyDescent="0.25">
      <c r="A2058" t="s">
        <v>3348</v>
      </c>
      <c r="B2058" t="s">
        <v>528</v>
      </c>
      <c r="C2058" t="s">
        <v>586</v>
      </c>
      <c r="D2058" t="s">
        <v>623</v>
      </c>
      <c r="E2058" t="s">
        <v>2007</v>
      </c>
      <c r="F2058">
        <v>1.3760844134085626</v>
      </c>
      <c r="G2058">
        <v>72.835863611178937</v>
      </c>
      <c r="H2058" t="s">
        <v>1143</v>
      </c>
      <c r="I2058" t="s">
        <v>661</v>
      </c>
      <c r="J2058">
        <v>3</v>
      </c>
      <c r="K2058" t="s">
        <v>2515</v>
      </c>
      <c r="L2058">
        <v>125000</v>
      </c>
      <c r="M2058">
        <v>2.1</v>
      </c>
      <c r="N2058">
        <v>72.835863611178937</v>
      </c>
      <c r="O2058" t="s">
        <v>592</v>
      </c>
      <c r="P2058" t="s">
        <v>745</v>
      </c>
      <c r="Q2058" t="s">
        <v>586</v>
      </c>
      <c r="R2058" t="s">
        <v>712</v>
      </c>
      <c r="S2058" t="s">
        <v>712</v>
      </c>
      <c r="T2058">
        <v>85</v>
      </c>
    </row>
    <row r="2059" spans="1:20" x14ac:dyDescent="0.25">
      <c r="A2059" t="s">
        <v>3349</v>
      </c>
      <c r="B2059" t="s">
        <v>528</v>
      </c>
      <c r="C2059" t="s">
        <v>586</v>
      </c>
      <c r="D2059" t="s">
        <v>623</v>
      </c>
      <c r="E2059" t="s">
        <v>2007</v>
      </c>
      <c r="F2059">
        <v>2.3149554072169227</v>
      </c>
      <c r="G2059">
        <v>67.682323533338447</v>
      </c>
      <c r="H2059" t="s">
        <v>1143</v>
      </c>
      <c r="I2059" t="s">
        <v>661</v>
      </c>
      <c r="J2059">
        <v>3</v>
      </c>
      <c r="K2059" t="s">
        <v>2517</v>
      </c>
      <c r="L2059">
        <v>125000</v>
      </c>
      <c r="M2059">
        <v>2.2000000000000002</v>
      </c>
      <c r="N2059">
        <v>67.682323533338447</v>
      </c>
      <c r="O2059" t="s">
        <v>592</v>
      </c>
      <c r="P2059" t="s">
        <v>745</v>
      </c>
      <c r="Q2059" t="s">
        <v>586</v>
      </c>
      <c r="R2059">
        <v>10000</v>
      </c>
      <c r="S2059" t="s">
        <v>712</v>
      </c>
      <c r="T2059">
        <v>78</v>
      </c>
    </row>
    <row r="2060" spans="1:20" x14ac:dyDescent="0.25">
      <c r="A2060" t="s">
        <v>3350</v>
      </c>
      <c r="B2060" t="s">
        <v>529</v>
      </c>
      <c r="C2060" t="s">
        <v>586</v>
      </c>
      <c r="D2060" t="s">
        <v>741</v>
      </c>
      <c r="E2060" t="s">
        <v>3351</v>
      </c>
      <c r="F2060">
        <v>0.73217471450572413</v>
      </c>
      <c r="G2060">
        <v>19.428602739726042</v>
      </c>
      <c r="H2060" t="s">
        <v>846</v>
      </c>
      <c r="I2060" t="s">
        <v>733</v>
      </c>
      <c r="J2060">
        <v>4</v>
      </c>
      <c r="K2060" t="s">
        <v>861</v>
      </c>
      <c r="L2060">
        <v>385000</v>
      </c>
      <c r="M2060">
        <v>1.76</v>
      </c>
      <c r="N2060">
        <v>19.428602739726042</v>
      </c>
      <c r="O2060" t="s">
        <v>592</v>
      </c>
      <c r="P2060" t="s">
        <v>627</v>
      </c>
      <c r="Q2060" t="s">
        <v>586</v>
      </c>
      <c r="R2060" t="s">
        <v>712</v>
      </c>
      <c r="S2060" t="s">
        <v>712</v>
      </c>
      <c r="T2060">
        <v>91</v>
      </c>
    </row>
    <row r="2061" spans="1:20" x14ac:dyDescent="0.25">
      <c r="A2061" t="s">
        <v>3352</v>
      </c>
      <c r="B2061" t="s">
        <v>529</v>
      </c>
      <c r="C2061" t="s">
        <v>586</v>
      </c>
      <c r="D2061" t="s">
        <v>741</v>
      </c>
      <c r="E2061" t="s">
        <v>3351</v>
      </c>
      <c r="F2061">
        <v>1.6749053320553824</v>
      </c>
      <c r="G2061">
        <v>20.806449315068498</v>
      </c>
      <c r="H2061" t="s">
        <v>846</v>
      </c>
      <c r="I2061" t="s">
        <v>733</v>
      </c>
      <c r="J2061">
        <v>4</v>
      </c>
      <c r="K2061" t="s">
        <v>682</v>
      </c>
      <c r="L2061">
        <v>405000</v>
      </c>
      <c r="M2061">
        <v>1.8800000000000001</v>
      </c>
      <c r="N2061">
        <v>20.806449315068498</v>
      </c>
      <c r="O2061" t="s">
        <v>592</v>
      </c>
      <c r="P2061" t="s">
        <v>627</v>
      </c>
      <c r="Q2061" t="s">
        <v>586</v>
      </c>
      <c r="R2061" t="s">
        <v>712</v>
      </c>
      <c r="S2061" t="s">
        <v>712</v>
      </c>
      <c r="T2061">
        <v>84</v>
      </c>
    </row>
    <row r="2062" spans="1:20" x14ac:dyDescent="0.25">
      <c r="A2062" t="s">
        <v>3353</v>
      </c>
      <c r="B2062" t="s">
        <v>529</v>
      </c>
      <c r="C2062" t="s">
        <v>586</v>
      </c>
      <c r="D2062" t="s">
        <v>741</v>
      </c>
      <c r="E2062" t="s">
        <v>3351</v>
      </c>
      <c r="F2062">
        <v>2.5829947109525118</v>
      </c>
      <c r="G2062">
        <v>22.039161643835612</v>
      </c>
      <c r="H2062" t="s">
        <v>846</v>
      </c>
      <c r="I2062" t="s">
        <v>733</v>
      </c>
      <c r="J2062">
        <v>4</v>
      </c>
      <c r="K2062" t="s">
        <v>930</v>
      </c>
      <c r="L2062">
        <v>420000</v>
      </c>
      <c r="M2062">
        <v>2</v>
      </c>
      <c r="N2062">
        <v>22.039161643835612</v>
      </c>
      <c r="O2062" t="s">
        <v>592</v>
      </c>
      <c r="P2062" t="s">
        <v>627</v>
      </c>
      <c r="Q2062" t="s">
        <v>586</v>
      </c>
      <c r="R2062" t="s">
        <v>712</v>
      </c>
      <c r="S2062" t="s">
        <v>712</v>
      </c>
      <c r="T2062">
        <v>73</v>
      </c>
    </row>
    <row r="2063" spans="1:20" x14ac:dyDescent="0.25">
      <c r="A2063" t="s">
        <v>3354</v>
      </c>
      <c r="B2063" t="s">
        <v>529</v>
      </c>
      <c r="C2063" t="s">
        <v>586</v>
      </c>
      <c r="D2063" t="s">
        <v>741</v>
      </c>
      <c r="E2063" t="s">
        <v>3351</v>
      </c>
      <c r="F2063">
        <v>3.458382669585375</v>
      </c>
      <c r="G2063">
        <v>22.482734246575319</v>
      </c>
      <c r="H2063" t="s">
        <v>846</v>
      </c>
      <c r="I2063" t="s">
        <v>733</v>
      </c>
      <c r="J2063">
        <v>4</v>
      </c>
      <c r="K2063" t="s">
        <v>684</v>
      </c>
      <c r="L2063">
        <v>435000</v>
      </c>
      <c r="M2063">
        <v>2.11</v>
      </c>
      <c r="N2063">
        <v>22.482734246575319</v>
      </c>
      <c r="O2063" t="s">
        <v>592</v>
      </c>
      <c r="P2063" t="s">
        <v>627</v>
      </c>
      <c r="Q2063" t="s">
        <v>586</v>
      </c>
      <c r="R2063">
        <v>50000</v>
      </c>
      <c r="S2063" t="s">
        <v>712</v>
      </c>
      <c r="T2063">
        <v>64</v>
      </c>
    </row>
    <row r="2064" spans="1:20" x14ac:dyDescent="0.25">
      <c r="A2064" t="s">
        <v>3355</v>
      </c>
      <c r="B2064" t="s">
        <v>529</v>
      </c>
      <c r="C2064" t="s">
        <v>586</v>
      </c>
      <c r="D2064" t="s">
        <v>741</v>
      </c>
      <c r="E2064" t="s">
        <v>3351</v>
      </c>
      <c r="F2064">
        <v>4.3026478823108238</v>
      </c>
      <c r="G2064">
        <v>24.440621917808226</v>
      </c>
      <c r="H2064" t="s">
        <v>846</v>
      </c>
      <c r="I2064" t="s">
        <v>733</v>
      </c>
      <c r="J2064">
        <v>4</v>
      </c>
      <c r="K2064" t="s">
        <v>701</v>
      </c>
      <c r="L2064">
        <v>110000</v>
      </c>
      <c r="M2064">
        <v>2.21</v>
      </c>
      <c r="N2064">
        <v>24.440621917808226</v>
      </c>
      <c r="O2064" t="s">
        <v>592</v>
      </c>
      <c r="P2064" t="s">
        <v>627</v>
      </c>
      <c r="Q2064" t="s">
        <v>586</v>
      </c>
      <c r="R2064" t="s">
        <v>712</v>
      </c>
      <c r="S2064" t="s">
        <v>712</v>
      </c>
      <c r="T2064">
        <v>56</v>
      </c>
    </row>
    <row r="2065" spans="1:20" x14ac:dyDescent="0.25">
      <c r="A2065" t="s">
        <v>3356</v>
      </c>
      <c r="B2065" t="s">
        <v>124</v>
      </c>
      <c r="C2065" t="s">
        <v>586</v>
      </c>
      <c r="D2065" t="s">
        <v>741</v>
      </c>
      <c r="E2065" t="s">
        <v>1017</v>
      </c>
      <c r="F2065">
        <v>1.38071987508312</v>
      </c>
      <c r="G2065">
        <v>34.052912328767128</v>
      </c>
      <c r="H2065" t="s">
        <v>1107</v>
      </c>
      <c r="I2065" t="s">
        <v>661</v>
      </c>
      <c r="J2065">
        <v>3</v>
      </c>
      <c r="K2065" t="s">
        <v>946</v>
      </c>
      <c r="L2065">
        <v>125000</v>
      </c>
      <c r="M2065">
        <v>1.85</v>
      </c>
      <c r="N2065">
        <v>34.052912328767128</v>
      </c>
      <c r="O2065" t="s">
        <v>592</v>
      </c>
      <c r="P2065" t="s">
        <v>627</v>
      </c>
      <c r="Q2065" t="s">
        <v>586</v>
      </c>
      <c r="R2065" t="s">
        <v>712</v>
      </c>
      <c r="S2065" t="s">
        <v>712</v>
      </c>
      <c r="T2065">
        <v>76</v>
      </c>
    </row>
    <row r="2066" spans="1:20" x14ac:dyDescent="0.25">
      <c r="A2066" t="s">
        <v>3357</v>
      </c>
      <c r="B2066" t="s">
        <v>124</v>
      </c>
      <c r="C2066" t="s">
        <v>586</v>
      </c>
      <c r="D2066" t="s">
        <v>741</v>
      </c>
      <c r="E2066" t="s">
        <v>1017</v>
      </c>
      <c r="F2066">
        <v>2.3211997580814003</v>
      </c>
      <c r="G2066">
        <v>35.767936986301386</v>
      </c>
      <c r="H2066" t="s">
        <v>1107</v>
      </c>
      <c r="I2066" t="s">
        <v>661</v>
      </c>
      <c r="J2066">
        <v>3</v>
      </c>
      <c r="K2066" t="s">
        <v>747</v>
      </c>
      <c r="L2066">
        <v>125000</v>
      </c>
      <c r="M2066">
        <v>2</v>
      </c>
      <c r="N2066">
        <v>35.767936986301386</v>
      </c>
      <c r="O2066" t="s">
        <v>592</v>
      </c>
      <c r="P2066" t="s">
        <v>627</v>
      </c>
      <c r="Q2066" t="s">
        <v>586</v>
      </c>
      <c r="R2066" t="s">
        <v>712</v>
      </c>
      <c r="S2066" t="s">
        <v>712</v>
      </c>
      <c r="T2066">
        <v>64</v>
      </c>
    </row>
    <row r="2067" spans="1:20" x14ac:dyDescent="0.25">
      <c r="A2067" t="s">
        <v>3358</v>
      </c>
      <c r="B2067" t="s">
        <v>124</v>
      </c>
      <c r="C2067" t="s">
        <v>586</v>
      </c>
      <c r="D2067" t="s">
        <v>741</v>
      </c>
      <c r="E2067" t="s">
        <v>1017</v>
      </c>
      <c r="F2067">
        <v>3.2348485890457637</v>
      </c>
      <c r="G2067">
        <v>32.82695616438356</v>
      </c>
      <c r="H2067" t="s">
        <v>1107</v>
      </c>
      <c r="I2067" t="s">
        <v>661</v>
      </c>
      <c r="J2067">
        <v>3</v>
      </c>
      <c r="K2067" t="s">
        <v>815</v>
      </c>
      <c r="L2067">
        <v>125000</v>
      </c>
      <c r="M2067">
        <v>2.1</v>
      </c>
      <c r="N2067">
        <v>32.82695616438356</v>
      </c>
      <c r="O2067" t="s">
        <v>592</v>
      </c>
      <c r="P2067" t="s">
        <v>627</v>
      </c>
      <c r="Q2067" t="s">
        <v>586</v>
      </c>
      <c r="R2067" t="s">
        <v>712</v>
      </c>
      <c r="S2067" t="s">
        <v>712</v>
      </c>
      <c r="T2067">
        <v>50</v>
      </c>
    </row>
    <row r="2068" spans="1:20" x14ac:dyDescent="0.25">
      <c r="A2068" t="s">
        <v>3359</v>
      </c>
      <c r="B2068" t="s">
        <v>124</v>
      </c>
      <c r="C2068" t="s">
        <v>586</v>
      </c>
      <c r="D2068" t="s">
        <v>741</v>
      </c>
      <c r="E2068" t="s">
        <v>1017</v>
      </c>
      <c r="F2068">
        <v>4.1221357760609818</v>
      </c>
      <c r="G2068">
        <v>31.72885753424659</v>
      </c>
      <c r="H2068" t="s">
        <v>1107</v>
      </c>
      <c r="I2068" t="s">
        <v>661</v>
      </c>
      <c r="J2068">
        <v>3</v>
      </c>
      <c r="K2068" t="s">
        <v>1043</v>
      </c>
      <c r="L2068">
        <v>125000</v>
      </c>
      <c r="M2068">
        <v>2.2000000000000002</v>
      </c>
      <c r="N2068">
        <v>31.72885753424659</v>
      </c>
      <c r="O2068" t="s">
        <v>592</v>
      </c>
      <c r="P2068" t="s">
        <v>627</v>
      </c>
      <c r="Q2068" t="s">
        <v>586</v>
      </c>
      <c r="R2068" t="s">
        <v>712</v>
      </c>
      <c r="S2068" t="s">
        <v>712</v>
      </c>
      <c r="T2068">
        <v>39</v>
      </c>
    </row>
    <row r="2069" spans="1:20" x14ac:dyDescent="0.25">
      <c r="A2069" t="s">
        <v>3360</v>
      </c>
      <c r="B2069" t="s">
        <v>530</v>
      </c>
      <c r="C2069" t="s">
        <v>586</v>
      </c>
      <c r="D2069" t="s">
        <v>805</v>
      </c>
      <c r="E2069" t="s">
        <v>883</v>
      </c>
      <c r="F2069">
        <v>0.73100240374161662</v>
      </c>
      <c r="G2069">
        <v>4.454544605200117</v>
      </c>
      <c r="H2069" t="s">
        <v>1253</v>
      </c>
      <c r="I2069" t="s">
        <v>1571</v>
      </c>
      <c r="J2069">
        <v>5</v>
      </c>
      <c r="K2069" t="s">
        <v>861</v>
      </c>
      <c r="L2069">
        <v>595000</v>
      </c>
      <c r="M2069">
        <v>1.78</v>
      </c>
      <c r="N2069">
        <v>4.454544605200117</v>
      </c>
      <c r="O2069" t="s">
        <v>592</v>
      </c>
      <c r="P2069" t="s">
        <v>593</v>
      </c>
      <c r="Q2069" t="s">
        <v>586</v>
      </c>
      <c r="R2069">
        <v>120000</v>
      </c>
      <c r="S2069" t="s">
        <v>712</v>
      </c>
      <c r="T2069">
        <v>95</v>
      </c>
    </row>
    <row r="2070" spans="1:20" x14ac:dyDescent="0.25">
      <c r="A2070" t="s">
        <v>3361</v>
      </c>
      <c r="B2070" t="s">
        <v>530</v>
      </c>
      <c r="C2070" t="s">
        <v>586</v>
      </c>
      <c r="D2070" t="s">
        <v>805</v>
      </c>
      <c r="E2070" t="s">
        <v>883</v>
      </c>
      <c r="F2070">
        <v>2.5589574607456687</v>
      </c>
      <c r="G2070">
        <v>4.6084103881118388</v>
      </c>
      <c r="H2070" t="s">
        <v>1253</v>
      </c>
      <c r="I2070" t="s">
        <v>1571</v>
      </c>
      <c r="J2070">
        <v>5</v>
      </c>
      <c r="K2070" t="s">
        <v>930</v>
      </c>
      <c r="L2070">
        <v>580000</v>
      </c>
      <c r="M2070">
        <v>2.11</v>
      </c>
      <c r="N2070">
        <v>4.6084103881118388</v>
      </c>
      <c r="O2070" t="s">
        <v>592</v>
      </c>
      <c r="P2070" t="s">
        <v>593</v>
      </c>
      <c r="Q2070" t="s">
        <v>586</v>
      </c>
      <c r="R2070">
        <v>30000</v>
      </c>
      <c r="S2070" t="s">
        <v>712</v>
      </c>
      <c r="T2070">
        <v>83</v>
      </c>
    </row>
    <row r="2071" spans="1:20" x14ac:dyDescent="0.25">
      <c r="A2071" t="s">
        <v>3362</v>
      </c>
      <c r="B2071" t="s">
        <v>531</v>
      </c>
      <c r="C2071" t="s">
        <v>586</v>
      </c>
      <c r="D2071" t="s">
        <v>680</v>
      </c>
      <c r="E2071" t="s">
        <v>3363</v>
      </c>
      <c r="F2071">
        <v>2.5971009430353673</v>
      </c>
      <c r="G2071">
        <v>0.31155681678711744</v>
      </c>
      <c r="H2071" t="s">
        <v>3364</v>
      </c>
      <c r="I2071" t="s">
        <v>1247</v>
      </c>
      <c r="J2071">
        <v>5</v>
      </c>
      <c r="K2071" t="s">
        <v>1498</v>
      </c>
      <c r="L2071">
        <v>305000</v>
      </c>
      <c r="M2071">
        <v>1.87</v>
      </c>
      <c r="N2071">
        <v>0.31155681678711744</v>
      </c>
      <c r="O2071" t="s">
        <v>592</v>
      </c>
      <c r="P2071" t="s">
        <v>593</v>
      </c>
      <c r="Q2071" t="s">
        <v>586</v>
      </c>
      <c r="R2071" t="s">
        <v>712</v>
      </c>
      <c r="S2071" t="s">
        <v>712</v>
      </c>
      <c r="T2071">
        <v>66</v>
      </c>
    </row>
    <row r="2072" spans="1:20" x14ac:dyDescent="0.25">
      <c r="A2072" t="s">
        <v>3365</v>
      </c>
      <c r="B2072" t="s">
        <v>532</v>
      </c>
      <c r="C2072" t="s">
        <v>607</v>
      </c>
      <c r="D2072" t="s">
        <v>623</v>
      </c>
      <c r="E2072" t="s">
        <v>3366</v>
      </c>
      <c r="F2072">
        <v>0.4112425832523442</v>
      </c>
      <c r="G2072">
        <v>95.844501369863025</v>
      </c>
      <c r="H2072" t="s">
        <v>2235</v>
      </c>
      <c r="I2072" t="s">
        <v>611</v>
      </c>
      <c r="J2072">
        <v>3</v>
      </c>
      <c r="K2072" t="s">
        <v>686</v>
      </c>
      <c r="L2072">
        <v>160000</v>
      </c>
      <c r="M2072">
        <v>2.5</v>
      </c>
      <c r="N2072">
        <v>95.844501369863025</v>
      </c>
      <c r="O2072" t="s">
        <v>592</v>
      </c>
      <c r="P2072" t="s">
        <v>745</v>
      </c>
      <c r="Q2072" t="s">
        <v>586</v>
      </c>
      <c r="R2072" t="s">
        <v>712</v>
      </c>
      <c r="S2072" t="s">
        <v>712</v>
      </c>
      <c r="T2072">
        <v>98</v>
      </c>
    </row>
    <row r="2073" spans="1:20" x14ac:dyDescent="0.25">
      <c r="A2073" t="s">
        <v>3367</v>
      </c>
      <c r="B2073" t="s">
        <v>532</v>
      </c>
      <c r="C2073" t="s">
        <v>607</v>
      </c>
      <c r="D2073" t="s">
        <v>623</v>
      </c>
      <c r="E2073" t="s">
        <v>3366</v>
      </c>
      <c r="F2073">
        <v>1.3771841218473722</v>
      </c>
      <c r="G2073">
        <v>100.32124657534244</v>
      </c>
      <c r="H2073" t="s">
        <v>2235</v>
      </c>
      <c r="I2073" t="s">
        <v>611</v>
      </c>
      <c r="J2073">
        <v>3</v>
      </c>
      <c r="K2073" t="s">
        <v>946</v>
      </c>
      <c r="L2073">
        <v>165000</v>
      </c>
      <c r="M2073">
        <v>2.65</v>
      </c>
      <c r="N2073">
        <v>100.32124657534244</v>
      </c>
      <c r="O2073" t="s">
        <v>592</v>
      </c>
      <c r="P2073" t="s">
        <v>745</v>
      </c>
      <c r="Q2073" t="s">
        <v>586</v>
      </c>
      <c r="R2073" t="s">
        <v>712</v>
      </c>
      <c r="S2073" t="s">
        <v>712</v>
      </c>
      <c r="T2073">
        <v>84</v>
      </c>
    </row>
    <row r="2074" spans="1:20" x14ac:dyDescent="0.25">
      <c r="A2074" t="s">
        <v>3368</v>
      </c>
      <c r="B2074" t="s">
        <v>532</v>
      </c>
      <c r="C2074" t="s">
        <v>607</v>
      </c>
      <c r="D2074" t="s">
        <v>623</v>
      </c>
      <c r="E2074" t="s">
        <v>3366</v>
      </c>
      <c r="F2074">
        <v>2.2931291936807274</v>
      </c>
      <c r="G2074">
        <v>105.16023287671233</v>
      </c>
      <c r="H2074" t="s">
        <v>2235</v>
      </c>
      <c r="I2074" t="s">
        <v>611</v>
      </c>
      <c r="J2074">
        <v>4</v>
      </c>
      <c r="K2074" t="s">
        <v>747</v>
      </c>
      <c r="L2074">
        <v>165000</v>
      </c>
      <c r="M2074">
        <v>2.8000000000000003</v>
      </c>
      <c r="N2074">
        <v>105.16023287671233</v>
      </c>
      <c r="O2074" t="s">
        <v>592</v>
      </c>
      <c r="P2074" t="s">
        <v>745</v>
      </c>
      <c r="Q2074" t="s">
        <v>586</v>
      </c>
      <c r="R2074" t="s">
        <v>712</v>
      </c>
      <c r="S2074" t="s">
        <v>712</v>
      </c>
      <c r="T2074">
        <v>77</v>
      </c>
    </row>
    <row r="2075" spans="1:20" x14ac:dyDescent="0.25">
      <c r="A2075" t="s">
        <v>3369</v>
      </c>
      <c r="B2075" t="s">
        <v>85</v>
      </c>
      <c r="C2075" t="s">
        <v>607</v>
      </c>
      <c r="D2075" t="s">
        <v>830</v>
      </c>
      <c r="E2075" t="s">
        <v>927</v>
      </c>
      <c r="F2075">
        <v>1.5614344123569077</v>
      </c>
      <c r="G2075">
        <v>57.445281731160101</v>
      </c>
      <c r="H2075" t="s">
        <v>928</v>
      </c>
      <c r="I2075" t="s">
        <v>721</v>
      </c>
      <c r="J2075">
        <v>3</v>
      </c>
      <c r="K2075" t="s">
        <v>800</v>
      </c>
      <c r="L2075">
        <v>1010000</v>
      </c>
      <c r="M2075">
        <v>2.0300000000000002</v>
      </c>
      <c r="N2075">
        <v>57.445281731160101</v>
      </c>
      <c r="O2075" t="s">
        <v>592</v>
      </c>
      <c r="P2075" t="s">
        <v>593</v>
      </c>
      <c r="Q2075" t="s">
        <v>586</v>
      </c>
      <c r="R2075">
        <v>30000</v>
      </c>
      <c r="S2075" t="s">
        <v>594</v>
      </c>
      <c r="T2075">
        <v>74</v>
      </c>
    </row>
    <row r="2076" spans="1:20" x14ac:dyDescent="0.25">
      <c r="A2076" t="s">
        <v>3370</v>
      </c>
      <c r="B2076" t="s">
        <v>85</v>
      </c>
      <c r="C2076" t="s">
        <v>607</v>
      </c>
      <c r="D2076" t="s">
        <v>830</v>
      </c>
      <c r="E2076" t="s">
        <v>927</v>
      </c>
      <c r="F2076">
        <v>2.4873646232240247</v>
      </c>
      <c r="G2076">
        <v>64.632657335546014</v>
      </c>
      <c r="H2076" t="s">
        <v>928</v>
      </c>
      <c r="I2076" t="s">
        <v>721</v>
      </c>
      <c r="J2076">
        <v>3</v>
      </c>
      <c r="K2076" t="s">
        <v>1055</v>
      </c>
      <c r="L2076">
        <v>1110000</v>
      </c>
      <c r="M2076">
        <v>2.2600000000000002</v>
      </c>
      <c r="N2076">
        <v>64.632657335546014</v>
      </c>
      <c r="O2076" t="s">
        <v>592</v>
      </c>
      <c r="P2076" t="s">
        <v>593</v>
      </c>
      <c r="Q2076" t="s">
        <v>586</v>
      </c>
      <c r="R2076" t="s">
        <v>712</v>
      </c>
      <c r="S2076" t="s">
        <v>594</v>
      </c>
      <c r="T2076">
        <v>60</v>
      </c>
    </row>
    <row r="2077" spans="1:20" x14ac:dyDescent="0.25">
      <c r="A2077" t="s">
        <v>3371</v>
      </c>
      <c r="B2077" t="s">
        <v>125</v>
      </c>
      <c r="C2077" t="s">
        <v>586</v>
      </c>
      <c r="D2077" t="s">
        <v>608</v>
      </c>
      <c r="E2077" t="s">
        <v>671</v>
      </c>
      <c r="F2077">
        <v>1.4478069196472949</v>
      </c>
      <c r="G2077">
        <v>19.381153781707241</v>
      </c>
      <c r="H2077" t="s">
        <v>1000</v>
      </c>
      <c r="I2077" t="s">
        <v>611</v>
      </c>
      <c r="J2077">
        <v>5</v>
      </c>
      <c r="K2077" t="s">
        <v>780</v>
      </c>
      <c r="L2077">
        <v>795000</v>
      </c>
      <c r="M2077">
        <v>1.6500000000000001</v>
      </c>
      <c r="N2077">
        <v>19.381153781707241</v>
      </c>
      <c r="O2077" t="s">
        <v>592</v>
      </c>
      <c r="P2077" t="s">
        <v>621</v>
      </c>
      <c r="Q2077" t="s">
        <v>586</v>
      </c>
      <c r="R2077">
        <v>40000</v>
      </c>
      <c r="S2077" t="s">
        <v>712</v>
      </c>
      <c r="T2077">
        <v>85</v>
      </c>
    </row>
    <row r="2078" spans="1:20" x14ac:dyDescent="0.25">
      <c r="A2078" t="s">
        <v>3372</v>
      </c>
      <c r="B2078" t="s">
        <v>33</v>
      </c>
      <c r="C2078" t="s">
        <v>586</v>
      </c>
      <c r="D2078" t="s">
        <v>608</v>
      </c>
      <c r="E2078" t="s">
        <v>671</v>
      </c>
      <c r="F2078">
        <v>5.5553192854814054E-3</v>
      </c>
      <c r="G2078">
        <v>24.026975249185689</v>
      </c>
      <c r="H2078" t="s">
        <v>672</v>
      </c>
      <c r="I2078" t="s">
        <v>673</v>
      </c>
      <c r="J2078">
        <v>3</v>
      </c>
      <c r="K2078" t="s">
        <v>995</v>
      </c>
      <c r="L2078">
        <v>7955000</v>
      </c>
      <c r="M2078">
        <v>1.69</v>
      </c>
      <c r="N2078">
        <v>24.026975249185689</v>
      </c>
      <c r="O2078" t="s">
        <v>592</v>
      </c>
      <c r="P2078" t="s">
        <v>621</v>
      </c>
      <c r="Q2078" t="s">
        <v>586</v>
      </c>
      <c r="R2078">
        <v>20000</v>
      </c>
      <c r="S2078" t="s">
        <v>599</v>
      </c>
      <c r="T2078">
        <v>99</v>
      </c>
    </row>
    <row r="2079" spans="1:20" x14ac:dyDescent="0.25">
      <c r="A2079" t="s">
        <v>3373</v>
      </c>
      <c r="B2079" t="s">
        <v>64</v>
      </c>
      <c r="C2079" t="s">
        <v>586</v>
      </c>
      <c r="D2079" t="s">
        <v>608</v>
      </c>
      <c r="E2079" t="s">
        <v>841</v>
      </c>
      <c r="F2079">
        <v>5.5552830476227368E-3</v>
      </c>
      <c r="G2079">
        <v>12.657073972602738</v>
      </c>
      <c r="H2079" t="s">
        <v>842</v>
      </c>
      <c r="I2079" t="s">
        <v>721</v>
      </c>
      <c r="J2079">
        <v>5</v>
      </c>
      <c r="K2079" t="s">
        <v>995</v>
      </c>
      <c r="L2079">
        <v>975000</v>
      </c>
      <c r="M2079">
        <v>1.45</v>
      </c>
      <c r="N2079">
        <v>12.657073972602738</v>
      </c>
      <c r="O2079" t="s">
        <v>592</v>
      </c>
      <c r="P2079" t="s">
        <v>621</v>
      </c>
      <c r="Q2079" t="s">
        <v>586</v>
      </c>
      <c r="R2079" t="s">
        <v>712</v>
      </c>
      <c r="S2079" t="s">
        <v>712</v>
      </c>
      <c r="T2079">
        <v>98</v>
      </c>
    </row>
    <row r="2080" spans="1:20" x14ac:dyDescent="0.25">
      <c r="A2080" t="s">
        <v>3374</v>
      </c>
      <c r="B2080" t="s">
        <v>64</v>
      </c>
      <c r="C2080" t="s">
        <v>586</v>
      </c>
      <c r="D2080" t="s">
        <v>608</v>
      </c>
      <c r="E2080" t="s">
        <v>841</v>
      </c>
      <c r="F2080">
        <v>2.8035101341886244</v>
      </c>
      <c r="G2080">
        <v>19.570315068493137</v>
      </c>
      <c r="H2080" t="s">
        <v>842</v>
      </c>
      <c r="I2080" t="s">
        <v>721</v>
      </c>
      <c r="J2080">
        <v>5</v>
      </c>
      <c r="K2080" t="s">
        <v>817</v>
      </c>
      <c r="L2080">
        <v>1365000</v>
      </c>
      <c r="M2080">
        <v>1.9000000000000001</v>
      </c>
      <c r="N2080">
        <v>19.570315068493137</v>
      </c>
      <c r="O2080" t="s">
        <v>592</v>
      </c>
      <c r="P2080" t="s">
        <v>621</v>
      </c>
      <c r="Q2080" t="s">
        <v>586</v>
      </c>
      <c r="R2080" t="s">
        <v>712</v>
      </c>
      <c r="S2080" t="s">
        <v>712</v>
      </c>
      <c r="T2080">
        <v>77</v>
      </c>
    </row>
    <row r="2081" spans="1:20" x14ac:dyDescent="0.25">
      <c r="A2081" t="s">
        <v>3375</v>
      </c>
      <c r="B2081" t="s">
        <v>64</v>
      </c>
      <c r="C2081" t="s">
        <v>586</v>
      </c>
      <c r="D2081" t="s">
        <v>608</v>
      </c>
      <c r="E2081" t="s">
        <v>841</v>
      </c>
      <c r="F2081">
        <v>3.6571117370669328</v>
      </c>
      <c r="G2081">
        <v>22.955213698630118</v>
      </c>
      <c r="H2081" t="s">
        <v>842</v>
      </c>
      <c r="I2081" t="s">
        <v>721</v>
      </c>
      <c r="J2081">
        <v>5</v>
      </c>
      <c r="K2081" t="s">
        <v>620</v>
      </c>
      <c r="L2081">
        <v>1435000</v>
      </c>
      <c r="M2081">
        <v>2.0499999999999998</v>
      </c>
      <c r="N2081">
        <v>22.955213698630118</v>
      </c>
      <c r="O2081" t="s">
        <v>592</v>
      </c>
      <c r="P2081" t="s">
        <v>621</v>
      </c>
      <c r="Q2081" t="s">
        <v>586</v>
      </c>
      <c r="R2081">
        <v>30000</v>
      </c>
      <c r="S2081" t="s">
        <v>712</v>
      </c>
      <c r="T2081">
        <v>72</v>
      </c>
    </row>
    <row r="2082" spans="1:20" x14ac:dyDescent="0.25">
      <c r="A2082" t="s">
        <v>3376</v>
      </c>
      <c r="B2082" t="s">
        <v>72</v>
      </c>
      <c r="C2082" t="s">
        <v>586</v>
      </c>
      <c r="D2082" t="s">
        <v>608</v>
      </c>
      <c r="E2082" t="s">
        <v>841</v>
      </c>
      <c r="F2082">
        <v>1.9122236534173709</v>
      </c>
      <c r="G2082">
        <v>24.670715712184844</v>
      </c>
      <c r="H2082" t="s">
        <v>589</v>
      </c>
      <c r="I2082" t="s">
        <v>611</v>
      </c>
      <c r="J2082">
        <v>5</v>
      </c>
      <c r="K2082" t="s">
        <v>729</v>
      </c>
      <c r="L2082">
        <v>1385000</v>
      </c>
      <c r="M2082">
        <v>1.68</v>
      </c>
      <c r="N2082">
        <v>24.670715712184844</v>
      </c>
      <c r="O2082" t="s">
        <v>592</v>
      </c>
      <c r="P2082" t="s">
        <v>621</v>
      </c>
      <c r="Q2082" t="s">
        <v>586</v>
      </c>
      <c r="R2082">
        <v>200000</v>
      </c>
      <c r="S2082" t="s">
        <v>712</v>
      </c>
      <c r="T2082">
        <v>82</v>
      </c>
    </row>
    <row r="2083" spans="1:20" x14ac:dyDescent="0.25">
      <c r="A2083" t="s">
        <v>3377</v>
      </c>
      <c r="B2083" t="s">
        <v>531</v>
      </c>
      <c r="C2083" t="s">
        <v>586</v>
      </c>
      <c r="D2083" t="s">
        <v>680</v>
      </c>
      <c r="E2083" t="s">
        <v>3363</v>
      </c>
      <c r="F2083">
        <v>0.76959320960690458</v>
      </c>
      <c r="G2083">
        <v>-4.2209182110347188</v>
      </c>
      <c r="H2083" t="s">
        <v>3364</v>
      </c>
      <c r="I2083" t="s">
        <v>1247</v>
      </c>
      <c r="J2083">
        <v>5</v>
      </c>
      <c r="K2083" t="s">
        <v>1168</v>
      </c>
      <c r="L2083">
        <v>310000</v>
      </c>
      <c r="M2083">
        <v>1.5</v>
      </c>
      <c r="N2083">
        <v>-4.2209182110347188</v>
      </c>
      <c r="O2083" t="s">
        <v>592</v>
      </c>
      <c r="P2083" t="s">
        <v>593</v>
      </c>
      <c r="Q2083" t="s">
        <v>586</v>
      </c>
      <c r="R2083" t="s">
        <v>712</v>
      </c>
      <c r="S2083" t="s">
        <v>712</v>
      </c>
      <c r="T2083">
        <v>90</v>
      </c>
    </row>
    <row r="2084" spans="1:20" x14ac:dyDescent="0.25">
      <c r="A2084" t="s">
        <v>3378</v>
      </c>
      <c r="B2084" t="s">
        <v>531</v>
      </c>
      <c r="C2084" t="s">
        <v>586</v>
      </c>
      <c r="D2084" t="s">
        <v>680</v>
      </c>
      <c r="E2084" t="s">
        <v>3363</v>
      </c>
      <c r="F2084">
        <v>1.7036675860876322</v>
      </c>
      <c r="G2084">
        <v>-5.5120018092245315</v>
      </c>
      <c r="H2084" t="s">
        <v>3364</v>
      </c>
      <c r="I2084" t="s">
        <v>1247</v>
      </c>
      <c r="J2084">
        <v>5</v>
      </c>
      <c r="K2084" t="s">
        <v>1496</v>
      </c>
      <c r="L2084">
        <v>310000</v>
      </c>
      <c r="M2084">
        <v>1.6500000000000001</v>
      </c>
      <c r="N2084">
        <v>-5.5120018092245315</v>
      </c>
      <c r="O2084" t="s">
        <v>592</v>
      </c>
      <c r="P2084" t="s">
        <v>593</v>
      </c>
      <c r="Q2084" t="s">
        <v>586</v>
      </c>
      <c r="R2084" t="s">
        <v>712</v>
      </c>
      <c r="S2084" t="s">
        <v>712</v>
      </c>
      <c r="T2084">
        <v>78</v>
      </c>
    </row>
    <row r="2085" spans="1:20" x14ac:dyDescent="0.25">
      <c r="A2085" t="s">
        <v>3379</v>
      </c>
      <c r="B2085" t="s">
        <v>532</v>
      </c>
      <c r="C2085" t="s">
        <v>607</v>
      </c>
      <c r="D2085" t="s">
        <v>623</v>
      </c>
      <c r="E2085" t="s">
        <v>3366</v>
      </c>
      <c r="F2085">
        <v>3.1818016848060515</v>
      </c>
      <c r="G2085">
        <v>109.32361917808223</v>
      </c>
      <c r="H2085" t="s">
        <v>2235</v>
      </c>
      <c r="I2085" t="s">
        <v>611</v>
      </c>
      <c r="J2085">
        <v>4</v>
      </c>
      <c r="K2085" t="s">
        <v>815</v>
      </c>
      <c r="L2085">
        <v>175000</v>
      </c>
      <c r="M2085">
        <v>2.95</v>
      </c>
      <c r="N2085">
        <v>109.32361917808223</v>
      </c>
      <c r="O2085" t="s">
        <v>592</v>
      </c>
      <c r="P2085" t="s">
        <v>745</v>
      </c>
      <c r="Q2085" t="s">
        <v>586</v>
      </c>
      <c r="R2085" t="s">
        <v>712</v>
      </c>
      <c r="S2085" t="s">
        <v>712</v>
      </c>
      <c r="T2085">
        <v>68</v>
      </c>
    </row>
    <row r="2086" spans="1:20" x14ac:dyDescent="0.25">
      <c r="A2086" t="s">
        <v>3380</v>
      </c>
      <c r="B2086" t="s">
        <v>532</v>
      </c>
      <c r="C2086" t="s">
        <v>607</v>
      </c>
      <c r="D2086" t="s">
        <v>623</v>
      </c>
      <c r="E2086" t="s">
        <v>3366</v>
      </c>
      <c r="F2086">
        <v>4.037942659579099</v>
      </c>
      <c r="G2086">
        <v>110.39466301369862</v>
      </c>
      <c r="H2086" t="s">
        <v>2235</v>
      </c>
      <c r="I2086" t="s">
        <v>611</v>
      </c>
      <c r="J2086">
        <v>4</v>
      </c>
      <c r="K2086" t="s">
        <v>1043</v>
      </c>
      <c r="L2086">
        <v>180000</v>
      </c>
      <c r="M2086">
        <v>3.0500000000000003</v>
      </c>
      <c r="N2086">
        <v>110.39466301369862</v>
      </c>
      <c r="O2086" t="s">
        <v>592</v>
      </c>
      <c r="P2086" t="s">
        <v>745</v>
      </c>
      <c r="Q2086" t="s">
        <v>586</v>
      </c>
      <c r="R2086" t="s">
        <v>712</v>
      </c>
      <c r="S2086" t="s">
        <v>712</v>
      </c>
      <c r="T2086">
        <v>61</v>
      </c>
    </row>
    <row r="2087" spans="1:20" x14ac:dyDescent="0.25">
      <c r="A2087" t="s">
        <v>3381</v>
      </c>
      <c r="B2087" t="s">
        <v>85</v>
      </c>
      <c r="C2087" t="s">
        <v>607</v>
      </c>
      <c r="D2087" t="s">
        <v>830</v>
      </c>
      <c r="E2087" t="s">
        <v>927</v>
      </c>
      <c r="F2087">
        <v>0.60790685336187211</v>
      </c>
      <c r="G2087">
        <v>53.391092523142738</v>
      </c>
      <c r="H2087" t="s">
        <v>928</v>
      </c>
      <c r="I2087" t="s">
        <v>721</v>
      </c>
      <c r="J2087">
        <v>3</v>
      </c>
      <c r="K2087" t="s">
        <v>948</v>
      </c>
      <c r="L2087">
        <v>960000</v>
      </c>
      <c r="M2087">
        <v>1.83</v>
      </c>
      <c r="N2087">
        <v>53.391092523142738</v>
      </c>
      <c r="O2087" t="s">
        <v>592</v>
      </c>
      <c r="P2087" t="s">
        <v>593</v>
      </c>
      <c r="Q2087" t="s">
        <v>586</v>
      </c>
      <c r="R2087">
        <v>500000</v>
      </c>
      <c r="S2087" t="s">
        <v>594</v>
      </c>
      <c r="T2087">
        <v>88</v>
      </c>
    </row>
    <row r="2088" spans="1:20" x14ac:dyDescent="0.25">
      <c r="A2088" t="s">
        <v>3382</v>
      </c>
      <c r="B2088" t="s">
        <v>85</v>
      </c>
      <c r="C2088" t="s">
        <v>607</v>
      </c>
      <c r="D2088" t="s">
        <v>830</v>
      </c>
      <c r="E2088" t="s">
        <v>927</v>
      </c>
      <c r="F2088">
        <v>4.2603509550270173</v>
      </c>
      <c r="G2088">
        <v>76.896984961544007</v>
      </c>
      <c r="H2088" t="s">
        <v>928</v>
      </c>
      <c r="I2088" t="s">
        <v>721</v>
      </c>
      <c r="J2088">
        <v>3</v>
      </c>
      <c r="K2088" t="s">
        <v>1240</v>
      </c>
      <c r="L2088">
        <v>1120000</v>
      </c>
      <c r="M2088">
        <v>2.65</v>
      </c>
      <c r="N2088">
        <v>76.896984961544007</v>
      </c>
      <c r="O2088" t="s">
        <v>592</v>
      </c>
      <c r="P2088" t="s">
        <v>593</v>
      </c>
      <c r="Q2088" t="s">
        <v>586</v>
      </c>
      <c r="R2088" t="s">
        <v>712</v>
      </c>
      <c r="S2088" t="s">
        <v>594</v>
      </c>
      <c r="T2088">
        <v>37</v>
      </c>
    </row>
    <row r="2089" spans="1:20" x14ac:dyDescent="0.25">
      <c r="A2089" t="s">
        <v>3383</v>
      </c>
      <c r="B2089" t="s">
        <v>125</v>
      </c>
      <c r="C2089" t="s">
        <v>586</v>
      </c>
      <c r="D2089" t="s">
        <v>608</v>
      </c>
      <c r="E2089" t="s">
        <v>671</v>
      </c>
      <c r="F2089">
        <v>0.49463879690532919</v>
      </c>
      <c r="G2089">
        <v>19.784293664605812</v>
      </c>
      <c r="H2089" t="s">
        <v>1000</v>
      </c>
      <c r="I2089" t="s">
        <v>611</v>
      </c>
      <c r="J2089">
        <v>5</v>
      </c>
      <c r="K2089" t="s">
        <v>807</v>
      </c>
      <c r="L2089">
        <v>750000</v>
      </c>
      <c r="M2089">
        <v>1.51</v>
      </c>
      <c r="N2089">
        <v>19.784293664605812</v>
      </c>
      <c r="O2089" t="s">
        <v>592</v>
      </c>
      <c r="P2089" t="s">
        <v>621</v>
      </c>
      <c r="Q2089" t="s">
        <v>586</v>
      </c>
      <c r="R2089">
        <v>30000</v>
      </c>
      <c r="S2089" t="s">
        <v>712</v>
      </c>
      <c r="T2089">
        <v>94</v>
      </c>
    </row>
    <row r="2090" spans="1:20" x14ac:dyDescent="0.25">
      <c r="A2090" t="s">
        <v>3384</v>
      </c>
      <c r="B2090" t="s">
        <v>125</v>
      </c>
      <c r="C2090" t="s">
        <v>586</v>
      </c>
      <c r="D2090" t="s">
        <v>608</v>
      </c>
      <c r="E2090" t="s">
        <v>671</v>
      </c>
      <c r="F2090">
        <v>3.2354864267366565</v>
      </c>
      <c r="G2090">
        <v>21.84106501862022</v>
      </c>
      <c r="H2090" t="s">
        <v>1000</v>
      </c>
      <c r="I2090" t="s">
        <v>611</v>
      </c>
      <c r="J2090">
        <v>5</v>
      </c>
      <c r="K2090" t="s">
        <v>824</v>
      </c>
      <c r="L2090">
        <v>885000</v>
      </c>
      <c r="M2090">
        <v>1.96</v>
      </c>
      <c r="N2090">
        <v>21.84106501862022</v>
      </c>
      <c r="O2090" t="s">
        <v>592</v>
      </c>
      <c r="P2090" t="s">
        <v>621</v>
      </c>
      <c r="Q2090" t="s">
        <v>586</v>
      </c>
      <c r="R2090">
        <v>130000</v>
      </c>
      <c r="S2090" t="s">
        <v>712</v>
      </c>
      <c r="T2090">
        <v>71</v>
      </c>
    </row>
    <row r="2091" spans="1:20" x14ac:dyDescent="0.25">
      <c r="A2091" t="s">
        <v>3385</v>
      </c>
      <c r="B2091" t="s">
        <v>125</v>
      </c>
      <c r="C2091" t="s">
        <v>586</v>
      </c>
      <c r="D2091" t="s">
        <v>608</v>
      </c>
      <c r="E2091" t="s">
        <v>671</v>
      </c>
      <c r="F2091">
        <v>4.0724533210521603</v>
      </c>
      <c r="G2091">
        <v>24.025939469480416</v>
      </c>
      <c r="H2091" t="s">
        <v>1000</v>
      </c>
      <c r="I2091" t="s">
        <v>611</v>
      </c>
      <c r="J2091">
        <v>5</v>
      </c>
      <c r="K2091" t="s">
        <v>1319</v>
      </c>
      <c r="L2091">
        <v>930000</v>
      </c>
      <c r="M2091">
        <v>2.1</v>
      </c>
      <c r="N2091">
        <v>24.025939469480416</v>
      </c>
      <c r="O2091" t="s">
        <v>592</v>
      </c>
      <c r="P2091" t="s">
        <v>621</v>
      </c>
      <c r="Q2091" t="s">
        <v>586</v>
      </c>
      <c r="R2091" t="s">
        <v>712</v>
      </c>
      <c r="S2091" t="s">
        <v>712</v>
      </c>
      <c r="T2091">
        <v>64</v>
      </c>
    </row>
    <row r="2092" spans="1:20" x14ac:dyDescent="0.25">
      <c r="A2092" t="s">
        <v>3386</v>
      </c>
      <c r="B2092" t="s">
        <v>33</v>
      </c>
      <c r="C2092" t="s">
        <v>586</v>
      </c>
      <c r="D2092" t="s">
        <v>608</v>
      </c>
      <c r="E2092" t="s">
        <v>671</v>
      </c>
      <c r="F2092">
        <v>1.9125431300167768</v>
      </c>
      <c r="G2092">
        <v>11.156373819358167</v>
      </c>
      <c r="H2092" t="s">
        <v>672</v>
      </c>
      <c r="I2092" t="s">
        <v>673</v>
      </c>
      <c r="J2092">
        <v>5</v>
      </c>
      <c r="K2092" t="s">
        <v>729</v>
      </c>
      <c r="L2092">
        <v>5750000</v>
      </c>
      <c r="M2092">
        <v>1.8900000000000001</v>
      </c>
      <c r="N2092">
        <v>11.156373819358167</v>
      </c>
      <c r="O2092" t="s">
        <v>592</v>
      </c>
      <c r="P2092" t="s">
        <v>621</v>
      </c>
      <c r="Q2092" t="s">
        <v>586</v>
      </c>
      <c r="R2092">
        <v>75000</v>
      </c>
      <c r="S2092" t="s">
        <v>599</v>
      </c>
      <c r="T2092">
        <v>88</v>
      </c>
    </row>
    <row r="2093" spans="1:20" x14ac:dyDescent="0.25">
      <c r="A2093" t="s">
        <v>3387</v>
      </c>
      <c r="B2093" t="s">
        <v>33</v>
      </c>
      <c r="C2093" t="s">
        <v>586</v>
      </c>
      <c r="D2093" t="s">
        <v>608</v>
      </c>
      <c r="E2093" t="s">
        <v>671</v>
      </c>
      <c r="F2093">
        <v>3.7677080498598157</v>
      </c>
      <c r="G2093">
        <v>39.20897127411984</v>
      </c>
      <c r="H2093" t="s">
        <v>672</v>
      </c>
      <c r="I2093" t="s">
        <v>673</v>
      </c>
      <c r="J2093">
        <v>3</v>
      </c>
      <c r="K2093" t="s">
        <v>620</v>
      </c>
      <c r="L2093">
        <v>14755000</v>
      </c>
      <c r="M2093">
        <v>2.4700000000000002</v>
      </c>
      <c r="N2093">
        <v>39.20897127411984</v>
      </c>
      <c r="O2093" t="s">
        <v>592</v>
      </c>
      <c r="P2093" t="s">
        <v>621</v>
      </c>
      <c r="Q2093" t="s">
        <v>586</v>
      </c>
      <c r="R2093">
        <v>150000</v>
      </c>
      <c r="S2093" t="s">
        <v>599</v>
      </c>
      <c r="T2093">
        <v>66</v>
      </c>
    </row>
    <row r="2094" spans="1:20" x14ac:dyDescent="0.25">
      <c r="A2094" t="s">
        <v>3388</v>
      </c>
      <c r="B2094" t="s">
        <v>30</v>
      </c>
      <c r="C2094" t="s">
        <v>586</v>
      </c>
      <c r="D2094" t="s">
        <v>654</v>
      </c>
      <c r="E2094" t="s">
        <v>655</v>
      </c>
      <c r="F2094">
        <v>2.7233028178587841</v>
      </c>
      <c r="G2094">
        <v>10.375350756074431</v>
      </c>
      <c r="H2094" t="s">
        <v>656</v>
      </c>
      <c r="I2094" t="s">
        <v>657</v>
      </c>
      <c r="J2094">
        <v>5</v>
      </c>
      <c r="K2094" t="s">
        <v>626</v>
      </c>
      <c r="L2094">
        <v>7220000</v>
      </c>
      <c r="M2094">
        <v>1.75</v>
      </c>
      <c r="N2094">
        <v>10.375350756074431</v>
      </c>
      <c r="O2094" t="s">
        <v>592</v>
      </c>
      <c r="P2094" t="s">
        <v>593</v>
      </c>
      <c r="Q2094" t="s">
        <v>586</v>
      </c>
      <c r="R2094">
        <v>900000</v>
      </c>
      <c r="S2094" t="s">
        <v>635</v>
      </c>
      <c r="T2094">
        <v>84</v>
      </c>
    </row>
    <row r="2095" spans="1:20" x14ac:dyDescent="0.25">
      <c r="A2095" t="s">
        <v>3389</v>
      </c>
      <c r="B2095" t="s">
        <v>30</v>
      </c>
      <c r="C2095" t="s">
        <v>586</v>
      </c>
      <c r="D2095" t="s">
        <v>654</v>
      </c>
      <c r="E2095" t="s">
        <v>655</v>
      </c>
      <c r="F2095">
        <v>4.4015895744978355</v>
      </c>
      <c r="G2095">
        <v>17.294548433560642</v>
      </c>
      <c r="H2095" t="s">
        <v>656</v>
      </c>
      <c r="I2095" t="s">
        <v>657</v>
      </c>
      <c r="J2095">
        <v>5</v>
      </c>
      <c r="K2095" t="s">
        <v>1174</v>
      </c>
      <c r="L2095">
        <v>7955000</v>
      </c>
      <c r="M2095">
        <v>2.06</v>
      </c>
      <c r="N2095">
        <v>17.294548433560642</v>
      </c>
      <c r="O2095" t="s">
        <v>592</v>
      </c>
      <c r="P2095" t="s">
        <v>593</v>
      </c>
      <c r="Q2095" t="s">
        <v>586</v>
      </c>
      <c r="R2095">
        <v>20000</v>
      </c>
      <c r="S2095" t="s">
        <v>635</v>
      </c>
      <c r="T2095">
        <v>67</v>
      </c>
    </row>
    <row r="2096" spans="1:20" x14ac:dyDescent="0.25">
      <c r="A2096" t="s">
        <v>3390</v>
      </c>
      <c r="B2096" t="s">
        <v>58</v>
      </c>
      <c r="C2096" t="s">
        <v>586</v>
      </c>
      <c r="D2096" t="s">
        <v>809</v>
      </c>
      <c r="E2096" t="s">
        <v>810</v>
      </c>
      <c r="F2096">
        <v>1.4637718316304451</v>
      </c>
      <c r="G2096">
        <v>24.608653975276852</v>
      </c>
      <c r="H2096" t="s">
        <v>811</v>
      </c>
      <c r="I2096" t="s">
        <v>812</v>
      </c>
      <c r="J2096">
        <v>3</v>
      </c>
      <c r="K2096" t="s">
        <v>780</v>
      </c>
      <c r="L2096">
        <v>1965000</v>
      </c>
      <c r="M2096">
        <v>2.2200000000000002</v>
      </c>
      <c r="N2096">
        <v>24.608653975276852</v>
      </c>
      <c r="O2096" t="s">
        <v>592</v>
      </c>
      <c r="P2096" t="s">
        <v>593</v>
      </c>
      <c r="Q2096" t="s">
        <v>586</v>
      </c>
      <c r="R2096" t="s">
        <v>712</v>
      </c>
      <c r="S2096" t="s">
        <v>652</v>
      </c>
      <c r="T2096">
        <v>70</v>
      </c>
    </row>
    <row r="2097" spans="1:20" x14ac:dyDescent="0.25">
      <c r="A2097" t="s">
        <v>3391</v>
      </c>
      <c r="B2097" t="s">
        <v>524</v>
      </c>
      <c r="C2097" t="s">
        <v>607</v>
      </c>
      <c r="D2097" t="s">
        <v>714</v>
      </c>
      <c r="E2097" t="s">
        <v>3327</v>
      </c>
      <c r="F2097">
        <v>1.6982590434915619</v>
      </c>
      <c r="G2097">
        <v>86.261397260273981</v>
      </c>
      <c r="H2097" t="s">
        <v>1274</v>
      </c>
      <c r="I2097" t="s">
        <v>3328</v>
      </c>
      <c r="J2097">
        <v>2.25</v>
      </c>
      <c r="K2097" t="s">
        <v>682</v>
      </c>
      <c r="L2097">
        <v>85000</v>
      </c>
      <c r="M2097">
        <v>2.46</v>
      </c>
      <c r="N2097">
        <v>86.261397260273981</v>
      </c>
      <c r="O2097" t="s">
        <v>592</v>
      </c>
      <c r="P2097" t="s">
        <v>711</v>
      </c>
      <c r="Q2097" t="s">
        <v>586</v>
      </c>
      <c r="R2097" t="s">
        <v>712</v>
      </c>
      <c r="S2097" t="s">
        <v>594</v>
      </c>
      <c r="T2097">
        <v>70</v>
      </c>
    </row>
    <row r="2098" spans="1:20" x14ac:dyDescent="0.25">
      <c r="A2098" t="s">
        <v>3392</v>
      </c>
      <c r="B2098" t="s">
        <v>524</v>
      </c>
      <c r="C2098" t="s">
        <v>607</v>
      </c>
      <c r="D2098" t="s">
        <v>714</v>
      </c>
      <c r="E2098" t="s">
        <v>3327</v>
      </c>
      <c r="F2098">
        <v>2.630362439175844</v>
      </c>
      <c r="G2098">
        <v>90.614969863013698</v>
      </c>
      <c r="H2098" t="s">
        <v>1274</v>
      </c>
      <c r="I2098" t="s">
        <v>3328</v>
      </c>
      <c r="J2098">
        <v>2.5</v>
      </c>
      <c r="K2098" t="s">
        <v>930</v>
      </c>
      <c r="L2098">
        <v>90000</v>
      </c>
      <c r="M2098">
        <v>2.61</v>
      </c>
      <c r="N2098">
        <v>90.614969863013698</v>
      </c>
      <c r="O2098" t="s">
        <v>592</v>
      </c>
      <c r="P2098" t="s">
        <v>711</v>
      </c>
      <c r="Q2098" t="s">
        <v>586</v>
      </c>
      <c r="R2098" t="s">
        <v>712</v>
      </c>
      <c r="S2098" t="s">
        <v>594</v>
      </c>
      <c r="T2098">
        <v>58</v>
      </c>
    </row>
    <row r="2099" spans="1:20" x14ac:dyDescent="0.25">
      <c r="A2099" t="s">
        <v>3393</v>
      </c>
      <c r="B2099" t="s">
        <v>524</v>
      </c>
      <c r="C2099" t="s">
        <v>607</v>
      </c>
      <c r="D2099" t="s">
        <v>714</v>
      </c>
      <c r="E2099" t="s">
        <v>3327</v>
      </c>
      <c r="F2099">
        <v>4.4095574624507083</v>
      </c>
      <c r="G2099">
        <v>102.35936438356165</v>
      </c>
      <c r="H2099" t="s">
        <v>1274</v>
      </c>
      <c r="I2099" t="s">
        <v>3328</v>
      </c>
      <c r="J2099">
        <v>2.75</v>
      </c>
      <c r="K2099" t="s">
        <v>701</v>
      </c>
      <c r="L2099">
        <v>95000</v>
      </c>
      <c r="M2099">
        <v>2.91</v>
      </c>
      <c r="N2099">
        <v>102.35936438356165</v>
      </c>
      <c r="O2099" t="s">
        <v>592</v>
      </c>
      <c r="P2099" t="s">
        <v>711</v>
      </c>
      <c r="Q2099" t="s">
        <v>586</v>
      </c>
      <c r="R2099" t="s">
        <v>712</v>
      </c>
      <c r="S2099" t="s">
        <v>594</v>
      </c>
      <c r="T2099">
        <v>41</v>
      </c>
    </row>
    <row r="2100" spans="1:20" x14ac:dyDescent="0.25">
      <c r="A2100" t="s">
        <v>3394</v>
      </c>
      <c r="B2100" t="s">
        <v>29</v>
      </c>
      <c r="C2100" t="s">
        <v>586</v>
      </c>
      <c r="D2100" t="s">
        <v>587</v>
      </c>
      <c r="E2100" t="s">
        <v>648</v>
      </c>
      <c r="F2100">
        <v>0.163526663398052</v>
      </c>
      <c r="G2100">
        <v>3.8709936154577518</v>
      </c>
      <c r="H2100" t="s">
        <v>649</v>
      </c>
      <c r="I2100" t="s">
        <v>650</v>
      </c>
      <c r="J2100">
        <v>5</v>
      </c>
      <c r="K2100" t="s">
        <v>749</v>
      </c>
      <c r="L2100">
        <v>990000</v>
      </c>
      <c r="M2100">
        <v>1.5</v>
      </c>
      <c r="N2100">
        <v>3.8709936154577518</v>
      </c>
      <c r="O2100" t="s">
        <v>592</v>
      </c>
      <c r="P2100" t="s">
        <v>593</v>
      </c>
      <c r="Q2100" t="s">
        <v>586</v>
      </c>
      <c r="R2100">
        <v>25000</v>
      </c>
      <c r="S2100" t="s">
        <v>652</v>
      </c>
      <c r="T2100">
        <v>89</v>
      </c>
    </row>
    <row r="2101" spans="1:20" x14ac:dyDescent="0.25">
      <c r="A2101" t="s">
        <v>3395</v>
      </c>
      <c r="B2101" t="s">
        <v>29</v>
      </c>
      <c r="C2101" t="s">
        <v>586</v>
      </c>
      <c r="D2101" t="s">
        <v>587</v>
      </c>
      <c r="E2101" t="s">
        <v>648</v>
      </c>
      <c r="F2101">
        <v>3.7350734855358869</v>
      </c>
      <c r="G2101">
        <v>6.0172673060861381</v>
      </c>
      <c r="H2101" t="s">
        <v>649</v>
      </c>
      <c r="I2101" t="s">
        <v>650</v>
      </c>
      <c r="J2101">
        <v>5</v>
      </c>
      <c r="K2101" t="s">
        <v>629</v>
      </c>
      <c r="L2101">
        <v>1205000</v>
      </c>
      <c r="M2101">
        <v>2.13</v>
      </c>
      <c r="N2101">
        <v>6.0172673060861381</v>
      </c>
      <c r="O2101" t="s">
        <v>592</v>
      </c>
      <c r="P2101" t="s">
        <v>593</v>
      </c>
      <c r="Q2101" t="s">
        <v>586</v>
      </c>
      <c r="R2101">
        <v>30000</v>
      </c>
      <c r="S2101" t="s">
        <v>652</v>
      </c>
      <c r="T2101">
        <v>59</v>
      </c>
    </row>
    <row r="2102" spans="1:20" x14ac:dyDescent="0.25">
      <c r="A2102" t="s">
        <v>3396</v>
      </c>
      <c r="B2102" t="s">
        <v>530</v>
      </c>
      <c r="C2102" t="s">
        <v>586</v>
      </c>
      <c r="D2102" t="s">
        <v>805</v>
      </c>
      <c r="E2102" t="s">
        <v>883</v>
      </c>
      <c r="F2102">
        <v>1.6652117061557994</v>
      </c>
      <c r="G2102">
        <v>7.7240458391904854</v>
      </c>
      <c r="H2102" t="s">
        <v>1253</v>
      </c>
      <c r="I2102" t="s">
        <v>1571</v>
      </c>
      <c r="J2102">
        <v>5</v>
      </c>
      <c r="K2102" t="s">
        <v>682</v>
      </c>
      <c r="L2102">
        <v>580000</v>
      </c>
      <c r="M2102">
        <v>1.98</v>
      </c>
      <c r="N2102">
        <v>7.7240458391904854</v>
      </c>
      <c r="O2102" t="s">
        <v>592</v>
      </c>
      <c r="P2102" t="s">
        <v>593</v>
      </c>
      <c r="Q2102" t="s">
        <v>586</v>
      </c>
      <c r="R2102">
        <v>100000</v>
      </c>
      <c r="S2102" t="s">
        <v>712</v>
      </c>
      <c r="T2102">
        <v>91</v>
      </c>
    </row>
    <row r="2103" spans="1:20" x14ac:dyDescent="0.25">
      <c r="A2103" t="s">
        <v>3397</v>
      </c>
      <c r="B2103" t="s">
        <v>533</v>
      </c>
      <c r="C2103" t="s">
        <v>586</v>
      </c>
      <c r="D2103" t="s">
        <v>863</v>
      </c>
      <c r="E2103" t="s">
        <v>997</v>
      </c>
      <c r="F2103">
        <v>1.6051228222588347</v>
      </c>
      <c r="G2103">
        <v>59.139684378784338</v>
      </c>
      <c r="H2103" t="s">
        <v>3398</v>
      </c>
      <c r="I2103" t="s">
        <v>721</v>
      </c>
      <c r="J2103">
        <v>3</v>
      </c>
      <c r="K2103" t="s">
        <v>905</v>
      </c>
      <c r="L2103">
        <v>145000</v>
      </c>
      <c r="M2103">
        <v>2.2000000000000002</v>
      </c>
      <c r="N2103">
        <v>59.139684378784338</v>
      </c>
      <c r="O2103" t="s">
        <v>592</v>
      </c>
      <c r="P2103" t="s">
        <v>711</v>
      </c>
      <c r="Q2103" t="s">
        <v>586</v>
      </c>
      <c r="R2103" t="s">
        <v>712</v>
      </c>
      <c r="S2103" t="s">
        <v>712</v>
      </c>
      <c r="T2103">
        <v>75</v>
      </c>
    </row>
    <row r="2104" spans="1:20" x14ac:dyDescent="0.25">
      <c r="A2104" t="s">
        <v>3399</v>
      </c>
      <c r="B2104" t="s">
        <v>534</v>
      </c>
      <c r="C2104" t="s">
        <v>586</v>
      </c>
      <c r="D2104" t="s">
        <v>601</v>
      </c>
      <c r="E2104" t="s">
        <v>3400</v>
      </c>
      <c r="F2104">
        <v>0.85320492928551139</v>
      </c>
      <c r="G2104">
        <v>22.8684818717783</v>
      </c>
      <c r="H2104" t="s">
        <v>2246</v>
      </c>
      <c r="I2104" t="s">
        <v>611</v>
      </c>
      <c r="J2104">
        <v>4</v>
      </c>
      <c r="K2104" t="s">
        <v>821</v>
      </c>
      <c r="L2104">
        <v>160000</v>
      </c>
      <c r="M2104">
        <v>1.47</v>
      </c>
      <c r="N2104">
        <v>22.8684818717783</v>
      </c>
      <c r="O2104" t="s">
        <v>592</v>
      </c>
      <c r="P2104" t="s">
        <v>711</v>
      </c>
      <c r="Q2104" t="s">
        <v>586</v>
      </c>
      <c r="R2104" t="s">
        <v>712</v>
      </c>
      <c r="S2104" t="s">
        <v>712</v>
      </c>
      <c r="T2104">
        <v>75</v>
      </c>
    </row>
    <row r="2105" spans="1:20" x14ac:dyDescent="0.25">
      <c r="A2105" t="s">
        <v>3401</v>
      </c>
      <c r="B2105" t="s">
        <v>534</v>
      </c>
      <c r="C2105" t="s">
        <v>586</v>
      </c>
      <c r="D2105" t="s">
        <v>601</v>
      </c>
      <c r="E2105" t="s">
        <v>3400</v>
      </c>
      <c r="F2105">
        <v>1.8229313371539044</v>
      </c>
      <c r="G2105">
        <v>25.854832675706341</v>
      </c>
      <c r="H2105" t="s">
        <v>2246</v>
      </c>
      <c r="I2105" t="s">
        <v>611</v>
      </c>
      <c r="J2105">
        <v>2</v>
      </c>
      <c r="K2105" t="s">
        <v>664</v>
      </c>
      <c r="L2105">
        <v>165000</v>
      </c>
      <c r="M2105">
        <v>1.6500000000000001</v>
      </c>
      <c r="N2105">
        <v>25.854832675706341</v>
      </c>
      <c r="O2105" t="s">
        <v>592</v>
      </c>
      <c r="P2105" t="s">
        <v>711</v>
      </c>
      <c r="Q2105" t="s">
        <v>586</v>
      </c>
      <c r="R2105" t="s">
        <v>712</v>
      </c>
      <c r="S2105" t="s">
        <v>712</v>
      </c>
      <c r="T2105">
        <v>40</v>
      </c>
    </row>
    <row r="2106" spans="1:20" x14ac:dyDescent="0.25">
      <c r="A2106" t="s">
        <v>3402</v>
      </c>
      <c r="B2106" t="s">
        <v>534</v>
      </c>
      <c r="C2106" t="s">
        <v>586</v>
      </c>
      <c r="D2106" t="s">
        <v>601</v>
      </c>
      <c r="E2106" t="s">
        <v>3400</v>
      </c>
      <c r="F2106">
        <v>2.7682970817150281</v>
      </c>
      <c r="G2106">
        <v>30.748625562462315</v>
      </c>
      <c r="H2106" t="s">
        <v>2246</v>
      </c>
      <c r="I2106" t="s">
        <v>611</v>
      </c>
      <c r="J2106">
        <v>2</v>
      </c>
      <c r="K2106" t="s">
        <v>605</v>
      </c>
      <c r="L2106">
        <v>170000</v>
      </c>
      <c r="M2106">
        <v>1.85</v>
      </c>
      <c r="N2106">
        <v>30.748625562462315</v>
      </c>
      <c r="O2106" t="s">
        <v>592</v>
      </c>
      <c r="P2106" t="s">
        <v>711</v>
      </c>
      <c r="Q2106" t="s">
        <v>586</v>
      </c>
      <c r="R2106">
        <v>80000</v>
      </c>
      <c r="S2106" t="s">
        <v>712</v>
      </c>
      <c r="T2106">
        <v>25</v>
      </c>
    </row>
    <row r="2107" spans="1:20" x14ac:dyDescent="0.25">
      <c r="A2107" t="s">
        <v>3403</v>
      </c>
      <c r="B2107" t="s">
        <v>534</v>
      </c>
      <c r="C2107" t="s">
        <v>586</v>
      </c>
      <c r="D2107" t="s">
        <v>601</v>
      </c>
      <c r="E2107" t="s">
        <v>3400</v>
      </c>
      <c r="F2107">
        <v>3.6935938160417323</v>
      </c>
      <c r="G2107">
        <v>31.844310046872494</v>
      </c>
      <c r="H2107" t="s">
        <v>2246</v>
      </c>
      <c r="I2107" t="s">
        <v>611</v>
      </c>
      <c r="J2107">
        <v>2</v>
      </c>
      <c r="K2107" t="s">
        <v>704</v>
      </c>
      <c r="L2107">
        <v>175000</v>
      </c>
      <c r="M2107">
        <v>2</v>
      </c>
      <c r="N2107">
        <v>31.844310046872494</v>
      </c>
      <c r="O2107" t="s">
        <v>592</v>
      </c>
      <c r="P2107" t="s">
        <v>711</v>
      </c>
      <c r="Q2107" t="s">
        <v>586</v>
      </c>
      <c r="R2107" t="s">
        <v>712</v>
      </c>
      <c r="S2107" t="s">
        <v>712</v>
      </c>
      <c r="T2107">
        <v>16</v>
      </c>
    </row>
    <row r="2108" spans="1:20" x14ac:dyDescent="0.25">
      <c r="A2108" t="s">
        <v>3404</v>
      </c>
      <c r="B2108" t="s">
        <v>534</v>
      </c>
      <c r="C2108" t="s">
        <v>586</v>
      </c>
      <c r="D2108" t="s">
        <v>601</v>
      </c>
      <c r="E2108" t="s">
        <v>3400</v>
      </c>
      <c r="F2108">
        <v>4.5747442416934145</v>
      </c>
      <c r="G2108">
        <v>35.461968445333625</v>
      </c>
      <c r="H2108" t="s">
        <v>2246</v>
      </c>
      <c r="I2108" t="s">
        <v>611</v>
      </c>
      <c r="J2108">
        <v>2.25</v>
      </c>
      <c r="K2108" t="s">
        <v>678</v>
      </c>
      <c r="L2108">
        <v>175000</v>
      </c>
      <c r="M2108">
        <v>2.15</v>
      </c>
      <c r="N2108">
        <v>35.461968445333625</v>
      </c>
      <c r="O2108" t="s">
        <v>592</v>
      </c>
      <c r="P2108" t="s">
        <v>711</v>
      </c>
      <c r="Q2108" t="s">
        <v>586</v>
      </c>
      <c r="R2108" t="s">
        <v>712</v>
      </c>
      <c r="S2108" t="s">
        <v>712</v>
      </c>
      <c r="T2108">
        <v>11</v>
      </c>
    </row>
    <row r="2109" spans="1:20" x14ac:dyDescent="0.25">
      <c r="A2109" t="s">
        <v>3405</v>
      </c>
      <c r="B2109" t="s">
        <v>533</v>
      </c>
      <c r="C2109" t="s">
        <v>586</v>
      </c>
      <c r="D2109" t="s">
        <v>863</v>
      </c>
      <c r="E2109" t="s">
        <v>997</v>
      </c>
      <c r="F2109">
        <v>0.65183265690589609</v>
      </c>
      <c r="G2109">
        <v>58.808924763700496</v>
      </c>
      <c r="H2109" t="s">
        <v>3398</v>
      </c>
      <c r="I2109" t="s">
        <v>721</v>
      </c>
      <c r="J2109">
        <v>3</v>
      </c>
      <c r="K2109" t="s">
        <v>787</v>
      </c>
      <c r="L2109">
        <v>140000</v>
      </c>
      <c r="M2109">
        <v>2.0499999999999998</v>
      </c>
      <c r="N2109">
        <v>58.808924763700496</v>
      </c>
      <c r="O2109" t="s">
        <v>592</v>
      </c>
      <c r="P2109" t="s">
        <v>711</v>
      </c>
      <c r="Q2109" t="s">
        <v>586</v>
      </c>
      <c r="R2109" t="s">
        <v>712</v>
      </c>
      <c r="S2109" t="s">
        <v>712</v>
      </c>
      <c r="T2109">
        <v>89</v>
      </c>
    </row>
    <row r="2110" spans="1:20" x14ac:dyDescent="0.25">
      <c r="A2110" t="s">
        <v>3406</v>
      </c>
      <c r="B2110" t="s">
        <v>533</v>
      </c>
      <c r="C2110" t="s">
        <v>586</v>
      </c>
      <c r="D2110" t="s">
        <v>863</v>
      </c>
      <c r="E2110" t="s">
        <v>997</v>
      </c>
      <c r="F2110">
        <v>2.5307093564835559</v>
      </c>
      <c r="G2110">
        <v>64.311574378390418</v>
      </c>
      <c r="H2110" t="s">
        <v>3398</v>
      </c>
      <c r="I2110" t="s">
        <v>721</v>
      </c>
      <c r="J2110">
        <v>3</v>
      </c>
      <c r="K2110" t="s">
        <v>734</v>
      </c>
      <c r="L2110">
        <v>150000</v>
      </c>
      <c r="M2110">
        <v>2.4000000000000004</v>
      </c>
      <c r="N2110">
        <v>64.311574378390418</v>
      </c>
      <c r="O2110" t="s">
        <v>592</v>
      </c>
      <c r="P2110" t="s">
        <v>711</v>
      </c>
      <c r="Q2110" t="s">
        <v>586</v>
      </c>
      <c r="R2110" t="s">
        <v>712</v>
      </c>
      <c r="S2110" t="s">
        <v>712</v>
      </c>
      <c r="T2110">
        <v>64</v>
      </c>
    </row>
    <row r="2111" spans="1:20" x14ac:dyDescent="0.25">
      <c r="A2111" t="s">
        <v>3407</v>
      </c>
      <c r="B2111" t="s">
        <v>32</v>
      </c>
      <c r="C2111" t="s">
        <v>586</v>
      </c>
      <c r="D2111" t="s">
        <v>666</v>
      </c>
      <c r="E2111" t="s">
        <v>667</v>
      </c>
      <c r="F2111">
        <v>3.4952405610664323</v>
      </c>
      <c r="G2111">
        <v>9.6763782616421814</v>
      </c>
      <c r="H2111" t="s">
        <v>668</v>
      </c>
      <c r="I2111" t="s">
        <v>611</v>
      </c>
      <c r="J2111">
        <v>5</v>
      </c>
      <c r="K2111" t="s">
        <v>1163</v>
      </c>
      <c r="L2111">
        <v>2300000</v>
      </c>
      <c r="M2111">
        <v>1.8</v>
      </c>
      <c r="N2111">
        <v>9.6763782616421814</v>
      </c>
      <c r="O2111" t="s">
        <v>592</v>
      </c>
      <c r="P2111" t="s">
        <v>593</v>
      </c>
      <c r="Q2111" t="s">
        <v>586</v>
      </c>
      <c r="R2111">
        <v>10000</v>
      </c>
      <c r="S2111" t="s">
        <v>635</v>
      </c>
      <c r="T2111">
        <v>61</v>
      </c>
    </row>
    <row r="2112" spans="1:20" x14ac:dyDescent="0.25">
      <c r="A2112" t="s">
        <v>3408</v>
      </c>
      <c r="B2112" t="s">
        <v>32</v>
      </c>
      <c r="C2112" t="s">
        <v>586</v>
      </c>
      <c r="D2112" t="s">
        <v>666</v>
      </c>
      <c r="E2112" t="s">
        <v>667</v>
      </c>
      <c r="F2112">
        <v>1.747069124801403</v>
      </c>
      <c r="G2112">
        <v>6.0521592077136477</v>
      </c>
      <c r="H2112" t="s">
        <v>668</v>
      </c>
      <c r="I2112" t="s">
        <v>611</v>
      </c>
      <c r="J2112">
        <v>5</v>
      </c>
      <c r="K2112" t="s">
        <v>1114</v>
      </c>
      <c r="L2112">
        <v>2085000</v>
      </c>
      <c r="M2112">
        <v>1.47</v>
      </c>
      <c r="N2112">
        <v>6.0521592077136477</v>
      </c>
      <c r="O2112" t="s">
        <v>592</v>
      </c>
      <c r="P2112" t="s">
        <v>593</v>
      </c>
      <c r="Q2112" t="s">
        <v>586</v>
      </c>
      <c r="R2112">
        <v>150000</v>
      </c>
      <c r="S2112" t="s">
        <v>635</v>
      </c>
      <c r="T2112">
        <v>74</v>
      </c>
    </row>
    <row r="2113" spans="1:20" x14ac:dyDescent="0.25">
      <c r="A2113" t="s">
        <v>3409</v>
      </c>
      <c r="B2113" t="s">
        <v>535</v>
      </c>
      <c r="C2113" t="s">
        <v>607</v>
      </c>
      <c r="D2113" t="s">
        <v>1291</v>
      </c>
      <c r="E2113" t="s">
        <v>3410</v>
      </c>
      <c r="F2113">
        <v>0.49429572724406617</v>
      </c>
      <c r="G2113">
        <v>55.762871013426718</v>
      </c>
      <c r="H2113" t="s">
        <v>668</v>
      </c>
      <c r="I2113" t="s">
        <v>650</v>
      </c>
      <c r="J2113">
        <v>1.5</v>
      </c>
      <c r="K2113" t="s">
        <v>807</v>
      </c>
      <c r="L2113">
        <v>550000</v>
      </c>
      <c r="M2113">
        <v>1.75</v>
      </c>
      <c r="N2113">
        <v>55.762871013426718</v>
      </c>
      <c r="O2113" t="s">
        <v>592</v>
      </c>
      <c r="P2113" t="s">
        <v>711</v>
      </c>
      <c r="Q2113" t="s">
        <v>586</v>
      </c>
      <c r="R2113" t="s">
        <v>712</v>
      </c>
      <c r="S2113" t="s">
        <v>712</v>
      </c>
      <c r="T2113">
        <v>20</v>
      </c>
    </row>
    <row r="2114" spans="1:20" x14ac:dyDescent="0.25">
      <c r="A2114" t="s">
        <v>3411</v>
      </c>
      <c r="B2114" t="s">
        <v>109</v>
      </c>
      <c r="C2114" t="s">
        <v>586</v>
      </c>
      <c r="D2114" t="s">
        <v>690</v>
      </c>
      <c r="E2114" t="s">
        <v>1048</v>
      </c>
      <c r="F2114">
        <v>2.6804942787866182</v>
      </c>
      <c r="G2114">
        <v>0.84856164383562138</v>
      </c>
      <c r="H2114" t="s">
        <v>802</v>
      </c>
      <c r="I2114" t="s">
        <v>611</v>
      </c>
      <c r="J2114">
        <v>5</v>
      </c>
      <c r="K2114" t="s">
        <v>605</v>
      </c>
      <c r="L2114">
        <v>10565000</v>
      </c>
      <c r="M2114">
        <v>1.76</v>
      </c>
      <c r="N2114">
        <v>0.84856164383562138</v>
      </c>
      <c r="O2114" t="s">
        <v>592</v>
      </c>
      <c r="P2114" t="s">
        <v>593</v>
      </c>
      <c r="Q2114" t="s">
        <v>586</v>
      </c>
      <c r="R2114">
        <v>375000</v>
      </c>
      <c r="S2114" t="s">
        <v>599</v>
      </c>
      <c r="T2114">
        <v>84</v>
      </c>
    </row>
    <row r="2115" spans="1:20" x14ac:dyDescent="0.25">
      <c r="A2115" t="s">
        <v>3412</v>
      </c>
      <c r="B2115" t="s">
        <v>126</v>
      </c>
      <c r="C2115" t="s">
        <v>586</v>
      </c>
      <c r="D2115" t="s">
        <v>631</v>
      </c>
      <c r="E2115" t="s">
        <v>1112</v>
      </c>
      <c r="F2115">
        <v>0.8179645921289791</v>
      </c>
      <c r="G2115">
        <v>5.5663809020511712</v>
      </c>
      <c r="H2115" t="s">
        <v>1113</v>
      </c>
      <c r="I2115" t="s">
        <v>611</v>
      </c>
      <c r="J2115">
        <v>3</v>
      </c>
      <c r="K2115" t="s">
        <v>984</v>
      </c>
      <c r="L2115">
        <v>200000</v>
      </c>
      <c r="M2115">
        <v>1.85</v>
      </c>
      <c r="N2115">
        <v>5.5663809020511712</v>
      </c>
      <c r="O2115" t="s">
        <v>592</v>
      </c>
      <c r="P2115" t="s">
        <v>711</v>
      </c>
      <c r="Q2115" t="s">
        <v>586</v>
      </c>
      <c r="R2115" t="s">
        <v>712</v>
      </c>
      <c r="S2115" t="s">
        <v>712</v>
      </c>
      <c r="T2115">
        <v>91</v>
      </c>
    </row>
    <row r="2116" spans="1:20" x14ac:dyDescent="0.25">
      <c r="A2116" t="s">
        <v>3413</v>
      </c>
      <c r="B2116" t="s">
        <v>126</v>
      </c>
      <c r="C2116" t="s">
        <v>586</v>
      </c>
      <c r="D2116" t="s">
        <v>631</v>
      </c>
      <c r="E2116" t="s">
        <v>1112</v>
      </c>
      <c r="F2116">
        <v>2.6688444775512905</v>
      </c>
      <c r="G2116">
        <v>10.523561568630369</v>
      </c>
      <c r="H2116" t="s">
        <v>1113</v>
      </c>
      <c r="I2116" t="s">
        <v>611</v>
      </c>
      <c r="J2116">
        <v>4</v>
      </c>
      <c r="K2116" t="s">
        <v>669</v>
      </c>
      <c r="L2116">
        <v>215000</v>
      </c>
      <c r="M2116">
        <v>2.15</v>
      </c>
      <c r="N2116">
        <v>10.523561568630369</v>
      </c>
      <c r="O2116" t="s">
        <v>592</v>
      </c>
      <c r="P2116" t="s">
        <v>711</v>
      </c>
      <c r="Q2116" t="s">
        <v>586</v>
      </c>
      <c r="R2116" t="s">
        <v>712</v>
      </c>
      <c r="S2116" t="s">
        <v>712</v>
      </c>
      <c r="T2116">
        <v>79</v>
      </c>
    </row>
    <row r="2117" spans="1:20" x14ac:dyDescent="0.25">
      <c r="A2117" t="s">
        <v>3414</v>
      </c>
      <c r="B2117" t="s">
        <v>536</v>
      </c>
      <c r="C2117" t="s">
        <v>586</v>
      </c>
      <c r="D2117" t="s">
        <v>608</v>
      </c>
      <c r="E2117" t="s">
        <v>1255</v>
      </c>
      <c r="F2117">
        <v>0.52761881838266267</v>
      </c>
      <c r="G2117">
        <v>45.404775204743174</v>
      </c>
      <c r="H2117" t="s">
        <v>761</v>
      </c>
      <c r="I2117" t="s">
        <v>661</v>
      </c>
      <c r="J2117">
        <v>2</v>
      </c>
      <c r="K2117" t="s">
        <v>1005</v>
      </c>
      <c r="L2117">
        <v>65000</v>
      </c>
      <c r="M2117">
        <v>1.7000000000000002</v>
      </c>
      <c r="N2117">
        <v>45.404775204743174</v>
      </c>
      <c r="O2117" t="s">
        <v>592</v>
      </c>
      <c r="P2117" t="s">
        <v>613</v>
      </c>
      <c r="Q2117" t="s">
        <v>586</v>
      </c>
      <c r="R2117" t="s">
        <v>712</v>
      </c>
      <c r="S2117" t="s">
        <v>712</v>
      </c>
      <c r="T2117">
        <v>82</v>
      </c>
    </row>
    <row r="2118" spans="1:20" x14ac:dyDescent="0.25">
      <c r="A2118" t="s">
        <v>3415</v>
      </c>
      <c r="B2118" t="s">
        <v>536</v>
      </c>
      <c r="C2118" t="s">
        <v>586</v>
      </c>
      <c r="D2118" t="s">
        <v>608</v>
      </c>
      <c r="E2118" t="s">
        <v>1255</v>
      </c>
      <c r="F2118">
        <v>1.4924749399103914</v>
      </c>
      <c r="G2118">
        <v>45.631827512445966</v>
      </c>
      <c r="H2118" t="s">
        <v>761</v>
      </c>
      <c r="I2118" t="s">
        <v>661</v>
      </c>
      <c r="J2118">
        <v>2</v>
      </c>
      <c r="K2118" t="s">
        <v>1001</v>
      </c>
      <c r="L2118">
        <v>65000</v>
      </c>
      <c r="M2118">
        <v>1.85</v>
      </c>
      <c r="N2118">
        <v>45.631827512445966</v>
      </c>
      <c r="O2118" t="s">
        <v>592</v>
      </c>
      <c r="P2118" t="s">
        <v>613</v>
      </c>
      <c r="Q2118" t="s">
        <v>586</v>
      </c>
      <c r="R2118">
        <v>45000</v>
      </c>
      <c r="S2118" t="s">
        <v>712</v>
      </c>
      <c r="T2118">
        <v>69</v>
      </c>
    </row>
    <row r="2119" spans="1:20" x14ac:dyDescent="0.25">
      <c r="A2119" t="s">
        <v>3416</v>
      </c>
      <c r="B2119" t="s">
        <v>536</v>
      </c>
      <c r="C2119" t="s">
        <v>586</v>
      </c>
      <c r="D2119" t="s">
        <v>608</v>
      </c>
      <c r="E2119" t="s">
        <v>1255</v>
      </c>
      <c r="F2119">
        <v>2.4375357531381203</v>
      </c>
      <c r="G2119">
        <v>45.549500456261207</v>
      </c>
      <c r="H2119" t="s">
        <v>761</v>
      </c>
      <c r="I2119" t="s">
        <v>661</v>
      </c>
      <c r="J2119">
        <v>2</v>
      </c>
      <c r="K2119" t="s">
        <v>803</v>
      </c>
      <c r="L2119">
        <v>65000</v>
      </c>
      <c r="M2119">
        <v>2</v>
      </c>
      <c r="N2119">
        <v>45.549500456261207</v>
      </c>
      <c r="O2119" t="s">
        <v>592</v>
      </c>
      <c r="P2119" t="s">
        <v>613</v>
      </c>
      <c r="Q2119" t="s">
        <v>586</v>
      </c>
      <c r="R2119" t="s">
        <v>712</v>
      </c>
      <c r="S2119" t="s">
        <v>712</v>
      </c>
      <c r="T2119">
        <v>56</v>
      </c>
    </row>
    <row r="2120" spans="1:20" x14ac:dyDescent="0.25">
      <c r="A2120" t="s">
        <v>3417</v>
      </c>
      <c r="B2120" t="s">
        <v>537</v>
      </c>
      <c r="C2120" t="s">
        <v>586</v>
      </c>
      <c r="D2120" t="s">
        <v>608</v>
      </c>
      <c r="E2120" t="s">
        <v>1321</v>
      </c>
      <c r="F2120">
        <v>8.046076741843064E-2</v>
      </c>
      <c r="G2120">
        <v>69.075307668767365</v>
      </c>
      <c r="H2120" t="s">
        <v>892</v>
      </c>
      <c r="I2120" t="s">
        <v>721</v>
      </c>
      <c r="J2120">
        <v>2.5</v>
      </c>
      <c r="K2120" t="s">
        <v>950</v>
      </c>
      <c r="L2120">
        <v>165000</v>
      </c>
      <c r="M2120">
        <v>2.5</v>
      </c>
      <c r="N2120">
        <v>69.075307668767365</v>
      </c>
      <c r="O2120" t="s">
        <v>592</v>
      </c>
      <c r="P2120" t="s">
        <v>613</v>
      </c>
      <c r="Q2120" t="s">
        <v>586</v>
      </c>
      <c r="R2120" t="s">
        <v>712</v>
      </c>
      <c r="S2120" t="s">
        <v>712</v>
      </c>
      <c r="T2120">
        <v>93</v>
      </c>
    </row>
    <row r="2121" spans="1:20" x14ac:dyDescent="0.25">
      <c r="A2121" t="s">
        <v>3418</v>
      </c>
      <c r="B2121" t="s">
        <v>537</v>
      </c>
      <c r="C2121" t="s">
        <v>586</v>
      </c>
      <c r="D2121" t="s">
        <v>608</v>
      </c>
      <c r="E2121" t="s">
        <v>1321</v>
      </c>
      <c r="F2121">
        <v>1.0496024631987428</v>
      </c>
      <c r="G2121">
        <v>77.407997657763289</v>
      </c>
      <c r="H2121" t="s">
        <v>892</v>
      </c>
      <c r="I2121" t="s">
        <v>721</v>
      </c>
      <c r="J2121">
        <v>2.75</v>
      </c>
      <c r="K2121" t="s">
        <v>612</v>
      </c>
      <c r="L2121">
        <v>165000</v>
      </c>
      <c r="M2121">
        <v>2.75</v>
      </c>
      <c r="N2121">
        <v>77.407997657763289</v>
      </c>
      <c r="O2121" t="s">
        <v>592</v>
      </c>
      <c r="P2121" t="s">
        <v>613</v>
      </c>
      <c r="Q2121" t="s">
        <v>586</v>
      </c>
      <c r="R2121" t="s">
        <v>712</v>
      </c>
      <c r="S2121" t="s">
        <v>712</v>
      </c>
      <c r="T2121">
        <v>69</v>
      </c>
    </row>
    <row r="2122" spans="1:20" x14ac:dyDescent="0.25">
      <c r="A2122" t="s">
        <v>3419</v>
      </c>
      <c r="B2122" t="s">
        <v>537</v>
      </c>
      <c r="C2122" t="s">
        <v>586</v>
      </c>
      <c r="D2122" t="s">
        <v>608</v>
      </c>
      <c r="E2122" t="s">
        <v>1321</v>
      </c>
      <c r="F2122">
        <v>8.046078042745991E-2</v>
      </c>
      <c r="G2122">
        <v>102.87119726027396</v>
      </c>
      <c r="H2122" t="s">
        <v>1033</v>
      </c>
      <c r="I2122" t="s">
        <v>611</v>
      </c>
      <c r="J2122">
        <v>3</v>
      </c>
      <c r="K2122" t="s">
        <v>950</v>
      </c>
      <c r="L2122">
        <v>150000</v>
      </c>
      <c r="M2122">
        <v>2.4000000000000004</v>
      </c>
      <c r="N2122">
        <v>102.87119726027396</v>
      </c>
      <c r="O2122" t="s">
        <v>592</v>
      </c>
      <c r="P2122" t="s">
        <v>613</v>
      </c>
      <c r="Q2122" t="s">
        <v>586</v>
      </c>
      <c r="R2122" t="s">
        <v>712</v>
      </c>
      <c r="S2122" t="s">
        <v>712</v>
      </c>
      <c r="T2122">
        <v>94</v>
      </c>
    </row>
    <row r="2123" spans="1:20" x14ac:dyDescent="0.25">
      <c r="A2123" t="s">
        <v>3420</v>
      </c>
      <c r="B2123" t="s">
        <v>537</v>
      </c>
      <c r="C2123" t="s">
        <v>586</v>
      </c>
      <c r="D2123" t="s">
        <v>608</v>
      </c>
      <c r="E2123" t="s">
        <v>1321</v>
      </c>
      <c r="F2123">
        <v>1.0478688538644696</v>
      </c>
      <c r="G2123">
        <v>109.56882191780824</v>
      </c>
      <c r="H2123" t="s">
        <v>1033</v>
      </c>
      <c r="I2123" t="s">
        <v>611</v>
      </c>
      <c r="J2123">
        <v>3</v>
      </c>
      <c r="K2123" t="s">
        <v>612</v>
      </c>
      <c r="L2123">
        <v>150000</v>
      </c>
      <c r="M2123">
        <v>2.6</v>
      </c>
      <c r="N2123">
        <v>109.56882191780824</v>
      </c>
      <c r="O2123" t="s">
        <v>592</v>
      </c>
      <c r="P2123" t="s">
        <v>613</v>
      </c>
      <c r="Q2123" t="s">
        <v>586</v>
      </c>
      <c r="R2123" t="s">
        <v>712</v>
      </c>
      <c r="S2123" t="s">
        <v>712</v>
      </c>
      <c r="T2123">
        <v>70</v>
      </c>
    </row>
    <row r="2124" spans="1:20" x14ac:dyDescent="0.25">
      <c r="A2124" t="s">
        <v>3421</v>
      </c>
      <c r="B2124" t="s">
        <v>62</v>
      </c>
      <c r="C2124" t="s">
        <v>586</v>
      </c>
      <c r="D2124" t="s">
        <v>830</v>
      </c>
      <c r="E2124" t="s">
        <v>831</v>
      </c>
      <c r="F2124">
        <v>0.73795407961499471</v>
      </c>
      <c r="G2124">
        <v>26.023567316349585</v>
      </c>
      <c r="H2124" t="s">
        <v>832</v>
      </c>
      <c r="I2124" t="s">
        <v>721</v>
      </c>
      <c r="J2124">
        <v>2</v>
      </c>
      <c r="K2124" t="s">
        <v>861</v>
      </c>
      <c r="L2124">
        <v>680000</v>
      </c>
      <c r="M2124">
        <v>1.6500000000000001</v>
      </c>
      <c r="N2124">
        <v>26.023567316349585</v>
      </c>
      <c r="O2124" t="s">
        <v>592</v>
      </c>
      <c r="P2124" t="s">
        <v>593</v>
      </c>
      <c r="Q2124" t="s">
        <v>586</v>
      </c>
      <c r="R2124" t="s">
        <v>712</v>
      </c>
      <c r="S2124" t="s">
        <v>712</v>
      </c>
      <c r="T2124">
        <v>78</v>
      </c>
    </row>
    <row r="2125" spans="1:20" x14ac:dyDescent="0.25">
      <c r="A2125" t="s">
        <v>3422</v>
      </c>
      <c r="B2125" t="s">
        <v>62</v>
      </c>
      <c r="C2125" t="s">
        <v>586</v>
      </c>
      <c r="D2125" t="s">
        <v>830</v>
      </c>
      <c r="E2125" t="s">
        <v>831</v>
      </c>
      <c r="F2125">
        <v>1.7043378446431516</v>
      </c>
      <c r="G2125">
        <v>24.977009754114231</v>
      </c>
      <c r="H2125" t="s">
        <v>832</v>
      </c>
      <c r="I2125" t="s">
        <v>721</v>
      </c>
      <c r="J2125">
        <v>2</v>
      </c>
      <c r="K2125" t="s">
        <v>682</v>
      </c>
      <c r="L2125">
        <v>700000</v>
      </c>
      <c r="M2125">
        <v>1.8</v>
      </c>
      <c r="N2125">
        <v>24.977009754114231</v>
      </c>
      <c r="O2125" t="s">
        <v>592</v>
      </c>
      <c r="P2125" t="s">
        <v>593</v>
      </c>
      <c r="Q2125" t="s">
        <v>586</v>
      </c>
      <c r="R2125">
        <v>100000</v>
      </c>
      <c r="S2125" t="s">
        <v>712</v>
      </c>
      <c r="T2125">
        <v>63</v>
      </c>
    </row>
    <row r="2126" spans="1:20" x14ac:dyDescent="0.25">
      <c r="A2126" t="s">
        <v>3423</v>
      </c>
      <c r="B2126" t="s">
        <v>62</v>
      </c>
      <c r="C2126" t="s">
        <v>586</v>
      </c>
      <c r="D2126" t="s">
        <v>830</v>
      </c>
      <c r="E2126" t="s">
        <v>831</v>
      </c>
      <c r="F2126">
        <v>2.6513527121142766</v>
      </c>
      <c r="G2126">
        <v>29.030614258110731</v>
      </c>
      <c r="H2126" t="s">
        <v>832</v>
      </c>
      <c r="I2126" t="s">
        <v>721</v>
      </c>
      <c r="J2126">
        <v>2</v>
      </c>
      <c r="K2126" t="s">
        <v>930</v>
      </c>
      <c r="L2126">
        <v>690000</v>
      </c>
      <c r="M2126">
        <v>2</v>
      </c>
      <c r="N2126">
        <v>29.030614258110731</v>
      </c>
      <c r="O2126" t="s">
        <v>592</v>
      </c>
      <c r="P2126" t="s">
        <v>593</v>
      </c>
      <c r="Q2126" t="s">
        <v>586</v>
      </c>
      <c r="R2126" t="s">
        <v>712</v>
      </c>
      <c r="S2126" t="s">
        <v>712</v>
      </c>
      <c r="T2126">
        <v>47</v>
      </c>
    </row>
    <row r="2127" spans="1:20" x14ac:dyDescent="0.25">
      <c r="A2127" t="s">
        <v>3424</v>
      </c>
      <c r="B2127" t="s">
        <v>538</v>
      </c>
      <c r="C2127" t="s">
        <v>586</v>
      </c>
      <c r="D2127" t="s">
        <v>601</v>
      </c>
      <c r="E2127" t="s">
        <v>2382</v>
      </c>
      <c r="F2127">
        <v>0.85874432267027045</v>
      </c>
      <c r="G2127">
        <v>10.199159603910823</v>
      </c>
      <c r="H2127" t="s">
        <v>799</v>
      </c>
      <c r="I2127" t="s">
        <v>885</v>
      </c>
      <c r="J2127">
        <v>2</v>
      </c>
      <c r="K2127" t="s">
        <v>821</v>
      </c>
      <c r="L2127">
        <v>175000</v>
      </c>
      <c r="M2127">
        <v>1.4000000000000001</v>
      </c>
      <c r="N2127">
        <v>10.199159603910823</v>
      </c>
      <c r="O2127" t="s">
        <v>592</v>
      </c>
      <c r="P2127" t="s">
        <v>711</v>
      </c>
      <c r="Q2127" t="s">
        <v>586</v>
      </c>
      <c r="R2127" t="s">
        <v>712</v>
      </c>
      <c r="S2127" t="s">
        <v>712</v>
      </c>
      <c r="T2127">
        <v>81</v>
      </c>
    </row>
    <row r="2128" spans="1:20" x14ac:dyDescent="0.25">
      <c r="A2128" t="s">
        <v>3425</v>
      </c>
      <c r="B2128" t="s">
        <v>538</v>
      </c>
      <c r="C2128" t="s">
        <v>586</v>
      </c>
      <c r="D2128" t="s">
        <v>601</v>
      </c>
      <c r="E2128" t="s">
        <v>2382</v>
      </c>
      <c r="F2128">
        <v>1.8249996870728571</v>
      </c>
      <c r="G2128">
        <v>9.4753529483023957</v>
      </c>
      <c r="H2128" t="s">
        <v>799</v>
      </c>
      <c r="I2128" t="s">
        <v>885</v>
      </c>
      <c r="J2128">
        <v>2</v>
      </c>
      <c r="K2128" t="s">
        <v>664</v>
      </c>
      <c r="L2128">
        <v>175000</v>
      </c>
      <c r="M2128">
        <v>1.55</v>
      </c>
      <c r="N2128">
        <v>9.4753529483023957</v>
      </c>
      <c r="O2128" t="s">
        <v>592</v>
      </c>
      <c r="P2128" t="s">
        <v>711</v>
      </c>
      <c r="Q2128" t="s">
        <v>586</v>
      </c>
      <c r="R2128" t="s">
        <v>712</v>
      </c>
      <c r="S2128" t="s">
        <v>712</v>
      </c>
      <c r="T2128">
        <v>67</v>
      </c>
    </row>
    <row r="2129" spans="1:20" x14ac:dyDescent="0.25">
      <c r="A2129" t="s">
        <v>3426</v>
      </c>
      <c r="B2129" t="s">
        <v>538</v>
      </c>
      <c r="C2129" t="s">
        <v>586</v>
      </c>
      <c r="D2129" t="s">
        <v>601</v>
      </c>
      <c r="E2129" t="s">
        <v>2382</v>
      </c>
      <c r="F2129">
        <v>2.7722855295513331</v>
      </c>
      <c r="G2129">
        <v>8.8842131980494834</v>
      </c>
      <c r="H2129" t="s">
        <v>799</v>
      </c>
      <c r="I2129" t="s">
        <v>885</v>
      </c>
      <c r="J2129">
        <v>2</v>
      </c>
      <c r="K2129" t="s">
        <v>605</v>
      </c>
      <c r="L2129">
        <v>175000</v>
      </c>
      <c r="M2129">
        <v>1.7000000000000002</v>
      </c>
      <c r="N2129">
        <v>8.8842131980494834</v>
      </c>
      <c r="O2129" t="s">
        <v>592</v>
      </c>
      <c r="P2129" t="s">
        <v>711</v>
      </c>
      <c r="Q2129" t="s">
        <v>586</v>
      </c>
      <c r="R2129" t="s">
        <v>712</v>
      </c>
      <c r="S2129" t="s">
        <v>712</v>
      </c>
      <c r="T2129">
        <v>52</v>
      </c>
    </row>
    <row r="2130" spans="1:20" x14ac:dyDescent="0.25">
      <c r="A2130" t="s">
        <v>3427</v>
      </c>
      <c r="B2130" t="s">
        <v>539</v>
      </c>
      <c r="C2130" t="s">
        <v>586</v>
      </c>
      <c r="D2130" t="s">
        <v>608</v>
      </c>
      <c r="E2130" t="s">
        <v>756</v>
      </c>
      <c r="F2130">
        <v>8.0459470903986502E-2</v>
      </c>
      <c r="G2130">
        <v>97.4075911745431</v>
      </c>
      <c r="H2130" t="s">
        <v>672</v>
      </c>
      <c r="I2130" t="s">
        <v>611</v>
      </c>
      <c r="J2130">
        <v>3</v>
      </c>
      <c r="K2130" t="s">
        <v>950</v>
      </c>
      <c r="L2130">
        <v>130000</v>
      </c>
      <c r="M2130">
        <v>2.4000000000000004</v>
      </c>
      <c r="N2130">
        <v>97.4075911745431</v>
      </c>
      <c r="O2130" t="s">
        <v>592</v>
      </c>
      <c r="P2130" t="s">
        <v>613</v>
      </c>
      <c r="Q2130" t="s">
        <v>586</v>
      </c>
      <c r="R2130" t="s">
        <v>712</v>
      </c>
      <c r="S2130" t="s">
        <v>712</v>
      </c>
      <c r="T2130">
        <v>98</v>
      </c>
    </row>
    <row r="2131" spans="1:20" x14ac:dyDescent="0.25">
      <c r="A2131" t="s">
        <v>3428</v>
      </c>
      <c r="B2131" t="s">
        <v>539</v>
      </c>
      <c r="C2131" t="s">
        <v>586</v>
      </c>
      <c r="D2131" t="s">
        <v>608</v>
      </c>
      <c r="E2131" t="s">
        <v>756</v>
      </c>
      <c r="F2131">
        <v>1.0477482866223664</v>
      </c>
      <c r="G2131">
        <v>100.99257703451374</v>
      </c>
      <c r="H2131" t="s">
        <v>672</v>
      </c>
      <c r="I2131" t="s">
        <v>611</v>
      </c>
      <c r="J2131">
        <v>3</v>
      </c>
      <c r="K2131" t="s">
        <v>612</v>
      </c>
      <c r="L2131">
        <v>130000</v>
      </c>
      <c r="M2131">
        <v>2.6</v>
      </c>
      <c r="N2131">
        <v>100.99257703451374</v>
      </c>
      <c r="O2131" t="s">
        <v>592</v>
      </c>
      <c r="P2131" t="s">
        <v>613</v>
      </c>
      <c r="Q2131" t="s">
        <v>586</v>
      </c>
      <c r="R2131" t="s">
        <v>712</v>
      </c>
      <c r="S2131" t="s">
        <v>712</v>
      </c>
      <c r="T2131">
        <v>82</v>
      </c>
    </row>
    <row r="2132" spans="1:20" x14ac:dyDescent="0.25">
      <c r="A2132" t="s">
        <v>3429</v>
      </c>
      <c r="B2132" t="s">
        <v>540</v>
      </c>
      <c r="C2132" t="s">
        <v>586</v>
      </c>
      <c r="D2132" t="s">
        <v>608</v>
      </c>
      <c r="E2132" t="s">
        <v>891</v>
      </c>
      <c r="F2132">
        <v>3.6097633187121017E-2</v>
      </c>
      <c r="G2132">
        <v>1.6470630136986353</v>
      </c>
      <c r="H2132" t="s">
        <v>2116</v>
      </c>
      <c r="I2132" t="s">
        <v>611</v>
      </c>
      <c r="J2132">
        <v>3</v>
      </c>
      <c r="K2132" t="s">
        <v>1008</v>
      </c>
      <c r="L2132">
        <v>270000</v>
      </c>
      <c r="M2132">
        <v>1.35</v>
      </c>
      <c r="N2132">
        <v>1.6470630136986353</v>
      </c>
      <c r="O2132" t="s">
        <v>592</v>
      </c>
      <c r="P2132" t="s">
        <v>613</v>
      </c>
      <c r="Q2132" t="s">
        <v>586</v>
      </c>
      <c r="R2132" t="s">
        <v>712</v>
      </c>
      <c r="S2132" t="s">
        <v>712</v>
      </c>
      <c r="T2132">
        <v>99</v>
      </c>
    </row>
    <row r="2133" spans="1:20" x14ac:dyDescent="0.25">
      <c r="A2133" t="s">
        <v>3430</v>
      </c>
      <c r="B2133" t="s">
        <v>540</v>
      </c>
      <c r="C2133" t="s">
        <v>586</v>
      </c>
      <c r="D2133" t="s">
        <v>608</v>
      </c>
      <c r="E2133" t="s">
        <v>891</v>
      </c>
      <c r="F2133">
        <v>0.99936129538810881</v>
      </c>
      <c r="G2133">
        <v>-1.0777452054794523</v>
      </c>
      <c r="H2133" t="s">
        <v>2116</v>
      </c>
      <c r="I2133" t="s">
        <v>611</v>
      </c>
      <c r="J2133">
        <v>4</v>
      </c>
      <c r="K2133" t="s">
        <v>920</v>
      </c>
      <c r="L2133">
        <v>280000</v>
      </c>
      <c r="M2133">
        <v>1.45</v>
      </c>
      <c r="N2133">
        <v>-1.0777452054794523</v>
      </c>
      <c r="O2133" t="s">
        <v>592</v>
      </c>
      <c r="P2133" t="s">
        <v>613</v>
      </c>
      <c r="Q2133" t="s">
        <v>586</v>
      </c>
      <c r="R2133" t="s">
        <v>712</v>
      </c>
      <c r="S2133" t="s">
        <v>712</v>
      </c>
      <c r="T2133">
        <v>94</v>
      </c>
    </row>
    <row r="2134" spans="1:20" x14ac:dyDescent="0.25">
      <c r="A2134" t="s">
        <v>3431</v>
      </c>
      <c r="B2134" t="s">
        <v>540</v>
      </c>
      <c r="C2134" t="s">
        <v>586</v>
      </c>
      <c r="D2134" t="s">
        <v>608</v>
      </c>
      <c r="E2134" t="s">
        <v>891</v>
      </c>
      <c r="F2134">
        <v>1.9465115024892465</v>
      </c>
      <c r="G2134">
        <v>0.68605205479452813</v>
      </c>
      <c r="H2134" t="s">
        <v>2116</v>
      </c>
      <c r="I2134" t="s">
        <v>611</v>
      </c>
      <c r="J2134">
        <v>3</v>
      </c>
      <c r="K2134" t="s">
        <v>898</v>
      </c>
      <c r="L2134">
        <v>290000</v>
      </c>
      <c r="M2134">
        <v>1.6</v>
      </c>
      <c r="N2134">
        <v>0.68605205479452813</v>
      </c>
      <c r="O2134" t="s">
        <v>592</v>
      </c>
      <c r="P2134" t="s">
        <v>613</v>
      </c>
      <c r="Q2134" t="s">
        <v>586</v>
      </c>
      <c r="R2134" t="s">
        <v>712</v>
      </c>
      <c r="S2134" t="s">
        <v>712</v>
      </c>
      <c r="T2134">
        <v>85</v>
      </c>
    </row>
    <row r="2135" spans="1:20" x14ac:dyDescent="0.25">
      <c r="A2135" t="s">
        <v>3432</v>
      </c>
      <c r="B2135" t="s">
        <v>540</v>
      </c>
      <c r="C2135" t="s">
        <v>586</v>
      </c>
      <c r="D2135" t="s">
        <v>608</v>
      </c>
      <c r="E2135" t="s">
        <v>891</v>
      </c>
      <c r="F2135">
        <v>2.817343471838885</v>
      </c>
      <c r="G2135">
        <v>2.3658273972602784</v>
      </c>
      <c r="H2135" t="s">
        <v>2116</v>
      </c>
      <c r="I2135" t="s">
        <v>611</v>
      </c>
      <c r="J2135">
        <v>4</v>
      </c>
      <c r="K2135" t="s">
        <v>978</v>
      </c>
      <c r="L2135">
        <v>300000</v>
      </c>
      <c r="M2135">
        <v>1.75</v>
      </c>
      <c r="N2135">
        <v>2.3658273972602784</v>
      </c>
      <c r="O2135" t="s">
        <v>592</v>
      </c>
      <c r="P2135" t="s">
        <v>613</v>
      </c>
      <c r="Q2135" t="s">
        <v>586</v>
      </c>
      <c r="R2135">
        <v>200000</v>
      </c>
      <c r="S2135" t="s">
        <v>712</v>
      </c>
      <c r="T2135">
        <v>79</v>
      </c>
    </row>
    <row r="2136" spans="1:20" x14ac:dyDescent="0.25">
      <c r="A2136" t="s">
        <v>3433</v>
      </c>
      <c r="B2136" t="s">
        <v>540</v>
      </c>
      <c r="C2136" t="s">
        <v>586</v>
      </c>
      <c r="D2136" t="s">
        <v>608</v>
      </c>
      <c r="E2136" t="s">
        <v>891</v>
      </c>
      <c r="F2136">
        <v>3.6774035496207049</v>
      </c>
      <c r="G2136">
        <v>5.4431890410958861</v>
      </c>
      <c r="H2136" t="s">
        <v>2116</v>
      </c>
      <c r="I2136" t="s">
        <v>611</v>
      </c>
      <c r="J2136">
        <v>4</v>
      </c>
      <c r="K2136" t="s">
        <v>1046</v>
      </c>
      <c r="L2136">
        <v>310000</v>
      </c>
      <c r="M2136">
        <v>1.9000000000000001</v>
      </c>
      <c r="N2136">
        <v>5.4431890410958861</v>
      </c>
      <c r="O2136" t="s">
        <v>592</v>
      </c>
      <c r="P2136" t="s">
        <v>613</v>
      </c>
      <c r="Q2136" t="s">
        <v>586</v>
      </c>
      <c r="R2136" t="s">
        <v>712</v>
      </c>
      <c r="S2136" t="s">
        <v>712</v>
      </c>
      <c r="T2136">
        <v>73</v>
      </c>
    </row>
    <row r="2137" spans="1:20" x14ac:dyDescent="0.25">
      <c r="A2137" t="s">
        <v>3434</v>
      </c>
      <c r="B2137" t="s">
        <v>540</v>
      </c>
      <c r="C2137" t="s">
        <v>586</v>
      </c>
      <c r="D2137" t="s">
        <v>608</v>
      </c>
      <c r="E2137" t="s">
        <v>891</v>
      </c>
      <c r="F2137">
        <v>4.6078278197950713</v>
      </c>
      <c r="G2137">
        <v>5.8705260273972604</v>
      </c>
      <c r="H2137" t="s">
        <v>2116</v>
      </c>
      <c r="I2137" t="s">
        <v>611</v>
      </c>
      <c r="J2137">
        <v>3</v>
      </c>
      <c r="K2137" t="s">
        <v>1176</v>
      </c>
      <c r="L2137">
        <v>320000</v>
      </c>
      <c r="M2137">
        <v>2</v>
      </c>
      <c r="N2137">
        <v>5.8705260273972604</v>
      </c>
      <c r="O2137" t="s">
        <v>592</v>
      </c>
      <c r="P2137" t="s">
        <v>613</v>
      </c>
      <c r="Q2137" t="s">
        <v>586</v>
      </c>
      <c r="R2137" t="s">
        <v>712</v>
      </c>
      <c r="S2137" t="s">
        <v>712</v>
      </c>
      <c r="T2137">
        <v>65</v>
      </c>
    </row>
    <row r="2138" spans="1:20" x14ac:dyDescent="0.25">
      <c r="A2138" t="s">
        <v>3435</v>
      </c>
      <c r="B2138" t="s">
        <v>541</v>
      </c>
      <c r="C2138" t="s">
        <v>586</v>
      </c>
      <c r="D2138" t="s">
        <v>1124</v>
      </c>
      <c r="E2138" t="s">
        <v>3436</v>
      </c>
      <c r="F2138">
        <v>0.49447002903174159</v>
      </c>
      <c r="G2138">
        <v>18.663108590791389</v>
      </c>
      <c r="H2138" t="s">
        <v>676</v>
      </c>
      <c r="I2138" t="s">
        <v>721</v>
      </c>
      <c r="J2138">
        <v>3</v>
      </c>
      <c r="K2138" t="s">
        <v>807</v>
      </c>
      <c r="L2138">
        <v>185000</v>
      </c>
      <c r="M2138">
        <v>1.6500000000000001</v>
      </c>
      <c r="N2138">
        <v>18.663108590791389</v>
      </c>
      <c r="O2138" t="s">
        <v>592</v>
      </c>
      <c r="P2138" t="s">
        <v>711</v>
      </c>
      <c r="Q2138" t="s">
        <v>586</v>
      </c>
      <c r="R2138" t="s">
        <v>712</v>
      </c>
      <c r="S2138" t="s">
        <v>712</v>
      </c>
      <c r="T2138">
        <v>89</v>
      </c>
    </row>
    <row r="2139" spans="1:20" x14ac:dyDescent="0.25">
      <c r="A2139" t="s">
        <v>3437</v>
      </c>
      <c r="B2139" t="s">
        <v>541</v>
      </c>
      <c r="C2139" t="s">
        <v>586</v>
      </c>
      <c r="D2139" t="s">
        <v>1124</v>
      </c>
      <c r="E2139" t="s">
        <v>3436</v>
      </c>
      <c r="F2139">
        <v>1.4631580506118724</v>
      </c>
      <c r="G2139">
        <v>17.33566473127577</v>
      </c>
      <c r="H2139" t="s">
        <v>676</v>
      </c>
      <c r="I2139" t="s">
        <v>721</v>
      </c>
      <c r="J2139">
        <v>3</v>
      </c>
      <c r="K2139" t="s">
        <v>780</v>
      </c>
      <c r="L2139">
        <v>185000</v>
      </c>
      <c r="M2139">
        <v>1.8</v>
      </c>
      <c r="N2139">
        <v>17.33566473127577</v>
      </c>
      <c r="O2139" t="s">
        <v>592</v>
      </c>
      <c r="P2139" t="s">
        <v>711</v>
      </c>
      <c r="Q2139" t="s">
        <v>586</v>
      </c>
      <c r="R2139" t="s">
        <v>712</v>
      </c>
      <c r="S2139" t="s">
        <v>712</v>
      </c>
      <c r="T2139">
        <v>74</v>
      </c>
    </row>
    <row r="2140" spans="1:20" x14ac:dyDescent="0.25">
      <c r="A2140" t="s">
        <v>3438</v>
      </c>
      <c r="B2140" t="s">
        <v>541</v>
      </c>
      <c r="C2140" t="s">
        <v>586</v>
      </c>
      <c r="D2140" t="s">
        <v>1124</v>
      </c>
      <c r="E2140" t="s">
        <v>3436</v>
      </c>
      <c r="F2140">
        <v>2.4037310995915946</v>
      </c>
      <c r="G2140">
        <v>15.989218058534194</v>
      </c>
      <c r="H2140" t="s">
        <v>676</v>
      </c>
      <c r="I2140" t="s">
        <v>721</v>
      </c>
      <c r="J2140">
        <v>3</v>
      </c>
      <c r="K2140" t="s">
        <v>1013</v>
      </c>
      <c r="L2140">
        <v>190000</v>
      </c>
      <c r="M2140">
        <v>1.95</v>
      </c>
      <c r="N2140">
        <v>15.989218058534194</v>
      </c>
      <c r="O2140" t="s">
        <v>592</v>
      </c>
      <c r="P2140" t="s">
        <v>711</v>
      </c>
      <c r="Q2140" t="s">
        <v>586</v>
      </c>
      <c r="R2140" t="s">
        <v>712</v>
      </c>
      <c r="S2140" t="s">
        <v>712</v>
      </c>
      <c r="T2140">
        <v>64</v>
      </c>
    </row>
    <row r="2141" spans="1:20" x14ac:dyDescent="0.25">
      <c r="A2141" t="s">
        <v>3439</v>
      </c>
      <c r="B2141" t="s">
        <v>541</v>
      </c>
      <c r="C2141" t="s">
        <v>586</v>
      </c>
      <c r="D2141" t="s">
        <v>1124</v>
      </c>
      <c r="E2141" t="s">
        <v>3436</v>
      </c>
      <c r="F2141">
        <v>3.3176990825942294</v>
      </c>
      <c r="G2141">
        <v>10.876598921678982</v>
      </c>
      <c r="H2141" t="s">
        <v>676</v>
      </c>
      <c r="I2141" t="s">
        <v>721</v>
      </c>
      <c r="J2141">
        <v>3</v>
      </c>
      <c r="K2141" t="s">
        <v>824</v>
      </c>
      <c r="L2141">
        <v>195000</v>
      </c>
      <c r="M2141">
        <v>2.0499999999999998</v>
      </c>
      <c r="N2141">
        <v>10.876598921678982</v>
      </c>
      <c r="O2141" t="s">
        <v>592</v>
      </c>
      <c r="P2141" t="s">
        <v>711</v>
      </c>
      <c r="Q2141" t="s">
        <v>586</v>
      </c>
      <c r="R2141" t="s">
        <v>712</v>
      </c>
      <c r="S2141" t="s">
        <v>712</v>
      </c>
      <c r="T2141">
        <v>55</v>
      </c>
    </row>
    <row r="2142" spans="1:20" x14ac:dyDescent="0.25">
      <c r="A2142" t="s">
        <v>3440</v>
      </c>
      <c r="B2142" t="s">
        <v>542</v>
      </c>
      <c r="C2142" t="s">
        <v>586</v>
      </c>
      <c r="D2142" t="s">
        <v>666</v>
      </c>
      <c r="E2142" t="s">
        <v>3441</v>
      </c>
      <c r="F2142">
        <v>0.81362677291473806</v>
      </c>
      <c r="G2142">
        <v>4.139246575342459</v>
      </c>
      <c r="H2142" t="s">
        <v>3442</v>
      </c>
      <c r="I2142" t="s">
        <v>611</v>
      </c>
      <c r="J2142">
        <v>5</v>
      </c>
      <c r="K2142" t="s">
        <v>984</v>
      </c>
      <c r="L2142">
        <v>1230000</v>
      </c>
      <c r="M2142">
        <v>1.5</v>
      </c>
      <c r="N2142">
        <v>4.139246575342459</v>
      </c>
      <c r="O2142" t="s">
        <v>592</v>
      </c>
      <c r="P2142" t="s">
        <v>593</v>
      </c>
      <c r="Q2142" t="s">
        <v>586</v>
      </c>
      <c r="R2142" t="s">
        <v>712</v>
      </c>
      <c r="S2142" t="s">
        <v>652</v>
      </c>
      <c r="T2142">
        <v>98</v>
      </c>
    </row>
    <row r="2143" spans="1:20" x14ac:dyDescent="0.25">
      <c r="A2143" t="s">
        <v>3443</v>
      </c>
      <c r="B2143" t="s">
        <v>542</v>
      </c>
      <c r="C2143" t="s">
        <v>586</v>
      </c>
      <c r="D2143" t="s">
        <v>666</v>
      </c>
      <c r="E2143" t="s">
        <v>3441</v>
      </c>
      <c r="F2143">
        <v>1.7475216115348915</v>
      </c>
      <c r="G2143">
        <v>3.510463013698617</v>
      </c>
      <c r="H2143" t="s">
        <v>3442</v>
      </c>
      <c r="I2143" t="s">
        <v>611</v>
      </c>
      <c r="J2143">
        <v>5</v>
      </c>
      <c r="K2143" t="s">
        <v>1114</v>
      </c>
      <c r="L2143">
        <v>1290000</v>
      </c>
      <c r="M2143">
        <v>1.6300000000000001</v>
      </c>
      <c r="N2143">
        <v>3.510463013698617</v>
      </c>
      <c r="O2143" t="s">
        <v>592</v>
      </c>
      <c r="P2143" t="s">
        <v>593</v>
      </c>
      <c r="Q2143" t="s">
        <v>586</v>
      </c>
      <c r="R2143">
        <v>80000</v>
      </c>
      <c r="S2143" t="s">
        <v>652</v>
      </c>
      <c r="T2143">
        <v>94</v>
      </c>
    </row>
    <row r="2144" spans="1:20" x14ac:dyDescent="0.25">
      <c r="A2144" t="s">
        <v>3444</v>
      </c>
      <c r="B2144" t="s">
        <v>542</v>
      </c>
      <c r="C2144" t="s">
        <v>586</v>
      </c>
      <c r="D2144" t="s">
        <v>666</v>
      </c>
      <c r="E2144" t="s">
        <v>3441</v>
      </c>
      <c r="F2144">
        <v>2.6406249325259838</v>
      </c>
      <c r="G2144">
        <v>4.7403890410958827</v>
      </c>
      <c r="H2144" t="s">
        <v>3442</v>
      </c>
      <c r="I2144" t="s">
        <v>611</v>
      </c>
      <c r="J2144">
        <v>5</v>
      </c>
      <c r="K2144" t="s">
        <v>669</v>
      </c>
      <c r="L2144">
        <v>1355000</v>
      </c>
      <c r="M2144">
        <v>1.78</v>
      </c>
      <c r="N2144">
        <v>4.7403890410958827</v>
      </c>
      <c r="O2144" t="s">
        <v>592</v>
      </c>
      <c r="P2144" t="s">
        <v>593</v>
      </c>
      <c r="Q2144" t="s">
        <v>586</v>
      </c>
      <c r="R2144" t="s">
        <v>712</v>
      </c>
      <c r="S2144" t="s">
        <v>652</v>
      </c>
      <c r="T2144">
        <v>87</v>
      </c>
    </row>
    <row r="2145" spans="1:20" x14ac:dyDescent="0.25">
      <c r="A2145" t="s">
        <v>3445</v>
      </c>
      <c r="B2145" t="s">
        <v>542</v>
      </c>
      <c r="C2145" t="s">
        <v>586</v>
      </c>
      <c r="D2145" t="s">
        <v>666</v>
      </c>
      <c r="E2145" t="s">
        <v>3441</v>
      </c>
      <c r="F2145">
        <v>3.4963594227364565</v>
      </c>
      <c r="G2145">
        <v>4.0529589041095715</v>
      </c>
      <c r="H2145" t="s">
        <v>3442</v>
      </c>
      <c r="I2145" t="s">
        <v>611</v>
      </c>
      <c r="J2145">
        <v>5</v>
      </c>
      <c r="K2145" t="s">
        <v>1163</v>
      </c>
      <c r="L2145">
        <v>1425000</v>
      </c>
      <c r="M2145">
        <v>1.9000000000000001</v>
      </c>
      <c r="N2145">
        <v>4.0529589041095715</v>
      </c>
      <c r="O2145" t="s">
        <v>592</v>
      </c>
      <c r="P2145" t="s">
        <v>593</v>
      </c>
      <c r="Q2145" t="s">
        <v>586</v>
      </c>
      <c r="R2145" t="s">
        <v>712</v>
      </c>
      <c r="S2145" t="s">
        <v>652</v>
      </c>
      <c r="T2145">
        <v>82</v>
      </c>
    </row>
    <row r="2146" spans="1:20" x14ac:dyDescent="0.25">
      <c r="A2146" t="s">
        <v>3446</v>
      </c>
      <c r="B2146" t="s">
        <v>542</v>
      </c>
      <c r="C2146" t="s">
        <v>586</v>
      </c>
      <c r="D2146" t="s">
        <v>666</v>
      </c>
      <c r="E2146" t="s">
        <v>3441</v>
      </c>
      <c r="F2146">
        <v>4.3123223055176991</v>
      </c>
      <c r="G2146">
        <v>3.5709068493150697</v>
      </c>
      <c r="H2146" t="s">
        <v>3442</v>
      </c>
      <c r="I2146" t="s">
        <v>611</v>
      </c>
      <c r="J2146">
        <v>5</v>
      </c>
      <c r="K2146" t="s">
        <v>722</v>
      </c>
      <c r="L2146">
        <v>1495000</v>
      </c>
      <c r="M2146">
        <v>2</v>
      </c>
      <c r="N2146">
        <v>3.5709068493150697</v>
      </c>
      <c r="O2146" t="s">
        <v>592</v>
      </c>
      <c r="P2146" t="s">
        <v>593</v>
      </c>
      <c r="Q2146" t="s">
        <v>586</v>
      </c>
      <c r="R2146">
        <v>10000</v>
      </c>
      <c r="S2146" t="s">
        <v>652</v>
      </c>
      <c r="T2146">
        <v>78</v>
      </c>
    </row>
    <row r="2147" spans="1:20" x14ac:dyDescent="0.25">
      <c r="A2147" t="s">
        <v>3447</v>
      </c>
      <c r="B2147" t="s">
        <v>543</v>
      </c>
      <c r="C2147" t="s">
        <v>586</v>
      </c>
      <c r="D2147" t="s">
        <v>642</v>
      </c>
      <c r="E2147" t="s">
        <v>3448</v>
      </c>
      <c r="F2147">
        <v>0.81718601816734537</v>
      </c>
      <c r="G2147">
        <v>29.667784159062059</v>
      </c>
      <c r="H2147" t="s">
        <v>799</v>
      </c>
      <c r="I2147" t="s">
        <v>721</v>
      </c>
      <c r="J2147">
        <v>2.5</v>
      </c>
      <c r="K2147" t="s">
        <v>984</v>
      </c>
      <c r="L2147">
        <v>320000</v>
      </c>
      <c r="M2147">
        <v>1.7000000000000002</v>
      </c>
      <c r="N2147">
        <v>29.667784159062059</v>
      </c>
      <c r="O2147" t="s">
        <v>592</v>
      </c>
      <c r="P2147" t="s">
        <v>613</v>
      </c>
      <c r="Q2147" t="s">
        <v>586</v>
      </c>
      <c r="R2147" t="s">
        <v>712</v>
      </c>
      <c r="S2147" t="s">
        <v>712</v>
      </c>
      <c r="T2147">
        <v>85</v>
      </c>
    </row>
    <row r="2148" spans="1:20" x14ac:dyDescent="0.25">
      <c r="A2148" t="s">
        <v>3449</v>
      </c>
      <c r="B2148" t="s">
        <v>154</v>
      </c>
      <c r="C2148" t="s">
        <v>607</v>
      </c>
      <c r="D2148" t="s">
        <v>608</v>
      </c>
      <c r="E2148" t="s">
        <v>1211</v>
      </c>
      <c r="F2148">
        <v>5.5551824477564678E-3</v>
      </c>
      <c r="G2148">
        <v>25.140216438356177</v>
      </c>
      <c r="H2148" t="s">
        <v>1045</v>
      </c>
      <c r="I2148" t="s">
        <v>611</v>
      </c>
      <c r="J2148">
        <v>3</v>
      </c>
      <c r="K2148" t="s">
        <v>995</v>
      </c>
      <c r="L2148">
        <v>75000</v>
      </c>
      <c r="M2148">
        <v>1.5</v>
      </c>
      <c r="N2148">
        <v>25.140216438356177</v>
      </c>
      <c r="O2148" t="s">
        <v>592</v>
      </c>
      <c r="P2148" t="s">
        <v>613</v>
      </c>
      <c r="Q2148" t="s">
        <v>586</v>
      </c>
      <c r="R2148" t="s">
        <v>712</v>
      </c>
      <c r="S2148" t="s">
        <v>594</v>
      </c>
      <c r="T2148">
        <v>98</v>
      </c>
    </row>
    <row r="2149" spans="1:20" x14ac:dyDescent="0.25">
      <c r="A2149" t="s">
        <v>3450</v>
      </c>
      <c r="B2149" t="s">
        <v>154</v>
      </c>
      <c r="C2149" t="s">
        <v>607</v>
      </c>
      <c r="D2149" t="s">
        <v>608</v>
      </c>
      <c r="E2149" t="s">
        <v>1211</v>
      </c>
      <c r="F2149">
        <v>0.98111896966644285</v>
      </c>
      <c r="G2149">
        <v>26.625410958904116</v>
      </c>
      <c r="H2149" t="s">
        <v>1045</v>
      </c>
      <c r="I2149" t="s">
        <v>611</v>
      </c>
      <c r="J2149">
        <v>3</v>
      </c>
      <c r="K2149" t="s">
        <v>646</v>
      </c>
      <c r="L2149">
        <v>80000</v>
      </c>
      <c r="M2149">
        <v>1.6500000000000001</v>
      </c>
      <c r="N2149">
        <v>26.625410958904116</v>
      </c>
      <c r="O2149" t="s">
        <v>592</v>
      </c>
      <c r="P2149" t="s">
        <v>613</v>
      </c>
      <c r="Q2149" t="s">
        <v>586</v>
      </c>
      <c r="R2149" t="s">
        <v>712</v>
      </c>
      <c r="S2149" t="s">
        <v>594</v>
      </c>
      <c r="T2149">
        <v>87</v>
      </c>
    </row>
    <row r="2150" spans="1:20" x14ac:dyDescent="0.25">
      <c r="A2150" t="s">
        <v>3451</v>
      </c>
      <c r="B2150" t="s">
        <v>154</v>
      </c>
      <c r="C2150" t="s">
        <v>607</v>
      </c>
      <c r="D2150" t="s">
        <v>608</v>
      </c>
      <c r="E2150" t="s">
        <v>1211</v>
      </c>
      <c r="F2150">
        <v>2.8595193368424976</v>
      </c>
      <c r="G2150">
        <v>28.469463013698615</v>
      </c>
      <c r="H2150" t="s">
        <v>1045</v>
      </c>
      <c r="I2150" t="s">
        <v>611</v>
      </c>
      <c r="J2150">
        <v>3</v>
      </c>
      <c r="K2150" t="s">
        <v>817</v>
      </c>
      <c r="L2150">
        <v>90000</v>
      </c>
      <c r="M2150">
        <v>1.95</v>
      </c>
      <c r="N2150">
        <v>28.469463013698615</v>
      </c>
      <c r="O2150" t="s">
        <v>592</v>
      </c>
      <c r="P2150" t="s">
        <v>613</v>
      </c>
      <c r="Q2150" t="s">
        <v>586</v>
      </c>
      <c r="R2150" t="s">
        <v>712</v>
      </c>
      <c r="S2150" t="s">
        <v>594</v>
      </c>
      <c r="T2150">
        <v>64</v>
      </c>
    </row>
    <row r="2151" spans="1:20" x14ac:dyDescent="0.25">
      <c r="A2151" t="s">
        <v>3452</v>
      </c>
      <c r="B2151" t="s">
        <v>544</v>
      </c>
      <c r="C2151" t="s">
        <v>586</v>
      </c>
      <c r="D2151" t="s">
        <v>805</v>
      </c>
      <c r="E2151" t="s">
        <v>1802</v>
      </c>
      <c r="F2151">
        <v>0.68690227420007055</v>
      </c>
      <c r="G2151">
        <v>3.9324158665422049</v>
      </c>
      <c r="H2151" t="s">
        <v>3453</v>
      </c>
      <c r="I2151" t="s">
        <v>1137</v>
      </c>
      <c r="J2151">
        <v>5</v>
      </c>
      <c r="K2151" t="s">
        <v>880</v>
      </c>
      <c r="L2151">
        <v>705000</v>
      </c>
      <c r="M2151">
        <v>1.71</v>
      </c>
      <c r="N2151">
        <v>3.9324158665422049</v>
      </c>
      <c r="O2151" t="s">
        <v>592</v>
      </c>
      <c r="P2151" t="s">
        <v>593</v>
      </c>
      <c r="Q2151" t="s">
        <v>586</v>
      </c>
      <c r="R2151">
        <v>110000</v>
      </c>
      <c r="S2151" t="s">
        <v>712</v>
      </c>
      <c r="T2151">
        <v>99</v>
      </c>
    </row>
    <row r="2152" spans="1:20" x14ac:dyDescent="0.25">
      <c r="A2152" t="s">
        <v>3454</v>
      </c>
      <c r="B2152" t="s">
        <v>544</v>
      </c>
      <c r="C2152" t="s">
        <v>586</v>
      </c>
      <c r="D2152" t="s">
        <v>805</v>
      </c>
      <c r="E2152" t="s">
        <v>1802</v>
      </c>
      <c r="F2152">
        <v>1.620778669059475</v>
      </c>
      <c r="G2152">
        <v>3.385385566520327</v>
      </c>
      <c r="H2152" t="s">
        <v>3453</v>
      </c>
      <c r="I2152" t="s">
        <v>1137</v>
      </c>
      <c r="J2152">
        <v>5</v>
      </c>
      <c r="K2152" t="s">
        <v>853</v>
      </c>
      <c r="L2152">
        <v>740000</v>
      </c>
      <c r="M2152">
        <v>1.87</v>
      </c>
      <c r="N2152">
        <v>3.385385566520327</v>
      </c>
      <c r="O2152" t="s">
        <v>592</v>
      </c>
      <c r="P2152" t="s">
        <v>593</v>
      </c>
      <c r="Q2152" t="s">
        <v>586</v>
      </c>
      <c r="R2152" t="s">
        <v>712</v>
      </c>
      <c r="S2152" t="s">
        <v>712</v>
      </c>
      <c r="T2152">
        <v>91</v>
      </c>
    </row>
    <row r="2153" spans="1:20" x14ac:dyDescent="0.25">
      <c r="A2153" t="s">
        <v>3455</v>
      </c>
      <c r="B2153" t="s">
        <v>544</v>
      </c>
      <c r="C2153" t="s">
        <v>586</v>
      </c>
      <c r="D2153" t="s">
        <v>805</v>
      </c>
      <c r="E2153" t="s">
        <v>1802</v>
      </c>
      <c r="F2153">
        <v>2.5138476579231388</v>
      </c>
      <c r="G2153">
        <v>2.3451302260121043</v>
      </c>
      <c r="H2153" t="s">
        <v>3453</v>
      </c>
      <c r="I2153" t="s">
        <v>1137</v>
      </c>
      <c r="J2153">
        <v>5</v>
      </c>
      <c r="K2153" t="s">
        <v>662</v>
      </c>
      <c r="L2153">
        <v>725000</v>
      </c>
      <c r="M2153">
        <v>2.02</v>
      </c>
      <c r="N2153">
        <v>2.3451302260121043</v>
      </c>
      <c r="O2153" t="s">
        <v>592</v>
      </c>
      <c r="P2153" t="s">
        <v>593</v>
      </c>
      <c r="Q2153" t="s">
        <v>586</v>
      </c>
      <c r="R2153" t="s">
        <v>712</v>
      </c>
      <c r="S2153" t="s">
        <v>712</v>
      </c>
      <c r="T2153">
        <v>83</v>
      </c>
    </row>
    <row r="2154" spans="1:20" x14ac:dyDescent="0.25">
      <c r="A2154" t="s">
        <v>3456</v>
      </c>
      <c r="B2154" t="s">
        <v>544</v>
      </c>
      <c r="C2154" t="s">
        <v>586</v>
      </c>
      <c r="D2154" t="s">
        <v>805</v>
      </c>
      <c r="E2154" t="s">
        <v>1802</v>
      </c>
      <c r="F2154">
        <v>3.3696673656659124</v>
      </c>
      <c r="G2154">
        <v>1.198229526582395</v>
      </c>
      <c r="H2154" t="s">
        <v>3453</v>
      </c>
      <c r="I2154" t="s">
        <v>1137</v>
      </c>
      <c r="J2154">
        <v>5</v>
      </c>
      <c r="K2154" t="s">
        <v>688</v>
      </c>
      <c r="L2154">
        <v>760000</v>
      </c>
      <c r="M2154">
        <v>2.15</v>
      </c>
      <c r="N2154">
        <v>1.198229526582395</v>
      </c>
      <c r="O2154" t="s">
        <v>592</v>
      </c>
      <c r="P2154" t="s">
        <v>593</v>
      </c>
      <c r="Q2154" t="s">
        <v>586</v>
      </c>
      <c r="R2154" t="s">
        <v>712</v>
      </c>
      <c r="S2154" t="s">
        <v>712</v>
      </c>
      <c r="T2154">
        <v>76</v>
      </c>
    </row>
    <row r="2155" spans="1:20" x14ac:dyDescent="0.25">
      <c r="A2155" t="s">
        <v>3457</v>
      </c>
      <c r="B2155" t="s">
        <v>544</v>
      </c>
      <c r="C2155" t="s">
        <v>586</v>
      </c>
      <c r="D2155" t="s">
        <v>805</v>
      </c>
      <c r="E2155" t="s">
        <v>1802</v>
      </c>
      <c r="F2155">
        <v>4.1910879838515935</v>
      </c>
      <c r="G2155">
        <v>2.9160136414778215</v>
      </c>
      <c r="H2155" t="s">
        <v>3453</v>
      </c>
      <c r="I2155" t="s">
        <v>1137</v>
      </c>
      <c r="J2155">
        <v>5</v>
      </c>
      <c r="K2155" t="s">
        <v>1060</v>
      </c>
      <c r="L2155">
        <v>795000</v>
      </c>
      <c r="M2155">
        <v>2.2800000000000002</v>
      </c>
      <c r="N2155">
        <v>2.9160136414778215</v>
      </c>
      <c r="O2155" t="s">
        <v>592</v>
      </c>
      <c r="P2155" t="s">
        <v>593</v>
      </c>
      <c r="Q2155" t="s">
        <v>586</v>
      </c>
      <c r="R2155">
        <v>10000</v>
      </c>
      <c r="S2155" t="s">
        <v>712</v>
      </c>
      <c r="T2155">
        <v>70</v>
      </c>
    </row>
    <row r="2156" spans="1:20" x14ac:dyDescent="0.25">
      <c r="A2156" t="s">
        <v>3458</v>
      </c>
      <c r="B2156" t="s">
        <v>544</v>
      </c>
      <c r="C2156" t="s">
        <v>586</v>
      </c>
      <c r="D2156" t="s">
        <v>805</v>
      </c>
      <c r="E2156" t="s">
        <v>1802</v>
      </c>
      <c r="F2156">
        <v>0.24671400316183903</v>
      </c>
      <c r="G2156">
        <v>6.2405753424657595</v>
      </c>
      <c r="H2156" t="s">
        <v>3459</v>
      </c>
      <c r="I2156" t="s">
        <v>1137</v>
      </c>
      <c r="J2156">
        <v>5</v>
      </c>
      <c r="K2156" t="s">
        <v>694</v>
      </c>
      <c r="L2156">
        <v>215000</v>
      </c>
      <c r="M2156">
        <v>1.48</v>
      </c>
      <c r="N2156">
        <v>6.2405753424657595</v>
      </c>
      <c r="O2156" t="s">
        <v>592</v>
      </c>
      <c r="P2156" t="s">
        <v>593</v>
      </c>
      <c r="Q2156" t="s">
        <v>586</v>
      </c>
      <c r="R2156">
        <v>15000</v>
      </c>
      <c r="S2156" t="s">
        <v>712</v>
      </c>
      <c r="T2156">
        <v>98</v>
      </c>
    </row>
    <row r="2157" spans="1:20" x14ac:dyDescent="0.25">
      <c r="A2157" t="s">
        <v>3460</v>
      </c>
      <c r="B2157" t="s">
        <v>544</v>
      </c>
      <c r="C2157" t="s">
        <v>586</v>
      </c>
      <c r="D2157" t="s">
        <v>805</v>
      </c>
      <c r="E2157" t="s">
        <v>1802</v>
      </c>
      <c r="F2157">
        <v>1.203175974444062</v>
      </c>
      <c r="G2157">
        <v>6.7570273972602957</v>
      </c>
      <c r="H2157" t="s">
        <v>3459</v>
      </c>
      <c r="I2157" t="s">
        <v>1137</v>
      </c>
      <c r="J2157">
        <v>5</v>
      </c>
      <c r="K2157" t="s">
        <v>764</v>
      </c>
      <c r="L2157">
        <v>225000</v>
      </c>
      <c r="M2157">
        <v>1.61</v>
      </c>
      <c r="N2157">
        <v>6.7570273972602957</v>
      </c>
      <c r="O2157" t="s">
        <v>592</v>
      </c>
      <c r="P2157" t="s">
        <v>593</v>
      </c>
      <c r="Q2157" t="s">
        <v>586</v>
      </c>
      <c r="R2157" t="s">
        <v>712</v>
      </c>
      <c r="S2157" t="s">
        <v>712</v>
      </c>
      <c r="T2157">
        <v>94</v>
      </c>
    </row>
    <row r="2158" spans="1:20" x14ac:dyDescent="0.25">
      <c r="A2158" t="s">
        <v>3461</v>
      </c>
      <c r="B2158" t="s">
        <v>544</v>
      </c>
      <c r="C2158" t="s">
        <v>586</v>
      </c>
      <c r="D2158" t="s">
        <v>805</v>
      </c>
      <c r="E2158" t="s">
        <v>1802</v>
      </c>
      <c r="F2158">
        <v>2.1160963831077191</v>
      </c>
      <c r="G2158">
        <v>5.8551534246575221</v>
      </c>
      <c r="H2158" t="s">
        <v>3459</v>
      </c>
      <c r="I2158" t="s">
        <v>1137</v>
      </c>
      <c r="J2158">
        <v>5</v>
      </c>
      <c r="K2158" t="s">
        <v>699</v>
      </c>
      <c r="L2158">
        <v>235000</v>
      </c>
      <c r="M2158">
        <v>1.73</v>
      </c>
      <c r="N2158">
        <v>5.8551534246575221</v>
      </c>
      <c r="O2158" t="s">
        <v>592</v>
      </c>
      <c r="P2158" t="s">
        <v>593</v>
      </c>
      <c r="Q2158" t="s">
        <v>586</v>
      </c>
      <c r="R2158" t="s">
        <v>712</v>
      </c>
      <c r="S2158" t="s">
        <v>712</v>
      </c>
      <c r="T2158">
        <v>86</v>
      </c>
    </row>
    <row r="2159" spans="1:20" x14ac:dyDescent="0.25">
      <c r="A2159" t="s">
        <v>3462</v>
      </c>
      <c r="B2159" t="s">
        <v>544</v>
      </c>
      <c r="C2159" t="s">
        <v>586</v>
      </c>
      <c r="D2159" t="s">
        <v>805</v>
      </c>
      <c r="E2159" t="s">
        <v>1802</v>
      </c>
      <c r="F2159">
        <v>2.9902300480038195</v>
      </c>
      <c r="G2159">
        <v>4.9652082191780966</v>
      </c>
      <c r="H2159" t="s">
        <v>3459</v>
      </c>
      <c r="I2159" t="s">
        <v>1137</v>
      </c>
      <c r="J2159">
        <v>5</v>
      </c>
      <c r="K2159" t="s">
        <v>591</v>
      </c>
      <c r="L2159">
        <v>250000</v>
      </c>
      <c r="M2159">
        <v>1.85</v>
      </c>
      <c r="N2159">
        <v>4.9652082191780966</v>
      </c>
      <c r="O2159" t="s">
        <v>592</v>
      </c>
      <c r="P2159" t="s">
        <v>593</v>
      </c>
      <c r="Q2159" t="s">
        <v>586</v>
      </c>
      <c r="R2159" t="s">
        <v>712</v>
      </c>
      <c r="S2159" t="s">
        <v>712</v>
      </c>
      <c r="T2159">
        <v>77</v>
      </c>
    </row>
    <row r="2160" spans="1:20" x14ac:dyDescent="0.25">
      <c r="A2160" t="s">
        <v>3463</v>
      </c>
      <c r="B2160" t="s">
        <v>544</v>
      </c>
      <c r="C2160" t="s">
        <v>586</v>
      </c>
      <c r="D2160" t="s">
        <v>805</v>
      </c>
      <c r="E2160" t="s">
        <v>1802</v>
      </c>
      <c r="F2160">
        <v>3.8284442956604487</v>
      </c>
      <c r="G2160">
        <v>8.760309589041082</v>
      </c>
      <c r="H2160" t="s">
        <v>3459</v>
      </c>
      <c r="I2160" t="s">
        <v>1137</v>
      </c>
      <c r="J2160">
        <v>5</v>
      </c>
      <c r="K2160" t="s">
        <v>725</v>
      </c>
      <c r="L2160">
        <v>260000</v>
      </c>
      <c r="M2160">
        <v>2</v>
      </c>
      <c r="N2160">
        <v>8.760309589041082</v>
      </c>
      <c r="O2160" t="s">
        <v>592</v>
      </c>
      <c r="P2160" t="s">
        <v>593</v>
      </c>
      <c r="Q2160" t="s">
        <v>586</v>
      </c>
      <c r="R2160" t="s">
        <v>712</v>
      </c>
      <c r="S2160" t="s">
        <v>712</v>
      </c>
      <c r="T2160">
        <v>70</v>
      </c>
    </row>
    <row r="2161" spans="1:20" x14ac:dyDescent="0.25">
      <c r="A2161" t="s">
        <v>3464</v>
      </c>
      <c r="B2161" t="s">
        <v>544</v>
      </c>
      <c r="C2161" t="s">
        <v>586</v>
      </c>
      <c r="D2161" t="s">
        <v>805</v>
      </c>
      <c r="E2161" t="s">
        <v>1802</v>
      </c>
      <c r="F2161">
        <v>4.633465578890009</v>
      </c>
      <c r="G2161">
        <v>8.9270136986301374</v>
      </c>
      <c r="H2161" t="s">
        <v>3459</v>
      </c>
      <c r="I2161" t="s">
        <v>1137</v>
      </c>
      <c r="J2161">
        <v>5</v>
      </c>
      <c r="K2161" t="s">
        <v>834</v>
      </c>
      <c r="L2161">
        <v>275000</v>
      </c>
      <c r="M2161">
        <v>2.09</v>
      </c>
      <c r="N2161">
        <v>8.9270136986301374</v>
      </c>
      <c r="O2161" t="s">
        <v>592</v>
      </c>
      <c r="P2161" t="s">
        <v>593</v>
      </c>
      <c r="Q2161" t="s">
        <v>586</v>
      </c>
      <c r="R2161" t="s">
        <v>712</v>
      </c>
      <c r="S2161" t="s">
        <v>712</v>
      </c>
      <c r="T2161">
        <v>64</v>
      </c>
    </row>
    <row r="2162" spans="1:20" x14ac:dyDescent="0.25">
      <c r="A2162" t="s">
        <v>3465</v>
      </c>
      <c r="B2162" t="s">
        <v>545</v>
      </c>
      <c r="C2162" t="s">
        <v>586</v>
      </c>
      <c r="D2162" t="s">
        <v>1071</v>
      </c>
      <c r="E2162" t="s">
        <v>3466</v>
      </c>
      <c r="F2162">
        <v>0.89842889375538759</v>
      </c>
      <c r="G2162">
        <v>62.589465753424633</v>
      </c>
      <c r="H2162" t="s">
        <v>1120</v>
      </c>
      <c r="I2162" t="s">
        <v>1011</v>
      </c>
      <c r="J2162">
        <v>3.5</v>
      </c>
      <c r="K2162" t="s">
        <v>640</v>
      </c>
      <c r="L2162">
        <v>15000</v>
      </c>
      <c r="M2162">
        <v>2.3000000000000003</v>
      </c>
      <c r="N2162">
        <v>62.589465753424633</v>
      </c>
      <c r="O2162" t="s">
        <v>592</v>
      </c>
      <c r="P2162" t="s">
        <v>711</v>
      </c>
      <c r="Q2162" t="s">
        <v>586</v>
      </c>
      <c r="R2162" t="s">
        <v>712</v>
      </c>
      <c r="S2162" t="s">
        <v>712</v>
      </c>
      <c r="T2162">
        <v>88</v>
      </c>
    </row>
    <row r="2163" spans="1:20" x14ac:dyDescent="0.25">
      <c r="A2163" t="s">
        <v>3467</v>
      </c>
      <c r="B2163" t="s">
        <v>545</v>
      </c>
      <c r="C2163" t="s">
        <v>586</v>
      </c>
      <c r="D2163" t="s">
        <v>1071</v>
      </c>
      <c r="E2163" t="s">
        <v>3466</v>
      </c>
      <c r="F2163">
        <v>1.8467741797496242</v>
      </c>
      <c r="G2163">
        <v>70.096101369863021</v>
      </c>
      <c r="H2163" t="s">
        <v>1120</v>
      </c>
      <c r="I2163" t="s">
        <v>1011</v>
      </c>
      <c r="J2163">
        <v>3.5</v>
      </c>
      <c r="K2163" t="s">
        <v>658</v>
      </c>
      <c r="L2163">
        <v>15000</v>
      </c>
      <c r="M2163">
        <v>2.4500000000000002</v>
      </c>
      <c r="N2163">
        <v>70.096101369863021</v>
      </c>
      <c r="O2163" t="s">
        <v>592</v>
      </c>
      <c r="P2163" t="s">
        <v>711</v>
      </c>
      <c r="Q2163" t="s">
        <v>586</v>
      </c>
      <c r="R2163" t="s">
        <v>712</v>
      </c>
      <c r="S2163" t="s">
        <v>712</v>
      </c>
      <c r="T2163">
        <v>78</v>
      </c>
    </row>
    <row r="2164" spans="1:20" x14ac:dyDescent="0.25">
      <c r="A2164" t="s">
        <v>3468</v>
      </c>
      <c r="B2164" t="s">
        <v>545</v>
      </c>
      <c r="C2164" t="s">
        <v>586</v>
      </c>
      <c r="D2164" t="s">
        <v>1071</v>
      </c>
      <c r="E2164" t="s">
        <v>3466</v>
      </c>
      <c r="F2164">
        <v>2.763818021442412</v>
      </c>
      <c r="G2164">
        <v>76.524252054794516</v>
      </c>
      <c r="H2164" t="s">
        <v>1120</v>
      </c>
      <c r="I2164" t="s">
        <v>1011</v>
      </c>
      <c r="J2164">
        <v>3.5</v>
      </c>
      <c r="K2164" t="s">
        <v>626</v>
      </c>
      <c r="L2164">
        <v>15000</v>
      </c>
      <c r="M2164">
        <v>2.6</v>
      </c>
      <c r="N2164">
        <v>76.524252054794516</v>
      </c>
      <c r="O2164" t="s">
        <v>592</v>
      </c>
      <c r="P2164" t="s">
        <v>711</v>
      </c>
      <c r="Q2164" t="s">
        <v>586</v>
      </c>
      <c r="R2164" t="s">
        <v>712</v>
      </c>
      <c r="S2164" t="s">
        <v>712</v>
      </c>
      <c r="T2164">
        <v>69</v>
      </c>
    </row>
    <row r="2165" spans="1:20" x14ac:dyDescent="0.25">
      <c r="A2165" t="s">
        <v>3469</v>
      </c>
      <c r="B2165" t="s">
        <v>545</v>
      </c>
      <c r="C2165" t="s">
        <v>586</v>
      </c>
      <c r="D2165" t="s">
        <v>1071</v>
      </c>
      <c r="E2165" t="s">
        <v>3466</v>
      </c>
      <c r="F2165">
        <v>3.6504284268311236</v>
      </c>
      <c r="G2165">
        <v>78.360386301369871</v>
      </c>
      <c r="H2165" t="s">
        <v>1120</v>
      </c>
      <c r="I2165" t="s">
        <v>1011</v>
      </c>
      <c r="J2165">
        <v>3.5</v>
      </c>
      <c r="K2165" t="s">
        <v>753</v>
      </c>
      <c r="L2165">
        <v>20000</v>
      </c>
      <c r="M2165">
        <v>2.7</v>
      </c>
      <c r="N2165">
        <v>78.360386301369871</v>
      </c>
      <c r="O2165" t="s">
        <v>592</v>
      </c>
      <c r="P2165" t="s">
        <v>711</v>
      </c>
      <c r="Q2165" t="s">
        <v>586</v>
      </c>
      <c r="R2165" t="s">
        <v>712</v>
      </c>
      <c r="S2165" t="s">
        <v>712</v>
      </c>
      <c r="T2165">
        <v>63</v>
      </c>
    </row>
    <row r="2166" spans="1:20" x14ac:dyDescent="0.25">
      <c r="A2166" t="s">
        <v>3470</v>
      </c>
      <c r="B2166" t="s">
        <v>545</v>
      </c>
      <c r="C2166" t="s">
        <v>586</v>
      </c>
      <c r="D2166" t="s">
        <v>1071</v>
      </c>
      <c r="E2166" t="s">
        <v>3466</v>
      </c>
      <c r="F2166">
        <v>4.5078846929000518</v>
      </c>
      <c r="G2166">
        <v>81.194241095890391</v>
      </c>
      <c r="H2166" t="s">
        <v>1120</v>
      </c>
      <c r="I2166" t="s">
        <v>1011</v>
      </c>
      <c r="J2166">
        <v>3.5</v>
      </c>
      <c r="K2166" t="s">
        <v>1174</v>
      </c>
      <c r="L2166">
        <v>20000</v>
      </c>
      <c r="M2166">
        <v>2.8000000000000003</v>
      </c>
      <c r="N2166">
        <v>81.194241095890391</v>
      </c>
      <c r="O2166" t="s">
        <v>592</v>
      </c>
      <c r="P2166" t="s">
        <v>711</v>
      </c>
      <c r="Q2166" t="s">
        <v>586</v>
      </c>
      <c r="R2166">
        <v>20000</v>
      </c>
      <c r="S2166" t="s">
        <v>712</v>
      </c>
      <c r="T2166">
        <v>57</v>
      </c>
    </row>
    <row r="2167" spans="1:20" x14ac:dyDescent="0.25">
      <c r="A2167" t="s">
        <v>3471</v>
      </c>
      <c r="B2167" t="s">
        <v>545</v>
      </c>
      <c r="C2167" t="s">
        <v>586</v>
      </c>
      <c r="D2167" t="s">
        <v>1071</v>
      </c>
      <c r="E2167" t="s">
        <v>3466</v>
      </c>
      <c r="F2167">
        <v>5.3369343844537998</v>
      </c>
      <c r="G2167">
        <v>83.696323287671248</v>
      </c>
      <c r="H2167" t="s">
        <v>1120</v>
      </c>
      <c r="I2167" t="s">
        <v>1011</v>
      </c>
      <c r="J2167">
        <v>3.5</v>
      </c>
      <c r="K2167" t="s">
        <v>3472</v>
      </c>
      <c r="L2167">
        <v>20000</v>
      </c>
      <c r="M2167">
        <v>2.9000000000000004</v>
      </c>
      <c r="N2167">
        <v>83.696323287671248</v>
      </c>
      <c r="O2167" t="s">
        <v>592</v>
      </c>
      <c r="P2167" t="s">
        <v>711</v>
      </c>
      <c r="Q2167" t="s">
        <v>586</v>
      </c>
      <c r="R2167">
        <v>10000</v>
      </c>
      <c r="S2167" t="s">
        <v>712</v>
      </c>
      <c r="T2167">
        <v>49</v>
      </c>
    </row>
    <row r="2168" spans="1:20" x14ac:dyDescent="0.25">
      <c r="A2168" t="s">
        <v>3473</v>
      </c>
      <c r="B2168" t="s">
        <v>546</v>
      </c>
      <c r="C2168" t="s">
        <v>607</v>
      </c>
      <c r="D2168" t="s">
        <v>608</v>
      </c>
      <c r="E2168" t="s">
        <v>609</v>
      </c>
      <c r="F2168">
        <v>3.6092189524371494E-2</v>
      </c>
      <c r="G2168">
        <v>51.722961643835632</v>
      </c>
      <c r="H2168" t="s">
        <v>888</v>
      </c>
      <c r="I2168" t="s">
        <v>885</v>
      </c>
      <c r="J2168">
        <v>2</v>
      </c>
      <c r="K2168" t="s">
        <v>1008</v>
      </c>
      <c r="L2168">
        <v>155000</v>
      </c>
      <c r="M2168">
        <v>1.85</v>
      </c>
      <c r="N2168">
        <v>51.722961643835632</v>
      </c>
      <c r="O2168" t="s">
        <v>592</v>
      </c>
      <c r="P2168" t="s">
        <v>613</v>
      </c>
      <c r="Q2168" t="s">
        <v>586</v>
      </c>
      <c r="R2168" t="s">
        <v>712</v>
      </c>
      <c r="S2168" t="s">
        <v>1098</v>
      </c>
      <c r="T2168">
        <v>20</v>
      </c>
    </row>
    <row r="2169" spans="1:20" x14ac:dyDescent="0.25">
      <c r="A2169" t="s">
        <v>3474</v>
      </c>
      <c r="B2169" t="s">
        <v>546</v>
      </c>
      <c r="C2169" t="s">
        <v>607</v>
      </c>
      <c r="D2169" t="s">
        <v>608</v>
      </c>
      <c r="E2169" t="s">
        <v>609</v>
      </c>
      <c r="F2169">
        <v>1.0109748712086764</v>
      </c>
      <c r="G2169">
        <v>54.02736438356164</v>
      </c>
      <c r="H2169" t="s">
        <v>888</v>
      </c>
      <c r="I2169" t="s">
        <v>885</v>
      </c>
      <c r="J2169">
        <v>2</v>
      </c>
      <c r="K2169" t="s">
        <v>920</v>
      </c>
      <c r="L2169">
        <v>165000</v>
      </c>
      <c r="M2169">
        <v>2</v>
      </c>
      <c r="N2169">
        <v>54.02736438356164</v>
      </c>
      <c r="O2169" t="s">
        <v>592</v>
      </c>
      <c r="P2169" t="s">
        <v>613</v>
      </c>
      <c r="Q2169" t="s">
        <v>586</v>
      </c>
      <c r="R2169" t="s">
        <v>712</v>
      </c>
      <c r="S2169" t="s">
        <v>1098</v>
      </c>
      <c r="T2169">
        <v>81</v>
      </c>
    </row>
    <row r="2170" spans="1:20" x14ac:dyDescent="0.25">
      <c r="A2170" t="s">
        <v>3475</v>
      </c>
      <c r="B2170" t="s">
        <v>546</v>
      </c>
      <c r="C2170" t="s">
        <v>607</v>
      </c>
      <c r="D2170" t="s">
        <v>608</v>
      </c>
      <c r="E2170" t="s">
        <v>609</v>
      </c>
      <c r="F2170">
        <v>1.9418104115405885</v>
      </c>
      <c r="G2170">
        <v>50.822452054794539</v>
      </c>
      <c r="H2170" t="s">
        <v>888</v>
      </c>
      <c r="I2170" t="s">
        <v>885</v>
      </c>
      <c r="J2170">
        <v>3</v>
      </c>
      <c r="K2170" t="s">
        <v>898</v>
      </c>
      <c r="L2170">
        <v>170000</v>
      </c>
      <c r="M2170">
        <v>2.1</v>
      </c>
      <c r="N2170">
        <v>50.822452054794539</v>
      </c>
      <c r="O2170" t="s">
        <v>592</v>
      </c>
      <c r="P2170" t="s">
        <v>613</v>
      </c>
      <c r="Q2170" t="s">
        <v>586</v>
      </c>
      <c r="R2170" t="s">
        <v>712</v>
      </c>
      <c r="S2170" t="s">
        <v>1098</v>
      </c>
      <c r="T2170">
        <v>75</v>
      </c>
    </row>
    <row r="2171" spans="1:20" x14ac:dyDescent="0.25">
      <c r="A2171" t="s">
        <v>3476</v>
      </c>
      <c r="B2171" t="s">
        <v>169</v>
      </c>
      <c r="C2171" t="s">
        <v>586</v>
      </c>
      <c r="D2171" t="s">
        <v>736</v>
      </c>
      <c r="E2171" t="s">
        <v>737</v>
      </c>
      <c r="F2171">
        <v>0.16368576767668438</v>
      </c>
      <c r="G2171">
        <v>14.064815377480922</v>
      </c>
      <c r="H2171" t="s">
        <v>1271</v>
      </c>
      <c r="I2171" t="s">
        <v>597</v>
      </c>
      <c r="J2171">
        <v>2</v>
      </c>
      <c r="K2171" t="s">
        <v>749</v>
      </c>
      <c r="L2171">
        <v>490000</v>
      </c>
      <c r="M2171">
        <v>1.57</v>
      </c>
      <c r="N2171">
        <v>14.064815377480922</v>
      </c>
      <c r="O2171" t="s">
        <v>592</v>
      </c>
      <c r="P2171" t="s">
        <v>593</v>
      </c>
      <c r="Q2171" t="s">
        <v>586</v>
      </c>
      <c r="R2171" t="s">
        <v>712</v>
      </c>
      <c r="S2171" t="s">
        <v>599</v>
      </c>
      <c r="T2171">
        <v>98</v>
      </c>
    </row>
    <row r="2172" spans="1:20" x14ac:dyDescent="0.25">
      <c r="A2172" t="s">
        <v>3477</v>
      </c>
      <c r="B2172" t="s">
        <v>169</v>
      </c>
      <c r="C2172" t="s">
        <v>586</v>
      </c>
      <c r="D2172" t="s">
        <v>736</v>
      </c>
      <c r="E2172" t="s">
        <v>737</v>
      </c>
      <c r="F2172">
        <v>1.1413056961091754</v>
      </c>
      <c r="G2172">
        <v>16.744792505065732</v>
      </c>
      <c r="H2172" t="s">
        <v>1271</v>
      </c>
      <c r="I2172" t="s">
        <v>597</v>
      </c>
      <c r="J2172">
        <v>2</v>
      </c>
      <c r="K2172" t="s">
        <v>598</v>
      </c>
      <c r="L2172">
        <v>500000</v>
      </c>
      <c r="M2172">
        <v>1.76</v>
      </c>
      <c r="N2172">
        <v>16.744792505065732</v>
      </c>
      <c r="O2172" t="s">
        <v>592</v>
      </c>
      <c r="P2172" t="s">
        <v>593</v>
      </c>
      <c r="Q2172" t="s">
        <v>586</v>
      </c>
      <c r="R2172" t="s">
        <v>712</v>
      </c>
      <c r="S2172" t="s">
        <v>599</v>
      </c>
      <c r="T2172">
        <v>78</v>
      </c>
    </row>
    <row r="2173" spans="1:20" x14ac:dyDescent="0.25">
      <c r="A2173" t="s">
        <v>3478</v>
      </c>
      <c r="B2173" t="s">
        <v>169</v>
      </c>
      <c r="C2173" t="s">
        <v>586</v>
      </c>
      <c r="D2173" t="s">
        <v>736</v>
      </c>
      <c r="E2173" t="s">
        <v>737</v>
      </c>
      <c r="F2173">
        <v>2.0982565768822243</v>
      </c>
      <c r="G2173">
        <v>14.418771974357236</v>
      </c>
      <c r="H2173" t="s">
        <v>1271</v>
      </c>
      <c r="I2173" t="s">
        <v>597</v>
      </c>
      <c r="J2173">
        <v>2</v>
      </c>
      <c r="K2173" t="s">
        <v>651</v>
      </c>
      <c r="L2173">
        <v>515000</v>
      </c>
      <c r="M2173">
        <v>1.9000000000000001</v>
      </c>
      <c r="N2173">
        <v>14.418771974357236</v>
      </c>
      <c r="O2173" t="s">
        <v>592</v>
      </c>
      <c r="P2173" t="s">
        <v>593</v>
      </c>
      <c r="Q2173" t="s">
        <v>586</v>
      </c>
      <c r="R2173" t="s">
        <v>712</v>
      </c>
      <c r="S2173" t="s">
        <v>599</v>
      </c>
      <c r="T2173">
        <v>64</v>
      </c>
    </row>
    <row r="2174" spans="1:20" x14ac:dyDescent="0.25">
      <c r="A2174" t="s">
        <v>3479</v>
      </c>
      <c r="B2174" t="s">
        <v>169</v>
      </c>
      <c r="C2174" t="s">
        <v>586</v>
      </c>
      <c r="D2174" t="s">
        <v>736</v>
      </c>
      <c r="E2174" t="s">
        <v>737</v>
      </c>
      <c r="F2174">
        <v>3.0129800381588723</v>
      </c>
      <c r="G2174">
        <v>16.88981510795815</v>
      </c>
      <c r="H2174" t="s">
        <v>1271</v>
      </c>
      <c r="I2174" t="s">
        <v>597</v>
      </c>
      <c r="J2174">
        <v>2.5</v>
      </c>
      <c r="K2174" t="s">
        <v>727</v>
      </c>
      <c r="L2174">
        <v>525000</v>
      </c>
      <c r="M2174">
        <v>2.08</v>
      </c>
      <c r="N2174">
        <v>16.88981510795815</v>
      </c>
      <c r="O2174" t="s">
        <v>592</v>
      </c>
      <c r="P2174" t="s">
        <v>593</v>
      </c>
      <c r="Q2174" t="s">
        <v>586</v>
      </c>
      <c r="R2174" t="s">
        <v>712</v>
      </c>
      <c r="S2174" t="s">
        <v>599</v>
      </c>
      <c r="T2174">
        <v>56</v>
      </c>
    </row>
    <row r="2175" spans="1:20" x14ac:dyDescent="0.25">
      <c r="A2175" t="s">
        <v>3480</v>
      </c>
      <c r="B2175" t="s">
        <v>42</v>
      </c>
      <c r="C2175" t="s">
        <v>586</v>
      </c>
      <c r="D2175" t="s">
        <v>736</v>
      </c>
      <c r="E2175" t="s">
        <v>737</v>
      </c>
      <c r="F2175">
        <v>0.73090441455206001</v>
      </c>
      <c r="G2175">
        <v>21.581567732263164</v>
      </c>
      <c r="H2175" t="s">
        <v>738</v>
      </c>
      <c r="I2175" t="s">
        <v>739</v>
      </c>
      <c r="J2175">
        <v>5</v>
      </c>
      <c r="K2175" t="s">
        <v>861</v>
      </c>
      <c r="L2175">
        <v>3610000</v>
      </c>
      <c r="M2175">
        <v>1.74</v>
      </c>
      <c r="N2175">
        <v>21.581567732263164</v>
      </c>
      <c r="O2175" t="s">
        <v>592</v>
      </c>
      <c r="P2175" t="s">
        <v>593</v>
      </c>
      <c r="Q2175" t="s">
        <v>586</v>
      </c>
      <c r="R2175">
        <v>80000</v>
      </c>
      <c r="S2175" t="s">
        <v>635</v>
      </c>
      <c r="T2175">
        <v>90</v>
      </c>
    </row>
    <row r="2176" spans="1:20" x14ac:dyDescent="0.25">
      <c r="A2176" t="s">
        <v>3481</v>
      </c>
      <c r="B2176" t="s">
        <v>76</v>
      </c>
      <c r="C2176" t="s">
        <v>586</v>
      </c>
      <c r="D2176" t="s">
        <v>608</v>
      </c>
      <c r="E2176" t="s">
        <v>891</v>
      </c>
      <c r="F2176">
        <v>2.363198926824488</v>
      </c>
      <c r="G2176">
        <v>26.158300543816271</v>
      </c>
      <c r="H2176" t="s">
        <v>892</v>
      </c>
      <c r="I2176" t="s">
        <v>721</v>
      </c>
      <c r="J2176">
        <v>5</v>
      </c>
      <c r="K2176" t="s">
        <v>1013</v>
      </c>
      <c r="L2176">
        <v>1560000</v>
      </c>
      <c r="M2176">
        <v>2.4700000000000002</v>
      </c>
      <c r="N2176">
        <v>26.158300543816271</v>
      </c>
      <c r="O2176" t="s">
        <v>592</v>
      </c>
      <c r="P2176" t="s">
        <v>621</v>
      </c>
      <c r="Q2176" t="s">
        <v>586</v>
      </c>
      <c r="R2176" t="s">
        <v>712</v>
      </c>
      <c r="S2176" t="s">
        <v>652</v>
      </c>
      <c r="T2176">
        <v>62</v>
      </c>
    </row>
    <row r="2177" spans="1:20" x14ac:dyDescent="0.25">
      <c r="A2177" t="s">
        <v>3482</v>
      </c>
      <c r="B2177" t="s">
        <v>76</v>
      </c>
      <c r="C2177" t="s">
        <v>586</v>
      </c>
      <c r="D2177" t="s">
        <v>608</v>
      </c>
      <c r="E2177" t="s">
        <v>891</v>
      </c>
      <c r="F2177">
        <v>3.2364904381443291</v>
      </c>
      <c r="G2177">
        <v>22.772101410370649</v>
      </c>
      <c r="H2177" t="s">
        <v>892</v>
      </c>
      <c r="I2177" t="s">
        <v>721</v>
      </c>
      <c r="J2177">
        <v>5</v>
      </c>
      <c r="K2177" t="s">
        <v>824</v>
      </c>
      <c r="L2177">
        <v>1640000</v>
      </c>
      <c r="M2177">
        <v>2.58</v>
      </c>
      <c r="N2177">
        <v>22.772101410370649</v>
      </c>
      <c r="O2177" t="s">
        <v>592</v>
      </c>
      <c r="P2177" t="s">
        <v>621</v>
      </c>
      <c r="Q2177" t="s">
        <v>586</v>
      </c>
      <c r="R2177">
        <v>30000</v>
      </c>
      <c r="S2177" t="s">
        <v>652</v>
      </c>
      <c r="T2177">
        <v>53</v>
      </c>
    </row>
    <row r="2178" spans="1:20" x14ac:dyDescent="0.25">
      <c r="A2178" t="s">
        <v>3483</v>
      </c>
      <c r="B2178" t="s">
        <v>76</v>
      </c>
      <c r="C2178" t="s">
        <v>586</v>
      </c>
      <c r="D2178" t="s">
        <v>608</v>
      </c>
      <c r="E2178" t="s">
        <v>891</v>
      </c>
      <c r="F2178">
        <v>4.0692334673461907</v>
      </c>
      <c r="G2178">
        <v>27.384488033740297</v>
      </c>
      <c r="H2178" t="s">
        <v>892</v>
      </c>
      <c r="I2178" t="s">
        <v>721</v>
      </c>
      <c r="J2178">
        <v>5</v>
      </c>
      <c r="K2178" t="s">
        <v>1319</v>
      </c>
      <c r="L2178">
        <v>1720000</v>
      </c>
      <c r="M2178">
        <v>2.74</v>
      </c>
      <c r="N2178">
        <v>27.384488033740297</v>
      </c>
      <c r="O2178" t="s">
        <v>592</v>
      </c>
      <c r="P2178" t="s">
        <v>621</v>
      </c>
      <c r="Q2178" t="s">
        <v>586</v>
      </c>
      <c r="R2178">
        <v>130000</v>
      </c>
      <c r="S2178" t="s">
        <v>652</v>
      </c>
      <c r="T2178">
        <v>46</v>
      </c>
    </row>
    <row r="2179" spans="1:20" x14ac:dyDescent="0.25">
      <c r="A2179" t="s">
        <v>3484</v>
      </c>
      <c r="B2179" t="s">
        <v>547</v>
      </c>
      <c r="C2179" t="s">
        <v>586</v>
      </c>
      <c r="D2179" t="s">
        <v>830</v>
      </c>
      <c r="E2179" t="s">
        <v>1883</v>
      </c>
      <c r="F2179">
        <v>1.9082401856731532</v>
      </c>
      <c r="G2179">
        <v>21.077315068493174</v>
      </c>
      <c r="H2179" t="s">
        <v>963</v>
      </c>
      <c r="I2179" t="s">
        <v>1137</v>
      </c>
      <c r="J2179">
        <v>2</v>
      </c>
      <c r="K2179" t="s">
        <v>1463</v>
      </c>
      <c r="L2179">
        <v>1545000</v>
      </c>
      <c r="M2179">
        <v>1.87</v>
      </c>
      <c r="N2179">
        <v>21.077315068493174</v>
      </c>
      <c r="O2179" t="s">
        <v>592</v>
      </c>
      <c r="P2179" t="s">
        <v>593</v>
      </c>
      <c r="Q2179" t="s">
        <v>586</v>
      </c>
      <c r="R2179">
        <v>600000</v>
      </c>
      <c r="S2179" t="s">
        <v>712</v>
      </c>
      <c r="T2179">
        <v>64</v>
      </c>
    </row>
    <row r="2180" spans="1:20" x14ac:dyDescent="0.25">
      <c r="A2180" t="s">
        <v>3485</v>
      </c>
      <c r="B2180" t="s">
        <v>547</v>
      </c>
      <c r="C2180" t="s">
        <v>586</v>
      </c>
      <c r="D2180" t="s">
        <v>830</v>
      </c>
      <c r="E2180" t="s">
        <v>1883</v>
      </c>
      <c r="F2180">
        <v>2.8557797682687593</v>
      </c>
      <c r="G2180">
        <v>21.5192493150685</v>
      </c>
      <c r="H2180" t="s">
        <v>963</v>
      </c>
      <c r="I2180" t="s">
        <v>1137</v>
      </c>
      <c r="J2180">
        <v>2</v>
      </c>
      <c r="K2180" t="s">
        <v>1465</v>
      </c>
      <c r="L2180">
        <v>1145000</v>
      </c>
      <c r="M2180">
        <v>2</v>
      </c>
      <c r="N2180">
        <v>21.5192493150685</v>
      </c>
      <c r="O2180" t="s">
        <v>592</v>
      </c>
      <c r="P2180" t="s">
        <v>593</v>
      </c>
      <c r="Q2180" t="s">
        <v>586</v>
      </c>
      <c r="R2180" t="s">
        <v>712</v>
      </c>
      <c r="S2180" t="s">
        <v>712</v>
      </c>
      <c r="T2180">
        <v>47</v>
      </c>
    </row>
    <row r="2181" spans="1:20" x14ac:dyDescent="0.25">
      <c r="A2181" t="s">
        <v>3486</v>
      </c>
      <c r="B2181" t="s">
        <v>547</v>
      </c>
      <c r="C2181" t="s">
        <v>586</v>
      </c>
      <c r="D2181" t="s">
        <v>830</v>
      </c>
      <c r="E2181" t="s">
        <v>1883</v>
      </c>
      <c r="F2181">
        <v>3.7764839875219809</v>
      </c>
      <c r="G2181">
        <v>22.618153424657539</v>
      </c>
      <c r="H2181" t="s">
        <v>963</v>
      </c>
      <c r="I2181" t="s">
        <v>1137</v>
      </c>
      <c r="J2181">
        <v>2.125</v>
      </c>
      <c r="K2181" t="s">
        <v>1467</v>
      </c>
      <c r="L2181">
        <v>1145000</v>
      </c>
      <c r="M2181">
        <v>2.125</v>
      </c>
      <c r="N2181">
        <v>22.618153424657539</v>
      </c>
      <c r="O2181" t="s">
        <v>592</v>
      </c>
      <c r="P2181" t="s">
        <v>593</v>
      </c>
      <c r="Q2181" t="s">
        <v>586</v>
      </c>
      <c r="R2181" t="s">
        <v>712</v>
      </c>
      <c r="S2181" t="s">
        <v>712</v>
      </c>
      <c r="T2181">
        <v>39</v>
      </c>
    </row>
    <row r="2182" spans="1:20" x14ac:dyDescent="0.25">
      <c r="A2182" t="s">
        <v>3487</v>
      </c>
      <c r="B2182" t="s">
        <v>547</v>
      </c>
      <c r="C2182" t="s">
        <v>586</v>
      </c>
      <c r="D2182" t="s">
        <v>830</v>
      </c>
      <c r="E2182" t="s">
        <v>1883</v>
      </c>
      <c r="F2182">
        <v>4.6698005772146578</v>
      </c>
      <c r="G2182">
        <v>25.957432876712303</v>
      </c>
      <c r="H2182" t="s">
        <v>963</v>
      </c>
      <c r="I2182" t="s">
        <v>1137</v>
      </c>
      <c r="J2182">
        <v>2.25</v>
      </c>
      <c r="K2182" t="s">
        <v>1540</v>
      </c>
      <c r="L2182">
        <v>1153000</v>
      </c>
      <c r="M2182">
        <v>2.25</v>
      </c>
      <c r="N2182">
        <v>25.957432876712303</v>
      </c>
      <c r="O2182" t="s">
        <v>592</v>
      </c>
      <c r="P2182" t="s">
        <v>593</v>
      </c>
      <c r="Q2182" t="s">
        <v>586</v>
      </c>
      <c r="R2182" t="s">
        <v>712</v>
      </c>
      <c r="S2182" t="s">
        <v>712</v>
      </c>
      <c r="T2182">
        <v>31</v>
      </c>
    </row>
    <row r="2183" spans="1:20" x14ac:dyDescent="0.25">
      <c r="A2183" t="s">
        <v>3488</v>
      </c>
      <c r="B2183" t="s">
        <v>548</v>
      </c>
      <c r="C2183" t="s">
        <v>586</v>
      </c>
      <c r="D2183" t="s">
        <v>601</v>
      </c>
      <c r="E2183" t="s">
        <v>773</v>
      </c>
      <c r="F2183">
        <v>0.73577062356609513</v>
      </c>
      <c r="G2183">
        <v>5.7412869300700553</v>
      </c>
      <c r="H2183" t="s">
        <v>672</v>
      </c>
      <c r="I2183" t="s">
        <v>3489</v>
      </c>
      <c r="J2183">
        <v>3</v>
      </c>
      <c r="K2183" t="s">
        <v>861</v>
      </c>
      <c r="L2183">
        <v>620000</v>
      </c>
      <c r="M2183">
        <v>1.53</v>
      </c>
      <c r="N2183">
        <v>5.7412869300700553</v>
      </c>
      <c r="O2183" t="s">
        <v>592</v>
      </c>
      <c r="P2183" t="s">
        <v>593</v>
      </c>
      <c r="Q2183" t="s">
        <v>586</v>
      </c>
      <c r="R2183">
        <v>70000</v>
      </c>
      <c r="S2183" t="s">
        <v>652</v>
      </c>
      <c r="T2183">
        <v>93</v>
      </c>
    </row>
    <row r="2184" spans="1:20" x14ac:dyDescent="0.25">
      <c r="A2184" t="s">
        <v>3490</v>
      </c>
      <c r="B2184" t="s">
        <v>548</v>
      </c>
      <c r="C2184" t="s">
        <v>586</v>
      </c>
      <c r="D2184" t="s">
        <v>601</v>
      </c>
      <c r="E2184" t="s">
        <v>773</v>
      </c>
      <c r="F2184">
        <v>1.6911372303235144</v>
      </c>
      <c r="G2184">
        <v>2.432264290160302</v>
      </c>
      <c r="H2184" t="s">
        <v>672</v>
      </c>
      <c r="I2184" t="s">
        <v>3489</v>
      </c>
      <c r="J2184">
        <v>3</v>
      </c>
      <c r="K2184" t="s">
        <v>682</v>
      </c>
      <c r="L2184">
        <v>635000</v>
      </c>
      <c r="M2184">
        <v>1.6600000000000001</v>
      </c>
      <c r="N2184">
        <v>2.432264290160302</v>
      </c>
      <c r="O2184" t="s">
        <v>592</v>
      </c>
      <c r="P2184" t="s">
        <v>593</v>
      </c>
      <c r="Q2184" t="s">
        <v>586</v>
      </c>
      <c r="R2184">
        <v>15000</v>
      </c>
      <c r="S2184" t="s">
        <v>652</v>
      </c>
      <c r="T2184">
        <v>82</v>
      </c>
    </row>
    <row r="2185" spans="1:20" x14ac:dyDescent="0.25">
      <c r="A2185" t="s">
        <v>3491</v>
      </c>
      <c r="B2185" t="s">
        <v>81</v>
      </c>
      <c r="C2185" t="s">
        <v>586</v>
      </c>
      <c r="D2185" t="s">
        <v>690</v>
      </c>
      <c r="E2185" t="s">
        <v>912</v>
      </c>
      <c r="F2185">
        <v>0.81573190473836554</v>
      </c>
      <c r="G2185">
        <v>5.5233557688522783</v>
      </c>
      <c r="H2185" t="s">
        <v>913</v>
      </c>
      <c r="I2185" t="s">
        <v>885</v>
      </c>
      <c r="J2185">
        <v>4</v>
      </c>
      <c r="K2185" t="s">
        <v>984</v>
      </c>
      <c r="L2185">
        <v>510000</v>
      </c>
      <c r="M2185">
        <v>1.35</v>
      </c>
      <c r="N2185">
        <v>5.5233557688522783</v>
      </c>
      <c r="O2185" t="s">
        <v>592</v>
      </c>
      <c r="P2185" t="s">
        <v>593</v>
      </c>
      <c r="Q2185" t="s">
        <v>586</v>
      </c>
      <c r="R2185">
        <v>300000</v>
      </c>
      <c r="S2185" t="s">
        <v>599</v>
      </c>
      <c r="T2185">
        <v>87</v>
      </c>
    </row>
    <row r="2186" spans="1:20" x14ac:dyDescent="0.25">
      <c r="A2186" t="s">
        <v>3492</v>
      </c>
      <c r="B2186" t="s">
        <v>81</v>
      </c>
      <c r="C2186" t="s">
        <v>586</v>
      </c>
      <c r="D2186" t="s">
        <v>690</v>
      </c>
      <c r="E2186" t="s">
        <v>912</v>
      </c>
      <c r="F2186">
        <v>1.7602206684058221</v>
      </c>
      <c r="G2186">
        <v>2.9315883367350803</v>
      </c>
      <c r="H2186" t="s">
        <v>913</v>
      </c>
      <c r="I2186" t="s">
        <v>885</v>
      </c>
      <c r="J2186">
        <v>4</v>
      </c>
      <c r="K2186" t="s">
        <v>1114</v>
      </c>
      <c r="L2186">
        <v>510000</v>
      </c>
      <c r="M2186">
        <v>1.48</v>
      </c>
      <c r="N2186">
        <v>2.9315883367350803</v>
      </c>
      <c r="O2186" t="s">
        <v>592</v>
      </c>
      <c r="P2186" t="s">
        <v>593</v>
      </c>
      <c r="Q2186" t="s">
        <v>586</v>
      </c>
      <c r="R2186">
        <v>80000</v>
      </c>
      <c r="S2186" t="s">
        <v>599</v>
      </c>
      <c r="T2186">
        <v>85</v>
      </c>
    </row>
    <row r="2187" spans="1:20" x14ac:dyDescent="0.25">
      <c r="A2187" t="s">
        <v>3493</v>
      </c>
      <c r="B2187" t="s">
        <v>549</v>
      </c>
      <c r="C2187" t="s">
        <v>586</v>
      </c>
      <c r="D2187" t="s">
        <v>608</v>
      </c>
      <c r="E2187" t="s">
        <v>1142</v>
      </c>
      <c r="F2187">
        <v>0.5696091751930239</v>
      </c>
      <c r="G2187">
        <v>122.79092292628194</v>
      </c>
      <c r="H2187" t="s">
        <v>1045</v>
      </c>
      <c r="I2187" t="s">
        <v>1709</v>
      </c>
      <c r="J2187">
        <v>2.5</v>
      </c>
      <c r="K2187" t="s">
        <v>744</v>
      </c>
      <c r="L2187">
        <v>115000</v>
      </c>
      <c r="M2187">
        <v>2.5</v>
      </c>
      <c r="N2187">
        <v>122.79092292628194</v>
      </c>
      <c r="O2187" t="s">
        <v>592</v>
      </c>
      <c r="P2187" t="s">
        <v>613</v>
      </c>
      <c r="Q2187" t="s">
        <v>586</v>
      </c>
      <c r="R2187" t="s">
        <v>712</v>
      </c>
      <c r="S2187" t="s">
        <v>712</v>
      </c>
      <c r="T2187">
        <v>90</v>
      </c>
    </row>
    <row r="2188" spans="1:20" x14ac:dyDescent="0.25">
      <c r="A2188" t="s">
        <v>3494</v>
      </c>
      <c r="B2188" t="s">
        <v>549</v>
      </c>
      <c r="C2188" t="s">
        <v>586</v>
      </c>
      <c r="D2188" t="s">
        <v>608</v>
      </c>
      <c r="E2188" t="s">
        <v>1142</v>
      </c>
      <c r="F2188">
        <v>1.5249932894542935</v>
      </c>
      <c r="G2188">
        <v>123.15735741763785</v>
      </c>
      <c r="H2188" t="s">
        <v>1045</v>
      </c>
      <c r="I2188" t="s">
        <v>1709</v>
      </c>
      <c r="J2188">
        <v>2.65</v>
      </c>
      <c r="K2188" t="s">
        <v>634</v>
      </c>
      <c r="L2188">
        <v>120000</v>
      </c>
      <c r="M2188">
        <v>2.65</v>
      </c>
      <c r="N2188">
        <v>123.15735741763785</v>
      </c>
      <c r="O2188" t="s">
        <v>592</v>
      </c>
      <c r="P2188" t="s">
        <v>613</v>
      </c>
      <c r="Q2188" t="s">
        <v>586</v>
      </c>
      <c r="R2188" t="s">
        <v>712</v>
      </c>
      <c r="S2188" t="s">
        <v>712</v>
      </c>
      <c r="T2188">
        <v>73</v>
      </c>
    </row>
    <row r="2189" spans="1:20" x14ac:dyDescent="0.25">
      <c r="A2189" t="s">
        <v>3495</v>
      </c>
      <c r="B2189" t="s">
        <v>550</v>
      </c>
      <c r="C2189" t="s">
        <v>586</v>
      </c>
      <c r="D2189" t="s">
        <v>608</v>
      </c>
      <c r="E2189" t="s">
        <v>1142</v>
      </c>
      <c r="F2189">
        <v>0.56967136548037722</v>
      </c>
      <c r="G2189">
        <v>99.234378109257477</v>
      </c>
      <c r="H2189" t="s">
        <v>672</v>
      </c>
      <c r="I2189" t="s">
        <v>721</v>
      </c>
      <c r="J2189">
        <v>2.5</v>
      </c>
      <c r="K2189" t="s">
        <v>744</v>
      </c>
      <c r="L2189">
        <v>60000</v>
      </c>
      <c r="M2189">
        <v>2.5</v>
      </c>
      <c r="N2189">
        <v>99.234378109257477</v>
      </c>
      <c r="O2189" t="s">
        <v>592</v>
      </c>
      <c r="P2189" t="s">
        <v>613</v>
      </c>
      <c r="Q2189" t="s">
        <v>586</v>
      </c>
      <c r="R2189" t="s">
        <v>712</v>
      </c>
      <c r="S2189" t="s">
        <v>712</v>
      </c>
      <c r="T2189">
        <v>71</v>
      </c>
    </row>
    <row r="2190" spans="1:20" x14ac:dyDescent="0.25">
      <c r="A2190" t="s">
        <v>3496</v>
      </c>
      <c r="B2190" t="s">
        <v>550</v>
      </c>
      <c r="C2190" t="s">
        <v>586</v>
      </c>
      <c r="D2190" t="s">
        <v>608</v>
      </c>
      <c r="E2190" t="s">
        <v>1142</v>
      </c>
      <c r="F2190">
        <v>1.5238238113795364</v>
      </c>
      <c r="G2190">
        <v>107.86241164010117</v>
      </c>
      <c r="H2190" t="s">
        <v>672</v>
      </c>
      <c r="I2190" t="s">
        <v>721</v>
      </c>
      <c r="J2190">
        <v>2.75</v>
      </c>
      <c r="K2190" t="s">
        <v>634</v>
      </c>
      <c r="L2190">
        <v>65000</v>
      </c>
      <c r="M2190">
        <v>2.75</v>
      </c>
      <c r="N2190">
        <v>107.86241164010117</v>
      </c>
      <c r="O2190" t="s">
        <v>592</v>
      </c>
      <c r="P2190" t="s">
        <v>613</v>
      </c>
      <c r="Q2190" t="s">
        <v>586</v>
      </c>
      <c r="R2190" t="s">
        <v>712</v>
      </c>
      <c r="S2190" t="s">
        <v>712</v>
      </c>
      <c r="T2190">
        <v>47</v>
      </c>
    </row>
    <row r="2191" spans="1:20" x14ac:dyDescent="0.25">
      <c r="A2191" t="s">
        <v>3497</v>
      </c>
      <c r="B2191" t="s">
        <v>551</v>
      </c>
      <c r="C2191" t="s">
        <v>586</v>
      </c>
      <c r="D2191" t="s">
        <v>3498</v>
      </c>
      <c r="E2191" t="s">
        <v>3499</v>
      </c>
      <c r="F2191">
        <v>1.2170248088783699</v>
      </c>
      <c r="G2191">
        <v>12.159998592163191</v>
      </c>
      <c r="H2191" t="s">
        <v>761</v>
      </c>
      <c r="I2191" t="s">
        <v>661</v>
      </c>
      <c r="J2191">
        <v>3</v>
      </c>
      <c r="K2191" t="s">
        <v>764</v>
      </c>
      <c r="L2191">
        <v>375000</v>
      </c>
      <c r="M2191">
        <v>1.6</v>
      </c>
      <c r="N2191">
        <v>12.159998592163191</v>
      </c>
      <c r="O2191" t="s">
        <v>592</v>
      </c>
      <c r="P2191" t="s">
        <v>711</v>
      </c>
      <c r="Q2191" t="s">
        <v>586</v>
      </c>
      <c r="R2191" t="s">
        <v>712</v>
      </c>
      <c r="S2191" t="s">
        <v>594</v>
      </c>
      <c r="T2191">
        <v>88</v>
      </c>
    </row>
    <row r="2192" spans="1:20" x14ac:dyDescent="0.25">
      <c r="A2192" t="s">
        <v>3500</v>
      </c>
      <c r="B2192" t="s">
        <v>551</v>
      </c>
      <c r="C2192" t="s">
        <v>586</v>
      </c>
      <c r="D2192" t="s">
        <v>3498</v>
      </c>
      <c r="E2192" t="s">
        <v>3499</v>
      </c>
      <c r="F2192">
        <v>2.1586043491109379</v>
      </c>
      <c r="G2192">
        <v>6.344752435737866</v>
      </c>
      <c r="H2192" t="s">
        <v>761</v>
      </c>
      <c r="I2192" t="s">
        <v>661</v>
      </c>
      <c r="J2192">
        <v>3</v>
      </c>
      <c r="K2192" t="s">
        <v>699</v>
      </c>
      <c r="L2192">
        <v>375000</v>
      </c>
      <c r="M2192">
        <v>1.69</v>
      </c>
      <c r="N2192">
        <v>6.344752435737866</v>
      </c>
      <c r="O2192" t="s">
        <v>592</v>
      </c>
      <c r="P2192" t="s">
        <v>711</v>
      </c>
      <c r="Q2192" t="s">
        <v>586</v>
      </c>
      <c r="R2192" t="s">
        <v>712</v>
      </c>
      <c r="S2192" t="s">
        <v>594</v>
      </c>
      <c r="T2192">
        <v>78</v>
      </c>
    </row>
    <row r="2193" spans="1:20" x14ac:dyDescent="0.25">
      <c r="A2193" t="s">
        <v>3501</v>
      </c>
      <c r="B2193" t="s">
        <v>551</v>
      </c>
      <c r="C2193" t="s">
        <v>586</v>
      </c>
      <c r="D2193" t="s">
        <v>3498</v>
      </c>
      <c r="E2193" t="s">
        <v>3499</v>
      </c>
      <c r="F2193">
        <v>3.8924495977750704</v>
      </c>
      <c r="G2193">
        <v>0.21647663678676654</v>
      </c>
      <c r="H2193" t="s">
        <v>761</v>
      </c>
      <c r="I2193" t="s">
        <v>661</v>
      </c>
      <c r="J2193">
        <v>4</v>
      </c>
      <c r="K2193" t="s">
        <v>725</v>
      </c>
      <c r="L2193">
        <v>375000</v>
      </c>
      <c r="M2193">
        <v>1.9000000000000001</v>
      </c>
      <c r="N2193">
        <v>0.21647663678676654</v>
      </c>
      <c r="O2193" t="s">
        <v>592</v>
      </c>
      <c r="P2193" t="s">
        <v>711</v>
      </c>
      <c r="Q2193" t="s">
        <v>586</v>
      </c>
      <c r="R2193" t="s">
        <v>712</v>
      </c>
      <c r="S2193" t="s">
        <v>594</v>
      </c>
      <c r="T2193">
        <v>70</v>
      </c>
    </row>
    <row r="2194" spans="1:20" x14ac:dyDescent="0.25">
      <c r="A2194" t="s">
        <v>3502</v>
      </c>
      <c r="B2194" t="s">
        <v>551</v>
      </c>
      <c r="C2194" t="s">
        <v>586</v>
      </c>
      <c r="D2194" t="s">
        <v>3498</v>
      </c>
      <c r="E2194" t="s">
        <v>3499</v>
      </c>
      <c r="F2194">
        <v>4.72408940442463</v>
      </c>
      <c r="G2194">
        <v>4.3245771752525641</v>
      </c>
      <c r="H2194" t="s">
        <v>761</v>
      </c>
      <c r="I2194" t="s">
        <v>661</v>
      </c>
      <c r="J2194">
        <v>4</v>
      </c>
      <c r="K2194" t="s">
        <v>834</v>
      </c>
      <c r="L2194">
        <v>375000</v>
      </c>
      <c r="M2194">
        <v>2.0499999999999998</v>
      </c>
      <c r="N2194">
        <v>4.3245771752525641</v>
      </c>
      <c r="O2194" t="s">
        <v>592</v>
      </c>
      <c r="P2194" t="s">
        <v>711</v>
      </c>
      <c r="Q2194" t="s">
        <v>586</v>
      </c>
      <c r="R2194" t="s">
        <v>712</v>
      </c>
      <c r="S2194" t="s">
        <v>594</v>
      </c>
      <c r="T2194">
        <v>64</v>
      </c>
    </row>
    <row r="2195" spans="1:20" x14ac:dyDescent="0.25">
      <c r="A2195" t="s">
        <v>3503</v>
      </c>
      <c r="B2195" t="s">
        <v>552</v>
      </c>
      <c r="C2195" t="s">
        <v>586</v>
      </c>
      <c r="D2195" t="s">
        <v>608</v>
      </c>
      <c r="E2195" t="s">
        <v>1142</v>
      </c>
      <c r="F2195">
        <v>0.5682651615031783</v>
      </c>
      <c r="G2195">
        <v>107.05453576673945</v>
      </c>
      <c r="H2195" t="s">
        <v>1041</v>
      </c>
      <c r="I2195" t="s">
        <v>611</v>
      </c>
      <c r="J2195">
        <v>3</v>
      </c>
      <c r="K2195" t="s">
        <v>744</v>
      </c>
      <c r="L2195">
        <v>70000</v>
      </c>
      <c r="M2195">
        <v>2.8000000000000003</v>
      </c>
      <c r="N2195">
        <v>107.05453576673945</v>
      </c>
      <c r="O2195" t="s">
        <v>592</v>
      </c>
      <c r="P2195" t="s">
        <v>613</v>
      </c>
      <c r="Q2195" t="s">
        <v>586</v>
      </c>
      <c r="R2195" t="s">
        <v>712</v>
      </c>
      <c r="S2195" t="s">
        <v>712</v>
      </c>
      <c r="T2195">
        <v>89</v>
      </c>
    </row>
    <row r="2196" spans="1:20" x14ac:dyDescent="0.25">
      <c r="A2196" t="s">
        <v>3504</v>
      </c>
      <c r="B2196" t="s">
        <v>552</v>
      </c>
      <c r="C2196" t="s">
        <v>586</v>
      </c>
      <c r="D2196" t="s">
        <v>608</v>
      </c>
      <c r="E2196" t="s">
        <v>1142</v>
      </c>
      <c r="F2196">
        <v>1.5198066510752826</v>
      </c>
      <c r="G2196">
        <v>114.07530390870717</v>
      </c>
      <c r="H2196" t="s">
        <v>1041</v>
      </c>
      <c r="I2196" t="s">
        <v>611</v>
      </c>
      <c r="J2196">
        <v>3</v>
      </c>
      <c r="K2196" t="s">
        <v>634</v>
      </c>
      <c r="L2196">
        <v>70000</v>
      </c>
      <c r="M2196">
        <v>3</v>
      </c>
      <c r="N2196">
        <v>114.07530390870717</v>
      </c>
      <c r="O2196" t="s">
        <v>592</v>
      </c>
      <c r="P2196" t="s">
        <v>613</v>
      </c>
      <c r="Q2196" t="s">
        <v>586</v>
      </c>
      <c r="R2196" t="s">
        <v>712</v>
      </c>
      <c r="S2196" t="s">
        <v>712</v>
      </c>
      <c r="T2196">
        <v>69</v>
      </c>
    </row>
    <row r="2197" spans="1:20" x14ac:dyDescent="0.25">
      <c r="A2197" t="s">
        <v>3505</v>
      </c>
      <c r="B2197" t="s">
        <v>551</v>
      </c>
      <c r="C2197" t="s">
        <v>586</v>
      </c>
      <c r="D2197" t="s">
        <v>3498</v>
      </c>
      <c r="E2197" t="s">
        <v>3499</v>
      </c>
      <c r="F2197">
        <v>0.24676417118359414</v>
      </c>
      <c r="G2197">
        <v>11.653820649790859</v>
      </c>
      <c r="H2197" t="s">
        <v>761</v>
      </c>
      <c r="I2197" t="s">
        <v>661</v>
      </c>
      <c r="J2197">
        <v>5</v>
      </c>
      <c r="K2197" t="s">
        <v>694</v>
      </c>
      <c r="L2197">
        <v>375000</v>
      </c>
      <c r="M2197">
        <v>1.45</v>
      </c>
      <c r="N2197">
        <v>11.653820649790859</v>
      </c>
      <c r="O2197" t="s">
        <v>592</v>
      </c>
      <c r="P2197" t="s">
        <v>711</v>
      </c>
      <c r="Q2197" t="s">
        <v>586</v>
      </c>
      <c r="R2197" t="s">
        <v>712</v>
      </c>
      <c r="S2197" t="s">
        <v>594</v>
      </c>
      <c r="T2197">
        <v>93</v>
      </c>
    </row>
    <row r="2198" spans="1:20" x14ac:dyDescent="0.25">
      <c r="A2198" t="s">
        <v>3506</v>
      </c>
      <c r="B2198" t="s">
        <v>551</v>
      </c>
      <c r="C2198" t="s">
        <v>586</v>
      </c>
      <c r="D2198" t="s">
        <v>3498</v>
      </c>
      <c r="E2198" t="s">
        <v>3499</v>
      </c>
      <c r="F2198">
        <v>3.0734078456118308</v>
      </c>
      <c r="G2198">
        <v>2.8619223004135108</v>
      </c>
      <c r="H2198" t="s">
        <v>761</v>
      </c>
      <c r="I2198" t="s">
        <v>661</v>
      </c>
      <c r="J2198">
        <v>3</v>
      </c>
      <c r="K2198" t="s">
        <v>591</v>
      </c>
      <c r="L2198">
        <v>375000</v>
      </c>
      <c r="M2198">
        <v>1.8</v>
      </c>
      <c r="N2198">
        <v>2.8619223004135108</v>
      </c>
      <c r="O2198" t="s">
        <v>592</v>
      </c>
      <c r="P2198" t="s">
        <v>711</v>
      </c>
      <c r="Q2198" t="s">
        <v>586</v>
      </c>
      <c r="R2198" t="s">
        <v>712</v>
      </c>
      <c r="S2198" t="s">
        <v>594</v>
      </c>
      <c r="T2198">
        <v>69</v>
      </c>
    </row>
    <row r="2199" spans="1:20" x14ac:dyDescent="0.25">
      <c r="A2199" t="s">
        <v>3507</v>
      </c>
      <c r="B2199" t="s">
        <v>170</v>
      </c>
      <c r="C2199" t="s">
        <v>586</v>
      </c>
      <c r="D2199" t="s">
        <v>900</v>
      </c>
      <c r="E2199" t="s">
        <v>1273</v>
      </c>
      <c r="F2199">
        <v>1.2088758130093371</v>
      </c>
      <c r="G2199">
        <v>29.78908767123287</v>
      </c>
      <c r="H2199" t="s">
        <v>1274</v>
      </c>
      <c r="I2199" t="s">
        <v>721</v>
      </c>
      <c r="J2199">
        <v>4</v>
      </c>
      <c r="K2199" t="s">
        <v>764</v>
      </c>
      <c r="L2199">
        <v>645000</v>
      </c>
      <c r="M2199">
        <v>1.93</v>
      </c>
      <c r="N2199">
        <v>29.78908767123287</v>
      </c>
      <c r="O2199" t="s">
        <v>592</v>
      </c>
      <c r="P2199" t="s">
        <v>593</v>
      </c>
      <c r="Q2199" t="s">
        <v>586</v>
      </c>
      <c r="R2199" t="s">
        <v>712</v>
      </c>
      <c r="S2199" t="s">
        <v>712</v>
      </c>
      <c r="T2199">
        <v>87</v>
      </c>
    </row>
    <row r="2200" spans="1:20" x14ac:dyDescent="0.25">
      <c r="A2200" t="s">
        <v>3508</v>
      </c>
      <c r="B2200" t="s">
        <v>553</v>
      </c>
      <c r="C2200" t="s">
        <v>586</v>
      </c>
      <c r="D2200" t="s">
        <v>631</v>
      </c>
      <c r="E2200" t="s">
        <v>3509</v>
      </c>
      <c r="F2200">
        <v>1.1196772327673143</v>
      </c>
      <c r="G2200">
        <v>12.031713567687641</v>
      </c>
      <c r="H2200" t="s">
        <v>1595</v>
      </c>
      <c r="I2200" t="s">
        <v>1037</v>
      </c>
      <c r="J2200">
        <v>5</v>
      </c>
      <c r="K2200" t="s">
        <v>598</v>
      </c>
      <c r="L2200">
        <v>905000</v>
      </c>
      <c r="M2200">
        <v>1.3800000000000001</v>
      </c>
      <c r="N2200">
        <v>12.031713567687641</v>
      </c>
      <c r="O2200" t="s">
        <v>592</v>
      </c>
      <c r="P2200" t="s">
        <v>593</v>
      </c>
      <c r="Q2200" t="s">
        <v>586</v>
      </c>
      <c r="R2200">
        <v>20000</v>
      </c>
      <c r="S2200" t="s">
        <v>635</v>
      </c>
      <c r="T2200">
        <v>86</v>
      </c>
    </row>
    <row r="2201" spans="1:20" x14ac:dyDescent="0.25">
      <c r="A2201" t="s">
        <v>3510</v>
      </c>
      <c r="B2201" t="s">
        <v>553</v>
      </c>
      <c r="C2201" t="s">
        <v>586</v>
      </c>
      <c r="D2201" t="s">
        <v>631</v>
      </c>
      <c r="E2201" t="s">
        <v>3509</v>
      </c>
      <c r="F2201">
        <v>2.9449425724682858</v>
      </c>
      <c r="G2201">
        <v>15.770280282441229</v>
      </c>
      <c r="H2201" t="s">
        <v>1595</v>
      </c>
      <c r="I2201" t="s">
        <v>1037</v>
      </c>
      <c r="J2201">
        <v>4</v>
      </c>
      <c r="K2201" t="s">
        <v>727</v>
      </c>
      <c r="L2201">
        <v>1000000</v>
      </c>
      <c r="M2201">
        <v>1.72</v>
      </c>
      <c r="N2201">
        <v>15.770280282441229</v>
      </c>
      <c r="O2201" t="s">
        <v>592</v>
      </c>
      <c r="P2201" t="s">
        <v>593</v>
      </c>
      <c r="Q2201" t="s">
        <v>586</v>
      </c>
      <c r="R2201">
        <v>150000</v>
      </c>
      <c r="S2201" t="s">
        <v>635</v>
      </c>
      <c r="T2201">
        <v>73</v>
      </c>
    </row>
    <row r="2202" spans="1:20" x14ac:dyDescent="0.25">
      <c r="A2202" t="s">
        <v>3511</v>
      </c>
      <c r="B2202" t="s">
        <v>553</v>
      </c>
      <c r="C2202" t="s">
        <v>586</v>
      </c>
      <c r="D2202" t="s">
        <v>631</v>
      </c>
      <c r="E2202" t="s">
        <v>3509</v>
      </c>
      <c r="F2202">
        <v>4.5438673028243892</v>
      </c>
      <c r="G2202">
        <v>17.458695694391182</v>
      </c>
      <c r="H2202" t="s">
        <v>1595</v>
      </c>
      <c r="I2202" t="s">
        <v>1037</v>
      </c>
      <c r="J2202">
        <v>5</v>
      </c>
      <c r="K2202" t="s">
        <v>797</v>
      </c>
      <c r="L2202">
        <v>1260000</v>
      </c>
      <c r="M2202">
        <v>1.98</v>
      </c>
      <c r="N2202">
        <v>17.458695694391182</v>
      </c>
      <c r="O2202" t="s">
        <v>592</v>
      </c>
      <c r="P2202" t="s">
        <v>593</v>
      </c>
      <c r="Q2202" t="s">
        <v>586</v>
      </c>
      <c r="R2202">
        <v>1050000</v>
      </c>
      <c r="S2202" t="s">
        <v>635</v>
      </c>
      <c r="T2202">
        <v>69</v>
      </c>
    </row>
    <row r="2203" spans="1:20" x14ac:dyDescent="0.25">
      <c r="A2203" t="s">
        <v>3512</v>
      </c>
      <c r="B2203" t="s">
        <v>126</v>
      </c>
      <c r="C2203" t="s">
        <v>586</v>
      </c>
      <c r="D2203" t="s">
        <v>631</v>
      </c>
      <c r="E2203" t="s">
        <v>1112</v>
      </c>
      <c r="F2203">
        <v>3.5452302164788052</v>
      </c>
      <c r="G2203">
        <v>10.104434886230029</v>
      </c>
      <c r="H2203" t="s">
        <v>1113</v>
      </c>
      <c r="I2203" t="s">
        <v>611</v>
      </c>
      <c r="J2203">
        <v>4</v>
      </c>
      <c r="K2203" t="s">
        <v>1163</v>
      </c>
      <c r="L2203">
        <v>220000</v>
      </c>
      <c r="M2203">
        <v>2.25</v>
      </c>
      <c r="N2203">
        <v>10.104434886230029</v>
      </c>
      <c r="O2203" t="s">
        <v>592</v>
      </c>
      <c r="P2203" t="s">
        <v>711</v>
      </c>
      <c r="Q2203" t="s">
        <v>586</v>
      </c>
      <c r="R2203" t="s">
        <v>712</v>
      </c>
      <c r="S2203" t="s">
        <v>712</v>
      </c>
      <c r="T2203">
        <v>74</v>
      </c>
    </row>
    <row r="2204" spans="1:20" x14ac:dyDescent="0.25">
      <c r="A2204" t="s">
        <v>3513</v>
      </c>
      <c r="B2204" t="s">
        <v>554</v>
      </c>
      <c r="C2204" t="s">
        <v>586</v>
      </c>
      <c r="D2204" t="s">
        <v>642</v>
      </c>
      <c r="E2204" t="s">
        <v>643</v>
      </c>
      <c r="F2204">
        <v>0.82030811515336755</v>
      </c>
      <c r="G2204">
        <v>7.4569399029518424</v>
      </c>
      <c r="H2204" t="s">
        <v>3514</v>
      </c>
      <c r="I2204" t="s">
        <v>937</v>
      </c>
      <c r="J2204">
        <v>2</v>
      </c>
      <c r="K2204" t="s">
        <v>984</v>
      </c>
      <c r="L2204">
        <v>470000</v>
      </c>
      <c r="M2204">
        <v>1.41</v>
      </c>
      <c r="N2204">
        <v>7.4569399029518424</v>
      </c>
      <c r="O2204" t="s">
        <v>592</v>
      </c>
      <c r="P2204" t="s">
        <v>627</v>
      </c>
      <c r="Q2204" t="s">
        <v>586</v>
      </c>
      <c r="R2204" t="s">
        <v>712</v>
      </c>
      <c r="S2204" t="s">
        <v>712</v>
      </c>
      <c r="T2204">
        <v>80</v>
      </c>
    </row>
    <row r="2205" spans="1:20" x14ac:dyDescent="0.25">
      <c r="A2205" t="s">
        <v>3515</v>
      </c>
      <c r="B2205" t="s">
        <v>555</v>
      </c>
      <c r="C2205" t="s">
        <v>607</v>
      </c>
      <c r="D2205" t="s">
        <v>608</v>
      </c>
      <c r="E2205" t="s">
        <v>1321</v>
      </c>
      <c r="F2205">
        <v>5.5546433128695763E-3</v>
      </c>
      <c r="G2205">
        <v>39.341335601483827</v>
      </c>
      <c r="H2205" t="s">
        <v>639</v>
      </c>
      <c r="I2205" t="s">
        <v>721</v>
      </c>
      <c r="J2205">
        <v>3</v>
      </c>
      <c r="K2205" t="s">
        <v>995</v>
      </c>
      <c r="L2205">
        <v>210000</v>
      </c>
      <c r="M2205">
        <v>2.1</v>
      </c>
      <c r="N2205">
        <v>39.341335601483827</v>
      </c>
      <c r="O2205" t="s">
        <v>592</v>
      </c>
      <c r="P2205" t="s">
        <v>613</v>
      </c>
      <c r="Q2205" t="s">
        <v>586</v>
      </c>
      <c r="R2205" t="s">
        <v>712</v>
      </c>
      <c r="S2205" t="s">
        <v>712</v>
      </c>
      <c r="T2205">
        <v>98</v>
      </c>
    </row>
    <row r="2206" spans="1:20" x14ac:dyDescent="0.25">
      <c r="A2206" t="s">
        <v>3516</v>
      </c>
      <c r="B2206" t="s">
        <v>555</v>
      </c>
      <c r="C2206" t="s">
        <v>607</v>
      </c>
      <c r="D2206" t="s">
        <v>608</v>
      </c>
      <c r="E2206" t="s">
        <v>1321</v>
      </c>
      <c r="F2206">
        <v>0.98104917057638164</v>
      </c>
      <c r="G2206">
        <v>33.486134810926835</v>
      </c>
      <c r="H2206" t="s">
        <v>639</v>
      </c>
      <c r="I2206" t="s">
        <v>721</v>
      </c>
      <c r="J2206">
        <v>3</v>
      </c>
      <c r="K2206" t="s">
        <v>646</v>
      </c>
      <c r="L2206">
        <v>215000</v>
      </c>
      <c r="M2206">
        <v>2.2000000000000002</v>
      </c>
      <c r="N2206">
        <v>33.486134810926835</v>
      </c>
      <c r="O2206" t="s">
        <v>592</v>
      </c>
      <c r="P2206" t="s">
        <v>613</v>
      </c>
      <c r="Q2206" t="s">
        <v>586</v>
      </c>
      <c r="R2206" t="s">
        <v>712</v>
      </c>
      <c r="S2206" t="s">
        <v>712</v>
      </c>
      <c r="T2206">
        <v>87</v>
      </c>
    </row>
    <row r="2207" spans="1:20" x14ac:dyDescent="0.25">
      <c r="A2207" t="s">
        <v>3517</v>
      </c>
      <c r="B2207" t="s">
        <v>555</v>
      </c>
      <c r="C2207" t="s">
        <v>607</v>
      </c>
      <c r="D2207" t="s">
        <v>608</v>
      </c>
      <c r="E2207" t="s">
        <v>1321</v>
      </c>
      <c r="F2207">
        <v>1.9339665629244229</v>
      </c>
      <c r="G2207">
        <v>27.93102689879121</v>
      </c>
      <c r="H2207" t="s">
        <v>639</v>
      </c>
      <c r="I2207" t="s">
        <v>721</v>
      </c>
      <c r="J2207">
        <v>3</v>
      </c>
      <c r="K2207" t="s">
        <v>729</v>
      </c>
      <c r="L2207">
        <v>225000</v>
      </c>
      <c r="M2207">
        <v>2.3000000000000003</v>
      </c>
      <c r="N2207">
        <v>27.93102689879121</v>
      </c>
      <c r="O2207" t="s">
        <v>592</v>
      </c>
      <c r="P2207" t="s">
        <v>613</v>
      </c>
      <c r="Q2207" t="s">
        <v>586</v>
      </c>
      <c r="R2207" t="s">
        <v>712</v>
      </c>
      <c r="S2207" t="s">
        <v>712</v>
      </c>
      <c r="T2207">
        <v>73</v>
      </c>
    </row>
    <row r="2208" spans="1:20" x14ac:dyDescent="0.25">
      <c r="A2208" t="s">
        <v>3518</v>
      </c>
      <c r="B2208" t="s">
        <v>60</v>
      </c>
      <c r="C2208" t="s">
        <v>586</v>
      </c>
      <c r="D2208" t="s">
        <v>631</v>
      </c>
      <c r="E2208" t="s">
        <v>756</v>
      </c>
      <c r="F2208">
        <v>0.49479839311204604</v>
      </c>
      <c r="G2208">
        <v>8.1176527660393738</v>
      </c>
      <c r="H2208" t="s">
        <v>823</v>
      </c>
      <c r="I2208" t="s">
        <v>619</v>
      </c>
      <c r="J2208">
        <v>5</v>
      </c>
      <c r="K2208" t="s">
        <v>807</v>
      </c>
      <c r="L2208">
        <v>3900000</v>
      </c>
      <c r="M2208">
        <v>1.78</v>
      </c>
      <c r="N2208">
        <v>8.1176527660393738</v>
      </c>
      <c r="O2208" t="s">
        <v>592</v>
      </c>
      <c r="P2208" t="s">
        <v>593</v>
      </c>
      <c r="Q2208" t="s">
        <v>586</v>
      </c>
      <c r="R2208">
        <v>100000</v>
      </c>
      <c r="S2208" t="s">
        <v>652</v>
      </c>
      <c r="T2208">
        <v>96</v>
      </c>
    </row>
    <row r="2209" spans="1:20" x14ac:dyDescent="0.25">
      <c r="A2209" t="s">
        <v>3519</v>
      </c>
      <c r="B2209" t="s">
        <v>60</v>
      </c>
      <c r="C2209" t="s">
        <v>586</v>
      </c>
      <c r="D2209" t="s">
        <v>631</v>
      </c>
      <c r="E2209" t="s">
        <v>756</v>
      </c>
      <c r="F2209">
        <v>1.4506886325231207</v>
      </c>
      <c r="G2209">
        <v>15.035012107068146</v>
      </c>
      <c r="H2209" t="s">
        <v>823</v>
      </c>
      <c r="I2209" t="s">
        <v>619</v>
      </c>
      <c r="J2209">
        <v>5</v>
      </c>
      <c r="K2209" t="s">
        <v>780</v>
      </c>
      <c r="L2209">
        <v>4090000</v>
      </c>
      <c r="M2209">
        <v>2.0100000000000002</v>
      </c>
      <c r="N2209">
        <v>15.035012107068146</v>
      </c>
      <c r="O2209" t="s">
        <v>592</v>
      </c>
      <c r="P2209" t="s">
        <v>593</v>
      </c>
      <c r="Q2209" t="s">
        <v>586</v>
      </c>
      <c r="R2209">
        <v>45000</v>
      </c>
      <c r="S2209" t="s">
        <v>652</v>
      </c>
      <c r="T2209">
        <v>90</v>
      </c>
    </row>
    <row r="2210" spans="1:20" x14ac:dyDescent="0.25">
      <c r="A2210" t="s">
        <v>3520</v>
      </c>
      <c r="B2210" t="s">
        <v>127</v>
      </c>
      <c r="C2210" t="s">
        <v>586</v>
      </c>
      <c r="D2210" t="s">
        <v>637</v>
      </c>
      <c r="E2210" t="s">
        <v>1116</v>
      </c>
      <c r="F2210">
        <v>2.7236705013399014</v>
      </c>
      <c r="G2210">
        <v>11.058201215500919</v>
      </c>
      <c r="H2210" t="s">
        <v>589</v>
      </c>
      <c r="I2210" t="s">
        <v>1117</v>
      </c>
      <c r="J2210">
        <v>5</v>
      </c>
      <c r="K2210" t="s">
        <v>626</v>
      </c>
      <c r="L2210">
        <v>1280000</v>
      </c>
      <c r="M2210">
        <v>1.71</v>
      </c>
      <c r="N2210">
        <v>11.058201215500919</v>
      </c>
      <c r="O2210" t="s">
        <v>592</v>
      </c>
      <c r="P2210" t="s">
        <v>593</v>
      </c>
      <c r="Q2210" t="s">
        <v>586</v>
      </c>
      <c r="R2210">
        <v>80000</v>
      </c>
      <c r="S2210" t="s">
        <v>712</v>
      </c>
      <c r="T2210">
        <v>78</v>
      </c>
    </row>
    <row r="2211" spans="1:20" x14ac:dyDescent="0.25">
      <c r="A2211" t="s">
        <v>3521</v>
      </c>
      <c r="B2211" t="s">
        <v>556</v>
      </c>
      <c r="C2211" t="s">
        <v>586</v>
      </c>
      <c r="D2211" t="s">
        <v>1291</v>
      </c>
      <c r="E2211" t="s">
        <v>3522</v>
      </c>
      <c r="F2211">
        <v>5.5549443831018437E-3</v>
      </c>
      <c r="G2211">
        <v>44.793771918446865</v>
      </c>
      <c r="H2211" t="s">
        <v>3316</v>
      </c>
      <c r="I2211" t="s">
        <v>611</v>
      </c>
      <c r="J2211">
        <v>2</v>
      </c>
      <c r="K2211" t="s">
        <v>995</v>
      </c>
      <c r="L2211">
        <v>280000</v>
      </c>
      <c r="M2211">
        <v>2</v>
      </c>
      <c r="N2211">
        <v>44.793771918446865</v>
      </c>
      <c r="O2211" t="s">
        <v>592</v>
      </c>
      <c r="P2211" t="s">
        <v>711</v>
      </c>
      <c r="Q2211" t="s">
        <v>586</v>
      </c>
      <c r="R2211" t="s">
        <v>712</v>
      </c>
      <c r="S2211" t="s">
        <v>712</v>
      </c>
      <c r="T2211">
        <v>18</v>
      </c>
    </row>
    <row r="2212" spans="1:20" x14ac:dyDescent="0.25">
      <c r="A2212" t="s">
        <v>3523</v>
      </c>
      <c r="B2212" t="s">
        <v>553</v>
      </c>
      <c r="C2212" t="s">
        <v>586</v>
      </c>
      <c r="D2212" t="s">
        <v>631</v>
      </c>
      <c r="E2212" t="s">
        <v>3509</v>
      </c>
      <c r="F2212">
        <v>0.16362691543153485</v>
      </c>
      <c r="G2212">
        <v>9.7768047328380625</v>
      </c>
      <c r="H2212" t="s">
        <v>1595</v>
      </c>
      <c r="I2212" t="s">
        <v>1037</v>
      </c>
      <c r="J2212">
        <v>5</v>
      </c>
      <c r="K2212" t="s">
        <v>749</v>
      </c>
      <c r="L2212">
        <v>865000</v>
      </c>
      <c r="M2212">
        <v>1.21</v>
      </c>
      <c r="N2212">
        <v>9.7768047328380625</v>
      </c>
      <c r="O2212" t="s">
        <v>592</v>
      </c>
      <c r="P2212" t="s">
        <v>593</v>
      </c>
      <c r="Q2212" t="s">
        <v>586</v>
      </c>
      <c r="R2212">
        <v>40000</v>
      </c>
      <c r="S2212" t="s">
        <v>635</v>
      </c>
      <c r="T2212">
        <v>97</v>
      </c>
    </row>
    <row r="2213" spans="1:20" x14ac:dyDescent="0.25">
      <c r="A2213" t="s">
        <v>3524</v>
      </c>
      <c r="B2213" t="s">
        <v>553</v>
      </c>
      <c r="C2213" t="s">
        <v>586</v>
      </c>
      <c r="D2213" t="s">
        <v>631</v>
      </c>
      <c r="E2213" t="s">
        <v>3509</v>
      </c>
      <c r="F2213">
        <v>2.0317770111358824</v>
      </c>
      <c r="G2213">
        <v>13.874167353091016</v>
      </c>
      <c r="H2213" t="s">
        <v>1595</v>
      </c>
      <c r="I2213" t="s">
        <v>1037</v>
      </c>
      <c r="J2213">
        <v>5</v>
      </c>
      <c r="K2213" t="s">
        <v>651</v>
      </c>
      <c r="L2213">
        <v>955000</v>
      </c>
      <c r="M2213">
        <v>1.55</v>
      </c>
      <c r="N2213">
        <v>13.874167353091016</v>
      </c>
      <c r="O2213" t="s">
        <v>592</v>
      </c>
      <c r="P2213" t="s">
        <v>593</v>
      </c>
      <c r="Q2213" t="s">
        <v>586</v>
      </c>
      <c r="R2213">
        <v>75000</v>
      </c>
      <c r="S2213" t="s">
        <v>635</v>
      </c>
      <c r="T2213">
        <v>79</v>
      </c>
    </row>
    <row r="2214" spans="1:20" x14ac:dyDescent="0.25">
      <c r="A2214" t="s">
        <v>3525</v>
      </c>
      <c r="B2214" t="s">
        <v>553</v>
      </c>
      <c r="C2214" t="s">
        <v>586</v>
      </c>
      <c r="D2214" t="s">
        <v>631</v>
      </c>
      <c r="E2214" t="s">
        <v>3509</v>
      </c>
      <c r="F2214">
        <v>3.741373396445614</v>
      </c>
      <c r="G2214">
        <v>14.371897704616066</v>
      </c>
      <c r="H2214" t="s">
        <v>1595</v>
      </c>
      <c r="I2214" t="s">
        <v>1037</v>
      </c>
      <c r="J2214">
        <v>5</v>
      </c>
      <c r="K2214" t="s">
        <v>629</v>
      </c>
      <c r="L2214">
        <v>1210000</v>
      </c>
      <c r="M2214">
        <v>1.84</v>
      </c>
      <c r="N2214">
        <v>14.371897704616066</v>
      </c>
      <c r="O2214" t="s">
        <v>592</v>
      </c>
      <c r="P2214" t="s">
        <v>593</v>
      </c>
      <c r="Q2214" t="s">
        <v>586</v>
      </c>
      <c r="R2214">
        <v>10000</v>
      </c>
      <c r="S2214" t="s">
        <v>635</v>
      </c>
      <c r="T2214">
        <v>74</v>
      </c>
    </row>
    <row r="2215" spans="1:20" x14ac:dyDescent="0.25">
      <c r="A2215" t="s">
        <v>3526</v>
      </c>
      <c r="B2215" t="s">
        <v>547</v>
      </c>
      <c r="C2215" t="s">
        <v>586</v>
      </c>
      <c r="D2215" t="s">
        <v>830</v>
      </c>
      <c r="E2215" t="s">
        <v>1883</v>
      </c>
      <c r="F2215">
        <v>0.94162235189697474</v>
      </c>
      <c r="G2215">
        <v>21.506783561643839</v>
      </c>
      <c r="H2215" t="s">
        <v>963</v>
      </c>
      <c r="I2215" t="s">
        <v>1137</v>
      </c>
      <c r="J2215">
        <v>2</v>
      </c>
      <c r="K2215" t="s">
        <v>1461</v>
      </c>
      <c r="L2215">
        <v>1545000</v>
      </c>
      <c r="M2215">
        <v>1.75</v>
      </c>
      <c r="N2215">
        <v>21.506783561643839</v>
      </c>
      <c r="O2215" t="s">
        <v>592</v>
      </c>
      <c r="P2215" t="s">
        <v>593</v>
      </c>
      <c r="Q2215" t="s">
        <v>586</v>
      </c>
      <c r="R2215">
        <v>60000</v>
      </c>
      <c r="S2215" t="s">
        <v>712</v>
      </c>
      <c r="T2215">
        <v>77</v>
      </c>
    </row>
    <row r="2216" spans="1:20" x14ac:dyDescent="0.25">
      <c r="A2216" t="s">
        <v>3527</v>
      </c>
      <c r="B2216" t="s">
        <v>548</v>
      </c>
      <c r="C2216" t="s">
        <v>586</v>
      </c>
      <c r="D2216" t="s">
        <v>601</v>
      </c>
      <c r="E2216" t="s">
        <v>773</v>
      </c>
      <c r="F2216">
        <v>2.6194218534567599</v>
      </c>
      <c r="G2216">
        <v>5.4098963315134085</v>
      </c>
      <c r="H2216" t="s">
        <v>672</v>
      </c>
      <c r="I2216" t="s">
        <v>3489</v>
      </c>
      <c r="J2216">
        <v>3</v>
      </c>
      <c r="K2216" t="s">
        <v>930</v>
      </c>
      <c r="L2216">
        <v>660000</v>
      </c>
      <c r="M2216">
        <v>1.85</v>
      </c>
      <c r="N2216">
        <v>5.4098963315134085</v>
      </c>
      <c r="O2216" t="s">
        <v>592</v>
      </c>
      <c r="P2216" t="s">
        <v>593</v>
      </c>
      <c r="Q2216" t="s">
        <v>586</v>
      </c>
      <c r="R2216" t="s">
        <v>712</v>
      </c>
      <c r="S2216" t="s">
        <v>652</v>
      </c>
      <c r="T2216">
        <v>71</v>
      </c>
    </row>
    <row r="2217" spans="1:20" x14ac:dyDescent="0.25">
      <c r="A2217" t="s">
        <v>3528</v>
      </c>
      <c r="B2217" t="s">
        <v>81</v>
      </c>
      <c r="C2217" t="s">
        <v>586</v>
      </c>
      <c r="D2217" t="s">
        <v>690</v>
      </c>
      <c r="E2217" t="s">
        <v>912</v>
      </c>
      <c r="F2217">
        <v>3.5486148098926065</v>
      </c>
      <c r="G2217">
        <v>6.3936529389027941</v>
      </c>
      <c r="H2217" t="s">
        <v>913</v>
      </c>
      <c r="I2217" t="s">
        <v>885</v>
      </c>
      <c r="J2217">
        <v>4</v>
      </c>
      <c r="K2217" t="s">
        <v>1163</v>
      </c>
      <c r="L2217">
        <v>505000</v>
      </c>
      <c r="M2217">
        <v>1.81</v>
      </c>
      <c r="N2217">
        <v>6.3936529389027941</v>
      </c>
      <c r="O2217" t="s">
        <v>592</v>
      </c>
      <c r="P2217" t="s">
        <v>593</v>
      </c>
      <c r="Q2217" t="s">
        <v>586</v>
      </c>
      <c r="R2217" t="s">
        <v>712</v>
      </c>
      <c r="S2217" t="s">
        <v>599</v>
      </c>
      <c r="T2217">
        <v>67</v>
      </c>
    </row>
    <row r="2218" spans="1:20" x14ac:dyDescent="0.25">
      <c r="A2218" t="s">
        <v>3529</v>
      </c>
      <c r="B2218" t="s">
        <v>81</v>
      </c>
      <c r="C2218" t="s">
        <v>586</v>
      </c>
      <c r="D2218" t="s">
        <v>690</v>
      </c>
      <c r="E2218" t="s">
        <v>912</v>
      </c>
      <c r="F2218">
        <v>4.3956593217810456</v>
      </c>
      <c r="G2218">
        <v>4.9938650961050879</v>
      </c>
      <c r="H2218" t="s">
        <v>913</v>
      </c>
      <c r="I2218" t="s">
        <v>885</v>
      </c>
      <c r="J2218">
        <v>4</v>
      </c>
      <c r="K2218" t="s">
        <v>722</v>
      </c>
      <c r="L2218">
        <v>505000</v>
      </c>
      <c r="M2218">
        <v>1.9100000000000001</v>
      </c>
      <c r="N2218">
        <v>4.9938650961050879</v>
      </c>
      <c r="O2218" t="s">
        <v>592</v>
      </c>
      <c r="P2218" t="s">
        <v>593</v>
      </c>
      <c r="Q2218" t="s">
        <v>586</v>
      </c>
      <c r="R2218">
        <v>20000</v>
      </c>
      <c r="S2218" t="s">
        <v>599</v>
      </c>
      <c r="T2218">
        <v>61</v>
      </c>
    </row>
    <row r="2219" spans="1:20" x14ac:dyDescent="0.25">
      <c r="A2219" t="s">
        <v>3530</v>
      </c>
      <c r="B2219" t="s">
        <v>139</v>
      </c>
      <c r="C2219" t="s">
        <v>586</v>
      </c>
      <c r="D2219" t="s">
        <v>741</v>
      </c>
      <c r="E2219" t="s">
        <v>1160</v>
      </c>
      <c r="F2219">
        <v>0.56959186170296161</v>
      </c>
      <c r="G2219">
        <v>24.803863819775309</v>
      </c>
      <c r="H2219" t="s">
        <v>649</v>
      </c>
      <c r="I2219" t="s">
        <v>1137</v>
      </c>
      <c r="J2219">
        <v>3</v>
      </c>
      <c r="K2219" t="s">
        <v>744</v>
      </c>
      <c r="L2219">
        <v>280000</v>
      </c>
      <c r="M2219">
        <v>1.75</v>
      </c>
      <c r="N2219">
        <v>24.803863819775309</v>
      </c>
      <c r="O2219" t="s">
        <v>592</v>
      </c>
      <c r="P2219" t="s">
        <v>745</v>
      </c>
      <c r="Q2219" t="s">
        <v>586</v>
      </c>
      <c r="R2219" t="s">
        <v>712</v>
      </c>
      <c r="S2219" t="s">
        <v>712</v>
      </c>
      <c r="T2219">
        <v>91</v>
      </c>
    </row>
    <row r="2220" spans="1:20" x14ac:dyDescent="0.25">
      <c r="A2220" t="s">
        <v>3531</v>
      </c>
      <c r="B2220" t="s">
        <v>554</v>
      </c>
      <c r="C2220" t="s">
        <v>586</v>
      </c>
      <c r="D2220" t="s">
        <v>642</v>
      </c>
      <c r="E2220" t="s">
        <v>643</v>
      </c>
      <c r="F2220">
        <v>1.7866293199902936</v>
      </c>
      <c r="G2220">
        <v>7.8569912486822435</v>
      </c>
      <c r="H2220" t="s">
        <v>3514</v>
      </c>
      <c r="I2220" t="s">
        <v>937</v>
      </c>
      <c r="J2220">
        <v>2</v>
      </c>
      <c r="K2220" t="s">
        <v>1114</v>
      </c>
      <c r="L2220">
        <v>480000</v>
      </c>
      <c r="M2220">
        <v>1.56</v>
      </c>
      <c r="N2220">
        <v>7.8569912486822435</v>
      </c>
      <c r="O2220" t="s">
        <v>592</v>
      </c>
      <c r="P2220" t="s">
        <v>627</v>
      </c>
      <c r="Q2220" t="s">
        <v>586</v>
      </c>
      <c r="R2220" t="s">
        <v>712</v>
      </c>
      <c r="S2220" t="s">
        <v>712</v>
      </c>
      <c r="T2220">
        <v>65</v>
      </c>
    </row>
    <row r="2221" spans="1:20" x14ac:dyDescent="0.25">
      <c r="A2221" t="s">
        <v>3532</v>
      </c>
      <c r="B2221" t="s">
        <v>554</v>
      </c>
      <c r="C2221" t="s">
        <v>586</v>
      </c>
      <c r="D2221" t="s">
        <v>642</v>
      </c>
      <c r="E2221" t="s">
        <v>643</v>
      </c>
      <c r="F2221">
        <v>2.7338340201118063</v>
      </c>
      <c r="G2221">
        <v>10.167615126280261</v>
      </c>
      <c r="H2221" t="s">
        <v>3514</v>
      </c>
      <c r="I2221" t="s">
        <v>937</v>
      </c>
      <c r="J2221">
        <v>2</v>
      </c>
      <c r="K2221" t="s">
        <v>669</v>
      </c>
      <c r="L2221">
        <v>490000</v>
      </c>
      <c r="M2221">
        <v>1.73</v>
      </c>
      <c r="N2221">
        <v>10.167615126280261</v>
      </c>
      <c r="O2221" t="s">
        <v>592</v>
      </c>
      <c r="P2221" t="s">
        <v>627</v>
      </c>
      <c r="Q2221" t="s">
        <v>586</v>
      </c>
      <c r="R2221">
        <v>100000</v>
      </c>
      <c r="S2221" t="s">
        <v>712</v>
      </c>
      <c r="T2221">
        <v>51</v>
      </c>
    </row>
    <row r="2222" spans="1:20" x14ac:dyDescent="0.25">
      <c r="A2222" t="s">
        <v>3533</v>
      </c>
      <c r="B2222" t="s">
        <v>555</v>
      </c>
      <c r="C2222" t="s">
        <v>607</v>
      </c>
      <c r="D2222" t="s">
        <v>608</v>
      </c>
      <c r="E2222" t="s">
        <v>1321</v>
      </c>
      <c r="F2222">
        <v>2.8593471766432841</v>
      </c>
      <c r="G2222">
        <v>23.507951147652626</v>
      </c>
      <c r="H2222" t="s">
        <v>639</v>
      </c>
      <c r="I2222" t="s">
        <v>721</v>
      </c>
      <c r="J2222">
        <v>3</v>
      </c>
      <c r="K2222" t="s">
        <v>817</v>
      </c>
      <c r="L2222">
        <v>230000</v>
      </c>
      <c r="M2222">
        <v>2.4000000000000004</v>
      </c>
      <c r="N2222">
        <v>23.507951147652626</v>
      </c>
      <c r="O2222" t="s">
        <v>592</v>
      </c>
      <c r="P2222" t="s">
        <v>613</v>
      </c>
      <c r="Q2222" t="s">
        <v>586</v>
      </c>
      <c r="R2222" t="s">
        <v>712</v>
      </c>
      <c r="S2222" t="s">
        <v>712</v>
      </c>
      <c r="T2222">
        <v>57</v>
      </c>
    </row>
    <row r="2223" spans="1:20" x14ac:dyDescent="0.25">
      <c r="A2223" t="s">
        <v>3534</v>
      </c>
      <c r="B2223" t="s">
        <v>557</v>
      </c>
      <c r="C2223" t="s">
        <v>607</v>
      </c>
      <c r="D2223" t="s">
        <v>608</v>
      </c>
      <c r="E2223" t="s">
        <v>1321</v>
      </c>
      <c r="F2223">
        <v>0.57155694697064408</v>
      </c>
      <c r="G2223">
        <v>48.912911263959955</v>
      </c>
      <c r="H2223" t="s">
        <v>1143</v>
      </c>
      <c r="I2223" t="s">
        <v>1591</v>
      </c>
      <c r="J2223">
        <v>2</v>
      </c>
      <c r="K2223" t="s">
        <v>744</v>
      </c>
      <c r="L2223">
        <v>700000</v>
      </c>
      <c r="M2223">
        <v>1.7000000000000002</v>
      </c>
      <c r="N2223">
        <v>48.912911263959955</v>
      </c>
      <c r="O2223" t="s">
        <v>592</v>
      </c>
      <c r="P2223" t="s">
        <v>613</v>
      </c>
      <c r="Q2223" t="s">
        <v>586</v>
      </c>
      <c r="R2223" t="s">
        <v>712</v>
      </c>
      <c r="S2223" t="s">
        <v>878</v>
      </c>
      <c r="T2223">
        <v>94</v>
      </c>
    </row>
    <row r="2224" spans="1:20" x14ac:dyDescent="0.25">
      <c r="A2224" t="s">
        <v>3535</v>
      </c>
      <c r="B2224" t="s">
        <v>557</v>
      </c>
      <c r="C2224" t="s">
        <v>607</v>
      </c>
      <c r="D2224" t="s">
        <v>608</v>
      </c>
      <c r="E2224" t="s">
        <v>1321</v>
      </c>
      <c r="F2224">
        <v>1.5361348320658221</v>
      </c>
      <c r="G2224">
        <v>48.70194677031985</v>
      </c>
      <c r="H2224" t="s">
        <v>1143</v>
      </c>
      <c r="I2224" t="s">
        <v>1591</v>
      </c>
      <c r="J2224">
        <v>2</v>
      </c>
      <c r="K2224" t="s">
        <v>634</v>
      </c>
      <c r="L2224">
        <v>600000</v>
      </c>
      <c r="M2224">
        <v>1.85</v>
      </c>
      <c r="N2224">
        <v>48.70194677031985</v>
      </c>
      <c r="O2224" t="s">
        <v>592</v>
      </c>
      <c r="P2224" t="s">
        <v>613</v>
      </c>
      <c r="Q2224" t="s">
        <v>586</v>
      </c>
      <c r="R2224" t="s">
        <v>712</v>
      </c>
      <c r="S2224" t="s">
        <v>878</v>
      </c>
      <c r="T2224">
        <v>78</v>
      </c>
    </row>
    <row r="2225" spans="1:20" x14ac:dyDescent="0.25">
      <c r="A2225" t="s">
        <v>3536</v>
      </c>
      <c r="B2225" t="s">
        <v>72</v>
      </c>
      <c r="C2225" t="s">
        <v>586</v>
      </c>
      <c r="D2225" t="s">
        <v>608</v>
      </c>
      <c r="E2225" t="s">
        <v>841</v>
      </c>
      <c r="F2225">
        <v>5.5553020180521178E-3</v>
      </c>
      <c r="G2225">
        <v>18.933419839039111</v>
      </c>
      <c r="H2225" t="s">
        <v>589</v>
      </c>
      <c r="I2225" t="s">
        <v>611</v>
      </c>
      <c r="J2225">
        <v>5</v>
      </c>
      <c r="K2225" t="s">
        <v>995</v>
      </c>
      <c r="L2225">
        <v>1255000</v>
      </c>
      <c r="M2225">
        <v>1.32</v>
      </c>
      <c r="N2225">
        <v>18.933419839039111</v>
      </c>
      <c r="O2225" t="s">
        <v>592</v>
      </c>
      <c r="P2225" t="s">
        <v>621</v>
      </c>
      <c r="Q2225" t="s">
        <v>586</v>
      </c>
      <c r="R2225">
        <v>100000</v>
      </c>
      <c r="S2225" t="s">
        <v>712</v>
      </c>
      <c r="T2225">
        <v>98</v>
      </c>
    </row>
    <row r="2226" spans="1:20" x14ac:dyDescent="0.25">
      <c r="A2226" t="s">
        <v>3537</v>
      </c>
      <c r="B2226" t="s">
        <v>72</v>
      </c>
      <c r="C2226" t="s">
        <v>586</v>
      </c>
      <c r="D2226" t="s">
        <v>608</v>
      </c>
      <c r="E2226" t="s">
        <v>841</v>
      </c>
      <c r="F2226">
        <v>2.8052115024689259</v>
      </c>
      <c r="G2226">
        <v>26.270585158091642</v>
      </c>
      <c r="H2226" t="s">
        <v>589</v>
      </c>
      <c r="I2226" t="s">
        <v>611</v>
      </c>
      <c r="J2226">
        <v>5</v>
      </c>
      <c r="K2226" t="s">
        <v>817</v>
      </c>
      <c r="L2226">
        <v>1455000</v>
      </c>
      <c r="M2226">
        <v>1.85</v>
      </c>
      <c r="N2226">
        <v>26.270585158091642</v>
      </c>
      <c r="O2226" t="s">
        <v>592</v>
      </c>
      <c r="P2226" t="s">
        <v>621</v>
      </c>
      <c r="Q2226" t="s">
        <v>586</v>
      </c>
      <c r="R2226" t="s">
        <v>712</v>
      </c>
      <c r="S2226" t="s">
        <v>712</v>
      </c>
      <c r="T2226">
        <v>76</v>
      </c>
    </row>
    <row r="2227" spans="1:20" x14ac:dyDescent="0.25">
      <c r="A2227" t="s">
        <v>3538</v>
      </c>
      <c r="B2227" t="s">
        <v>171</v>
      </c>
      <c r="C2227" t="s">
        <v>586</v>
      </c>
      <c r="D2227" t="s">
        <v>587</v>
      </c>
      <c r="E2227" t="s">
        <v>756</v>
      </c>
      <c r="F2227">
        <v>5.554049985052472E-3</v>
      </c>
      <c r="G2227">
        <v>-3.0828755165940525</v>
      </c>
      <c r="H2227" t="s">
        <v>1246</v>
      </c>
      <c r="I2227" t="s">
        <v>611</v>
      </c>
      <c r="J2227">
        <v>5</v>
      </c>
      <c r="K2227" t="s">
        <v>995</v>
      </c>
      <c r="L2227">
        <v>730000</v>
      </c>
      <c r="M2227">
        <v>1.19</v>
      </c>
      <c r="N2227">
        <v>-3.0828755165940525</v>
      </c>
      <c r="O2227" t="s">
        <v>592</v>
      </c>
      <c r="P2227" t="s">
        <v>593</v>
      </c>
      <c r="Q2227" t="s">
        <v>586</v>
      </c>
      <c r="R2227">
        <v>100000</v>
      </c>
      <c r="S2227" t="s">
        <v>635</v>
      </c>
      <c r="T2227">
        <v>95</v>
      </c>
    </row>
    <row r="2228" spans="1:20" x14ac:dyDescent="0.25">
      <c r="A2228" t="s">
        <v>3539</v>
      </c>
      <c r="B2228" t="s">
        <v>171</v>
      </c>
      <c r="C2228" t="s">
        <v>586</v>
      </c>
      <c r="D2228" t="s">
        <v>587</v>
      </c>
      <c r="E2228" t="s">
        <v>756</v>
      </c>
      <c r="F2228">
        <v>1.9122620587686521</v>
      </c>
      <c r="G2228">
        <v>0.52342537724485716</v>
      </c>
      <c r="H2228" t="s">
        <v>1246</v>
      </c>
      <c r="I2228" t="s">
        <v>611</v>
      </c>
      <c r="J2228">
        <v>5</v>
      </c>
      <c r="K2228" t="s">
        <v>729</v>
      </c>
      <c r="L2228">
        <v>765000</v>
      </c>
      <c r="M2228">
        <v>1.52</v>
      </c>
      <c r="N2228">
        <v>0.52342537724485716</v>
      </c>
      <c r="O2228" t="s">
        <v>592</v>
      </c>
      <c r="P2228" t="s">
        <v>593</v>
      </c>
      <c r="Q2228" t="s">
        <v>586</v>
      </c>
      <c r="R2228" t="s">
        <v>712</v>
      </c>
      <c r="S2228" t="s">
        <v>635</v>
      </c>
      <c r="T2228">
        <v>81</v>
      </c>
    </row>
    <row r="2229" spans="1:20" x14ac:dyDescent="0.25">
      <c r="A2229" t="s">
        <v>3540</v>
      </c>
      <c r="B2229" t="s">
        <v>64</v>
      </c>
      <c r="C2229" t="s">
        <v>586</v>
      </c>
      <c r="D2229" t="s">
        <v>608</v>
      </c>
      <c r="E2229" t="s">
        <v>841</v>
      </c>
      <c r="F2229">
        <v>0.9781058917567319</v>
      </c>
      <c r="G2229">
        <v>15.312134246575337</v>
      </c>
      <c r="H2229" t="s">
        <v>842</v>
      </c>
      <c r="I2229" t="s">
        <v>721</v>
      </c>
      <c r="J2229">
        <v>5</v>
      </c>
      <c r="K2229" t="s">
        <v>646</v>
      </c>
      <c r="L2229">
        <v>770000</v>
      </c>
      <c r="M2229">
        <v>1.6</v>
      </c>
      <c r="N2229">
        <v>15.312134246575337</v>
      </c>
      <c r="O2229" t="s">
        <v>592</v>
      </c>
      <c r="P2229" t="s">
        <v>621</v>
      </c>
      <c r="Q2229" t="s">
        <v>586</v>
      </c>
      <c r="R2229">
        <v>50000</v>
      </c>
      <c r="S2229" t="s">
        <v>712</v>
      </c>
      <c r="T2229">
        <v>89</v>
      </c>
    </row>
    <row r="2230" spans="1:20" x14ac:dyDescent="0.25">
      <c r="A2230" t="s">
        <v>3541</v>
      </c>
      <c r="B2230" t="s">
        <v>72</v>
      </c>
      <c r="C2230" t="s">
        <v>586</v>
      </c>
      <c r="D2230" t="s">
        <v>608</v>
      </c>
      <c r="E2230" t="s">
        <v>841</v>
      </c>
      <c r="F2230">
        <v>0.97838438881702516</v>
      </c>
      <c r="G2230">
        <v>19.988853605729417</v>
      </c>
      <c r="H2230" t="s">
        <v>589</v>
      </c>
      <c r="I2230" t="s">
        <v>611</v>
      </c>
      <c r="J2230">
        <v>5</v>
      </c>
      <c r="K2230" t="s">
        <v>646</v>
      </c>
      <c r="L2230">
        <v>1320000</v>
      </c>
      <c r="M2230">
        <v>1.48</v>
      </c>
      <c r="N2230">
        <v>19.988853605729417</v>
      </c>
      <c r="O2230" t="s">
        <v>592</v>
      </c>
      <c r="P2230" t="s">
        <v>621</v>
      </c>
      <c r="Q2230" t="s">
        <v>586</v>
      </c>
      <c r="R2230" t="s">
        <v>712</v>
      </c>
      <c r="S2230" t="s">
        <v>712</v>
      </c>
      <c r="T2230">
        <v>89</v>
      </c>
    </row>
    <row r="2231" spans="1:20" x14ac:dyDescent="0.25">
      <c r="A2231" t="s">
        <v>3542</v>
      </c>
      <c r="B2231" t="s">
        <v>127</v>
      </c>
      <c r="C2231" t="s">
        <v>586</v>
      </c>
      <c r="D2231" t="s">
        <v>637</v>
      </c>
      <c r="E2231" t="s">
        <v>1116</v>
      </c>
      <c r="F2231">
        <v>1.8307116661319192</v>
      </c>
      <c r="G2231">
        <v>9.2496485489693026</v>
      </c>
      <c r="H2231" t="s">
        <v>589</v>
      </c>
      <c r="I2231" t="s">
        <v>1117</v>
      </c>
      <c r="J2231">
        <v>5</v>
      </c>
      <c r="K2231" t="s">
        <v>658</v>
      </c>
      <c r="L2231">
        <v>1655000</v>
      </c>
      <c r="M2231">
        <v>1.54</v>
      </c>
      <c r="N2231">
        <v>9.2496485489693026</v>
      </c>
      <c r="O2231" t="s">
        <v>592</v>
      </c>
      <c r="P2231" t="s">
        <v>593</v>
      </c>
      <c r="Q2231" t="s">
        <v>586</v>
      </c>
      <c r="R2231" t="s">
        <v>712</v>
      </c>
      <c r="S2231" t="s">
        <v>712</v>
      </c>
      <c r="T2231">
        <v>87</v>
      </c>
    </row>
    <row r="2232" spans="1:20" x14ac:dyDescent="0.25">
      <c r="A2232" t="s">
        <v>3543</v>
      </c>
      <c r="B2232" t="s">
        <v>127</v>
      </c>
      <c r="C2232" t="s">
        <v>586</v>
      </c>
      <c r="D2232" t="s">
        <v>637</v>
      </c>
      <c r="E2232" t="s">
        <v>1116</v>
      </c>
      <c r="F2232">
        <v>4.4009726077516875</v>
      </c>
      <c r="G2232">
        <v>14.945422375564753</v>
      </c>
      <c r="H2232" t="s">
        <v>589</v>
      </c>
      <c r="I2232" t="s">
        <v>1117</v>
      </c>
      <c r="J2232">
        <v>5</v>
      </c>
      <c r="K2232" t="s">
        <v>1174</v>
      </c>
      <c r="L2232">
        <v>2300000</v>
      </c>
      <c r="M2232">
        <v>2</v>
      </c>
      <c r="N2232">
        <v>14.945422375564753</v>
      </c>
      <c r="O2232" t="s">
        <v>592</v>
      </c>
      <c r="P2232" t="s">
        <v>593</v>
      </c>
      <c r="Q2232" t="s">
        <v>586</v>
      </c>
      <c r="R2232">
        <v>100000</v>
      </c>
      <c r="S2232" t="s">
        <v>712</v>
      </c>
      <c r="T2232">
        <v>67</v>
      </c>
    </row>
    <row r="2233" spans="1:20" x14ac:dyDescent="0.25">
      <c r="A2233" t="s">
        <v>3544</v>
      </c>
      <c r="B2233" t="s">
        <v>171</v>
      </c>
      <c r="C2233" t="s">
        <v>586</v>
      </c>
      <c r="D2233" t="s">
        <v>587</v>
      </c>
      <c r="E2233" t="s">
        <v>756</v>
      </c>
      <c r="F2233">
        <v>0.97852482114175454</v>
      </c>
      <c r="G2233">
        <v>-2.6251680587108694</v>
      </c>
      <c r="H2233" t="s">
        <v>1246</v>
      </c>
      <c r="I2233" t="s">
        <v>611</v>
      </c>
      <c r="J2233">
        <v>5</v>
      </c>
      <c r="K2233" t="s">
        <v>646</v>
      </c>
      <c r="L2233">
        <v>725000</v>
      </c>
      <c r="M2233">
        <v>1.34</v>
      </c>
      <c r="N2233">
        <v>-2.6251680587108694</v>
      </c>
      <c r="O2233" t="s">
        <v>592</v>
      </c>
      <c r="P2233" t="s">
        <v>593</v>
      </c>
      <c r="Q2233" t="s">
        <v>586</v>
      </c>
      <c r="R2233" t="s">
        <v>712</v>
      </c>
      <c r="S2233" t="s">
        <v>635</v>
      </c>
      <c r="T2233">
        <v>92</v>
      </c>
    </row>
    <row r="2234" spans="1:20" x14ac:dyDescent="0.25">
      <c r="A2234" t="s">
        <v>3545</v>
      </c>
      <c r="B2234" t="s">
        <v>171</v>
      </c>
      <c r="C2234" t="s">
        <v>586</v>
      </c>
      <c r="D2234" t="s">
        <v>587</v>
      </c>
      <c r="E2234" t="s">
        <v>756</v>
      </c>
      <c r="F2234">
        <v>2.8050569212714227</v>
      </c>
      <c r="G2234">
        <v>3.5590015142027198</v>
      </c>
      <c r="H2234" t="s">
        <v>1246</v>
      </c>
      <c r="I2234" t="s">
        <v>611</v>
      </c>
      <c r="J2234">
        <v>5</v>
      </c>
      <c r="K2234" t="s">
        <v>817</v>
      </c>
      <c r="L2234">
        <v>780000</v>
      </c>
      <c r="M2234">
        <v>1.7000000000000002</v>
      </c>
      <c r="N2234">
        <v>3.5590015142027198</v>
      </c>
      <c r="O2234" t="s">
        <v>592</v>
      </c>
      <c r="P2234" t="s">
        <v>593</v>
      </c>
      <c r="Q2234" t="s">
        <v>586</v>
      </c>
      <c r="R2234">
        <v>100000</v>
      </c>
      <c r="S2234" t="s">
        <v>635</v>
      </c>
      <c r="T2234">
        <v>71</v>
      </c>
    </row>
    <row r="2235" spans="1:20" x14ac:dyDescent="0.25">
      <c r="A2235" t="s">
        <v>3546</v>
      </c>
      <c r="B2235" t="s">
        <v>171</v>
      </c>
      <c r="C2235" t="s">
        <v>586</v>
      </c>
      <c r="D2235" t="s">
        <v>587</v>
      </c>
      <c r="E2235" t="s">
        <v>756</v>
      </c>
      <c r="F2235">
        <v>4.5583352529471259</v>
      </c>
      <c r="G2235">
        <v>18.243894408486796</v>
      </c>
      <c r="H2235" t="s">
        <v>1246</v>
      </c>
      <c r="I2235" t="s">
        <v>611</v>
      </c>
      <c r="J2235">
        <v>4</v>
      </c>
      <c r="K2235" t="s">
        <v>1023</v>
      </c>
      <c r="L2235">
        <v>850000</v>
      </c>
      <c r="M2235">
        <v>2.09</v>
      </c>
      <c r="N2235">
        <v>18.243894408486796</v>
      </c>
      <c r="O2235" t="s">
        <v>592</v>
      </c>
      <c r="P2235" t="s">
        <v>593</v>
      </c>
      <c r="Q2235" t="s">
        <v>586</v>
      </c>
      <c r="R2235">
        <v>20000</v>
      </c>
      <c r="S2235" t="s">
        <v>635</v>
      </c>
      <c r="T2235">
        <v>54</v>
      </c>
    </row>
    <row r="2236" spans="1:20" x14ac:dyDescent="0.25">
      <c r="A2236" t="s">
        <v>3547</v>
      </c>
      <c r="B2236" t="s">
        <v>558</v>
      </c>
      <c r="C2236" t="s">
        <v>586</v>
      </c>
      <c r="D2236" t="s">
        <v>642</v>
      </c>
      <c r="E2236" t="s">
        <v>3548</v>
      </c>
      <c r="F2236">
        <v>0.81741127509748401</v>
      </c>
      <c r="G2236">
        <v>52.547162692184401</v>
      </c>
      <c r="H2236" t="s">
        <v>1279</v>
      </c>
      <c r="I2236" t="s">
        <v>721</v>
      </c>
      <c r="J2236">
        <v>3</v>
      </c>
      <c r="K2236" t="s">
        <v>984</v>
      </c>
      <c r="L2236">
        <v>100000</v>
      </c>
      <c r="M2236">
        <v>2</v>
      </c>
      <c r="N2236">
        <v>52.547162692184401</v>
      </c>
      <c r="O2236" t="s">
        <v>592</v>
      </c>
      <c r="P2236" t="s">
        <v>613</v>
      </c>
      <c r="Q2236" t="s">
        <v>586</v>
      </c>
      <c r="R2236" t="s">
        <v>712</v>
      </c>
      <c r="S2236" t="s">
        <v>712</v>
      </c>
      <c r="T2236">
        <v>85</v>
      </c>
    </row>
    <row r="2237" spans="1:20" x14ac:dyDescent="0.25">
      <c r="A2237" t="s">
        <v>3549</v>
      </c>
      <c r="B2237" t="s">
        <v>43</v>
      </c>
      <c r="C2237" t="s">
        <v>607</v>
      </c>
      <c r="D2237" t="s">
        <v>741</v>
      </c>
      <c r="E2237" t="s">
        <v>742</v>
      </c>
      <c r="F2237">
        <v>1.5223750297415082</v>
      </c>
      <c r="G2237">
        <v>24.254171617093469</v>
      </c>
      <c r="H2237" t="s">
        <v>743</v>
      </c>
      <c r="I2237" t="s">
        <v>721</v>
      </c>
      <c r="J2237">
        <v>3</v>
      </c>
      <c r="K2237" t="s">
        <v>634</v>
      </c>
      <c r="L2237">
        <v>335000</v>
      </c>
      <c r="M2237">
        <v>2.3000000000000003</v>
      </c>
      <c r="N2237">
        <v>24.254171617093469</v>
      </c>
      <c r="O2237" t="s">
        <v>592</v>
      </c>
      <c r="P2237" t="s">
        <v>745</v>
      </c>
      <c r="Q2237" t="s">
        <v>586</v>
      </c>
      <c r="R2237" t="s">
        <v>712</v>
      </c>
      <c r="S2237" t="s">
        <v>594</v>
      </c>
      <c r="T2237">
        <v>79</v>
      </c>
    </row>
    <row r="2238" spans="1:20" x14ac:dyDescent="0.25">
      <c r="A2238" t="s">
        <v>3550</v>
      </c>
      <c r="B2238" t="s">
        <v>113</v>
      </c>
      <c r="C2238" t="s">
        <v>586</v>
      </c>
      <c r="D2238" t="s">
        <v>795</v>
      </c>
      <c r="E2238" t="s">
        <v>1063</v>
      </c>
      <c r="F2238">
        <v>0.97800082888955342</v>
      </c>
      <c r="G2238">
        <v>12.338446404209602</v>
      </c>
      <c r="H2238" t="s">
        <v>1064</v>
      </c>
      <c r="I2238" t="s">
        <v>1034</v>
      </c>
      <c r="J2238">
        <v>5</v>
      </c>
      <c r="K2238" t="s">
        <v>646</v>
      </c>
      <c r="L2238">
        <v>420000</v>
      </c>
      <c r="M2238">
        <v>1.4000000000000001</v>
      </c>
      <c r="N2238">
        <v>12.338446404209602</v>
      </c>
      <c r="O2238" t="s">
        <v>592</v>
      </c>
      <c r="P2238" t="s">
        <v>593</v>
      </c>
      <c r="Q2238" t="s">
        <v>586</v>
      </c>
      <c r="R2238" t="s">
        <v>712</v>
      </c>
      <c r="S2238" t="s">
        <v>712</v>
      </c>
      <c r="T2238">
        <v>80</v>
      </c>
    </row>
    <row r="2239" spans="1:20" x14ac:dyDescent="0.25">
      <c r="A2239" t="s">
        <v>3551</v>
      </c>
      <c r="B2239" t="s">
        <v>113</v>
      </c>
      <c r="C2239" t="s">
        <v>586</v>
      </c>
      <c r="D2239" t="s">
        <v>795</v>
      </c>
      <c r="E2239" t="s">
        <v>1063</v>
      </c>
      <c r="F2239">
        <v>1.9112806623409606</v>
      </c>
      <c r="G2239">
        <v>15.266724043160451</v>
      </c>
      <c r="H2239" t="s">
        <v>1064</v>
      </c>
      <c r="I2239" t="s">
        <v>1034</v>
      </c>
      <c r="J2239">
        <v>5</v>
      </c>
      <c r="K2239" t="s">
        <v>729</v>
      </c>
      <c r="L2239">
        <v>440000</v>
      </c>
      <c r="M2239">
        <v>1.58</v>
      </c>
      <c r="N2239">
        <v>15.266724043160451</v>
      </c>
      <c r="O2239" t="s">
        <v>592</v>
      </c>
      <c r="P2239" t="s">
        <v>593</v>
      </c>
      <c r="Q2239" t="s">
        <v>586</v>
      </c>
      <c r="R2239" t="s">
        <v>712</v>
      </c>
      <c r="S2239" t="s">
        <v>712</v>
      </c>
      <c r="T2239">
        <v>68</v>
      </c>
    </row>
    <row r="2240" spans="1:20" x14ac:dyDescent="0.25">
      <c r="A2240" t="s">
        <v>3552</v>
      </c>
      <c r="B2240" t="s">
        <v>113</v>
      </c>
      <c r="C2240" t="s">
        <v>586</v>
      </c>
      <c r="D2240" t="s">
        <v>795</v>
      </c>
      <c r="E2240" t="s">
        <v>1063</v>
      </c>
      <c r="F2240">
        <v>2.8034883829323411</v>
      </c>
      <c r="G2240">
        <v>17.168156777094691</v>
      </c>
      <c r="H2240" t="s">
        <v>1064</v>
      </c>
      <c r="I2240" t="s">
        <v>1034</v>
      </c>
      <c r="J2240">
        <v>5</v>
      </c>
      <c r="K2240" t="s">
        <v>817</v>
      </c>
      <c r="L2240">
        <v>460000</v>
      </c>
      <c r="M2240">
        <v>1.75</v>
      </c>
      <c r="N2240">
        <v>17.168156777094691</v>
      </c>
      <c r="O2240" t="s">
        <v>592</v>
      </c>
      <c r="P2240" t="s">
        <v>593</v>
      </c>
      <c r="Q2240" t="s">
        <v>586</v>
      </c>
      <c r="R2240">
        <v>15000</v>
      </c>
      <c r="S2240" t="s">
        <v>712</v>
      </c>
      <c r="T2240">
        <v>71</v>
      </c>
    </row>
    <row r="2241" spans="1:20" x14ac:dyDescent="0.25">
      <c r="A2241" t="s">
        <v>3553</v>
      </c>
      <c r="B2241" t="s">
        <v>559</v>
      </c>
      <c r="C2241" t="s">
        <v>586</v>
      </c>
      <c r="D2241" t="s">
        <v>608</v>
      </c>
      <c r="E2241" t="s">
        <v>789</v>
      </c>
      <c r="F2241">
        <v>0.52383673069510717</v>
      </c>
      <c r="G2241">
        <v>24.712361405959559</v>
      </c>
      <c r="H2241" t="s">
        <v>672</v>
      </c>
      <c r="I2241" t="s">
        <v>611</v>
      </c>
      <c r="J2241">
        <v>4</v>
      </c>
      <c r="K2241" t="s">
        <v>1005</v>
      </c>
      <c r="L2241">
        <v>330000</v>
      </c>
      <c r="M2241">
        <v>1.75</v>
      </c>
      <c r="N2241">
        <v>24.712361405959559</v>
      </c>
      <c r="O2241" t="s">
        <v>592</v>
      </c>
      <c r="P2241" t="s">
        <v>621</v>
      </c>
      <c r="Q2241" t="s">
        <v>586</v>
      </c>
      <c r="R2241" t="s">
        <v>712</v>
      </c>
      <c r="S2241" t="s">
        <v>635</v>
      </c>
      <c r="T2241">
        <v>91</v>
      </c>
    </row>
    <row r="2242" spans="1:20" x14ac:dyDescent="0.25">
      <c r="A2242" t="s">
        <v>3554</v>
      </c>
      <c r="B2242" t="s">
        <v>559</v>
      </c>
      <c r="C2242" t="s">
        <v>586</v>
      </c>
      <c r="D2242" t="s">
        <v>608</v>
      </c>
      <c r="E2242" t="s">
        <v>789</v>
      </c>
      <c r="F2242">
        <v>1.468260260529398</v>
      </c>
      <c r="G2242">
        <v>26.493394064725194</v>
      </c>
      <c r="H2242" t="s">
        <v>672</v>
      </c>
      <c r="I2242" t="s">
        <v>611</v>
      </c>
      <c r="J2242">
        <v>4</v>
      </c>
      <c r="K2242" t="s">
        <v>1001</v>
      </c>
      <c r="L2242">
        <v>340000</v>
      </c>
      <c r="M2242">
        <v>1.93</v>
      </c>
      <c r="N2242">
        <v>26.493394064725194</v>
      </c>
      <c r="O2242" t="s">
        <v>592</v>
      </c>
      <c r="P2242" t="s">
        <v>621</v>
      </c>
      <c r="Q2242" t="s">
        <v>586</v>
      </c>
      <c r="R2242">
        <v>30000</v>
      </c>
      <c r="S2242" t="s">
        <v>635</v>
      </c>
      <c r="T2242">
        <v>79</v>
      </c>
    </row>
    <row r="2243" spans="1:20" x14ac:dyDescent="0.25">
      <c r="A2243" t="s">
        <v>3555</v>
      </c>
      <c r="B2243" t="s">
        <v>559</v>
      </c>
      <c r="C2243" t="s">
        <v>586</v>
      </c>
      <c r="D2243" t="s">
        <v>608</v>
      </c>
      <c r="E2243" t="s">
        <v>789</v>
      </c>
      <c r="F2243">
        <v>2.3778161498969372</v>
      </c>
      <c r="G2243">
        <v>32.227047574477851</v>
      </c>
      <c r="H2243" t="s">
        <v>672</v>
      </c>
      <c r="I2243" t="s">
        <v>611</v>
      </c>
      <c r="J2243">
        <v>4</v>
      </c>
      <c r="K2243" t="s">
        <v>803</v>
      </c>
      <c r="L2243">
        <v>350000</v>
      </c>
      <c r="M2243">
        <v>2.15</v>
      </c>
      <c r="N2243">
        <v>32.227047574477851</v>
      </c>
      <c r="O2243" t="s">
        <v>592</v>
      </c>
      <c r="P2243" t="s">
        <v>621</v>
      </c>
      <c r="Q2243" t="s">
        <v>586</v>
      </c>
      <c r="R2243" t="s">
        <v>712</v>
      </c>
      <c r="S2243" t="s">
        <v>635</v>
      </c>
      <c r="T2243">
        <v>70</v>
      </c>
    </row>
    <row r="2244" spans="1:20" x14ac:dyDescent="0.25">
      <c r="A2244" t="s">
        <v>3556</v>
      </c>
      <c r="B2244" t="s">
        <v>559</v>
      </c>
      <c r="C2244" t="s">
        <v>586</v>
      </c>
      <c r="D2244" t="s">
        <v>608</v>
      </c>
      <c r="E2244" t="s">
        <v>789</v>
      </c>
      <c r="F2244">
        <v>3.2550671953462058</v>
      </c>
      <c r="G2244">
        <v>36.222734614693678</v>
      </c>
      <c r="H2244" t="s">
        <v>672</v>
      </c>
      <c r="I2244" t="s">
        <v>611</v>
      </c>
      <c r="J2244">
        <v>4</v>
      </c>
      <c r="K2244" t="s">
        <v>1387</v>
      </c>
      <c r="L2244">
        <v>360000</v>
      </c>
      <c r="M2244">
        <v>2.34</v>
      </c>
      <c r="N2244">
        <v>36.222734614693678</v>
      </c>
      <c r="O2244" t="s">
        <v>592</v>
      </c>
      <c r="P2244" t="s">
        <v>621</v>
      </c>
      <c r="Q2244" t="s">
        <v>586</v>
      </c>
      <c r="R2244" t="s">
        <v>712</v>
      </c>
      <c r="S2244" t="s">
        <v>635</v>
      </c>
      <c r="T2244">
        <v>61</v>
      </c>
    </row>
    <row r="2245" spans="1:20" x14ac:dyDescent="0.25">
      <c r="A2245" t="s">
        <v>3557</v>
      </c>
      <c r="B2245" t="s">
        <v>559</v>
      </c>
      <c r="C2245" t="s">
        <v>586</v>
      </c>
      <c r="D2245" t="s">
        <v>608</v>
      </c>
      <c r="E2245" t="s">
        <v>789</v>
      </c>
      <c r="F2245">
        <v>4.1016566893095847</v>
      </c>
      <c r="G2245">
        <v>36.803381901453051</v>
      </c>
      <c r="H2245" t="s">
        <v>672</v>
      </c>
      <c r="I2245" t="s">
        <v>611</v>
      </c>
      <c r="J2245">
        <v>4</v>
      </c>
      <c r="K2245" t="s">
        <v>1765</v>
      </c>
      <c r="L2245">
        <v>370000</v>
      </c>
      <c r="M2245">
        <v>2.4700000000000002</v>
      </c>
      <c r="N2245">
        <v>36.803381901453051</v>
      </c>
      <c r="O2245" t="s">
        <v>592</v>
      </c>
      <c r="P2245" t="s">
        <v>621</v>
      </c>
      <c r="Q2245" t="s">
        <v>586</v>
      </c>
      <c r="R2245" t="s">
        <v>712</v>
      </c>
      <c r="S2245" t="s">
        <v>635</v>
      </c>
      <c r="T2245">
        <v>52</v>
      </c>
    </row>
    <row r="2246" spans="1:20" x14ac:dyDescent="0.25">
      <c r="A2246" t="s">
        <v>3558</v>
      </c>
      <c r="B2246" t="s">
        <v>560</v>
      </c>
      <c r="C2246" t="s">
        <v>607</v>
      </c>
      <c r="D2246" t="s">
        <v>608</v>
      </c>
      <c r="E2246" t="s">
        <v>789</v>
      </c>
      <c r="F2246">
        <v>0.32923542466275996</v>
      </c>
      <c r="G2246">
        <v>60.726260273972613</v>
      </c>
      <c r="H2246" t="s">
        <v>1045</v>
      </c>
      <c r="I2246" t="s">
        <v>611</v>
      </c>
      <c r="J2246">
        <v>2</v>
      </c>
      <c r="K2246" t="s">
        <v>710</v>
      </c>
      <c r="L2246">
        <v>15000</v>
      </c>
      <c r="M2246">
        <v>1.9000000000000001</v>
      </c>
      <c r="N2246">
        <v>60.726260273972613</v>
      </c>
      <c r="O2246" t="s">
        <v>592</v>
      </c>
      <c r="P2246" t="s">
        <v>621</v>
      </c>
      <c r="Q2246" t="s">
        <v>586</v>
      </c>
      <c r="R2246" t="s">
        <v>712</v>
      </c>
      <c r="S2246" t="s">
        <v>712</v>
      </c>
      <c r="T2246">
        <v>86</v>
      </c>
    </row>
    <row r="2247" spans="1:20" x14ac:dyDescent="0.25">
      <c r="A2247" t="s">
        <v>3559</v>
      </c>
      <c r="B2247" t="s">
        <v>560</v>
      </c>
      <c r="C2247" t="s">
        <v>607</v>
      </c>
      <c r="D2247" t="s">
        <v>608</v>
      </c>
      <c r="E2247" t="s">
        <v>789</v>
      </c>
      <c r="F2247">
        <v>1.3037859414784381</v>
      </c>
      <c r="G2247">
        <v>61.984161643835598</v>
      </c>
      <c r="H2247" t="s">
        <v>1045</v>
      </c>
      <c r="I2247" t="s">
        <v>611</v>
      </c>
      <c r="J2247">
        <v>2</v>
      </c>
      <c r="K2247" t="s">
        <v>758</v>
      </c>
      <c r="L2247">
        <v>20000</v>
      </c>
      <c r="M2247">
        <v>2.0499999999999998</v>
      </c>
      <c r="N2247">
        <v>61.984161643835598</v>
      </c>
      <c r="O2247" t="s">
        <v>592</v>
      </c>
      <c r="P2247" t="s">
        <v>621</v>
      </c>
      <c r="Q2247" t="s">
        <v>586</v>
      </c>
      <c r="R2247" t="s">
        <v>712</v>
      </c>
      <c r="S2247" t="s">
        <v>712</v>
      </c>
      <c r="T2247">
        <v>68</v>
      </c>
    </row>
    <row r="2248" spans="1:20" x14ac:dyDescent="0.25">
      <c r="A2248" t="s">
        <v>3560</v>
      </c>
      <c r="B2248" t="s">
        <v>560</v>
      </c>
      <c r="C2248" t="s">
        <v>607</v>
      </c>
      <c r="D2248" t="s">
        <v>608</v>
      </c>
      <c r="E2248" t="s">
        <v>789</v>
      </c>
      <c r="F2248">
        <v>2.2354672373762834</v>
      </c>
      <c r="G2248">
        <v>62.875227397260282</v>
      </c>
      <c r="H2248" t="s">
        <v>1045</v>
      </c>
      <c r="I2248" t="s">
        <v>611</v>
      </c>
      <c r="J2248">
        <v>3</v>
      </c>
      <c r="K2248" t="s">
        <v>972</v>
      </c>
      <c r="L2248">
        <v>20000</v>
      </c>
      <c r="M2248">
        <v>2.2000000000000002</v>
      </c>
      <c r="N2248">
        <v>62.875227397260282</v>
      </c>
      <c r="O2248" t="s">
        <v>592</v>
      </c>
      <c r="P2248" t="s">
        <v>621</v>
      </c>
      <c r="Q2248" t="s">
        <v>586</v>
      </c>
      <c r="R2248" t="s">
        <v>712</v>
      </c>
      <c r="S2248" t="s">
        <v>712</v>
      </c>
      <c r="T2248">
        <v>67</v>
      </c>
    </row>
    <row r="2249" spans="1:20" x14ac:dyDescent="0.25">
      <c r="A2249" t="s">
        <v>3561</v>
      </c>
      <c r="B2249" t="s">
        <v>561</v>
      </c>
      <c r="C2249" t="s">
        <v>586</v>
      </c>
      <c r="D2249" t="s">
        <v>1124</v>
      </c>
      <c r="E2249" t="s">
        <v>1314</v>
      </c>
      <c r="F2249">
        <v>0.49447002903174159</v>
      </c>
      <c r="G2249">
        <v>9.6539568536015743</v>
      </c>
      <c r="H2249" t="s">
        <v>3562</v>
      </c>
      <c r="I2249" t="s">
        <v>885</v>
      </c>
      <c r="J2249">
        <v>3</v>
      </c>
      <c r="K2249" t="s">
        <v>807</v>
      </c>
      <c r="L2249">
        <v>310000</v>
      </c>
      <c r="M2249">
        <v>1.3</v>
      </c>
      <c r="N2249">
        <v>9.6539568536015743</v>
      </c>
      <c r="O2249" t="s">
        <v>592</v>
      </c>
      <c r="P2249" t="s">
        <v>711</v>
      </c>
      <c r="Q2249" t="s">
        <v>586</v>
      </c>
      <c r="R2249" t="s">
        <v>712</v>
      </c>
      <c r="S2249" t="s">
        <v>712</v>
      </c>
      <c r="T2249">
        <v>89</v>
      </c>
    </row>
    <row r="2250" spans="1:20" x14ac:dyDescent="0.25">
      <c r="A2250" t="s">
        <v>3563</v>
      </c>
      <c r="B2250" t="s">
        <v>561</v>
      </c>
      <c r="C2250" t="s">
        <v>586</v>
      </c>
      <c r="D2250" t="s">
        <v>1124</v>
      </c>
      <c r="E2250" t="s">
        <v>1314</v>
      </c>
      <c r="F2250">
        <v>1.4631580506118724</v>
      </c>
      <c r="G2250">
        <v>9.766109179037862</v>
      </c>
      <c r="H2250" t="s">
        <v>3562</v>
      </c>
      <c r="I2250" t="s">
        <v>885</v>
      </c>
      <c r="J2250">
        <v>3</v>
      </c>
      <c r="K2250" t="s">
        <v>780</v>
      </c>
      <c r="L2250">
        <v>320000</v>
      </c>
      <c r="M2250">
        <v>1.45</v>
      </c>
      <c r="N2250">
        <v>9.766109179037862</v>
      </c>
      <c r="O2250" t="s">
        <v>592</v>
      </c>
      <c r="P2250" t="s">
        <v>711</v>
      </c>
      <c r="Q2250" t="s">
        <v>586</v>
      </c>
      <c r="R2250" t="s">
        <v>712</v>
      </c>
      <c r="S2250" t="s">
        <v>712</v>
      </c>
      <c r="T2250">
        <v>74</v>
      </c>
    </row>
    <row r="2251" spans="1:20" x14ac:dyDescent="0.25">
      <c r="A2251" t="s">
        <v>3564</v>
      </c>
      <c r="B2251" t="s">
        <v>561</v>
      </c>
      <c r="C2251" t="s">
        <v>586</v>
      </c>
      <c r="D2251" t="s">
        <v>1124</v>
      </c>
      <c r="E2251" t="s">
        <v>1314</v>
      </c>
      <c r="F2251">
        <v>2.4037310995915946</v>
      </c>
      <c r="G2251">
        <v>14.656294342643928</v>
      </c>
      <c r="H2251" t="s">
        <v>3562</v>
      </c>
      <c r="I2251" t="s">
        <v>885</v>
      </c>
      <c r="J2251">
        <v>3</v>
      </c>
      <c r="K2251" t="s">
        <v>1013</v>
      </c>
      <c r="L2251">
        <v>325000</v>
      </c>
      <c r="M2251">
        <v>1.6500000000000001</v>
      </c>
      <c r="N2251">
        <v>14.656294342643928</v>
      </c>
      <c r="O2251" t="s">
        <v>592</v>
      </c>
      <c r="P2251" t="s">
        <v>711</v>
      </c>
      <c r="Q2251" t="s">
        <v>586</v>
      </c>
      <c r="R2251" t="s">
        <v>712</v>
      </c>
      <c r="S2251" t="s">
        <v>712</v>
      </c>
      <c r="T2251">
        <v>64</v>
      </c>
    </row>
    <row r="2252" spans="1:20" x14ac:dyDescent="0.25">
      <c r="A2252" t="s">
        <v>3565</v>
      </c>
      <c r="B2252" t="s">
        <v>562</v>
      </c>
      <c r="C2252" t="s">
        <v>607</v>
      </c>
      <c r="D2252" t="s">
        <v>1291</v>
      </c>
      <c r="E2252" t="s">
        <v>2442</v>
      </c>
      <c r="F2252">
        <v>0.76942201440925251</v>
      </c>
      <c r="G2252">
        <v>45.059620554610923</v>
      </c>
      <c r="H2252" t="s">
        <v>1253</v>
      </c>
      <c r="I2252" t="s">
        <v>812</v>
      </c>
      <c r="J2252">
        <v>5</v>
      </c>
      <c r="K2252" t="s">
        <v>1168</v>
      </c>
      <c r="L2252">
        <v>1025000</v>
      </c>
      <c r="M2252">
        <v>2.31</v>
      </c>
      <c r="N2252">
        <v>45.059620554610923</v>
      </c>
      <c r="O2252" t="s">
        <v>592</v>
      </c>
      <c r="P2252" t="s">
        <v>593</v>
      </c>
      <c r="Q2252" t="s">
        <v>586</v>
      </c>
      <c r="R2252" t="s">
        <v>712</v>
      </c>
      <c r="S2252" t="s">
        <v>712</v>
      </c>
      <c r="T2252">
        <v>93</v>
      </c>
    </row>
    <row r="2253" spans="1:20" x14ac:dyDescent="0.25">
      <c r="A2253" t="s">
        <v>3566</v>
      </c>
      <c r="B2253" t="s">
        <v>562</v>
      </c>
      <c r="C2253" t="s">
        <v>607</v>
      </c>
      <c r="D2253" t="s">
        <v>1291</v>
      </c>
      <c r="E2253" t="s">
        <v>2442</v>
      </c>
      <c r="F2253">
        <v>1.7028679217735825</v>
      </c>
      <c r="G2253">
        <v>53.75189290002416</v>
      </c>
      <c r="H2253" t="s">
        <v>1253</v>
      </c>
      <c r="I2253" t="s">
        <v>812</v>
      </c>
      <c r="J2253">
        <v>5</v>
      </c>
      <c r="K2253" t="s">
        <v>1496</v>
      </c>
      <c r="L2253">
        <v>1080000</v>
      </c>
      <c r="M2253">
        <v>2.56</v>
      </c>
      <c r="N2253">
        <v>53.75189290002416</v>
      </c>
      <c r="O2253" t="s">
        <v>592</v>
      </c>
      <c r="P2253" t="s">
        <v>593</v>
      </c>
      <c r="Q2253" t="s">
        <v>586</v>
      </c>
      <c r="R2253">
        <v>45000</v>
      </c>
      <c r="S2253" t="s">
        <v>712</v>
      </c>
      <c r="T2253">
        <v>82</v>
      </c>
    </row>
    <row r="2254" spans="1:20" x14ac:dyDescent="0.25">
      <c r="A2254" t="s">
        <v>3567</v>
      </c>
      <c r="B2254" t="s">
        <v>562</v>
      </c>
      <c r="C2254" t="s">
        <v>607</v>
      </c>
      <c r="D2254" t="s">
        <v>1291</v>
      </c>
      <c r="E2254" t="s">
        <v>2442</v>
      </c>
      <c r="F2254">
        <v>2.5951267619227498</v>
      </c>
      <c r="G2254">
        <v>58.150669069586726</v>
      </c>
      <c r="H2254" t="s">
        <v>1253</v>
      </c>
      <c r="I2254" t="s">
        <v>812</v>
      </c>
      <c r="J2254">
        <v>5</v>
      </c>
      <c r="K2254" t="s">
        <v>1498</v>
      </c>
      <c r="L2254">
        <v>1135000</v>
      </c>
      <c r="M2254">
        <v>2.7600000000000002</v>
      </c>
      <c r="N2254">
        <v>58.150669069586726</v>
      </c>
      <c r="O2254" t="s">
        <v>592</v>
      </c>
      <c r="P2254" t="s">
        <v>593</v>
      </c>
      <c r="Q2254" t="s">
        <v>586</v>
      </c>
      <c r="R2254">
        <v>75000</v>
      </c>
      <c r="S2254" t="s">
        <v>712</v>
      </c>
      <c r="T2254">
        <v>75</v>
      </c>
    </row>
    <row r="2255" spans="1:20" x14ac:dyDescent="0.25">
      <c r="A2255" t="s">
        <v>3568</v>
      </c>
      <c r="B2255" t="s">
        <v>562</v>
      </c>
      <c r="C2255" t="s">
        <v>607</v>
      </c>
      <c r="D2255" t="s">
        <v>1291</v>
      </c>
      <c r="E2255" t="s">
        <v>2442</v>
      </c>
      <c r="F2255">
        <v>3.4495411739135888</v>
      </c>
      <c r="G2255">
        <v>59.75107729949984</v>
      </c>
      <c r="H2255" t="s">
        <v>1253</v>
      </c>
      <c r="I2255" t="s">
        <v>812</v>
      </c>
      <c r="J2255">
        <v>5</v>
      </c>
      <c r="K2255" t="s">
        <v>1804</v>
      </c>
      <c r="L2255">
        <v>1195000</v>
      </c>
      <c r="M2255">
        <v>2.91</v>
      </c>
      <c r="N2255">
        <v>59.75107729949984</v>
      </c>
      <c r="O2255" t="s">
        <v>592</v>
      </c>
      <c r="P2255" t="s">
        <v>593</v>
      </c>
      <c r="Q2255" t="s">
        <v>586</v>
      </c>
      <c r="R2255" t="s">
        <v>712</v>
      </c>
      <c r="S2255" t="s">
        <v>712</v>
      </c>
      <c r="T2255">
        <v>70</v>
      </c>
    </row>
    <row r="2256" spans="1:20" x14ac:dyDescent="0.25">
      <c r="A2256" t="s">
        <v>3569</v>
      </c>
      <c r="B2256" t="s">
        <v>155</v>
      </c>
      <c r="C2256" t="s">
        <v>586</v>
      </c>
      <c r="D2256" t="s">
        <v>608</v>
      </c>
      <c r="E2256" t="s">
        <v>1215</v>
      </c>
      <c r="F2256">
        <v>2.9040549827684448</v>
      </c>
      <c r="G2256">
        <v>15.856208449470266</v>
      </c>
      <c r="H2256" t="s">
        <v>676</v>
      </c>
      <c r="I2256" t="s">
        <v>611</v>
      </c>
      <c r="J2256">
        <v>3</v>
      </c>
      <c r="K2256" t="s">
        <v>1334</v>
      </c>
      <c r="L2256">
        <v>135000</v>
      </c>
      <c r="M2256">
        <v>1.8</v>
      </c>
      <c r="N2256">
        <v>15.856208449470266</v>
      </c>
      <c r="O2256" t="s">
        <v>592</v>
      </c>
      <c r="P2256" t="s">
        <v>613</v>
      </c>
      <c r="Q2256" t="s">
        <v>586</v>
      </c>
      <c r="R2256" t="s">
        <v>712</v>
      </c>
      <c r="S2256" t="s">
        <v>712</v>
      </c>
      <c r="T2256">
        <v>68</v>
      </c>
    </row>
    <row r="2257" spans="1:20" x14ac:dyDescent="0.25">
      <c r="A2257" t="s">
        <v>3570</v>
      </c>
      <c r="B2257" t="s">
        <v>155</v>
      </c>
      <c r="C2257" t="s">
        <v>586</v>
      </c>
      <c r="D2257" t="s">
        <v>608</v>
      </c>
      <c r="E2257" t="s">
        <v>1215</v>
      </c>
      <c r="F2257">
        <v>1.9905013162220428</v>
      </c>
      <c r="G2257">
        <v>16.133220247065051</v>
      </c>
      <c r="H2257" t="s">
        <v>676</v>
      </c>
      <c r="I2257" t="s">
        <v>611</v>
      </c>
      <c r="J2257">
        <v>3</v>
      </c>
      <c r="K2257" t="s">
        <v>956</v>
      </c>
      <c r="L2257">
        <v>130000</v>
      </c>
      <c r="M2257">
        <v>1.6500000000000001</v>
      </c>
      <c r="N2257">
        <v>16.133220247065051</v>
      </c>
      <c r="O2257" t="s">
        <v>592</v>
      </c>
      <c r="P2257" t="s">
        <v>613</v>
      </c>
      <c r="Q2257" t="s">
        <v>586</v>
      </c>
      <c r="R2257" t="s">
        <v>712</v>
      </c>
      <c r="S2257" t="s">
        <v>712</v>
      </c>
      <c r="T2257">
        <v>80</v>
      </c>
    </row>
    <row r="2258" spans="1:20" x14ac:dyDescent="0.25">
      <c r="A2258" t="s">
        <v>3571</v>
      </c>
      <c r="B2258" t="s">
        <v>155</v>
      </c>
      <c r="C2258" t="s">
        <v>586</v>
      </c>
      <c r="D2258" t="s">
        <v>608</v>
      </c>
      <c r="E2258" t="s">
        <v>1215</v>
      </c>
      <c r="F2258">
        <v>1.0501928214708776</v>
      </c>
      <c r="G2258">
        <v>16.847884669666179</v>
      </c>
      <c r="H2258" t="s">
        <v>676</v>
      </c>
      <c r="I2258" t="s">
        <v>611</v>
      </c>
      <c r="J2258">
        <v>3</v>
      </c>
      <c r="K2258" t="s">
        <v>612</v>
      </c>
      <c r="L2258">
        <v>130000</v>
      </c>
      <c r="M2258">
        <v>1.5</v>
      </c>
      <c r="N2258">
        <v>16.847884669666179</v>
      </c>
      <c r="O2258" t="s">
        <v>592</v>
      </c>
      <c r="P2258" t="s">
        <v>613</v>
      </c>
      <c r="Q2258" t="s">
        <v>586</v>
      </c>
      <c r="R2258" t="s">
        <v>712</v>
      </c>
      <c r="S2258" t="s">
        <v>712</v>
      </c>
      <c r="T2258">
        <v>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"/>
  <sheetViews>
    <sheetView workbookViewId="0">
      <selection activeCell="E30" sqref="E30"/>
    </sheetView>
  </sheetViews>
  <sheetFormatPr defaultRowHeight="15" x14ac:dyDescent="0.25"/>
  <cols>
    <col min="1" max="1" width="11.42578125" customWidth="1"/>
    <col min="2" max="3" width="38" customWidth="1"/>
    <col min="4" max="4" width="76.140625" customWidth="1"/>
  </cols>
  <sheetData>
    <row r="1" spans="1:4" x14ac:dyDescent="0.25">
      <c r="A1" s="5" t="s">
        <v>563</v>
      </c>
      <c r="B1" s="5"/>
      <c r="C1" s="5"/>
      <c r="D1" s="5"/>
    </row>
    <row r="2" spans="1:4" x14ac:dyDescent="0.25">
      <c r="A2" s="4" t="s">
        <v>564</v>
      </c>
      <c r="B2" s="3"/>
      <c r="C2" s="3"/>
      <c r="D2" s="3"/>
    </row>
    <row r="3" spans="1:4" x14ac:dyDescent="0.25">
      <c r="A3" s="4"/>
      <c r="B3" s="3"/>
      <c r="C3" s="3"/>
      <c r="D3" s="3"/>
    </row>
    <row r="4" spans="1:4" x14ac:dyDescent="0.25">
      <c r="A4" s="4" t="s">
        <v>565</v>
      </c>
      <c r="B4" s="3"/>
      <c r="C4" s="3"/>
      <c r="D4" s="3"/>
    </row>
    <row r="5" spans="1:4" x14ac:dyDescent="0.25">
      <c r="A5" s="4" t="s">
        <v>566</v>
      </c>
      <c r="B5" s="3"/>
      <c r="C5" s="3"/>
      <c r="D5" s="3"/>
    </row>
    <row r="6" spans="1:4" x14ac:dyDescent="0.25">
      <c r="A6" s="4"/>
      <c r="B6" s="3"/>
      <c r="C6" s="3"/>
      <c r="D6" s="3"/>
    </row>
    <row r="7" spans="1:4" x14ac:dyDescent="0.25">
      <c r="A7" s="4"/>
      <c r="B7" s="3"/>
      <c r="C7" s="3"/>
      <c r="D7" s="3"/>
    </row>
    <row r="8" spans="1:4" x14ac:dyDescent="0.25">
      <c r="A8" s="4" t="s">
        <v>567</v>
      </c>
      <c r="B8" s="3"/>
      <c r="C8" s="3"/>
      <c r="D8" s="3"/>
    </row>
    <row r="9" spans="1:4" x14ac:dyDescent="0.25">
      <c r="A9" s="4"/>
      <c r="B9" s="3"/>
      <c r="C9" s="3"/>
      <c r="D9" s="3"/>
    </row>
    <row r="10" spans="1:4" x14ac:dyDescent="0.25">
      <c r="A10" s="2" t="s">
        <v>568</v>
      </c>
      <c r="B10" s="3"/>
      <c r="C10" s="3"/>
      <c r="D10" s="3"/>
    </row>
    <row r="11" spans="1:4" x14ac:dyDescent="0.25">
      <c r="A11" s="1" t="s">
        <v>569</v>
      </c>
      <c r="B11" s="3"/>
      <c r="C11" s="3"/>
      <c r="D11" s="3"/>
    </row>
    <row r="12" spans="1:4" x14ac:dyDescent="0.25">
      <c r="A12" s="1" t="s">
        <v>570</v>
      </c>
      <c r="B12" s="3"/>
      <c r="C12" s="3"/>
      <c r="D12" s="3"/>
    </row>
    <row r="13" spans="1:4" x14ac:dyDescent="0.25">
      <c r="A13" s="1" t="s">
        <v>571</v>
      </c>
      <c r="B13" s="3"/>
      <c r="C13" s="3"/>
      <c r="D13" s="3"/>
    </row>
    <row r="14" spans="1:4" x14ac:dyDescent="0.25">
      <c r="A14" s="6" t="s">
        <v>572</v>
      </c>
      <c r="B14" s="6" t="s">
        <v>573</v>
      </c>
      <c r="C14" s="6" t="s">
        <v>574</v>
      </c>
      <c r="D14" s="6" t="s">
        <v>575</v>
      </c>
    </row>
    <row r="15" spans="1:4" x14ac:dyDescent="0.25">
      <c r="A15" s="6" t="s">
        <v>572</v>
      </c>
      <c r="B15" s="6" t="s">
        <v>576</v>
      </c>
      <c r="C15" s="6" t="s">
        <v>574</v>
      </c>
      <c r="D15" s="6" t="s">
        <v>577</v>
      </c>
    </row>
    <row r="16" spans="1:4" x14ac:dyDescent="0.25">
      <c r="A16" s="6" t="s">
        <v>572</v>
      </c>
      <c r="B16" s="6" t="s">
        <v>578</v>
      </c>
      <c r="C16" s="6" t="s">
        <v>574</v>
      </c>
      <c r="D16" s="6" t="s">
        <v>579</v>
      </c>
    </row>
    <row r="17" spans="1:4" x14ac:dyDescent="0.25">
      <c r="A17" s="6" t="s">
        <v>572</v>
      </c>
      <c r="B17" s="6" t="s">
        <v>7</v>
      </c>
      <c r="C17" s="6" t="s">
        <v>580</v>
      </c>
      <c r="D17" s="6" t="s">
        <v>581</v>
      </c>
    </row>
    <row r="18" spans="1:4" x14ac:dyDescent="0.25">
      <c r="A18" s="6" t="s">
        <v>572</v>
      </c>
      <c r="B18" s="6" t="s">
        <v>582</v>
      </c>
      <c r="C18" s="6" t="s">
        <v>583</v>
      </c>
      <c r="D18" s="6" t="s">
        <v>584</v>
      </c>
    </row>
  </sheetData>
  <mergeCells count="12">
    <mergeCell ref="A12:D12"/>
    <mergeCell ref="A13:D13"/>
    <mergeCell ref="A7:D7"/>
    <mergeCell ref="A8:D8"/>
    <mergeCell ref="A9:D9"/>
    <mergeCell ref="A10:D10"/>
    <mergeCell ref="A11:D11"/>
    <mergeCell ref="A2:D2"/>
    <mergeCell ref="A3:D3"/>
    <mergeCell ref="A4:D4"/>
    <mergeCell ref="A5:D5"/>
    <mergeCell ref="A6:D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Municipals</vt:lpstr>
      <vt:lpstr>Sheet1</vt:lpstr>
      <vt:lpstr>Context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Li, Dan</cp:lastModifiedBy>
  <dcterms:created xsi:type="dcterms:W3CDTF">2013-04-03T15:49:21Z</dcterms:created>
  <dcterms:modified xsi:type="dcterms:W3CDTF">2022-07-31T18:41:48Z</dcterms:modified>
</cp:coreProperties>
</file>